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Gen\Families\Arslanian\ArmenianImmigrants\"/>
    </mc:Choice>
  </mc:AlternateContent>
  <bookViews>
    <workbookView xWindow="-120" yWindow="-120" windowWidth="28116" windowHeight="16440" tabRatio="558"/>
  </bookViews>
  <sheets>
    <sheet name="Results" sheetId="1" r:id="rId1"/>
    <sheet name="Searches" sheetId="14" r:id="rId2"/>
    <sheet name="Expatriation" sheetId="17" r:id="rId3"/>
    <sheet name="Photos Pending" sheetId="9" r:id="rId4"/>
    <sheet name="Notes" sheetId="2" r:id="rId5"/>
    <sheet name="ByShipByYear" sheetId="4" r:id="rId6"/>
    <sheet name="WW1-Draft-FieldsbyCardType" sheetId="5" r:id="rId7"/>
    <sheet name="Eye Color" sheetId="11" r:id="rId8"/>
    <sheet name="Ottoman Admin Hierarchy" sheetId="12" r:id="rId9"/>
    <sheet name="Top Last Names" sheetId="15" r:id="rId10"/>
  </sheets>
  <definedNames>
    <definedName name="main" localSheetId="9">'Top Last Names'!$B$3:$C$4820</definedName>
    <definedName name="_xlnm.Print_Area" localSheetId="0">Results!$A$1:$O$6892</definedName>
    <definedName name="_xlnm.Print_Area" localSheetId="9">'Top Last Names'!$A$1:$D$104</definedName>
    <definedName name="_xlnm.Print_Area" localSheetId="6">'WW1-Draft-FieldsbyCardType'!$A$1:$D$25</definedName>
  </definedNames>
  <calcPr calcId="152511" iterateDelta="1E-4"/>
</workbook>
</file>

<file path=xl/calcChain.xml><?xml version="1.0" encoding="utf-8"?>
<calcChain xmlns="http://schemas.openxmlformats.org/spreadsheetml/2006/main">
  <c r="L955" i="1" l="1"/>
  <c r="I5410" i="1" l="1"/>
  <c r="X5410" i="1" l="1"/>
  <c r="W5410" i="1"/>
  <c r="U5410" i="1"/>
  <c r="P5410" i="1"/>
  <c r="B5410" i="1" s="1"/>
  <c r="L5410" i="1"/>
  <c r="X5158" i="1"/>
  <c r="W5158" i="1"/>
  <c r="U5158" i="1"/>
  <c r="P5158" i="1"/>
  <c r="B5158" i="1" s="1"/>
  <c r="L5158" i="1"/>
  <c r="N5410" i="1" l="1"/>
  <c r="R5410" i="1"/>
  <c r="V5410" i="1"/>
  <c r="N5158" i="1"/>
  <c r="V5158" i="1"/>
  <c r="R5158" i="1"/>
  <c r="X4211" i="1" l="1"/>
  <c r="W4211" i="1"/>
  <c r="U4211" i="1"/>
  <c r="P4211" i="1"/>
  <c r="B4211" i="1" s="1"/>
  <c r="L4211" i="1"/>
  <c r="R4211" i="1" s="1"/>
  <c r="V4211" i="1" l="1"/>
  <c r="N4211" i="1"/>
  <c r="X6625" i="1"/>
  <c r="W6625" i="1"/>
  <c r="V6625" i="1"/>
  <c r="U6625" i="1"/>
  <c r="M6625" i="1"/>
  <c r="K6625" i="1"/>
  <c r="I6625" i="1"/>
  <c r="H6625" i="1"/>
  <c r="X6624" i="1"/>
  <c r="W6624" i="1"/>
  <c r="V6624" i="1"/>
  <c r="U6624" i="1"/>
  <c r="N6624" i="1"/>
  <c r="X6623" i="1"/>
  <c r="W6623" i="1"/>
  <c r="U6623" i="1"/>
  <c r="P6623" i="1"/>
  <c r="B6623" i="1" s="1"/>
  <c r="L6623" i="1"/>
  <c r="V6623" i="1" s="1"/>
  <c r="J6625" i="1"/>
  <c r="X6622" i="1"/>
  <c r="W6622" i="1"/>
  <c r="V6622" i="1"/>
  <c r="U6622" i="1"/>
  <c r="N6622" i="1"/>
  <c r="X6621" i="1"/>
  <c r="W6621" i="1"/>
  <c r="V6621" i="1"/>
  <c r="U6621" i="1"/>
  <c r="N6621" i="1"/>
  <c r="N6623" i="1" l="1"/>
  <c r="N6625" i="1" s="1"/>
  <c r="L6625" i="1"/>
  <c r="R6623" i="1"/>
  <c r="X4324" i="1" l="1"/>
  <c r="W4324" i="1"/>
  <c r="U4324" i="1"/>
  <c r="P4324" i="1"/>
  <c r="B4324" i="1" s="1"/>
  <c r="L4324" i="1"/>
  <c r="N4324" i="1" s="1"/>
  <c r="R4324" i="1" l="1"/>
  <c r="S4324" i="1"/>
  <c r="V4324" i="1"/>
  <c r="X3660" i="1"/>
  <c r="W3660" i="1"/>
  <c r="V3660" i="1"/>
  <c r="U3660" i="1"/>
  <c r="M3660" i="1"/>
  <c r="K3660" i="1"/>
  <c r="I3660" i="1"/>
  <c r="H3660" i="1"/>
  <c r="X3659" i="1"/>
  <c r="W3659" i="1"/>
  <c r="V3659" i="1"/>
  <c r="U3659" i="1"/>
  <c r="N3659" i="1"/>
  <c r="J3660" i="1"/>
  <c r="X3658" i="1"/>
  <c r="W3658" i="1"/>
  <c r="U3658" i="1"/>
  <c r="P3658" i="1"/>
  <c r="B3658" i="1" s="1"/>
  <c r="L3658" i="1"/>
  <c r="N3658" i="1" s="1"/>
  <c r="X3657" i="1"/>
  <c r="W3657" i="1"/>
  <c r="V3657" i="1"/>
  <c r="U3657" i="1"/>
  <c r="N3657" i="1"/>
  <c r="X3656" i="1"/>
  <c r="W3656" i="1"/>
  <c r="V3656" i="1"/>
  <c r="U3656" i="1"/>
  <c r="N3656" i="1"/>
  <c r="R3658" i="1" l="1"/>
  <c r="V3658" i="1"/>
  <c r="L3660" i="1"/>
  <c r="N3660" i="1"/>
  <c r="X1280" i="1"/>
  <c r="W1280" i="1"/>
  <c r="V1280" i="1"/>
  <c r="U1280" i="1"/>
  <c r="M1280" i="1"/>
  <c r="K1280" i="1"/>
  <c r="J1280" i="1"/>
  <c r="I1280" i="1"/>
  <c r="H1280" i="1"/>
  <c r="X1279" i="1"/>
  <c r="W1279" i="1"/>
  <c r="V1279" i="1"/>
  <c r="U1279" i="1"/>
  <c r="N1279" i="1"/>
  <c r="X1278" i="1"/>
  <c r="W1278" i="1"/>
  <c r="U1278" i="1"/>
  <c r="P1278" i="1"/>
  <c r="B1278" i="1" s="1"/>
  <c r="L1278" i="1"/>
  <c r="L1280" i="1" s="1"/>
  <c r="X1277" i="1"/>
  <c r="W1277" i="1"/>
  <c r="V1277" i="1"/>
  <c r="U1277" i="1"/>
  <c r="N1277" i="1"/>
  <c r="X1276" i="1"/>
  <c r="W1276" i="1"/>
  <c r="V1276" i="1"/>
  <c r="U1276" i="1"/>
  <c r="N1276" i="1"/>
  <c r="R1278" i="1" l="1"/>
  <c r="S1278" i="1"/>
  <c r="N1278" i="1"/>
  <c r="N1280" i="1" s="1"/>
  <c r="V1278" i="1"/>
  <c r="I4627" i="1" l="1"/>
  <c r="X4626" i="1"/>
  <c r="W4626" i="1"/>
  <c r="U4626" i="1"/>
  <c r="P4626" i="1"/>
  <c r="B4626" i="1" s="1"/>
  <c r="L4626" i="1"/>
  <c r="V4626" i="1" s="1"/>
  <c r="N4626" i="1" l="1"/>
  <c r="R4626" i="1"/>
  <c r="S4626" i="1"/>
  <c r="X5651" i="1"/>
  <c r="W5651" i="1"/>
  <c r="U5651" i="1"/>
  <c r="P5651" i="1"/>
  <c r="B5651" i="1" s="1"/>
  <c r="L5651" i="1"/>
  <c r="N5651" i="1" l="1"/>
  <c r="V5651" i="1"/>
  <c r="R5651" i="1"/>
  <c r="H4999" i="1" l="1"/>
  <c r="L4999" i="1" s="1"/>
  <c r="X4999" i="1"/>
  <c r="W4999" i="1"/>
  <c r="U4999" i="1"/>
  <c r="P4999" i="1"/>
  <c r="B4999" i="1" s="1"/>
  <c r="X5861" i="1"/>
  <c r="W5861" i="1"/>
  <c r="U5861" i="1"/>
  <c r="P5861" i="1"/>
  <c r="B5861" i="1" s="1"/>
  <c r="L5861" i="1"/>
  <c r="V5861" i="1" s="1"/>
  <c r="V4999" i="1" l="1"/>
  <c r="R4999" i="1"/>
  <c r="N4999" i="1"/>
  <c r="N5861" i="1"/>
  <c r="R5861" i="1"/>
  <c r="X5767" i="1"/>
  <c r="W5767" i="1"/>
  <c r="U5767" i="1"/>
  <c r="P5767" i="1"/>
  <c r="B5767" i="1" s="1"/>
  <c r="L5767" i="1"/>
  <c r="S5767" i="1" s="1"/>
  <c r="V5767" i="1" l="1"/>
  <c r="N5767" i="1"/>
  <c r="R5767" i="1"/>
  <c r="X875" i="1"/>
  <c r="W875" i="1"/>
  <c r="U875" i="1"/>
  <c r="P875" i="1"/>
  <c r="B875" i="1" s="1"/>
  <c r="L875" i="1"/>
  <c r="S875" i="1" s="1"/>
  <c r="N875" i="1" l="1"/>
  <c r="R875" i="1"/>
  <c r="V875" i="1"/>
  <c r="X5856" i="1" l="1"/>
  <c r="W5856" i="1"/>
  <c r="U5856" i="1"/>
  <c r="P5856" i="1"/>
  <c r="B5856" i="1" s="1"/>
  <c r="L5856" i="1"/>
  <c r="V5856" i="1" s="1"/>
  <c r="X1994" i="1"/>
  <c r="W1994" i="1"/>
  <c r="V1994" i="1"/>
  <c r="U1994" i="1"/>
  <c r="M1994" i="1"/>
  <c r="K1994" i="1"/>
  <c r="J1994" i="1"/>
  <c r="I1994" i="1"/>
  <c r="H1994" i="1"/>
  <c r="X1993" i="1"/>
  <c r="W1993" i="1"/>
  <c r="V1993" i="1"/>
  <c r="U1993" i="1"/>
  <c r="N1993" i="1"/>
  <c r="X1992" i="1"/>
  <c r="W1992" i="1"/>
  <c r="U1992" i="1"/>
  <c r="P1992" i="1"/>
  <c r="B1992" i="1" s="1"/>
  <c r="L1992" i="1"/>
  <c r="L1994" i="1" s="1"/>
  <c r="X1991" i="1"/>
  <c r="W1991" i="1"/>
  <c r="V1991" i="1"/>
  <c r="U1991" i="1"/>
  <c r="N1991" i="1"/>
  <c r="X1990" i="1"/>
  <c r="W1990" i="1"/>
  <c r="V1990" i="1"/>
  <c r="U1990" i="1"/>
  <c r="N1990" i="1"/>
  <c r="X5453" i="1"/>
  <c r="W5453" i="1"/>
  <c r="U5453" i="1"/>
  <c r="P5453" i="1"/>
  <c r="B5453" i="1" s="1"/>
  <c r="L5453" i="1"/>
  <c r="V5453" i="1" s="1"/>
  <c r="N5856" i="1" l="1"/>
  <c r="R5856" i="1"/>
  <c r="N1992" i="1"/>
  <c r="N1994" i="1" s="1"/>
  <c r="R1992" i="1"/>
  <c r="V1992" i="1"/>
  <c r="S5453" i="1"/>
  <c r="N5453" i="1"/>
  <c r="R5453" i="1"/>
  <c r="X1800" i="1" l="1"/>
  <c r="W1800" i="1"/>
  <c r="U1800" i="1"/>
  <c r="P1800" i="1"/>
  <c r="B1800" i="1" s="1"/>
  <c r="L1800" i="1"/>
  <c r="R1800" i="1" s="1"/>
  <c r="N1800" i="1" l="1"/>
  <c r="S1800" i="1"/>
  <c r="V1800" i="1"/>
  <c r="X4383" i="1"/>
  <c r="W4383" i="1"/>
  <c r="U4383" i="1"/>
  <c r="P4383" i="1"/>
  <c r="B4383" i="1" s="1"/>
  <c r="L4383" i="1"/>
  <c r="S4383" i="1" s="1"/>
  <c r="V4383" i="1" l="1"/>
  <c r="N4383" i="1"/>
  <c r="R4383" i="1"/>
  <c r="X5352" i="1"/>
  <c r="W5352" i="1"/>
  <c r="V5352" i="1"/>
  <c r="U5352" i="1"/>
  <c r="M5352" i="1"/>
  <c r="K5352" i="1"/>
  <c r="J5352" i="1"/>
  <c r="I5352" i="1"/>
  <c r="H5352" i="1"/>
  <c r="X5351" i="1"/>
  <c r="W5351" i="1"/>
  <c r="V5351" i="1"/>
  <c r="U5351" i="1"/>
  <c r="N5351" i="1"/>
  <c r="X5350" i="1"/>
  <c r="W5350" i="1"/>
  <c r="U5350" i="1"/>
  <c r="P5350" i="1"/>
  <c r="B5350" i="1" s="1"/>
  <c r="L5350" i="1"/>
  <c r="X5349" i="1"/>
  <c r="W5349" i="1"/>
  <c r="V5349" i="1"/>
  <c r="U5349" i="1"/>
  <c r="N5349" i="1"/>
  <c r="X5348" i="1"/>
  <c r="W5348" i="1"/>
  <c r="V5348" i="1"/>
  <c r="U5348" i="1"/>
  <c r="N5348" i="1"/>
  <c r="X5367" i="1"/>
  <c r="W5367" i="1"/>
  <c r="U5367" i="1"/>
  <c r="P5367" i="1"/>
  <c r="B5367" i="1" s="1"/>
  <c r="L5367" i="1"/>
  <c r="V5350" i="1" l="1"/>
  <c r="S5350" i="1"/>
  <c r="N5367" i="1"/>
  <c r="S5367" i="1"/>
  <c r="N5350" i="1"/>
  <c r="N5352" i="1" s="1"/>
  <c r="R5350" i="1"/>
  <c r="L5352" i="1"/>
  <c r="V5367" i="1"/>
  <c r="R5367" i="1"/>
  <c r="X830" i="1"/>
  <c r="W830" i="1"/>
  <c r="U830" i="1"/>
  <c r="P830" i="1"/>
  <c r="B830" i="1" s="1"/>
  <c r="L830" i="1"/>
  <c r="J4142" i="1"/>
  <c r="V830" i="1" l="1"/>
  <c r="S830" i="1"/>
  <c r="N830" i="1"/>
  <c r="R830" i="1"/>
  <c r="X4142" i="1"/>
  <c r="W4142" i="1"/>
  <c r="U4142" i="1"/>
  <c r="P4142" i="1"/>
  <c r="B4142" i="1" s="1"/>
  <c r="L4142" i="1"/>
  <c r="V4142" i="1" l="1"/>
  <c r="S4142" i="1"/>
  <c r="N4142" i="1"/>
  <c r="R4142" i="1"/>
  <c r="I4890" i="1" l="1"/>
  <c r="X4107" i="1" l="1"/>
  <c r="W4107" i="1"/>
  <c r="U4107" i="1"/>
  <c r="P4107" i="1"/>
  <c r="B4107" i="1" s="1"/>
  <c r="L4107" i="1"/>
  <c r="V4107" i="1" s="1"/>
  <c r="J3799" i="1"/>
  <c r="I3799" i="1"/>
  <c r="N4107" i="1" l="1"/>
  <c r="S4107" i="1"/>
  <c r="R4107" i="1"/>
  <c r="X3799" i="1"/>
  <c r="W3799" i="1"/>
  <c r="U3799" i="1"/>
  <c r="P3799" i="1"/>
  <c r="B3799" i="1" s="1"/>
  <c r="L3799" i="1"/>
  <c r="X4890" i="1"/>
  <c r="W4890" i="1"/>
  <c r="U4890" i="1"/>
  <c r="P4890" i="1"/>
  <c r="B4890" i="1" s="1"/>
  <c r="L4890" i="1"/>
  <c r="S4890" i="1" s="1"/>
  <c r="X856" i="1"/>
  <c r="W856" i="1"/>
  <c r="U856" i="1"/>
  <c r="P856" i="1"/>
  <c r="B856" i="1" s="1"/>
  <c r="L856" i="1"/>
  <c r="X4960" i="1"/>
  <c r="W4960" i="1"/>
  <c r="U4960" i="1"/>
  <c r="P4960" i="1"/>
  <c r="B4960" i="1" s="1"/>
  <c r="L4960" i="1"/>
  <c r="V856" i="1" l="1"/>
  <c r="S856" i="1"/>
  <c r="R4960" i="1"/>
  <c r="S4960" i="1"/>
  <c r="V3799" i="1"/>
  <c r="S3799" i="1"/>
  <c r="N3799" i="1"/>
  <c r="R3799" i="1"/>
  <c r="V4890" i="1"/>
  <c r="R4890" i="1"/>
  <c r="N4890" i="1"/>
  <c r="N856" i="1"/>
  <c r="R856" i="1"/>
  <c r="V4960" i="1"/>
  <c r="N4960" i="1"/>
  <c r="X1912" i="1"/>
  <c r="W1912" i="1"/>
  <c r="V1912" i="1"/>
  <c r="U1912" i="1"/>
  <c r="M1912" i="1"/>
  <c r="K1912" i="1"/>
  <c r="J1912" i="1"/>
  <c r="I1912" i="1"/>
  <c r="H1912" i="1"/>
  <c r="X1911" i="1"/>
  <c r="W1911" i="1"/>
  <c r="V1911" i="1"/>
  <c r="U1911" i="1"/>
  <c r="N1911" i="1"/>
  <c r="X1910" i="1"/>
  <c r="W1910" i="1"/>
  <c r="U1910" i="1"/>
  <c r="P1910" i="1"/>
  <c r="B1910" i="1" s="1"/>
  <c r="L1910" i="1"/>
  <c r="X1909" i="1"/>
  <c r="W1909" i="1"/>
  <c r="V1909" i="1"/>
  <c r="U1909" i="1"/>
  <c r="N1909" i="1"/>
  <c r="X1908" i="1"/>
  <c r="W1908" i="1"/>
  <c r="V1908" i="1"/>
  <c r="U1908" i="1"/>
  <c r="N1908" i="1"/>
  <c r="X4606" i="1"/>
  <c r="W4606" i="1"/>
  <c r="U4606" i="1"/>
  <c r="P4606" i="1"/>
  <c r="B4606" i="1" s="1"/>
  <c r="L4606" i="1"/>
  <c r="S4606" i="1" s="1"/>
  <c r="X4064" i="1"/>
  <c r="W4064" i="1"/>
  <c r="U4064" i="1"/>
  <c r="P4064" i="1"/>
  <c r="B4064" i="1" s="1"/>
  <c r="L4064" i="1"/>
  <c r="L1912" i="1" l="1"/>
  <c r="S1910" i="1"/>
  <c r="V4064" i="1"/>
  <c r="S4064" i="1"/>
  <c r="N1910" i="1"/>
  <c r="N1912" i="1" s="1"/>
  <c r="R1910" i="1"/>
  <c r="V1910" i="1"/>
  <c r="R4606" i="1"/>
  <c r="N4606" i="1"/>
  <c r="V4606" i="1"/>
  <c r="N4064" i="1"/>
  <c r="R4064" i="1"/>
  <c r="X716" i="1" l="1"/>
  <c r="W716" i="1"/>
  <c r="U716" i="1"/>
  <c r="P716" i="1"/>
  <c r="B716" i="1" s="1"/>
  <c r="L716" i="1"/>
  <c r="V716" i="1" l="1"/>
  <c r="S716" i="1"/>
  <c r="N716" i="1"/>
  <c r="R716" i="1"/>
  <c r="X799" i="1"/>
  <c r="W799" i="1"/>
  <c r="U799" i="1"/>
  <c r="P799" i="1"/>
  <c r="B799" i="1" s="1"/>
  <c r="L799" i="1"/>
  <c r="X1355" i="1"/>
  <c r="W1355" i="1"/>
  <c r="U1355" i="1"/>
  <c r="P1355" i="1"/>
  <c r="B1355" i="1" s="1"/>
  <c r="L1355" i="1"/>
  <c r="J5860" i="1"/>
  <c r="L5860" i="1" s="1"/>
  <c r="X5860" i="1"/>
  <c r="W5860" i="1"/>
  <c r="U5860" i="1"/>
  <c r="P5860" i="1"/>
  <c r="B5860" i="1" s="1"/>
  <c r="V799" i="1" l="1"/>
  <c r="S799" i="1"/>
  <c r="R5860" i="1"/>
  <c r="S5860" i="1"/>
  <c r="V1355" i="1"/>
  <c r="S1355" i="1"/>
  <c r="N799" i="1"/>
  <c r="R799" i="1"/>
  <c r="N1355" i="1"/>
  <c r="R1355" i="1"/>
  <c r="V5860" i="1"/>
  <c r="N5860" i="1"/>
  <c r="X1637" i="1"/>
  <c r="W1637" i="1"/>
  <c r="U1637" i="1"/>
  <c r="P1637" i="1"/>
  <c r="B1637" i="1" s="1"/>
  <c r="L1637" i="1"/>
  <c r="V1637" i="1" l="1"/>
  <c r="S1637" i="1"/>
  <c r="N1637" i="1"/>
  <c r="R1637" i="1"/>
  <c r="X4609" i="1"/>
  <c r="W4609" i="1"/>
  <c r="U4609" i="1"/>
  <c r="P4609" i="1"/>
  <c r="B4609" i="1" s="1"/>
  <c r="L4609" i="1"/>
  <c r="V4609" i="1" l="1"/>
  <c r="S4609" i="1"/>
  <c r="N4609" i="1"/>
  <c r="R4609" i="1"/>
  <c r="X6362" i="1"/>
  <c r="W6362" i="1"/>
  <c r="U6362" i="1"/>
  <c r="P6362" i="1"/>
  <c r="B6362" i="1" s="1"/>
  <c r="L6362" i="1"/>
  <c r="V6362" i="1" l="1"/>
  <c r="S6362" i="1"/>
  <c r="N6362" i="1"/>
  <c r="R6362" i="1"/>
  <c r="X6482" i="1" l="1"/>
  <c r="W6482" i="1"/>
  <c r="U6482" i="1"/>
  <c r="P6482" i="1"/>
  <c r="B6482" i="1" s="1"/>
  <c r="L6482" i="1"/>
  <c r="X3958" i="1"/>
  <c r="W3958" i="1"/>
  <c r="U3958" i="1"/>
  <c r="P3958" i="1"/>
  <c r="B3958" i="1" s="1"/>
  <c r="L3958" i="1"/>
  <c r="V3958" i="1" l="1"/>
  <c r="S3958" i="1"/>
  <c r="V6482" i="1"/>
  <c r="S6482" i="1"/>
  <c r="N6482" i="1"/>
  <c r="R6482" i="1"/>
  <c r="N3958" i="1"/>
  <c r="R3958" i="1"/>
  <c r="X5834" i="1" l="1"/>
  <c r="W5834" i="1"/>
  <c r="U5834" i="1"/>
  <c r="P5834" i="1"/>
  <c r="B5834" i="1" s="1"/>
  <c r="L5834" i="1"/>
  <c r="X2691" i="1"/>
  <c r="W2691" i="1"/>
  <c r="U2691" i="1"/>
  <c r="P2691" i="1"/>
  <c r="B2691" i="1" s="1"/>
  <c r="L2691" i="1"/>
  <c r="X6743" i="1"/>
  <c r="W6743" i="1"/>
  <c r="U6743" i="1"/>
  <c r="P6743" i="1"/>
  <c r="B6743" i="1" s="1"/>
  <c r="L6743" i="1"/>
  <c r="X6122" i="1"/>
  <c r="W6122" i="1"/>
  <c r="U6122" i="1"/>
  <c r="P6122" i="1"/>
  <c r="B6122" i="1" s="1"/>
  <c r="L6122" i="1"/>
  <c r="X6123" i="1"/>
  <c r="W6123" i="1"/>
  <c r="U6123" i="1"/>
  <c r="P6123" i="1"/>
  <c r="B6123" i="1" s="1"/>
  <c r="L6123" i="1"/>
  <c r="N6122" i="1" l="1"/>
  <c r="S6122" i="1"/>
  <c r="V2691" i="1"/>
  <c r="S2691" i="1"/>
  <c r="V5834" i="1"/>
  <c r="S5834" i="1"/>
  <c r="V6743" i="1"/>
  <c r="S6743" i="1"/>
  <c r="V6123" i="1"/>
  <c r="S6123" i="1"/>
  <c r="N5834" i="1"/>
  <c r="R5834" i="1"/>
  <c r="N2691" i="1"/>
  <c r="R2691" i="1"/>
  <c r="N6743" i="1"/>
  <c r="R6743" i="1"/>
  <c r="V6122" i="1"/>
  <c r="R6122" i="1"/>
  <c r="N6123" i="1"/>
  <c r="R6123" i="1"/>
  <c r="X3711" i="1" l="1"/>
  <c r="W3711" i="1"/>
  <c r="V3711" i="1"/>
  <c r="U3711" i="1"/>
  <c r="M3711" i="1"/>
  <c r="K3711" i="1"/>
  <c r="J3711" i="1"/>
  <c r="I3711" i="1"/>
  <c r="H3711" i="1"/>
  <c r="X3710" i="1"/>
  <c r="W3710" i="1"/>
  <c r="V3710" i="1"/>
  <c r="U3710" i="1"/>
  <c r="N3710" i="1"/>
  <c r="X3709" i="1"/>
  <c r="W3709" i="1"/>
  <c r="U3709" i="1"/>
  <c r="P3709" i="1"/>
  <c r="B3709" i="1" s="1"/>
  <c r="L3709" i="1"/>
  <c r="X3708" i="1"/>
  <c r="W3708" i="1"/>
  <c r="V3708" i="1"/>
  <c r="U3708" i="1"/>
  <c r="N3708" i="1"/>
  <c r="X3707" i="1"/>
  <c r="W3707" i="1"/>
  <c r="V3707" i="1"/>
  <c r="U3707" i="1"/>
  <c r="N3707" i="1"/>
  <c r="L3711" i="1" l="1"/>
  <c r="S3709" i="1"/>
  <c r="V3709" i="1"/>
  <c r="N3709" i="1"/>
  <c r="N3711" i="1" s="1"/>
  <c r="R3709" i="1"/>
  <c r="X6451" i="1" l="1"/>
  <c r="W6451" i="1"/>
  <c r="U6451" i="1"/>
  <c r="P6451" i="1"/>
  <c r="B6451" i="1" s="1"/>
  <c r="L6451" i="1"/>
  <c r="S6451" i="1" s="1"/>
  <c r="V6451" i="1" l="1"/>
  <c r="R6451" i="1"/>
  <c r="N6451" i="1"/>
  <c r="X3961" i="1" l="1"/>
  <c r="W3961" i="1"/>
  <c r="U3961" i="1"/>
  <c r="P3961" i="1"/>
  <c r="B3961" i="1" s="1"/>
  <c r="L3961" i="1"/>
  <c r="V3961" i="1" l="1"/>
  <c r="S3961" i="1"/>
  <c r="N3961" i="1"/>
  <c r="R3961" i="1"/>
  <c r="X64" i="1" l="1"/>
  <c r="W64" i="1"/>
  <c r="U64" i="1"/>
  <c r="P64" i="1"/>
  <c r="B64" i="1" s="1"/>
  <c r="L64" i="1"/>
  <c r="V64" i="1" l="1"/>
  <c r="S64" i="1"/>
  <c r="N64" i="1"/>
  <c r="R64" i="1"/>
  <c r="X2699" i="1"/>
  <c r="W2699" i="1"/>
  <c r="U2699" i="1"/>
  <c r="P2699" i="1"/>
  <c r="B2699" i="1" s="1"/>
  <c r="L2699" i="1"/>
  <c r="V2699" i="1" l="1"/>
  <c r="S2699" i="1"/>
  <c r="N2699" i="1"/>
  <c r="R2699" i="1"/>
  <c r="X800" i="1" l="1"/>
  <c r="W800" i="1"/>
  <c r="U800" i="1"/>
  <c r="P800" i="1"/>
  <c r="B800" i="1" s="1"/>
  <c r="L800" i="1"/>
  <c r="S800" i="1" s="1"/>
  <c r="V800" i="1" l="1"/>
  <c r="N800" i="1"/>
  <c r="R800" i="1"/>
  <c r="X6350" i="1" l="1"/>
  <c r="W6350" i="1"/>
  <c r="U6350" i="1"/>
  <c r="P6350" i="1"/>
  <c r="B6350" i="1" s="1"/>
  <c r="L6350" i="1"/>
  <c r="V6350" i="1" l="1"/>
  <c r="S6350" i="1"/>
  <c r="N6350" i="1"/>
  <c r="R6350" i="1"/>
  <c r="S6884" i="1" l="1"/>
  <c r="S6825" i="1"/>
  <c r="S6800" i="1"/>
  <c r="J4888" i="1" l="1"/>
  <c r="J285" i="1"/>
  <c r="X285" i="1" l="1"/>
  <c r="W285" i="1"/>
  <c r="U285" i="1"/>
  <c r="P285" i="1"/>
  <c r="B285" i="1" s="1"/>
  <c r="L285" i="1"/>
  <c r="X4888" i="1"/>
  <c r="W4888" i="1"/>
  <c r="U4888" i="1"/>
  <c r="P4888" i="1"/>
  <c r="B4888" i="1" s="1"/>
  <c r="L4888" i="1"/>
  <c r="S4888" i="1" s="1"/>
  <c r="X4712" i="1"/>
  <c r="W4712" i="1"/>
  <c r="U4712" i="1"/>
  <c r="P4712" i="1"/>
  <c r="B4712" i="1" s="1"/>
  <c r="L4712" i="1"/>
  <c r="V4712" i="1" s="1"/>
  <c r="J478" i="1"/>
  <c r="L478" i="1" s="1"/>
  <c r="X478" i="1"/>
  <c r="W478" i="1"/>
  <c r="U478" i="1"/>
  <c r="P478" i="1"/>
  <c r="B478" i="1" s="1"/>
  <c r="R478" i="1" l="1"/>
  <c r="S478" i="1"/>
  <c r="V285" i="1"/>
  <c r="S285" i="1"/>
  <c r="N4712" i="1"/>
  <c r="N285" i="1"/>
  <c r="R285" i="1"/>
  <c r="V4888" i="1"/>
  <c r="N4888" i="1"/>
  <c r="R4888" i="1"/>
  <c r="R4712" i="1"/>
  <c r="S4712" i="1"/>
  <c r="V478" i="1"/>
  <c r="N478" i="1"/>
  <c r="H5250" i="1"/>
  <c r="L5250" i="1" s="1"/>
  <c r="X5252" i="1"/>
  <c r="W5252" i="1"/>
  <c r="V5252" i="1"/>
  <c r="U5252" i="1"/>
  <c r="M5252" i="1"/>
  <c r="K5252" i="1"/>
  <c r="J5252" i="1"/>
  <c r="I5252" i="1"/>
  <c r="X5251" i="1"/>
  <c r="W5251" i="1"/>
  <c r="V5251" i="1"/>
  <c r="U5251" i="1"/>
  <c r="N5251" i="1"/>
  <c r="X5250" i="1"/>
  <c r="W5250" i="1"/>
  <c r="U5250" i="1"/>
  <c r="P5250" i="1"/>
  <c r="B5250" i="1" s="1"/>
  <c r="X5249" i="1"/>
  <c r="W5249" i="1"/>
  <c r="V5249" i="1"/>
  <c r="U5249" i="1"/>
  <c r="N5249" i="1"/>
  <c r="X5248" i="1"/>
  <c r="W5248" i="1"/>
  <c r="V5248" i="1"/>
  <c r="U5248" i="1"/>
  <c r="N5248" i="1"/>
  <c r="X1275" i="1"/>
  <c r="W1275" i="1"/>
  <c r="V1275" i="1"/>
  <c r="U1275" i="1"/>
  <c r="M1275" i="1"/>
  <c r="K1275" i="1"/>
  <c r="J1275" i="1"/>
  <c r="I1275" i="1"/>
  <c r="H1275" i="1"/>
  <c r="X1274" i="1"/>
  <c r="W1274" i="1"/>
  <c r="V1274" i="1"/>
  <c r="U1274" i="1"/>
  <c r="N1274" i="1"/>
  <c r="X1273" i="1"/>
  <c r="W1273" i="1"/>
  <c r="U1273" i="1"/>
  <c r="P1273" i="1"/>
  <c r="B1273" i="1" s="1"/>
  <c r="L1273" i="1"/>
  <c r="X1272" i="1"/>
  <c r="W1272" i="1"/>
  <c r="V1272" i="1"/>
  <c r="U1272" i="1"/>
  <c r="N1272" i="1"/>
  <c r="X1271" i="1"/>
  <c r="W1271" i="1"/>
  <c r="V1271" i="1"/>
  <c r="U1271" i="1"/>
  <c r="N1271" i="1"/>
  <c r="X3752" i="1"/>
  <c r="W3752" i="1"/>
  <c r="U3752" i="1"/>
  <c r="P3752" i="1"/>
  <c r="B3752" i="1" s="1"/>
  <c r="L3752" i="1"/>
  <c r="X6565" i="1"/>
  <c r="W6565" i="1"/>
  <c r="U6565" i="1"/>
  <c r="P6565" i="1"/>
  <c r="B6565" i="1" s="1"/>
  <c r="L6565" i="1"/>
  <c r="V6565" i="1" s="1"/>
  <c r="J4940" i="1"/>
  <c r="H4940" i="1"/>
  <c r="X4937" i="1"/>
  <c r="W4937" i="1"/>
  <c r="V4937" i="1"/>
  <c r="U4937" i="1"/>
  <c r="M4937" i="1"/>
  <c r="K4937" i="1"/>
  <c r="J4937" i="1"/>
  <c r="I4937" i="1"/>
  <c r="H4937" i="1"/>
  <c r="X4936" i="1"/>
  <c r="W4936" i="1"/>
  <c r="V4936" i="1"/>
  <c r="U4936" i="1"/>
  <c r="N4936" i="1"/>
  <c r="X4935" i="1"/>
  <c r="W4935" i="1"/>
  <c r="U4935" i="1"/>
  <c r="P4935" i="1"/>
  <c r="B4935" i="1" s="1"/>
  <c r="L4935" i="1"/>
  <c r="L4937" i="1" s="1"/>
  <c r="X4934" i="1"/>
  <c r="W4934" i="1"/>
  <c r="V4934" i="1"/>
  <c r="U4934" i="1"/>
  <c r="N4934" i="1"/>
  <c r="X4933" i="1"/>
  <c r="W4933" i="1"/>
  <c r="V4933" i="1"/>
  <c r="U4933" i="1"/>
  <c r="N4933" i="1"/>
  <c r="X4689" i="1"/>
  <c r="W4689" i="1"/>
  <c r="U4689" i="1"/>
  <c r="P4689" i="1"/>
  <c r="B4689" i="1" s="1"/>
  <c r="L4689" i="1"/>
  <c r="X506" i="1"/>
  <c r="W506" i="1"/>
  <c r="U506" i="1"/>
  <c r="P506" i="1"/>
  <c r="B506" i="1" s="1"/>
  <c r="L506" i="1"/>
  <c r="X5342" i="1"/>
  <c r="W5342" i="1"/>
  <c r="U5342" i="1"/>
  <c r="P5342" i="1"/>
  <c r="B5342" i="1" s="1"/>
  <c r="L5342" i="1"/>
  <c r="X5637" i="1"/>
  <c r="W5637" i="1"/>
  <c r="U5637" i="1"/>
  <c r="P5637" i="1"/>
  <c r="B5637" i="1" s="1"/>
  <c r="L5637" i="1"/>
  <c r="X6481" i="1"/>
  <c r="W6481" i="1"/>
  <c r="U6481" i="1"/>
  <c r="P6481" i="1"/>
  <c r="B6481" i="1" s="1"/>
  <c r="L6481" i="1"/>
  <c r="S6481" i="1" s="1"/>
  <c r="X4898" i="1"/>
  <c r="W4898" i="1"/>
  <c r="U4898" i="1"/>
  <c r="P4898" i="1"/>
  <c r="B4898" i="1" s="1"/>
  <c r="L4898" i="1"/>
  <c r="S4898" i="1" s="1"/>
  <c r="X3747" i="1"/>
  <c r="W3747" i="1"/>
  <c r="U3747" i="1"/>
  <c r="P3747" i="1"/>
  <c r="B3747" i="1" s="1"/>
  <c r="L3747" i="1"/>
  <c r="X3998" i="1"/>
  <c r="W3998" i="1"/>
  <c r="U3998" i="1"/>
  <c r="P3998" i="1"/>
  <c r="B3998" i="1" s="1"/>
  <c r="L3998" i="1"/>
  <c r="S3998" i="1" s="1"/>
  <c r="X6801" i="1"/>
  <c r="W6801" i="1"/>
  <c r="V6801" i="1"/>
  <c r="U6801" i="1"/>
  <c r="S6801" i="1"/>
  <c r="R6801" i="1"/>
  <c r="P6801" i="1"/>
  <c r="B6801" i="1" s="1"/>
  <c r="N6801" i="1"/>
  <c r="X79" i="1"/>
  <c r="W79" i="1"/>
  <c r="U79" i="1"/>
  <c r="P79" i="1"/>
  <c r="B79" i="1" s="1"/>
  <c r="L79" i="1"/>
  <c r="X6825" i="1"/>
  <c r="W6825" i="1"/>
  <c r="V6825" i="1"/>
  <c r="U6825" i="1"/>
  <c r="R6825" i="1"/>
  <c r="P6825" i="1"/>
  <c r="B6825" i="1" s="1"/>
  <c r="N6825" i="1"/>
  <c r="X5969" i="1"/>
  <c r="W5969" i="1"/>
  <c r="U5969" i="1"/>
  <c r="P5969" i="1"/>
  <c r="B5969" i="1" s="1"/>
  <c r="L5969" i="1"/>
  <c r="X2020" i="1"/>
  <c r="W2020" i="1"/>
  <c r="U2020" i="1"/>
  <c r="P2020" i="1"/>
  <c r="B2020" i="1" s="1"/>
  <c r="L2020" i="1"/>
  <c r="X261" i="1"/>
  <c r="W261" i="1"/>
  <c r="U261" i="1"/>
  <c r="P261" i="1"/>
  <c r="B261" i="1" s="1"/>
  <c r="L261" i="1"/>
  <c r="X5940" i="1"/>
  <c r="W5940" i="1"/>
  <c r="U5940" i="1"/>
  <c r="P5940" i="1"/>
  <c r="B5940" i="1" s="1"/>
  <c r="L5940" i="1"/>
  <c r="S5940" i="1" s="1"/>
  <c r="R955" i="1"/>
  <c r="S955" i="1"/>
  <c r="R1544" i="1"/>
  <c r="S1544" i="1"/>
  <c r="R4571" i="1"/>
  <c r="S4571" i="1"/>
  <c r="R6800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R6885" i="1"/>
  <c r="S6885" i="1"/>
  <c r="R6886" i="1"/>
  <c r="S6886" i="1"/>
  <c r="X1880" i="1"/>
  <c r="W1880" i="1"/>
  <c r="U1880" i="1"/>
  <c r="P1880" i="1"/>
  <c r="B1880" i="1" s="1"/>
  <c r="L1880" i="1"/>
  <c r="S1880" i="1" s="1"/>
  <c r="X5334" i="1"/>
  <c r="W5334" i="1"/>
  <c r="U5334" i="1"/>
  <c r="P5334" i="1"/>
  <c r="B5334" i="1" s="1"/>
  <c r="L5334" i="1"/>
  <c r="S5334" i="1" s="1"/>
  <c r="N5969" i="1" l="1"/>
  <c r="S5969" i="1"/>
  <c r="V79" i="1"/>
  <c r="S79" i="1"/>
  <c r="V4689" i="1"/>
  <c r="S4689" i="1"/>
  <c r="V5342" i="1"/>
  <c r="S5342" i="1"/>
  <c r="R261" i="1"/>
  <c r="S261" i="1"/>
  <c r="V3752" i="1"/>
  <c r="S3752" i="1"/>
  <c r="R3747" i="1"/>
  <c r="S3747" i="1"/>
  <c r="L5252" i="1"/>
  <c r="S5250" i="1"/>
  <c r="V5637" i="1"/>
  <c r="S5637" i="1"/>
  <c r="V2020" i="1"/>
  <c r="S2020" i="1"/>
  <c r="V506" i="1"/>
  <c r="S506" i="1"/>
  <c r="L1275" i="1"/>
  <c r="S1273" i="1"/>
  <c r="H5252" i="1"/>
  <c r="V5250" i="1"/>
  <c r="N5250" i="1"/>
  <c r="N5252" i="1" s="1"/>
  <c r="R5250" i="1"/>
  <c r="N1273" i="1"/>
  <c r="N1275" i="1" s="1"/>
  <c r="R1273" i="1"/>
  <c r="V1273" i="1"/>
  <c r="S6565" i="1"/>
  <c r="N3752" i="1"/>
  <c r="N6565" i="1"/>
  <c r="R3752" i="1"/>
  <c r="R6565" i="1"/>
  <c r="V4935" i="1"/>
  <c r="N4935" i="1"/>
  <c r="N4937" i="1" s="1"/>
  <c r="R4935" i="1"/>
  <c r="S4935" i="1"/>
  <c r="N4689" i="1"/>
  <c r="R4689" i="1"/>
  <c r="N506" i="1"/>
  <c r="R506" i="1"/>
  <c r="N5342" i="1"/>
  <c r="R5342" i="1"/>
  <c r="N5637" i="1"/>
  <c r="R5637" i="1"/>
  <c r="V6481" i="1"/>
  <c r="N6481" i="1"/>
  <c r="R6481" i="1"/>
  <c r="V4898" i="1"/>
  <c r="R4898" i="1"/>
  <c r="N4898" i="1"/>
  <c r="V3747" i="1"/>
  <c r="N3747" i="1"/>
  <c r="V3998" i="1"/>
  <c r="R3998" i="1"/>
  <c r="N3998" i="1"/>
  <c r="N79" i="1"/>
  <c r="R79" i="1"/>
  <c r="V261" i="1"/>
  <c r="R5969" i="1"/>
  <c r="V5969" i="1"/>
  <c r="N2020" i="1"/>
  <c r="R2020" i="1"/>
  <c r="N261" i="1"/>
  <c r="N5940" i="1"/>
  <c r="V5940" i="1"/>
  <c r="V1880" i="1"/>
  <c r="N1880" i="1"/>
  <c r="V5334" i="1"/>
  <c r="N5334" i="1"/>
  <c r="X1493" i="1"/>
  <c r="W1493" i="1"/>
  <c r="U1493" i="1"/>
  <c r="P1493" i="1"/>
  <c r="B1493" i="1" s="1"/>
  <c r="L1493" i="1"/>
  <c r="X6884" i="1"/>
  <c r="W6884" i="1"/>
  <c r="V6884" i="1"/>
  <c r="U6884" i="1"/>
  <c r="P6884" i="1"/>
  <c r="B6884" i="1" s="1"/>
  <c r="N6884" i="1"/>
  <c r="X4016" i="1"/>
  <c r="W4016" i="1"/>
  <c r="U4016" i="1"/>
  <c r="P4016" i="1"/>
  <c r="B4016" i="1" s="1"/>
  <c r="L4016" i="1"/>
  <c r="S4016" i="1" s="1"/>
  <c r="X6583" i="1"/>
  <c r="W6583" i="1"/>
  <c r="P6583" i="1"/>
  <c r="B6583" i="1" s="1"/>
  <c r="L6583" i="1"/>
  <c r="X2328" i="1"/>
  <c r="W2328" i="1"/>
  <c r="U2328" i="1"/>
  <c r="P2328" i="1"/>
  <c r="B2328" i="1" s="1"/>
  <c r="L2328" i="1"/>
  <c r="X438" i="1"/>
  <c r="W438" i="1"/>
  <c r="U438" i="1"/>
  <c r="P438" i="1"/>
  <c r="B438" i="1" s="1"/>
  <c r="L438" i="1"/>
  <c r="V438" i="1" s="1"/>
  <c r="X5683" i="1"/>
  <c r="W5683" i="1"/>
  <c r="U5683" i="1"/>
  <c r="P5683" i="1"/>
  <c r="B5683" i="1" s="1"/>
  <c r="L5683" i="1"/>
  <c r="X6778" i="1"/>
  <c r="W6778" i="1"/>
  <c r="U6778" i="1"/>
  <c r="P6778" i="1"/>
  <c r="B6778" i="1" s="1"/>
  <c r="L6778" i="1"/>
  <c r="X6777" i="1"/>
  <c r="W6777" i="1"/>
  <c r="U6777" i="1"/>
  <c r="P6777" i="1"/>
  <c r="B6777" i="1" s="1"/>
  <c r="L6777" i="1"/>
  <c r="V6777" i="1" s="1"/>
  <c r="X6662" i="1"/>
  <c r="W6662" i="1"/>
  <c r="U6662" i="1"/>
  <c r="P6662" i="1"/>
  <c r="B6662" i="1" s="1"/>
  <c r="L6662" i="1"/>
  <c r="X4372" i="1"/>
  <c r="W4372" i="1"/>
  <c r="V4372" i="1"/>
  <c r="U4372" i="1"/>
  <c r="M4372" i="1"/>
  <c r="K4372" i="1"/>
  <c r="J4372" i="1"/>
  <c r="I4372" i="1"/>
  <c r="H4372" i="1"/>
  <c r="X4371" i="1"/>
  <c r="W4371" i="1"/>
  <c r="V4371" i="1"/>
  <c r="U4371" i="1"/>
  <c r="N4371" i="1"/>
  <c r="X4370" i="1"/>
  <c r="W4370" i="1"/>
  <c r="U4370" i="1"/>
  <c r="P4370" i="1"/>
  <c r="B4370" i="1" s="1"/>
  <c r="L4370" i="1"/>
  <c r="L4372" i="1" s="1"/>
  <c r="X4369" i="1"/>
  <c r="W4369" i="1"/>
  <c r="V4369" i="1"/>
  <c r="U4369" i="1"/>
  <c r="N4369" i="1"/>
  <c r="X4368" i="1"/>
  <c r="W4368" i="1"/>
  <c r="V4368" i="1"/>
  <c r="U4368" i="1"/>
  <c r="N4368" i="1"/>
  <c r="X4181" i="1"/>
  <c r="W4181" i="1"/>
  <c r="U4181" i="1"/>
  <c r="P4181" i="1"/>
  <c r="B4181" i="1" s="1"/>
  <c r="L4181" i="1"/>
  <c r="X4365" i="1"/>
  <c r="W4365" i="1"/>
  <c r="U4365" i="1"/>
  <c r="P4365" i="1"/>
  <c r="B4365" i="1" s="1"/>
  <c r="L4365" i="1"/>
  <c r="X4343" i="1"/>
  <c r="W4343" i="1"/>
  <c r="U4343" i="1"/>
  <c r="P4343" i="1"/>
  <c r="B4343" i="1" s="1"/>
  <c r="L4343" i="1"/>
  <c r="V4343" i="1" s="1"/>
  <c r="X5690" i="1"/>
  <c r="W5690" i="1"/>
  <c r="V5690" i="1"/>
  <c r="U5690" i="1"/>
  <c r="M5690" i="1"/>
  <c r="K5690" i="1"/>
  <c r="J5690" i="1"/>
  <c r="I5690" i="1"/>
  <c r="H5690" i="1"/>
  <c r="X5689" i="1"/>
  <c r="W5689" i="1"/>
  <c r="V5689" i="1"/>
  <c r="U5689" i="1"/>
  <c r="N5689" i="1"/>
  <c r="X5688" i="1"/>
  <c r="W5688" i="1"/>
  <c r="U5688" i="1"/>
  <c r="P5688" i="1"/>
  <c r="B5688" i="1" s="1"/>
  <c r="L5688" i="1"/>
  <c r="X5687" i="1"/>
  <c r="W5687" i="1"/>
  <c r="V5687" i="1"/>
  <c r="U5687" i="1"/>
  <c r="N5687" i="1"/>
  <c r="X5686" i="1"/>
  <c r="W5686" i="1"/>
  <c r="V5686" i="1"/>
  <c r="U5686" i="1"/>
  <c r="N5686" i="1"/>
  <c r="X1515" i="1"/>
  <c r="W1515" i="1"/>
  <c r="U1515" i="1"/>
  <c r="P1515" i="1"/>
  <c r="B1515" i="1" s="1"/>
  <c r="L1515" i="1"/>
  <c r="X383" i="1"/>
  <c r="W383" i="1"/>
  <c r="U383" i="1"/>
  <c r="P383" i="1"/>
  <c r="B383" i="1" s="1"/>
  <c r="L383" i="1"/>
  <c r="X1469" i="1"/>
  <c r="W1469" i="1"/>
  <c r="U1469" i="1"/>
  <c r="P1469" i="1"/>
  <c r="B1469" i="1" s="1"/>
  <c r="L1469" i="1"/>
  <c r="X1501" i="1"/>
  <c r="W1501" i="1"/>
  <c r="U1501" i="1"/>
  <c r="P1501" i="1"/>
  <c r="B1501" i="1" s="1"/>
  <c r="L1501" i="1"/>
  <c r="X143" i="1"/>
  <c r="W143" i="1"/>
  <c r="U143" i="1"/>
  <c r="P143" i="1"/>
  <c r="B143" i="1" s="1"/>
  <c r="L143" i="1"/>
  <c r="X262" i="1"/>
  <c r="W262" i="1"/>
  <c r="U262" i="1"/>
  <c r="P262" i="1"/>
  <c r="B262" i="1" s="1"/>
  <c r="L262" i="1"/>
  <c r="X6834" i="1"/>
  <c r="W6834" i="1"/>
  <c r="V6834" i="1"/>
  <c r="U6834" i="1"/>
  <c r="P6834" i="1"/>
  <c r="B6834" i="1" s="1"/>
  <c r="N6834" i="1"/>
  <c r="X5756" i="1"/>
  <c r="W5756" i="1"/>
  <c r="U5756" i="1"/>
  <c r="P5756" i="1"/>
  <c r="B5756" i="1" s="1"/>
  <c r="L5756" i="1"/>
  <c r="X6820" i="1"/>
  <c r="W6820" i="1"/>
  <c r="V6820" i="1"/>
  <c r="U6820" i="1"/>
  <c r="P6820" i="1"/>
  <c r="B6820" i="1" s="1"/>
  <c r="N6820" i="1"/>
  <c r="X4149" i="1"/>
  <c r="W4149" i="1"/>
  <c r="U4149" i="1"/>
  <c r="P4149" i="1"/>
  <c r="B4149" i="1" s="1"/>
  <c r="L4149" i="1"/>
  <c r="N5683" i="1" l="1"/>
  <c r="S5683" i="1"/>
  <c r="V6583" i="1"/>
  <c r="S6583" i="1"/>
  <c r="V1493" i="1"/>
  <c r="S1493" i="1"/>
  <c r="V6778" i="1"/>
  <c r="S6778" i="1"/>
  <c r="V4016" i="1"/>
  <c r="R4149" i="1"/>
  <c r="S4149" i="1"/>
  <c r="S5756" i="1"/>
  <c r="R5756" i="1"/>
  <c r="R1515" i="1"/>
  <c r="S1515" i="1"/>
  <c r="R1469" i="1"/>
  <c r="S1469" i="1"/>
  <c r="R5688" i="1"/>
  <c r="S5688" i="1"/>
  <c r="R4365" i="1"/>
  <c r="S4365" i="1"/>
  <c r="R143" i="1"/>
  <c r="S143" i="1"/>
  <c r="R6662" i="1"/>
  <c r="S6662" i="1"/>
  <c r="R2328" i="1"/>
  <c r="S2328" i="1"/>
  <c r="R383" i="1"/>
  <c r="S383" i="1"/>
  <c r="R1501" i="1"/>
  <c r="S1501" i="1"/>
  <c r="R262" i="1"/>
  <c r="S262" i="1"/>
  <c r="V4149" i="1"/>
  <c r="V1469" i="1"/>
  <c r="V4365" i="1"/>
  <c r="V383" i="1"/>
  <c r="V2328" i="1"/>
  <c r="V5756" i="1"/>
  <c r="N5688" i="1"/>
  <c r="N5690" i="1" s="1"/>
  <c r="V1501" i="1"/>
  <c r="V262" i="1"/>
  <c r="N1493" i="1"/>
  <c r="N4016" i="1"/>
  <c r="N6583" i="1"/>
  <c r="N2328" i="1"/>
  <c r="N438" i="1"/>
  <c r="V5683" i="1"/>
  <c r="N6778" i="1"/>
  <c r="N6777" i="1"/>
  <c r="V6662" i="1"/>
  <c r="N6662" i="1"/>
  <c r="N4370" i="1"/>
  <c r="N4372" i="1" s="1"/>
  <c r="V4370" i="1"/>
  <c r="V4181" i="1"/>
  <c r="N4181" i="1"/>
  <c r="N4365" i="1"/>
  <c r="N4343" i="1"/>
  <c r="V5688" i="1"/>
  <c r="L5690" i="1"/>
  <c r="N1515" i="1"/>
  <c r="V1515" i="1"/>
  <c r="N383" i="1"/>
  <c r="N1469" i="1"/>
  <c r="N1501" i="1"/>
  <c r="V143" i="1"/>
  <c r="N143" i="1"/>
  <c r="N262" i="1"/>
  <c r="N5756" i="1"/>
  <c r="N4149" i="1"/>
  <c r="X4239" i="1"/>
  <c r="W4239" i="1"/>
  <c r="U4239" i="1"/>
  <c r="P4239" i="1"/>
  <c r="B4239" i="1" s="1"/>
  <c r="L4239" i="1"/>
  <c r="X4240" i="1"/>
  <c r="W4240" i="1"/>
  <c r="U4240" i="1"/>
  <c r="P4240" i="1"/>
  <c r="B4240" i="1" s="1"/>
  <c r="L4240" i="1"/>
  <c r="X787" i="1"/>
  <c r="W787" i="1"/>
  <c r="U787" i="1"/>
  <c r="P787" i="1"/>
  <c r="B787" i="1" s="1"/>
  <c r="L787" i="1"/>
  <c r="X1516" i="1"/>
  <c r="W1516" i="1"/>
  <c r="U1516" i="1"/>
  <c r="P1516" i="1"/>
  <c r="B1516" i="1" s="1"/>
  <c r="L1516" i="1"/>
  <c r="R4240" i="1" l="1"/>
  <c r="S4240" i="1"/>
  <c r="R1516" i="1"/>
  <c r="S1516" i="1"/>
  <c r="R4239" i="1"/>
  <c r="S4239" i="1"/>
  <c r="R787" i="1"/>
  <c r="S787" i="1"/>
  <c r="V1516" i="1"/>
  <c r="V787" i="1"/>
  <c r="V4240" i="1"/>
  <c r="V4239" i="1"/>
  <c r="N4239" i="1"/>
  <c r="N4240" i="1"/>
  <c r="N787" i="1"/>
  <c r="N1516" i="1"/>
  <c r="X6814" i="1"/>
  <c r="W6814" i="1"/>
  <c r="V6814" i="1"/>
  <c r="U6814" i="1"/>
  <c r="P6814" i="1"/>
  <c r="B6814" i="1" s="1"/>
  <c r="N6814" i="1"/>
  <c r="J3774" i="1"/>
  <c r="J371" i="1"/>
  <c r="L371" i="1" s="1"/>
  <c r="X370" i="1"/>
  <c r="W370" i="1"/>
  <c r="U370" i="1"/>
  <c r="P370" i="1"/>
  <c r="B370" i="1" s="1"/>
  <c r="L370" i="1"/>
  <c r="X371" i="1"/>
  <c r="W371" i="1"/>
  <c r="U371" i="1"/>
  <c r="P371" i="1"/>
  <c r="B371" i="1" s="1"/>
  <c r="X6833" i="1"/>
  <c r="W6833" i="1"/>
  <c r="V6833" i="1"/>
  <c r="U6833" i="1"/>
  <c r="P6833" i="1"/>
  <c r="B6833" i="1" s="1"/>
  <c r="N6833" i="1"/>
  <c r="X4643" i="1"/>
  <c r="W4643" i="1"/>
  <c r="U4643" i="1"/>
  <c r="P4643" i="1"/>
  <c r="B4643" i="1" s="1"/>
  <c r="L4643" i="1"/>
  <c r="J4902" i="1"/>
  <c r="L4902" i="1" s="1"/>
  <c r="X4902" i="1"/>
  <c r="W4902" i="1"/>
  <c r="U4902" i="1"/>
  <c r="P4902" i="1"/>
  <c r="B4902" i="1" s="1"/>
  <c r="X4183" i="1"/>
  <c r="W4183" i="1"/>
  <c r="U4183" i="1"/>
  <c r="P4183" i="1"/>
  <c r="B4183" i="1" s="1"/>
  <c r="L4183" i="1"/>
  <c r="X6817" i="1"/>
  <c r="W6817" i="1"/>
  <c r="V6817" i="1"/>
  <c r="U6817" i="1"/>
  <c r="P6817" i="1"/>
  <c r="B6817" i="1" s="1"/>
  <c r="N6817" i="1"/>
  <c r="R371" i="1" l="1"/>
  <c r="S371" i="1"/>
  <c r="R4183" i="1"/>
  <c r="S4183" i="1"/>
  <c r="R4902" i="1"/>
  <c r="S4902" i="1"/>
  <c r="R370" i="1"/>
  <c r="S370" i="1"/>
  <c r="R4643" i="1"/>
  <c r="S4643" i="1"/>
  <c r="V4183" i="1"/>
  <c r="N370" i="1"/>
  <c r="V370" i="1"/>
  <c r="V371" i="1"/>
  <c r="N371" i="1"/>
  <c r="V4643" i="1"/>
  <c r="N4643" i="1"/>
  <c r="V4902" i="1"/>
  <c r="N4902" i="1"/>
  <c r="N4183" i="1"/>
  <c r="X6607" i="1"/>
  <c r="W6607" i="1"/>
  <c r="U6607" i="1"/>
  <c r="P6607" i="1"/>
  <c r="B6607" i="1" s="1"/>
  <c r="L6607" i="1"/>
  <c r="X5806" i="1"/>
  <c r="W5806" i="1"/>
  <c r="U5806" i="1"/>
  <c r="P5806" i="1"/>
  <c r="B5806" i="1" s="1"/>
  <c r="L5806" i="1"/>
  <c r="X6642" i="1"/>
  <c r="W6642" i="1"/>
  <c r="U6642" i="1"/>
  <c r="P6642" i="1"/>
  <c r="B6642" i="1" s="1"/>
  <c r="L6642" i="1"/>
  <c r="X5177" i="1"/>
  <c r="W5177" i="1"/>
  <c r="U5177" i="1"/>
  <c r="P5177" i="1"/>
  <c r="B5177" i="1" s="1"/>
  <c r="L5177" i="1"/>
  <c r="R5806" i="1" l="1"/>
  <c r="S5806" i="1"/>
  <c r="R6607" i="1"/>
  <c r="S6607" i="1"/>
  <c r="R6642" i="1"/>
  <c r="S6642" i="1"/>
  <c r="V6607" i="1"/>
  <c r="N6607" i="1"/>
  <c r="V5806" i="1"/>
  <c r="N5806" i="1"/>
  <c r="V6642" i="1"/>
  <c r="N6642" i="1"/>
  <c r="V5177" i="1"/>
  <c r="N5177" i="1"/>
  <c r="X5937" i="1"/>
  <c r="W5937" i="1"/>
  <c r="U5937" i="1"/>
  <c r="P5937" i="1"/>
  <c r="B5937" i="1" s="1"/>
  <c r="L5937" i="1"/>
  <c r="R5937" i="1" l="1"/>
  <c r="S5937" i="1"/>
  <c r="V5937" i="1"/>
  <c r="N5937" i="1"/>
  <c r="X1949" i="1"/>
  <c r="W1949" i="1"/>
  <c r="U1949" i="1"/>
  <c r="P1949" i="1"/>
  <c r="B1949" i="1" s="1"/>
  <c r="L1949" i="1"/>
  <c r="X1634" i="1"/>
  <c r="W1634" i="1"/>
  <c r="U1634" i="1"/>
  <c r="P1634" i="1"/>
  <c r="B1634" i="1" s="1"/>
  <c r="L1634" i="1"/>
  <c r="R1634" i="1" l="1"/>
  <c r="S1634" i="1"/>
  <c r="R1949" i="1"/>
  <c r="S1949" i="1"/>
  <c r="V1634" i="1"/>
  <c r="V1949" i="1"/>
  <c r="N1949" i="1"/>
  <c r="N1634" i="1"/>
  <c r="H6705" i="1"/>
  <c r="L6705" i="1" s="1"/>
  <c r="X6705" i="1"/>
  <c r="W6705" i="1"/>
  <c r="U6705" i="1"/>
  <c r="P6705" i="1"/>
  <c r="B6705" i="1" s="1"/>
  <c r="X260" i="1"/>
  <c r="W260" i="1"/>
  <c r="U260" i="1"/>
  <c r="P260" i="1"/>
  <c r="B260" i="1" s="1"/>
  <c r="L260" i="1"/>
  <c r="X1612" i="1"/>
  <c r="W1612" i="1"/>
  <c r="U1612" i="1"/>
  <c r="P1612" i="1"/>
  <c r="B1612" i="1" s="1"/>
  <c r="L1612" i="1"/>
  <c r="X6067" i="1"/>
  <c r="W6067" i="1"/>
  <c r="U6067" i="1"/>
  <c r="P6067" i="1"/>
  <c r="B6067" i="1" s="1"/>
  <c r="L6067" i="1"/>
  <c r="X793" i="1"/>
  <c r="W793" i="1"/>
  <c r="U793" i="1"/>
  <c r="P793" i="1"/>
  <c r="B793" i="1" s="1"/>
  <c r="L793" i="1"/>
  <c r="J6073" i="1"/>
  <c r="X6824" i="1"/>
  <c r="W6824" i="1"/>
  <c r="V6824" i="1"/>
  <c r="U6824" i="1"/>
  <c r="P6824" i="1"/>
  <c r="B6824" i="1" s="1"/>
  <c r="N6824" i="1"/>
  <c r="X6074" i="1"/>
  <c r="W6074" i="1"/>
  <c r="U6074" i="1"/>
  <c r="P6074" i="1"/>
  <c r="B6074" i="1" s="1"/>
  <c r="J6074" i="1"/>
  <c r="L6074" i="1" s="1"/>
  <c r="X687" i="1"/>
  <c r="W687" i="1"/>
  <c r="U687" i="1"/>
  <c r="P687" i="1"/>
  <c r="B687" i="1" s="1"/>
  <c r="L687" i="1"/>
  <c r="S687" i="1" l="1"/>
  <c r="R687" i="1"/>
  <c r="R1612" i="1"/>
  <c r="S1612" i="1"/>
  <c r="R6074" i="1"/>
  <c r="S6074" i="1"/>
  <c r="R6067" i="1"/>
  <c r="S6067" i="1"/>
  <c r="R793" i="1"/>
  <c r="S793" i="1"/>
  <c r="R260" i="1"/>
  <c r="S260" i="1"/>
  <c r="R6705" i="1"/>
  <c r="S6705" i="1"/>
  <c r="V793" i="1"/>
  <c r="V6705" i="1"/>
  <c r="V260" i="1"/>
  <c r="V1612" i="1"/>
  <c r="N6705" i="1"/>
  <c r="N260" i="1"/>
  <c r="V6067" i="1"/>
  <c r="N1612" i="1"/>
  <c r="N6067" i="1"/>
  <c r="N793" i="1"/>
  <c r="V6074" i="1"/>
  <c r="N6074" i="1"/>
  <c r="V687" i="1"/>
  <c r="N687" i="1"/>
  <c r="X2164" i="1" l="1"/>
  <c r="W2164" i="1"/>
  <c r="U2164" i="1"/>
  <c r="P2164" i="1"/>
  <c r="B2164" i="1" s="1"/>
  <c r="L2164" i="1"/>
  <c r="R2164" i="1" l="1"/>
  <c r="S2164" i="1"/>
  <c r="V2164" i="1"/>
  <c r="N2164" i="1"/>
  <c r="X4023" i="1"/>
  <c r="W4023" i="1"/>
  <c r="V4023" i="1"/>
  <c r="U4023" i="1"/>
  <c r="M4023" i="1"/>
  <c r="K4023" i="1"/>
  <c r="J4023" i="1"/>
  <c r="I4023" i="1"/>
  <c r="H4023" i="1"/>
  <c r="X4022" i="1"/>
  <c r="W4022" i="1"/>
  <c r="V4022" i="1"/>
  <c r="U4022" i="1"/>
  <c r="N4022" i="1"/>
  <c r="X4021" i="1"/>
  <c r="W4021" i="1"/>
  <c r="U4021" i="1"/>
  <c r="P4021" i="1"/>
  <c r="B4021" i="1" s="1"/>
  <c r="L4021" i="1"/>
  <c r="X4020" i="1"/>
  <c r="W4020" i="1"/>
  <c r="V4020" i="1"/>
  <c r="U4020" i="1"/>
  <c r="N4020" i="1"/>
  <c r="X4019" i="1"/>
  <c r="W4019" i="1"/>
  <c r="V4019" i="1"/>
  <c r="U4019" i="1"/>
  <c r="N4019" i="1"/>
  <c r="X6827" i="1"/>
  <c r="W6827" i="1"/>
  <c r="V6827" i="1"/>
  <c r="U6827" i="1"/>
  <c r="P6827" i="1"/>
  <c r="B6827" i="1" s="1"/>
  <c r="N6827" i="1"/>
  <c r="X3726" i="1"/>
  <c r="W3726" i="1"/>
  <c r="U3726" i="1"/>
  <c r="P3726" i="1"/>
  <c r="B3726" i="1" s="1"/>
  <c r="L3726" i="1"/>
  <c r="X4098" i="1"/>
  <c r="W4098" i="1"/>
  <c r="U4098" i="1"/>
  <c r="P4098" i="1"/>
  <c r="B4098" i="1" s="1"/>
  <c r="L4098" i="1"/>
  <c r="X6060" i="1"/>
  <c r="W6060" i="1"/>
  <c r="U6060" i="1"/>
  <c r="P6060" i="1"/>
  <c r="B6060" i="1" s="1"/>
  <c r="L6060" i="1"/>
  <c r="X6846" i="1"/>
  <c r="W6846" i="1"/>
  <c r="V6846" i="1"/>
  <c r="U6846" i="1"/>
  <c r="P6846" i="1"/>
  <c r="B6846" i="1" s="1"/>
  <c r="N6846" i="1"/>
  <c r="R4021" i="1" l="1"/>
  <c r="S4021" i="1"/>
  <c r="R3726" i="1"/>
  <c r="S3726" i="1"/>
  <c r="R6060" i="1"/>
  <c r="S6060" i="1"/>
  <c r="R4098" i="1"/>
  <c r="S4098" i="1"/>
  <c r="V6060" i="1"/>
  <c r="L4023" i="1"/>
  <c r="V4098" i="1"/>
  <c r="N4021" i="1"/>
  <c r="N4023" i="1" s="1"/>
  <c r="V4021" i="1"/>
  <c r="V3726" i="1"/>
  <c r="N3726" i="1"/>
  <c r="N4098" i="1"/>
  <c r="N6060" i="1"/>
  <c r="X817" i="1"/>
  <c r="W817" i="1"/>
  <c r="U817" i="1"/>
  <c r="P817" i="1"/>
  <c r="B817" i="1" s="1"/>
  <c r="L817" i="1"/>
  <c r="R817" i="1" l="1"/>
  <c r="S817" i="1"/>
  <c r="V817" i="1"/>
  <c r="N817" i="1"/>
  <c r="X2318" i="1"/>
  <c r="W2318" i="1"/>
  <c r="U2318" i="1"/>
  <c r="P2318" i="1"/>
  <c r="B2318" i="1" s="1"/>
  <c r="L2318" i="1"/>
  <c r="R2318" i="1" l="1"/>
  <c r="S2318" i="1"/>
  <c r="N2318" i="1"/>
  <c r="V2318" i="1"/>
  <c r="I5308" i="1" l="1"/>
  <c r="H5308" i="1"/>
  <c r="X5308" i="1"/>
  <c r="W5308" i="1"/>
  <c r="U5308" i="1"/>
  <c r="P5308" i="1"/>
  <c r="B5308" i="1" s="1"/>
  <c r="X5140" i="1"/>
  <c r="W5140" i="1"/>
  <c r="U5140" i="1"/>
  <c r="P5140" i="1"/>
  <c r="B5140" i="1" s="1"/>
  <c r="L5140" i="1"/>
  <c r="R5140" i="1" l="1"/>
  <c r="S5140" i="1"/>
  <c r="V5140" i="1"/>
  <c r="L5308" i="1"/>
  <c r="N5140" i="1"/>
  <c r="X5771" i="1"/>
  <c r="W5771" i="1"/>
  <c r="U5771" i="1"/>
  <c r="P5771" i="1"/>
  <c r="B5771" i="1" s="1"/>
  <c r="L5771" i="1"/>
  <c r="S5771" i="1" l="1"/>
  <c r="R5771" i="1"/>
  <c r="R5308" i="1"/>
  <c r="S5308" i="1"/>
  <c r="V5308" i="1"/>
  <c r="V5771" i="1"/>
  <c r="N5308" i="1"/>
  <c r="N5771" i="1"/>
  <c r="X1553" i="1"/>
  <c r="W1553" i="1"/>
  <c r="U1553" i="1"/>
  <c r="P1553" i="1"/>
  <c r="B1553" i="1" s="1"/>
  <c r="L1553" i="1"/>
  <c r="R1553" i="1" l="1"/>
  <c r="S1553" i="1"/>
  <c r="V1553" i="1"/>
  <c r="N1553" i="1"/>
  <c r="X4668" i="1"/>
  <c r="W4668" i="1"/>
  <c r="U4668" i="1"/>
  <c r="P4668" i="1"/>
  <c r="B4668" i="1" s="1"/>
  <c r="L4668" i="1"/>
  <c r="X1675" i="1"/>
  <c r="W1675" i="1"/>
  <c r="U1675" i="1"/>
  <c r="P1675" i="1"/>
  <c r="B1675" i="1" s="1"/>
  <c r="L1675" i="1"/>
  <c r="R4668" i="1" l="1"/>
  <c r="S4668" i="1"/>
  <c r="R1675" i="1"/>
  <c r="S1675" i="1"/>
  <c r="V1675" i="1"/>
  <c r="V4668" i="1"/>
  <c r="N4668" i="1"/>
  <c r="N1675" i="1"/>
  <c r="X4667" i="1"/>
  <c r="W4667" i="1"/>
  <c r="U4667" i="1"/>
  <c r="P4667" i="1"/>
  <c r="B4667" i="1" s="1"/>
  <c r="L4667" i="1"/>
  <c r="R4667" i="1" l="1"/>
  <c r="S4667" i="1"/>
  <c r="N4667" i="1"/>
  <c r="V4667" i="1"/>
  <c r="X5447" i="1" l="1"/>
  <c r="W5447" i="1"/>
  <c r="V5447" i="1"/>
  <c r="U5447" i="1"/>
  <c r="M5447" i="1"/>
  <c r="K5447" i="1"/>
  <c r="J5447" i="1"/>
  <c r="I5447" i="1"/>
  <c r="H5447" i="1"/>
  <c r="X5446" i="1"/>
  <c r="W5446" i="1"/>
  <c r="V5446" i="1"/>
  <c r="U5446" i="1"/>
  <c r="N5446" i="1"/>
  <c r="X5445" i="1"/>
  <c r="W5445" i="1"/>
  <c r="U5445" i="1"/>
  <c r="P5445" i="1"/>
  <c r="B5445" i="1" s="1"/>
  <c r="L5445" i="1"/>
  <c r="X5444" i="1"/>
  <c r="W5444" i="1"/>
  <c r="V5444" i="1"/>
  <c r="U5444" i="1"/>
  <c r="N5444" i="1"/>
  <c r="X5443" i="1"/>
  <c r="W5443" i="1"/>
  <c r="V5443" i="1"/>
  <c r="U5443" i="1"/>
  <c r="N5443" i="1"/>
  <c r="X5399" i="1"/>
  <c r="W5399" i="1"/>
  <c r="U5399" i="1"/>
  <c r="P5399" i="1"/>
  <c r="B5399" i="1" s="1"/>
  <c r="L5399" i="1"/>
  <c r="X5398" i="1"/>
  <c r="W5398" i="1"/>
  <c r="U5398" i="1"/>
  <c r="P5398" i="1"/>
  <c r="B5398" i="1" s="1"/>
  <c r="L5398" i="1"/>
  <c r="R5445" i="1" l="1"/>
  <c r="S5445" i="1"/>
  <c r="R5399" i="1"/>
  <c r="S5399" i="1"/>
  <c r="R5398" i="1"/>
  <c r="S5398" i="1"/>
  <c r="V5398" i="1"/>
  <c r="N5399" i="1"/>
  <c r="L5447" i="1"/>
  <c r="V5445" i="1"/>
  <c r="N5445" i="1"/>
  <c r="N5447" i="1" s="1"/>
  <c r="V5399" i="1"/>
  <c r="N5398" i="1"/>
  <c r="X3834" i="1"/>
  <c r="W3834" i="1"/>
  <c r="U3834" i="1"/>
  <c r="P3834" i="1"/>
  <c r="B3834" i="1" s="1"/>
  <c r="L3834" i="1"/>
  <c r="X4263" i="1"/>
  <c r="W4263" i="1"/>
  <c r="U4263" i="1"/>
  <c r="P4263" i="1"/>
  <c r="B4263" i="1" s="1"/>
  <c r="L4263" i="1"/>
  <c r="X4690" i="1"/>
  <c r="W4690" i="1"/>
  <c r="U4690" i="1"/>
  <c r="P4690" i="1"/>
  <c r="B4690" i="1" s="1"/>
  <c r="L4690" i="1"/>
  <c r="X802" i="1"/>
  <c r="W802" i="1"/>
  <c r="U802" i="1"/>
  <c r="P802" i="1"/>
  <c r="B802" i="1" s="1"/>
  <c r="L802" i="1"/>
  <c r="X6026" i="1"/>
  <c r="W6026" i="1"/>
  <c r="U6026" i="1"/>
  <c r="P6026" i="1"/>
  <c r="B6026" i="1" s="1"/>
  <c r="L6026" i="1"/>
  <c r="X6303" i="1"/>
  <c r="W6303" i="1"/>
  <c r="U6303" i="1"/>
  <c r="P6303" i="1"/>
  <c r="B6303" i="1" s="1"/>
  <c r="L6303" i="1"/>
  <c r="X6305" i="1"/>
  <c r="W6305" i="1"/>
  <c r="V6305" i="1"/>
  <c r="U6305" i="1"/>
  <c r="M6305" i="1"/>
  <c r="K6305" i="1"/>
  <c r="J6305" i="1"/>
  <c r="I6305" i="1"/>
  <c r="H6305" i="1"/>
  <c r="X6304" i="1"/>
  <c r="W6304" i="1"/>
  <c r="V6304" i="1"/>
  <c r="U6304" i="1"/>
  <c r="N6304" i="1"/>
  <c r="X6302" i="1"/>
  <c r="W6302" i="1"/>
  <c r="U6302" i="1"/>
  <c r="P6302" i="1"/>
  <c r="B6302" i="1" s="1"/>
  <c r="L6302" i="1"/>
  <c r="X6301" i="1"/>
  <c r="W6301" i="1"/>
  <c r="V6301" i="1"/>
  <c r="U6301" i="1"/>
  <c r="N6301" i="1"/>
  <c r="X6300" i="1"/>
  <c r="W6300" i="1"/>
  <c r="V6300" i="1"/>
  <c r="U6300" i="1"/>
  <c r="N6300" i="1"/>
  <c r="J5866" i="1"/>
  <c r="I5407" i="1"/>
  <c r="L5407" i="1" s="1"/>
  <c r="X5407" i="1"/>
  <c r="W5407" i="1"/>
  <c r="U5407" i="1"/>
  <c r="P5407" i="1"/>
  <c r="B5407" i="1" s="1"/>
  <c r="X365" i="1"/>
  <c r="W365" i="1"/>
  <c r="U365" i="1"/>
  <c r="P365" i="1"/>
  <c r="B365" i="1" s="1"/>
  <c r="L365" i="1"/>
  <c r="R4263" i="1" l="1"/>
  <c r="S4263" i="1"/>
  <c r="S802" i="1"/>
  <c r="R802" i="1"/>
  <c r="R6303" i="1"/>
  <c r="S6303" i="1"/>
  <c r="R3834" i="1"/>
  <c r="S3834" i="1"/>
  <c r="R365" i="1"/>
  <c r="S365" i="1"/>
  <c r="R4690" i="1"/>
  <c r="S4690" i="1"/>
  <c r="S5407" i="1"/>
  <c r="R5407" i="1"/>
  <c r="R6302" i="1"/>
  <c r="S6302" i="1"/>
  <c r="R6026" i="1"/>
  <c r="S6026" i="1"/>
  <c r="V4690" i="1"/>
  <c r="V6026" i="1"/>
  <c r="N6303" i="1"/>
  <c r="V5407" i="1"/>
  <c r="V6302" i="1"/>
  <c r="V3834" i="1"/>
  <c r="N3834" i="1"/>
  <c r="V4263" i="1"/>
  <c r="N4690" i="1"/>
  <c r="N4263" i="1"/>
  <c r="V802" i="1"/>
  <c r="N802" i="1"/>
  <c r="N6026" i="1"/>
  <c r="V6303" i="1"/>
  <c r="N6302" i="1"/>
  <c r="L6305" i="1"/>
  <c r="N5407" i="1"/>
  <c r="V365" i="1"/>
  <c r="N365" i="1"/>
  <c r="X2330" i="1"/>
  <c r="W2330" i="1"/>
  <c r="V2330" i="1"/>
  <c r="U2330" i="1"/>
  <c r="M2330" i="1"/>
  <c r="K2330" i="1"/>
  <c r="J2330" i="1"/>
  <c r="H2330" i="1"/>
  <c r="X2329" i="1"/>
  <c r="W2329" i="1"/>
  <c r="V2329" i="1"/>
  <c r="U2329" i="1"/>
  <c r="N2329" i="1"/>
  <c r="X2327" i="1"/>
  <c r="W2327" i="1"/>
  <c r="U2327" i="1"/>
  <c r="P2327" i="1"/>
  <c r="B2327" i="1" s="1"/>
  <c r="L2327" i="1"/>
  <c r="S2327" i="1" s="1"/>
  <c r="X2326" i="1"/>
  <c r="W2326" i="1"/>
  <c r="V2326" i="1"/>
  <c r="U2326" i="1"/>
  <c r="N2326" i="1"/>
  <c r="X2325" i="1"/>
  <c r="W2325" i="1"/>
  <c r="V2325" i="1"/>
  <c r="U2325" i="1"/>
  <c r="N2325" i="1"/>
  <c r="J3802" i="1"/>
  <c r="I3802" i="1"/>
  <c r="X3802" i="1"/>
  <c r="W3802" i="1"/>
  <c r="U3802" i="1"/>
  <c r="P3802" i="1"/>
  <c r="B3802" i="1" s="1"/>
  <c r="X4294" i="1"/>
  <c r="W4294" i="1"/>
  <c r="U4294" i="1"/>
  <c r="P4294" i="1"/>
  <c r="B4294" i="1" s="1"/>
  <c r="L4294" i="1"/>
  <c r="X1730" i="1"/>
  <c r="W1730" i="1"/>
  <c r="U1730" i="1"/>
  <c r="P1730" i="1"/>
  <c r="B1730" i="1" s="1"/>
  <c r="L1730" i="1"/>
  <c r="X1148" i="1"/>
  <c r="W1148" i="1"/>
  <c r="U1148" i="1"/>
  <c r="P1148" i="1"/>
  <c r="B1148" i="1" s="1"/>
  <c r="L1148" i="1"/>
  <c r="X5654" i="1"/>
  <c r="W5654" i="1"/>
  <c r="U5654" i="1"/>
  <c r="P5654" i="1"/>
  <c r="B5654" i="1" s="1"/>
  <c r="L5654" i="1"/>
  <c r="R1730" i="1" l="1"/>
  <c r="S1730" i="1"/>
  <c r="R4294" i="1"/>
  <c r="S4294" i="1"/>
  <c r="R5654" i="1"/>
  <c r="S5654" i="1"/>
  <c r="R1148" i="1"/>
  <c r="S1148" i="1"/>
  <c r="N6305" i="1"/>
  <c r="V1730" i="1"/>
  <c r="L2330" i="1"/>
  <c r="V4294" i="1"/>
  <c r="V2327" i="1"/>
  <c r="N2327" i="1"/>
  <c r="N2330" i="1" s="1"/>
  <c r="L3802" i="1"/>
  <c r="I2330" i="1"/>
  <c r="V1148" i="1"/>
  <c r="N4294" i="1"/>
  <c r="N1730" i="1"/>
  <c r="N1148" i="1"/>
  <c r="V5654" i="1"/>
  <c r="N5654" i="1"/>
  <c r="X6879" i="1"/>
  <c r="W6879" i="1"/>
  <c r="V6879" i="1"/>
  <c r="U6879" i="1"/>
  <c r="P6879" i="1"/>
  <c r="B6879" i="1" s="1"/>
  <c r="N6879" i="1"/>
  <c r="L6888" i="1"/>
  <c r="J3751" i="1"/>
  <c r="X512" i="1"/>
  <c r="W512" i="1"/>
  <c r="U512" i="1"/>
  <c r="P512" i="1"/>
  <c r="B512" i="1" s="1"/>
  <c r="L512" i="1"/>
  <c r="X5722" i="1"/>
  <c r="W5722" i="1"/>
  <c r="U5722" i="1"/>
  <c r="P5722" i="1"/>
  <c r="B5722" i="1" s="1"/>
  <c r="L5722" i="1"/>
  <c r="X1845" i="1"/>
  <c r="W1845" i="1"/>
  <c r="U1845" i="1"/>
  <c r="P1845" i="1"/>
  <c r="B1845" i="1" s="1"/>
  <c r="L1845" i="1"/>
  <c r="X6866" i="1"/>
  <c r="W6866" i="1"/>
  <c r="V6866" i="1"/>
  <c r="U6866" i="1"/>
  <c r="P6866" i="1"/>
  <c r="B6866" i="1" s="1"/>
  <c r="N6866" i="1"/>
  <c r="S512" i="1" l="1"/>
  <c r="R512" i="1"/>
  <c r="R1845" i="1"/>
  <c r="S1845" i="1"/>
  <c r="R3802" i="1"/>
  <c r="S3802" i="1"/>
  <c r="R5722" i="1"/>
  <c r="S5722" i="1"/>
  <c r="N3802" i="1"/>
  <c r="V3802" i="1"/>
  <c r="V1845" i="1"/>
  <c r="V512" i="1"/>
  <c r="N512" i="1"/>
  <c r="V5722" i="1"/>
  <c r="N5722" i="1"/>
  <c r="N1845" i="1"/>
  <c r="X3751" i="1"/>
  <c r="W3751" i="1"/>
  <c r="U3751" i="1"/>
  <c r="P3751" i="1"/>
  <c r="B3751" i="1" s="1"/>
  <c r="L3751" i="1"/>
  <c r="X2116" i="1"/>
  <c r="W2116" i="1"/>
  <c r="V2116" i="1"/>
  <c r="U2116" i="1"/>
  <c r="M2116" i="1"/>
  <c r="K2116" i="1"/>
  <c r="I2116" i="1"/>
  <c r="H2116" i="1"/>
  <c r="X2115" i="1"/>
  <c r="W2115" i="1"/>
  <c r="V2115" i="1"/>
  <c r="U2115" i="1"/>
  <c r="N2115" i="1"/>
  <c r="X2114" i="1"/>
  <c r="W2114" i="1"/>
  <c r="U2114" i="1"/>
  <c r="P2114" i="1"/>
  <c r="B2114" i="1" s="1"/>
  <c r="L2114" i="1"/>
  <c r="X2113" i="1"/>
  <c r="W2113" i="1"/>
  <c r="V2113" i="1"/>
  <c r="U2113" i="1"/>
  <c r="N2113" i="1"/>
  <c r="X2112" i="1"/>
  <c r="W2112" i="1"/>
  <c r="V2112" i="1"/>
  <c r="U2112" i="1"/>
  <c r="N2112" i="1"/>
  <c r="X3808" i="1"/>
  <c r="W3808" i="1"/>
  <c r="U3808" i="1"/>
  <c r="P3808" i="1"/>
  <c r="B3808" i="1" s="1"/>
  <c r="L3808" i="1"/>
  <c r="X4209" i="1"/>
  <c r="W4209" i="1"/>
  <c r="U4209" i="1"/>
  <c r="P4209" i="1"/>
  <c r="B4209" i="1" s="1"/>
  <c r="L4209" i="1"/>
  <c r="R4209" i="1" l="1"/>
  <c r="S4209" i="1"/>
  <c r="R3751" i="1"/>
  <c r="S3751" i="1"/>
  <c r="R2114" i="1"/>
  <c r="S2114" i="1"/>
  <c r="R3808" i="1"/>
  <c r="S3808" i="1"/>
  <c r="V3751" i="1"/>
  <c r="N3751" i="1"/>
  <c r="V2114" i="1"/>
  <c r="N2114" i="1"/>
  <c r="N2116" i="1" s="1"/>
  <c r="J2116" i="1"/>
  <c r="L2116" i="1"/>
  <c r="V3808" i="1"/>
  <c r="N3808" i="1"/>
  <c r="N4209" i="1"/>
  <c r="V4209" i="1"/>
  <c r="X1169" i="1"/>
  <c r="W1169" i="1"/>
  <c r="U1169" i="1"/>
  <c r="P1169" i="1"/>
  <c r="B1169" i="1" s="1"/>
  <c r="L1169" i="1"/>
  <c r="R1169" i="1" l="1"/>
  <c r="S1169" i="1"/>
  <c r="V1169" i="1"/>
  <c r="N1169" i="1"/>
  <c r="X1658" i="1"/>
  <c r="W1658" i="1"/>
  <c r="U1658" i="1"/>
  <c r="P1658" i="1"/>
  <c r="B1658" i="1" s="1"/>
  <c r="L1658" i="1"/>
  <c r="R1658" i="1" l="1"/>
  <c r="S1658" i="1"/>
  <c r="V1658" i="1"/>
  <c r="N1658" i="1"/>
  <c r="X3638" i="1"/>
  <c r="W3638" i="1"/>
  <c r="U3638" i="1"/>
  <c r="P3638" i="1"/>
  <c r="B3638" i="1" s="1"/>
  <c r="L3638" i="1"/>
  <c r="X3639" i="1"/>
  <c r="W3639" i="1"/>
  <c r="U3639" i="1"/>
  <c r="P3639" i="1"/>
  <c r="B3639" i="1" s="1"/>
  <c r="L3639" i="1"/>
  <c r="X6280" i="1"/>
  <c r="W6280" i="1"/>
  <c r="V6280" i="1"/>
  <c r="U6280" i="1"/>
  <c r="M6280" i="1"/>
  <c r="K6280" i="1"/>
  <c r="J6280" i="1"/>
  <c r="I6280" i="1"/>
  <c r="H6280" i="1"/>
  <c r="X6279" i="1"/>
  <c r="W6279" i="1"/>
  <c r="V6279" i="1"/>
  <c r="U6279" i="1"/>
  <c r="N6279" i="1"/>
  <c r="X6278" i="1"/>
  <c r="W6278" i="1"/>
  <c r="U6278" i="1"/>
  <c r="P6278" i="1"/>
  <c r="B6278" i="1" s="1"/>
  <c r="L6278" i="1"/>
  <c r="X6277" i="1"/>
  <c r="W6277" i="1"/>
  <c r="V6277" i="1"/>
  <c r="U6277" i="1"/>
  <c r="N6277" i="1"/>
  <c r="X6276" i="1"/>
  <c r="W6276" i="1"/>
  <c r="V6276" i="1"/>
  <c r="U6276" i="1"/>
  <c r="N6276" i="1"/>
  <c r="X3643" i="1"/>
  <c r="W3643" i="1"/>
  <c r="U3643" i="1"/>
  <c r="P3643" i="1"/>
  <c r="B3643" i="1" s="1"/>
  <c r="L3643" i="1"/>
  <c r="R3643" i="1" l="1"/>
  <c r="S3643" i="1"/>
  <c r="R6278" i="1"/>
  <c r="S6278" i="1"/>
  <c r="R3639" i="1"/>
  <c r="S3639" i="1"/>
  <c r="R3638" i="1"/>
  <c r="S3638" i="1"/>
  <c r="L6280" i="1"/>
  <c r="V3638" i="1"/>
  <c r="V3643" i="1"/>
  <c r="V6278" i="1"/>
  <c r="N3638" i="1"/>
  <c r="V3639" i="1"/>
  <c r="N3639" i="1"/>
  <c r="N6278" i="1"/>
  <c r="N6280" i="1" s="1"/>
  <c r="N3643" i="1"/>
  <c r="H1647" i="1"/>
  <c r="L1647" i="1" s="1"/>
  <c r="X1647" i="1"/>
  <c r="W1647" i="1"/>
  <c r="U1647" i="1"/>
  <c r="P1647" i="1"/>
  <c r="B1647" i="1" s="1"/>
  <c r="X2693" i="1"/>
  <c r="W2693" i="1"/>
  <c r="U2693" i="1"/>
  <c r="P2693" i="1"/>
  <c r="B2693" i="1" s="1"/>
  <c r="L2693" i="1"/>
  <c r="X4615" i="1"/>
  <c r="W4615" i="1"/>
  <c r="U4615" i="1"/>
  <c r="P4615" i="1"/>
  <c r="B4615" i="1" s="1"/>
  <c r="L4615" i="1"/>
  <c r="I1654" i="1"/>
  <c r="X1653" i="1"/>
  <c r="W1653" i="1"/>
  <c r="U1653" i="1"/>
  <c r="P1653" i="1"/>
  <c r="B1653" i="1" s="1"/>
  <c r="J1653" i="1"/>
  <c r="L1653" i="1" s="1"/>
  <c r="J5572" i="1"/>
  <c r="X4691" i="1"/>
  <c r="W4691" i="1"/>
  <c r="U4691" i="1"/>
  <c r="P4691" i="1"/>
  <c r="B4691" i="1" s="1"/>
  <c r="L4691" i="1"/>
  <c r="J5813" i="1"/>
  <c r="L5813" i="1" s="1"/>
  <c r="X5813" i="1"/>
  <c r="W5813" i="1"/>
  <c r="U5813" i="1"/>
  <c r="P5813" i="1"/>
  <c r="B5813" i="1" s="1"/>
  <c r="X2206" i="1"/>
  <c r="W2206" i="1"/>
  <c r="U2206" i="1"/>
  <c r="P2206" i="1"/>
  <c r="B2206" i="1" s="1"/>
  <c r="L2206" i="1"/>
  <c r="R5813" i="1" l="1"/>
  <c r="S5813" i="1"/>
  <c r="R2206" i="1"/>
  <c r="S2206" i="1"/>
  <c r="R1647" i="1"/>
  <c r="S1647" i="1"/>
  <c r="R4691" i="1"/>
  <c r="S4691" i="1"/>
  <c r="R2693" i="1"/>
  <c r="S2693" i="1"/>
  <c r="R4615" i="1"/>
  <c r="S4615" i="1"/>
  <c r="R1653" i="1"/>
  <c r="S1653" i="1"/>
  <c r="V4691" i="1"/>
  <c r="V2206" i="1"/>
  <c r="V2693" i="1"/>
  <c r="V5813" i="1"/>
  <c r="V1647" i="1"/>
  <c r="N1647" i="1"/>
  <c r="N2693" i="1"/>
  <c r="V4615" i="1"/>
  <c r="N4615" i="1"/>
  <c r="V1653" i="1"/>
  <c r="N1653" i="1"/>
  <c r="N4691" i="1"/>
  <c r="N5813" i="1"/>
  <c r="N2206" i="1"/>
  <c r="X5718" i="1" l="1"/>
  <c r="W5718" i="1"/>
  <c r="U5718" i="1"/>
  <c r="P5718" i="1"/>
  <c r="B5718" i="1" s="1"/>
  <c r="L5718" i="1"/>
  <c r="X6616" i="1"/>
  <c r="W6616" i="1"/>
  <c r="U6616" i="1"/>
  <c r="P6616" i="1"/>
  <c r="B6616" i="1" s="1"/>
  <c r="L6616" i="1"/>
  <c r="R6616" i="1" l="1"/>
  <c r="S6616" i="1"/>
  <c r="R5718" i="1"/>
  <c r="S5718" i="1"/>
  <c r="V6616" i="1"/>
  <c r="V5718" i="1"/>
  <c r="N5718" i="1"/>
  <c r="N6616" i="1"/>
  <c r="X4769" i="1"/>
  <c r="W4769" i="1"/>
  <c r="U4769" i="1"/>
  <c r="P4769" i="1"/>
  <c r="B4769" i="1" s="1"/>
  <c r="L4769" i="1"/>
  <c r="X6885" i="1"/>
  <c r="W6885" i="1"/>
  <c r="V6885" i="1"/>
  <c r="U6885" i="1"/>
  <c r="P6885" i="1"/>
  <c r="B6885" i="1" s="1"/>
  <c r="N6885" i="1"/>
  <c r="X3928" i="1"/>
  <c r="W3928" i="1"/>
  <c r="U3928" i="1"/>
  <c r="P3928" i="1"/>
  <c r="B3928" i="1" s="1"/>
  <c r="L3928" i="1"/>
  <c r="L244" i="1"/>
  <c r="J6780" i="1"/>
  <c r="J6769" i="1"/>
  <c r="J6764" i="1"/>
  <c r="J6759" i="1"/>
  <c r="J6752" i="1"/>
  <c r="J6737" i="1"/>
  <c r="J6732" i="1"/>
  <c r="J6717" i="1"/>
  <c r="J6727" i="1" s="1"/>
  <c r="J6713" i="1"/>
  <c r="J6703" i="1"/>
  <c r="J6707" i="1" s="1"/>
  <c r="J6699" i="1"/>
  <c r="J6688" i="1"/>
  <c r="J6687" i="1"/>
  <c r="J6686" i="1"/>
  <c r="J6682" i="1"/>
  <c r="J6679" i="1"/>
  <c r="J6675" i="1"/>
  <c r="J6670" i="1"/>
  <c r="J6664" i="1"/>
  <c r="J6658" i="1"/>
  <c r="J6650" i="1"/>
  <c r="J6645" i="1"/>
  <c r="J6637" i="1"/>
  <c r="J6628" i="1"/>
  <c r="J6632" i="1" s="1"/>
  <c r="J6620" i="1"/>
  <c r="J6609" i="1"/>
  <c r="J6603" i="1"/>
  <c r="J6598" i="1"/>
  <c r="J6590" i="1"/>
  <c r="J6585" i="1"/>
  <c r="J6571" i="1"/>
  <c r="J6561" i="1"/>
  <c r="J6551" i="1"/>
  <c r="J6554" i="1" s="1"/>
  <c r="J6546" i="1"/>
  <c r="J6537" i="1"/>
  <c r="J6526" i="1"/>
  <c r="J6524" i="1"/>
  <c r="J6523" i="1"/>
  <c r="J6521" i="1"/>
  <c r="J6519" i="1"/>
  <c r="J6516" i="1"/>
  <c r="J6509" i="1"/>
  <c r="J6511" i="1" s="1"/>
  <c r="J6502" i="1"/>
  <c r="J6490" i="1"/>
  <c r="J6475" i="1"/>
  <c r="J6470" i="1"/>
  <c r="J6465" i="1"/>
  <c r="J6460" i="1"/>
  <c r="J6452" i="1"/>
  <c r="J6450" i="1"/>
  <c r="J6443" i="1"/>
  <c r="J6438" i="1"/>
  <c r="J6433" i="1"/>
  <c r="J6428" i="1"/>
  <c r="J6423" i="1"/>
  <c r="J6418" i="1"/>
  <c r="J6413" i="1"/>
  <c r="J6408" i="1"/>
  <c r="J6403" i="1"/>
  <c r="J6398" i="1"/>
  <c r="J6390" i="1"/>
  <c r="J6387" i="1"/>
  <c r="J6386" i="1"/>
  <c r="J6378" i="1"/>
  <c r="J6370" i="1"/>
  <c r="J6365" i="1"/>
  <c r="J6343" i="1"/>
  <c r="J6346" i="1" s="1"/>
  <c r="J6330" i="1"/>
  <c r="J6325" i="1"/>
  <c r="J6320" i="1"/>
  <c r="J6311" i="1"/>
  <c r="J6299" i="1"/>
  <c r="J6290" i="1"/>
  <c r="J6292" i="1" s="1"/>
  <c r="J6285" i="1"/>
  <c r="J6273" i="1"/>
  <c r="J6272" i="1"/>
  <c r="J6270" i="1"/>
  <c r="J6267" i="1"/>
  <c r="J6253" i="1"/>
  <c r="J6248" i="1"/>
  <c r="J6243" i="1"/>
  <c r="J6220" i="1"/>
  <c r="J6215" i="1"/>
  <c r="J6210" i="1"/>
  <c r="J6205" i="1"/>
  <c r="J6126" i="1"/>
  <c r="J6118" i="1"/>
  <c r="J6113" i="1"/>
  <c r="J6100" i="1"/>
  <c r="J6105" i="1" s="1"/>
  <c r="J6097" i="1"/>
  <c r="J6080" i="1"/>
  <c r="J6075" i="1"/>
  <c r="J6068" i="1"/>
  <c r="J6070" i="1" s="1"/>
  <c r="J6063" i="1"/>
  <c r="J6054" i="1"/>
  <c r="J6046" i="1"/>
  <c r="J6041" i="1"/>
  <c r="J6032" i="1"/>
  <c r="J6021" i="1"/>
  <c r="J6015" i="1"/>
  <c r="J6008" i="1"/>
  <c r="J6003" i="1"/>
  <c r="J5998" i="1"/>
  <c r="J5992" i="1"/>
  <c r="J5987" i="1"/>
  <c r="J5982" i="1"/>
  <c r="J5974" i="1"/>
  <c r="J5962" i="1"/>
  <c r="J5960" i="1"/>
  <c r="J5933" i="1"/>
  <c r="J5923" i="1"/>
  <c r="J5916" i="1"/>
  <c r="J5911" i="1"/>
  <c r="J5904" i="1"/>
  <c r="J5897" i="1"/>
  <c r="J5889" i="1"/>
  <c r="J5884" i="1"/>
  <c r="J5875" i="1"/>
  <c r="J5865" i="1"/>
  <c r="J5864" i="1"/>
  <c r="J5857" i="1"/>
  <c r="J5855" i="1"/>
  <c r="J5818" i="1"/>
  <c r="J5817" i="1"/>
  <c r="J5776" i="1"/>
  <c r="J5763" i="1"/>
  <c r="J5758" i="1"/>
  <c r="J5752" i="1"/>
  <c r="J5745" i="1"/>
  <c r="J5735" i="1"/>
  <c r="J5729" i="1"/>
  <c r="J5724" i="1"/>
  <c r="J5713" i="1"/>
  <c r="J5695" i="1"/>
  <c r="J5681" i="1"/>
  <c r="J5685" i="1" s="1"/>
  <c r="J5673" i="1"/>
  <c r="J5671" i="1"/>
  <c r="J5640" i="1"/>
  <c r="J5620" i="1"/>
  <c r="J5619" i="1"/>
  <c r="J5618" i="1"/>
  <c r="J5616" i="1"/>
  <c r="J5586" i="1"/>
  <c r="J5584" i="1"/>
  <c r="J5573" i="1"/>
  <c r="J5571" i="1"/>
  <c r="J5566" i="1"/>
  <c r="J5564" i="1"/>
  <c r="J5562" i="1"/>
  <c r="J5541" i="1"/>
  <c r="J5531" i="1"/>
  <c r="J5523" i="1"/>
  <c r="J5517" i="1"/>
  <c r="J5512" i="1"/>
  <c r="J5507" i="1"/>
  <c r="J5502" i="1"/>
  <c r="J5493" i="1"/>
  <c r="J5488" i="1"/>
  <c r="J5464" i="1"/>
  <c r="J5458" i="1"/>
  <c r="J5442" i="1"/>
  <c r="J5437" i="1"/>
  <c r="J5425" i="1"/>
  <c r="J5422" i="1"/>
  <c r="J5416" i="1"/>
  <c r="J5419" i="1" s="1"/>
  <c r="J5404" i="1"/>
  <c r="J5403" i="1"/>
  <c r="J5401" i="1"/>
  <c r="J5394" i="1"/>
  <c r="J5389" i="1"/>
  <c r="J5379" i="1"/>
  <c r="J5374" i="1"/>
  <c r="J5369" i="1"/>
  <c r="J5363" i="1"/>
  <c r="J5347" i="1"/>
  <c r="J5336" i="1"/>
  <c r="J5329" i="1"/>
  <c r="J5310" i="1"/>
  <c r="J5306" i="1"/>
  <c r="J5304" i="1"/>
  <c r="J5301" i="1"/>
  <c r="J5293" i="1"/>
  <c r="J5296" i="1" s="1"/>
  <c r="J5285" i="1"/>
  <c r="J5290" i="1" s="1"/>
  <c r="J5279" i="1"/>
  <c r="J5281" i="1" s="1"/>
  <c r="J5276" i="1"/>
  <c r="J5270" i="1"/>
  <c r="J5264" i="1"/>
  <c r="J5257" i="1"/>
  <c r="J5247" i="1"/>
  <c r="J5232" i="1"/>
  <c r="J5218" i="1"/>
  <c r="J5220" i="1" s="1"/>
  <c r="J5212" i="1"/>
  <c r="J5214" i="1" s="1"/>
  <c r="J5208" i="1"/>
  <c r="J5193" i="1"/>
  <c r="J5203" i="1" s="1"/>
  <c r="J5185" i="1"/>
  <c r="J5184" i="1"/>
  <c r="J5180" i="1"/>
  <c r="J5169" i="1"/>
  <c r="J5136" i="1"/>
  <c r="J5130" i="1"/>
  <c r="J5124" i="1"/>
  <c r="J5116" i="1"/>
  <c r="J5081" i="1"/>
  <c r="J5073" i="1"/>
  <c r="J5075" i="1" s="1"/>
  <c r="J5060" i="1"/>
  <c r="J5040" i="1"/>
  <c r="J5037" i="1"/>
  <c r="J5036" i="1"/>
  <c r="J5022" i="1"/>
  <c r="J5013" i="1"/>
  <c r="J5012" i="1"/>
  <c r="J5011" i="1"/>
  <c r="J5010" i="1"/>
  <c r="J5007" i="1"/>
  <c r="J5003" i="1"/>
  <c r="J5002" i="1"/>
  <c r="J5001" i="1"/>
  <c r="J4988" i="1"/>
  <c r="J4987" i="1"/>
  <c r="J4985" i="1"/>
  <c r="J4984" i="1"/>
  <c r="J4967" i="1"/>
  <c r="J4962" i="1"/>
  <c r="J4956" i="1"/>
  <c r="J4950" i="1"/>
  <c r="J4942" i="1"/>
  <c r="J4927" i="1"/>
  <c r="J4932" i="1" s="1"/>
  <c r="J4923" i="1"/>
  <c r="J4913" i="1"/>
  <c r="J4912" i="1"/>
  <c r="J4909" i="1"/>
  <c r="J4901" i="1"/>
  <c r="J4900" i="1"/>
  <c r="J4899" i="1"/>
  <c r="J4896" i="1"/>
  <c r="J4895" i="1"/>
  <c r="J4889" i="1"/>
  <c r="J4887" i="1"/>
  <c r="J4886" i="1"/>
  <c r="J4884" i="1"/>
  <c r="J4882" i="1"/>
  <c r="J4881" i="1"/>
  <c r="J4869" i="1"/>
  <c r="J4855" i="1"/>
  <c r="J4827" i="1"/>
  <c r="J4817" i="1"/>
  <c r="J4814" i="1"/>
  <c r="J4810" i="1"/>
  <c r="J4808" i="1"/>
  <c r="J4807" i="1"/>
  <c r="J4803" i="1"/>
  <c r="J4801" i="1"/>
  <c r="J4775" i="1"/>
  <c r="J4780" i="1" s="1"/>
  <c r="J4756" i="1"/>
  <c r="J4708" i="1"/>
  <c r="J4699" i="1"/>
  <c r="J4694" i="1"/>
  <c r="J4684" i="1"/>
  <c r="J4678" i="1"/>
  <c r="J4672" i="1"/>
  <c r="J4662" i="1"/>
  <c r="J4652" i="1"/>
  <c r="J4642" i="1"/>
  <c r="J4645" i="1" s="1"/>
  <c r="J4629" i="1"/>
  <c r="J4622" i="1"/>
  <c r="J4621" i="1"/>
  <c r="J4550" i="1"/>
  <c r="J4599" i="1" s="1"/>
  <c r="J4439" i="1"/>
  <c r="J4434" i="1"/>
  <c r="J4428" i="1"/>
  <c r="J4422" i="1"/>
  <c r="J4410" i="1"/>
  <c r="J4414" i="1" s="1"/>
  <c r="J4403" i="1"/>
  <c r="J4398" i="1"/>
  <c r="J4393" i="1"/>
  <c r="J4386" i="1"/>
  <c r="J4377" i="1"/>
  <c r="J4367" i="1"/>
  <c r="J4361" i="1"/>
  <c r="J4355" i="1"/>
  <c r="J4350" i="1"/>
  <c r="J4345" i="1"/>
  <c r="J4337" i="1"/>
  <c r="J4339" i="1" s="1"/>
  <c r="J4333" i="1"/>
  <c r="J4323" i="1"/>
  <c r="J4328" i="1" s="1"/>
  <c r="J4312" i="1"/>
  <c r="J4320" i="1" s="1"/>
  <c r="J4307" i="1"/>
  <c r="J4301" i="1"/>
  <c r="J4281" i="1"/>
  <c r="J4277" i="1"/>
  <c r="J4265" i="1"/>
  <c r="J4259" i="1"/>
  <c r="J4251" i="1"/>
  <c r="J4250" i="1"/>
  <c r="J4242" i="1"/>
  <c r="J4233" i="1"/>
  <c r="J4195" i="1"/>
  <c r="J4187" i="1"/>
  <c r="J4152" i="1"/>
  <c r="J4143" i="1"/>
  <c r="J4138" i="1"/>
  <c r="J4134" i="1"/>
  <c r="J4133" i="1"/>
  <c r="J4132" i="1"/>
  <c r="J4131" i="1"/>
  <c r="J4128" i="1"/>
  <c r="J4127" i="1"/>
  <c r="J4126" i="1"/>
  <c r="J4124" i="1"/>
  <c r="J4123" i="1"/>
  <c r="J4121" i="1"/>
  <c r="J4116" i="1"/>
  <c r="J4109" i="1"/>
  <c r="J4104" i="1"/>
  <c r="J4103" i="1"/>
  <c r="J4089" i="1"/>
  <c r="J4073" i="1"/>
  <c r="J4079" i="1" s="1"/>
  <c r="J4044" i="1"/>
  <c r="J4039" i="1"/>
  <c r="J4018" i="1"/>
  <c r="J4009" i="1"/>
  <c r="J4008" i="1"/>
  <c r="J4005" i="1"/>
  <c r="J3996" i="1"/>
  <c r="J3995" i="1"/>
  <c r="J3993" i="1"/>
  <c r="J3992" i="1"/>
  <c r="J3990" i="1"/>
  <c r="J3988" i="1"/>
  <c r="J3987" i="1"/>
  <c r="J3986" i="1"/>
  <c r="J3985" i="1"/>
  <c r="J3984" i="1"/>
  <c r="J3978" i="1"/>
  <c r="J3977" i="1"/>
  <c r="J3970" i="1"/>
  <c r="J3948" i="1"/>
  <c r="J3934" i="1"/>
  <c r="J3932" i="1"/>
  <c r="J3930" i="1"/>
  <c r="J3929" i="1"/>
  <c r="J3926" i="1"/>
  <c r="J3909" i="1"/>
  <c r="J3904" i="1"/>
  <c r="J3883" i="1"/>
  <c r="J3878" i="1"/>
  <c r="J3871" i="1"/>
  <c r="J3864" i="1"/>
  <c r="J3859" i="1"/>
  <c r="J3848" i="1"/>
  <c r="J3836" i="1"/>
  <c r="J3830" i="1"/>
  <c r="J3824" i="1"/>
  <c r="J3819" i="1"/>
  <c r="J3810" i="1"/>
  <c r="J3807" i="1"/>
  <c r="J3806" i="1"/>
  <c r="J3805" i="1"/>
  <c r="J3804" i="1"/>
  <c r="J3803" i="1"/>
  <c r="J3801" i="1"/>
  <c r="J3800" i="1"/>
  <c r="J3798" i="1"/>
  <c r="J3797" i="1"/>
  <c r="J3796" i="1"/>
  <c r="J3795" i="1"/>
  <c r="J3794" i="1"/>
  <c r="J3793" i="1"/>
  <c r="J3790" i="1"/>
  <c r="J3787" i="1"/>
  <c r="J3777" i="1"/>
  <c r="J3776" i="1"/>
  <c r="J3775" i="1"/>
  <c r="J3770" i="1"/>
  <c r="J3765" i="1"/>
  <c r="J3760" i="1"/>
  <c r="J3748" i="1"/>
  <c r="J3755" i="1" s="1"/>
  <c r="J3730" i="1"/>
  <c r="J3729" i="1"/>
  <c r="J3727" i="1"/>
  <c r="J3721" i="1"/>
  <c r="J3704" i="1"/>
  <c r="J3702" i="1"/>
  <c r="J3694" i="1"/>
  <c r="J3687" i="1"/>
  <c r="J3689" i="1" s="1"/>
  <c r="J3683" i="1"/>
  <c r="J3677" i="1"/>
  <c r="J3669" i="1"/>
  <c r="J3671" i="1" s="1"/>
  <c r="J3651" i="1"/>
  <c r="J3655" i="1" s="1"/>
  <c r="J3645" i="1"/>
  <c r="J3614" i="1"/>
  <c r="J3560" i="1"/>
  <c r="J3490" i="1"/>
  <c r="J3481" i="1"/>
  <c r="J3400" i="1"/>
  <c r="J3395" i="1"/>
  <c r="J3394" i="1"/>
  <c r="J3391" i="1"/>
  <c r="J3372" i="1"/>
  <c r="J3224" i="1"/>
  <c r="J3125" i="1"/>
  <c r="J3063" i="1"/>
  <c r="J3057" i="1"/>
  <c r="J2864" i="1"/>
  <c r="J2877" i="1" s="1"/>
  <c r="J2704" i="1"/>
  <c r="J2509" i="1"/>
  <c r="J2452" i="1"/>
  <c r="J2395" i="1"/>
  <c r="J2324" i="1"/>
  <c r="J2307" i="1"/>
  <c r="J2299" i="1"/>
  <c r="J2301" i="1" s="1"/>
  <c r="J2291" i="1"/>
  <c r="J2286" i="1"/>
  <c r="J2276" i="1"/>
  <c r="J2269" i="1"/>
  <c r="J2255" i="1"/>
  <c r="J2249" i="1"/>
  <c r="J2239" i="1"/>
  <c r="J2229" i="1"/>
  <c r="J2228" i="1"/>
  <c r="J2224" i="1"/>
  <c r="J2223" i="1"/>
  <c r="J2222" i="1"/>
  <c r="J2221" i="1"/>
  <c r="J2220" i="1"/>
  <c r="J2216" i="1"/>
  <c r="J2209" i="1"/>
  <c r="J2202" i="1"/>
  <c r="J2193" i="1"/>
  <c r="J2197" i="1" s="1"/>
  <c r="J2190" i="1"/>
  <c r="J2185" i="1"/>
  <c r="J2180" i="1"/>
  <c r="J2167" i="1"/>
  <c r="J2154" i="1"/>
  <c r="J2133" i="1"/>
  <c r="J2143" i="1" s="1"/>
  <c r="J2128" i="1"/>
  <c r="J2121" i="1"/>
  <c r="J2123" i="1" s="1"/>
  <c r="J2111" i="1"/>
  <c r="J2086" i="1"/>
  <c r="J2075" i="1"/>
  <c r="J2067" i="1"/>
  <c r="J2061" i="1"/>
  <c r="J2055" i="1"/>
  <c r="J2050" i="1"/>
  <c r="J2041" i="1"/>
  <c r="J2040" i="1"/>
  <c r="J2039" i="1"/>
  <c r="J2037" i="1"/>
  <c r="J2034" i="1"/>
  <c r="J2009" i="1"/>
  <c r="J2008" i="1"/>
  <c r="J2006" i="1"/>
  <c r="J2005" i="1"/>
  <c r="J2004" i="1"/>
  <c r="J2002" i="1"/>
  <c r="J1999" i="1"/>
  <c r="J1989" i="1"/>
  <c r="J1984" i="1"/>
  <c r="J1979" i="1"/>
  <c r="J1966" i="1"/>
  <c r="J1959" i="1"/>
  <c r="J1961" i="1" s="1"/>
  <c r="J1954" i="1"/>
  <c r="J1944" i="1"/>
  <c r="J1917" i="1"/>
  <c r="J1907" i="1"/>
  <c r="J1901" i="1"/>
  <c r="J1894" i="1"/>
  <c r="J1891" i="1"/>
  <c r="J1890" i="1"/>
  <c r="J1887" i="1"/>
  <c r="J1878" i="1"/>
  <c r="J1877" i="1"/>
  <c r="J1874" i="1"/>
  <c r="J1854" i="1"/>
  <c r="J1839" i="1"/>
  <c r="J1834" i="1"/>
  <c r="J1829" i="1"/>
  <c r="J1824" i="1"/>
  <c r="J1819" i="1"/>
  <c r="J1812" i="1"/>
  <c r="J1805" i="1"/>
  <c r="J1786" i="1"/>
  <c r="J1779" i="1"/>
  <c r="J1781" i="1" s="1"/>
  <c r="J1776" i="1"/>
  <c r="J1767" i="1"/>
  <c r="J1766" i="1"/>
  <c r="J1765" i="1"/>
  <c r="J1764" i="1"/>
  <c r="J1763" i="1"/>
  <c r="J1762" i="1"/>
  <c r="J1749" i="1"/>
  <c r="J1743" i="1"/>
  <c r="J1732" i="1"/>
  <c r="J1726" i="1"/>
  <c r="J1717" i="1"/>
  <c r="J1712" i="1"/>
  <c r="J1706" i="1"/>
  <c r="J1698" i="1"/>
  <c r="J1690" i="1"/>
  <c r="J1685" i="1"/>
  <c r="J1677" i="1"/>
  <c r="J1668" i="1"/>
  <c r="J1667" i="1"/>
  <c r="J1662" i="1"/>
  <c r="J1661" i="1"/>
  <c r="J1660" i="1"/>
  <c r="J1659" i="1"/>
  <c r="J1651" i="1"/>
  <c r="J1648" i="1"/>
  <c r="J1636" i="1"/>
  <c r="J1633" i="1"/>
  <c r="J1632" i="1"/>
  <c r="J1620" i="1"/>
  <c r="J1615" i="1"/>
  <c r="J1595" i="1"/>
  <c r="J1589" i="1"/>
  <c r="J1582" i="1"/>
  <c r="J1577" i="1"/>
  <c r="J1570" i="1"/>
  <c r="J1563" i="1"/>
  <c r="J1565" i="1" s="1"/>
  <c r="J1556" i="1"/>
  <c r="J1546" i="1"/>
  <c r="J1538" i="1"/>
  <c r="J1541" i="1" s="1"/>
  <c r="J1529" i="1"/>
  <c r="J1523" i="1"/>
  <c r="J1518" i="1"/>
  <c r="J1499" i="1"/>
  <c r="J1511" i="1" s="1"/>
  <c r="J1495" i="1"/>
  <c r="J1489" i="1"/>
  <c r="J1484" i="1"/>
  <c r="J1479" i="1"/>
  <c r="J1474" i="1"/>
  <c r="J1465" i="1"/>
  <c r="J1460" i="1"/>
  <c r="J1451" i="1"/>
  <c r="J1446" i="1"/>
  <c r="J1438" i="1"/>
  <c r="J1430" i="1"/>
  <c r="J1425" i="1"/>
  <c r="J1399" i="1"/>
  <c r="J1394" i="1"/>
  <c r="J1388" i="1"/>
  <c r="J1386" i="1"/>
  <c r="J1383" i="1"/>
  <c r="J1378" i="1"/>
  <c r="J1357" i="1"/>
  <c r="J1343" i="1"/>
  <c r="J1351" i="1" s="1"/>
  <c r="J1335" i="1"/>
  <c r="J1338" i="1" s="1"/>
  <c r="J1328" i="1"/>
  <c r="J1308" i="1"/>
  <c r="J1311" i="1" s="1"/>
  <c r="J1301" i="1"/>
  <c r="J1304" i="1" s="1"/>
  <c r="J1290" i="1"/>
  <c r="J1293" i="1" s="1"/>
  <c r="J1285" i="1"/>
  <c r="J1243" i="1"/>
  <c r="J1270" i="1" s="1"/>
  <c r="J1240" i="1"/>
  <c r="J1233" i="1"/>
  <c r="J1228" i="1"/>
  <c r="J1220" i="1"/>
  <c r="J1215" i="1"/>
  <c r="J1209" i="1"/>
  <c r="J1204" i="1"/>
  <c r="J1199" i="1"/>
  <c r="J1194" i="1"/>
  <c r="J1187" i="1"/>
  <c r="J1182" i="1"/>
  <c r="J1177" i="1"/>
  <c r="J1172" i="1"/>
  <c r="J1165" i="1"/>
  <c r="J1160" i="1"/>
  <c r="J1155" i="1"/>
  <c r="J1150" i="1"/>
  <c r="J1144" i="1"/>
  <c r="J1139" i="1"/>
  <c r="J993" i="1"/>
  <c r="J988" i="1"/>
  <c r="J983" i="1"/>
  <c r="J978" i="1"/>
  <c r="J973" i="1"/>
  <c r="J967" i="1"/>
  <c r="J960" i="1"/>
  <c r="J945" i="1"/>
  <c r="J952" i="1" s="1"/>
  <c r="J942" i="1"/>
  <c r="J937" i="1"/>
  <c r="J931" i="1"/>
  <c r="J926" i="1"/>
  <c r="J919" i="1"/>
  <c r="J909" i="1"/>
  <c r="J914" i="1" s="1"/>
  <c r="J903" i="1"/>
  <c r="J895" i="1"/>
  <c r="J898" i="1" s="1"/>
  <c r="J869" i="1"/>
  <c r="J867" i="1"/>
  <c r="J861" i="1"/>
  <c r="J833" i="1"/>
  <c r="J835" i="1" s="1"/>
  <c r="J825" i="1"/>
  <c r="J814" i="1"/>
  <c r="J819" i="1" s="1"/>
  <c r="J795" i="1"/>
  <c r="J789" i="1"/>
  <c r="J777" i="1"/>
  <c r="J775" i="1"/>
  <c r="J774" i="1"/>
  <c r="J772" i="1"/>
  <c r="J767" i="1"/>
  <c r="J746" i="1"/>
  <c r="J743" i="1"/>
  <c r="J737" i="1"/>
  <c r="J732" i="1"/>
  <c r="J725" i="1"/>
  <c r="J712" i="1"/>
  <c r="J705" i="1"/>
  <c r="J697" i="1"/>
  <c r="J700" i="1" s="1"/>
  <c r="J683" i="1"/>
  <c r="J673" i="1"/>
  <c r="J672" i="1"/>
  <c r="J669" i="1"/>
  <c r="J666" i="1"/>
  <c r="J665" i="1"/>
  <c r="J664" i="1"/>
  <c r="J663" i="1"/>
  <c r="J651" i="1"/>
  <c r="J646" i="1"/>
  <c r="J640" i="1"/>
  <c r="J635" i="1"/>
  <c r="J630" i="1"/>
  <c r="J623" i="1"/>
  <c r="J625" i="1" s="1"/>
  <c r="J609" i="1"/>
  <c r="J612" i="1" s="1"/>
  <c r="J606" i="1"/>
  <c r="J594" i="1"/>
  <c r="J592" i="1"/>
  <c r="J591" i="1"/>
  <c r="J590" i="1"/>
  <c r="J589" i="1"/>
  <c r="J588" i="1"/>
  <c r="J587" i="1"/>
  <c r="J584" i="1"/>
  <c r="J582" i="1"/>
  <c r="J578" i="1"/>
  <c r="J572" i="1"/>
  <c r="J566" i="1"/>
  <c r="J561" i="1"/>
  <c r="J553" i="1"/>
  <c r="J541" i="1"/>
  <c r="J535" i="1"/>
  <c r="J530" i="1"/>
  <c r="J521" i="1"/>
  <c r="J505" i="1"/>
  <c r="J514" i="1" s="1"/>
  <c r="J498" i="1"/>
  <c r="J500" i="1" s="1"/>
  <c r="J487" i="1"/>
  <c r="J479" i="1"/>
  <c r="J481" i="1" s="1"/>
  <c r="J473" i="1"/>
  <c r="J466" i="1"/>
  <c r="J456" i="1"/>
  <c r="J451" i="1"/>
  <c r="J446" i="1"/>
  <c r="J441" i="1"/>
  <c r="J433" i="1"/>
  <c r="J426" i="1"/>
  <c r="J418" i="1"/>
  <c r="J412" i="1"/>
  <c r="J402" i="1"/>
  <c r="J393" i="1"/>
  <c r="J384" i="1"/>
  <c r="J377" i="1"/>
  <c r="J376" i="1"/>
  <c r="J373" i="1"/>
  <c r="J369" i="1"/>
  <c r="J368" i="1"/>
  <c r="J367" i="1"/>
  <c r="J366" i="1"/>
  <c r="J364" i="1"/>
  <c r="J362" i="1"/>
  <c r="J357" i="1"/>
  <c r="J346" i="1"/>
  <c r="J341" i="1"/>
  <c r="J333" i="1"/>
  <c r="J331" i="1"/>
  <c r="J314" i="1"/>
  <c r="J309" i="1"/>
  <c r="J302" i="1"/>
  <c r="J297" i="1"/>
  <c r="J290" i="1"/>
  <c r="J287" i="1"/>
  <c r="J286" i="1"/>
  <c r="J283" i="1"/>
  <c r="J281" i="1"/>
  <c r="J278" i="1"/>
  <c r="J277" i="1"/>
  <c r="J276" i="1"/>
  <c r="J275" i="1"/>
  <c r="J274" i="1"/>
  <c r="J273" i="1"/>
  <c r="J269" i="1"/>
  <c r="J264" i="1"/>
  <c r="J256" i="1"/>
  <c r="J251" i="1"/>
  <c r="J246" i="1"/>
  <c r="J238" i="1"/>
  <c r="J147" i="1"/>
  <c r="J139" i="1"/>
  <c r="J129" i="1"/>
  <c r="J127" i="1"/>
  <c r="J126" i="1"/>
  <c r="J119" i="1"/>
  <c r="J114" i="1"/>
  <c r="J104" i="1"/>
  <c r="J108" i="1" s="1"/>
  <c r="J90" i="1"/>
  <c r="J83" i="1"/>
  <c r="J72" i="1"/>
  <c r="J67" i="1"/>
  <c r="J57" i="1"/>
  <c r="J51" i="1"/>
  <c r="J46" i="1"/>
  <c r="J37" i="1"/>
  <c r="J30" i="1"/>
  <c r="J20" i="1"/>
  <c r="J17" i="1"/>
  <c r="J16" i="1"/>
  <c r="J13" i="1"/>
  <c r="J7" i="1"/>
  <c r="X6839" i="1"/>
  <c r="W6839" i="1"/>
  <c r="V6839" i="1"/>
  <c r="U6839" i="1"/>
  <c r="P6839" i="1"/>
  <c r="B6839" i="1" s="1"/>
  <c r="N6839" i="1"/>
  <c r="X6848" i="1"/>
  <c r="W6848" i="1"/>
  <c r="V6848" i="1"/>
  <c r="U6848" i="1"/>
  <c r="P6848" i="1"/>
  <c r="B6848" i="1" s="1"/>
  <c r="N6848" i="1"/>
  <c r="X6867" i="1"/>
  <c r="W6867" i="1"/>
  <c r="V6867" i="1"/>
  <c r="U6867" i="1"/>
  <c r="P6867" i="1"/>
  <c r="B6867" i="1" s="1"/>
  <c r="N6867" i="1"/>
  <c r="X6852" i="1"/>
  <c r="W6852" i="1"/>
  <c r="V6852" i="1"/>
  <c r="U6852" i="1"/>
  <c r="P6852" i="1"/>
  <c r="B6852" i="1" s="1"/>
  <c r="N6852" i="1"/>
  <c r="X6881" i="1"/>
  <c r="W6881" i="1"/>
  <c r="V6881" i="1"/>
  <c r="U6881" i="1"/>
  <c r="P6881" i="1"/>
  <c r="B6881" i="1" s="1"/>
  <c r="N6881" i="1"/>
  <c r="R3928" i="1" l="1"/>
  <c r="S3928" i="1"/>
  <c r="R244" i="1"/>
  <c r="S244" i="1"/>
  <c r="R4769" i="1"/>
  <c r="S4769" i="1"/>
  <c r="V4769" i="1"/>
  <c r="J2594" i="1"/>
  <c r="J3706" i="1"/>
  <c r="J1390" i="1"/>
  <c r="J5675" i="1"/>
  <c r="J6454" i="1"/>
  <c r="J751" i="1"/>
  <c r="J4254" i="1"/>
  <c r="N4769" i="1"/>
  <c r="J4011" i="1"/>
  <c r="J3634" i="1"/>
  <c r="J675" i="1"/>
  <c r="J5313" i="1"/>
  <c r="J5965" i="1"/>
  <c r="J3402" i="1"/>
  <c r="J4990" i="1"/>
  <c r="J5043" i="1"/>
  <c r="J5869" i="1"/>
  <c r="J1769" i="1"/>
  <c r="J2012" i="1"/>
  <c r="J6393" i="1"/>
  <c r="J4111" i="1"/>
  <c r="J5427" i="1"/>
  <c r="J5747" i="1"/>
  <c r="J4904" i="1"/>
  <c r="J1956" i="1"/>
  <c r="J4296" i="1"/>
  <c r="J782" i="1"/>
  <c r="J4916" i="1"/>
  <c r="J4145" i="1"/>
  <c r="J5188" i="1"/>
  <c r="J1882" i="1"/>
  <c r="V3928" i="1"/>
  <c r="J3734" i="1"/>
  <c r="J4633" i="1"/>
  <c r="J5413" i="1"/>
  <c r="J1896" i="1"/>
  <c r="J3814" i="1"/>
  <c r="J5625" i="1"/>
  <c r="J1671" i="1"/>
  <c r="J388" i="1"/>
  <c r="J600" i="1"/>
  <c r="J871" i="1"/>
  <c r="J6275" i="1"/>
  <c r="N3928" i="1"/>
  <c r="J5015" i="1"/>
  <c r="J292" i="1"/>
  <c r="J3941" i="1"/>
  <c r="J6691" i="1"/>
  <c r="J59" i="1"/>
  <c r="J134" i="1"/>
  <c r="J4820" i="1"/>
  <c r="J2232" i="1"/>
  <c r="J3782" i="1"/>
  <c r="J6529" i="1"/>
  <c r="J336" i="1"/>
  <c r="J2043" i="1"/>
  <c r="J4000" i="1"/>
  <c r="J5577" i="1"/>
  <c r="J5823" i="1"/>
  <c r="J6092" i="1"/>
  <c r="J25" i="1"/>
  <c r="X6876" i="1"/>
  <c r="W6876" i="1"/>
  <c r="V6876" i="1"/>
  <c r="U6876" i="1"/>
  <c r="P6876" i="1"/>
  <c r="B6876" i="1" s="1"/>
  <c r="N6876" i="1"/>
  <c r="X5192" i="1"/>
  <c r="W5192" i="1"/>
  <c r="U5192" i="1"/>
  <c r="P5192" i="1"/>
  <c r="B5192" i="1" s="1"/>
  <c r="L5192" i="1"/>
  <c r="R5192" i="1" l="1"/>
  <c r="S5192" i="1"/>
  <c r="J6782" i="1"/>
  <c r="V5192" i="1"/>
  <c r="N5192" i="1"/>
  <c r="X6089" i="1" l="1"/>
  <c r="W6089" i="1"/>
  <c r="U6089" i="1"/>
  <c r="P6089" i="1"/>
  <c r="B6089" i="1" s="1"/>
  <c r="L6089" i="1"/>
  <c r="X4688" i="1"/>
  <c r="W4688" i="1"/>
  <c r="U4688" i="1"/>
  <c r="P4688" i="1"/>
  <c r="B4688" i="1" s="1"/>
  <c r="L4688" i="1"/>
  <c r="X1209" i="1"/>
  <c r="W1209" i="1"/>
  <c r="V1209" i="1"/>
  <c r="U1209" i="1"/>
  <c r="M1209" i="1"/>
  <c r="K1209" i="1"/>
  <c r="I1209" i="1"/>
  <c r="H1209" i="1"/>
  <c r="X1208" i="1"/>
  <c r="W1208" i="1"/>
  <c r="V1208" i="1"/>
  <c r="U1208" i="1"/>
  <c r="N1208" i="1"/>
  <c r="X1207" i="1"/>
  <c r="W1207" i="1"/>
  <c r="U1207" i="1"/>
  <c r="P1207" i="1"/>
  <c r="B1207" i="1" s="1"/>
  <c r="L1207" i="1"/>
  <c r="X1206" i="1"/>
  <c r="W1206" i="1"/>
  <c r="V1206" i="1"/>
  <c r="U1206" i="1"/>
  <c r="N1206" i="1"/>
  <c r="X1205" i="1"/>
  <c r="W1205" i="1"/>
  <c r="V1205" i="1"/>
  <c r="U1205" i="1"/>
  <c r="N1205" i="1"/>
  <c r="X4426" i="1"/>
  <c r="W4426" i="1"/>
  <c r="U4426" i="1"/>
  <c r="P4426" i="1"/>
  <c r="B4426" i="1" s="1"/>
  <c r="L4426" i="1"/>
  <c r="X1546" i="1"/>
  <c r="W1546" i="1"/>
  <c r="V1546" i="1"/>
  <c r="U1546" i="1"/>
  <c r="M1546" i="1"/>
  <c r="K1546" i="1"/>
  <c r="I1546" i="1"/>
  <c r="H1546" i="1"/>
  <c r="X1545" i="1"/>
  <c r="W1545" i="1"/>
  <c r="V1545" i="1"/>
  <c r="U1545" i="1"/>
  <c r="N1545" i="1"/>
  <c r="X1544" i="1"/>
  <c r="W1544" i="1"/>
  <c r="U1544" i="1"/>
  <c r="P1544" i="1"/>
  <c r="B1544" i="1" s="1"/>
  <c r="V1544" i="1"/>
  <c r="X1543" i="1"/>
  <c r="W1543" i="1"/>
  <c r="V1543" i="1"/>
  <c r="U1543" i="1"/>
  <c r="N1543" i="1"/>
  <c r="X1542" i="1"/>
  <c r="W1542" i="1"/>
  <c r="V1542" i="1"/>
  <c r="U1542" i="1"/>
  <c r="N1542" i="1"/>
  <c r="X1479" i="1"/>
  <c r="W1479" i="1"/>
  <c r="V1479" i="1"/>
  <c r="U1479" i="1"/>
  <c r="M1479" i="1"/>
  <c r="K1479" i="1"/>
  <c r="I1479" i="1"/>
  <c r="H1479" i="1"/>
  <c r="X1478" i="1"/>
  <c r="W1478" i="1"/>
  <c r="V1478" i="1"/>
  <c r="U1478" i="1"/>
  <c r="N1478" i="1"/>
  <c r="X1477" i="1"/>
  <c r="W1477" i="1"/>
  <c r="U1477" i="1"/>
  <c r="P1477" i="1"/>
  <c r="B1477" i="1" s="1"/>
  <c r="L1477" i="1"/>
  <c r="X1476" i="1"/>
  <c r="W1476" i="1"/>
  <c r="V1476" i="1"/>
  <c r="U1476" i="1"/>
  <c r="N1476" i="1"/>
  <c r="X1475" i="1"/>
  <c r="W1475" i="1"/>
  <c r="V1475" i="1"/>
  <c r="U1475" i="1"/>
  <c r="N1475" i="1"/>
  <c r="X439" i="1"/>
  <c r="W439" i="1"/>
  <c r="U439" i="1"/>
  <c r="P439" i="1"/>
  <c r="B439" i="1" s="1"/>
  <c r="L439" i="1"/>
  <c r="X1495" i="1"/>
  <c r="W1495" i="1"/>
  <c r="V1495" i="1"/>
  <c r="U1495" i="1"/>
  <c r="M1495" i="1"/>
  <c r="K1495" i="1"/>
  <c r="I1495" i="1"/>
  <c r="H1495" i="1"/>
  <c r="X1494" i="1"/>
  <c r="W1494" i="1"/>
  <c r="V1494" i="1"/>
  <c r="U1494" i="1"/>
  <c r="N1494" i="1"/>
  <c r="X1492" i="1"/>
  <c r="W1492" i="1"/>
  <c r="U1492" i="1"/>
  <c r="P1492" i="1"/>
  <c r="B1492" i="1" s="1"/>
  <c r="L1492" i="1"/>
  <c r="X1491" i="1"/>
  <c r="W1491" i="1"/>
  <c r="V1491" i="1"/>
  <c r="U1491" i="1"/>
  <c r="N1491" i="1"/>
  <c r="X1490" i="1"/>
  <c r="W1490" i="1"/>
  <c r="V1490" i="1"/>
  <c r="U1490" i="1"/>
  <c r="N1490" i="1"/>
  <c r="X1656" i="1"/>
  <c r="W1656" i="1"/>
  <c r="U1656" i="1"/>
  <c r="P1656" i="1"/>
  <c r="B1656" i="1" s="1"/>
  <c r="L1656" i="1"/>
  <c r="X4604" i="1"/>
  <c r="W4604" i="1"/>
  <c r="U4604" i="1"/>
  <c r="P4604" i="1"/>
  <c r="B4604" i="1" s="1"/>
  <c r="L4604" i="1"/>
  <c r="X5921" i="1"/>
  <c r="W5921" i="1"/>
  <c r="U5921" i="1"/>
  <c r="P5921" i="1"/>
  <c r="B5921" i="1" s="1"/>
  <c r="L5921" i="1"/>
  <c r="X804" i="1"/>
  <c r="W804" i="1"/>
  <c r="U804" i="1"/>
  <c r="P804" i="1"/>
  <c r="B804" i="1" s="1"/>
  <c r="L804" i="1"/>
  <c r="X5311" i="1"/>
  <c r="W5311" i="1"/>
  <c r="U5311" i="1"/>
  <c r="P5311" i="1"/>
  <c r="B5311" i="1" s="1"/>
  <c r="L5311" i="1"/>
  <c r="I4891" i="1"/>
  <c r="H4891" i="1"/>
  <c r="X4891" i="1"/>
  <c r="W4891" i="1"/>
  <c r="U4891" i="1"/>
  <c r="P4891" i="1"/>
  <c r="B4891" i="1" s="1"/>
  <c r="R4604" i="1" l="1"/>
  <c r="S4604" i="1"/>
  <c r="S4688" i="1"/>
  <c r="R4688" i="1"/>
  <c r="R804" i="1"/>
  <c r="S804" i="1"/>
  <c r="R439" i="1"/>
  <c r="S439" i="1"/>
  <c r="R4426" i="1"/>
  <c r="S4426" i="1"/>
  <c r="R1656" i="1"/>
  <c r="S1656" i="1"/>
  <c r="R1477" i="1"/>
  <c r="S1477" i="1"/>
  <c r="R6089" i="1"/>
  <c r="S6089" i="1"/>
  <c r="R1207" i="1"/>
  <c r="S1207" i="1"/>
  <c r="R1492" i="1"/>
  <c r="S1492" i="1"/>
  <c r="R5921" i="1"/>
  <c r="S5921" i="1"/>
  <c r="S5311" i="1"/>
  <c r="R5311" i="1"/>
  <c r="V4688" i="1"/>
  <c r="V804" i="1"/>
  <c r="V439" i="1"/>
  <c r="V1477" i="1"/>
  <c r="N6089" i="1"/>
  <c r="V1207" i="1"/>
  <c r="V5921" i="1"/>
  <c r="V1492" i="1"/>
  <c r="V4426" i="1"/>
  <c r="V6089" i="1"/>
  <c r="N4688" i="1"/>
  <c r="N1207" i="1"/>
  <c r="N1209" i="1" s="1"/>
  <c r="L1209" i="1"/>
  <c r="N4426" i="1"/>
  <c r="N1544" i="1"/>
  <c r="N1546" i="1" s="1"/>
  <c r="L1546" i="1"/>
  <c r="N1477" i="1"/>
  <c r="N1479" i="1" s="1"/>
  <c r="L1479" i="1"/>
  <c r="N439" i="1"/>
  <c r="N1492" i="1"/>
  <c r="N1495" i="1" s="1"/>
  <c r="L1495" i="1"/>
  <c r="V1656" i="1"/>
  <c r="N1656" i="1"/>
  <c r="V4604" i="1"/>
  <c r="N4604" i="1"/>
  <c r="L4891" i="1"/>
  <c r="N5921" i="1"/>
  <c r="N804" i="1"/>
  <c r="V5311" i="1"/>
  <c r="N5311" i="1"/>
  <c r="R4891" i="1" l="1"/>
  <c r="S4891" i="1"/>
  <c r="N4891" i="1"/>
  <c r="V4891" i="1"/>
  <c r="X1470" i="1"/>
  <c r="W1470" i="1"/>
  <c r="U1470" i="1"/>
  <c r="P1470" i="1"/>
  <c r="B1470" i="1" s="1"/>
  <c r="L1470" i="1"/>
  <c r="X3399" i="1"/>
  <c r="W3399" i="1"/>
  <c r="U3399" i="1"/>
  <c r="P3399" i="1"/>
  <c r="B3399" i="1" s="1"/>
  <c r="L3399" i="1"/>
  <c r="X4350" i="1"/>
  <c r="W4350" i="1"/>
  <c r="V4350" i="1"/>
  <c r="U4350" i="1"/>
  <c r="M4350" i="1"/>
  <c r="K4350" i="1"/>
  <c r="I4350" i="1"/>
  <c r="H4350" i="1"/>
  <c r="X4349" i="1"/>
  <c r="W4349" i="1"/>
  <c r="V4349" i="1"/>
  <c r="U4349" i="1"/>
  <c r="N4349" i="1"/>
  <c r="X4348" i="1"/>
  <c r="W4348" i="1"/>
  <c r="U4348" i="1"/>
  <c r="P4348" i="1"/>
  <c r="B4348" i="1" s="1"/>
  <c r="L4348" i="1"/>
  <c r="X4347" i="1"/>
  <c r="W4347" i="1"/>
  <c r="V4347" i="1"/>
  <c r="U4347" i="1"/>
  <c r="N4347" i="1"/>
  <c r="X4346" i="1"/>
  <c r="W4346" i="1"/>
  <c r="V4346" i="1"/>
  <c r="U4346" i="1"/>
  <c r="N4346" i="1"/>
  <c r="X6855" i="1"/>
  <c r="W6855" i="1"/>
  <c r="V6855" i="1"/>
  <c r="U6855" i="1"/>
  <c r="P6855" i="1"/>
  <c r="B6855" i="1" s="1"/>
  <c r="N6855" i="1"/>
  <c r="R1470" i="1" l="1"/>
  <c r="S1470" i="1"/>
  <c r="R3399" i="1"/>
  <c r="S3399" i="1"/>
  <c r="R4348" i="1"/>
  <c r="S4348" i="1"/>
  <c r="V1470" i="1"/>
  <c r="V4348" i="1"/>
  <c r="N1470" i="1"/>
  <c r="V3399" i="1"/>
  <c r="N3399" i="1"/>
  <c r="N4348" i="1"/>
  <c r="N4350" i="1" s="1"/>
  <c r="L4350" i="1"/>
  <c r="I5400" i="1"/>
  <c r="X5400" i="1" l="1"/>
  <c r="W5400" i="1"/>
  <c r="U5400" i="1"/>
  <c r="P5400" i="1"/>
  <c r="B5400" i="1" s="1"/>
  <c r="L5400" i="1"/>
  <c r="X5585" i="1"/>
  <c r="W5585" i="1"/>
  <c r="U5585" i="1"/>
  <c r="P5585" i="1"/>
  <c r="B5585" i="1" s="1"/>
  <c r="L5585" i="1"/>
  <c r="R5585" i="1" l="1"/>
  <c r="S5585" i="1"/>
  <c r="R5400" i="1"/>
  <c r="S5400" i="1"/>
  <c r="V5400" i="1"/>
  <c r="N5400" i="1"/>
  <c r="V5585" i="1"/>
  <c r="N5585" i="1"/>
  <c r="X139" i="1"/>
  <c r="W139" i="1"/>
  <c r="V139" i="1"/>
  <c r="U139" i="1"/>
  <c r="M139" i="1"/>
  <c r="K139" i="1"/>
  <c r="I139" i="1"/>
  <c r="H139" i="1"/>
  <c r="X138" i="1"/>
  <c r="W138" i="1"/>
  <c r="V138" i="1"/>
  <c r="U138" i="1"/>
  <c r="N138" i="1"/>
  <c r="X137" i="1"/>
  <c r="W137" i="1"/>
  <c r="U137" i="1"/>
  <c r="P137" i="1"/>
  <c r="B137" i="1" s="1"/>
  <c r="L137" i="1"/>
  <c r="X136" i="1"/>
  <c r="W136" i="1"/>
  <c r="V136" i="1"/>
  <c r="U136" i="1"/>
  <c r="N136" i="1"/>
  <c r="X135" i="1"/>
  <c r="W135" i="1"/>
  <c r="V135" i="1"/>
  <c r="U135" i="1"/>
  <c r="N135" i="1"/>
  <c r="X4962" i="1"/>
  <c r="W4962" i="1"/>
  <c r="V4962" i="1"/>
  <c r="U4962" i="1"/>
  <c r="M4962" i="1"/>
  <c r="K4962" i="1"/>
  <c r="I4962" i="1"/>
  <c r="H4962" i="1"/>
  <c r="X4961" i="1"/>
  <c r="W4961" i="1"/>
  <c r="V4961" i="1"/>
  <c r="U4961" i="1"/>
  <c r="N4961" i="1"/>
  <c r="X4959" i="1"/>
  <c r="W4959" i="1"/>
  <c r="U4959" i="1"/>
  <c r="P4959" i="1"/>
  <c r="B4959" i="1" s="1"/>
  <c r="L4959" i="1"/>
  <c r="X4958" i="1"/>
  <c r="W4958" i="1"/>
  <c r="V4958" i="1"/>
  <c r="U4958" i="1"/>
  <c r="N4958" i="1"/>
  <c r="X4957" i="1"/>
  <c r="W4957" i="1"/>
  <c r="V4957" i="1"/>
  <c r="U4957" i="1"/>
  <c r="N4957" i="1"/>
  <c r="R4959" i="1" l="1"/>
  <c r="S4959" i="1"/>
  <c r="R137" i="1"/>
  <c r="S137" i="1"/>
  <c r="L4962" i="1"/>
  <c r="V4959" i="1"/>
  <c r="V137" i="1"/>
  <c r="N137" i="1"/>
  <c r="N139" i="1" s="1"/>
  <c r="L139" i="1"/>
  <c r="N4959" i="1"/>
  <c r="N4962" i="1" s="1"/>
  <c r="X5417" i="1"/>
  <c r="W5417" i="1"/>
  <c r="U5417" i="1"/>
  <c r="P5417" i="1"/>
  <c r="B5417" i="1" s="1"/>
  <c r="L5417" i="1"/>
  <c r="X6831" i="1"/>
  <c r="W6831" i="1"/>
  <c r="V6831" i="1"/>
  <c r="U6831" i="1"/>
  <c r="P6831" i="1"/>
  <c r="B6831" i="1" s="1"/>
  <c r="N6831" i="1"/>
  <c r="X6629" i="1"/>
  <c r="W6629" i="1"/>
  <c r="U6629" i="1"/>
  <c r="P6629" i="1"/>
  <c r="B6629" i="1" s="1"/>
  <c r="L6629" i="1"/>
  <c r="X4199" i="1"/>
  <c r="W4199" i="1"/>
  <c r="U4199" i="1"/>
  <c r="P4199" i="1"/>
  <c r="B4199" i="1" s="1"/>
  <c r="L4199" i="1"/>
  <c r="R4199" i="1" l="1"/>
  <c r="S4199" i="1"/>
  <c r="R5417" i="1"/>
  <c r="S5417" i="1"/>
  <c r="R6629" i="1"/>
  <c r="S6629" i="1"/>
  <c r="V4199" i="1"/>
  <c r="V6629" i="1"/>
  <c r="V5417" i="1"/>
  <c r="N5417" i="1"/>
  <c r="N4199" i="1"/>
  <c r="N6629" i="1"/>
  <c r="X5085" i="1"/>
  <c r="W5085" i="1"/>
  <c r="U5085" i="1"/>
  <c r="P5085" i="1"/>
  <c r="B5085" i="1" s="1"/>
  <c r="L5085" i="1"/>
  <c r="X6829" i="1"/>
  <c r="W6829" i="1"/>
  <c r="V6829" i="1"/>
  <c r="U6829" i="1"/>
  <c r="P6829" i="1"/>
  <c r="B6829" i="1" s="1"/>
  <c r="N6829" i="1"/>
  <c r="X4817" i="1"/>
  <c r="W4817" i="1"/>
  <c r="U4817" i="1"/>
  <c r="P4817" i="1"/>
  <c r="B4817" i="1" s="1"/>
  <c r="L4817" i="1"/>
  <c r="X5442" i="1"/>
  <c r="W5442" i="1"/>
  <c r="V5442" i="1"/>
  <c r="U5442" i="1"/>
  <c r="M5442" i="1"/>
  <c r="K5442" i="1"/>
  <c r="I5442" i="1"/>
  <c r="H5442" i="1"/>
  <c r="X5441" i="1"/>
  <c r="W5441" i="1"/>
  <c r="V5441" i="1"/>
  <c r="U5441" i="1"/>
  <c r="N5441" i="1"/>
  <c r="X5440" i="1"/>
  <c r="W5440" i="1"/>
  <c r="U5440" i="1"/>
  <c r="P5440" i="1"/>
  <c r="B5440" i="1" s="1"/>
  <c r="L5440" i="1"/>
  <c r="X5439" i="1"/>
  <c r="W5439" i="1"/>
  <c r="V5439" i="1"/>
  <c r="U5439" i="1"/>
  <c r="N5439" i="1"/>
  <c r="X5438" i="1"/>
  <c r="W5438" i="1"/>
  <c r="V5438" i="1"/>
  <c r="U5438" i="1"/>
  <c r="N5438" i="1"/>
  <c r="X80" i="1"/>
  <c r="W80" i="1"/>
  <c r="U80" i="1"/>
  <c r="P80" i="1"/>
  <c r="B80" i="1" s="1"/>
  <c r="L80" i="1"/>
  <c r="I668" i="1"/>
  <c r="H668" i="1"/>
  <c r="X667" i="1"/>
  <c r="W667" i="1"/>
  <c r="U667" i="1"/>
  <c r="P667" i="1"/>
  <c r="B667" i="1" s="1"/>
  <c r="L667" i="1"/>
  <c r="X4972" i="1"/>
  <c r="W4972" i="1"/>
  <c r="U4972" i="1"/>
  <c r="P4972" i="1"/>
  <c r="B4972" i="1" s="1"/>
  <c r="L4972" i="1"/>
  <c r="R667" i="1" l="1"/>
  <c r="S667" i="1"/>
  <c r="R5440" i="1"/>
  <c r="S5440" i="1"/>
  <c r="R5085" i="1"/>
  <c r="S5085" i="1"/>
  <c r="R4817" i="1"/>
  <c r="S4817" i="1"/>
  <c r="R4972" i="1"/>
  <c r="S4972" i="1"/>
  <c r="R80" i="1"/>
  <c r="S80" i="1"/>
  <c r="N80" i="1"/>
  <c r="V5440" i="1"/>
  <c r="V5085" i="1"/>
  <c r="N5085" i="1"/>
  <c r="V4817" i="1"/>
  <c r="N4817" i="1"/>
  <c r="N667" i="1"/>
  <c r="N5440" i="1"/>
  <c r="N5442" i="1" s="1"/>
  <c r="L5442" i="1"/>
  <c r="V80" i="1"/>
  <c r="V667" i="1"/>
  <c r="N4972" i="1"/>
  <c r="V4972" i="1"/>
  <c r="X5930" i="1"/>
  <c r="W5930" i="1"/>
  <c r="U5930" i="1"/>
  <c r="P5930" i="1"/>
  <c r="B5930" i="1" s="1"/>
  <c r="L5930" i="1"/>
  <c r="H2038" i="1"/>
  <c r="R5930" i="1" l="1"/>
  <c r="S5930" i="1"/>
  <c r="V5930" i="1"/>
  <c r="N5930" i="1"/>
  <c r="X2038" i="1"/>
  <c r="W2038" i="1"/>
  <c r="U2038" i="1"/>
  <c r="P2038" i="1"/>
  <c r="B2038" i="1" s="1"/>
  <c r="L2038" i="1"/>
  <c r="X5268" i="1"/>
  <c r="W5268" i="1"/>
  <c r="U5268" i="1"/>
  <c r="P5268" i="1"/>
  <c r="B5268" i="1" s="1"/>
  <c r="L5268" i="1"/>
  <c r="X6470" i="1"/>
  <c r="W6470" i="1"/>
  <c r="V6470" i="1"/>
  <c r="U6470" i="1"/>
  <c r="M6470" i="1"/>
  <c r="K6470" i="1"/>
  <c r="I6470" i="1"/>
  <c r="H6470" i="1"/>
  <c r="X6469" i="1"/>
  <c r="W6469" i="1"/>
  <c r="V6469" i="1"/>
  <c r="U6469" i="1"/>
  <c r="N6469" i="1"/>
  <c r="X6468" i="1"/>
  <c r="W6468" i="1"/>
  <c r="U6468" i="1"/>
  <c r="P6468" i="1"/>
  <c r="B6468" i="1" s="1"/>
  <c r="L6468" i="1"/>
  <c r="X6467" i="1"/>
  <c r="W6467" i="1"/>
  <c r="V6467" i="1"/>
  <c r="U6467" i="1"/>
  <c r="N6467" i="1"/>
  <c r="X6466" i="1"/>
  <c r="W6466" i="1"/>
  <c r="V6466" i="1"/>
  <c r="U6466" i="1"/>
  <c r="N6466" i="1"/>
  <c r="X2009" i="1"/>
  <c r="W2009" i="1"/>
  <c r="U2009" i="1"/>
  <c r="P2009" i="1"/>
  <c r="B2009" i="1" s="1"/>
  <c r="L2009" i="1"/>
  <c r="X1237" i="1"/>
  <c r="W1237" i="1"/>
  <c r="U1237" i="1"/>
  <c r="P1237" i="1"/>
  <c r="B1237" i="1" s="1"/>
  <c r="L1237" i="1"/>
  <c r="X1191" i="1"/>
  <c r="W1191" i="1"/>
  <c r="U1191" i="1"/>
  <c r="P1191" i="1"/>
  <c r="B1191" i="1" s="1"/>
  <c r="L1191" i="1"/>
  <c r="X1192" i="1"/>
  <c r="W1192" i="1"/>
  <c r="U1192" i="1"/>
  <c r="P1192" i="1"/>
  <c r="B1192" i="1" s="1"/>
  <c r="L1192" i="1"/>
  <c r="X6845" i="1"/>
  <c r="W6845" i="1"/>
  <c r="V6845" i="1"/>
  <c r="U6845" i="1"/>
  <c r="P6845" i="1"/>
  <c r="B6845" i="1" s="1"/>
  <c r="N6845" i="1"/>
  <c r="X6842" i="1"/>
  <c r="W6842" i="1"/>
  <c r="V6842" i="1"/>
  <c r="U6842" i="1"/>
  <c r="P6842" i="1"/>
  <c r="B6842" i="1" s="1"/>
  <c r="N6842" i="1"/>
  <c r="X1848" i="1"/>
  <c r="W1848" i="1"/>
  <c r="U1848" i="1"/>
  <c r="P1848" i="1"/>
  <c r="B1848" i="1" s="1"/>
  <c r="L1848" i="1"/>
  <c r="H3997" i="1"/>
  <c r="L3997" i="1" s="1"/>
  <c r="X3997" i="1"/>
  <c r="W3997" i="1"/>
  <c r="U3997" i="1"/>
  <c r="P3997" i="1"/>
  <c r="B3997" i="1" s="1"/>
  <c r="X6823" i="1"/>
  <c r="W6823" i="1"/>
  <c r="V6823" i="1"/>
  <c r="U6823" i="1"/>
  <c r="P6823" i="1"/>
  <c r="B6823" i="1" s="1"/>
  <c r="N6823" i="1"/>
  <c r="X6090" i="1"/>
  <c r="W6090" i="1"/>
  <c r="U6090" i="1"/>
  <c r="P6090" i="1"/>
  <c r="B6090" i="1" s="1"/>
  <c r="L6090" i="1"/>
  <c r="X6664" i="1"/>
  <c r="W6664" i="1"/>
  <c r="V6664" i="1"/>
  <c r="U6664" i="1"/>
  <c r="M6664" i="1"/>
  <c r="K6664" i="1"/>
  <c r="I6664" i="1"/>
  <c r="H6664" i="1"/>
  <c r="X6663" i="1"/>
  <c r="W6663" i="1"/>
  <c r="V6663" i="1"/>
  <c r="U6663" i="1"/>
  <c r="N6663" i="1"/>
  <c r="X6661" i="1"/>
  <c r="W6661" i="1"/>
  <c r="U6661" i="1"/>
  <c r="P6661" i="1"/>
  <c r="B6661" i="1" s="1"/>
  <c r="L6661" i="1"/>
  <c r="X6660" i="1"/>
  <c r="W6660" i="1"/>
  <c r="V6660" i="1"/>
  <c r="U6660" i="1"/>
  <c r="N6660" i="1"/>
  <c r="X6659" i="1"/>
  <c r="W6659" i="1"/>
  <c r="V6659" i="1"/>
  <c r="U6659" i="1"/>
  <c r="N6659" i="1"/>
  <c r="X5007" i="1"/>
  <c r="W5007" i="1"/>
  <c r="U5007" i="1"/>
  <c r="P5007" i="1"/>
  <c r="B5007" i="1" s="1"/>
  <c r="H5007" i="1"/>
  <c r="R1191" i="1" l="1"/>
  <c r="S1191" i="1"/>
  <c r="R2038" i="1"/>
  <c r="S2038" i="1"/>
  <c r="S6468" i="1"/>
  <c r="R6468" i="1"/>
  <c r="R3997" i="1"/>
  <c r="S3997" i="1"/>
  <c r="R2009" i="1"/>
  <c r="S2009" i="1"/>
  <c r="R1237" i="1"/>
  <c r="S1237" i="1"/>
  <c r="R6090" i="1"/>
  <c r="S6090" i="1"/>
  <c r="R1848" i="1"/>
  <c r="S1848" i="1"/>
  <c r="R1192" i="1"/>
  <c r="S1192" i="1"/>
  <c r="R5268" i="1"/>
  <c r="S5268" i="1"/>
  <c r="V2009" i="1"/>
  <c r="V1848" i="1"/>
  <c r="V6090" i="1"/>
  <c r="V1191" i="1"/>
  <c r="V6661" i="1"/>
  <c r="V5268" i="1"/>
  <c r="V6468" i="1"/>
  <c r="V2038" i="1"/>
  <c r="N2038" i="1"/>
  <c r="N5268" i="1"/>
  <c r="L6470" i="1"/>
  <c r="V1237" i="1"/>
  <c r="N6468" i="1"/>
  <c r="N6470" i="1" s="1"/>
  <c r="N2009" i="1"/>
  <c r="N1237" i="1"/>
  <c r="N1191" i="1"/>
  <c r="V1192" i="1"/>
  <c r="N1192" i="1"/>
  <c r="N1848" i="1"/>
  <c r="N3997" i="1"/>
  <c r="V3997" i="1"/>
  <c r="L5007" i="1"/>
  <c r="N6090" i="1"/>
  <c r="N6661" i="1"/>
  <c r="L6664" i="1"/>
  <c r="X4824" i="1"/>
  <c r="W4824" i="1"/>
  <c r="U4824" i="1"/>
  <c r="P4824" i="1"/>
  <c r="B4824" i="1" s="1"/>
  <c r="L4824" i="1"/>
  <c r="R5007" i="1" l="1"/>
  <c r="S5007" i="1"/>
  <c r="R4824" i="1"/>
  <c r="S4824" i="1"/>
  <c r="V4824" i="1"/>
  <c r="N5007" i="1"/>
  <c r="V5007" i="1"/>
  <c r="N6664" i="1"/>
  <c r="N4824" i="1"/>
  <c r="X1536" i="1"/>
  <c r="W1536" i="1"/>
  <c r="U1536" i="1"/>
  <c r="P1536" i="1"/>
  <c r="B1536" i="1" s="1"/>
  <c r="L1536" i="1"/>
  <c r="R1536" i="1" l="1"/>
  <c r="S1536" i="1"/>
  <c r="V1536" i="1"/>
  <c r="N1536" i="1"/>
  <c r="X5863" i="1"/>
  <c r="W5863" i="1"/>
  <c r="U5863" i="1"/>
  <c r="P5863" i="1"/>
  <c r="B5863" i="1" s="1"/>
  <c r="L5863" i="1"/>
  <c r="L4818" i="1"/>
  <c r="P4818" i="1"/>
  <c r="B4818" i="1" s="1"/>
  <c r="U4818" i="1"/>
  <c r="W4818" i="1"/>
  <c r="X4818" i="1"/>
  <c r="X4816" i="1"/>
  <c r="W4816" i="1"/>
  <c r="U4816" i="1"/>
  <c r="P4816" i="1"/>
  <c r="B4816" i="1" s="1"/>
  <c r="L4816" i="1"/>
  <c r="X4141" i="1"/>
  <c r="W4141" i="1"/>
  <c r="U4141" i="1"/>
  <c r="P4141" i="1"/>
  <c r="B4141" i="1" s="1"/>
  <c r="L4141" i="1"/>
  <c r="X4815" i="1"/>
  <c r="W4815" i="1"/>
  <c r="U4815" i="1"/>
  <c r="P4815" i="1"/>
  <c r="B4815" i="1" s="1"/>
  <c r="L4815" i="1"/>
  <c r="X4814" i="1"/>
  <c r="W4814" i="1"/>
  <c r="U4814" i="1"/>
  <c r="P4814" i="1"/>
  <c r="B4814" i="1" s="1"/>
  <c r="L4814" i="1"/>
  <c r="R4814" i="1" l="1"/>
  <c r="S4814" i="1"/>
  <c r="R5863" i="1"/>
  <c r="S5863" i="1"/>
  <c r="R4816" i="1"/>
  <c r="S4816" i="1"/>
  <c r="R4141" i="1"/>
  <c r="S4141" i="1"/>
  <c r="S4818" i="1"/>
  <c r="R4818" i="1"/>
  <c r="R4815" i="1"/>
  <c r="S4815" i="1"/>
  <c r="V4141" i="1"/>
  <c r="V4814" i="1"/>
  <c r="V5863" i="1"/>
  <c r="N4818" i="1"/>
  <c r="N4815" i="1"/>
  <c r="V4816" i="1"/>
  <c r="N5863" i="1"/>
  <c r="V4818" i="1"/>
  <c r="V4815" i="1"/>
  <c r="N4816" i="1"/>
  <c r="N4141" i="1"/>
  <c r="N4814" i="1"/>
  <c r="X1629" i="1"/>
  <c r="W1629" i="1"/>
  <c r="U1629" i="1"/>
  <c r="P1629" i="1"/>
  <c r="B1629" i="1" s="1"/>
  <c r="L1629" i="1"/>
  <c r="X1627" i="1"/>
  <c r="W1627" i="1"/>
  <c r="U1627" i="1"/>
  <c r="P1627" i="1"/>
  <c r="B1627" i="1" s="1"/>
  <c r="L1627" i="1"/>
  <c r="X5811" i="1"/>
  <c r="W5811" i="1"/>
  <c r="U5811" i="1"/>
  <c r="P5811" i="1"/>
  <c r="B5811" i="1" s="1"/>
  <c r="L5811" i="1"/>
  <c r="X5172" i="1"/>
  <c r="W5172" i="1"/>
  <c r="U5172" i="1"/>
  <c r="P5172" i="1"/>
  <c r="B5172" i="1" s="1"/>
  <c r="L5172" i="1"/>
  <c r="X5853" i="1"/>
  <c r="W5853" i="1"/>
  <c r="U5853" i="1"/>
  <c r="P5853" i="1"/>
  <c r="B5853" i="1" s="1"/>
  <c r="L5853" i="1"/>
  <c r="H1624" i="1"/>
  <c r="L1624" i="1" s="1"/>
  <c r="X1624" i="1"/>
  <c r="W1624" i="1"/>
  <c r="U1624" i="1"/>
  <c r="P1624" i="1"/>
  <c r="B1624" i="1" s="1"/>
  <c r="X5170" i="1"/>
  <c r="W5170" i="1"/>
  <c r="U5170" i="1"/>
  <c r="P5170" i="1"/>
  <c r="B5170" i="1" s="1"/>
  <c r="L5170" i="1"/>
  <c r="X5812" i="1"/>
  <c r="W5812" i="1"/>
  <c r="U5812" i="1"/>
  <c r="P5812" i="1"/>
  <c r="B5812" i="1" s="1"/>
  <c r="L5812" i="1"/>
  <c r="X5808" i="1"/>
  <c r="W5808" i="1"/>
  <c r="U5808" i="1"/>
  <c r="P5808" i="1"/>
  <c r="B5808" i="1" s="1"/>
  <c r="L5808" i="1"/>
  <c r="X5849" i="1"/>
  <c r="W5849" i="1"/>
  <c r="U5849" i="1"/>
  <c r="P5849" i="1"/>
  <c r="B5849" i="1" s="1"/>
  <c r="L5849" i="1"/>
  <c r="L851" i="1"/>
  <c r="X851" i="1"/>
  <c r="W851" i="1"/>
  <c r="U851" i="1"/>
  <c r="P851" i="1"/>
  <c r="B851" i="1" s="1"/>
  <c r="X1609" i="1"/>
  <c r="W1609" i="1"/>
  <c r="U1609" i="1"/>
  <c r="P1609" i="1"/>
  <c r="B1609" i="1" s="1"/>
  <c r="L1609" i="1"/>
  <c r="X850" i="1"/>
  <c r="W850" i="1"/>
  <c r="U850" i="1"/>
  <c r="P850" i="1"/>
  <c r="B850" i="1" s="1"/>
  <c r="L850" i="1"/>
  <c r="R1627" i="1" l="1"/>
  <c r="S1627" i="1"/>
  <c r="R5170" i="1"/>
  <c r="S5170" i="1"/>
  <c r="R1629" i="1"/>
  <c r="S1629" i="1"/>
  <c r="R5172" i="1"/>
  <c r="S5172" i="1"/>
  <c r="R850" i="1"/>
  <c r="S850" i="1"/>
  <c r="R5812" i="1"/>
  <c r="S5812" i="1"/>
  <c r="R1609" i="1"/>
  <c r="S1609" i="1"/>
  <c r="S5811" i="1"/>
  <c r="R5811" i="1"/>
  <c r="R851" i="1"/>
  <c r="S851" i="1"/>
  <c r="R5849" i="1"/>
  <c r="S5849" i="1"/>
  <c r="R1624" i="1"/>
  <c r="S1624" i="1"/>
  <c r="R5808" i="1"/>
  <c r="S5808" i="1"/>
  <c r="R5853" i="1"/>
  <c r="S5853" i="1"/>
  <c r="V5170" i="1"/>
  <c r="V5853" i="1"/>
  <c r="V851" i="1"/>
  <c r="V1624" i="1"/>
  <c r="V5172" i="1"/>
  <c r="V5849" i="1"/>
  <c r="V5812" i="1"/>
  <c r="V5811" i="1"/>
  <c r="V850" i="1"/>
  <c r="N1629" i="1"/>
  <c r="V1629" i="1"/>
  <c r="V1627" i="1"/>
  <c r="N1627" i="1"/>
  <c r="N5811" i="1"/>
  <c r="N5172" i="1"/>
  <c r="N5853" i="1"/>
  <c r="N1624" i="1"/>
  <c r="N5170" i="1"/>
  <c r="N5812" i="1"/>
  <c r="N5808" i="1"/>
  <c r="V5808" i="1"/>
  <c r="N5849" i="1"/>
  <c r="N851" i="1"/>
  <c r="V1609" i="1"/>
  <c r="N1609" i="1"/>
  <c r="N850" i="1"/>
  <c r="X1607" i="1"/>
  <c r="W1607" i="1"/>
  <c r="U1607" i="1"/>
  <c r="P1607" i="1"/>
  <c r="B1607" i="1" s="1"/>
  <c r="L1607" i="1"/>
  <c r="X5847" i="1"/>
  <c r="W5847" i="1"/>
  <c r="U5847" i="1"/>
  <c r="P5847" i="1"/>
  <c r="B5847" i="1" s="1"/>
  <c r="L5847" i="1"/>
  <c r="X5848" i="1"/>
  <c r="W5848" i="1"/>
  <c r="U5848" i="1"/>
  <c r="P5848" i="1"/>
  <c r="B5848" i="1" s="1"/>
  <c r="L5848" i="1"/>
  <c r="R5848" i="1" l="1"/>
  <c r="S5848" i="1"/>
  <c r="R1607" i="1"/>
  <c r="S1607" i="1"/>
  <c r="R5847" i="1"/>
  <c r="S5847" i="1"/>
  <c r="V1607" i="1"/>
  <c r="N5847" i="1"/>
  <c r="N1607" i="1"/>
  <c r="V5847" i="1"/>
  <c r="V5848" i="1"/>
  <c r="N5848" i="1"/>
  <c r="X1300" i="1"/>
  <c r="W1300" i="1"/>
  <c r="U1300" i="1"/>
  <c r="P1300" i="1"/>
  <c r="B1300" i="1" s="1"/>
  <c r="L1300" i="1"/>
  <c r="X6641" i="1"/>
  <c r="W6641" i="1"/>
  <c r="U6641" i="1"/>
  <c r="P6641" i="1"/>
  <c r="B6641" i="1" s="1"/>
  <c r="L6641" i="1"/>
  <c r="S6641" i="1" l="1"/>
  <c r="R6641" i="1"/>
  <c r="R1300" i="1"/>
  <c r="S1300" i="1"/>
  <c r="V1300" i="1"/>
  <c r="N1300" i="1"/>
  <c r="N6641" i="1"/>
  <c r="V6641" i="1"/>
  <c r="X5659" i="1" l="1"/>
  <c r="W5659" i="1"/>
  <c r="U5659" i="1"/>
  <c r="P5659" i="1"/>
  <c r="B5659" i="1" s="1"/>
  <c r="L5659" i="1"/>
  <c r="X6423" i="1"/>
  <c r="W6423" i="1"/>
  <c r="V6423" i="1"/>
  <c r="U6423" i="1"/>
  <c r="M6423" i="1"/>
  <c r="K6423" i="1"/>
  <c r="I6423" i="1"/>
  <c r="H6423" i="1"/>
  <c r="X6422" i="1"/>
  <c r="W6422" i="1"/>
  <c r="V6422" i="1"/>
  <c r="U6422" i="1"/>
  <c r="N6422" i="1"/>
  <c r="X6421" i="1"/>
  <c r="W6421" i="1"/>
  <c r="U6421" i="1"/>
  <c r="P6421" i="1"/>
  <c r="B6421" i="1" s="1"/>
  <c r="L6421" i="1"/>
  <c r="X6420" i="1"/>
  <c r="W6420" i="1"/>
  <c r="V6420" i="1"/>
  <c r="U6420" i="1"/>
  <c r="N6420" i="1"/>
  <c r="X6419" i="1"/>
  <c r="W6419" i="1"/>
  <c r="V6419" i="1"/>
  <c r="U6419" i="1"/>
  <c r="N6419" i="1"/>
  <c r="I1657" i="1"/>
  <c r="L1657" i="1" s="1"/>
  <c r="X1657" i="1"/>
  <c r="W1657" i="1"/>
  <c r="U1657" i="1"/>
  <c r="P1657" i="1"/>
  <c r="B1657" i="1" s="1"/>
  <c r="X5601" i="1"/>
  <c r="W5601" i="1"/>
  <c r="U5601" i="1"/>
  <c r="P5601" i="1"/>
  <c r="B5601" i="1" s="1"/>
  <c r="L5601" i="1"/>
  <c r="X5128" i="1"/>
  <c r="W5128" i="1"/>
  <c r="U5128" i="1"/>
  <c r="P5128" i="1"/>
  <c r="B5128" i="1" s="1"/>
  <c r="L5128" i="1"/>
  <c r="L2041" i="1"/>
  <c r="X2041" i="1"/>
  <c r="W2041" i="1"/>
  <c r="U2041" i="1"/>
  <c r="P2041" i="1"/>
  <c r="B2041" i="1" s="1"/>
  <c r="X5500" i="1"/>
  <c r="W5500" i="1"/>
  <c r="U5500" i="1"/>
  <c r="P5500" i="1"/>
  <c r="B5500" i="1" s="1"/>
  <c r="L5500" i="1"/>
  <c r="X3744" i="1"/>
  <c r="W3744" i="1"/>
  <c r="U3744" i="1"/>
  <c r="P3744" i="1"/>
  <c r="B3744" i="1" s="1"/>
  <c r="L3744" i="1"/>
  <c r="X4359" i="1"/>
  <c r="W4359" i="1"/>
  <c r="U4359" i="1"/>
  <c r="P4359" i="1"/>
  <c r="B4359" i="1" s="1"/>
  <c r="L4359" i="1"/>
  <c r="R6421" i="1" l="1"/>
  <c r="S6421" i="1"/>
  <c r="R4359" i="1"/>
  <c r="S4359" i="1"/>
  <c r="S5128" i="1"/>
  <c r="R5128" i="1"/>
  <c r="R5500" i="1"/>
  <c r="S5500" i="1"/>
  <c r="S5659" i="1"/>
  <c r="R5659" i="1"/>
  <c r="R1657" i="1"/>
  <c r="S1657" i="1"/>
  <c r="R3744" i="1"/>
  <c r="S3744" i="1"/>
  <c r="S5601" i="1"/>
  <c r="R5601" i="1"/>
  <c r="R2041" i="1"/>
  <c r="S2041" i="1"/>
  <c r="L6423" i="1"/>
  <c r="V1657" i="1"/>
  <c r="V5500" i="1"/>
  <c r="V5128" i="1"/>
  <c r="V5601" i="1"/>
  <c r="V5659" i="1"/>
  <c r="V3744" i="1"/>
  <c r="N5659" i="1"/>
  <c r="V6421" i="1"/>
  <c r="N6421" i="1"/>
  <c r="N6423" i="1" s="1"/>
  <c r="N1657" i="1"/>
  <c r="N5601" i="1"/>
  <c r="N5128" i="1"/>
  <c r="V2041" i="1"/>
  <c r="N2041" i="1"/>
  <c r="V4359" i="1"/>
  <c r="N5500" i="1"/>
  <c r="N3744" i="1"/>
  <c r="N4359" i="1"/>
  <c r="X5787" i="1"/>
  <c r="W5787" i="1"/>
  <c r="U5787" i="1"/>
  <c r="P5787" i="1"/>
  <c r="B5787" i="1" s="1"/>
  <c r="L5787" i="1"/>
  <c r="S5787" i="1" l="1"/>
  <c r="R5787" i="1"/>
  <c r="V5787" i="1"/>
  <c r="N5787" i="1"/>
  <c r="X3718" i="1" l="1"/>
  <c r="W3718" i="1"/>
  <c r="U3718" i="1"/>
  <c r="P3718" i="1"/>
  <c r="B3718" i="1" s="1"/>
  <c r="L3718" i="1"/>
  <c r="R3718" i="1" l="1"/>
  <c r="S3718" i="1"/>
  <c r="N3718" i="1"/>
  <c r="V3718" i="1"/>
  <c r="X5166" i="1" l="1"/>
  <c r="W5166" i="1"/>
  <c r="U5166" i="1"/>
  <c r="P5166" i="1"/>
  <c r="B5166" i="1" s="1"/>
  <c r="L5166" i="1"/>
  <c r="X6841" i="1"/>
  <c r="W6841" i="1"/>
  <c r="V6841" i="1"/>
  <c r="U6841" i="1"/>
  <c r="P6841" i="1"/>
  <c r="B6841" i="1" s="1"/>
  <c r="N6841" i="1"/>
  <c r="R5166" i="1" l="1"/>
  <c r="S5166" i="1"/>
  <c r="N5166" i="1"/>
  <c r="V5166" i="1"/>
  <c r="I3994" i="1"/>
  <c r="L3994" i="1" s="1"/>
  <c r="X3994" i="1"/>
  <c r="W3994" i="1"/>
  <c r="U3994" i="1"/>
  <c r="P3994" i="1"/>
  <c r="B3994" i="1" s="1"/>
  <c r="R3994" i="1" l="1"/>
  <c r="S3994" i="1"/>
  <c r="V3994" i="1"/>
  <c r="N3994" i="1"/>
  <c r="X5763" i="1" l="1"/>
  <c r="W5763" i="1"/>
  <c r="V5763" i="1"/>
  <c r="U5763" i="1"/>
  <c r="M5763" i="1"/>
  <c r="K5763" i="1"/>
  <c r="I5763" i="1"/>
  <c r="H5763" i="1"/>
  <c r="X5762" i="1"/>
  <c r="W5762" i="1"/>
  <c r="V5762" i="1"/>
  <c r="U5762" i="1"/>
  <c r="N5762" i="1"/>
  <c r="X5761" i="1"/>
  <c r="W5761" i="1"/>
  <c r="U5761" i="1"/>
  <c r="P5761" i="1"/>
  <c r="B5761" i="1" s="1"/>
  <c r="L5761" i="1"/>
  <c r="X5760" i="1"/>
  <c r="W5760" i="1"/>
  <c r="V5760" i="1"/>
  <c r="U5760" i="1"/>
  <c r="N5760" i="1"/>
  <c r="X5759" i="1"/>
  <c r="W5759" i="1"/>
  <c r="V5759" i="1"/>
  <c r="U5759" i="1"/>
  <c r="N5759" i="1"/>
  <c r="X6343" i="1"/>
  <c r="W6343" i="1"/>
  <c r="U6343" i="1"/>
  <c r="P6343" i="1"/>
  <c r="B6343" i="1" s="1"/>
  <c r="L6343" i="1"/>
  <c r="X894" i="1"/>
  <c r="W894" i="1"/>
  <c r="U894" i="1"/>
  <c r="P894" i="1"/>
  <c r="B894" i="1" s="1"/>
  <c r="L894" i="1"/>
  <c r="X5167" i="1"/>
  <c r="W5167" i="1"/>
  <c r="U5167" i="1"/>
  <c r="P5167" i="1"/>
  <c r="B5167" i="1" s="1"/>
  <c r="L5167" i="1"/>
  <c r="X672" i="1"/>
  <c r="W672" i="1"/>
  <c r="U672" i="1"/>
  <c r="P672" i="1"/>
  <c r="B672" i="1" s="1"/>
  <c r="L672" i="1"/>
  <c r="L2008" i="1"/>
  <c r="X2008" i="1"/>
  <c r="W2008" i="1"/>
  <c r="U2008" i="1"/>
  <c r="P2008" i="1"/>
  <c r="B2008" i="1" s="1"/>
  <c r="X6822" i="1"/>
  <c r="W6822" i="1"/>
  <c r="V6822" i="1"/>
  <c r="U6822" i="1"/>
  <c r="P6822" i="1"/>
  <c r="B6822" i="1" s="1"/>
  <c r="N6822" i="1"/>
  <c r="X6821" i="1"/>
  <c r="W6821" i="1"/>
  <c r="V6821" i="1"/>
  <c r="U6821" i="1"/>
  <c r="P6821" i="1"/>
  <c r="B6821" i="1" s="1"/>
  <c r="N6821" i="1"/>
  <c r="I5931" i="1"/>
  <c r="L5931" i="1" s="1"/>
  <c r="X5931" i="1"/>
  <c r="W5931" i="1"/>
  <c r="U5931" i="1"/>
  <c r="P5931" i="1"/>
  <c r="B5931" i="1" s="1"/>
  <c r="X1346" i="1"/>
  <c r="W1346" i="1"/>
  <c r="U1346" i="1"/>
  <c r="P1346" i="1"/>
  <c r="B1346" i="1" s="1"/>
  <c r="L1346" i="1"/>
  <c r="X4377" i="1"/>
  <c r="W4377" i="1"/>
  <c r="V4377" i="1"/>
  <c r="U4377" i="1"/>
  <c r="M4377" i="1"/>
  <c r="I4377" i="1"/>
  <c r="H4377" i="1"/>
  <c r="X4376" i="1"/>
  <c r="W4376" i="1"/>
  <c r="V4376" i="1"/>
  <c r="U4376" i="1"/>
  <c r="N4376" i="1"/>
  <c r="K4377" i="1"/>
  <c r="X4375" i="1"/>
  <c r="W4375" i="1"/>
  <c r="U4375" i="1"/>
  <c r="P4375" i="1"/>
  <c r="B4375" i="1" s="1"/>
  <c r="L4375" i="1"/>
  <c r="X4374" i="1"/>
  <c r="W4374" i="1"/>
  <c r="V4374" i="1"/>
  <c r="U4374" i="1"/>
  <c r="N4374" i="1"/>
  <c r="X4373" i="1"/>
  <c r="W4373" i="1"/>
  <c r="V4373" i="1"/>
  <c r="U4373" i="1"/>
  <c r="N4373" i="1"/>
  <c r="R4375" i="1" l="1"/>
  <c r="S4375" i="1"/>
  <c r="R6343" i="1"/>
  <c r="S6343" i="1"/>
  <c r="S5167" i="1"/>
  <c r="R5167" i="1"/>
  <c r="R5931" i="1"/>
  <c r="S5931" i="1"/>
  <c r="R5761" i="1"/>
  <c r="S5761" i="1"/>
  <c r="S672" i="1"/>
  <c r="R672" i="1"/>
  <c r="R1346" i="1"/>
  <c r="S1346" i="1"/>
  <c r="R894" i="1"/>
  <c r="S894" i="1"/>
  <c r="R2008" i="1"/>
  <c r="S2008" i="1"/>
  <c r="V5931" i="1"/>
  <c r="L5763" i="1"/>
  <c r="V4375" i="1"/>
  <c r="V1346" i="1"/>
  <c r="V5761" i="1"/>
  <c r="N5761" i="1"/>
  <c r="N5763" i="1" s="1"/>
  <c r="V6343" i="1"/>
  <c r="N6343" i="1"/>
  <c r="V894" i="1"/>
  <c r="N894" i="1"/>
  <c r="V5167" i="1"/>
  <c r="V672" i="1"/>
  <c r="N5167" i="1"/>
  <c r="N672" i="1"/>
  <c r="V2008" i="1"/>
  <c r="N2008" i="1"/>
  <c r="N5931" i="1"/>
  <c r="N1346" i="1"/>
  <c r="N4375" i="1"/>
  <c r="L4377" i="1"/>
  <c r="N4377" i="1" l="1"/>
  <c r="X6832" i="1"/>
  <c r="W6832" i="1"/>
  <c r="V6832" i="1"/>
  <c r="U6832" i="1"/>
  <c r="P6832" i="1"/>
  <c r="B6832" i="1" s="1"/>
  <c r="N6832" i="1"/>
  <c r="X6088" i="1"/>
  <c r="W6088" i="1"/>
  <c r="U6088" i="1"/>
  <c r="P6088" i="1"/>
  <c r="B6088" i="1" s="1"/>
  <c r="L6088" i="1"/>
  <c r="S6088" i="1" l="1"/>
  <c r="R6088" i="1"/>
  <c r="V6088" i="1"/>
  <c r="N6088" i="1"/>
  <c r="X1922" i="1" l="1"/>
  <c r="W1922" i="1"/>
  <c r="U1922" i="1"/>
  <c r="P1922" i="1"/>
  <c r="B1922" i="1" s="1"/>
  <c r="L1922" i="1"/>
  <c r="X4005" i="1"/>
  <c r="W4005" i="1"/>
  <c r="V4005" i="1"/>
  <c r="U4005" i="1"/>
  <c r="M4005" i="1"/>
  <c r="I4005" i="1"/>
  <c r="H4005" i="1"/>
  <c r="X4004" i="1"/>
  <c r="W4004" i="1"/>
  <c r="V4004" i="1"/>
  <c r="U4004" i="1"/>
  <c r="N4004" i="1"/>
  <c r="X4003" i="1"/>
  <c r="W4003" i="1"/>
  <c r="U4003" i="1"/>
  <c r="P4003" i="1"/>
  <c r="B4003" i="1" s="1"/>
  <c r="K4005" i="1"/>
  <c r="X4002" i="1"/>
  <c r="W4002" i="1"/>
  <c r="V4002" i="1"/>
  <c r="U4002" i="1"/>
  <c r="N4002" i="1"/>
  <c r="X4001" i="1"/>
  <c r="W4001" i="1"/>
  <c r="V4001" i="1"/>
  <c r="U4001" i="1"/>
  <c r="N4001" i="1"/>
  <c r="R1922" i="1" l="1"/>
  <c r="S1922" i="1"/>
  <c r="N1922" i="1"/>
  <c r="V1922" i="1"/>
  <c r="L4003" i="1"/>
  <c r="L1121" i="1"/>
  <c r="X1150" i="1"/>
  <c r="W1150" i="1"/>
  <c r="V1150" i="1"/>
  <c r="U1150" i="1"/>
  <c r="M1150" i="1"/>
  <c r="K1150" i="1"/>
  <c r="I1150" i="1"/>
  <c r="H1150" i="1"/>
  <c r="X1149" i="1"/>
  <c r="W1149" i="1"/>
  <c r="V1149" i="1"/>
  <c r="U1149" i="1"/>
  <c r="N1149" i="1"/>
  <c r="X1147" i="1"/>
  <c r="W1147" i="1"/>
  <c r="U1147" i="1"/>
  <c r="P1147" i="1"/>
  <c r="B1147" i="1" s="1"/>
  <c r="L1147" i="1"/>
  <c r="X1146" i="1"/>
  <c r="W1146" i="1"/>
  <c r="V1146" i="1"/>
  <c r="U1146" i="1"/>
  <c r="N1146" i="1"/>
  <c r="X1145" i="1"/>
  <c r="W1145" i="1"/>
  <c r="V1145" i="1"/>
  <c r="U1145" i="1"/>
  <c r="N1145" i="1"/>
  <c r="R1147" i="1" l="1"/>
  <c r="S1147" i="1"/>
  <c r="R1121" i="1"/>
  <c r="S1121" i="1"/>
  <c r="R4003" i="1"/>
  <c r="S4003" i="1"/>
  <c r="V1147" i="1"/>
  <c r="V4003" i="1"/>
  <c r="N4003" i="1"/>
  <c r="N4005" i="1" s="1"/>
  <c r="L4005" i="1"/>
  <c r="L1150" i="1"/>
  <c r="N1147" i="1"/>
  <c r="N1150" i="1" s="1"/>
  <c r="X2185" i="1"/>
  <c r="W2185" i="1"/>
  <c r="V2185" i="1"/>
  <c r="U2185" i="1"/>
  <c r="M2185" i="1"/>
  <c r="K2185" i="1"/>
  <c r="I2185" i="1"/>
  <c r="H2185" i="1"/>
  <c r="X2184" i="1"/>
  <c r="W2184" i="1"/>
  <c r="V2184" i="1"/>
  <c r="U2184" i="1"/>
  <c r="N2184" i="1"/>
  <c r="X2183" i="1"/>
  <c r="W2183" i="1"/>
  <c r="U2183" i="1"/>
  <c r="P2183" i="1"/>
  <c r="B2183" i="1" s="1"/>
  <c r="L2183" i="1"/>
  <c r="X2182" i="1"/>
  <c r="W2182" i="1"/>
  <c r="V2182" i="1"/>
  <c r="U2182" i="1"/>
  <c r="N2182" i="1"/>
  <c r="X2181" i="1"/>
  <c r="W2181" i="1"/>
  <c r="V2181" i="1"/>
  <c r="U2181" i="1"/>
  <c r="N2181" i="1"/>
  <c r="L3806" i="1"/>
  <c r="X3806" i="1"/>
  <c r="W3806" i="1"/>
  <c r="U3806" i="1"/>
  <c r="P3806" i="1"/>
  <c r="B3806" i="1" s="1"/>
  <c r="S2183" i="1" l="1"/>
  <c r="R2183" i="1"/>
  <c r="R3806" i="1"/>
  <c r="S3806" i="1"/>
  <c r="L2185" i="1"/>
  <c r="V2183" i="1"/>
  <c r="N2183" i="1"/>
  <c r="N2185" i="1" s="1"/>
  <c r="V3806" i="1"/>
  <c r="N3806" i="1"/>
  <c r="X5294" i="1" l="1"/>
  <c r="W5294" i="1"/>
  <c r="U5294" i="1"/>
  <c r="P5294" i="1"/>
  <c r="B5294" i="1" s="1"/>
  <c r="L5294" i="1"/>
  <c r="X491" i="1"/>
  <c r="W491" i="1"/>
  <c r="U491" i="1"/>
  <c r="P491" i="1"/>
  <c r="B491" i="1" s="1"/>
  <c r="L491" i="1"/>
  <c r="L3810" i="1"/>
  <c r="X3810" i="1"/>
  <c r="W3810" i="1"/>
  <c r="U3810" i="1"/>
  <c r="P3810" i="1"/>
  <c r="B3810" i="1" s="1"/>
  <c r="R5294" i="1" l="1"/>
  <c r="S5294" i="1"/>
  <c r="R3810" i="1"/>
  <c r="S3810" i="1"/>
  <c r="R491" i="1"/>
  <c r="S491" i="1"/>
  <c r="N491" i="1"/>
  <c r="V3810" i="1"/>
  <c r="N5294" i="1"/>
  <c r="V491" i="1"/>
  <c r="V5294" i="1"/>
  <c r="N3810" i="1"/>
  <c r="X6046" i="1"/>
  <c r="W6046" i="1"/>
  <c r="V6046" i="1"/>
  <c r="U6046" i="1"/>
  <c r="M6046" i="1"/>
  <c r="K6046" i="1"/>
  <c r="I6046" i="1"/>
  <c r="H6046" i="1"/>
  <c r="X6045" i="1"/>
  <c r="W6045" i="1"/>
  <c r="V6045" i="1"/>
  <c r="U6045" i="1"/>
  <c r="N6045" i="1"/>
  <c r="X6044" i="1"/>
  <c r="W6044" i="1"/>
  <c r="U6044" i="1"/>
  <c r="P6044" i="1"/>
  <c r="B6044" i="1" s="1"/>
  <c r="L6044" i="1"/>
  <c r="X6043" i="1"/>
  <c r="W6043" i="1"/>
  <c r="V6043" i="1"/>
  <c r="U6043" i="1"/>
  <c r="N6043" i="1"/>
  <c r="X6042" i="1"/>
  <c r="W6042" i="1"/>
  <c r="V6042" i="1"/>
  <c r="U6042" i="1"/>
  <c r="N6042" i="1"/>
  <c r="R6044" i="1" l="1"/>
  <c r="S6044" i="1"/>
  <c r="L6046" i="1"/>
  <c r="N6044" i="1"/>
  <c r="N6046" i="1" s="1"/>
  <c r="V6044" i="1"/>
  <c r="I4252" i="1"/>
  <c r="X4251" i="1"/>
  <c r="W4251" i="1"/>
  <c r="U4251" i="1"/>
  <c r="P4251" i="1"/>
  <c r="B4251" i="1" s="1"/>
  <c r="I4251" i="1"/>
  <c r="L4251" i="1" l="1"/>
  <c r="X880" i="1"/>
  <c r="W880" i="1"/>
  <c r="U880" i="1"/>
  <c r="P880" i="1"/>
  <c r="B880" i="1" s="1"/>
  <c r="L880" i="1"/>
  <c r="X5317" i="1"/>
  <c r="W5317" i="1"/>
  <c r="U5317" i="1"/>
  <c r="P5317" i="1"/>
  <c r="B5317" i="1" s="1"/>
  <c r="L5317" i="1"/>
  <c r="X3887" i="1"/>
  <c r="W3887" i="1"/>
  <c r="U3887" i="1"/>
  <c r="P3887" i="1"/>
  <c r="B3887" i="1" s="1"/>
  <c r="L3887" i="1"/>
  <c r="L4896" i="1"/>
  <c r="X4896" i="1"/>
  <c r="W4896" i="1"/>
  <c r="U4896" i="1"/>
  <c r="P4896" i="1"/>
  <c r="B4896" i="1" s="1"/>
  <c r="R5317" i="1" l="1"/>
  <c r="S5317" i="1"/>
  <c r="R4896" i="1"/>
  <c r="S4896" i="1"/>
  <c r="R3887" i="1"/>
  <c r="S3887" i="1"/>
  <c r="R880" i="1"/>
  <c r="S880" i="1"/>
  <c r="R4251" i="1"/>
  <c r="S4251" i="1"/>
  <c r="V4251" i="1"/>
  <c r="N4251" i="1"/>
  <c r="V880" i="1"/>
  <c r="N3887" i="1"/>
  <c r="V5317" i="1"/>
  <c r="N880" i="1"/>
  <c r="N5317" i="1"/>
  <c r="V3887" i="1"/>
  <c r="V4896" i="1"/>
  <c r="N4896" i="1"/>
  <c r="I3990" i="1"/>
  <c r="L3990" i="1" s="1"/>
  <c r="X3990" i="1"/>
  <c r="W3990" i="1"/>
  <c r="U3990" i="1"/>
  <c r="P3990" i="1"/>
  <c r="B3990" i="1" s="1"/>
  <c r="R3990" i="1" l="1"/>
  <c r="S3990" i="1"/>
  <c r="V3990" i="1"/>
  <c r="N3990" i="1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C4822" i="15"/>
  <c r="D2085" i="15" s="1"/>
  <c r="B2519" i="15"/>
  <c r="B2660" i="15"/>
  <c r="B2939" i="15"/>
  <c r="B3214" i="15"/>
  <c r="B3230" i="15"/>
  <c r="B3465" i="15"/>
  <c r="B3501" i="15"/>
  <c r="B3615" i="15"/>
  <c r="B3648" i="15"/>
  <c r="B3807" i="15"/>
  <c r="B3813" i="15"/>
  <c r="B3950" i="15"/>
  <c r="B4011" i="15"/>
  <c r="B4111" i="15"/>
  <c r="B4208" i="15"/>
  <c r="B4234" i="15"/>
  <c r="B4247" i="15"/>
  <c r="B4406" i="15"/>
  <c r="B4419" i="15"/>
  <c r="B4426" i="15"/>
  <c r="B4541" i="15"/>
  <c r="B4665" i="15"/>
  <c r="B4703" i="15"/>
  <c r="H4391" i="1"/>
  <c r="L4391" i="1" s="1"/>
  <c r="X4391" i="1"/>
  <c r="W4391" i="1"/>
  <c r="U4391" i="1"/>
  <c r="P4391" i="1"/>
  <c r="B4391" i="1" s="1"/>
  <c r="X1326" i="1"/>
  <c r="W1326" i="1"/>
  <c r="U1326" i="1"/>
  <c r="P1326" i="1"/>
  <c r="B1326" i="1" s="1"/>
  <c r="L1326" i="1"/>
  <c r="X923" i="1"/>
  <c r="W923" i="1"/>
  <c r="U923" i="1"/>
  <c r="P923" i="1"/>
  <c r="B923" i="1" s="1"/>
  <c r="L923" i="1"/>
  <c r="X5828" i="1"/>
  <c r="W5828" i="1"/>
  <c r="U5828" i="1"/>
  <c r="P5828" i="1"/>
  <c r="B5828" i="1" s="1"/>
  <c r="L5828" i="1"/>
  <c r="X6087" i="1"/>
  <c r="W6087" i="1"/>
  <c r="U6087" i="1"/>
  <c r="P6087" i="1"/>
  <c r="B6087" i="1" s="1"/>
  <c r="L6087" i="1"/>
  <c r="X4704" i="1"/>
  <c r="W4704" i="1"/>
  <c r="U4704" i="1"/>
  <c r="P4704" i="1"/>
  <c r="B4704" i="1" s="1"/>
  <c r="L4704" i="1"/>
  <c r="R4391" i="1" l="1"/>
  <c r="S4391" i="1"/>
  <c r="R923" i="1"/>
  <c r="S923" i="1"/>
  <c r="R6087" i="1"/>
  <c r="S6087" i="1"/>
  <c r="R1326" i="1"/>
  <c r="S1326" i="1"/>
  <c r="R4704" i="1"/>
  <c r="S4704" i="1"/>
  <c r="R5828" i="1"/>
  <c r="S5828" i="1"/>
  <c r="D20" i="15"/>
  <c r="D32" i="15"/>
  <c r="D56" i="15"/>
  <c r="D68" i="15"/>
  <c r="D80" i="15"/>
  <c r="D104" i="15"/>
  <c r="D116" i="15"/>
  <c r="D128" i="15"/>
  <c r="D140" i="15"/>
  <c r="D152" i="15"/>
  <c r="D164" i="15"/>
  <c r="D176" i="15"/>
  <c r="D188" i="15"/>
  <c r="D200" i="15"/>
  <c r="D212" i="15"/>
  <c r="D224" i="15"/>
  <c r="D236" i="15"/>
  <c r="D248" i="15"/>
  <c r="D261" i="15"/>
  <c r="D279" i="15"/>
  <c r="D294" i="15"/>
  <c r="D309" i="15"/>
  <c r="D327" i="15"/>
  <c r="D342" i="15"/>
  <c r="D362" i="15"/>
  <c r="D386" i="15"/>
  <c r="D410" i="15"/>
  <c r="D434" i="15"/>
  <c r="D461" i="15"/>
  <c r="D496" i="15"/>
  <c r="D532" i="15"/>
  <c r="D568" i="15"/>
  <c r="D604" i="15"/>
  <c r="D640" i="15"/>
  <c r="D676" i="15"/>
  <c r="D712" i="15"/>
  <c r="D748" i="15"/>
  <c r="D784" i="15"/>
  <c r="D820" i="15"/>
  <c r="D856" i="15"/>
  <c r="D892" i="15"/>
  <c r="D928" i="15"/>
  <c r="D964" i="15"/>
  <c r="D1000" i="15"/>
  <c r="D1043" i="15"/>
  <c r="D1138" i="15"/>
  <c r="D1255" i="15"/>
  <c r="D1399" i="15"/>
  <c r="D1543" i="15"/>
  <c r="D1687" i="15"/>
  <c r="D1839" i="15"/>
  <c r="D2363" i="15"/>
  <c r="D8" i="15"/>
  <c r="D44" i="15"/>
  <c r="D92" i="15"/>
  <c r="D9" i="15"/>
  <c r="D21" i="15"/>
  <c r="D33" i="15"/>
  <c r="D45" i="15"/>
  <c r="D57" i="15"/>
  <c r="D69" i="15"/>
  <c r="D81" i="15"/>
  <c r="D93" i="15"/>
  <c r="D105" i="15"/>
  <c r="D117" i="15"/>
  <c r="D129" i="15"/>
  <c r="D141" i="15"/>
  <c r="D153" i="15"/>
  <c r="D165" i="15"/>
  <c r="D177" i="15"/>
  <c r="D189" i="15"/>
  <c r="D201" i="15"/>
  <c r="D213" i="15"/>
  <c r="D225" i="15"/>
  <c r="D237" i="15"/>
  <c r="D249" i="15"/>
  <c r="D262" i="15"/>
  <c r="D280" i="15"/>
  <c r="D295" i="15"/>
  <c r="D310" i="15"/>
  <c r="D328" i="15"/>
  <c r="D343" i="15"/>
  <c r="D363" i="15"/>
  <c r="D387" i="15"/>
  <c r="D411" i="15"/>
  <c r="D436" i="15"/>
  <c r="D462" i="15"/>
  <c r="D497" i="15"/>
  <c r="D533" i="15"/>
  <c r="D569" i="15"/>
  <c r="D605" i="15"/>
  <c r="D641" i="15"/>
  <c r="D677" i="15"/>
  <c r="D713" i="15"/>
  <c r="D749" i="15"/>
  <c r="D785" i="15"/>
  <c r="D821" i="15"/>
  <c r="D857" i="15"/>
  <c r="D893" i="15"/>
  <c r="D929" i="15"/>
  <c r="D965" i="15"/>
  <c r="D1001" i="15"/>
  <c r="D1044" i="15"/>
  <c r="D1147" i="15"/>
  <c r="D1280" i="15"/>
  <c r="D1424" i="15"/>
  <c r="D1568" i="15"/>
  <c r="D1712" i="15"/>
  <c r="D1876" i="15"/>
  <c r="D2533" i="15"/>
  <c r="D10" i="15"/>
  <c r="D22" i="15"/>
  <c r="D34" i="15"/>
  <c r="D46" i="15"/>
  <c r="D58" i="15"/>
  <c r="D70" i="15"/>
  <c r="D82" i="15"/>
  <c r="D94" i="15"/>
  <c r="D106" i="15"/>
  <c r="D118" i="15"/>
  <c r="D130" i="15"/>
  <c r="D142" i="15"/>
  <c r="D154" i="15"/>
  <c r="D166" i="15"/>
  <c r="D178" i="15"/>
  <c r="D190" i="15"/>
  <c r="D202" i="15"/>
  <c r="D214" i="15"/>
  <c r="D226" i="15"/>
  <c r="D238" i="15"/>
  <c r="D250" i="15"/>
  <c r="D266" i="15"/>
  <c r="D281" i="15"/>
  <c r="D296" i="15"/>
  <c r="D314" i="15"/>
  <c r="D329" i="15"/>
  <c r="D344" i="15"/>
  <c r="D364" i="15"/>
  <c r="D388" i="15"/>
  <c r="D412" i="15"/>
  <c r="D437" i="15"/>
  <c r="D465" i="15"/>
  <c r="D498" i="15"/>
  <c r="D534" i="15"/>
  <c r="D570" i="15"/>
  <c r="D606" i="15"/>
  <c r="D642" i="15"/>
  <c r="D678" i="15"/>
  <c r="D714" i="15"/>
  <c r="D750" i="15"/>
  <c r="D786" i="15"/>
  <c r="D822" i="15"/>
  <c r="D858" i="15"/>
  <c r="D894" i="15"/>
  <c r="D930" i="15"/>
  <c r="D966" i="15"/>
  <c r="D1002" i="15"/>
  <c r="D1049" i="15"/>
  <c r="D1148" i="15"/>
  <c r="D1282" i="15"/>
  <c r="D1426" i="15"/>
  <c r="D1570" i="15"/>
  <c r="D1714" i="15"/>
  <c r="D1882" i="15"/>
  <c r="D2548" i="15"/>
  <c r="D11" i="15"/>
  <c r="D23" i="15"/>
  <c r="D35" i="15"/>
  <c r="D47" i="15"/>
  <c r="D59" i="15"/>
  <c r="D71" i="15"/>
  <c r="D83" i="15"/>
  <c r="D95" i="15"/>
  <c r="D107" i="15"/>
  <c r="D119" i="15"/>
  <c r="D131" i="15"/>
  <c r="D143" i="15"/>
  <c r="D155" i="15"/>
  <c r="D167" i="15"/>
  <c r="D179" i="15"/>
  <c r="D191" i="15"/>
  <c r="D203" i="15"/>
  <c r="D215" i="15"/>
  <c r="D227" i="15"/>
  <c r="D239" i="15"/>
  <c r="D251" i="15"/>
  <c r="D267" i="15"/>
  <c r="D282" i="15"/>
  <c r="D297" i="15"/>
  <c r="D315" i="15"/>
  <c r="D330" i="15"/>
  <c r="D345" i="15"/>
  <c r="D365" i="15"/>
  <c r="D389" i="15"/>
  <c r="D413" i="15"/>
  <c r="D438" i="15"/>
  <c r="D470" i="15"/>
  <c r="D506" i="15"/>
  <c r="D542" i="15"/>
  <c r="D578" i="15"/>
  <c r="D614" i="15"/>
  <c r="D650" i="15"/>
  <c r="D686" i="15"/>
  <c r="D722" i="15"/>
  <c r="D758" i="15"/>
  <c r="D794" i="15"/>
  <c r="D830" i="15"/>
  <c r="D866" i="15"/>
  <c r="D902" i="15"/>
  <c r="D938" i="15"/>
  <c r="D974" i="15"/>
  <c r="D1010" i="15"/>
  <c r="D1064" i="15"/>
  <c r="D1172" i="15"/>
  <c r="D1291" i="15"/>
  <c r="D1435" i="15"/>
  <c r="D1579" i="15"/>
  <c r="D1723" i="15"/>
  <c r="D1895" i="15"/>
  <c r="D2629" i="15"/>
  <c r="D12" i="15"/>
  <c r="D24" i="15"/>
  <c r="D36" i="15"/>
  <c r="D48" i="15"/>
  <c r="D60" i="15"/>
  <c r="D72" i="15"/>
  <c r="D84" i="15"/>
  <c r="D96" i="15"/>
  <c r="D108" i="15"/>
  <c r="D120" i="15"/>
  <c r="D132" i="15"/>
  <c r="D144" i="15"/>
  <c r="D156" i="15"/>
  <c r="D168" i="15"/>
  <c r="D180" i="15"/>
  <c r="D192" i="15"/>
  <c r="D204" i="15"/>
  <c r="D216" i="15"/>
  <c r="D228" i="15"/>
  <c r="D240" i="15"/>
  <c r="D253" i="15"/>
  <c r="D268" i="15"/>
  <c r="D283" i="15"/>
  <c r="D298" i="15"/>
  <c r="D316" i="15"/>
  <c r="D331" i="15"/>
  <c r="D346" i="15"/>
  <c r="D366" i="15"/>
  <c r="D390" i="15"/>
  <c r="D414" i="15"/>
  <c r="D441" i="15"/>
  <c r="D472" i="15"/>
  <c r="D508" i="15"/>
  <c r="D544" i="15"/>
  <c r="D580" i="15"/>
  <c r="D616" i="15"/>
  <c r="D652" i="15"/>
  <c r="D688" i="15"/>
  <c r="D724" i="15"/>
  <c r="D760" i="15"/>
  <c r="D796" i="15"/>
  <c r="D832" i="15"/>
  <c r="D868" i="15"/>
  <c r="D904" i="15"/>
  <c r="D940" i="15"/>
  <c r="D976" i="15"/>
  <c r="D1012" i="15"/>
  <c r="D1066" i="15"/>
  <c r="D1174" i="15"/>
  <c r="D1316" i="15"/>
  <c r="D1460" i="15"/>
  <c r="D1604" i="15"/>
  <c r="D1748" i="15"/>
  <c r="D1943" i="15"/>
  <c r="D3098" i="15"/>
  <c r="D13" i="15"/>
  <c r="D25" i="15"/>
  <c r="D37" i="15"/>
  <c r="D49" i="15"/>
  <c r="D61" i="15"/>
  <c r="D73" i="15"/>
  <c r="D85" i="15"/>
  <c r="D97" i="15"/>
  <c r="D109" i="15"/>
  <c r="D121" i="15"/>
  <c r="D133" i="15"/>
  <c r="D145" i="15"/>
  <c r="D157" i="15"/>
  <c r="D169" i="15"/>
  <c r="D181" i="15"/>
  <c r="D193" i="15"/>
  <c r="D205" i="15"/>
  <c r="D217" i="15"/>
  <c r="D229" i="15"/>
  <c r="D241" i="15"/>
  <c r="D254" i="15"/>
  <c r="D269" i="15"/>
  <c r="D284" i="15"/>
  <c r="D302" i="15"/>
  <c r="D317" i="15"/>
  <c r="D332" i="15"/>
  <c r="D350" i="15"/>
  <c r="D369" i="15"/>
  <c r="D393" i="15"/>
  <c r="D417" i="15"/>
  <c r="D446" i="15"/>
  <c r="D473" i="15"/>
  <c r="D509" i="15"/>
  <c r="D545" i="15"/>
  <c r="D581" i="15"/>
  <c r="D617" i="15"/>
  <c r="D653" i="15"/>
  <c r="D689" i="15"/>
  <c r="D725" i="15"/>
  <c r="D761" i="15"/>
  <c r="D797" i="15"/>
  <c r="D833" i="15"/>
  <c r="D869" i="15"/>
  <c r="D905" i="15"/>
  <c r="D941" i="15"/>
  <c r="D977" i="15"/>
  <c r="D1013" i="15"/>
  <c r="D1075" i="15"/>
  <c r="D1183" i="15"/>
  <c r="D1318" i="15"/>
  <c r="D1462" i="15"/>
  <c r="D1606" i="15"/>
  <c r="D1750" i="15"/>
  <c r="D1948" i="15"/>
  <c r="D3181" i="15"/>
  <c r="D14" i="15"/>
  <c r="D26" i="15"/>
  <c r="D38" i="15"/>
  <c r="D50" i="15"/>
  <c r="D62" i="15"/>
  <c r="D74" i="15"/>
  <c r="D86" i="15"/>
  <c r="D98" i="15"/>
  <c r="D110" i="15"/>
  <c r="D122" i="15"/>
  <c r="D134" i="15"/>
  <c r="D146" i="15"/>
  <c r="D158" i="15"/>
  <c r="D170" i="15"/>
  <c r="D182" i="15"/>
  <c r="D194" i="15"/>
  <c r="D206" i="15"/>
  <c r="D218" i="15"/>
  <c r="D230" i="15"/>
  <c r="D242" i="15"/>
  <c r="D255" i="15"/>
  <c r="D270" i="15"/>
  <c r="D285" i="15"/>
  <c r="D303" i="15"/>
  <c r="D318" i="15"/>
  <c r="D333" i="15"/>
  <c r="D351" i="15"/>
  <c r="D374" i="15"/>
  <c r="D398" i="15"/>
  <c r="D422" i="15"/>
  <c r="D448" i="15"/>
  <c r="D474" i="15"/>
  <c r="D510" i="15"/>
  <c r="D546" i="15"/>
  <c r="D582" i="15"/>
  <c r="D618" i="15"/>
  <c r="D654" i="15"/>
  <c r="D690" i="15"/>
  <c r="D726" i="15"/>
  <c r="D762" i="15"/>
  <c r="D798" i="15"/>
  <c r="D834" i="15"/>
  <c r="D870" i="15"/>
  <c r="D906" i="15"/>
  <c r="D942" i="15"/>
  <c r="D978" i="15"/>
  <c r="D1014" i="15"/>
  <c r="D1076" i="15"/>
  <c r="D1184" i="15"/>
  <c r="D1327" i="15"/>
  <c r="D1471" i="15"/>
  <c r="D1615" i="15"/>
  <c r="D1759" i="15"/>
  <c r="D1977" i="15"/>
  <c r="D3647" i="15"/>
  <c r="D15" i="15"/>
  <c r="D27" i="15"/>
  <c r="D39" i="15"/>
  <c r="D51" i="15"/>
  <c r="D63" i="15"/>
  <c r="D75" i="15"/>
  <c r="D87" i="15"/>
  <c r="D99" i="15"/>
  <c r="D111" i="15"/>
  <c r="D123" i="15"/>
  <c r="D135" i="15"/>
  <c r="D147" i="15"/>
  <c r="D159" i="15"/>
  <c r="D171" i="15"/>
  <c r="D183" i="15"/>
  <c r="D195" i="15"/>
  <c r="D207" i="15"/>
  <c r="D219" i="15"/>
  <c r="D231" i="15"/>
  <c r="D243" i="15"/>
  <c r="D256" i="15"/>
  <c r="D271" i="15"/>
  <c r="D286" i="15"/>
  <c r="D304" i="15"/>
  <c r="D319" i="15"/>
  <c r="D334" i="15"/>
  <c r="D352" i="15"/>
  <c r="D375" i="15"/>
  <c r="D399" i="15"/>
  <c r="D423" i="15"/>
  <c r="D449" i="15"/>
  <c r="D482" i="15"/>
  <c r="D518" i="15"/>
  <c r="D554" i="15"/>
  <c r="D590" i="15"/>
  <c r="D626" i="15"/>
  <c r="D662" i="15"/>
  <c r="D698" i="15"/>
  <c r="D734" i="15"/>
  <c r="D770" i="15"/>
  <c r="D806" i="15"/>
  <c r="D842" i="15"/>
  <c r="D878" i="15"/>
  <c r="D914" i="15"/>
  <c r="D950" i="15"/>
  <c r="D986" i="15"/>
  <c r="D1023" i="15"/>
  <c r="D1100" i="15"/>
  <c r="D1208" i="15"/>
  <c r="D1352" i="15"/>
  <c r="D1496" i="15"/>
  <c r="D1640" i="15"/>
  <c r="D1784" i="15"/>
  <c r="D4814" i="15"/>
  <c r="D4802" i="15"/>
  <c r="D4790" i="15"/>
  <c r="D4778" i="15"/>
  <c r="D4766" i="15"/>
  <c r="D4754" i="15"/>
  <c r="D4742" i="15"/>
  <c r="D4730" i="15"/>
  <c r="D4718" i="15"/>
  <c r="D4706" i="15"/>
  <c r="D4694" i="15"/>
  <c r="D4682" i="15"/>
  <c r="D4670" i="15"/>
  <c r="D4658" i="15"/>
  <c r="D4646" i="15"/>
  <c r="D4634" i="15"/>
  <c r="D4622" i="15"/>
  <c r="D4610" i="15"/>
  <c r="D4598" i="15"/>
  <c r="D4586" i="15"/>
  <c r="D4574" i="15"/>
  <c r="D4562" i="15"/>
  <c r="D4550" i="15"/>
  <c r="D4538" i="15"/>
  <c r="D4526" i="15"/>
  <c r="D4514" i="15"/>
  <c r="D4502" i="15"/>
  <c r="D4490" i="15"/>
  <c r="D4478" i="15"/>
  <c r="D4466" i="15"/>
  <c r="D4454" i="15"/>
  <c r="D4442" i="15"/>
  <c r="D4430" i="15"/>
  <c r="D4418" i="15"/>
  <c r="D4406" i="15"/>
  <c r="D4394" i="15"/>
  <c r="D4382" i="15"/>
  <c r="D4370" i="15"/>
  <c r="D4358" i="15"/>
  <c r="D4346" i="15"/>
  <c r="D4334" i="15"/>
  <c r="D4322" i="15"/>
  <c r="D4310" i="15"/>
  <c r="D4298" i="15"/>
  <c r="D4813" i="15"/>
  <c r="D4801" i="15"/>
  <c r="D4789" i="15"/>
  <c r="D4777" i="15"/>
  <c r="D4765" i="15"/>
  <c r="D4753" i="15"/>
  <c r="D4741" i="15"/>
  <c r="D4729" i="15"/>
  <c r="D4717" i="15"/>
  <c r="D4705" i="15"/>
  <c r="D4693" i="15"/>
  <c r="D4681" i="15"/>
  <c r="D4669" i="15"/>
  <c r="D4657" i="15"/>
  <c r="D4645" i="15"/>
  <c r="D4633" i="15"/>
  <c r="D4621" i="15"/>
  <c r="D4609" i="15"/>
  <c r="D4597" i="15"/>
  <c r="D4585" i="15"/>
  <c r="D4573" i="15"/>
  <c r="D4561" i="15"/>
  <c r="D4549" i="15"/>
  <c r="D4537" i="15"/>
  <c r="D4525" i="15"/>
  <c r="D4513" i="15"/>
  <c r="D4501" i="15"/>
  <c r="D4489" i="15"/>
  <c r="D4477" i="15"/>
  <c r="D4465" i="15"/>
  <c r="D4453" i="15"/>
  <c r="D4441" i="15"/>
  <c r="D4429" i="15"/>
  <c r="D4417" i="15"/>
  <c r="D4405" i="15"/>
  <c r="D4393" i="15"/>
  <c r="D4381" i="15"/>
  <c r="D4369" i="15"/>
  <c r="D4357" i="15"/>
  <c r="D4345" i="15"/>
  <c r="D4333" i="15"/>
  <c r="D4321" i="15"/>
  <c r="D4309" i="15"/>
  <c r="D4297" i="15"/>
  <c r="D4285" i="15"/>
  <c r="D4273" i="15"/>
  <c r="D4261" i="15"/>
  <c r="D4249" i="15"/>
  <c r="D4237" i="15"/>
  <c r="D4225" i="15"/>
  <c r="D4213" i="15"/>
  <c r="D4201" i="15"/>
  <c r="D4189" i="15"/>
  <c r="D4177" i="15"/>
  <c r="D4165" i="15"/>
  <c r="D4153" i="15"/>
  <c r="D4141" i="15"/>
  <c r="D4129" i="15"/>
  <c r="D4117" i="15"/>
  <c r="D4105" i="15"/>
  <c r="D4093" i="15"/>
  <c r="D4081" i="15"/>
  <c r="D4069" i="15"/>
  <c r="D4057" i="15"/>
  <c r="D4045" i="15"/>
  <c r="D4033" i="15"/>
  <c r="D4021" i="15"/>
  <c r="D4009" i="15"/>
  <c r="D3997" i="15"/>
  <c r="D3985" i="15"/>
  <c r="D3973" i="15"/>
  <c r="D3961" i="15"/>
  <c r="D3949" i="15"/>
  <c r="D3937" i="15"/>
  <c r="D3925" i="15"/>
  <c r="D3913" i="15"/>
  <c r="D3901" i="15"/>
  <c r="D3889" i="15"/>
  <c r="D3877" i="15"/>
  <c r="D3865" i="15"/>
  <c r="D3853" i="15"/>
  <c r="D3841" i="15"/>
  <c r="D3829" i="15"/>
  <c r="D3817" i="15"/>
  <c r="D3805" i="15"/>
  <c r="D4812" i="15"/>
  <c r="D4800" i="15"/>
  <c r="D4788" i="15"/>
  <c r="D4776" i="15"/>
  <c r="D4764" i="15"/>
  <c r="D4752" i="15"/>
  <c r="D4740" i="15"/>
  <c r="D4728" i="15"/>
  <c r="D4716" i="15"/>
  <c r="D4704" i="15"/>
  <c r="D4692" i="15"/>
  <c r="D4680" i="15"/>
  <c r="D4668" i="15"/>
  <c r="D4656" i="15"/>
  <c r="D4644" i="15"/>
  <c r="D4632" i="15"/>
  <c r="D4620" i="15"/>
  <c r="D4608" i="15"/>
  <c r="D4596" i="15"/>
  <c r="D4584" i="15"/>
  <c r="D4572" i="15"/>
  <c r="D4560" i="15"/>
  <c r="D4548" i="15"/>
  <c r="D4536" i="15"/>
  <c r="D4524" i="15"/>
  <c r="D4512" i="15"/>
  <c r="D4500" i="15"/>
  <c r="D4488" i="15"/>
  <c r="D4476" i="15"/>
  <c r="D4464" i="15"/>
  <c r="D4452" i="15"/>
  <c r="D4440" i="15"/>
  <c r="D4428" i="15"/>
  <c r="D4416" i="15"/>
  <c r="D4404" i="15"/>
  <c r="D4392" i="15"/>
  <c r="D4380" i="15"/>
  <c r="D4368" i="15"/>
  <c r="D4356" i="15"/>
  <c r="D4344" i="15"/>
  <c r="D4332" i="15"/>
  <c r="D4320" i="15"/>
  <c r="D4308" i="15"/>
  <c r="D4296" i="15"/>
  <c r="D4284" i="15"/>
  <c r="D4272" i="15"/>
  <c r="D4260" i="15"/>
  <c r="D4248" i="15"/>
  <c r="D4236" i="15"/>
  <c r="D4224" i="15"/>
  <c r="D4212" i="15"/>
  <c r="D4200" i="15"/>
  <c r="D4188" i="15"/>
  <c r="D4176" i="15"/>
  <c r="D4164" i="15"/>
  <c r="D4152" i="15"/>
  <c r="D4140" i="15"/>
  <c r="D4128" i="15"/>
  <c r="D4116" i="15"/>
  <c r="D4104" i="15"/>
  <c r="D4092" i="15"/>
  <c r="D4080" i="15"/>
  <c r="D4068" i="15"/>
  <c r="D4056" i="15"/>
  <c r="D4044" i="15"/>
  <c r="D4032" i="15"/>
  <c r="D4020" i="15"/>
  <c r="D4008" i="15"/>
  <c r="D3996" i="15"/>
  <c r="D3984" i="15"/>
  <c r="D3972" i="15"/>
  <c r="D3960" i="15"/>
  <c r="D3948" i="15"/>
  <c r="D3936" i="15"/>
  <c r="D3924" i="15"/>
  <c r="D3912" i="15"/>
  <c r="D3900" i="15"/>
  <c r="D3888" i="15"/>
  <c r="D3876" i="15"/>
  <c r="D3864" i="15"/>
  <c r="D3852" i="15"/>
  <c r="D3840" i="15"/>
  <c r="D3828" i="15"/>
  <c r="D4811" i="15"/>
  <c r="D4799" i="15"/>
  <c r="D4787" i="15"/>
  <c r="D4775" i="15"/>
  <c r="D4763" i="15"/>
  <c r="D4751" i="15"/>
  <c r="D4739" i="15"/>
  <c r="D4727" i="15"/>
  <c r="D4715" i="15"/>
  <c r="D4703" i="15"/>
  <c r="D4691" i="15"/>
  <c r="D4679" i="15"/>
  <c r="D4667" i="15"/>
  <c r="D4655" i="15"/>
  <c r="D4643" i="15"/>
  <c r="D4631" i="15"/>
  <c r="D4619" i="15"/>
  <c r="D4607" i="15"/>
  <c r="D4595" i="15"/>
  <c r="D4583" i="15"/>
  <c r="D4571" i="15"/>
  <c r="D4559" i="15"/>
  <c r="D4547" i="15"/>
  <c r="D4535" i="15"/>
  <c r="D4523" i="15"/>
  <c r="D4511" i="15"/>
  <c r="D4499" i="15"/>
  <c r="D4487" i="15"/>
  <c r="D4475" i="15"/>
  <c r="D4463" i="15"/>
  <c r="D4451" i="15"/>
  <c r="D4439" i="15"/>
  <c r="D4427" i="15"/>
  <c r="D4415" i="15"/>
  <c r="D4403" i="15"/>
  <c r="D4391" i="15"/>
  <c r="D4379" i="15"/>
  <c r="D4367" i="15"/>
  <c r="D4355" i="15"/>
  <c r="D4343" i="15"/>
  <c r="D4331" i="15"/>
  <c r="D4319" i="15"/>
  <c r="D4307" i="15"/>
  <c r="D4295" i="15"/>
  <c r="D4283" i="15"/>
  <c r="D4271" i="15"/>
  <c r="D4259" i="15"/>
  <c r="D4247" i="15"/>
  <c r="D4235" i="15"/>
  <c r="D4223" i="15"/>
  <c r="D4211" i="15"/>
  <c r="D4199" i="15"/>
  <c r="D4187" i="15"/>
  <c r="D4175" i="15"/>
  <c r="D4163" i="15"/>
  <c r="D4151" i="15"/>
  <c r="D4139" i="15"/>
  <c r="D4127" i="15"/>
  <c r="D4115" i="15"/>
  <c r="D4103" i="15"/>
  <c r="D4091" i="15"/>
  <c r="D4079" i="15"/>
  <c r="D4067" i="15"/>
  <c r="D4055" i="15"/>
  <c r="D4043" i="15"/>
  <c r="D4031" i="15"/>
  <c r="D4019" i="15"/>
  <c r="D4007" i="15"/>
  <c r="D3995" i="15"/>
  <c r="D3983" i="15"/>
  <c r="D3971" i="15"/>
  <c r="D3959" i="15"/>
  <c r="D3947" i="15"/>
  <c r="D3935" i="15"/>
  <c r="D3923" i="15"/>
  <c r="D3911" i="15"/>
  <c r="D3899" i="15"/>
  <c r="D3887" i="15"/>
  <c r="D3875" i="15"/>
  <c r="D3863" i="15"/>
  <c r="D3851" i="15"/>
  <c r="D3839" i="15"/>
  <c r="D3827" i="15"/>
  <c r="D3815" i="15"/>
  <c r="D4810" i="15"/>
  <c r="D4798" i="15"/>
  <c r="D4786" i="15"/>
  <c r="D4774" i="15"/>
  <c r="D4762" i="15"/>
  <c r="D4750" i="15"/>
  <c r="D4738" i="15"/>
  <c r="D4726" i="15"/>
  <c r="D4714" i="15"/>
  <c r="D4702" i="15"/>
  <c r="D4690" i="15"/>
  <c r="D4678" i="15"/>
  <c r="D4666" i="15"/>
  <c r="D4654" i="15"/>
  <c r="D4642" i="15"/>
  <c r="D4630" i="15"/>
  <c r="D4618" i="15"/>
  <c r="D4606" i="15"/>
  <c r="D4594" i="15"/>
  <c r="D4582" i="15"/>
  <c r="D4570" i="15"/>
  <c r="D4558" i="15"/>
  <c r="D4546" i="15"/>
  <c r="D4534" i="15"/>
  <c r="D4522" i="15"/>
  <c r="D4510" i="15"/>
  <c r="D4498" i="15"/>
  <c r="D4486" i="15"/>
  <c r="D4474" i="15"/>
  <c r="D4462" i="15"/>
  <c r="D4450" i="15"/>
  <c r="D4438" i="15"/>
  <c r="D4426" i="15"/>
  <c r="D4414" i="15"/>
  <c r="D4402" i="15"/>
  <c r="D4390" i="15"/>
  <c r="D4378" i="15"/>
  <c r="D4366" i="15"/>
  <c r="D4354" i="15"/>
  <c r="D4342" i="15"/>
  <c r="D4330" i="15"/>
  <c r="D4318" i="15"/>
  <c r="D4306" i="15"/>
  <c r="D4294" i="15"/>
  <c r="D4282" i="15"/>
  <c r="D4270" i="15"/>
  <c r="D4258" i="15"/>
  <c r="D4246" i="15"/>
  <c r="D4234" i="15"/>
  <c r="D4222" i="15"/>
  <c r="D4210" i="15"/>
  <c r="D4198" i="15"/>
  <c r="D4186" i="15"/>
  <c r="D4174" i="15"/>
  <c r="D4162" i="15"/>
  <c r="D4150" i="15"/>
  <c r="D4138" i="15"/>
  <c r="D4126" i="15"/>
  <c r="D4114" i="15"/>
  <c r="D4102" i="15"/>
  <c r="D4090" i="15"/>
  <c r="D4078" i="15"/>
  <c r="D4066" i="15"/>
  <c r="D4054" i="15"/>
  <c r="D4042" i="15"/>
  <c r="D4030" i="15"/>
  <c r="D4018" i="15"/>
  <c r="D4006" i="15"/>
  <c r="D3994" i="15"/>
  <c r="D3982" i="15"/>
  <c r="D3970" i="15"/>
  <c r="D3958" i="15"/>
  <c r="D3946" i="15"/>
  <c r="D3934" i="15"/>
  <c r="D3922" i="15"/>
  <c r="D3910" i="15"/>
  <c r="D3898" i="15"/>
  <c r="D3886" i="15"/>
  <c r="D3874" i="15"/>
  <c r="D3862" i="15"/>
  <c r="D3850" i="15"/>
  <c r="D4809" i="15"/>
  <c r="D4797" i="15"/>
  <c r="D4785" i="15"/>
  <c r="D4773" i="15"/>
  <c r="D4761" i="15"/>
  <c r="D4749" i="15"/>
  <c r="D4737" i="15"/>
  <c r="D4725" i="15"/>
  <c r="D4713" i="15"/>
  <c r="D4701" i="15"/>
  <c r="D4689" i="15"/>
  <c r="D4677" i="15"/>
  <c r="D4665" i="15"/>
  <c r="D4653" i="15"/>
  <c r="D4641" i="15"/>
  <c r="D4629" i="15"/>
  <c r="D4617" i="15"/>
  <c r="D4605" i="15"/>
  <c r="D4593" i="15"/>
  <c r="D4581" i="15"/>
  <c r="D4569" i="15"/>
  <c r="D4557" i="15"/>
  <c r="D4545" i="15"/>
  <c r="D4533" i="15"/>
  <c r="D4521" i="15"/>
  <c r="D4509" i="15"/>
  <c r="D4497" i="15"/>
  <c r="D4485" i="15"/>
  <c r="D4473" i="15"/>
  <c r="D4461" i="15"/>
  <c r="D4449" i="15"/>
  <c r="D4437" i="15"/>
  <c r="D4425" i="15"/>
  <c r="D4413" i="15"/>
  <c r="D4401" i="15"/>
  <c r="D4389" i="15"/>
  <c r="D4377" i="15"/>
  <c r="D4365" i="15"/>
  <c r="D4353" i="15"/>
  <c r="D4341" i="15"/>
  <c r="D4329" i="15"/>
  <c r="D4317" i="15"/>
  <c r="D4305" i="15"/>
  <c r="D4293" i="15"/>
  <c r="D4281" i="15"/>
  <c r="D4269" i="15"/>
  <c r="D4257" i="15"/>
  <c r="D4245" i="15"/>
  <c r="D4233" i="15"/>
  <c r="D4221" i="15"/>
  <c r="D4209" i="15"/>
  <c r="D4197" i="15"/>
  <c r="D4185" i="15"/>
  <c r="D4173" i="15"/>
  <c r="D4161" i="15"/>
  <c r="D4149" i="15"/>
  <c r="D4137" i="15"/>
  <c r="D4125" i="15"/>
  <c r="D4113" i="15"/>
  <c r="D4101" i="15"/>
  <c r="D4089" i="15"/>
  <c r="D4077" i="15"/>
  <c r="D4065" i="15"/>
  <c r="D4053" i="15"/>
  <c r="D4041" i="15"/>
  <c r="D4029" i="15"/>
  <c r="D4017" i="15"/>
  <c r="D4005" i="15"/>
  <c r="D3993" i="15"/>
  <c r="D3981" i="15"/>
  <c r="D3969" i="15"/>
  <c r="D3957" i="15"/>
  <c r="D3945" i="15"/>
  <c r="D3933" i="15"/>
  <c r="D3921" i="15"/>
  <c r="D3909" i="15"/>
  <c r="D4820" i="15"/>
  <c r="D4808" i="15"/>
  <c r="D4796" i="15"/>
  <c r="D4784" i="15"/>
  <c r="D4772" i="15"/>
  <c r="D4760" i="15"/>
  <c r="D4748" i="15"/>
  <c r="D4736" i="15"/>
  <c r="D4724" i="15"/>
  <c r="D4712" i="15"/>
  <c r="D4700" i="15"/>
  <c r="D4688" i="15"/>
  <c r="D4676" i="15"/>
  <c r="D4664" i="15"/>
  <c r="D4652" i="15"/>
  <c r="D4640" i="15"/>
  <c r="D4628" i="15"/>
  <c r="D4616" i="15"/>
  <c r="D4604" i="15"/>
  <c r="D4592" i="15"/>
  <c r="D4580" i="15"/>
  <c r="D4568" i="15"/>
  <c r="D4556" i="15"/>
  <c r="D4544" i="15"/>
  <c r="D4532" i="15"/>
  <c r="D4520" i="15"/>
  <c r="D4508" i="15"/>
  <c r="D4496" i="15"/>
  <c r="D4484" i="15"/>
  <c r="D4472" i="15"/>
  <c r="D4460" i="15"/>
  <c r="D4448" i="15"/>
  <c r="D4436" i="15"/>
  <c r="D4424" i="15"/>
  <c r="D4412" i="15"/>
  <c r="D4400" i="15"/>
  <c r="D4388" i="15"/>
  <c r="D4376" i="15"/>
  <c r="D4364" i="15"/>
  <c r="D4352" i="15"/>
  <c r="D4340" i="15"/>
  <c r="D4328" i="15"/>
  <c r="D4316" i="15"/>
  <c r="D4304" i="15"/>
  <c r="D4292" i="15"/>
  <c r="D4280" i="15"/>
  <c r="D4268" i="15"/>
  <c r="D4256" i="15"/>
  <c r="D4244" i="15"/>
  <c r="D4232" i="15"/>
  <c r="D4220" i="15"/>
  <c r="D4208" i="15"/>
  <c r="D4196" i="15"/>
  <c r="D4184" i="15"/>
  <c r="D4172" i="15"/>
  <c r="D4160" i="15"/>
  <c r="D4148" i="15"/>
  <c r="D4136" i="15"/>
  <c r="D4124" i="15"/>
  <c r="D4112" i="15"/>
  <c r="D4100" i="15"/>
  <c r="D4088" i="15"/>
  <c r="D4076" i="15"/>
  <c r="D4064" i="15"/>
  <c r="D4052" i="15"/>
  <c r="D4040" i="15"/>
  <c r="D4028" i="15"/>
  <c r="D4016" i="15"/>
  <c r="D4004" i="15"/>
  <c r="D3992" i="15"/>
  <c r="D3980" i="15"/>
  <c r="D3968" i="15"/>
  <c r="D3956" i="15"/>
  <c r="D3944" i="15"/>
  <c r="D3932" i="15"/>
  <c r="D3920" i="15"/>
  <c r="D3908" i="15"/>
  <c r="D3896" i="15"/>
  <c r="D3884" i="15"/>
  <c r="D3872" i="15"/>
  <c r="D3860" i="15"/>
  <c r="D4819" i="15"/>
  <c r="D4807" i="15"/>
  <c r="D4795" i="15"/>
  <c r="D4783" i="15"/>
  <c r="D4771" i="15"/>
  <c r="D4759" i="15"/>
  <c r="D4747" i="15"/>
  <c r="D4735" i="15"/>
  <c r="D4723" i="15"/>
  <c r="D4711" i="15"/>
  <c r="D4699" i="15"/>
  <c r="D4687" i="15"/>
  <c r="D4675" i="15"/>
  <c r="D4663" i="15"/>
  <c r="D4651" i="15"/>
  <c r="D4639" i="15"/>
  <c r="D4627" i="15"/>
  <c r="D4615" i="15"/>
  <c r="D4603" i="15"/>
  <c r="D4591" i="15"/>
  <c r="D4579" i="15"/>
  <c r="D4567" i="15"/>
  <c r="D4555" i="15"/>
  <c r="D4543" i="15"/>
  <c r="D4531" i="15"/>
  <c r="D4519" i="15"/>
  <c r="D4507" i="15"/>
  <c r="D4495" i="15"/>
  <c r="D4483" i="15"/>
  <c r="D4471" i="15"/>
  <c r="D4459" i="15"/>
  <c r="D4447" i="15"/>
  <c r="D4435" i="15"/>
  <c r="D4423" i="15"/>
  <c r="D4411" i="15"/>
  <c r="D4399" i="15"/>
  <c r="D4387" i="15"/>
  <c r="D4375" i="15"/>
  <c r="D4363" i="15"/>
  <c r="D4351" i="15"/>
  <c r="D4339" i="15"/>
  <c r="D4327" i="15"/>
  <c r="D4315" i="15"/>
  <c r="D4303" i="15"/>
  <c r="D4291" i="15"/>
  <c r="D4279" i="15"/>
  <c r="D4267" i="15"/>
  <c r="D4255" i="15"/>
  <c r="D4243" i="15"/>
  <c r="D4231" i="15"/>
  <c r="D4219" i="15"/>
  <c r="D4207" i="15"/>
  <c r="D4195" i="15"/>
  <c r="D4183" i="15"/>
  <c r="D4171" i="15"/>
  <c r="D4159" i="15"/>
  <c r="D4147" i="15"/>
  <c r="D4135" i="15"/>
  <c r="D4123" i="15"/>
  <c r="D4111" i="15"/>
  <c r="D4099" i="15"/>
  <c r="D4087" i="15"/>
  <c r="D4075" i="15"/>
  <c r="D4063" i="15"/>
  <c r="D4051" i="15"/>
  <c r="D4039" i="15"/>
  <c r="D4027" i="15"/>
  <c r="D4015" i="15"/>
  <c r="D4003" i="15"/>
  <c r="D3991" i="15"/>
  <c r="D3979" i="15"/>
  <c r="D3967" i="15"/>
  <c r="D3955" i="15"/>
  <c r="D3943" i="15"/>
  <c r="D3931" i="15"/>
  <c r="D3919" i="15"/>
  <c r="D3907" i="15"/>
  <c r="D3895" i="15"/>
  <c r="D3883" i="15"/>
  <c r="D3871" i="15"/>
  <c r="D3859" i="15"/>
  <c r="D4818" i="15"/>
  <c r="D4806" i="15"/>
  <c r="D4794" i="15"/>
  <c r="D4782" i="15"/>
  <c r="D4770" i="15"/>
  <c r="D4758" i="15"/>
  <c r="D4746" i="15"/>
  <c r="D4734" i="15"/>
  <c r="D4722" i="15"/>
  <c r="D4710" i="15"/>
  <c r="D4698" i="15"/>
  <c r="D4686" i="15"/>
  <c r="D4674" i="15"/>
  <c r="D4662" i="15"/>
  <c r="D4650" i="15"/>
  <c r="D4638" i="15"/>
  <c r="D4626" i="15"/>
  <c r="D4614" i="15"/>
  <c r="D4602" i="15"/>
  <c r="D4590" i="15"/>
  <c r="D4578" i="15"/>
  <c r="D4566" i="15"/>
  <c r="D4554" i="15"/>
  <c r="D4542" i="15"/>
  <c r="D4530" i="15"/>
  <c r="D4518" i="15"/>
  <c r="D4506" i="15"/>
  <c r="D4494" i="15"/>
  <c r="D4482" i="15"/>
  <c r="D4470" i="15"/>
  <c r="D4458" i="15"/>
  <c r="D4446" i="15"/>
  <c r="D4434" i="15"/>
  <c r="D4422" i="15"/>
  <c r="D4410" i="15"/>
  <c r="D4398" i="15"/>
  <c r="D4386" i="15"/>
  <c r="D4374" i="15"/>
  <c r="D4362" i="15"/>
  <c r="D4350" i="15"/>
  <c r="D4338" i="15"/>
  <c r="D4326" i="15"/>
  <c r="D4314" i="15"/>
  <c r="D4302" i="15"/>
  <c r="D4290" i="15"/>
  <c r="D4278" i="15"/>
  <c r="D4266" i="15"/>
  <c r="D4254" i="15"/>
  <c r="D4242" i="15"/>
  <c r="D4230" i="15"/>
  <c r="D4218" i="15"/>
  <c r="D4206" i="15"/>
  <c r="D4194" i="15"/>
  <c r="D4182" i="15"/>
  <c r="D4170" i="15"/>
  <c r="D4158" i="15"/>
  <c r="D4146" i="15"/>
  <c r="D4134" i="15"/>
  <c r="D4122" i="15"/>
  <c r="D4110" i="15"/>
  <c r="D4098" i="15"/>
  <c r="D4086" i="15"/>
  <c r="D4074" i="15"/>
  <c r="D4062" i="15"/>
  <c r="D4050" i="15"/>
  <c r="D4038" i="15"/>
  <c r="D4026" i="15"/>
  <c r="D4014" i="15"/>
  <c r="D4002" i="15"/>
  <c r="D3990" i="15"/>
  <c r="D3978" i="15"/>
  <c r="D3966" i="15"/>
  <c r="D3954" i="15"/>
  <c r="D3942" i="15"/>
  <c r="D3930" i="15"/>
  <c r="D3918" i="15"/>
  <c r="D3906" i="15"/>
  <c r="D3894" i="15"/>
  <c r="D3882" i="15"/>
  <c r="D3870" i="15"/>
  <c r="D3858" i="15"/>
  <c r="D3846" i="15"/>
  <c r="D3834" i="15"/>
  <c r="D3822" i="15"/>
  <c r="D3810" i="15"/>
  <c r="D4816" i="15"/>
  <c r="D4804" i="15"/>
  <c r="D4792" i="15"/>
  <c r="D4780" i="15"/>
  <c r="D4768" i="15"/>
  <c r="D4756" i="15"/>
  <c r="D4744" i="15"/>
  <c r="D4732" i="15"/>
  <c r="D4720" i="15"/>
  <c r="D4708" i="15"/>
  <c r="D4696" i="15"/>
  <c r="D4684" i="15"/>
  <c r="D4672" i="15"/>
  <c r="D4660" i="15"/>
  <c r="D4648" i="15"/>
  <c r="D4636" i="15"/>
  <c r="D4624" i="15"/>
  <c r="D4612" i="15"/>
  <c r="D4600" i="15"/>
  <c r="D4588" i="15"/>
  <c r="D4576" i="15"/>
  <c r="D4564" i="15"/>
  <c r="D4552" i="15"/>
  <c r="D4540" i="15"/>
  <c r="D4528" i="15"/>
  <c r="D4516" i="15"/>
  <c r="D4504" i="15"/>
  <c r="D4492" i="15"/>
  <c r="D4480" i="15"/>
  <c r="D4468" i="15"/>
  <c r="D4456" i="15"/>
  <c r="D4444" i="15"/>
  <c r="D4432" i="15"/>
  <c r="D4420" i="15"/>
  <c r="D4408" i="15"/>
  <c r="D4396" i="15"/>
  <c r="D4384" i="15"/>
  <c r="D4372" i="15"/>
  <c r="D4360" i="15"/>
  <c r="D4348" i="15"/>
  <c r="D4336" i="15"/>
  <c r="D4324" i="15"/>
  <c r="D4312" i="15"/>
  <c r="D4300" i="15"/>
  <c r="D4288" i="15"/>
  <c r="D4276" i="15"/>
  <c r="D4264" i="15"/>
  <c r="D4252" i="15"/>
  <c r="D4240" i="15"/>
  <c r="D4228" i="15"/>
  <c r="D4216" i="15"/>
  <c r="D4204" i="15"/>
  <c r="D4192" i="15"/>
  <c r="D4180" i="15"/>
  <c r="D4168" i="15"/>
  <c r="D4156" i="15"/>
  <c r="D4144" i="15"/>
  <c r="D4132" i="15"/>
  <c r="D4120" i="15"/>
  <c r="D4108" i="15"/>
  <c r="D4096" i="15"/>
  <c r="D4084" i="15"/>
  <c r="D4072" i="15"/>
  <c r="D4060" i="15"/>
  <c r="D4048" i="15"/>
  <c r="D4036" i="15"/>
  <c r="D4024" i="15"/>
  <c r="D4012" i="15"/>
  <c r="D4000" i="15"/>
  <c r="D3988" i="15"/>
  <c r="D3976" i="15"/>
  <c r="D3964" i="15"/>
  <c r="D3952" i="15"/>
  <c r="D3940" i="15"/>
  <c r="D3928" i="15"/>
  <c r="D3916" i="15"/>
  <c r="D3904" i="15"/>
  <c r="D3892" i="15"/>
  <c r="D3880" i="15"/>
  <c r="D3868" i="15"/>
  <c r="D3856" i="15"/>
  <c r="D3844" i="15"/>
  <c r="D3832" i="15"/>
  <c r="D3820" i="15"/>
  <c r="D3808" i="15"/>
  <c r="D4779" i="15"/>
  <c r="D4707" i="15"/>
  <c r="D4635" i="15"/>
  <c r="D4563" i="15"/>
  <c r="D4491" i="15"/>
  <c r="D4419" i="15"/>
  <c r="D4347" i="15"/>
  <c r="D4277" i="15"/>
  <c r="D4229" i="15"/>
  <c r="D4181" i="15"/>
  <c r="D4133" i="15"/>
  <c r="D4085" i="15"/>
  <c r="D4037" i="15"/>
  <c r="D3989" i="15"/>
  <c r="D3941" i="15"/>
  <c r="D3897" i="15"/>
  <c r="D3861" i="15"/>
  <c r="D3836" i="15"/>
  <c r="D3816" i="15"/>
  <c r="D3800" i="15"/>
  <c r="D3788" i="15"/>
  <c r="D3776" i="15"/>
  <c r="D3764" i="15"/>
  <c r="D3752" i="15"/>
  <c r="D3740" i="15"/>
  <c r="D3728" i="15"/>
  <c r="D3716" i="15"/>
  <c r="D3704" i="15"/>
  <c r="D3692" i="15"/>
  <c r="D3680" i="15"/>
  <c r="D3668" i="15"/>
  <c r="D3656" i="15"/>
  <c r="D3644" i="15"/>
  <c r="D3632" i="15"/>
  <c r="D3620" i="15"/>
  <c r="D3608" i="15"/>
  <c r="D3596" i="15"/>
  <c r="D3584" i="15"/>
  <c r="D3572" i="15"/>
  <c r="D3560" i="15"/>
  <c r="D3548" i="15"/>
  <c r="D3536" i="15"/>
  <c r="D3524" i="15"/>
  <c r="D3512" i="15"/>
  <c r="D3500" i="15"/>
  <c r="D3488" i="15"/>
  <c r="D3476" i="15"/>
  <c r="D3464" i="15"/>
  <c r="D3452" i="15"/>
  <c r="D3440" i="15"/>
  <c r="D3428" i="15"/>
  <c r="D3416" i="15"/>
  <c r="D3404" i="15"/>
  <c r="D3392" i="15"/>
  <c r="D3380" i="15"/>
  <c r="D3368" i="15"/>
  <c r="D3356" i="15"/>
  <c r="D3344" i="15"/>
  <c r="D3332" i="15"/>
  <c r="D3320" i="15"/>
  <c r="D3308" i="15"/>
  <c r="D3296" i="15"/>
  <c r="D3284" i="15"/>
  <c r="D3272" i="15"/>
  <c r="D3260" i="15"/>
  <c r="D3248" i="15"/>
  <c r="D3236" i="15"/>
  <c r="D3224" i="15"/>
  <c r="D3212" i="15"/>
  <c r="D3200" i="15"/>
  <c r="D3188" i="15"/>
  <c r="D3176" i="15"/>
  <c r="D3164" i="15"/>
  <c r="D3152" i="15"/>
  <c r="D3140" i="15"/>
  <c r="D3128" i="15"/>
  <c r="D3116" i="15"/>
  <c r="D3104" i="15"/>
  <c r="D3092" i="15"/>
  <c r="D3080" i="15"/>
  <c r="D3068" i="15"/>
  <c r="D3056" i="15"/>
  <c r="D3044" i="15"/>
  <c r="D3032" i="15"/>
  <c r="D4769" i="15"/>
  <c r="D4697" i="15"/>
  <c r="D4625" i="15"/>
  <c r="D4553" i="15"/>
  <c r="D4481" i="15"/>
  <c r="D4409" i="15"/>
  <c r="D4337" i="15"/>
  <c r="D4275" i="15"/>
  <c r="D4227" i="15"/>
  <c r="D4179" i="15"/>
  <c r="D4131" i="15"/>
  <c r="D4083" i="15"/>
  <c r="D4035" i="15"/>
  <c r="D3987" i="15"/>
  <c r="D3939" i="15"/>
  <c r="D3893" i="15"/>
  <c r="D3857" i="15"/>
  <c r="D3835" i="15"/>
  <c r="D3814" i="15"/>
  <c r="D3799" i="15"/>
  <c r="D3787" i="15"/>
  <c r="D3775" i="15"/>
  <c r="D3763" i="15"/>
  <c r="D3751" i="15"/>
  <c r="D3739" i="15"/>
  <c r="D3727" i="15"/>
  <c r="D3715" i="15"/>
  <c r="D3703" i="15"/>
  <c r="D3691" i="15"/>
  <c r="D3679" i="15"/>
  <c r="D3667" i="15"/>
  <c r="D3655" i="15"/>
  <c r="D3643" i="15"/>
  <c r="D3631" i="15"/>
  <c r="D3619" i="15"/>
  <c r="D3607" i="15"/>
  <c r="D3595" i="15"/>
  <c r="D3583" i="15"/>
  <c r="D3571" i="15"/>
  <c r="D3559" i="15"/>
  <c r="D3547" i="15"/>
  <c r="D3535" i="15"/>
  <c r="D3523" i="15"/>
  <c r="D3511" i="15"/>
  <c r="D3499" i="15"/>
  <c r="D3487" i="15"/>
  <c r="D3475" i="15"/>
  <c r="D3463" i="15"/>
  <c r="D3451" i="15"/>
  <c r="D3439" i="15"/>
  <c r="D3427" i="15"/>
  <c r="D3415" i="15"/>
  <c r="D3403" i="15"/>
  <c r="D3391" i="15"/>
  <c r="D3379" i="15"/>
  <c r="D3367" i="15"/>
  <c r="D3355" i="15"/>
  <c r="D3343" i="15"/>
  <c r="D3331" i="15"/>
  <c r="D3319" i="15"/>
  <c r="D3307" i="15"/>
  <c r="D3295" i="15"/>
  <c r="D3283" i="15"/>
  <c r="D3271" i="15"/>
  <c r="D3259" i="15"/>
  <c r="D3247" i="15"/>
  <c r="D3235" i="15"/>
  <c r="D3223" i="15"/>
  <c r="D3211" i="15"/>
  <c r="D3199" i="15"/>
  <c r="D3187" i="15"/>
  <c r="D3175" i="15"/>
  <c r="D3163" i="15"/>
  <c r="D3151" i="15"/>
  <c r="D3139" i="15"/>
  <c r="D3127" i="15"/>
  <c r="D3115" i="15"/>
  <c r="D3103" i="15"/>
  <c r="D3091" i="15"/>
  <c r="D3079" i="15"/>
  <c r="D3067" i="15"/>
  <c r="D3055" i="15"/>
  <c r="D3043" i="15"/>
  <c r="D4767" i="15"/>
  <c r="D4695" i="15"/>
  <c r="D4623" i="15"/>
  <c r="D4551" i="15"/>
  <c r="D4479" i="15"/>
  <c r="D4407" i="15"/>
  <c r="D4335" i="15"/>
  <c r="D4274" i="15"/>
  <c r="D4226" i="15"/>
  <c r="D4178" i="15"/>
  <c r="D4130" i="15"/>
  <c r="D4082" i="15"/>
  <c r="D4034" i="15"/>
  <c r="D3986" i="15"/>
  <c r="D3938" i="15"/>
  <c r="D3891" i="15"/>
  <c r="D3855" i="15"/>
  <c r="D3833" i="15"/>
  <c r="D3813" i="15"/>
  <c r="D3798" i="15"/>
  <c r="D3786" i="15"/>
  <c r="D3774" i="15"/>
  <c r="D3762" i="15"/>
  <c r="D3750" i="15"/>
  <c r="D3738" i="15"/>
  <c r="D3726" i="15"/>
  <c r="D3714" i="15"/>
  <c r="D3702" i="15"/>
  <c r="D3690" i="15"/>
  <c r="D3678" i="15"/>
  <c r="D3666" i="15"/>
  <c r="D3654" i="15"/>
  <c r="D3642" i="15"/>
  <c r="D3630" i="15"/>
  <c r="D3618" i="15"/>
  <c r="D3606" i="15"/>
  <c r="D3594" i="15"/>
  <c r="D3582" i="15"/>
  <c r="D3570" i="15"/>
  <c r="D3558" i="15"/>
  <c r="D3546" i="15"/>
  <c r="D3534" i="15"/>
  <c r="D3522" i="15"/>
  <c r="D3510" i="15"/>
  <c r="D3498" i="15"/>
  <c r="D3486" i="15"/>
  <c r="D3474" i="15"/>
  <c r="D3462" i="15"/>
  <c r="D3450" i="15"/>
  <c r="D3438" i="15"/>
  <c r="D3426" i="15"/>
  <c r="D3414" i="15"/>
  <c r="D3402" i="15"/>
  <c r="D3390" i="15"/>
  <c r="D3378" i="15"/>
  <c r="D3366" i="15"/>
  <c r="D3354" i="15"/>
  <c r="D3342" i="15"/>
  <c r="D3330" i="15"/>
  <c r="D3318" i="15"/>
  <c r="D3306" i="15"/>
  <c r="D3294" i="15"/>
  <c r="D3282" i="15"/>
  <c r="D3270" i="15"/>
  <c r="D3258" i="15"/>
  <c r="D3246" i="15"/>
  <c r="D3234" i="15"/>
  <c r="D3222" i="15"/>
  <c r="D3210" i="15"/>
  <c r="D3198" i="15"/>
  <c r="D3186" i="15"/>
  <c r="D3174" i="15"/>
  <c r="D3162" i="15"/>
  <c r="D3150" i="15"/>
  <c r="D3138" i="15"/>
  <c r="D3126" i="15"/>
  <c r="D3114" i="15"/>
  <c r="D3102" i="15"/>
  <c r="D3090" i="15"/>
  <c r="D3078" i="15"/>
  <c r="D3066" i="15"/>
  <c r="D3054" i="15"/>
  <c r="D3042" i="15"/>
  <c r="D4757" i="15"/>
  <c r="D4685" i="15"/>
  <c r="D4613" i="15"/>
  <c r="D4541" i="15"/>
  <c r="D4469" i="15"/>
  <c r="D4397" i="15"/>
  <c r="D4325" i="15"/>
  <c r="D4265" i="15"/>
  <c r="D4217" i="15"/>
  <c r="D4169" i="15"/>
  <c r="D4121" i="15"/>
  <c r="D4073" i="15"/>
  <c r="D4025" i="15"/>
  <c r="D3977" i="15"/>
  <c r="D3929" i="15"/>
  <c r="D3890" i="15"/>
  <c r="D3854" i="15"/>
  <c r="D3831" i="15"/>
  <c r="D3812" i="15"/>
  <c r="D3797" i="15"/>
  <c r="D3785" i="15"/>
  <c r="D3773" i="15"/>
  <c r="D3761" i="15"/>
  <c r="D3749" i="15"/>
  <c r="D3737" i="15"/>
  <c r="D3725" i="15"/>
  <c r="D3713" i="15"/>
  <c r="D3701" i="15"/>
  <c r="D3689" i="15"/>
  <c r="D3677" i="15"/>
  <c r="D3665" i="15"/>
  <c r="D3653" i="15"/>
  <c r="D3641" i="15"/>
  <c r="D3629" i="15"/>
  <c r="D3617" i="15"/>
  <c r="D3605" i="15"/>
  <c r="D3593" i="15"/>
  <c r="D3581" i="15"/>
  <c r="D3569" i="15"/>
  <c r="D3557" i="15"/>
  <c r="D3545" i="15"/>
  <c r="D3533" i="15"/>
  <c r="D3521" i="15"/>
  <c r="D3509" i="15"/>
  <c r="D3497" i="15"/>
  <c r="D3485" i="15"/>
  <c r="D3473" i="15"/>
  <c r="D3461" i="15"/>
  <c r="D3449" i="15"/>
  <c r="D3437" i="15"/>
  <c r="D3425" i="15"/>
  <c r="D3413" i="15"/>
  <c r="D3401" i="15"/>
  <c r="D3389" i="15"/>
  <c r="D3377" i="15"/>
  <c r="D3365" i="15"/>
  <c r="D3353" i="15"/>
  <c r="D3341" i="15"/>
  <c r="D3329" i="15"/>
  <c r="D3317" i="15"/>
  <c r="D3305" i="15"/>
  <c r="D3293" i="15"/>
  <c r="D3281" i="15"/>
  <c r="D3269" i="15"/>
  <c r="D3257" i="15"/>
  <c r="D3245" i="15"/>
  <c r="D3233" i="15"/>
  <c r="D3221" i="15"/>
  <c r="D3209" i="15"/>
  <c r="D3197" i="15"/>
  <c r="D3185" i="15"/>
  <c r="D3173" i="15"/>
  <c r="D3161" i="15"/>
  <c r="D3149" i="15"/>
  <c r="D3137" i="15"/>
  <c r="D3125" i="15"/>
  <c r="D3113" i="15"/>
  <c r="D3101" i="15"/>
  <c r="D3089" i="15"/>
  <c r="D3077" i="15"/>
  <c r="D3065" i="15"/>
  <c r="D4817" i="15"/>
  <c r="D4745" i="15"/>
  <c r="D4673" i="15"/>
  <c r="D4601" i="15"/>
  <c r="D4529" i="15"/>
  <c r="D4457" i="15"/>
  <c r="D4385" i="15"/>
  <c r="D4313" i="15"/>
  <c r="D4262" i="15"/>
  <c r="D4214" i="15"/>
  <c r="D4166" i="15"/>
  <c r="D4118" i="15"/>
  <c r="D4070" i="15"/>
  <c r="D4022" i="15"/>
  <c r="D3974" i="15"/>
  <c r="D3926" i="15"/>
  <c r="D3881" i="15"/>
  <c r="D3848" i="15"/>
  <c r="D3826" i="15"/>
  <c r="D3809" i="15"/>
  <c r="D3795" i="15"/>
  <c r="D3783" i="15"/>
  <c r="D3771" i="15"/>
  <c r="D3759" i="15"/>
  <c r="D3747" i="15"/>
  <c r="D3735" i="15"/>
  <c r="D3723" i="15"/>
  <c r="D3711" i="15"/>
  <c r="D3699" i="15"/>
  <c r="D3687" i="15"/>
  <c r="D3675" i="15"/>
  <c r="D3663" i="15"/>
  <c r="D3651" i="15"/>
  <c r="D3639" i="15"/>
  <c r="D3627" i="15"/>
  <c r="D3615" i="15"/>
  <c r="D3603" i="15"/>
  <c r="D3591" i="15"/>
  <c r="D3579" i="15"/>
  <c r="D3567" i="15"/>
  <c r="D3555" i="15"/>
  <c r="D3543" i="15"/>
  <c r="D3531" i="15"/>
  <c r="D3519" i="15"/>
  <c r="D3507" i="15"/>
  <c r="D3495" i="15"/>
  <c r="D3483" i="15"/>
  <c r="D3471" i="15"/>
  <c r="D3459" i="15"/>
  <c r="D3447" i="15"/>
  <c r="D3435" i="15"/>
  <c r="D3423" i="15"/>
  <c r="D3411" i="15"/>
  <c r="D3399" i="15"/>
  <c r="D3387" i="15"/>
  <c r="D3375" i="15"/>
  <c r="D3363" i="15"/>
  <c r="D3351" i="15"/>
  <c r="D3339" i="15"/>
  <c r="D3327" i="15"/>
  <c r="D3315" i="15"/>
  <c r="D3303" i="15"/>
  <c r="D3291" i="15"/>
  <c r="D3279" i="15"/>
  <c r="D3267" i="15"/>
  <c r="D3255" i="15"/>
  <c r="D3243" i="15"/>
  <c r="D3231" i="15"/>
  <c r="D3219" i="15"/>
  <c r="D3207" i="15"/>
  <c r="D3195" i="15"/>
  <c r="D3183" i="15"/>
  <c r="D3171" i="15"/>
  <c r="D3159" i="15"/>
  <c r="D3147" i="15"/>
  <c r="D3135" i="15"/>
  <c r="D3123" i="15"/>
  <c r="D3111" i="15"/>
  <c r="D3099" i="15"/>
  <c r="D3087" i="15"/>
  <c r="D3075" i="15"/>
  <c r="D3063" i="15"/>
  <c r="D3051" i="15"/>
  <c r="D3039" i="15"/>
  <c r="D3027" i="15"/>
  <c r="D4815" i="15"/>
  <c r="D4743" i="15"/>
  <c r="D4671" i="15"/>
  <c r="D4599" i="15"/>
  <c r="D4527" i="15"/>
  <c r="D4455" i="15"/>
  <c r="D4383" i="15"/>
  <c r="D4311" i="15"/>
  <c r="D4253" i="15"/>
  <c r="D4205" i="15"/>
  <c r="D4157" i="15"/>
  <c r="D4109" i="15"/>
  <c r="D4061" i="15"/>
  <c r="D4013" i="15"/>
  <c r="D3965" i="15"/>
  <c r="D3917" i="15"/>
  <c r="D3879" i="15"/>
  <c r="D3847" i="15"/>
  <c r="D3825" i="15"/>
  <c r="D3807" i="15"/>
  <c r="D3794" i="15"/>
  <c r="D3782" i="15"/>
  <c r="D3770" i="15"/>
  <c r="D3758" i="15"/>
  <c r="D3746" i="15"/>
  <c r="D3734" i="15"/>
  <c r="D3722" i="15"/>
  <c r="D3710" i="15"/>
  <c r="D3698" i="15"/>
  <c r="D3686" i="15"/>
  <c r="D3674" i="15"/>
  <c r="D3662" i="15"/>
  <c r="D3650" i="15"/>
  <c r="D3638" i="15"/>
  <c r="D3626" i="15"/>
  <c r="D3614" i="15"/>
  <c r="D3602" i="15"/>
  <c r="D3590" i="15"/>
  <c r="D3578" i="15"/>
  <c r="D3566" i="15"/>
  <c r="D3554" i="15"/>
  <c r="D3542" i="15"/>
  <c r="D3530" i="15"/>
  <c r="D3518" i="15"/>
  <c r="D3506" i="15"/>
  <c r="D3494" i="15"/>
  <c r="D3482" i="15"/>
  <c r="D3470" i="15"/>
  <c r="D3458" i="15"/>
  <c r="D3446" i="15"/>
  <c r="D3434" i="15"/>
  <c r="D3422" i="15"/>
  <c r="D3410" i="15"/>
  <c r="D3398" i="15"/>
  <c r="D3386" i="15"/>
  <c r="D3374" i="15"/>
  <c r="D3362" i="15"/>
  <c r="D3350" i="15"/>
  <c r="D3338" i="15"/>
  <c r="D3326" i="15"/>
  <c r="D3314" i="15"/>
  <c r="D3302" i="15"/>
  <c r="D3290" i="15"/>
  <c r="D3278" i="15"/>
  <c r="D3266" i="15"/>
  <c r="D3254" i="15"/>
  <c r="D3242" i="15"/>
  <c r="D4805" i="15"/>
  <c r="D4733" i="15"/>
  <c r="D4661" i="15"/>
  <c r="D4589" i="15"/>
  <c r="D4517" i="15"/>
  <c r="D4445" i="15"/>
  <c r="D4373" i="15"/>
  <c r="D4301" i="15"/>
  <c r="D4251" i="15"/>
  <c r="D4203" i="15"/>
  <c r="D4155" i="15"/>
  <c r="D4107" i="15"/>
  <c r="D4059" i="15"/>
  <c r="D4011" i="15"/>
  <c r="D3963" i="15"/>
  <c r="D3915" i="15"/>
  <c r="D3878" i="15"/>
  <c r="D3845" i="15"/>
  <c r="D3824" i="15"/>
  <c r="D3806" i="15"/>
  <c r="D3793" i="15"/>
  <c r="D3781" i="15"/>
  <c r="D3769" i="15"/>
  <c r="D3757" i="15"/>
  <c r="D3745" i="15"/>
  <c r="D3733" i="15"/>
  <c r="D3721" i="15"/>
  <c r="D3709" i="15"/>
  <c r="D3697" i="15"/>
  <c r="D3685" i="15"/>
  <c r="D3673" i="15"/>
  <c r="D3661" i="15"/>
  <c r="D3649" i="15"/>
  <c r="D3637" i="15"/>
  <c r="D3625" i="15"/>
  <c r="D3613" i="15"/>
  <c r="D3601" i="15"/>
  <c r="D3589" i="15"/>
  <c r="D3577" i="15"/>
  <c r="D3565" i="15"/>
  <c r="D3553" i="15"/>
  <c r="D3541" i="15"/>
  <c r="D3529" i="15"/>
  <c r="D3517" i="15"/>
  <c r="D3505" i="15"/>
  <c r="D3493" i="15"/>
  <c r="D3481" i="15"/>
  <c r="D3469" i="15"/>
  <c r="D3457" i="15"/>
  <c r="D3445" i="15"/>
  <c r="D3433" i="15"/>
  <c r="D3421" i="15"/>
  <c r="D3409" i="15"/>
  <c r="D3397" i="15"/>
  <c r="D3385" i="15"/>
  <c r="D3373" i="15"/>
  <c r="D3361" i="15"/>
  <c r="D3349" i="15"/>
  <c r="D3337" i="15"/>
  <c r="D3325" i="15"/>
  <c r="D3313" i="15"/>
  <c r="D3301" i="15"/>
  <c r="D3289" i="15"/>
  <c r="D3277" i="15"/>
  <c r="D3265" i="15"/>
  <c r="D3253" i="15"/>
  <c r="D3241" i="15"/>
  <c r="D4719" i="15"/>
  <c r="D4539" i="15"/>
  <c r="D4361" i="15"/>
  <c r="D4238" i="15"/>
  <c r="D4106" i="15"/>
  <c r="D3999" i="15"/>
  <c r="D3885" i="15"/>
  <c r="D3821" i="15"/>
  <c r="D3789" i="15"/>
  <c r="D3756" i="15"/>
  <c r="D3730" i="15"/>
  <c r="D3700" i="15"/>
  <c r="D3671" i="15"/>
  <c r="D3645" i="15"/>
  <c r="D3612" i="15"/>
  <c r="D3586" i="15"/>
  <c r="D3556" i="15"/>
  <c r="D3527" i="15"/>
  <c r="D3501" i="15"/>
  <c r="D3468" i="15"/>
  <c r="D3442" i="15"/>
  <c r="D3412" i="15"/>
  <c r="D3383" i="15"/>
  <c r="D3357" i="15"/>
  <c r="D3324" i="15"/>
  <c r="D3298" i="15"/>
  <c r="D3268" i="15"/>
  <c r="D3239" i="15"/>
  <c r="D3217" i="15"/>
  <c r="D3196" i="15"/>
  <c r="D3178" i="15"/>
  <c r="D3156" i="15"/>
  <c r="D3134" i="15"/>
  <c r="D3117" i="15"/>
  <c r="D3095" i="15"/>
  <c r="D3073" i="15"/>
  <c r="D3053" i="15"/>
  <c r="D3036" i="15"/>
  <c r="D3022" i="15"/>
  <c r="D3010" i="15"/>
  <c r="D2998" i="15"/>
  <c r="D2986" i="15"/>
  <c r="D2974" i="15"/>
  <c r="D2962" i="15"/>
  <c r="D2950" i="15"/>
  <c r="D2938" i="15"/>
  <c r="D2926" i="15"/>
  <c r="D2914" i="15"/>
  <c r="D2902" i="15"/>
  <c r="D2890" i="15"/>
  <c r="D2878" i="15"/>
  <c r="D2866" i="15"/>
  <c r="D2854" i="15"/>
  <c r="D2842" i="15"/>
  <c r="D2830" i="15"/>
  <c r="D2818" i="15"/>
  <c r="D2806" i="15"/>
  <c r="D2794" i="15"/>
  <c r="D2782" i="15"/>
  <c r="D2770" i="15"/>
  <c r="D2758" i="15"/>
  <c r="D2746" i="15"/>
  <c r="D2734" i="15"/>
  <c r="D2722" i="15"/>
  <c r="D2710" i="15"/>
  <c r="D2698" i="15"/>
  <c r="D2686" i="15"/>
  <c r="D2674" i="15"/>
  <c r="D2662" i="15"/>
  <c r="D2650" i="15"/>
  <c r="D2638" i="15"/>
  <c r="D2626" i="15"/>
  <c r="D2614" i="15"/>
  <c r="D2602" i="15"/>
  <c r="D2590" i="15"/>
  <c r="D2578" i="15"/>
  <c r="D2566" i="15"/>
  <c r="D2554" i="15"/>
  <c r="D2542" i="15"/>
  <c r="D2530" i="15"/>
  <c r="D2518" i="15"/>
  <c r="D2506" i="15"/>
  <c r="D2494" i="15"/>
  <c r="D2482" i="15"/>
  <c r="D2470" i="15"/>
  <c r="D4709" i="15"/>
  <c r="D4515" i="15"/>
  <c r="D4359" i="15"/>
  <c r="D4215" i="15"/>
  <c r="D4097" i="15"/>
  <c r="D3998" i="15"/>
  <c r="D3873" i="15"/>
  <c r="D3819" i="15"/>
  <c r="D3784" i="15"/>
  <c r="D3755" i="15"/>
  <c r="D3729" i="15"/>
  <c r="D3696" i="15"/>
  <c r="D3670" i="15"/>
  <c r="D3640" i="15"/>
  <c r="D3611" i="15"/>
  <c r="D3585" i="15"/>
  <c r="D3552" i="15"/>
  <c r="D3526" i="15"/>
  <c r="D3496" i="15"/>
  <c r="D3467" i="15"/>
  <c r="D3441" i="15"/>
  <c r="D3408" i="15"/>
  <c r="D3382" i="15"/>
  <c r="D3352" i="15"/>
  <c r="D3323" i="15"/>
  <c r="D3297" i="15"/>
  <c r="D3264" i="15"/>
  <c r="D3238" i="15"/>
  <c r="D3216" i="15"/>
  <c r="D3194" i="15"/>
  <c r="D3177" i="15"/>
  <c r="D3155" i="15"/>
  <c r="D3133" i="15"/>
  <c r="D3112" i="15"/>
  <c r="D3094" i="15"/>
  <c r="D3072" i="15"/>
  <c r="D3052" i="15"/>
  <c r="D3035" i="15"/>
  <c r="D3021" i="15"/>
  <c r="D3009" i="15"/>
  <c r="D2997" i="15"/>
  <c r="D2985" i="15"/>
  <c r="D2973" i="15"/>
  <c r="D2961" i="15"/>
  <c r="D2949" i="15"/>
  <c r="D2937" i="15"/>
  <c r="D2925" i="15"/>
  <c r="D2913" i="15"/>
  <c r="D2901" i="15"/>
  <c r="D2889" i="15"/>
  <c r="D2877" i="15"/>
  <c r="D2865" i="15"/>
  <c r="D2853" i="15"/>
  <c r="D2841" i="15"/>
  <c r="D2829" i="15"/>
  <c r="D2817" i="15"/>
  <c r="D2805" i="15"/>
  <c r="D2793" i="15"/>
  <c r="D2781" i="15"/>
  <c r="D2769" i="15"/>
  <c r="D2757" i="15"/>
  <c r="D2745" i="15"/>
  <c r="D2733" i="15"/>
  <c r="D2721" i="15"/>
  <c r="D2709" i="15"/>
  <c r="D2697" i="15"/>
  <c r="D2685" i="15"/>
  <c r="D2673" i="15"/>
  <c r="D2661" i="15"/>
  <c r="D2649" i="15"/>
  <c r="D2637" i="15"/>
  <c r="D2625" i="15"/>
  <c r="D2613" i="15"/>
  <c r="D2601" i="15"/>
  <c r="D2589" i="15"/>
  <c r="D2577" i="15"/>
  <c r="D2565" i="15"/>
  <c r="D2553" i="15"/>
  <c r="D2541" i="15"/>
  <c r="D2529" i="15"/>
  <c r="D2517" i="15"/>
  <c r="D2505" i="15"/>
  <c r="D2493" i="15"/>
  <c r="D2481" i="15"/>
  <c r="D2469" i="15"/>
  <c r="D2457" i="15"/>
  <c r="D4683" i="15"/>
  <c r="D4505" i="15"/>
  <c r="D4349" i="15"/>
  <c r="D4202" i="15"/>
  <c r="D4095" i="15"/>
  <c r="D3975" i="15"/>
  <c r="D3869" i="15"/>
  <c r="D3818" i="15"/>
  <c r="D3780" i="15"/>
  <c r="D3754" i="15"/>
  <c r="D3724" i="15"/>
  <c r="D3695" i="15"/>
  <c r="D3669" i="15"/>
  <c r="D3636" i="15"/>
  <c r="D3610" i="15"/>
  <c r="D3580" i="15"/>
  <c r="D3551" i="15"/>
  <c r="D3525" i="15"/>
  <c r="D3492" i="15"/>
  <c r="D3466" i="15"/>
  <c r="D3436" i="15"/>
  <c r="D3407" i="15"/>
  <c r="D3381" i="15"/>
  <c r="D3348" i="15"/>
  <c r="D3322" i="15"/>
  <c r="D3292" i="15"/>
  <c r="D3263" i="15"/>
  <c r="D3237" i="15"/>
  <c r="D3215" i="15"/>
  <c r="D3193" i="15"/>
  <c r="D3172" i="15"/>
  <c r="D3154" i="15"/>
  <c r="D3132" i="15"/>
  <c r="D3110" i="15"/>
  <c r="D3093" i="15"/>
  <c r="D3071" i="15"/>
  <c r="D3050" i="15"/>
  <c r="D3034" i="15"/>
  <c r="D3020" i="15"/>
  <c r="D3008" i="15"/>
  <c r="D2996" i="15"/>
  <c r="D2984" i="15"/>
  <c r="D2972" i="15"/>
  <c r="D2960" i="15"/>
  <c r="D2948" i="15"/>
  <c r="D2936" i="15"/>
  <c r="D2924" i="15"/>
  <c r="D2912" i="15"/>
  <c r="D2900" i="15"/>
  <c r="D2888" i="15"/>
  <c r="D2876" i="15"/>
  <c r="D2864" i="15"/>
  <c r="D2852" i="15"/>
  <c r="D2840" i="15"/>
  <c r="D2828" i="15"/>
  <c r="D2816" i="15"/>
  <c r="D2804" i="15"/>
  <c r="D2792" i="15"/>
  <c r="D2780" i="15"/>
  <c r="D2768" i="15"/>
  <c r="D2756" i="15"/>
  <c r="D2744" i="15"/>
  <c r="D2732" i="15"/>
  <c r="D2720" i="15"/>
  <c r="D2708" i="15"/>
  <c r="D2696" i="15"/>
  <c r="D2684" i="15"/>
  <c r="D2672" i="15"/>
  <c r="D2660" i="15"/>
  <c r="D2648" i="15"/>
  <c r="D2636" i="15"/>
  <c r="D2624" i="15"/>
  <c r="D2612" i="15"/>
  <c r="D2600" i="15"/>
  <c r="D2588" i="15"/>
  <c r="D2576" i="15"/>
  <c r="D2564" i="15"/>
  <c r="D2552" i="15"/>
  <c r="D2540" i="15"/>
  <c r="D2528" i="15"/>
  <c r="D2516" i="15"/>
  <c r="D2504" i="15"/>
  <c r="D4659" i="15"/>
  <c r="D4503" i="15"/>
  <c r="D4323" i="15"/>
  <c r="D4193" i="15"/>
  <c r="D4094" i="15"/>
  <c r="D3962" i="15"/>
  <c r="D3867" i="15"/>
  <c r="D3811" i="15"/>
  <c r="D3779" i="15"/>
  <c r="D3753" i="15"/>
  <c r="D3720" i="15"/>
  <c r="D3694" i="15"/>
  <c r="D3664" i="15"/>
  <c r="D3635" i="15"/>
  <c r="D3609" i="15"/>
  <c r="D3576" i="15"/>
  <c r="D3550" i="15"/>
  <c r="D3520" i="15"/>
  <c r="D3491" i="15"/>
  <c r="D3465" i="15"/>
  <c r="D3432" i="15"/>
  <c r="D3406" i="15"/>
  <c r="D3376" i="15"/>
  <c r="D3347" i="15"/>
  <c r="D3321" i="15"/>
  <c r="D3288" i="15"/>
  <c r="D3262" i="15"/>
  <c r="D3232" i="15"/>
  <c r="D3214" i="15"/>
  <c r="D3192" i="15"/>
  <c r="D3170" i="15"/>
  <c r="D3153" i="15"/>
  <c r="D3131" i="15"/>
  <c r="D3109" i="15"/>
  <c r="D3088" i="15"/>
  <c r="D3070" i="15"/>
  <c r="D3049" i="15"/>
  <c r="D3033" i="15"/>
  <c r="D3019" i="15"/>
  <c r="D3007" i="15"/>
  <c r="D2995" i="15"/>
  <c r="D2983" i="15"/>
  <c r="D2971" i="15"/>
  <c r="D2959" i="15"/>
  <c r="D2947" i="15"/>
  <c r="D2935" i="15"/>
  <c r="D2923" i="15"/>
  <c r="D2911" i="15"/>
  <c r="D2899" i="15"/>
  <c r="D2887" i="15"/>
  <c r="D2875" i="15"/>
  <c r="D2863" i="15"/>
  <c r="D2851" i="15"/>
  <c r="D2839" i="15"/>
  <c r="D2827" i="15"/>
  <c r="D2815" i="15"/>
  <c r="D2803" i="15"/>
  <c r="D2791" i="15"/>
  <c r="D2779" i="15"/>
  <c r="D2767" i="15"/>
  <c r="D2755" i="15"/>
  <c r="D2743" i="15"/>
  <c r="D2731" i="15"/>
  <c r="D2719" i="15"/>
  <c r="D2707" i="15"/>
  <c r="D2695" i="15"/>
  <c r="D2683" i="15"/>
  <c r="D2671" i="15"/>
  <c r="D2659" i="15"/>
  <c r="D2647" i="15"/>
  <c r="D2635" i="15"/>
  <c r="D2623" i="15"/>
  <c r="D2611" i="15"/>
  <c r="D2599" i="15"/>
  <c r="D2587" i="15"/>
  <c r="D2575" i="15"/>
  <c r="D4649" i="15"/>
  <c r="D4493" i="15"/>
  <c r="D4299" i="15"/>
  <c r="D4191" i="15"/>
  <c r="D4071" i="15"/>
  <c r="D3953" i="15"/>
  <c r="D3866" i="15"/>
  <c r="D3804" i="15"/>
  <c r="D3778" i="15"/>
  <c r="D3748" i="15"/>
  <c r="D3719" i="15"/>
  <c r="D3693" i="15"/>
  <c r="D3660" i="15"/>
  <c r="D3634" i="15"/>
  <c r="D3604" i="15"/>
  <c r="D3575" i="15"/>
  <c r="D3549" i="15"/>
  <c r="D3516" i="15"/>
  <c r="D3490" i="15"/>
  <c r="D3460" i="15"/>
  <c r="D3431" i="15"/>
  <c r="D3405" i="15"/>
  <c r="D3372" i="15"/>
  <c r="D3346" i="15"/>
  <c r="D3316" i="15"/>
  <c r="D3287" i="15"/>
  <c r="D3261" i="15"/>
  <c r="D3230" i="15"/>
  <c r="D3213" i="15"/>
  <c r="D3191" i="15"/>
  <c r="D3169" i="15"/>
  <c r="D3148" i="15"/>
  <c r="D3130" i="15"/>
  <c r="D3108" i="15"/>
  <c r="D3086" i="15"/>
  <c r="D3069" i="15"/>
  <c r="D3048" i="15"/>
  <c r="D3031" i="15"/>
  <c r="D3018" i="15"/>
  <c r="D3006" i="15"/>
  <c r="D2994" i="15"/>
  <c r="D2982" i="15"/>
  <c r="D2970" i="15"/>
  <c r="D2958" i="15"/>
  <c r="D2946" i="15"/>
  <c r="D2934" i="15"/>
  <c r="D2922" i="15"/>
  <c r="D2910" i="15"/>
  <c r="D2898" i="15"/>
  <c r="D2886" i="15"/>
  <c r="D2874" i="15"/>
  <c r="D2862" i="15"/>
  <c r="D2850" i="15"/>
  <c r="D4803" i="15"/>
  <c r="D4647" i="15"/>
  <c r="D4467" i="15"/>
  <c r="D4289" i="15"/>
  <c r="D4190" i="15"/>
  <c r="D4058" i="15"/>
  <c r="D3951" i="15"/>
  <c r="D3849" i="15"/>
  <c r="D3803" i="15"/>
  <c r="D3777" i="15"/>
  <c r="D3744" i="15"/>
  <c r="D3718" i="15"/>
  <c r="D3688" i="15"/>
  <c r="D3659" i="15"/>
  <c r="D3633" i="15"/>
  <c r="D3600" i="15"/>
  <c r="D3574" i="15"/>
  <c r="D3544" i="15"/>
  <c r="D3515" i="15"/>
  <c r="D3489" i="15"/>
  <c r="D3456" i="15"/>
  <c r="D3430" i="15"/>
  <c r="D3400" i="15"/>
  <c r="D3371" i="15"/>
  <c r="D3345" i="15"/>
  <c r="D3312" i="15"/>
  <c r="D3286" i="15"/>
  <c r="D3256" i="15"/>
  <c r="D3229" i="15"/>
  <c r="D3208" i="15"/>
  <c r="D3190" i="15"/>
  <c r="D3168" i="15"/>
  <c r="D3146" i="15"/>
  <c r="D3129" i="15"/>
  <c r="D3107" i="15"/>
  <c r="D3085" i="15"/>
  <c r="D3064" i="15"/>
  <c r="D3047" i="15"/>
  <c r="D3030" i="15"/>
  <c r="D3017" i="15"/>
  <c r="D3005" i="15"/>
  <c r="D2993" i="15"/>
  <c r="D2981" i="15"/>
  <c r="D2969" i="15"/>
  <c r="D2957" i="15"/>
  <c r="D2945" i="15"/>
  <c r="D2933" i="15"/>
  <c r="D2921" i="15"/>
  <c r="D2909" i="15"/>
  <c r="D2897" i="15"/>
  <c r="D2885" i="15"/>
  <c r="D2873" i="15"/>
  <c r="D2861" i="15"/>
  <c r="D2849" i="15"/>
  <c r="D2837" i="15"/>
  <c r="D2825" i="15"/>
  <c r="D2813" i="15"/>
  <c r="D2801" i="15"/>
  <c r="D2789" i="15"/>
  <c r="D2777" i="15"/>
  <c r="D2765" i="15"/>
  <c r="D2753" i="15"/>
  <c r="D4793" i="15"/>
  <c r="D4637" i="15"/>
  <c r="D4443" i="15"/>
  <c r="D4287" i="15"/>
  <c r="D4167" i="15"/>
  <c r="D4049" i="15"/>
  <c r="D3950" i="15"/>
  <c r="D3843" i="15"/>
  <c r="D3802" i="15"/>
  <c r="D3772" i="15"/>
  <c r="D3743" i="15"/>
  <c r="D3717" i="15"/>
  <c r="D3684" i="15"/>
  <c r="D3658" i="15"/>
  <c r="D3628" i="15"/>
  <c r="D3599" i="15"/>
  <c r="D3573" i="15"/>
  <c r="D3540" i="15"/>
  <c r="D3514" i="15"/>
  <c r="D3484" i="15"/>
  <c r="D3455" i="15"/>
  <c r="D3429" i="15"/>
  <c r="D3396" i="15"/>
  <c r="D3370" i="15"/>
  <c r="D3340" i="15"/>
  <c r="D3311" i="15"/>
  <c r="D3285" i="15"/>
  <c r="D3252" i="15"/>
  <c r="D3228" i="15"/>
  <c r="D3206" i="15"/>
  <c r="D3189" i="15"/>
  <c r="D3167" i="15"/>
  <c r="D3145" i="15"/>
  <c r="D3124" i="15"/>
  <c r="D3106" i="15"/>
  <c r="D3084" i="15"/>
  <c r="D3062" i="15"/>
  <c r="D3046" i="15"/>
  <c r="D3029" i="15"/>
  <c r="D3016" i="15"/>
  <c r="D3004" i="15"/>
  <c r="D2992" i="15"/>
  <c r="D2980" i="15"/>
  <c r="D2968" i="15"/>
  <c r="D2956" i="15"/>
  <c r="D2944" i="15"/>
  <c r="D2932" i="15"/>
  <c r="D2920" i="15"/>
  <c r="D2908" i="15"/>
  <c r="D2896" i="15"/>
  <c r="D2884" i="15"/>
  <c r="D2872" i="15"/>
  <c r="D2860" i="15"/>
  <c r="D2848" i="15"/>
  <c r="D2836" i="15"/>
  <c r="D2824" i="15"/>
  <c r="D2812" i="15"/>
  <c r="D2800" i="15"/>
  <c r="D2788" i="15"/>
  <c r="D2776" i="15"/>
  <c r="D2764" i="15"/>
  <c r="D2752" i="15"/>
  <c r="D2740" i="15"/>
  <c r="D2728" i="15"/>
  <c r="D2716" i="15"/>
  <c r="D2704" i="15"/>
  <c r="D2692" i="15"/>
  <c r="D2680" i="15"/>
  <c r="D2668" i="15"/>
  <c r="D2656" i="15"/>
  <c r="D2644" i="15"/>
  <c r="D4791" i="15"/>
  <c r="D4611" i="15"/>
  <c r="D4433" i="15"/>
  <c r="D4286" i="15"/>
  <c r="D4154" i="15"/>
  <c r="D4047" i="15"/>
  <c r="D3927" i="15"/>
  <c r="D3842" i="15"/>
  <c r="D3801" i="15"/>
  <c r="D3768" i="15"/>
  <c r="D3742" i="15"/>
  <c r="D3712" i="15"/>
  <c r="D3683" i="15"/>
  <c r="D3657" i="15"/>
  <c r="D3624" i="15"/>
  <c r="D3598" i="15"/>
  <c r="D3568" i="15"/>
  <c r="D3539" i="15"/>
  <c r="D3513" i="15"/>
  <c r="D3480" i="15"/>
  <c r="D3454" i="15"/>
  <c r="D3424" i="15"/>
  <c r="D3395" i="15"/>
  <c r="D3369" i="15"/>
  <c r="D3336" i="15"/>
  <c r="D3310" i="15"/>
  <c r="D3280" i="15"/>
  <c r="D3251" i="15"/>
  <c r="D3227" i="15"/>
  <c r="D3205" i="15"/>
  <c r="D3184" i="15"/>
  <c r="D3166" i="15"/>
  <c r="D3144" i="15"/>
  <c r="D3122" i="15"/>
  <c r="D3105" i="15"/>
  <c r="D3083" i="15"/>
  <c r="D3061" i="15"/>
  <c r="D3045" i="15"/>
  <c r="D3028" i="15"/>
  <c r="D3015" i="15"/>
  <c r="D3003" i="15"/>
  <c r="D2991" i="15"/>
  <c r="D2979" i="15"/>
  <c r="D2967" i="15"/>
  <c r="D2955" i="15"/>
  <c r="D2943" i="15"/>
  <c r="D2931" i="15"/>
  <c r="D2919" i="15"/>
  <c r="D2907" i="15"/>
  <c r="D2895" i="15"/>
  <c r="D2883" i="15"/>
  <c r="D2871" i="15"/>
  <c r="D2859" i="15"/>
  <c r="D2847" i="15"/>
  <c r="D2835" i="15"/>
  <c r="D2823" i="15"/>
  <c r="D2811" i="15"/>
  <c r="D2799" i="15"/>
  <c r="D2787" i="15"/>
  <c r="D2775" i="15"/>
  <c r="D2763" i="15"/>
  <c r="D2751" i="15"/>
  <c r="D2739" i="15"/>
  <c r="D2727" i="15"/>
  <c r="D2715" i="15"/>
  <c r="D2703" i="15"/>
  <c r="D2691" i="15"/>
  <c r="D2679" i="15"/>
  <c r="D2667" i="15"/>
  <c r="D2655" i="15"/>
  <c r="D2643" i="15"/>
  <c r="D2631" i="15"/>
  <c r="D2619" i="15"/>
  <c r="D2607" i="15"/>
  <c r="D2595" i="15"/>
  <c r="D2583" i="15"/>
  <c r="D2571" i="15"/>
  <c r="D4781" i="15"/>
  <c r="D4587" i="15"/>
  <c r="D4431" i="15"/>
  <c r="D4263" i="15"/>
  <c r="D4145" i="15"/>
  <c r="D4046" i="15"/>
  <c r="D3914" i="15"/>
  <c r="D3838" i="15"/>
  <c r="D3796" i="15"/>
  <c r="D3767" i="15"/>
  <c r="D3741" i="15"/>
  <c r="D3708" i="15"/>
  <c r="D3682" i="15"/>
  <c r="D3652" i="15"/>
  <c r="D3623" i="15"/>
  <c r="D3597" i="15"/>
  <c r="D3564" i="15"/>
  <c r="D3538" i="15"/>
  <c r="D3508" i="15"/>
  <c r="D3479" i="15"/>
  <c r="D3453" i="15"/>
  <c r="D3420" i="15"/>
  <c r="D3394" i="15"/>
  <c r="D3364" i="15"/>
  <c r="D3335" i="15"/>
  <c r="D3309" i="15"/>
  <c r="D3276" i="15"/>
  <c r="D3250" i="15"/>
  <c r="D3226" i="15"/>
  <c r="D3204" i="15"/>
  <c r="D3182" i="15"/>
  <c r="D3165" i="15"/>
  <c r="D3143" i="15"/>
  <c r="D3121" i="15"/>
  <c r="D3100" i="15"/>
  <c r="D3082" i="15"/>
  <c r="D3060" i="15"/>
  <c r="D3041" i="15"/>
  <c r="D3026" i="15"/>
  <c r="D3014" i="15"/>
  <c r="D3002" i="15"/>
  <c r="D2990" i="15"/>
  <c r="D2978" i="15"/>
  <c r="D2966" i="15"/>
  <c r="D2954" i="15"/>
  <c r="D2942" i="15"/>
  <c r="D2930" i="15"/>
  <c r="D2918" i="15"/>
  <c r="D2906" i="15"/>
  <c r="D2894" i="15"/>
  <c r="D2882" i="15"/>
  <c r="D2870" i="15"/>
  <c r="D2858" i="15"/>
  <c r="D2846" i="15"/>
  <c r="D2834" i="15"/>
  <c r="D2822" i="15"/>
  <c r="D2810" i="15"/>
  <c r="D2798" i="15"/>
  <c r="D4395" i="15"/>
  <c r="D3903" i="15"/>
  <c r="D3732" i="15"/>
  <c r="D3621" i="15"/>
  <c r="D3503" i="15"/>
  <c r="D3388" i="15"/>
  <c r="D3274" i="15"/>
  <c r="D3180" i="15"/>
  <c r="D3097" i="15"/>
  <c r="D3024" i="15"/>
  <c r="D2976" i="15"/>
  <c r="D2928" i="15"/>
  <c r="D2880" i="15"/>
  <c r="D2833" i="15"/>
  <c r="D2797" i="15"/>
  <c r="D2771" i="15"/>
  <c r="D2741" i="15"/>
  <c r="D2717" i="15"/>
  <c r="D2693" i="15"/>
  <c r="D2669" i="15"/>
  <c r="D2645" i="15"/>
  <c r="D2622" i="15"/>
  <c r="D2604" i="15"/>
  <c r="D2582" i="15"/>
  <c r="D2562" i="15"/>
  <c r="D2547" i="15"/>
  <c r="D2532" i="15"/>
  <c r="D2514" i="15"/>
  <c r="D2499" i="15"/>
  <c r="D2485" i="15"/>
  <c r="D2471" i="15"/>
  <c r="D2456" i="15"/>
  <c r="D2444" i="15"/>
  <c r="D2432" i="15"/>
  <c r="D2420" i="15"/>
  <c r="D2408" i="15"/>
  <c r="D2396" i="15"/>
  <c r="D2384" i="15"/>
  <c r="D2372" i="15"/>
  <c r="D2360" i="15"/>
  <c r="D2348" i="15"/>
  <c r="D2336" i="15"/>
  <c r="D2324" i="15"/>
  <c r="D2312" i="15"/>
  <c r="D2300" i="15"/>
  <c r="D2288" i="15"/>
  <c r="D2276" i="15"/>
  <c r="D2264" i="15"/>
  <c r="D2252" i="15"/>
  <c r="D2240" i="15"/>
  <c r="D2228" i="15"/>
  <c r="D2216" i="15"/>
  <c r="D2204" i="15"/>
  <c r="D2192" i="15"/>
  <c r="D2180" i="15"/>
  <c r="D2168" i="15"/>
  <c r="D2156" i="15"/>
  <c r="D2144" i="15"/>
  <c r="D2132" i="15"/>
  <c r="D2120" i="15"/>
  <c r="D2108" i="15"/>
  <c r="D2096" i="15"/>
  <c r="D2084" i="15"/>
  <c r="D2072" i="15"/>
  <c r="D2060" i="15"/>
  <c r="D2048" i="15"/>
  <c r="D2036" i="15"/>
  <c r="D2024" i="15"/>
  <c r="D2012" i="15"/>
  <c r="D2000" i="15"/>
  <c r="D1988" i="15"/>
  <c r="D1976" i="15"/>
  <c r="D1964" i="15"/>
  <c r="D1952" i="15"/>
  <c r="D1940" i="15"/>
  <c r="D1928" i="15"/>
  <c r="D1916" i="15"/>
  <c r="D1904" i="15"/>
  <c r="D1892" i="15"/>
  <c r="D1880" i="15"/>
  <c r="D1868" i="15"/>
  <c r="D1856" i="15"/>
  <c r="D1844" i="15"/>
  <c r="D1832" i="15"/>
  <c r="D1820" i="15"/>
  <c r="D1808" i="15"/>
  <c r="D4371" i="15"/>
  <c r="D3902" i="15"/>
  <c r="D3731" i="15"/>
  <c r="D3616" i="15"/>
  <c r="D3502" i="15"/>
  <c r="D3384" i="15"/>
  <c r="D3273" i="15"/>
  <c r="D3179" i="15"/>
  <c r="D3096" i="15"/>
  <c r="D3023" i="15"/>
  <c r="D2975" i="15"/>
  <c r="D2927" i="15"/>
  <c r="D2879" i="15"/>
  <c r="D2832" i="15"/>
  <c r="D2796" i="15"/>
  <c r="D2766" i="15"/>
  <c r="D2738" i="15"/>
  <c r="D2714" i="15"/>
  <c r="D2690" i="15"/>
  <c r="D2666" i="15"/>
  <c r="D2642" i="15"/>
  <c r="D2621" i="15"/>
  <c r="D2603" i="15"/>
  <c r="D2581" i="15"/>
  <c r="D2561" i="15"/>
  <c r="D2546" i="15"/>
  <c r="D2531" i="15"/>
  <c r="D2513" i="15"/>
  <c r="D2498" i="15"/>
  <c r="D2484" i="15"/>
  <c r="D2468" i="15"/>
  <c r="D2455" i="15"/>
  <c r="D2443" i="15"/>
  <c r="D2431" i="15"/>
  <c r="D2419" i="15"/>
  <c r="D2407" i="15"/>
  <c r="D2395" i="15"/>
  <c r="D2383" i="15"/>
  <c r="D2371" i="15"/>
  <c r="D2359" i="15"/>
  <c r="D2347" i="15"/>
  <c r="D2335" i="15"/>
  <c r="D2323" i="15"/>
  <c r="D2311" i="15"/>
  <c r="D2299" i="15"/>
  <c r="D2287" i="15"/>
  <c r="D2275" i="15"/>
  <c r="D2263" i="15"/>
  <c r="D2251" i="15"/>
  <c r="D2239" i="15"/>
  <c r="D2227" i="15"/>
  <c r="D2215" i="15"/>
  <c r="D2203" i="15"/>
  <c r="D2191" i="15"/>
  <c r="D2179" i="15"/>
  <c r="D2167" i="15"/>
  <c r="D2155" i="15"/>
  <c r="D2143" i="15"/>
  <c r="D2131" i="15"/>
  <c r="D2119" i="15"/>
  <c r="D2107" i="15"/>
  <c r="D2095" i="15"/>
  <c r="D2083" i="15"/>
  <c r="D2071" i="15"/>
  <c r="D2059" i="15"/>
  <c r="D2047" i="15"/>
  <c r="D2035" i="15"/>
  <c r="D2023" i="15"/>
  <c r="D2011" i="15"/>
  <c r="D1999" i="15"/>
  <c r="D1987" i="15"/>
  <c r="D1975" i="15"/>
  <c r="D1963" i="15"/>
  <c r="D1951" i="15"/>
  <c r="D1939" i="15"/>
  <c r="D1927" i="15"/>
  <c r="D1915" i="15"/>
  <c r="D1903" i="15"/>
  <c r="D1891" i="15"/>
  <c r="D1879" i="15"/>
  <c r="D1867" i="15"/>
  <c r="D1855" i="15"/>
  <c r="D1843" i="15"/>
  <c r="D1831" i="15"/>
  <c r="D1819" i="15"/>
  <c r="D1807" i="15"/>
  <c r="D4250" i="15"/>
  <c r="D3837" i="15"/>
  <c r="D3707" i="15"/>
  <c r="D3592" i="15"/>
  <c r="D3478" i="15"/>
  <c r="D3360" i="15"/>
  <c r="D3249" i="15"/>
  <c r="D3160" i="15"/>
  <c r="D3081" i="15"/>
  <c r="D3013" i="15"/>
  <c r="D2965" i="15"/>
  <c r="D2917" i="15"/>
  <c r="D2869" i="15"/>
  <c r="D2831" i="15"/>
  <c r="D2795" i="15"/>
  <c r="D2762" i="15"/>
  <c r="D2737" i="15"/>
  <c r="D2713" i="15"/>
  <c r="D2689" i="15"/>
  <c r="D2665" i="15"/>
  <c r="D2641" i="15"/>
  <c r="D2620" i="15"/>
  <c r="D2598" i="15"/>
  <c r="D2580" i="15"/>
  <c r="D2560" i="15"/>
  <c r="D2545" i="15"/>
  <c r="D2527" i="15"/>
  <c r="D2512" i="15"/>
  <c r="D2497" i="15"/>
  <c r="D2483" i="15"/>
  <c r="D2467" i="15"/>
  <c r="D2454" i="15"/>
  <c r="D2442" i="15"/>
  <c r="D2430" i="15"/>
  <c r="D2418" i="15"/>
  <c r="D2406" i="15"/>
  <c r="D2394" i="15"/>
  <c r="D2382" i="15"/>
  <c r="D2370" i="15"/>
  <c r="D2358" i="15"/>
  <c r="D2346" i="15"/>
  <c r="D2334" i="15"/>
  <c r="D2322" i="15"/>
  <c r="D2310" i="15"/>
  <c r="D2298" i="15"/>
  <c r="D2286" i="15"/>
  <c r="D2274" i="15"/>
  <c r="D2262" i="15"/>
  <c r="D2250" i="15"/>
  <c r="D2238" i="15"/>
  <c r="D2226" i="15"/>
  <c r="D2214" i="15"/>
  <c r="D2202" i="15"/>
  <c r="D2190" i="15"/>
  <c r="D2178" i="15"/>
  <c r="D2166" i="15"/>
  <c r="D2154" i="15"/>
  <c r="D2142" i="15"/>
  <c r="D2130" i="15"/>
  <c r="D2118" i="15"/>
  <c r="D2106" i="15"/>
  <c r="D2094" i="15"/>
  <c r="D2082" i="15"/>
  <c r="D2070" i="15"/>
  <c r="D2058" i="15"/>
  <c r="D2046" i="15"/>
  <c r="D2034" i="15"/>
  <c r="D2022" i="15"/>
  <c r="D2010" i="15"/>
  <c r="D1998" i="15"/>
  <c r="D1986" i="15"/>
  <c r="D1974" i="15"/>
  <c r="D1962" i="15"/>
  <c r="D1950" i="15"/>
  <c r="D1938" i="15"/>
  <c r="D1926" i="15"/>
  <c r="D1914" i="15"/>
  <c r="D1902" i="15"/>
  <c r="D1890" i="15"/>
  <c r="D1878" i="15"/>
  <c r="D1866" i="15"/>
  <c r="D1854" i="15"/>
  <c r="D1842" i="15"/>
  <c r="D1830" i="15"/>
  <c r="D1818" i="15"/>
  <c r="D4241" i="15"/>
  <c r="D3830" i="15"/>
  <c r="D3706" i="15"/>
  <c r="D3588" i="15"/>
  <c r="D3477" i="15"/>
  <c r="D3359" i="15"/>
  <c r="D3244" i="15"/>
  <c r="D3158" i="15"/>
  <c r="D3076" i="15"/>
  <c r="D3012" i="15"/>
  <c r="D2964" i="15"/>
  <c r="D2916" i="15"/>
  <c r="D2868" i="15"/>
  <c r="D2826" i="15"/>
  <c r="D2790" i="15"/>
  <c r="D2761" i="15"/>
  <c r="D2736" i="15"/>
  <c r="D2712" i="15"/>
  <c r="D2688" i="15"/>
  <c r="D2664" i="15"/>
  <c r="D2640" i="15"/>
  <c r="D2618" i="15"/>
  <c r="D2597" i="15"/>
  <c r="D2579" i="15"/>
  <c r="D2559" i="15"/>
  <c r="D2544" i="15"/>
  <c r="D2526" i="15"/>
  <c r="D2511" i="15"/>
  <c r="D2496" i="15"/>
  <c r="D2480" i="15"/>
  <c r="D2466" i="15"/>
  <c r="D2453" i="15"/>
  <c r="D2441" i="15"/>
  <c r="D2429" i="15"/>
  <c r="D2417" i="15"/>
  <c r="D2405" i="15"/>
  <c r="D2393" i="15"/>
  <c r="D2381" i="15"/>
  <c r="D2369" i="15"/>
  <c r="D2357" i="15"/>
  <c r="D2345" i="15"/>
  <c r="D2333" i="15"/>
  <c r="D2321" i="15"/>
  <c r="D2309" i="15"/>
  <c r="D2297" i="15"/>
  <c r="D2285" i="15"/>
  <c r="D2273" i="15"/>
  <c r="D2261" i="15"/>
  <c r="D2249" i="15"/>
  <c r="D2237" i="15"/>
  <c r="D2225" i="15"/>
  <c r="D2213" i="15"/>
  <c r="D2201" i="15"/>
  <c r="D2189" i="15"/>
  <c r="D2177" i="15"/>
  <c r="D2165" i="15"/>
  <c r="D2153" i="15"/>
  <c r="D2141" i="15"/>
  <c r="D2129" i="15"/>
  <c r="D2117" i="15"/>
  <c r="D2105" i="15"/>
  <c r="D2093" i="15"/>
  <c r="D2081" i="15"/>
  <c r="D2069" i="15"/>
  <c r="D2057" i="15"/>
  <c r="D2045" i="15"/>
  <c r="D2033" i="15"/>
  <c r="D2021" i="15"/>
  <c r="D2009" i="15"/>
  <c r="D1997" i="15"/>
  <c r="D1985" i="15"/>
  <c r="D1973" i="15"/>
  <c r="D1961" i="15"/>
  <c r="D1949" i="15"/>
  <c r="D1937" i="15"/>
  <c r="D1925" i="15"/>
  <c r="D1913" i="15"/>
  <c r="D1901" i="15"/>
  <c r="D1889" i="15"/>
  <c r="D1877" i="15"/>
  <c r="D1865" i="15"/>
  <c r="D1853" i="15"/>
  <c r="D1841" i="15"/>
  <c r="D4239" i="15"/>
  <c r="D3823" i="15"/>
  <c r="D3705" i="15"/>
  <c r="D3587" i="15"/>
  <c r="D3472" i="15"/>
  <c r="D3358" i="15"/>
  <c r="D3240" i="15"/>
  <c r="D3157" i="15"/>
  <c r="D3074" i="15"/>
  <c r="D3011" i="15"/>
  <c r="D2963" i="15"/>
  <c r="D2915" i="15"/>
  <c r="D2867" i="15"/>
  <c r="D2821" i="15"/>
  <c r="D2786" i="15"/>
  <c r="D2760" i="15"/>
  <c r="D2735" i="15"/>
  <c r="D2711" i="15"/>
  <c r="D2687" i="15"/>
  <c r="D2663" i="15"/>
  <c r="D2639" i="15"/>
  <c r="D2617" i="15"/>
  <c r="D2596" i="15"/>
  <c r="D2574" i="15"/>
  <c r="D2558" i="15"/>
  <c r="D2543" i="15"/>
  <c r="D2525" i="15"/>
  <c r="D2510" i="15"/>
  <c r="D2495" i="15"/>
  <c r="D2479" i="15"/>
  <c r="D2465" i="15"/>
  <c r="D2452" i="15"/>
  <c r="D2440" i="15"/>
  <c r="D2428" i="15"/>
  <c r="D2416" i="15"/>
  <c r="D2404" i="15"/>
  <c r="D2392" i="15"/>
  <c r="D2380" i="15"/>
  <c r="D2368" i="15"/>
  <c r="D2356" i="15"/>
  <c r="D2344" i="15"/>
  <c r="D2332" i="15"/>
  <c r="D2320" i="15"/>
  <c r="D2308" i="15"/>
  <c r="D2296" i="15"/>
  <c r="D2284" i="15"/>
  <c r="D2272" i="15"/>
  <c r="D2260" i="15"/>
  <c r="D2248" i="15"/>
  <c r="D2236" i="15"/>
  <c r="D2224" i="15"/>
  <c r="D2212" i="15"/>
  <c r="D2200" i="15"/>
  <c r="D2188" i="15"/>
  <c r="D2176" i="15"/>
  <c r="D2164" i="15"/>
  <c r="D2152" i="15"/>
  <c r="D2140" i="15"/>
  <c r="D2128" i="15"/>
  <c r="D2116" i="15"/>
  <c r="D2104" i="15"/>
  <c r="D2092" i="15"/>
  <c r="D2080" i="15"/>
  <c r="D2068" i="15"/>
  <c r="D2056" i="15"/>
  <c r="D2044" i="15"/>
  <c r="D2032" i="15"/>
  <c r="D2020" i="15"/>
  <c r="D2008" i="15"/>
  <c r="D1996" i="15"/>
  <c r="D4755" i="15"/>
  <c r="D4143" i="15"/>
  <c r="D3792" i="15"/>
  <c r="D3681" i="15"/>
  <c r="D3563" i="15"/>
  <c r="D3448" i="15"/>
  <c r="D3334" i="15"/>
  <c r="D3225" i="15"/>
  <c r="D3142" i="15"/>
  <c r="D3059" i="15"/>
  <c r="D3001" i="15"/>
  <c r="D2953" i="15"/>
  <c r="D2905" i="15"/>
  <c r="D2857" i="15"/>
  <c r="D2820" i="15"/>
  <c r="D2785" i="15"/>
  <c r="D2759" i="15"/>
  <c r="D2730" i="15"/>
  <c r="D2706" i="15"/>
  <c r="D2682" i="15"/>
  <c r="D2658" i="15"/>
  <c r="D2634" i="15"/>
  <c r="D2616" i="15"/>
  <c r="D2594" i="15"/>
  <c r="D2573" i="15"/>
  <c r="D2557" i="15"/>
  <c r="D2539" i="15"/>
  <c r="D2524" i="15"/>
  <c r="D2509" i="15"/>
  <c r="D2492" i="15"/>
  <c r="D2478" i="15"/>
  <c r="D2464" i="15"/>
  <c r="D2451" i="15"/>
  <c r="D2439" i="15"/>
  <c r="D2427" i="15"/>
  <c r="D2415" i="15"/>
  <c r="D2403" i="15"/>
  <c r="D2391" i="15"/>
  <c r="D2379" i="15"/>
  <c r="D2367" i="15"/>
  <c r="D2355" i="15"/>
  <c r="D2343" i="15"/>
  <c r="D2331" i="15"/>
  <c r="D2319" i="15"/>
  <c r="D2307" i="15"/>
  <c r="D2295" i="15"/>
  <c r="D2283" i="15"/>
  <c r="D2271" i="15"/>
  <c r="D2259" i="15"/>
  <c r="D2247" i="15"/>
  <c r="D2235" i="15"/>
  <c r="D2223" i="15"/>
  <c r="D2211" i="15"/>
  <c r="D2199" i="15"/>
  <c r="D2187" i="15"/>
  <c r="D2175" i="15"/>
  <c r="D2163" i="15"/>
  <c r="D2151" i="15"/>
  <c r="D2139" i="15"/>
  <c r="D2127" i="15"/>
  <c r="D2115" i="15"/>
  <c r="D2103" i="15"/>
  <c r="D2091" i="15"/>
  <c r="D2079" i="15"/>
  <c r="D2067" i="15"/>
  <c r="D2055" i="15"/>
  <c r="D2043" i="15"/>
  <c r="D2031" i="15"/>
  <c r="D2019" i="15"/>
  <c r="D2007" i="15"/>
  <c r="D1995" i="15"/>
  <c r="D1983" i="15"/>
  <c r="D1971" i="15"/>
  <c r="D1959" i="15"/>
  <c r="D1947" i="15"/>
  <c r="D1935" i="15"/>
  <c r="D1923" i="15"/>
  <c r="D4731" i="15"/>
  <c r="D4142" i="15"/>
  <c r="D3791" i="15"/>
  <c r="D3676" i="15"/>
  <c r="D3562" i="15"/>
  <c r="D3444" i="15"/>
  <c r="D3333" i="15"/>
  <c r="D3220" i="15"/>
  <c r="D3141" i="15"/>
  <c r="D3058" i="15"/>
  <c r="D3000" i="15"/>
  <c r="D2952" i="15"/>
  <c r="D2904" i="15"/>
  <c r="D2856" i="15"/>
  <c r="D2819" i="15"/>
  <c r="D2784" i="15"/>
  <c r="D2754" i="15"/>
  <c r="D2729" i="15"/>
  <c r="D2705" i="15"/>
  <c r="D2681" i="15"/>
  <c r="D2657" i="15"/>
  <c r="D2633" i="15"/>
  <c r="D2615" i="15"/>
  <c r="D2593" i="15"/>
  <c r="D2572" i="15"/>
  <c r="D2556" i="15"/>
  <c r="D2538" i="15"/>
  <c r="D2523" i="15"/>
  <c r="D2508" i="15"/>
  <c r="D2491" i="15"/>
  <c r="D2477" i="15"/>
  <c r="D2463" i="15"/>
  <c r="D2450" i="15"/>
  <c r="D2438" i="15"/>
  <c r="D2426" i="15"/>
  <c r="D2414" i="15"/>
  <c r="D2402" i="15"/>
  <c r="D2390" i="15"/>
  <c r="D2378" i="15"/>
  <c r="D2366" i="15"/>
  <c r="D2354" i="15"/>
  <c r="D2342" i="15"/>
  <c r="D2330" i="15"/>
  <c r="D2318" i="15"/>
  <c r="D2306" i="15"/>
  <c r="D2294" i="15"/>
  <c r="D2282" i="15"/>
  <c r="D2270" i="15"/>
  <c r="D2258" i="15"/>
  <c r="D2246" i="15"/>
  <c r="D2234" i="15"/>
  <c r="D2222" i="15"/>
  <c r="D2210" i="15"/>
  <c r="D2198" i="15"/>
  <c r="D2186" i="15"/>
  <c r="D2174" i="15"/>
  <c r="D2162" i="15"/>
  <c r="D2150" i="15"/>
  <c r="D2138" i="15"/>
  <c r="D2126" i="15"/>
  <c r="D2114" i="15"/>
  <c r="D2102" i="15"/>
  <c r="D2090" i="15"/>
  <c r="D2078" i="15"/>
  <c r="D2066" i="15"/>
  <c r="D2054" i="15"/>
  <c r="D2042" i="15"/>
  <c r="D2030" i="15"/>
  <c r="D2018" i="15"/>
  <c r="D2006" i="15"/>
  <c r="D1994" i="15"/>
  <c r="D1982" i="15"/>
  <c r="D1970" i="15"/>
  <c r="D1958" i="15"/>
  <c r="D4721" i="15"/>
  <c r="D4119" i="15"/>
  <c r="D3790" i="15"/>
  <c r="D3672" i="15"/>
  <c r="D3561" i="15"/>
  <c r="D3443" i="15"/>
  <c r="D3328" i="15"/>
  <c r="D3218" i="15"/>
  <c r="D3136" i="15"/>
  <c r="D3057" i="15"/>
  <c r="D2999" i="15"/>
  <c r="D2951" i="15"/>
  <c r="D2903" i="15"/>
  <c r="D2855" i="15"/>
  <c r="D2814" i="15"/>
  <c r="D2783" i="15"/>
  <c r="D2750" i="15"/>
  <c r="D2726" i="15"/>
  <c r="D2702" i="15"/>
  <c r="D2678" i="15"/>
  <c r="D2654" i="15"/>
  <c r="D2632" i="15"/>
  <c r="D2610" i="15"/>
  <c r="D2592" i="15"/>
  <c r="D2570" i="15"/>
  <c r="D2555" i="15"/>
  <c r="D2537" i="15"/>
  <c r="D2522" i="15"/>
  <c r="D2507" i="15"/>
  <c r="D2490" i="15"/>
  <c r="D2476" i="15"/>
  <c r="D2462" i="15"/>
  <c r="D2449" i="15"/>
  <c r="D2437" i="15"/>
  <c r="D2425" i="15"/>
  <c r="D2413" i="15"/>
  <c r="D2401" i="15"/>
  <c r="D2389" i="15"/>
  <c r="D2377" i="15"/>
  <c r="D2365" i="15"/>
  <c r="D2353" i="15"/>
  <c r="D2341" i="15"/>
  <c r="D2329" i="15"/>
  <c r="D2317" i="15"/>
  <c r="D2305" i="15"/>
  <c r="D2293" i="15"/>
  <c r="D2281" i="15"/>
  <c r="D2269" i="15"/>
  <c r="D2257" i="15"/>
  <c r="D2245" i="15"/>
  <c r="D2233" i="15"/>
  <c r="D2221" i="15"/>
  <c r="D2209" i="15"/>
  <c r="D2197" i="15"/>
  <c r="D2185" i="15"/>
  <c r="D2173" i="15"/>
  <c r="D2161" i="15"/>
  <c r="D2149" i="15"/>
  <c r="D2137" i="15"/>
  <c r="D2125" i="15"/>
  <c r="D2113" i="15"/>
  <c r="D2101" i="15"/>
  <c r="D2089" i="15"/>
  <c r="D2077" i="15"/>
  <c r="D2065" i="15"/>
  <c r="D2053" i="15"/>
  <c r="D2041" i="15"/>
  <c r="D2029" i="15"/>
  <c r="D2017" i="15"/>
  <c r="D2005" i="15"/>
  <c r="D1993" i="15"/>
  <c r="D1981" i="15"/>
  <c r="D1969" i="15"/>
  <c r="D1957" i="15"/>
  <c r="D1945" i="15"/>
  <c r="D1933" i="15"/>
  <c r="D1921" i="15"/>
  <c r="D4577" i="15"/>
  <c r="D4023" i="15"/>
  <c r="D3766" i="15"/>
  <c r="D3648" i="15"/>
  <c r="D3537" i="15"/>
  <c r="D3419" i="15"/>
  <c r="D3304" i="15"/>
  <c r="D3203" i="15"/>
  <c r="D3120" i="15"/>
  <c r="D3040" i="15"/>
  <c r="D2989" i="15"/>
  <c r="D2941" i="15"/>
  <c r="D2893" i="15"/>
  <c r="D2845" i="15"/>
  <c r="D2809" i="15"/>
  <c r="D2778" i="15"/>
  <c r="D2749" i="15"/>
  <c r="D2725" i="15"/>
  <c r="D2701" i="15"/>
  <c r="D2677" i="15"/>
  <c r="D2653" i="15"/>
  <c r="D2630" i="15"/>
  <c r="D2609" i="15"/>
  <c r="D2591" i="15"/>
  <c r="D2569" i="15"/>
  <c r="D2551" i="15"/>
  <c r="D2536" i="15"/>
  <c r="D2521" i="15"/>
  <c r="D2503" i="15"/>
  <c r="D2489" i="15"/>
  <c r="D2475" i="15"/>
  <c r="D2461" i="15"/>
  <c r="D2448" i="15"/>
  <c r="D2436" i="15"/>
  <c r="D2424" i="15"/>
  <c r="D2412" i="15"/>
  <c r="D2400" i="15"/>
  <c r="D2388" i="15"/>
  <c r="D2376" i="15"/>
  <c r="D2364" i="15"/>
  <c r="D2352" i="15"/>
  <c r="D2340" i="15"/>
  <c r="D2328" i="15"/>
  <c r="D2316" i="15"/>
  <c r="D2304" i="15"/>
  <c r="D2292" i="15"/>
  <c r="D2280" i="15"/>
  <c r="D2268" i="15"/>
  <c r="D2256" i="15"/>
  <c r="D2244" i="15"/>
  <c r="D2232" i="15"/>
  <c r="D2220" i="15"/>
  <c r="D2208" i="15"/>
  <c r="D2196" i="15"/>
  <c r="D2184" i="15"/>
  <c r="D2172" i="15"/>
  <c r="D2160" i="15"/>
  <c r="D2148" i="15"/>
  <c r="D2136" i="15"/>
  <c r="D2124" i="15"/>
  <c r="D2112" i="15"/>
  <c r="D2100" i="15"/>
  <c r="D2088" i="15"/>
  <c r="D2076" i="15"/>
  <c r="D2064" i="15"/>
  <c r="D2052" i="15"/>
  <c r="D2040" i="15"/>
  <c r="D2028" i="15"/>
  <c r="D2016" i="15"/>
  <c r="D2004" i="15"/>
  <c r="D1992" i="15"/>
  <c r="D1980" i="15"/>
  <c r="D1968" i="15"/>
  <c r="D1956" i="15"/>
  <c r="D1944" i="15"/>
  <c r="D1932" i="15"/>
  <c r="D1920" i="15"/>
  <c r="D1908" i="15"/>
  <c r="D4565" i="15"/>
  <c r="D4001" i="15"/>
  <c r="D3760" i="15"/>
  <c r="D3646" i="15"/>
  <c r="D3528" i="15"/>
  <c r="D3417" i="15"/>
  <c r="D3299" i="15"/>
  <c r="D3201" i="15"/>
  <c r="D3118" i="15"/>
  <c r="D3037" i="15"/>
  <c r="D2987" i="15"/>
  <c r="D2939" i="15"/>
  <c r="D2891" i="15"/>
  <c r="D2843" i="15"/>
  <c r="D2807" i="15"/>
  <c r="D2773" i="15"/>
  <c r="D2747" i="15"/>
  <c r="D2723" i="15"/>
  <c r="D2699" i="15"/>
  <c r="D2675" i="15"/>
  <c r="D2651" i="15"/>
  <c r="D2628" i="15"/>
  <c r="D2606" i="15"/>
  <c r="D2585" i="15"/>
  <c r="D2567" i="15"/>
  <c r="D2549" i="15"/>
  <c r="D2534" i="15"/>
  <c r="D2519" i="15"/>
  <c r="D2501" i="15"/>
  <c r="D2487" i="15"/>
  <c r="D2473" i="15"/>
  <c r="D2459" i="15"/>
  <c r="D2446" i="15"/>
  <c r="D2434" i="15"/>
  <c r="D2422" i="15"/>
  <c r="D2410" i="15"/>
  <c r="D2398" i="15"/>
  <c r="D2386" i="15"/>
  <c r="D2374" i="15"/>
  <c r="D2362" i="15"/>
  <c r="D2350" i="15"/>
  <c r="D2338" i="15"/>
  <c r="D2326" i="15"/>
  <c r="D2314" i="15"/>
  <c r="D2302" i="15"/>
  <c r="D2290" i="15"/>
  <c r="D2278" i="15"/>
  <c r="D2266" i="15"/>
  <c r="D2254" i="15"/>
  <c r="D2242" i="15"/>
  <c r="D2230" i="15"/>
  <c r="D2218" i="15"/>
  <c r="D2206" i="15"/>
  <c r="D2194" i="15"/>
  <c r="D2182" i="15"/>
  <c r="D2170" i="15"/>
  <c r="D2158" i="15"/>
  <c r="D2146" i="15"/>
  <c r="D2134" i="15"/>
  <c r="D2122" i="15"/>
  <c r="D2110" i="15"/>
  <c r="D2098" i="15"/>
  <c r="D2086" i="15"/>
  <c r="D2074" i="15"/>
  <c r="D2062" i="15"/>
  <c r="D2050" i="15"/>
  <c r="D3622" i="15"/>
  <c r="D3025" i="15"/>
  <c r="D2772" i="15"/>
  <c r="D2627" i="15"/>
  <c r="D2515" i="15"/>
  <c r="D2433" i="15"/>
  <c r="D2361" i="15"/>
  <c r="D2289" i="15"/>
  <c r="D2217" i="15"/>
  <c r="D2145" i="15"/>
  <c r="D2073" i="15"/>
  <c r="D2014" i="15"/>
  <c r="D1972" i="15"/>
  <c r="D1941" i="15"/>
  <c r="D1911" i="15"/>
  <c r="D1894" i="15"/>
  <c r="D1874" i="15"/>
  <c r="D1858" i="15"/>
  <c r="D1838" i="15"/>
  <c r="D1823" i="15"/>
  <c r="D1806" i="15"/>
  <c r="D1794" i="15"/>
  <c r="D1782" i="15"/>
  <c r="D1770" i="15"/>
  <c r="D1758" i="15"/>
  <c r="D1746" i="15"/>
  <c r="D1734" i="15"/>
  <c r="D1722" i="15"/>
  <c r="D1710" i="15"/>
  <c r="D1698" i="15"/>
  <c r="D1686" i="15"/>
  <c r="D1674" i="15"/>
  <c r="D1662" i="15"/>
  <c r="D1650" i="15"/>
  <c r="D1638" i="15"/>
  <c r="D1626" i="15"/>
  <c r="D1614" i="15"/>
  <c r="D1602" i="15"/>
  <c r="D1590" i="15"/>
  <c r="D1578" i="15"/>
  <c r="D1566" i="15"/>
  <c r="D1554" i="15"/>
  <c r="D1542" i="15"/>
  <c r="D1530" i="15"/>
  <c r="D1518" i="15"/>
  <c r="D1506" i="15"/>
  <c r="D1494" i="15"/>
  <c r="D1482" i="15"/>
  <c r="D1470" i="15"/>
  <c r="D1458" i="15"/>
  <c r="D1446" i="15"/>
  <c r="D1434" i="15"/>
  <c r="D1422" i="15"/>
  <c r="D1410" i="15"/>
  <c r="D1398" i="15"/>
  <c r="D1386" i="15"/>
  <c r="D1374" i="15"/>
  <c r="D1362" i="15"/>
  <c r="D1350" i="15"/>
  <c r="D1338" i="15"/>
  <c r="D1326" i="15"/>
  <c r="D1314" i="15"/>
  <c r="D1302" i="15"/>
  <c r="D1290" i="15"/>
  <c r="D1278" i="15"/>
  <c r="D1266" i="15"/>
  <c r="D1254" i="15"/>
  <c r="D1242" i="15"/>
  <c r="D1230" i="15"/>
  <c r="D1218" i="15"/>
  <c r="D1206" i="15"/>
  <c r="D1194" i="15"/>
  <c r="D1182" i="15"/>
  <c r="D1170" i="15"/>
  <c r="D1158" i="15"/>
  <c r="D1146" i="15"/>
  <c r="D1134" i="15"/>
  <c r="D1122" i="15"/>
  <c r="D1110" i="15"/>
  <c r="D1098" i="15"/>
  <c r="D1086" i="15"/>
  <c r="D1074" i="15"/>
  <c r="D1062" i="15"/>
  <c r="D1050" i="15"/>
  <c r="D1038" i="15"/>
  <c r="D1026" i="15"/>
  <c r="D3532" i="15"/>
  <c r="D2988" i="15"/>
  <c r="D2748" i="15"/>
  <c r="D2608" i="15"/>
  <c r="D2502" i="15"/>
  <c r="D2423" i="15"/>
  <c r="D2351" i="15"/>
  <c r="D2279" i="15"/>
  <c r="D2207" i="15"/>
  <c r="D2135" i="15"/>
  <c r="D2063" i="15"/>
  <c r="D2013" i="15"/>
  <c r="D1967" i="15"/>
  <c r="D1936" i="15"/>
  <c r="D1910" i="15"/>
  <c r="D1893" i="15"/>
  <c r="D1873" i="15"/>
  <c r="D1857" i="15"/>
  <c r="D1837" i="15"/>
  <c r="D1822" i="15"/>
  <c r="D1805" i="15"/>
  <c r="D1793" i="15"/>
  <c r="D1781" i="15"/>
  <c r="D1769" i="15"/>
  <c r="D1757" i="15"/>
  <c r="D1745" i="15"/>
  <c r="D1733" i="15"/>
  <c r="D1721" i="15"/>
  <c r="D1709" i="15"/>
  <c r="D1697" i="15"/>
  <c r="D1685" i="15"/>
  <c r="D1673" i="15"/>
  <c r="D1661" i="15"/>
  <c r="D1649" i="15"/>
  <c r="D1637" i="15"/>
  <c r="D1625" i="15"/>
  <c r="D1613" i="15"/>
  <c r="D1601" i="15"/>
  <c r="D1589" i="15"/>
  <c r="D1577" i="15"/>
  <c r="D1565" i="15"/>
  <c r="D1553" i="15"/>
  <c r="D1541" i="15"/>
  <c r="D1529" i="15"/>
  <c r="D1517" i="15"/>
  <c r="D1505" i="15"/>
  <c r="D1493" i="15"/>
  <c r="D1481" i="15"/>
  <c r="D1469" i="15"/>
  <c r="D1457" i="15"/>
  <c r="D1445" i="15"/>
  <c r="D1433" i="15"/>
  <c r="D1421" i="15"/>
  <c r="D1409" i="15"/>
  <c r="D1397" i="15"/>
  <c r="D1385" i="15"/>
  <c r="D1373" i="15"/>
  <c r="D1361" i="15"/>
  <c r="D1349" i="15"/>
  <c r="D1337" i="15"/>
  <c r="D1325" i="15"/>
  <c r="D1313" i="15"/>
  <c r="D1301" i="15"/>
  <c r="D1289" i="15"/>
  <c r="D1277" i="15"/>
  <c r="D1265" i="15"/>
  <c r="D1253" i="15"/>
  <c r="D1241" i="15"/>
  <c r="D1229" i="15"/>
  <c r="D1217" i="15"/>
  <c r="D1205" i="15"/>
  <c r="D1193" i="15"/>
  <c r="D1181" i="15"/>
  <c r="D1169" i="15"/>
  <c r="D1157" i="15"/>
  <c r="D1145" i="15"/>
  <c r="D1133" i="15"/>
  <c r="D1121" i="15"/>
  <c r="D1109" i="15"/>
  <c r="D1097" i="15"/>
  <c r="D1085" i="15"/>
  <c r="D1073" i="15"/>
  <c r="D1061" i="15"/>
  <c r="D3504" i="15"/>
  <c r="D2977" i="15"/>
  <c r="D2742" i="15"/>
  <c r="D2605" i="15"/>
  <c r="D2500" i="15"/>
  <c r="D2421" i="15"/>
  <c r="D2349" i="15"/>
  <c r="D2277" i="15"/>
  <c r="D2205" i="15"/>
  <c r="D2133" i="15"/>
  <c r="D2061" i="15"/>
  <c r="D2003" i="15"/>
  <c r="D1966" i="15"/>
  <c r="D1934" i="15"/>
  <c r="D1909" i="15"/>
  <c r="D1888" i="15"/>
  <c r="D1872" i="15"/>
  <c r="D1852" i="15"/>
  <c r="D1836" i="15"/>
  <c r="D1821" i="15"/>
  <c r="D1804" i="15"/>
  <c r="D1792" i="15"/>
  <c r="D1780" i="15"/>
  <c r="D1768" i="15"/>
  <c r="D1756" i="15"/>
  <c r="D1744" i="15"/>
  <c r="D1732" i="15"/>
  <c r="D1720" i="15"/>
  <c r="D1708" i="15"/>
  <c r="D1696" i="15"/>
  <c r="D1684" i="15"/>
  <c r="D1672" i="15"/>
  <c r="D1660" i="15"/>
  <c r="D1648" i="15"/>
  <c r="D1636" i="15"/>
  <c r="D1624" i="15"/>
  <c r="D1612" i="15"/>
  <c r="D1600" i="15"/>
  <c r="D1588" i="15"/>
  <c r="D1576" i="15"/>
  <c r="D1564" i="15"/>
  <c r="D1552" i="15"/>
  <c r="D1540" i="15"/>
  <c r="D1528" i="15"/>
  <c r="D1516" i="15"/>
  <c r="D1504" i="15"/>
  <c r="D1492" i="15"/>
  <c r="D1480" i="15"/>
  <c r="D1468" i="15"/>
  <c r="D1456" i="15"/>
  <c r="D1444" i="15"/>
  <c r="D1432" i="15"/>
  <c r="D1420" i="15"/>
  <c r="D1408" i="15"/>
  <c r="D1396" i="15"/>
  <c r="D1384" i="15"/>
  <c r="D1372" i="15"/>
  <c r="D1360" i="15"/>
  <c r="D1348" i="15"/>
  <c r="D1336" i="15"/>
  <c r="D1324" i="15"/>
  <c r="D1312" i="15"/>
  <c r="D1300" i="15"/>
  <c r="D1288" i="15"/>
  <c r="D1276" i="15"/>
  <c r="D1264" i="15"/>
  <c r="D1252" i="15"/>
  <c r="D1240" i="15"/>
  <c r="D1228" i="15"/>
  <c r="D1216" i="15"/>
  <c r="D1204" i="15"/>
  <c r="D1192" i="15"/>
  <c r="D1180" i="15"/>
  <c r="D1168" i="15"/>
  <c r="D1156" i="15"/>
  <c r="D1144" i="15"/>
  <c r="D1132" i="15"/>
  <c r="D1120" i="15"/>
  <c r="D1108" i="15"/>
  <c r="D1096" i="15"/>
  <c r="D1084" i="15"/>
  <c r="D1072" i="15"/>
  <c r="D1060" i="15"/>
  <c r="D1048" i="15"/>
  <c r="D1036" i="15"/>
  <c r="D3418" i="15"/>
  <c r="D2940" i="15"/>
  <c r="D2724" i="15"/>
  <c r="D2586" i="15"/>
  <c r="D2488" i="15"/>
  <c r="D2411" i="15"/>
  <c r="D2339" i="15"/>
  <c r="D2267" i="15"/>
  <c r="D2195" i="15"/>
  <c r="D2123" i="15"/>
  <c r="D2051" i="15"/>
  <c r="D2002" i="15"/>
  <c r="D1965" i="15"/>
  <c r="D1931" i="15"/>
  <c r="D1907" i="15"/>
  <c r="D1887" i="15"/>
  <c r="D1871" i="15"/>
  <c r="D1851" i="15"/>
  <c r="D1835" i="15"/>
  <c r="D1817" i="15"/>
  <c r="D1803" i="15"/>
  <c r="D1791" i="15"/>
  <c r="D1779" i="15"/>
  <c r="D1767" i="15"/>
  <c r="D1755" i="15"/>
  <c r="D1743" i="15"/>
  <c r="D1731" i="15"/>
  <c r="D1719" i="15"/>
  <c r="D1707" i="15"/>
  <c r="D1695" i="15"/>
  <c r="D1683" i="15"/>
  <c r="D1671" i="15"/>
  <c r="D1659" i="15"/>
  <c r="D1647" i="15"/>
  <c r="D1635" i="15"/>
  <c r="D1623" i="15"/>
  <c r="D1611" i="15"/>
  <c r="D1599" i="15"/>
  <c r="D1587" i="15"/>
  <c r="D1575" i="15"/>
  <c r="D1563" i="15"/>
  <c r="D1551" i="15"/>
  <c r="D1539" i="15"/>
  <c r="D1527" i="15"/>
  <c r="D1515" i="15"/>
  <c r="D1503" i="15"/>
  <c r="D1491" i="15"/>
  <c r="D1479" i="15"/>
  <c r="D1467" i="15"/>
  <c r="D1455" i="15"/>
  <c r="D1443" i="15"/>
  <c r="D1431" i="15"/>
  <c r="D1419" i="15"/>
  <c r="D1407" i="15"/>
  <c r="D1395" i="15"/>
  <c r="D1383" i="15"/>
  <c r="D1371" i="15"/>
  <c r="D1359" i="15"/>
  <c r="D1347" i="15"/>
  <c r="D1335" i="15"/>
  <c r="D1323" i="15"/>
  <c r="D1311" i="15"/>
  <c r="D1299" i="15"/>
  <c r="D1287" i="15"/>
  <c r="D1275" i="15"/>
  <c r="D1263" i="15"/>
  <c r="D1251" i="15"/>
  <c r="D1239" i="15"/>
  <c r="D1227" i="15"/>
  <c r="D1215" i="15"/>
  <c r="D1203" i="15"/>
  <c r="D1191" i="15"/>
  <c r="D1179" i="15"/>
  <c r="D1167" i="15"/>
  <c r="D1155" i="15"/>
  <c r="D1143" i="15"/>
  <c r="D1131" i="15"/>
  <c r="D1119" i="15"/>
  <c r="D1107" i="15"/>
  <c r="D1095" i="15"/>
  <c r="D1083" i="15"/>
  <c r="D1071" i="15"/>
  <c r="D1059" i="15"/>
  <c r="D1047" i="15"/>
  <c r="D1035" i="15"/>
  <c r="D3393" i="15"/>
  <c r="D2929" i="15"/>
  <c r="D2718" i="15"/>
  <c r="D2584" i="15"/>
  <c r="D2486" i="15"/>
  <c r="D2409" i="15"/>
  <c r="D2337" i="15"/>
  <c r="D2265" i="15"/>
  <c r="D2193" i="15"/>
  <c r="D2121" i="15"/>
  <c r="D2049" i="15"/>
  <c r="D2001" i="15"/>
  <c r="D1960" i="15"/>
  <c r="D1930" i="15"/>
  <c r="D1906" i="15"/>
  <c r="D1886" i="15"/>
  <c r="D1870" i="15"/>
  <c r="D1850" i="15"/>
  <c r="D1834" i="15"/>
  <c r="D1816" i="15"/>
  <c r="D1802" i="15"/>
  <c r="D1790" i="15"/>
  <c r="D1778" i="15"/>
  <c r="D1766" i="15"/>
  <c r="D1754" i="15"/>
  <c r="D1742" i="15"/>
  <c r="D1730" i="15"/>
  <c r="D1718" i="15"/>
  <c r="D1706" i="15"/>
  <c r="D1694" i="15"/>
  <c r="D1682" i="15"/>
  <c r="D1670" i="15"/>
  <c r="D1658" i="15"/>
  <c r="D1646" i="15"/>
  <c r="D1634" i="15"/>
  <c r="D1622" i="15"/>
  <c r="D1610" i="15"/>
  <c r="D1598" i="15"/>
  <c r="D1586" i="15"/>
  <c r="D1574" i="15"/>
  <c r="D1562" i="15"/>
  <c r="D1550" i="15"/>
  <c r="D1538" i="15"/>
  <c r="D1526" i="15"/>
  <c r="D1514" i="15"/>
  <c r="D1502" i="15"/>
  <c r="D1490" i="15"/>
  <c r="D1478" i="15"/>
  <c r="D1466" i="15"/>
  <c r="D1454" i="15"/>
  <c r="D1442" i="15"/>
  <c r="D1430" i="15"/>
  <c r="D1418" i="15"/>
  <c r="D1406" i="15"/>
  <c r="D1394" i="15"/>
  <c r="D1382" i="15"/>
  <c r="D1370" i="15"/>
  <c r="D1358" i="15"/>
  <c r="D1346" i="15"/>
  <c r="D1334" i="15"/>
  <c r="D1322" i="15"/>
  <c r="D1310" i="15"/>
  <c r="D1298" i="15"/>
  <c r="D1286" i="15"/>
  <c r="D1274" i="15"/>
  <c r="D1262" i="15"/>
  <c r="D1250" i="15"/>
  <c r="D1238" i="15"/>
  <c r="D1226" i="15"/>
  <c r="D1214" i="15"/>
  <c r="D1202" i="15"/>
  <c r="D1190" i="15"/>
  <c r="D1178" i="15"/>
  <c r="D1166" i="15"/>
  <c r="D1154" i="15"/>
  <c r="D1142" i="15"/>
  <c r="D1130" i="15"/>
  <c r="D1118" i="15"/>
  <c r="D1106" i="15"/>
  <c r="D1094" i="15"/>
  <c r="D1082" i="15"/>
  <c r="D1070" i="15"/>
  <c r="D1058" i="15"/>
  <c r="D1046" i="15"/>
  <c r="D1034" i="15"/>
  <c r="D4575" i="15"/>
  <c r="D3300" i="15"/>
  <c r="D2892" i="15"/>
  <c r="D2700" i="15"/>
  <c r="D2568" i="15"/>
  <c r="D2474" i="15"/>
  <c r="D2399" i="15"/>
  <c r="D2327" i="15"/>
  <c r="D2255" i="15"/>
  <c r="D2183" i="15"/>
  <c r="D2111" i="15"/>
  <c r="D2039" i="15"/>
  <c r="D1991" i="15"/>
  <c r="D1955" i="15"/>
  <c r="D1929" i="15"/>
  <c r="D1905" i="15"/>
  <c r="D1885" i="15"/>
  <c r="D1869" i="15"/>
  <c r="D1849" i="15"/>
  <c r="D1833" i="15"/>
  <c r="D1815" i="15"/>
  <c r="D1801" i="15"/>
  <c r="D1789" i="15"/>
  <c r="D1777" i="15"/>
  <c r="D1765" i="15"/>
  <c r="D1753" i="15"/>
  <c r="D1741" i="15"/>
  <c r="D1729" i="15"/>
  <c r="D1717" i="15"/>
  <c r="D1705" i="15"/>
  <c r="D1693" i="15"/>
  <c r="D1681" i="15"/>
  <c r="D1669" i="15"/>
  <c r="D1657" i="15"/>
  <c r="D1645" i="15"/>
  <c r="D1633" i="15"/>
  <c r="D1621" i="15"/>
  <c r="D1609" i="15"/>
  <c r="D1597" i="15"/>
  <c r="D1585" i="15"/>
  <c r="D1573" i="15"/>
  <c r="D1561" i="15"/>
  <c r="D1549" i="15"/>
  <c r="D1537" i="15"/>
  <c r="D1525" i="15"/>
  <c r="D1513" i="15"/>
  <c r="D1501" i="15"/>
  <c r="D1489" i="15"/>
  <c r="D1477" i="15"/>
  <c r="D1465" i="15"/>
  <c r="D1453" i="15"/>
  <c r="D1441" i="15"/>
  <c r="D1429" i="15"/>
  <c r="D1417" i="15"/>
  <c r="D1405" i="15"/>
  <c r="D1393" i="15"/>
  <c r="D1381" i="15"/>
  <c r="D1369" i="15"/>
  <c r="D1357" i="15"/>
  <c r="D1345" i="15"/>
  <c r="D1333" i="15"/>
  <c r="D1321" i="15"/>
  <c r="D1309" i="15"/>
  <c r="D1297" i="15"/>
  <c r="D1285" i="15"/>
  <c r="D1273" i="15"/>
  <c r="D1261" i="15"/>
  <c r="D1249" i="15"/>
  <c r="D1237" i="15"/>
  <c r="D1225" i="15"/>
  <c r="D1213" i="15"/>
  <c r="D1201" i="15"/>
  <c r="D1189" i="15"/>
  <c r="D1177" i="15"/>
  <c r="D1165" i="15"/>
  <c r="D1153" i="15"/>
  <c r="D1141" i="15"/>
  <c r="D1129" i="15"/>
  <c r="D1117" i="15"/>
  <c r="D1105" i="15"/>
  <c r="D1093" i="15"/>
  <c r="D1081" i="15"/>
  <c r="D1069" i="15"/>
  <c r="D1057" i="15"/>
  <c r="D1045" i="15"/>
  <c r="D1033" i="15"/>
  <c r="D1021" i="15"/>
  <c r="D4421" i="15"/>
  <c r="D3275" i="15"/>
  <c r="D2881" i="15"/>
  <c r="D2694" i="15"/>
  <c r="D2563" i="15"/>
  <c r="D2472" i="15"/>
  <c r="D2397" i="15"/>
  <c r="D2325" i="15"/>
  <c r="D2253" i="15"/>
  <c r="D2181" i="15"/>
  <c r="D2109" i="15"/>
  <c r="D2038" i="15"/>
  <c r="D1990" i="15"/>
  <c r="D1954" i="15"/>
  <c r="D1924" i="15"/>
  <c r="D1900" i="15"/>
  <c r="D1884" i="15"/>
  <c r="D1864" i="15"/>
  <c r="D1848" i="15"/>
  <c r="D1829" i="15"/>
  <c r="D1814" i="15"/>
  <c r="D1800" i="15"/>
  <c r="D1788" i="15"/>
  <c r="D1776" i="15"/>
  <c r="D1764" i="15"/>
  <c r="D1752" i="15"/>
  <c r="D1740" i="15"/>
  <c r="D1728" i="15"/>
  <c r="D1716" i="15"/>
  <c r="D1704" i="15"/>
  <c r="D1692" i="15"/>
  <c r="D1680" i="15"/>
  <c r="D1668" i="15"/>
  <c r="D1656" i="15"/>
  <c r="D1644" i="15"/>
  <c r="D1632" i="15"/>
  <c r="D1620" i="15"/>
  <c r="D1608" i="15"/>
  <c r="D1596" i="15"/>
  <c r="D1584" i="15"/>
  <c r="D1572" i="15"/>
  <c r="D1560" i="15"/>
  <c r="D1548" i="15"/>
  <c r="D1536" i="15"/>
  <c r="D1524" i="15"/>
  <c r="D1512" i="15"/>
  <c r="D1500" i="15"/>
  <c r="D1488" i="15"/>
  <c r="D1476" i="15"/>
  <c r="D1464" i="15"/>
  <c r="D1452" i="15"/>
  <c r="D1440" i="15"/>
  <c r="D1428" i="15"/>
  <c r="D1416" i="15"/>
  <c r="D1404" i="15"/>
  <c r="D1392" i="15"/>
  <c r="D1380" i="15"/>
  <c r="D1368" i="15"/>
  <c r="D1356" i="15"/>
  <c r="D1344" i="15"/>
  <c r="D1332" i="15"/>
  <c r="D1320" i="15"/>
  <c r="D1308" i="15"/>
  <c r="D1296" i="15"/>
  <c r="D1284" i="15"/>
  <c r="D1272" i="15"/>
  <c r="D1260" i="15"/>
  <c r="D1248" i="15"/>
  <c r="D1236" i="15"/>
  <c r="D1224" i="15"/>
  <c r="D1212" i="15"/>
  <c r="D1200" i="15"/>
  <c r="D1188" i="15"/>
  <c r="D1176" i="15"/>
  <c r="D1164" i="15"/>
  <c r="D1152" i="15"/>
  <c r="D1140" i="15"/>
  <c r="D1128" i="15"/>
  <c r="D1116" i="15"/>
  <c r="D1104" i="15"/>
  <c r="D1092" i="15"/>
  <c r="D1080" i="15"/>
  <c r="D1068" i="15"/>
  <c r="D4010" i="15"/>
  <c r="D3202" i="15"/>
  <c r="D2844" i="15"/>
  <c r="D2676" i="15"/>
  <c r="D2550" i="15"/>
  <c r="D2460" i="15"/>
  <c r="D2387" i="15"/>
  <c r="D2315" i="15"/>
  <c r="D2243" i="15"/>
  <c r="D2171" i="15"/>
  <c r="D2099" i="15"/>
  <c r="D2037" i="15"/>
  <c r="D1989" i="15"/>
  <c r="D1953" i="15"/>
  <c r="D1922" i="15"/>
  <c r="D1899" i="15"/>
  <c r="D1883" i="15"/>
  <c r="D1863" i="15"/>
  <c r="D1847" i="15"/>
  <c r="D1828" i="15"/>
  <c r="D1813" i="15"/>
  <c r="D1799" i="15"/>
  <c r="D1787" i="15"/>
  <c r="D1775" i="15"/>
  <c r="D1763" i="15"/>
  <c r="D1751" i="15"/>
  <c r="D1739" i="15"/>
  <c r="D1727" i="15"/>
  <c r="D1715" i="15"/>
  <c r="D1703" i="15"/>
  <c r="D1691" i="15"/>
  <c r="D1679" i="15"/>
  <c r="D1667" i="15"/>
  <c r="D1655" i="15"/>
  <c r="D1643" i="15"/>
  <c r="D1631" i="15"/>
  <c r="D1619" i="15"/>
  <c r="D1607" i="15"/>
  <c r="D1595" i="15"/>
  <c r="D1583" i="15"/>
  <c r="D1571" i="15"/>
  <c r="D1559" i="15"/>
  <c r="D1547" i="15"/>
  <c r="D1535" i="15"/>
  <c r="D1523" i="15"/>
  <c r="D1511" i="15"/>
  <c r="D1499" i="15"/>
  <c r="D1487" i="15"/>
  <c r="D1475" i="15"/>
  <c r="D1463" i="15"/>
  <c r="D1451" i="15"/>
  <c r="D1439" i="15"/>
  <c r="D1427" i="15"/>
  <c r="D1415" i="15"/>
  <c r="D1403" i="15"/>
  <c r="D1391" i="15"/>
  <c r="D1379" i="15"/>
  <c r="D1367" i="15"/>
  <c r="D1355" i="15"/>
  <c r="D1343" i="15"/>
  <c r="D1331" i="15"/>
  <c r="D1319" i="15"/>
  <c r="D1307" i="15"/>
  <c r="D1295" i="15"/>
  <c r="D1283" i="15"/>
  <c r="D1271" i="15"/>
  <c r="D1259" i="15"/>
  <c r="D1247" i="15"/>
  <c r="D1235" i="15"/>
  <c r="D1223" i="15"/>
  <c r="D1211" i="15"/>
  <c r="D1199" i="15"/>
  <c r="D1187" i="15"/>
  <c r="D1175" i="15"/>
  <c r="D1163" i="15"/>
  <c r="D1151" i="15"/>
  <c r="D1139" i="15"/>
  <c r="D1127" i="15"/>
  <c r="D1115" i="15"/>
  <c r="D1103" i="15"/>
  <c r="D1091" i="15"/>
  <c r="D1079" i="15"/>
  <c r="D1067" i="15"/>
  <c r="D3038" i="15"/>
  <c r="D2520" i="15"/>
  <c r="D2291" i="15"/>
  <c r="D2075" i="15"/>
  <c r="D1942" i="15"/>
  <c r="D1875" i="15"/>
  <c r="D1824" i="15"/>
  <c r="D1783" i="15"/>
  <c r="D1747" i="15"/>
  <c r="D1711" i="15"/>
  <c r="D1675" i="15"/>
  <c r="D1639" i="15"/>
  <c r="D1603" i="15"/>
  <c r="D1567" i="15"/>
  <c r="D1531" i="15"/>
  <c r="D1495" i="15"/>
  <c r="D1459" i="15"/>
  <c r="D1423" i="15"/>
  <c r="D1387" i="15"/>
  <c r="D1351" i="15"/>
  <c r="D1315" i="15"/>
  <c r="D1279" i="15"/>
  <c r="D1243" i="15"/>
  <c r="D1207" i="15"/>
  <c r="D1171" i="15"/>
  <c r="D1135" i="15"/>
  <c r="D1099" i="15"/>
  <c r="D1063" i="15"/>
  <c r="D1040" i="15"/>
  <c r="D1022" i="15"/>
  <c r="D1009" i="15"/>
  <c r="D997" i="15"/>
  <c r="D985" i="15"/>
  <c r="D973" i="15"/>
  <c r="D961" i="15"/>
  <c r="D949" i="15"/>
  <c r="D937" i="15"/>
  <c r="D925" i="15"/>
  <c r="D913" i="15"/>
  <c r="D901" i="15"/>
  <c r="D889" i="15"/>
  <c r="D877" i="15"/>
  <c r="D865" i="15"/>
  <c r="D853" i="15"/>
  <c r="D841" i="15"/>
  <c r="D829" i="15"/>
  <c r="D817" i="15"/>
  <c r="D805" i="15"/>
  <c r="D793" i="15"/>
  <c r="D781" i="15"/>
  <c r="D769" i="15"/>
  <c r="D757" i="15"/>
  <c r="D745" i="15"/>
  <c r="D733" i="15"/>
  <c r="D721" i="15"/>
  <c r="D709" i="15"/>
  <c r="D697" i="15"/>
  <c r="D685" i="15"/>
  <c r="D673" i="15"/>
  <c r="D661" i="15"/>
  <c r="D649" i="15"/>
  <c r="D637" i="15"/>
  <c r="D625" i="15"/>
  <c r="D613" i="15"/>
  <c r="D601" i="15"/>
  <c r="D589" i="15"/>
  <c r="D577" i="15"/>
  <c r="D565" i="15"/>
  <c r="D553" i="15"/>
  <c r="D541" i="15"/>
  <c r="D529" i="15"/>
  <c r="D517" i="15"/>
  <c r="D505" i="15"/>
  <c r="D493" i="15"/>
  <c r="D481" i="15"/>
  <c r="D469" i="15"/>
  <c r="D457" i="15"/>
  <c r="D445" i="15"/>
  <c r="D433" i="15"/>
  <c r="D421" i="15"/>
  <c r="D409" i="15"/>
  <c r="D397" i="15"/>
  <c r="D385" i="15"/>
  <c r="D373" i="15"/>
  <c r="D361" i="15"/>
  <c r="D349" i="15"/>
  <c r="D337" i="15"/>
  <c r="D325" i="15"/>
  <c r="D313" i="15"/>
  <c r="D301" i="15"/>
  <c r="D289" i="15"/>
  <c r="D277" i="15"/>
  <c r="D265" i="15"/>
  <c r="D2838" i="15"/>
  <c r="D2458" i="15"/>
  <c r="D2241" i="15"/>
  <c r="D2027" i="15"/>
  <c r="D1919" i="15"/>
  <c r="D1862" i="15"/>
  <c r="D1812" i="15"/>
  <c r="D1774" i="15"/>
  <c r="D1738" i="15"/>
  <c r="D1702" i="15"/>
  <c r="D1666" i="15"/>
  <c r="D1630" i="15"/>
  <c r="D1594" i="15"/>
  <c r="D1558" i="15"/>
  <c r="D1522" i="15"/>
  <c r="D1486" i="15"/>
  <c r="D1450" i="15"/>
  <c r="D1414" i="15"/>
  <c r="D1378" i="15"/>
  <c r="D1342" i="15"/>
  <c r="D1306" i="15"/>
  <c r="D1270" i="15"/>
  <c r="D1234" i="15"/>
  <c r="D1198" i="15"/>
  <c r="D1162" i="15"/>
  <c r="D1126" i="15"/>
  <c r="D1090" i="15"/>
  <c r="D1056" i="15"/>
  <c r="D1039" i="15"/>
  <c r="D1020" i="15"/>
  <c r="D1008" i="15"/>
  <c r="D996" i="15"/>
  <c r="D984" i="15"/>
  <c r="D972" i="15"/>
  <c r="D960" i="15"/>
  <c r="D948" i="15"/>
  <c r="D936" i="15"/>
  <c r="D924" i="15"/>
  <c r="D912" i="15"/>
  <c r="D900" i="15"/>
  <c r="D888" i="15"/>
  <c r="D876" i="15"/>
  <c r="D864" i="15"/>
  <c r="D852" i="15"/>
  <c r="D840" i="15"/>
  <c r="D828" i="15"/>
  <c r="D816" i="15"/>
  <c r="D804" i="15"/>
  <c r="D792" i="15"/>
  <c r="D780" i="15"/>
  <c r="D768" i="15"/>
  <c r="D756" i="15"/>
  <c r="D744" i="15"/>
  <c r="D732" i="15"/>
  <c r="D720" i="15"/>
  <c r="D708" i="15"/>
  <c r="D696" i="15"/>
  <c r="D684" i="15"/>
  <c r="D672" i="15"/>
  <c r="D660" i="15"/>
  <c r="D648" i="15"/>
  <c r="D636" i="15"/>
  <c r="D624" i="15"/>
  <c r="D612" i="15"/>
  <c r="D600" i="15"/>
  <c r="D588" i="15"/>
  <c r="D576" i="15"/>
  <c r="D564" i="15"/>
  <c r="D552" i="15"/>
  <c r="D540" i="15"/>
  <c r="D528" i="15"/>
  <c r="D516" i="15"/>
  <c r="D504" i="15"/>
  <c r="D492" i="15"/>
  <c r="D480" i="15"/>
  <c r="D468" i="15"/>
  <c r="D456" i="15"/>
  <c r="D444" i="15"/>
  <c r="D432" i="15"/>
  <c r="D420" i="15"/>
  <c r="D408" i="15"/>
  <c r="D396" i="15"/>
  <c r="D384" i="15"/>
  <c r="D372" i="15"/>
  <c r="D360" i="15"/>
  <c r="D348" i="15"/>
  <c r="D336" i="15"/>
  <c r="D324" i="15"/>
  <c r="D312" i="15"/>
  <c r="D300" i="15"/>
  <c r="D288" i="15"/>
  <c r="D276" i="15"/>
  <c r="D264" i="15"/>
  <c r="D252" i="15"/>
  <c r="D2808" i="15"/>
  <c r="D2447" i="15"/>
  <c r="D2231" i="15"/>
  <c r="D2026" i="15"/>
  <c r="D1918" i="15"/>
  <c r="D1861" i="15"/>
  <c r="D1811" i="15"/>
  <c r="D1773" i="15"/>
  <c r="D1737" i="15"/>
  <c r="D1701" i="15"/>
  <c r="D1665" i="15"/>
  <c r="D1629" i="15"/>
  <c r="D1593" i="15"/>
  <c r="D1557" i="15"/>
  <c r="D1521" i="15"/>
  <c r="D1485" i="15"/>
  <c r="D1449" i="15"/>
  <c r="D1413" i="15"/>
  <c r="D1377" i="15"/>
  <c r="D1341" i="15"/>
  <c r="D1305" i="15"/>
  <c r="D1269" i="15"/>
  <c r="D1233" i="15"/>
  <c r="D1197" i="15"/>
  <c r="D1161" i="15"/>
  <c r="D1125" i="15"/>
  <c r="D1089" i="15"/>
  <c r="D1055" i="15"/>
  <c r="D1037" i="15"/>
  <c r="D1019" i="15"/>
  <c r="D1007" i="15"/>
  <c r="D995" i="15"/>
  <c r="D983" i="15"/>
  <c r="D971" i="15"/>
  <c r="D959" i="15"/>
  <c r="D947" i="15"/>
  <c r="D935" i="15"/>
  <c r="D923" i="15"/>
  <c r="D911" i="15"/>
  <c r="D899" i="15"/>
  <c r="D887" i="15"/>
  <c r="D875" i="15"/>
  <c r="D863" i="15"/>
  <c r="D851" i="15"/>
  <c r="D839" i="15"/>
  <c r="D827" i="15"/>
  <c r="D815" i="15"/>
  <c r="D803" i="15"/>
  <c r="D791" i="15"/>
  <c r="D779" i="15"/>
  <c r="D767" i="15"/>
  <c r="D755" i="15"/>
  <c r="D743" i="15"/>
  <c r="D731" i="15"/>
  <c r="D719" i="15"/>
  <c r="D707" i="15"/>
  <c r="D695" i="15"/>
  <c r="D683" i="15"/>
  <c r="D671" i="15"/>
  <c r="D659" i="15"/>
  <c r="D647" i="15"/>
  <c r="D635" i="15"/>
  <c r="D623" i="15"/>
  <c r="D611" i="15"/>
  <c r="D599" i="15"/>
  <c r="D587" i="15"/>
  <c r="D575" i="15"/>
  <c r="D563" i="15"/>
  <c r="D551" i="15"/>
  <c r="D539" i="15"/>
  <c r="D527" i="15"/>
  <c r="D515" i="15"/>
  <c r="D503" i="15"/>
  <c r="D491" i="15"/>
  <c r="D479" i="15"/>
  <c r="D467" i="15"/>
  <c r="D455" i="15"/>
  <c r="D443" i="15"/>
  <c r="D431" i="15"/>
  <c r="D419" i="15"/>
  <c r="D407" i="15"/>
  <c r="D395" i="15"/>
  <c r="D383" i="15"/>
  <c r="D371" i="15"/>
  <c r="D359" i="15"/>
  <c r="D347" i="15"/>
  <c r="D335" i="15"/>
  <c r="D323" i="15"/>
  <c r="D311" i="15"/>
  <c r="D299" i="15"/>
  <c r="D287" i="15"/>
  <c r="D275" i="15"/>
  <c r="D263" i="15"/>
  <c r="D2802" i="15"/>
  <c r="D2445" i="15"/>
  <c r="D2229" i="15"/>
  <c r="D2025" i="15"/>
  <c r="D1917" i="15"/>
  <c r="D1860" i="15"/>
  <c r="D1810" i="15"/>
  <c r="D1772" i="15"/>
  <c r="D1736" i="15"/>
  <c r="D1700" i="15"/>
  <c r="D1664" i="15"/>
  <c r="D1628" i="15"/>
  <c r="D1592" i="15"/>
  <c r="D1556" i="15"/>
  <c r="D1520" i="15"/>
  <c r="D1484" i="15"/>
  <c r="D1448" i="15"/>
  <c r="D1412" i="15"/>
  <c r="D1376" i="15"/>
  <c r="D1340" i="15"/>
  <c r="D1304" i="15"/>
  <c r="D1268" i="15"/>
  <c r="D1232" i="15"/>
  <c r="D1196" i="15"/>
  <c r="D1160" i="15"/>
  <c r="D1124" i="15"/>
  <c r="D1088" i="15"/>
  <c r="D1054" i="15"/>
  <c r="D1032" i="15"/>
  <c r="D1018" i="15"/>
  <c r="D1006" i="15"/>
  <c r="D994" i="15"/>
  <c r="D982" i="15"/>
  <c r="D970" i="15"/>
  <c r="D958" i="15"/>
  <c r="D946" i="15"/>
  <c r="D934" i="15"/>
  <c r="D922" i="15"/>
  <c r="D910" i="15"/>
  <c r="D898" i="15"/>
  <c r="D886" i="15"/>
  <c r="D874" i="15"/>
  <c r="D862" i="15"/>
  <c r="D850" i="15"/>
  <c r="D838" i="15"/>
  <c r="D826" i="15"/>
  <c r="D814" i="15"/>
  <c r="D802" i="15"/>
  <c r="D790" i="15"/>
  <c r="D778" i="15"/>
  <c r="D766" i="15"/>
  <c r="D754" i="15"/>
  <c r="D742" i="15"/>
  <c r="D730" i="15"/>
  <c r="D718" i="15"/>
  <c r="D706" i="15"/>
  <c r="D694" i="15"/>
  <c r="D682" i="15"/>
  <c r="D670" i="15"/>
  <c r="D658" i="15"/>
  <c r="D646" i="15"/>
  <c r="D634" i="15"/>
  <c r="D622" i="15"/>
  <c r="D610" i="15"/>
  <c r="D598" i="15"/>
  <c r="D586" i="15"/>
  <c r="D574" i="15"/>
  <c r="D562" i="15"/>
  <c r="D550" i="15"/>
  <c r="D538" i="15"/>
  <c r="D526" i="15"/>
  <c r="D514" i="15"/>
  <c r="D502" i="15"/>
  <c r="D490" i="15"/>
  <c r="D478" i="15"/>
  <c r="D466" i="15"/>
  <c r="D454" i="15"/>
  <c r="D442" i="15"/>
  <c r="D430" i="15"/>
  <c r="D418" i="15"/>
  <c r="D406" i="15"/>
  <c r="D394" i="15"/>
  <c r="D382" i="15"/>
  <c r="D370" i="15"/>
  <c r="D358" i="15"/>
  <c r="D2774" i="15"/>
  <c r="D2435" i="15"/>
  <c r="D2219" i="15"/>
  <c r="D2015" i="15"/>
  <c r="D1912" i="15"/>
  <c r="D1859" i="15"/>
  <c r="D1809" i="15"/>
  <c r="D1771" i="15"/>
  <c r="D1735" i="15"/>
  <c r="D1699" i="15"/>
  <c r="D1663" i="15"/>
  <c r="D1627" i="15"/>
  <c r="D1591" i="15"/>
  <c r="D1555" i="15"/>
  <c r="D1519" i="15"/>
  <c r="D1483" i="15"/>
  <c r="D1447" i="15"/>
  <c r="D1411" i="15"/>
  <c r="D1375" i="15"/>
  <c r="D1339" i="15"/>
  <c r="D1303" i="15"/>
  <c r="D1267" i="15"/>
  <c r="D1231" i="15"/>
  <c r="D1195" i="15"/>
  <c r="D1159" i="15"/>
  <c r="D1123" i="15"/>
  <c r="D1087" i="15"/>
  <c r="D1053" i="15"/>
  <c r="D1031" i="15"/>
  <c r="D1017" i="15"/>
  <c r="D1005" i="15"/>
  <c r="D993" i="15"/>
  <c r="D981" i="15"/>
  <c r="D969" i="15"/>
  <c r="D957" i="15"/>
  <c r="D945" i="15"/>
  <c r="D933" i="15"/>
  <c r="D921" i="15"/>
  <c r="D909" i="15"/>
  <c r="D897" i="15"/>
  <c r="D885" i="15"/>
  <c r="D873" i="15"/>
  <c r="D861" i="15"/>
  <c r="D849" i="15"/>
  <c r="D837" i="15"/>
  <c r="D825" i="15"/>
  <c r="D813" i="15"/>
  <c r="D801" i="15"/>
  <c r="D789" i="15"/>
  <c r="D777" i="15"/>
  <c r="D765" i="15"/>
  <c r="D753" i="15"/>
  <c r="D741" i="15"/>
  <c r="D729" i="15"/>
  <c r="D717" i="15"/>
  <c r="D705" i="15"/>
  <c r="D693" i="15"/>
  <c r="D681" i="15"/>
  <c r="D669" i="15"/>
  <c r="D657" i="15"/>
  <c r="D645" i="15"/>
  <c r="D633" i="15"/>
  <c r="D621" i="15"/>
  <c r="D609" i="15"/>
  <c r="D597" i="15"/>
  <c r="D585" i="15"/>
  <c r="D573" i="15"/>
  <c r="D561" i="15"/>
  <c r="D549" i="15"/>
  <c r="D537" i="15"/>
  <c r="D525" i="15"/>
  <c r="D513" i="15"/>
  <c r="D501" i="15"/>
  <c r="D489" i="15"/>
  <c r="D477" i="15"/>
  <c r="D3905" i="15"/>
  <c r="D2670" i="15"/>
  <c r="D2385" i="15"/>
  <c r="D2169" i="15"/>
  <c r="D1984" i="15"/>
  <c r="D1898" i="15"/>
  <c r="D1846" i="15"/>
  <c r="D1798" i="15"/>
  <c r="D1762" i="15"/>
  <c r="D1726" i="15"/>
  <c r="D1690" i="15"/>
  <c r="D1654" i="15"/>
  <c r="D1618" i="15"/>
  <c r="D1582" i="15"/>
  <c r="D1546" i="15"/>
  <c r="D1510" i="15"/>
  <c r="D1474" i="15"/>
  <c r="D1438" i="15"/>
  <c r="D1402" i="15"/>
  <c r="D1366" i="15"/>
  <c r="D1330" i="15"/>
  <c r="D1294" i="15"/>
  <c r="D1258" i="15"/>
  <c r="D1222" i="15"/>
  <c r="D1186" i="15"/>
  <c r="D1150" i="15"/>
  <c r="D1114" i="15"/>
  <c r="D1078" i="15"/>
  <c r="D1052" i="15"/>
  <c r="D1030" i="15"/>
  <c r="D1016" i="15"/>
  <c r="D1004" i="15"/>
  <c r="D992" i="15"/>
  <c r="D980" i="15"/>
  <c r="D968" i="15"/>
  <c r="D956" i="15"/>
  <c r="D944" i="15"/>
  <c r="D932" i="15"/>
  <c r="D920" i="15"/>
  <c r="D908" i="15"/>
  <c r="D896" i="15"/>
  <c r="D884" i="15"/>
  <c r="D872" i="15"/>
  <c r="D860" i="15"/>
  <c r="D848" i="15"/>
  <c r="D836" i="15"/>
  <c r="D824" i="15"/>
  <c r="D812" i="15"/>
  <c r="D800" i="15"/>
  <c r="D788" i="15"/>
  <c r="D776" i="15"/>
  <c r="D764" i="15"/>
  <c r="D752" i="15"/>
  <c r="D740" i="15"/>
  <c r="D728" i="15"/>
  <c r="D716" i="15"/>
  <c r="D704" i="15"/>
  <c r="D692" i="15"/>
  <c r="D680" i="15"/>
  <c r="D668" i="15"/>
  <c r="D656" i="15"/>
  <c r="D644" i="15"/>
  <c r="D632" i="15"/>
  <c r="D620" i="15"/>
  <c r="D608" i="15"/>
  <c r="D596" i="15"/>
  <c r="D584" i="15"/>
  <c r="D572" i="15"/>
  <c r="D560" i="15"/>
  <c r="D548" i="15"/>
  <c r="D536" i="15"/>
  <c r="D524" i="15"/>
  <c r="D512" i="15"/>
  <c r="D500" i="15"/>
  <c r="D488" i="15"/>
  <c r="D476" i="15"/>
  <c r="D464" i="15"/>
  <c r="D452" i="15"/>
  <c r="D440" i="15"/>
  <c r="D428" i="15"/>
  <c r="D416" i="15"/>
  <c r="D404" i="15"/>
  <c r="D392" i="15"/>
  <c r="D380" i="15"/>
  <c r="D368" i="15"/>
  <c r="D356" i="15"/>
  <c r="D3765" i="15"/>
  <c r="D2652" i="15"/>
  <c r="D2375" i="15"/>
  <c r="D2159" i="15"/>
  <c r="D1979" i="15"/>
  <c r="D1897" i="15"/>
  <c r="D1845" i="15"/>
  <c r="D1797" i="15"/>
  <c r="D1761" i="15"/>
  <c r="D1725" i="15"/>
  <c r="D1689" i="15"/>
  <c r="D1653" i="15"/>
  <c r="D1617" i="15"/>
  <c r="D1581" i="15"/>
  <c r="D1545" i="15"/>
  <c r="D1509" i="15"/>
  <c r="D1473" i="15"/>
  <c r="D1437" i="15"/>
  <c r="D1401" i="15"/>
  <c r="D1365" i="15"/>
  <c r="D1329" i="15"/>
  <c r="D1293" i="15"/>
  <c r="D1257" i="15"/>
  <c r="D1221" i="15"/>
  <c r="D1185" i="15"/>
  <c r="D1149" i="15"/>
  <c r="D1113" i="15"/>
  <c r="D1077" i="15"/>
  <c r="D1051" i="15"/>
  <c r="D1029" i="15"/>
  <c r="D1015" i="15"/>
  <c r="D1003" i="15"/>
  <c r="D991" i="15"/>
  <c r="D979" i="15"/>
  <c r="D967" i="15"/>
  <c r="D955" i="15"/>
  <c r="D943" i="15"/>
  <c r="D931" i="15"/>
  <c r="D919" i="15"/>
  <c r="D907" i="15"/>
  <c r="D895" i="15"/>
  <c r="D883" i="15"/>
  <c r="D871" i="15"/>
  <c r="D859" i="15"/>
  <c r="D847" i="15"/>
  <c r="D835" i="15"/>
  <c r="D823" i="15"/>
  <c r="D811" i="15"/>
  <c r="D799" i="15"/>
  <c r="D787" i="15"/>
  <c r="D775" i="15"/>
  <c r="D763" i="15"/>
  <c r="D751" i="15"/>
  <c r="D739" i="15"/>
  <c r="D727" i="15"/>
  <c r="D715" i="15"/>
  <c r="D703" i="15"/>
  <c r="D691" i="15"/>
  <c r="D679" i="15"/>
  <c r="D667" i="15"/>
  <c r="D655" i="15"/>
  <c r="D643" i="15"/>
  <c r="D631" i="15"/>
  <c r="D619" i="15"/>
  <c r="D607" i="15"/>
  <c r="D595" i="15"/>
  <c r="D583" i="15"/>
  <c r="D571" i="15"/>
  <c r="D559" i="15"/>
  <c r="D547" i="15"/>
  <c r="D535" i="15"/>
  <c r="D523" i="15"/>
  <c r="D511" i="15"/>
  <c r="D499" i="15"/>
  <c r="D487" i="15"/>
  <c r="D475" i="15"/>
  <c r="D463" i="15"/>
  <c r="D451" i="15"/>
  <c r="D439" i="15"/>
  <c r="D427" i="15"/>
  <c r="D415" i="15"/>
  <c r="D403" i="15"/>
  <c r="D391" i="15"/>
  <c r="D379" i="15"/>
  <c r="D367" i="15"/>
  <c r="D3736" i="15"/>
  <c r="D2646" i="15"/>
  <c r="D2373" i="15"/>
  <c r="D2157" i="15"/>
  <c r="D1978" i="15"/>
  <c r="D1896" i="15"/>
  <c r="D1840" i="15"/>
  <c r="D1796" i="15"/>
  <c r="D1760" i="15"/>
  <c r="D1724" i="15"/>
  <c r="D1688" i="15"/>
  <c r="D1652" i="15"/>
  <c r="D1616" i="15"/>
  <c r="D1580" i="15"/>
  <c r="D1544" i="15"/>
  <c r="D1508" i="15"/>
  <c r="D1472" i="15"/>
  <c r="D1436" i="15"/>
  <c r="D1400" i="15"/>
  <c r="D1364" i="15"/>
  <c r="D1328" i="15"/>
  <c r="D1292" i="15"/>
  <c r="D1256" i="15"/>
  <c r="D1220" i="15"/>
  <c r="D3119" i="15"/>
  <c r="D2535" i="15"/>
  <c r="D2303" i="15"/>
  <c r="D2087" i="15"/>
  <c r="D1946" i="15"/>
  <c r="D1881" i="15"/>
  <c r="D1826" i="15"/>
  <c r="D1785" i="15"/>
  <c r="D1749" i="15"/>
  <c r="D1713" i="15"/>
  <c r="D1677" i="15"/>
  <c r="D1641" i="15"/>
  <c r="D1605" i="15"/>
  <c r="D1569" i="15"/>
  <c r="D1533" i="15"/>
  <c r="D1497" i="15"/>
  <c r="D1461" i="15"/>
  <c r="D1425" i="15"/>
  <c r="D1389" i="15"/>
  <c r="D1353" i="15"/>
  <c r="D1317" i="15"/>
  <c r="D1281" i="15"/>
  <c r="D1245" i="15"/>
  <c r="D1209" i="15"/>
  <c r="D1173" i="15"/>
  <c r="D1137" i="15"/>
  <c r="D1101" i="15"/>
  <c r="D1065" i="15"/>
  <c r="D1042" i="15"/>
  <c r="D1024" i="15"/>
  <c r="D1011" i="15"/>
  <c r="D999" i="15"/>
  <c r="D987" i="15"/>
  <c r="D975" i="15"/>
  <c r="D963" i="15"/>
  <c r="D951" i="15"/>
  <c r="D939" i="15"/>
  <c r="D927" i="15"/>
  <c r="D915" i="15"/>
  <c r="D903" i="15"/>
  <c r="D891" i="15"/>
  <c r="D879" i="15"/>
  <c r="D867" i="15"/>
  <c r="D855" i="15"/>
  <c r="D843" i="15"/>
  <c r="D831" i="15"/>
  <c r="D819" i="15"/>
  <c r="D807" i="15"/>
  <c r="D795" i="15"/>
  <c r="D783" i="15"/>
  <c r="D771" i="15"/>
  <c r="D759" i="15"/>
  <c r="D747" i="15"/>
  <c r="D735" i="15"/>
  <c r="D723" i="15"/>
  <c r="D711" i="15"/>
  <c r="D699" i="15"/>
  <c r="D687" i="15"/>
  <c r="D675" i="15"/>
  <c r="D663" i="15"/>
  <c r="D651" i="15"/>
  <c r="D639" i="15"/>
  <c r="D627" i="15"/>
  <c r="D615" i="15"/>
  <c r="D603" i="15"/>
  <c r="D591" i="15"/>
  <c r="D579" i="15"/>
  <c r="D567" i="15"/>
  <c r="D555" i="15"/>
  <c r="D543" i="15"/>
  <c r="D531" i="15"/>
  <c r="D519" i="15"/>
  <c r="D507" i="15"/>
  <c r="D495" i="15"/>
  <c r="D483" i="15"/>
  <c r="D471" i="15"/>
  <c r="D459" i="15"/>
  <c r="D447" i="15"/>
  <c r="D435" i="15"/>
  <c r="D16" i="15"/>
  <c r="D28" i="15"/>
  <c r="D40" i="15"/>
  <c r="D52" i="15"/>
  <c r="D64" i="15"/>
  <c r="D76" i="15"/>
  <c r="D88" i="15"/>
  <c r="D100" i="15"/>
  <c r="D112" i="15"/>
  <c r="D124" i="15"/>
  <c r="D136" i="15"/>
  <c r="D148" i="15"/>
  <c r="D160" i="15"/>
  <c r="D172" i="15"/>
  <c r="D184" i="15"/>
  <c r="D196" i="15"/>
  <c r="D208" i="15"/>
  <c r="D220" i="15"/>
  <c r="D232" i="15"/>
  <c r="D244" i="15"/>
  <c r="D257" i="15"/>
  <c r="D272" i="15"/>
  <c r="D290" i="15"/>
  <c r="D305" i="15"/>
  <c r="D320" i="15"/>
  <c r="D338" i="15"/>
  <c r="D353" i="15"/>
  <c r="D376" i="15"/>
  <c r="D400" i="15"/>
  <c r="D424" i="15"/>
  <c r="D450" i="15"/>
  <c r="D484" i="15"/>
  <c r="D520" i="15"/>
  <c r="D556" i="15"/>
  <c r="D592" i="15"/>
  <c r="D628" i="15"/>
  <c r="D664" i="15"/>
  <c r="D700" i="15"/>
  <c r="D736" i="15"/>
  <c r="D772" i="15"/>
  <c r="D808" i="15"/>
  <c r="D844" i="15"/>
  <c r="D880" i="15"/>
  <c r="D916" i="15"/>
  <c r="D952" i="15"/>
  <c r="D988" i="15"/>
  <c r="D1025" i="15"/>
  <c r="D1102" i="15"/>
  <c r="D1210" i="15"/>
  <c r="D1354" i="15"/>
  <c r="D1498" i="15"/>
  <c r="D1642" i="15"/>
  <c r="D1786" i="15"/>
  <c r="D2097" i="15"/>
  <c r="D5" i="15"/>
  <c r="D17" i="15"/>
  <c r="D29" i="15"/>
  <c r="D41" i="15"/>
  <c r="D53" i="15"/>
  <c r="D65" i="15"/>
  <c r="D77" i="15"/>
  <c r="D89" i="15"/>
  <c r="D101" i="15"/>
  <c r="D113" i="15"/>
  <c r="D125" i="15"/>
  <c r="D137" i="15"/>
  <c r="D149" i="15"/>
  <c r="D161" i="15"/>
  <c r="D173" i="15"/>
  <c r="D185" i="15"/>
  <c r="D197" i="15"/>
  <c r="D209" i="15"/>
  <c r="D221" i="15"/>
  <c r="D233" i="15"/>
  <c r="D245" i="15"/>
  <c r="D258" i="15"/>
  <c r="D273" i="15"/>
  <c r="D291" i="15"/>
  <c r="D306" i="15"/>
  <c r="D321" i="15"/>
  <c r="D339" i="15"/>
  <c r="D354" i="15"/>
  <c r="D377" i="15"/>
  <c r="D401" i="15"/>
  <c r="D425" i="15"/>
  <c r="D453" i="15"/>
  <c r="D485" i="15"/>
  <c r="D521" i="15"/>
  <c r="D557" i="15"/>
  <c r="D593" i="15"/>
  <c r="D629" i="15"/>
  <c r="D665" i="15"/>
  <c r="D701" i="15"/>
  <c r="D737" i="15"/>
  <c r="D773" i="15"/>
  <c r="D809" i="15"/>
  <c r="D845" i="15"/>
  <c r="D881" i="15"/>
  <c r="D917" i="15"/>
  <c r="D953" i="15"/>
  <c r="D989" i="15"/>
  <c r="D1027" i="15"/>
  <c r="D1111" i="15"/>
  <c r="D1219" i="15"/>
  <c r="D1363" i="15"/>
  <c r="D1507" i="15"/>
  <c r="D1651" i="15"/>
  <c r="D1795" i="15"/>
  <c r="D2147" i="15"/>
  <c r="D6" i="15"/>
  <c r="D18" i="15"/>
  <c r="D30" i="15"/>
  <c r="D42" i="15"/>
  <c r="D54" i="15"/>
  <c r="D66" i="15"/>
  <c r="D78" i="15"/>
  <c r="D90" i="15"/>
  <c r="D102" i="15"/>
  <c r="D114" i="15"/>
  <c r="D126" i="15"/>
  <c r="D138" i="15"/>
  <c r="D150" i="15"/>
  <c r="D162" i="15"/>
  <c r="D174" i="15"/>
  <c r="D186" i="15"/>
  <c r="D198" i="15"/>
  <c r="D210" i="15"/>
  <c r="D222" i="15"/>
  <c r="D234" i="15"/>
  <c r="D246" i="15"/>
  <c r="D259" i="15"/>
  <c r="D274" i="15"/>
  <c r="D292" i="15"/>
  <c r="D307" i="15"/>
  <c r="D322" i="15"/>
  <c r="D340" i="15"/>
  <c r="D355" i="15"/>
  <c r="D378" i="15"/>
  <c r="D402" i="15"/>
  <c r="D426" i="15"/>
  <c r="D458" i="15"/>
  <c r="D486" i="15"/>
  <c r="D522" i="15"/>
  <c r="D558" i="15"/>
  <c r="D594" i="15"/>
  <c r="D630" i="15"/>
  <c r="D666" i="15"/>
  <c r="D702" i="15"/>
  <c r="D738" i="15"/>
  <c r="D774" i="15"/>
  <c r="D810" i="15"/>
  <c r="D846" i="15"/>
  <c r="D882" i="15"/>
  <c r="D918" i="15"/>
  <c r="D954" i="15"/>
  <c r="D990" i="15"/>
  <c r="D1028" i="15"/>
  <c r="D1112" i="15"/>
  <c r="D1244" i="15"/>
  <c r="D1388" i="15"/>
  <c r="D1532" i="15"/>
  <c r="D1676" i="15"/>
  <c r="D1825" i="15"/>
  <c r="D2301" i="15"/>
  <c r="D7" i="15"/>
  <c r="D19" i="15"/>
  <c r="D31" i="15"/>
  <c r="D43" i="15"/>
  <c r="D55" i="15"/>
  <c r="D67" i="15"/>
  <c r="D79" i="15"/>
  <c r="D91" i="15"/>
  <c r="D103" i="15"/>
  <c r="D115" i="15"/>
  <c r="D127" i="15"/>
  <c r="D139" i="15"/>
  <c r="D151" i="15"/>
  <c r="D163" i="15"/>
  <c r="D175" i="15"/>
  <c r="D187" i="15"/>
  <c r="D199" i="15"/>
  <c r="D211" i="15"/>
  <c r="D223" i="15"/>
  <c r="D235" i="15"/>
  <c r="D247" i="15"/>
  <c r="D260" i="15"/>
  <c r="D278" i="15"/>
  <c r="D293" i="15"/>
  <c r="D308" i="15"/>
  <c r="D326" i="15"/>
  <c r="D341" i="15"/>
  <c r="D357" i="15"/>
  <c r="D381" i="15"/>
  <c r="D405" i="15"/>
  <c r="D429" i="15"/>
  <c r="D460" i="15"/>
  <c r="D494" i="15"/>
  <c r="D530" i="15"/>
  <c r="D566" i="15"/>
  <c r="D602" i="15"/>
  <c r="D638" i="15"/>
  <c r="D674" i="15"/>
  <c r="D710" i="15"/>
  <c r="D746" i="15"/>
  <c r="D782" i="15"/>
  <c r="D818" i="15"/>
  <c r="D854" i="15"/>
  <c r="D890" i="15"/>
  <c r="D926" i="15"/>
  <c r="D962" i="15"/>
  <c r="D998" i="15"/>
  <c r="D1041" i="15"/>
  <c r="D1136" i="15"/>
  <c r="D1246" i="15"/>
  <c r="D1390" i="15"/>
  <c r="D1534" i="15"/>
  <c r="D1678" i="15"/>
  <c r="D1827" i="15"/>
  <c r="D2313" i="15"/>
  <c r="V4391" i="1"/>
  <c r="N4391" i="1"/>
  <c r="V5828" i="1"/>
  <c r="V1326" i="1"/>
  <c r="N1326" i="1"/>
  <c r="V923" i="1"/>
  <c r="N923" i="1"/>
  <c r="N5828" i="1"/>
  <c r="V4704" i="1"/>
  <c r="V6087" i="1"/>
  <c r="N6087" i="1"/>
  <c r="N4704" i="1"/>
  <c r="X5815" i="1"/>
  <c r="W5815" i="1"/>
  <c r="U5815" i="1"/>
  <c r="P5815" i="1"/>
  <c r="B5815" i="1" s="1"/>
  <c r="L5815" i="1"/>
  <c r="R5815" i="1" l="1"/>
  <c r="S5815" i="1"/>
  <c r="N5815" i="1"/>
  <c r="V5815" i="1"/>
  <c r="X5148" i="1"/>
  <c r="W5148" i="1"/>
  <c r="U5148" i="1"/>
  <c r="P5148" i="1"/>
  <c r="B5148" i="1" s="1"/>
  <c r="L5148" i="1"/>
  <c r="S5148" i="1" l="1"/>
  <c r="R5148" i="1"/>
  <c r="V5148" i="1"/>
  <c r="N5148" i="1"/>
  <c r="H595" i="1" l="1"/>
  <c r="L595" i="1" s="1"/>
  <c r="X596" i="1"/>
  <c r="W596" i="1"/>
  <c r="U596" i="1"/>
  <c r="P596" i="1"/>
  <c r="B596" i="1" s="1"/>
  <c r="L596" i="1"/>
  <c r="X598" i="1"/>
  <c r="W598" i="1"/>
  <c r="U598" i="1"/>
  <c r="P598" i="1"/>
  <c r="B598" i="1" s="1"/>
  <c r="L598" i="1"/>
  <c r="X597" i="1"/>
  <c r="W597" i="1"/>
  <c r="U597" i="1"/>
  <c r="P597" i="1"/>
  <c r="B597" i="1" s="1"/>
  <c r="L597" i="1"/>
  <c r="X595" i="1"/>
  <c r="W595" i="1"/>
  <c r="U595" i="1"/>
  <c r="P595" i="1"/>
  <c r="B595" i="1" s="1"/>
  <c r="R596" i="1" l="1"/>
  <c r="S596" i="1"/>
  <c r="R598" i="1"/>
  <c r="S598" i="1"/>
  <c r="R597" i="1"/>
  <c r="S597" i="1"/>
  <c r="R595" i="1"/>
  <c r="S595" i="1"/>
  <c r="V595" i="1"/>
  <c r="V598" i="1"/>
  <c r="N596" i="1"/>
  <c r="N597" i="1"/>
  <c r="V597" i="1"/>
  <c r="V596" i="1"/>
  <c r="N598" i="1"/>
  <c r="N595" i="1"/>
  <c r="X5633" i="1"/>
  <c r="W5633" i="1"/>
  <c r="U5633" i="1"/>
  <c r="P5633" i="1"/>
  <c r="B5633" i="1" s="1"/>
  <c r="L5633" i="1"/>
  <c r="R5633" i="1" l="1"/>
  <c r="S5633" i="1"/>
  <c r="V5633" i="1"/>
  <c r="N5633" i="1"/>
  <c r="X5829" i="1" l="1"/>
  <c r="W5829" i="1"/>
  <c r="U5829" i="1"/>
  <c r="P5829" i="1"/>
  <c r="B5829" i="1" s="1"/>
  <c r="L5829" i="1"/>
  <c r="R5829" i="1" l="1"/>
  <c r="S5829" i="1"/>
  <c r="V5829" i="1"/>
  <c r="N5829" i="1"/>
  <c r="I4876" i="1" l="1"/>
  <c r="L4876" i="1" s="1"/>
  <c r="X4876" i="1"/>
  <c r="W4876" i="1"/>
  <c r="U4876" i="1"/>
  <c r="P4876" i="1"/>
  <c r="B4876" i="1" s="1"/>
  <c r="R4876" i="1" l="1"/>
  <c r="S4876" i="1"/>
  <c r="V4876" i="1"/>
  <c r="N4876" i="1"/>
  <c r="X1852" i="1" l="1"/>
  <c r="W1852" i="1"/>
  <c r="U1852" i="1"/>
  <c r="P1852" i="1"/>
  <c r="B1852" i="1" s="1"/>
  <c r="L1852" i="1"/>
  <c r="R1852" i="1" l="1"/>
  <c r="S1852" i="1"/>
  <c r="N1852" i="1"/>
  <c r="V1852" i="1"/>
  <c r="L5279" i="1"/>
  <c r="X5281" i="1"/>
  <c r="W5281" i="1"/>
  <c r="V5281" i="1"/>
  <c r="U5281" i="1"/>
  <c r="M5281" i="1"/>
  <c r="I5281" i="1"/>
  <c r="H5281" i="1"/>
  <c r="X5280" i="1"/>
  <c r="W5280" i="1"/>
  <c r="V5280" i="1"/>
  <c r="U5280" i="1"/>
  <c r="N5280" i="1"/>
  <c r="X5279" i="1"/>
  <c r="W5279" i="1"/>
  <c r="U5279" i="1"/>
  <c r="P5279" i="1"/>
  <c r="B5279" i="1" s="1"/>
  <c r="X5278" i="1"/>
  <c r="W5278" i="1"/>
  <c r="V5278" i="1"/>
  <c r="U5278" i="1"/>
  <c r="N5278" i="1"/>
  <c r="X5277" i="1"/>
  <c r="W5277" i="1"/>
  <c r="V5277" i="1"/>
  <c r="U5277" i="1"/>
  <c r="N5277" i="1"/>
  <c r="R5279" i="1" l="1"/>
  <c r="S5279" i="1"/>
  <c r="V5279" i="1"/>
  <c r="K5281" i="1"/>
  <c r="N5279" i="1"/>
  <c r="N5281" i="1" s="1"/>
  <c r="L5281" i="1"/>
  <c r="X662" i="1" l="1"/>
  <c r="W662" i="1"/>
  <c r="U662" i="1"/>
  <c r="P662" i="1"/>
  <c r="B662" i="1" s="1"/>
  <c r="L662" i="1"/>
  <c r="X663" i="1"/>
  <c r="W663" i="1"/>
  <c r="U663" i="1"/>
  <c r="P663" i="1"/>
  <c r="B663" i="1" s="1"/>
  <c r="L663" i="1"/>
  <c r="X4418" i="1"/>
  <c r="W4418" i="1"/>
  <c r="U4418" i="1"/>
  <c r="P4418" i="1"/>
  <c r="B4418" i="1" s="1"/>
  <c r="L4418" i="1"/>
  <c r="X4657" i="1"/>
  <c r="W4657" i="1"/>
  <c r="U4657" i="1"/>
  <c r="P4657" i="1"/>
  <c r="B4657" i="1" s="1"/>
  <c r="L4657" i="1"/>
  <c r="X5493" i="1"/>
  <c r="W5493" i="1"/>
  <c r="V5493" i="1"/>
  <c r="U5493" i="1"/>
  <c r="M5493" i="1"/>
  <c r="K5493" i="1"/>
  <c r="I5493" i="1"/>
  <c r="H5493" i="1"/>
  <c r="X5492" i="1"/>
  <c r="W5492" i="1"/>
  <c r="V5492" i="1"/>
  <c r="U5492" i="1"/>
  <c r="N5492" i="1"/>
  <c r="X5491" i="1"/>
  <c r="W5491" i="1"/>
  <c r="U5491" i="1"/>
  <c r="P5491" i="1"/>
  <c r="B5491" i="1" s="1"/>
  <c r="L5491" i="1"/>
  <c r="X5490" i="1"/>
  <c r="W5490" i="1"/>
  <c r="V5490" i="1"/>
  <c r="U5490" i="1"/>
  <c r="N5490" i="1"/>
  <c r="X5489" i="1"/>
  <c r="W5489" i="1"/>
  <c r="V5489" i="1"/>
  <c r="U5489" i="1"/>
  <c r="N5489" i="1"/>
  <c r="X3931" i="1"/>
  <c r="W3931" i="1"/>
  <c r="U3931" i="1"/>
  <c r="P3931" i="1"/>
  <c r="B3931" i="1" s="1"/>
  <c r="L3931" i="1"/>
  <c r="X5394" i="1"/>
  <c r="W5394" i="1"/>
  <c r="V5394" i="1"/>
  <c r="U5394" i="1"/>
  <c r="M5394" i="1"/>
  <c r="K5394" i="1"/>
  <c r="I5394" i="1"/>
  <c r="H5394" i="1"/>
  <c r="X5393" i="1"/>
  <c r="W5393" i="1"/>
  <c r="V5393" i="1"/>
  <c r="U5393" i="1"/>
  <c r="N5393" i="1"/>
  <c r="X5392" i="1"/>
  <c r="W5392" i="1"/>
  <c r="U5392" i="1"/>
  <c r="P5392" i="1"/>
  <c r="B5392" i="1" s="1"/>
  <c r="L5392" i="1"/>
  <c r="X5391" i="1"/>
  <c r="W5391" i="1"/>
  <c r="V5391" i="1"/>
  <c r="U5391" i="1"/>
  <c r="N5391" i="1"/>
  <c r="X5390" i="1"/>
  <c r="W5390" i="1"/>
  <c r="V5390" i="1"/>
  <c r="U5390" i="1"/>
  <c r="N5390" i="1"/>
  <c r="R663" i="1" l="1"/>
  <c r="S663" i="1"/>
  <c r="R4657" i="1"/>
  <c r="S4657" i="1"/>
  <c r="R3931" i="1"/>
  <c r="S3931" i="1"/>
  <c r="R662" i="1"/>
  <c r="S662" i="1"/>
  <c r="R5392" i="1"/>
  <c r="S5392" i="1"/>
  <c r="R4418" i="1"/>
  <c r="S4418" i="1"/>
  <c r="R5491" i="1"/>
  <c r="S5491" i="1"/>
  <c r="N5392" i="1"/>
  <c r="N5394" i="1" s="1"/>
  <c r="N663" i="1"/>
  <c r="V662" i="1"/>
  <c r="N662" i="1"/>
  <c r="V663" i="1"/>
  <c r="V4418" i="1"/>
  <c r="N4418" i="1"/>
  <c r="V4657" i="1"/>
  <c r="N4657" i="1"/>
  <c r="V5491" i="1"/>
  <c r="L5493" i="1"/>
  <c r="N5491" i="1"/>
  <c r="N5493" i="1" s="1"/>
  <c r="N3931" i="1"/>
  <c r="V3931" i="1"/>
  <c r="L5394" i="1"/>
  <c r="V5392" i="1"/>
  <c r="X6542" i="1"/>
  <c r="W6542" i="1"/>
  <c r="U6542" i="1"/>
  <c r="P6542" i="1"/>
  <c r="B6542" i="1" s="1"/>
  <c r="L6542" i="1"/>
  <c r="R6542" i="1" l="1"/>
  <c r="S6542" i="1"/>
  <c r="V6542" i="1"/>
  <c r="N6542" i="1"/>
  <c r="X3397" i="1"/>
  <c r="W3397" i="1"/>
  <c r="U3397" i="1"/>
  <c r="P3397" i="1"/>
  <c r="B3397" i="1" s="1"/>
  <c r="L3397" i="1"/>
  <c r="X5323" i="1"/>
  <c r="W5323" i="1"/>
  <c r="U5323" i="1"/>
  <c r="P5323" i="1"/>
  <c r="B5323" i="1" s="1"/>
  <c r="L5323" i="1"/>
  <c r="X5622" i="1"/>
  <c r="W5622" i="1"/>
  <c r="U5622" i="1"/>
  <c r="P5622" i="1"/>
  <c r="B5622" i="1" s="1"/>
  <c r="L5622" i="1"/>
  <c r="X5113" i="1"/>
  <c r="W5113" i="1"/>
  <c r="U5113" i="1"/>
  <c r="P5113" i="1"/>
  <c r="B5113" i="1" s="1"/>
  <c r="L5113" i="1"/>
  <c r="L5013" i="1"/>
  <c r="X5013" i="1"/>
  <c r="W5013" i="1"/>
  <c r="U5013" i="1"/>
  <c r="P5013" i="1"/>
  <c r="B5013" i="1" s="1"/>
  <c r="R5622" i="1" l="1"/>
  <c r="S5622" i="1"/>
  <c r="R5323" i="1"/>
  <c r="S5323" i="1"/>
  <c r="R5113" i="1"/>
  <c r="S5113" i="1"/>
  <c r="R3397" i="1"/>
  <c r="S3397" i="1"/>
  <c r="R5013" i="1"/>
  <c r="S5013" i="1"/>
  <c r="N5113" i="1"/>
  <c r="V3397" i="1"/>
  <c r="N3397" i="1"/>
  <c r="V5622" i="1"/>
  <c r="N5323" i="1"/>
  <c r="V5323" i="1"/>
  <c r="N5622" i="1"/>
  <c r="V5113" i="1"/>
  <c r="N5013" i="1"/>
  <c r="V5013" i="1"/>
  <c r="X5369" i="1"/>
  <c r="W5369" i="1"/>
  <c r="V5369" i="1"/>
  <c r="U5369" i="1"/>
  <c r="M5369" i="1"/>
  <c r="K5369" i="1"/>
  <c r="I5369" i="1"/>
  <c r="H5369" i="1"/>
  <c r="X5368" i="1"/>
  <c r="W5368" i="1"/>
  <c r="V5368" i="1"/>
  <c r="U5368" i="1"/>
  <c r="N5368" i="1"/>
  <c r="X5366" i="1"/>
  <c r="W5366" i="1"/>
  <c r="U5366" i="1"/>
  <c r="P5366" i="1"/>
  <c r="B5366" i="1" s="1"/>
  <c r="L5366" i="1"/>
  <c r="X5365" i="1"/>
  <c r="W5365" i="1"/>
  <c r="V5365" i="1"/>
  <c r="U5365" i="1"/>
  <c r="N5365" i="1"/>
  <c r="X5364" i="1"/>
  <c r="W5364" i="1"/>
  <c r="V5364" i="1"/>
  <c r="U5364" i="1"/>
  <c r="N5364" i="1"/>
  <c r="R5366" i="1" l="1"/>
  <c r="S5366" i="1"/>
  <c r="N5366" i="1"/>
  <c r="N5369" i="1" s="1"/>
  <c r="L5369" i="1"/>
  <c r="V5366" i="1"/>
  <c r="X5570" i="1"/>
  <c r="W5570" i="1"/>
  <c r="U5570" i="1"/>
  <c r="P5570" i="1"/>
  <c r="B5570" i="1" s="1"/>
  <c r="L5570" i="1"/>
  <c r="R5570" i="1" l="1"/>
  <c r="S5570" i="1"/>
  <c r="V5570" i="1"/>
  <c r="N5570" i="1"/>
  <c r="X3974" i="1"/>
  <c r="W3974" i="1"/>
  <c r="U3974" i="1"/>
  <c r="P3974" i="1"/>
  <c r="B3974" i="1" s="1"/>
  <c r="L3974" i="1"/>
  <c r="X4223" i="1"/>
  <c r="W4223" i="1"/>
  <c r="U4223" i="1"/>
  <c r="P4223" i="1"/>
  <c r="B4223" i="1" s="1"/>
  <c r="L4223" i="1"/>
  <c r="X1554" i="1"/>
  <c r="W1554" i="1"/>
  <c r="U1554" i="1"/>
  <c r="P1554" i="1"/>
  <c r="B1554" i="1" s="1"/>
  <c r="L1554" i="1"/>
  <c r="X44" i="1"/>
  <c r="W44" i="1"/>
  <c r="U44" i="1"/>
  <c r="P44" i="1"/>
  <c r="B44" i="1" s="1"/>
  <c r="L44" i="1"/>
  <c r="H3800" i="1"/>
  <c r="X3800" i="1"/>
  <c r="W3800" i="1"/>
  <c r="U3800" i="1"/>
  <c r="P3800" i="1"/>
  <c r="B3800" i="1" s="1"/>
  <c r="X6849" i="1"/>
  <c r="W6849" i="1"/>
  <c r="V6849" i="1"/>
  <c r="U6849" i="1"/>
  <c r="P6849" i="1"/>
  <c r="B6849" i="1" s="1"/>
  <c r="N6849" i="1"/>
  <c r="R44" i="1" l="1"/>
  <c r="S44" i="1"/>
  <c r="R3974" i="1"/>
  <c r="S3974" i="1"/>
  <c r="R1554" i="1"/>
  <c r="S1554" i="1"/>
  <c r="R4223" i="1"/>
  <c r="S4223" i="1"/>
  <c r="V44" i="1"/>
  <c r="V3974" i="1"/>
  <c r="V1554" i="1"/>
  <c r="V4223" i="1"/>
  <c r="N3974" i="1"/>
  <c r="N4223" i="1"/>
  <c r="N1554" i="1"/>
  <c r="L3800" i="1"/>
  <c r="N44" i="1"/>
  <c r="X493" i="1"/>
  <c r="W493" i="1"/>
  <c r="U493" i="1"/>
  <c r="P493" i="1"/>
  <c r="B493" i="1" s="1"/>
  <c r="L493" i="1"/>
  <c r="R493" i="1" l="1"/>
  <c r="S493" i="1"/>
  <c r="R3800" i="1"/>
  <c r="S3800" i="1"/>
  <c r="V3800" i="1"/>
  <c r="N3800" i="1"/>
  <c r="V493" i="1"/>
  <c r="N493" i="1"/>
  <c r="X6613" i="1"/>
  <c r="W6613" i="1"/>
  <c r="U6613" i="1"/>
  <c r="P6613" i="1"/>
  <c r="B6613" i="1" s="1"/>
  <c r="L6613" i="1"/>
  <c r="R6613" i="1" l="1"/>
  <c r="S6613" i="1"/>
  <c r="V6613" i="1"/>
  <c r="N6613" i="1"/>
  <c r="X2686" i="1"/>
  <c r="W2686" i="1"/>
  <c r="U2686" i="1"/>
  <c r="P2686" i="1"/>
  <c r="B2686" i="1" s="1"/>
  <c r="L2686" i="1"/>
  <c r="R2686" i="1" l="1"/>
  <c r="S2686" i="1"/>
  <c r="N2686" i="1"/>
  <c r="V2686" i="1"/>
  <c r="X3854" i="1"/>
  <c r="W3854" i="1"/>
  <c r="U3854" i="1"/>
  <c r="P3854" i="1"/>
  <c r="B3854" i="1" s="1"/>
  <c r="L3854" i="1"/>
  <c r="R3854" i="1" l="1"/>
  <c r="S3854" i="1"/>
  <c r="V3854" i="1"/>
  <c r="N3854" i="1"/>
  <c r="X964" i="1"/>
  <c r="W964" i="1"/>
  <c r="U964" i="1"/>
  <c r="P964" i="1"/>
  <c r="B964" i="1" s="1"/>
  <c r="L964" i="1"/>
  <c r="X2093" i="1"/>
  <c r="W2093" i="1"/>
  <c r="U2093" i="1"/>
  <c r="P2093" i="1"/>
  <c r="B2093" i="1" s="1"/>
  <c r="L2093" i="1"/>
  <c r="R964" i="1" l="1"/>
  <c r="S964" i="1"/>
  <c r="R2093" i="1"/>
  <c r="S2093" i="1"/>
  <c r="N964" i="1"/>
  <c r="V964" i="1"/>
  <c r="N2093" i="1"/>
  <c r="V2093" i="1"/>
  <c r="X2313" i="1" l="1"/>
  <c r="W2313" i="1"/>
  <c r="U2313" i="1"/>
  <c r="P2313" i="1"/>
  <c r="B2313" i="1" s="1"/>
  <c r="L2313" i="1"/>
  <c r="X5053" i="1"/>
  <c r="W5053" i="1"/>
  <c r="U5053" i="1"/>
  <c r="P5053" i="1"/>
  <c r="B5053" i="1" s="1"/>
  <c r="L5053" i="1"/>
  <c r="X5196" i="1"/>
  <c r="W5196" i="1"/>
  <c r="U5196" i="1"/>
  <c r="P5196" i="1"/>
  <c r="B5196" i="1" s="1"/>
  <c r="L5196" i="1"/>
  <c r="X3972" i="1"/>
  <c r="W3972" i="1"/>
  <c r="U3972" i="1"/>
  <c r="P3972" i="1"/>
  <c r="B3972" i="1" s="1"/>
  <c r="L3972" i="1"/>
  <c r="X4328" i="1"/>
  <c r="W4328" i="1"/>
  <c r="V4328" i="1"/>
  <c r="U4328" i="1"/>
  <c r="M4328" i="1"/>
  <c r="I4328" i="1"/>
  <c r="H4328" i="1"/>
  <c r="X4327" i="1"/>
  <c r="W4327" i="1"/>
  <c r="V4327" i="1"/>
  <c r="U4327" i="1"/>
  <c r="N4327" i="1"/>
  <c r="X4326" i="1"/>
  <c r="W4326" i="1"/>
  <c r="U4326" i="1"/>
  <c r="P4326" i="1"/>
  <c r="B4326" i="1" s="1"/>
  <c r="L4326" i="1"/>
  <c r="X4325" i="1"/>
  <c r="W4325" i="1"/>
  <c r="U4325" i="1"/>
  <c r="P4325" i="1"/>
  <c r="B4325" i="1" s="1"/>
  <c r="L4325" i="1"/>
  <c r="X4323" i="1"/>
  <c r="W4323" i="1"/>
  <c r="U4323" i="1"/>
  <c r="P4323" i="1"/>
  <c r="B4323" i="1" s="1"/>
  <c r="K4328" i="1"/>
  <c r="X4322" i="1"/>
  <c r="W4322" i="1"/>
  <c r="V4322" i="1"/>
  <c r="U4322" i="1"/>
  <c r="N4322" i="1"/>
  <c r="X4321" i="1"/>
  <c r="W4321" i="1"/>
  <c r="V4321" i="1"/>
  <c r="U4321" i="1"/>
  <c r="N4321" i="1"/>
  <c r="X6645" i="1"/>
  <c r="W6645" i="1"/>
  <c r="V6645" i="1"/>
  <c r="U6645" i="1"/>
  <c r="M6645" i="1"/>
  <c r="K6645" i="1"/>
  <c r="I6645" i="1"/>
  <c r="H6645" i="1"/>
  <c r="X6644" i="1"/>
  <c r="W6644" i="1"/>
  <c r="V6644" i="1"/>
  <c r="U6644" i="1"/>
  <c r="N6644" i="1"/>
  <c r="X6643" i="1"/>
  <c r="W6643" i="1"/>
  <c r="U6643" i="1"/>
  <c r="P6643" i="1"/>
  <c r="B6643" i="1" s="1"/>
  <c r="L6643" i="1"/>
  <c r="X6640" i="1"/>
  <c r="W6640" i="1"/>
  <c r="U6640" i="1"/>
  <c r="P6640" i="1"/>
  <c r="B6640" i="1" s="1"/>
  <c r="L6640" i="1"/>
  <c r="X6639" i="1"/>
  <c r="W6639" i="1"/>
  <c r="V6639" i="1"/>
  <c r="U6639" i="1"/>
  <c r="N6639" i="1"/>
  <c r="X6638" i="1"/>
  <c r="W6638" i="1"/>
  <c r="V6638" i="1"/>
  <c r="U6638" i="1"/>
  <c r="N6638" i="1"/>
  <c r="X6595" i="1"/>
  <c r="W6595" i="1"/>
  <c r="U6595" i="1"/>
  <c r="P6595" i="1"/>
  <c r="B6595" i="1" s="1"/>
  <c r="L6595" i="1"/>
  <c r="R5053" i="1" l="1"/>
  <c r="S5053" i="1"/>
  <c r="R6595" i="1"/>
  <c r="S6595" i="1"/>
  <c r="R6640" i="1"/>
  <c r="S6640" i="1"/>
  <c r="R3972" i="1"/>
  <c r="S3972" i="1"/>
  <c r="R4325" i="1"/>
  <c r="R2313" i="1"/>
  <c r="S2313" i="1"/>
  <c r="R6643" i="1"/>
  <c r="S6643" i="1"/>
  <c r="S5196" i="1"/>
  <c r="R5196" i="1"/>
  <c r="R4326" i="1"/>
  <c r="S4326" i="1"/>
  <c r="V4325" i="1"/>
  <c r="V4326" i="1"/>
  <c r="N6643" i="1"/>
  <c r="V6595" i="1"/>
  <c r="V2313" i="1"/>
  <c r="V5196" i="1"/>
  <c r="N2313" i="1"/>
  <c r="V5053" i="1"/>
  <c r="N5053" i="1"/>
  <c r="N5196" i="1"/>
  <c r="V3972" i="1"/>
  <c r="N3972" i="1"/>
  <c r="L4323" i="1"/>
  <c r="N4326" i="1"/>
  <c r="N4325" i="1"/>
  <c r="L6645" i="1"/>
  <c r="V6643" i="1"/>
  <c r="N6640" i="1"/>
  <c r="V6640" i="1"/>
  <c r="N6595" i="1"/>
  <c r="N6645" i="1" l="1"/>
  <c r="R4323" i="1"/>
  <c r="S4323" i="1"/>
  <c r="L4328" i="1"/>
  <c r="V4323" i="1"/>
  <c r="N4323" i="1"/>
  <c r="N4328" i="1" s="1"/>
  <c r="X3738" i="1"/>
  <c r="W3738" i="1"/>
  <c r="U3738" i="1"/>
  <c r="P3738" i="1"/>
  <c r="B3738" i="1" s="1"/>
  <c r="L3738" i="1"/>
  <c r="H4897" i="1"/>
  <c r="L4897" i="1" s="1"/>
  <c r="X4897" i="1"/>
  <c r="W4897" i="1"/>
  <c r="U4897" i="1"/>
  <c r="P4897" i="1"/>
  <c r="B4897" i="1" s="1"/>
  <c r="X6575" i="1"/>
  <c r="W6575" i="1"/>
  <c r="U6575" i="1"/>
  <c r="P6575" i="1"/>
  <c r="B6575" i="1" s="1"/>
  <c r="L6575" i="1"/>
  <c r="X3698" i="1"/>
  <c r="W3698" i="1"/>
  <c r="U3698" i="1"/>
  <c r="P3698" i="1"/>
  <c r="B3698" i="1" s="1"/>
  <c r="L3698" i="1"/>
  <c r="R3738" i="1" l="1"/>
  <c r="S3738" i="1"/>
  <c r="R6575" i="1"/>
  <c r="S6575" i="1"/>
  <c r="R4897" i="1"/>
  <c r="S4897" i="1"/>
  <c r="R3698" i="1"/>
  <c r="S3698" i="1"/>
  <c r="N6575" i="1"/>
  <c r="V4897" i="1"/>
  <c r="V3738" i="1"/>
  <c r="N3738" i="1"/>
  <c r="V3698" i="1"/>
  <c r="V6575" i="1"/>
  <c r="N4897" i="1"/>
  <c r="N3698" i="1"/>
  <c r="X4180" i="1" l="1"/>
  <c r="W4180" i="1"/>
  <c r="U4180" i="1"/>
  <c r="P4180" i="1"/>
  <c r="B4180" i="1" s="1"/>
  <c r="L4180" i="1"/>
  <c r="X6830" i="1"/>
  <c r="W6830" i="1"/>
  <c r="V6830" i="1"/>
  <c r="U6830" i="1"/>
  <c r="P6830" i="1"/>
  <c r="B6830" i="1" s="1"/>
  <c r="N6830" i="1"/>
  <c r="X5733" i="1"/>
  <c r="W5733" i="1"/>
  <c r="U5733" i="1"/>
  <c r="P5733" i="1"/>
  <c r="B5733" i="1" s="1"/>
  <c r="L5733" i="1"/>
  <c r="X3897" i="1"/>
  <c r="W3897" i="1"/>
  <c r="U3897" i="1"/>
  <c r="P3897" i="1"/>
  <c r="B3897" i="1" s="1"/>
  <c r="L3897" i="1"/>
  <c r="R5733" i="1" l="1"/>
  <c r="S5733" i="1"/>
  <c r="R3897" i="1"/>
  <c r="S3897" i="1"/>
  <c r="R4180" i="1"/>
  <c r="S4180" i="1"/>
  <c r="V4180" i="1"/>
  <c r="V5733" i="1"/>
  <c r="N4180" i="1"/>
  <c r="N5733" i="1"/>
  <c r="V3897" i="1"/>
  <c r="N3897" i="1"/>
  <c r="X6862" i="1"/>
  <c r="W6862" i="1"/>
  <c r="V6862" i="1"/>
  <c r="U6862" i="1"/>
  <c r="P6862" i="1"/>
  <c r="B6862" i="1" s="1"/>
  <c r="N6862" i="1"/>
  <c r="X6847" i="1" l="1"/>
  <c r="W6847" i="1"/>
  <c r="V6847" i="1"/>
  <c r="U6847" i="1"/>
  <c r="P6847" i="1"/>
  <c r="B6847" i="1" s="1"/>
  <c r="N6847" i="1"/>
  <c r="X4192" i="1" l="1"/>
  <c r="W4192" i="1"/>
  <c r="U4192" i="1"/>
  <c r="P4192" i="1"/>
  <c r="B4192" i="1" s="1"/>
  <c r="L4192" i="1"/>
  <c r="X6828" i="1"/>
  <c r="W6828" i="1"/>
  <c r="V6828" i="1"/>
  <c r="U6828" i="1"/>
  <c r="P6828" i="1"/>
  <c r="B6828" i="1" s="1"/>
  <c r="N6828" i="1"/>
  <c r="X4381" i="1"/>
  <c r="W4381" i="1"/>
  <c r="U4381" i="1"/>
  <c r="P4381" i="1"/>
  <c r="B4381" i="1" s="1"/>
  <c r="L4381" i="1"/>
  <c r="X399" i="1"/>
  <c r="W399" i="1"/>
  <c r="U399" i="1"/>
  <c r="P399" i="1"/>
  <c r="B399" i="1" s="1"/>
  <c r="L399" i="1"/>
  <c r="S399" i="1" l="1"/>
  <c r="R399" i="1"/>
  <c r="R4192" i="1"/>
  <c r="S4192" i="1"/>
  <c r="S4381" i="1"/>
  <c r="R4381" i="1"/>
  <c r="V4192" i="1"/>
  <c r="N399" i="1"/>
  <c r="N4192" i="1"/>
  <c r="V4381" i="1"/>
  <c r="N4381" i="1"/>
  <c r="V399" i="1"/>
  <c r="X3392" i="1"/>
  <c r="W3392" i="1"/>
  <c r="U3392" i="1"/>
  <c r="P3392" i="1"/>
  <c r="B3392" i="1" s="1"/>
  <c r="L3392" i="1"/>
  <c r="X1638" i="1"/>
  <c r="W1638" i="1"/>
  <c r="U1638" i="1"/>
  <c r="P1638" i="1"/>
  <c r="B1638" i="1" s="1"/>
  <c r="L1638" i="1"/>
  <c r="M6598" i="1"/>
  <c r="H6598" i="1"/>
  <c r="X6596" i="1"/>
  <c r="W6596" i="1"/>
  <c r="U6596" i="1"/>
  <c r="P6596" i="1"/>
  <c r="B6596" i="1" s="1"/>
  <c r="L6596" i="1"/>
  <c r="R3392" i="1" l="1"/>
  <c r="S3392" i="1"/>
  <c r="R1638" i="1"/>
  <c r="S1638" i="1"/>
  <c r="R6596" i="1"/>
  <c r="S6596" i="1"/>
  <c r="N6596" i="1"/>
  <c r="V3392" i="1"/>
  <c r="N3392" i="1"/>
  <c r="V1638" i="1"/>
  <c r="N1638" i="1"/>
  <c r="V6596" i="1"/>
  <c r="X3697" i="1" l="1"/>
  <c r="W3697" i="1"/>
  <c r="U3697" i="1"/>
  <c r="P3697" i="1"/>
  <c r="B3697" i="1" s="1"/>
  <c r="L3697" i="1"/>
  <c r="R3697" i="1" l="1"/>
  <c r="S3697" i="1"/>
  <c r="V3697" i="1"/>
  <c r="N3697" i="1"/>
  <c r="X6836" i="1" l="1"/>
  <c r="W6836" i="1"/>
  <c r="V6836" i="1"/>
  <c r="U6836" i="1"/>
  <c r="P6836" i="1"/>
  <c r="B6836" i="1" s="1"/>
  <c r="N6836" i="1"/>
  <c r="X6355" i="1" l="1"/>
  <c r="W6355" i="1"/>
  <c r="U6355" i="1"/>
  <c r="P6355" i="1"/>
  <c r="B6355" i="1" s="1"/>
  <c r="L6355" i="1"/>
  <c r="X6497" i="1"/>
  <c r="W6497" i="1"/>
  <c r="U6497" i="1"/>
  <c r="P6497" i="1"/>
  <c r="B6497" i="1" s="1"/>
  <c r="L6497" i="1"/>
  <c r="X3953" i="1"/>
  <c r="W3953" i="1"/>
  <c r="U3953" i="1"/>
  <c r="P3953" i="1"/>
  <c r="B3953" i="1" s="1"/>
  <c r="L3953" i="1"/>
  <c r="R6497" i="1" l="1"/>
  <c r="S6497" i="1"/>
  <c r="R6355" i="1"/>
  <c r="S6355" i="1"/>
  <c r="R3953" i="1"/>
  <c r="S3953" i="1"/>
  <c r="V3953" i="1"/>
  <c r="N6355" i="1"/>
  <c r="V6355" i="1"/>
  <c r="V6497" i="1"/>
  <c r="N6497" i="1"/>
  <c r="N3953" i="1"/>
  <c r="X5160" i="1" l="1"/>
  <c r="W5160" i="1"/>
  <c r="U5160" i="1"/>
  <c r="P5160" i="1"/>
  <c r="B5160" i="1" s="1"/>
  <c r="L5160" i="1"/>
  <c r="R5160" i="1" l="1"/>
  <c r="S5160" i="1"/>
  <c r="V5160" i="1"/>
  <c r="N5160" i="1"/>
  <c r="X4656" i="1"/>
  <c r="W4656" i="1"/>
  <c r="U4656" i="1"/>
  <c r="P4656" i="1"/>
  <c r="B4656" i="1" s="1"/>
  <c r="L4656" i="1"/>
  <c r="R4656" i="1" l="1"/>
  <c r="S4656" i="1"/>
  <c r="V4656" i="1"/>
  <c r="N4656" i="1"/>
  <c r="X4682" i="1" l="1"/>
  <c r="W4682" i="1"/>
  <c r="U4682" i="1"/>
  <c r="P4682" i="1"/>
  <c r="B4682" i="1" s="1"/>
  <c r="L4682" i="1"/>
  <c r="R4682" i="1" l="1"/>
  <c r="S4682" i="1"/>
  <c r="V4682" i="1"/>
  <c r="N4682" i="1"/>
  <c r="X525" i="1" l="1"/>
  <c r="W525" i="1"/>
  <c r="U525" i="1"/>
  <c r="P525" i="1"/>
  <c r="B525" i="1" s="1"/>
  <c r="L525" i="1"/>
  <c r="X1444" i="1"/>
  <c r="W1444" i="1"/>
  <c r="U1444" i="1"/>
  <c r="P1444" i="1"/>
  <c r="B1444" i="1" s="1"/>
  <c r="L1444" i="1"/>
  <c r="X6593" i="1"/>
  <c r="W6593" i="1"/>
  <c r="U6593" i="1"/>
  <c r="P6593" i="1"/>
  <c r="B6593" i="1" s="1"/>
  <c r="L6593" i="1"/>
  <c r="X6594" i="1"/>
  <c r="W6594" i="1"/>
  <c r="U6594" i="1"/>
  <c r="P6594" i="1"/>
  <c r="B6594" i="1" s="1"/>
  <c r="L6594" i="1"/>
  <c r="H1652" i="1"/>
  <c r="L1652" i="1" s="1"/>
  <c r="X1652" i="1"/>
  <c r="W1652" i="1"/>
  <c r="U1652" i="1"/>
  <c r="P1652" i="1"/>
  <c r="B1652" i="1" s="1"/>
  <c r="S6594" i="1" l="1"/>
  <c r="R6594" i="1"/>
  <c r="R1652" i="1"/>
  <c r="S1652" i="1"/>
  <c r="R525" i="1"/>
  <c r="S525" i="1"/>
  <c r="R1444" i="1"/>
  <c r="S1444" i="1"/>
  <c r="R6593" i="1"/>
  <c r="S6593" i="1"/>
  <c r="V1444" i="1"/>
  <c r="V1652" i="1"/>
  <c r="V6594" i="1"/>
  <c r="V6593" i="1"/>
  <c r="V525" i="1"/>
  <c r="N525" i="1"/>
  <c r="N1444" i="1"/>
  <c r="N6593" i="1"/>
  <c r="N6594" i="1"/>
  <c r="N1652" i="1"/>
  <c r="X6336" i="1" l="1"/>
  <c r="W6336" i="1"/>
  <c r="U6336" i="1"/>
  <c r="P6336" i="1"/>
  <c r="B6336" i="1" s="1"/>
  <c r="L6336" i="1"/>
  <c r="X2708" i="1"/>
  <c r="W2708" i="1"/>
  <c r="U2708" i="1"/>
  <c r="P2708" i="1"/>
  <c r="B2708" i="1" s="1"/>
  <c r="L2708" i="1"/>
  <c r="X2399" i="1"/>
  <c r="W2399" i="1"/>
  <c r="U2399" i="1"/>
  <c r="P2399" i="1"/>
  <c r="B2399" i="1" s="1"/>
  <c r="L2399" i="1"/>
  <c r="X5404" i="1"/>
  <c r="W5404" i="1"/>
  <c r="U5404" i="1"/>
  <c r="P5404" i="1"/>
  <c r="B5404" i="1" s="1"/>
  <c r="L5404" i="1"/>
  <c r="R5404" i="1" l="1"/>
  <c r="S5404" i="1"/>
  <c r="R2708" i="1"/>
  <c r="S2708" i="1"/>
  <c r="S6336" i="1"/>
  <c r="R6336" i="1"/>
  <c r="R2399" i="1"/>
  <c r="S2399" i="1"/>
  <c r="V5404" i="1"/>
  <c r="V6336" i="1"/>
  <c r="V2399" i="1"/>
  <c r="N6336" i="1"/>
  <c r="V2708" i="1"/>
  <c r="N2708" i="1"/>
  <c r="N2399" i="1"/>
  <c r="N5404" i="1"/>
  <c r="X5893" i="1"/>
  <c r="W5893" i="1"/>
  <c r="U5893" i="1"/>
  <c r="P5893" i="1"/>
  <c r="B5893" i="1" s="1"/>
  <c r="L5893" i="1"/>
  <c r="X3500" i="1"/>
  <c r="W3500" i="1"/>
  <c r="U3500" i="1"/>
  <c r="P3500" i="1"/>
  <c r="B3500" i="1" s="1"/>
  <c r="L3500" i="1"/>
  <c r="I664" i="1"/>
  <c r="R5893" i="1" l="1"/>
  <c r="S5893" i="1"/>
  <c r="R3500" i="1"/>
  <c r="S3500" i="1"/>
  <c r="V5893" i="1"/>
  <c r="N5893" i="1"/>
  <c r="V3500" i="1"/>
  <c r="N3500" i="1"/>
  <c r="X6853" i="1"/>
  <c r="W6853" i="1"/>
  <c r="V6853" i="1"/>
  <c r="U6853" i="1"/>
  <c r="P6853" i="1"/>
  <c r="B6853" i="1" s="1"/>
  <c r="N6853" i="1"/>
  <c r="X6844" i="1"/>
  <c r="W6844" i="1"/>
  <c r="V6844" i="1"/>
  <c r="U6844" i="1"/>
  <c r="P6844" i="1"/>
  <c r="B6844" i="1" s="1"/>
  <c r="N6844" i="1"/>
  <c r="X5430" i="1"/>
  <c r="W5430" i="1"/>
  <c r="U5430" i="1"/>
  <c r="P5430" i="1"/>
  <c r="B5430" i="1" s="1"/>
  <c r="L5430" i="1"/>
  <c r="X5431" i="1"/>
  <c r="W5431" i="1"/>
  <c r="U5431" i="1"/>
  <c r="P5431" i="1"/>
  <c r="B5431" i="1" s="1"/>
  <c r="L5431" i="1"/>
  <c r="R5431" i="1" l="1"/>
  <c r="S5431" i="1"/>
  <c r="R5430" i="1"/>
  <c r="S5430" i="1"/>
  <c r="V5430" i="1"/>
  <c r="V5431" i="1"/>
  <c r="N5430" i="1"/>
  <c r="N5431" i="1"/>
  <c r="X5199" i="1"/>
  <c r="W5199" i="1"/>
  <c r="U5199" i="1"/>
  <c r="P5199" i="1"/>
  <c r="B5199" i="1" s="1"/>
  <c r="L5199" i="1"/>
  <c r="X2150" i="1"/>
  <c r="W2150" i="1"/>
  <c r="U2150" i="1"/>
  <c r="P2150" i="1"/>
  <c r="B2150" i="1" s="1"/>
  <c r="L2150" i="1"/>
  <c r="R2150" i="1" l="1"/>
  <c r="S2150" i="1"/>
  <c r="R5199" i="1"/>
  <c r="S5199" i="1"/>
  <c r="V5199" i="1"/>
  <c r="V2150" i="1"/>
  <c r="N5199" i="1"/>
  <c r="N2150" i="1"/>
  <c r="X1613" i="1"/>
  <c r="W1613" i="1"/>
  <c r="U1613" i="1"/>
  <c r="P1613" i="1"/>
  <c r="B1613" i="1" s="1"/>
  <c r="L1613" i="1"/>
  <c r="L3995" i="1"/>
  <c r="X3995" i="1"/>
  <c r="W3995" i="1"/>
  <c r="U3995" i="1"/>
  <c r="P3995" i="1"/>
  <c r="B3995" i="1" s="1"/>
  <c r="R3995" i="1" l="1"/>
  <c r="S3995" i="1"/>
  <c r="R1613" i="1"/>
  <c r="S1613" i="1"/>
  <c r="V1613" i="1"/>
  <c r="N1613" i="1"/>
  <c r="N3995" i="1"/>
  <c r="V3995" i="1"/>
  <c r="X6289" i="1"/>
  <c r="W6289" i="1"/>
  <c r="U6289" i="1"/>
  <c r="P6289" i="1"/>
  <c r="B6289" i="1" s="1"/>
  <c r="L6289" i="1"/>
  <c r="R6289" i="1" l="1"/>
  <c r="S6289" i="1"/>
  <c r="V6289" i="1"/>
  <c r="N6289" i="1"/>
  <c r="X6077" i="1"/>
  <c r="W6077" i="1"/>
  <c r="U6077" i="1"/>
  <c r="P6077" i="1"/>
  <c r="B6077" i="1" s="1"/>
  <c r="L6077" i="1"/>
  <c r="X6078" i="1"/>
  <c r="W6078" i="1"/>
  <c r="U6078" i="1"/>
  <c r="P6078" i="1"/>
  <c r="B6078" i="1" s="1"/>
  <c r="L6078" i="1"/>
  <c r="R6077" i="1" l="1"/>
  <c r="S6077" i="1"/>
  <c r="R6078" i="1"/>
  <c r="S6078" i="1"/>
  <c r="N6077" i="1"/>
  <c r="V6077" i="1"/>
  <c r="N6078" i="1"/>
  <c r="V6078" i="1"/>
  <c r="L3996" i="1"/>
  <c r="X3996" i="1"/>
  <c r="W3996" i="1"/>
  <c r="U3996" i="1"/>
  <c r="P3996" i="1"/>
  <c r="B3996" i="1" s="1"/>
  <c r="I5895" i="1"/>
  <c r="L5895" i="1" s="1"/>
  <c r="X5895" i="1"/>
  <c r="W5895" i="1"/>
  <c r="U5895" i="1"/>
  <c r="P5895" i="1"/>
  <c r="B5895" i="1" s="1"/>
  <c r="X1927" i="1"/>
  <c r="W1927" i="1"/>
  <c r="U1927" i="1"/>
  <c r="P1927" i="1"/>
  <c r="B1927" i="1" s="1"/>
  <c r="L1927" i="1"/>
  <c r="R1927" i="1" l="1"/>
  <c r="S1927" i="1"/>
  <c r="R3996" i="1"/>
  <c r="S3996" i="1"/>
  <c r="R5895" i="1"/>
  <c r="S5895" i="1"/>
  <c r="V3996" i="1"/>
  <c r="V5895" i="1"/>
  <c r="V1927" i="1"/>
  <c r="N3996" i="1"/>
  <c r="N5895" i="1"/>
  <c r="N1927" i="1"/>
  <c r="X2132" i="1" l="1"/>
  <c r="W2132" i="1"/>
  <c r="U2132" i="1"/>
  <c r="P2132" i="1"/>
  <c r="B2132" i="1" s="1"/>
  <c r="L2132" i="1"/>
  <c r="X5141" i="1"/>
  <c r="W5141" i="1"/>
  <c r="U5141" i="1"/>
  <c r="P5141" i="1"/>
  <c r="B5141" i="1" s="1"/>
  <c r="L5141" i="1"/>
  <c r="X5287" i="1"/>
  <c r="W5287" i="1"/>
  <c r="U5287" i="1"/>
  <c r="P5287" i="1"/>
  <c r="B5287" i="1" s="1"/>
  <c r="L5287" i="1"/>
  <c r="X5288" i="1"/>
  <c r="W5288" i="1"/>
  <c r="U5288" i="1"/>
  <c r="P5288" i="1"/>
  <c r="B5288" i="1" s="1"/>
  <c r="L5288" i="1"/>
  <c r="X6816" i="1"/>
  <c r="W6816" i="1"/>
  <c r="V6816" i="1"/>
  <c r="U6816" i="1"/>
  <c r="P6816" i="1"/>
  <c r="B6816" i="1" s="1"/>
  <c r="N6816" i="1"/>
  <c r="R5141" i="1" l="1"/>
  <c r="S5141" i="1"/>
  <c r="R5288" i="1"/>
  <c r="S5288" i="1"/>
  <c r="R2132" i="1"/>
  <c r="S2132" i="1"/>
  <c r="S5287" i="1"/>
  <c r="R5287" i="1"/>
  <c r="V5141" i="1"/>
  <c r="N2132" i="1"/>
  <c r="N5287" i="1"/>
  <c r="V2132" i="1"/>
  <c r="N5141" i="1"/>
  <c r="V5287" i="1"/>
  <c r="V5288" i="1"/>
  <c r="N5288" i="1"/>
  <c r="L3804" i="1"/>
  <c r="X3804" i="1"/>
  <c r="W3804" i="1"/>
  <c r="U3804" i="1"/>
  <c r="P3804" i="1"/>
  <c r="B3804" i="1" s="1"/>
  <c r="H3930" i="1"/>
  <c r="X3930" i="1"/>
  <c r="W3930" i="1"/>
  <c r="U3930" i="1"/>
  <c r="P3930" i="1"/>
  <c r="B3930" i="1" s="1"/>
  <c r="X1952" i="1"/>
  <c r="W1952" i="1"/>
  <c r="U1952" i="1"/>
  <c r="P1952" i="1"/>
  <c r="B1952" i="1" s="1"/>
  <c r="L1952" i="1"/>
  <c r="R3804" i="1" l="1"/>
  <c r="S3804" i="1"/>
  <c r="R1952" i="1"/>
  <c r="S1952" i="1"/>
  <c r="V1952" i="1"/>
  <c r="V3804" i="1"/>
  <c r="L3930" i="1"/>
  <c r="N3804" i="1"/>
  <c r="N1952" i="1"/>
  <c r="X655" i="1"/>
  <c r="W655" i="1"/>
  <c r="U655" i="1"/>
  <c r="P655" i="1"/>
  <c r="B655" i="1" s="1"/>
  <c r="L655" i="1"/>
  <c r="X1472" i="1"/>
  <c r="W1472" i="1"/>
  <c r="U1472" i="1"/>
  <c r="P1472" i="1"/>
  <c r="B1472" i="1" s="1"/>
  <c r="L1472" i="1"/>
  <c r="X1471" i="1"/>
  <c r="W1471" i="1"/>
  <c r="U1471" i="1"/>
  <c r="P1471" i="1"/>
  <c r="B1471" i="1" s="1"/>
  <c r="L1471" i="1"/>
  <c r="X1474" i="1"/>
  <c r="W1474" i="1"/>
  <c r="V1474" i="1"/>
  <c r="U1474" i="1"/>
  <c r="M1474" i="1"/>
  <c r="K1474" i="1"/>
  <c r="I1474" i="1"/>
  <c r="H1474" i="1"/>
  <c r="X1473" i="1"/>
  <c r="W1473" i="1"/>
  <c r="V1473" i="1"/>
  <c r="U1473" i="1"/>
  <c r="N1473" i="1"/>
  <c r="X1468" i="1"/>
  <c r="W1468" i="1"/>
  <c r="U1468" i="1"/>
  <c r="P1468" i="1"/>
  <c r="B1468" i="1" s="1"/>
  <c r="L1468" i="1"/>
  <c r="X1467" i="1"/>
  <c r="W1467" i="1"/>
  <c r="V1467" i="1"/>
  <c r="U1467" i="1"/>
  <c r="N1467" i="1"/>
  <c r="X1466" i="1"/>
  <c r="W1466" i="1"/>
  <c r="V1466" i="1"/>
  <c r="U1466" i="1"/>
  <c r="N1466" i="1"/>
  <c r="R3930" i="1" l="1"/>
  <c r="S3930" i="1"/>
  <c r="R1471" i="1"/>
  <c r="S1471" i="1"/>
  <c r="R1472" i="1"/>
  <c r="S1472" i="1"/>
  <c r="R1468" i="1"/>
  <c r="S1468" i="1"/>
  <c r="R655" i="1"/>
  <c r="S655" i="1"/>
  <c r="N1472" i="1"/>
  <c r="N1471" i="1"/>
  <c r="V1468" i="1"/>
  <c r="N3930" i="1"/>
  <c r="V3930" i="1"/>
  <c r="V655" i="1"/>
  <c r="N655" i="1"/>
  <c r="V1472" i="1"/>
  <c r="V1471" i="1"/>
  <c r="L1474" i="1"/>
  <c r="N1468" i="1"/>
  <c r="X306" i="1"/>
  <c r="W306" i="1"/>
  <c r="U306" i="1"/>
  <c r="P306" i="1"/>
  <c r="B306" i="1" s="1"/>
  <c r="L306" i="1"/>
  <c r="X6878" i="1"/>
  <c r="W6878" i="1"/>
  <c r="V6878" i="1"/>
  <c r="U6878" i="1"/>
  <c r="P6878" i="1"/>
  <c r="B6878" i="1" s="1"/>
  <c r="N6878" i="1"/>
  <c r="X6843" i="1"/>
  <c r="W6843" i="1"/>
  <c r="V6843" i="1"/>
  <c r="U6843" i="1"/>
  <c r="P6843" i="1"/>
  <c r="B6843" i="1" s="1"/>
  <c r="N6843" i="1"/>
  <c r="X4920" i="1"/>
  <c r="W4920" i="1"/>
  <c r="U4920" i="1"/>
  <c r="P4920" i="1"/>
  <c r="B4920" i="1" s="1"/>
  <c r="L4920" i="1"/>
  <c r="R4920" i="1" l="1"/>
  <c r="S4920" i="1"/>
  <c r="R306" i="1"/>
  <c r="S306" i="1"/>
  <c r="N1474" i="1"/>
  <c r="V306" i="1"/>
  <c r="N306" i="1"/>
  <c r="V4920" i="1"/>
  <c r="N4920" i="1"/>
  <c r="X4270" i="1"/>
  <c r="W4270" i="1"/>
  <c r="U4270" i="1"/>
  <c r="P4270" i="1"/>
  <c r="B4270" i="1" s="1"/>
  <c r="L4270" i="1"/>
  <c r="X1798" i="1"/>
  <c r="W1798" i="1"/>
  <c r="U1798" i="1"/>
  <c r="P1798" i="1"/>
  <c r="B1798" i="1" s="1"/>
  <c r="L1798" i="1"/>
  <c r="X3875" i="1"/>
  <c r="W3875" i="1"/>
  <c r="U3875" i="1"/>
  <c r="P3875" i="1"/>
  <c r="B3875" i="1" s="1"/>
  <c r="L3875" i="1"/>
  <c r="X4095" i="1"/>
  <c r="W4095" i="1"/>
  <c r="U4095" i="1"/>
  <c r="P4095" i="1"/>
  <c r="B4095" i="1" s="1"/>
  <c r="L4095" i="1"/>
  <c r="L5857" i="1"/>
  <c r="X5857" i="1"/>
  <c r="W5857" i="1"/>
  <c r="U5857" i="1"/>
  <c r="P5857" i="1"/>
  <c r="B5857" i="1" s="1"/>
  <c r="X43" i="1"/>
  <c r="W43" i="1"/>
  <c r="U43" i="1"/>
  <c r="P43" i="1"/>
  <c r="B43" i="1" s="1"/>
  <c r="L43" i="1"/>
  <c r="X5106" i="1"/>
  <c r="W5106" i="1"/>
  <c r="U5106" i="1"/>
  <c r="P5106" i="1"/>
  <c r="B5106" i="1" s="1"/>
  <c r="L5106" i="1"/>
  <c r="X6838" i="1"/>
  <c r="W6838" i="1"/>
  <c r="V6838" i="1"/>
  <c r="U6838" i="1"/>
  <c r="P6838" i="1"/>
  <c r="B6838" i="1" s="1"/>
  <c r="N6838" i="1"/>
  <c r="X1442" i="1"/>
  <c r="W1442" i="1"/>
  <c r="U1442" i="1"/>
  <c r="P1442" i="1"/>
  <c r="B1442" i="1" s="1"/>
  <c r="L1442" i="1"/>
  <c r="R3875" i="1" l="1"/>
  <c r="S3875" i="1"/>
  <c r="R5106" i="1"/>
  <c r="S5106" i="1"/>
  <c r="R1798" i="1"/>
  <c r="S1798" i="1"/>
  <c r="R1442" i="1"/>
  <c r="S1442" i="1"/>
  <c r="R5857" i="1"/>
  <c r="S5857" i="1"/>
  <c r="R43" i="1"/>
  <c r="S43" i="1"/>
  <c r="R4270" i="1"/>
  <c r="S4270" i="1"/>
  <c r="V43" i="1"/>
  <c r="V5857" i="1"/>
  <c r="N5106" i="1"/>
  <c r="V1442" i="1"/>
  <c r="V1798" i="1"/>
  <c r="V4270" i="1"/>
  <c r="N4270" i="1"/>
  <c r="N1798" i="1"/>
  <c r="V3875" i="1"/>
  <c r="N3875" i="1"/>
  <c r="V4095" i="1"/>
  <c r="N4095" i="1"/>
  <c r="N5857" i="1"/>
  <c r="N43" i="1"/>
  <c r="V5106" i="1"/>
  <c r="N1442" i="1"/>
  <c r="X1984" i="1"/>
  <c r="W1984" i="1"/>
  <c r="V1984" i="1"/>
  <c r="U1984" i="1"/>
  <c r="M1984" i="1"/>
  <c r="K1984" i="1"/>
  <c r="I1984" i="1"/>
  <c r="X1983" i="1"/>
  <c r="W1983" i="1"/>
  <c r="V1983" i="1"/>
  <c r="U1983" i="1"/>
  <c r="N1983" i="1"/>
  <c r="X1982" i="1"/>
  <c r="W1982" i="1"/>
  <c r="U1982" i="1"/>
  <c r="P1982" i="1"/>
  <c r="B1982" i="1" s="1"/>
  <c r="H1984" i="1"/>
  <c r="X1981" i="1"/>
  <c r="W1981" i="1"/>
  <c r="V1981" i="1"/>
  <c r="U1981" i="1"/>
  <c r="N1981" i="1"/>
  <c r="X1980" i="1"/>
  <c r="W1980" i="1"/>
  <c r="V1980" i="1"/>
  <c r="U1980" i="1"/>
  <c r="N1980" i="1"/>
  <c r="L1982" i="1" l="1"/>
  <c r="X2400" i="1"/>
  <c r="W2400" i="1"/>
  <c r="U2400" i="1"/>
  <c r="P2400" i="1"/>
  <c r="B2400" i="1" s="1"/>
  <c r="L2400" i="1"/>
  <c r="S2400" i="1" l="1"/>
  <c r="R2400" i="1"/>
  <c r="R1982" i="1"/>
  <c r="S1982" i="1"/>
  <c r="V2400" i="1"/>
  <c r="L1984" i="1"/>
  <c r="V1982" i="1"/>
  <c r="N1982" i="1"/>
  <c r="N1984" i="1" s="1"/>
  <c r="N2400" i="1"/>
  <c r="X6757" i="1" l="1"/>
  <c r="W6757" i="1"/>
  <c r="U6757" i="1"/>
  <c r="P6757" i="1"/>
  <c r="B6757" i="1" s="1"/>
  <c r="L6757" i="1"/>
  <c r="R6757" i="1" l="1"/>
  <c r="S6757" i="1"/>
  <c r="V6757" i="1"/>
  <c r="N6757" i="1"/>
  <c r="X6804" i="1" l="1"/>
  <c r="W6804" i="1"/>
  <c r="V6804" i="1"/>
  <c r="U6804" i="1"/>
  <c r="P6804" i="1"/>
  <c r="B6804" i="1" s="1"/>
  <c r="N6804" i="1"/>
  <c r="X4150" i="1" l="1"/>
  <c r="W4150" i="1"/>
  <c r="U4150" i="1"/>
  <c r="P4150" i="1"/>
  <c r="B4150" i="1" s="1"/>
  <c r="L4150" i="1"/>
  <c r="R4150" i="1" l="1"/>
  <c r="S4150" i="1"/>
  <c r="V4150" i="1"/>
  <c r="N4150" i="1"/>
  <c r="X6851" i="1"/>
  <c r="W6851" i="1"/>
  <c r="V6851" i="1"/>
  <c r="U6851" i="1"/>
  <c r="P6851" i="1"/>
  <c r="B6851" i="1" s="1"/>
  <c r="N6851" i="1"/>
  <c r="X527" i="1" l="1"/>
  <c r="W527" i="1"/>
  <c r="U527" i="1"/>
  <c r="P527" i="1"/>
  <c r="B527" i="1" s="1"/>
  <c r="L527" i="1"/>
  <c r="R527" i="1" l="1"/>
  <c r="S527" i="1"/>
  <c r="V527" i="1"/>
  <c r="N527" i="1"/>
  <c r="X1333" i="1"/>
  <c r="W1333" i="1"/>
  <c r="U1333" i="1"/>
  <c r="P1333" i="1"/>
  <c r="B1333" i="1" s="1"/>
  <c r="L1333" i="1"/>
  <c r="X1334" i="1"/>
  <c r="W1334" i="1"/>
  <c r="U1334" i="1"/>
  <c r="P1334" i="1"/>
  <c r="B1334" i="1" s="1"/>
  <c r="L1334" i="1"/>
  <c r="R1333" i="1" l="1"/>
  <c r="S1333" i="1"/>
  <c r="R1334" i="1"/>
  <c r="S1334" i="1"/>
  <c r="V1333" i="1"/>
  <c r="N1333" i="1"/>
  <c r="V1334" i="1"/>
  <c r="N1334" i="1"/>
  <c r="X4237" i="1"/>
  <c r="W4237" i="1"/>
  <c r="U4237" i="1"/>
  <c r="P4237" i="1"/>
  <c r="B4237" i="1" s="1"/>
  <c r="L4237" i="1"/>
  <c r="V4237" i="1" l="1"/>
  <c r="N4237" i="1"/>
  <c r="X6840" i="1"/>
  <c r="W6840" i="1"/>
  <c r="V6840" i="1"/>
  <c r="U6840" i="1"/>
  <c r="P6840" i="1"/>
  <c r="B6840" i="1" s="1"/>
  <c r="N6840" i="1"/>
  <c r="X5105" i="1" l="1"/>
  <c r="W5105" i="1"/>
  <c r="U5105" i="1"/>
  <c r="P5105" i="1"/>
  <c r="B5105" i="1" s="1"/>
  <c r="L5105" i="1"/>
  <c r="R5105" i="1" l="1"/>
  <c r="S5105" i="1"/>
  <c r="V5105" i="1"/>
  <c r="N5105" i="1"/>
  <c r="X5285" i="1" l="1"/>
  <c r="W5285" i="1"/>
  <c r="U5285" i="1"/>
  <c r="P5285" i="1"/>
  <c r="B5285" i="1" s="1"/>
  <c r="L5285" i="1"/>
  <c r="R5285" i="1" l="1"/>
  <c r="S5285" i="1"/>
  <c r="V5285" i="1"/>
  <c r="N5285" i="1"/>
  <c r="X5649" i="1" l="1"/>
  <c r="W5649" i="1"/>
  <c r="U5649" i="1"/>
  <c r="P5649" i="1"/>
  <c r="B5649" i="1" s="1"/>
  <c r="L5649" i="1"/>
  <c r="R5649" i="1" l="1"/>
  <c r="S5649" i="1"/>
  <c r="V5649" i="1"/>
  <c r="N5649" i="1"/>
  <c r="X5409" i="1" l="1"/>
  <c r="W5409" i="1"/>
  <c r="U5409" i="1"/>
  <c r="P5409" i="1"/>
  <c r="B5409" i="1" s="1"/>
  <c r="I5409" i="1"/>
  <c r="L5409" i="1" s="1"/>
  <c r="X5406" i="1"/>
  <c r="W5406" i="1"/>
  <c r="U5406" i="1"/>
  <c r="P5406" i="1"/>
  <c r="B5406" i="1" s="1"/>
  <c r="L5406" i="1"/>
  <c r="L5408" i="1"/>
  <c r="X5408" i="1"/>
  <c r="W5408" i="1"/>
  <c r="U5408" i="1"/>
  <c r="P5408" i="1"/>
  <c r="B5408" i="1" s="1"/>
  <c r="R5406" i="1" l="1"/>
  <c r="S5406" i="1"/>
  <c r="R5409" i="1"/>
  <c r="S5409" i="1"/>
  <c r="R5408" i="1"/>
  <c r="S5408" i="1"/>
  <c r="V5409" i="1"/>
  <c r="N5409" i="1"/>
  <c r="V5406" i="1"/>
  <c r="N5406" i="1"/>
  <c r="V5408" i="1"/>
  <c r="N5408" i="1"/>
  <c r="X5956" i="1"/>
  <c r="W5956" i="1"/>
  <c r="U5956" i="1"/>
  <c r="P5956" i="1"/>
  <c r="B5956" i="1" s="1"/>
  <c r="L5956" i="1"/>
  <c r="R5956" i="1" l="1"/>
  <c r="S5956" i="1"/>
  <c r="N5956" i="1"/>
  <c r="V5956" i="1"/>
  <c r="X6856" i="1"/>
  <c r="W6856" i="1"/>
  <c r="V6856" i="1"/>
  <c r="U6856" i="1"/>
  <c r="P6856" i="1"/>
  <c r="B6856" i="1" s="1"/>
  <c r="N6856" i="1"/>
  <c r="X6877" i="1"/>
  <c r="W6877" i="1"/>
  <c r="V6877" i="1"/>
  <c r="U6877" i="1"/>
  <c r="P6877" i="1"/>
  <c r="B6877" i="1" s="1"/>
  <c r="N6877" i="1"/>
  <c r="X6248" i="1" l="1"/>
  <c r="W6248" i="1"/>
  <c r="V6248" i="1"/>
  <c r="U6248" i="1"/>
  <c r="M6248" i="1"/>
  <c r="K6248" i="1"/>
  <c r="I6248" i="1"/>
  <c r="H6248" i="1"/>
  <c r="X6247" i="1"/>
  <c r="W6247" i="1"/>
  <c r="V6247" i="1"/>
  <c r="U6247" i="1"/>
  <c r="N6247" i="1"/>
  <c r="X6246" i="1"/>
  <c r="W6246" i="1"/>
  <c r="U6246" i="1"/>
  <c r="P6246" i="1"/>
  <c r="B6246" i="1" s="1"/>
  <c r="L6246" i="1"/>
  <c r="X6245" i="1"/>
  <c r="W6245" i="1"/>
  <c r="V6245" i="1"/>
  <c r="U6245" i="1"/>
  <c r="N6245" i="1"/>
  <c r="X6244" i="1"/>
  <c r="W6244" i="1"/>
  <c r="V6244" i="1"/>
  <c r="U6244" i="1"/>
  <c r="N6244" i="1"/>
  <c r="R6246" i="1" l="1"/>
  <c r="S6246" i="1"/>
  <c r="V6246" i="1"/>
  <c r="N6246" i="1"/>
  <c r="N6248" i="1" s="1"/>
  <c r="L6248" i="1"/>
  <c r="X773" i="1"/>
  <c r="W773" i="1"/>
  <c r="U773" i="1"/>
  <c r="P773" i="1"/>
  <c r="B773" i="1" s="1"/>
  <c r="L773" i="1"/>
  <c r="R773" i="1" l="1"/>
  <c r="S773" i="1"/>
  <c r="V773" i="1"/>
  <c r="N773" i="1"/>
  <c r="X132" i="1"/>
  <c r="W132" i="1"/>
  <c r="U132" i="1"/>
  <c r="P132" i="1"/>
  <c r="B132" i="1" s="1"/>
  <c r="L132" i="1"/>
  <c r="R132" i="1" l="1"/>
  <c r="S132" i="1"/>
  <c r="V132" i="1"/>
  <c r="N132" i="1"/>
  <c r="X5130" i="1"/>
  <c r="W5130" i="1"/>
  <c r="V5130" i="1"/>
  <c r="U5130" i="1"/>
  <c r="M5130" i="1"/>
  <c r="K5130" i="1"/>
  <c r="I5130" i="1"/>
  <c r="H5130" i="1"/>
  <c r="X5129" i="1"/>
  <c r="W5129" i="1"/>
  <c r="V5129" i="1"/>
  <c r="U5129" i="1"/>
  <c r="N5129" i="1"/>
  <c r="X5127" i="1"/>
  <c r="W5127" i="1"/>
  <c r="U5127" i="1"/>
  <c r="P5127" i="1"/>
  <c r="B5127" i="1" s="1"/>
  <c r="L5127" i="1"/>
  <c r="X5126" i="1"/>
  <c r="W5126" i="1"/>
  <c r="V5126" i="1"/>
  <c r="U5126" i="1"/>
  <c r="N5126" i="1"/>
  <c r="X5125" i="1"/>
  <c r="W5125" i="1"/>
  <c r="V5125" i="1"/>
  <c r="U5125" i="1"/>
  <c r="N5125" i="1"/>
  <c r="R5127" i="1" l="1"/>
  <c r="S5127" i="1"/>
  <c r="N5127" i="1"/>
  <c r="N5130" i="1" s="1"/>
  <c r="V5127" i="1"/>
  <c r="L5130" i="1"/>
  <c r="X1298" i="1"/>
  <c r="W1298" i="1"/>
  <c r="U1298" i="1"/>
  <c r="P1298" i="1"/>
  <c r="B1298" i="1" s="1"/>
  <c r="L1298" i="1"/>
  <c r="R1298" i="1" l="1"/>
  <c r="S1298" i="1"/>
  <c r="V1298" i="1"/>
  <c r="N1298" i="1"/>
  <c r="X1518" i="1"/>
  <c r="W1518" i="1"/>
  <c r="V1518" i="1"/>
  <c r="U1518" i="1"/>
  <c r="M1518" i="1"/>
  <c r="K1518" i="1"/>
  <c r="I1518" i="1"/>
  <c r="H1518" i="1"/>
  <c r="X1517" i="1"/>
  <c r="W1517" i="1"/>
  <c r="V1517" i="1"/>
  <c r="U1517" i="1"/>
  <c r="N1517" i="1"/>
  <c r="X1514" i="1"/>
  <c r="W1514" i="1"/>
  <c r="U1514" i="1"/>
  <c r="P1514" i="1"/>
  <c r="B1514" i="1" s="1"/>
  <c r="L1514" i="1"/>
  <c r="X1513" i="1"/>
  <c r="W1513" i="1"/>
  <c r="V1513" i="1"/>
  <c r="U1513" i="1"/>
  <c r="N1513" i="1"/>
  <c r="X1512" i="1"/>
  <c r="W1512" i="1"/>
  <c r="V1512" i="1"/>
  <c r="U1512" i="1"/>
  <c r="N1512" i="1"/>
  <c r="R1514" i="1" l="1"/>
  <c r="S1514" i="1"/>
  <c r="V1514" i="1"/>
  <c r="N1514" i="1"/>
  <c r="N1518" i="1" s="1"/>
  <c r="L1518" i="1"/>
  <c r="X128" i="1"/>
  <c r="W128" i="1"/>
  <c r="U128" i="1"/>
  <c r="P128" i="1"/>
  <c r="B128" i="1" s="1"/>
  <c r="L128" i="1"/>
  <c r="R128" i="1" l="1"/>
  <c r="S128" i="1"/>
  <c r="V128" i="1"/>
  <c r="N128" i="1"/>
  <c r="X6815" i="1"/>
  <c r="W6815" i="1"/>
  <c r="V6815" i="1"/>
  <c r="U6815" i="1"/>
  <c r="P6815" i="1"/>
  <c r="B6815" i="1" s="1"/>
  <c r="N6815" i="1"/>
  <c r="H5000" i="1" l="1"/>
  <c r="L5000" i="1" s="1"/>
  <c r="X5000" i="1"/>
  <c r="W5000" i="1"/>
  <c r="U5000" i="1"/>
  <c r="P5000" i="1"/>
  <c r="B5000" i="1" s="1"/>
  <c r="S5000" i="1" l="1"/>
  <c r="R5000" i="1"/>
  <c r="V5000" i="1"/>
  <c r="N5000" i="1"/>
  <c r="X4053" i="1"/>
  <c r="W4053" i="1"/>
  <c r="U4053" i="1"/>
  <c r="P4053" i="1"/>
  <c r="B4053" i="1" s="1"/>
  <c r="L4053" i="1"/>
  <c r="R4053" i="1" l="1"/>
  <c r="S4053" i="1"/>
  <c r="N4053" i="1"/>
  <c r="V4053" i="1"/>
  <c r="X6837" i="1"/>
  <c r="W6837" i="1"/>
  <c r="V6837" i="1"/>
  <c r="U6837" i="1"/>
  <c r="P6837" i="1"/>
  <c r="B6837" i="1" s="1"/>
  <c r="N6837" i="1"/>
  <c r="X6886" i="1" l="1"/>
  <c r="W6886" i="1"/>
  <c r="V6886" i="1"/>
  <c r="U6886" i="1"/>
  <c r="P6886" i="1"/>
  <c r="B6886" i="1" s="1"/>
  <c r="N6886" i="1"/>
  <c r="X815" i="1"/>
  <c r="W815" i="1"/>
  <c r="U815" i="1"/>
  <c r="P815" i="1"/>
  <c r="B815" i="1" s="1"/>
  <c r="L815" i="1"/>
  <c r="R815" i="1" l="1"/>
  <c r="S815" i="1"/>
  <c r="V815" i="1"/>
  <c r="N815" i="1"/>
  <c r="X6818" i="1" l="1"/>
  <c r="W6818" i="1"/>
  <c r="V6818" i="1"/>
  <c r="U6818" i="1"/>
  <c r="P6818" i="1"/>
  <c r="B6818" i="1" s="1"/>
  <c r="N6818" i="1"/>
  <c r="X1696" i="1" l="1"/>
  <c r="W1696" i="1"/>
  <c r="U1696" i="1"/>
  <c r="P1696" i="1"/>
  <c r="B1696" i="1" s="1"/>
  <c r="L1696" i="1"/>
  <c r="X3731" i="1"/>
  <c r="W3731" i="1"/>
  <c r="U3731" i="1"/>
  <c r="P3731" i="1"/>
  <c r="B3731" i="1" s="1"/>
  <c r="L3731" i="1"/>
  <c r="X6882" i="1"/>
  <c r="W6882" i="1"/>
  <c r="V6882" i="1"/>
  <c r="U6882" i="1"/>
  <c r="P6882" i="1"/>
  <c r="B6882" i="1" s="1"/>
  <c r="N6882" i="1"/>
  <c r="X5274" i="1"/>
  <c r="W5274" i="1"/>
  <c r="U5274" i="1"/>
  <c r="P5274" i="1"/>
  <c r="B5274" i="1" s="1"/>
  <c r="L5274" i="1"/>
  <c r="X5270" i="1"/>
  <c r="W5270" i="1"/>
  <c r="V5270" i="1"/>
  <c r="U5270" i="1"/>
  <c r="M5270" i="1"/>
  <c r="K5270" i="1"/>
  <c r="I5270" i="1"/>
  <c r="H5270" i="1"/>
  <c r="X5269" i="1"/>
  <c r="W5269" i="1"/>
  <c r="V5269" i="1"/>
  <c r="U5269" i="1"/>
  <c r="N5269" i="1"/>
  <c r="X5267" i="1"/>
  <c r="W5267" i="1"/>
  <c r="U5267" i="1"/>
  <c r="P5267" i="1"/>
  <c r="B5267" i="1" s="1"/>
  <c r="L5267" i="1"/>
  <c r="X5266" i="1"/>
  <c r="W5266" i="1"/>
  <c r="V5266" i="1"/>
  <c r="U5266" i="1"/>
  <c r="N5266" i="1"/>
  <c r="X5265" i="1"/>
  <c r="W5265" i="1"/>
  <c r="V5265" i="1"/>
  <c r="U5265" i="1"/>
  <c r="N5265" i="1"/>
  <c r="X6500" i="1"/>
  <c r="W6500" i="1"/>
  <c r="U6500" i="1"/>
  <c r="P6500" i="1"/>
  <c r="B6500" i="1" s="1"/>
  <c r="L6500" i="1"/>
  <c r="R3731" i="1" l="1"/>
  <c r="S3731" i="1"/>
  <c r="R1696" i="1"/>
  <c r="S1696" i="1"/>
  <c r="S6500" i="1"/>
  <c r="R6500" i="1"/>
  <c r="R5267" i="1"/>
  <c r="S5267" i="1"/>
  <c r="R5274" i="1"/>
  <c r="S5274" i="1"/>
  <c r="N5274" i="1"/>
  <c r="V1696" i="1"/>
  <c r="V6500" i="1"/>
  <c r="N1696" i="1"/>
  <c r="V3731" i="1"/>
  <c r="N3731" i="1"/>
  <c r="V5274" i="1"/>
  <c r="L5270" i="1"/>
  <c r="V5267" i="1"/>
  <c r="N5267" i="1"/>
  <c r="N5270" i="1" s="1"/>
  <c r="N6500" i="1"/>
  <c r="X2104" i="1"/>
  <c r="W2104" i="1"/>
  <c r="U2104" i="1"/>
  <c r="P2104" i="1"/>
  <c r="B2104" i="1" s="1"/>
  <c r="L2104" i="1"/>
  <c r="R2104" i="1" l="1"/>
  <c r="S2104" i="1"/>
  <c r="V2104" i="1"/>
  <c r="N2104" i="1"/>
  <c r="X3993" i="1" l="1"/>
  <c r="W3993" i="1"/>
  <c r="U3993" i="1"/>
  <c r="P3993" i="1"/>
  <c r="B3993" i="1" s="1"/>
  <c r="L3993" i="1"/>
  <c r="R3993" i="1" l="1"/>
  <c r="S3993" i="1"/>
  <c r="V3993" i="1"/>
  <c r="N3993" i="1"/>
  <c r="X1587" i="1"/>
  <c r="W1587" i="1"/>
  <c r="U1587" i="1"/>
  <c r="P1587" i="1"/>
  <c r="B1587" i="1" s="1"/>
  <c r="L1587" i="1"/>
  <c r="R1587" i="1" l="1"/>
  <c r="S1587" i="1"/>
  <c r="V1587" i="1"/>
  <c r="N1587" i="1"/>
  <c r="X76" i="1"/>
  <c r="W76" i="1"/>
  <c r="U76" i="1"/>
  <c r="P76" i="1"/>
  <c r="B76" i="1" s="1"/>
  <c r="L76" i="1"/>
  <c r="X6869" i="1"/>
  <c r="W6869" i="1"/>
  <c r="V6869" i="1"/>
  <c r="U6869" i="1"/>
  <c r="P6869" i="1"/>
  <c r="B6869" i="1" s="1"/>
  <c r="N6869" i="1"/>
  <c r="R76" i="1" l="1"/>
  <c r="S76" i="1"/>
  <c r="V76" i="1"/>
  <c r="N76" i="1"/>
  <c r="X1357" i="1" l="1"/>
  <c r="W1357" i="1"/>
  <c r="V1357" i="1"/>
  <c r="U1357" i="1"/>
  <c r="M1357" i="1"/>
  <c r="I1357" i="1"/>
  <c r="H1357" i="1"/>
  <c r="X1356" i="1"/>
  <c r="W1356" i="1"/>
  <c r="V1356" i="1"/>
  <c r="U1356" i="1"/>
  <c r="N1356" i="1"/>
  <c r="K1357" i="1"/>
  <c r="X1354" i="1"/>
  <c r="W1354" i="1"/>
  <c r="U1354" i="1"/>
  <c r="P1354" i="1"/>
  <c r="B1354" i="1" s="1"/>
  <c r="L1354" i="1"/>
  <c r="X1353" i="1"/>
  <c r="W1353" i="1"/>
  <c r="V1353" i="1"/>
  <c r="U1353" i="1"/>
  <c r="N1353" i="1"/>
  <c r="X1352" i="1"/>
  <c r="W1352" i="1"/>
  <c r="V1352" i="1"/>
  <c r="U1352" i="1"/>
  <c r="N1352" i="1"/>
  <c r="R1354" i="1" l="1"/>
  <c r="S1354" i="1"/>
  <c r="V1354" i="1"/>
  <c r="N1354" i="1"/>
  <c r="N1357" i="1" s="1"/>
  <c r="L1357" i="1"/>
  <c r="X3946" i="1"/>
  <c r="W3946" i="1"/>
  <c r="U3946" i="1"/>
  <c r="P3946" i="1"/>
  <c r="B3946" i="1" s="1"/>
  <c r="L3946" i="1"/>
  <c r="X5005" i="1"/>
  <c r="W5005" i="1"/>
  <c r="U5005" i="1"/>
  <c r="P5005" i="1"/>
  <c r="B5005" i="1" s="1"/>
  <c r="L5005" i="1"/>
  <c r="R3946" i="1" l="1"/>
  <c r="S3946" i="1"/>
  <c r="R5005" i="1"/>
  <c r="S5005" i="1"/>
  <c r="V3946" i="1"/>
  <c r="N3946" i="1"/>
  <c r="V5005" i="1"/>
  <c r="N5005" i="1"/>
  <c r="X6433" i="1"/>
  <c r="W6433" i="1"/>
  <c r="V6433" i="1"/>
  <c r="U6433" i="1"/>
  <c r="M6433" i="1"/>
  <c r="K6433" i="1"/>
  <c r="I6433" i="1"/>
  <c r="H6433" i="1"/>
  <c r="X6432" i="1"/>
  <c r="W6432" i="1"/>
  <c r="V6432" i="1"/>
  <c r="U6432" i="1"/>
  <c r="N6432" i="1"/>
  <c r="X6431" i="1"/>
  <c r="W6431" i="1"/>
  <c r="U6431" i="1"/>
  <c r="P6431" i="1"/>
  <c r="B6431" i="1" s="1"/>
  <c r="L6431" i="1"/>
  <c r="X6430" i="1"/>
  <c r="W6430" i="1"/>
  <c r="V6430" i="1"/>
  <c r="U6430" i="1"/>
  <c r="N6430" i="1"/>
  <c r="X6429" i="1"/>
  <c r="W6429" i="1"/>
  <c r="V6429" i="1"/>
  <c r="U6429" i="1"/>
  <c r="N6429" i="1"/>
  <c r="R6431" i="1" l="1"/>
  <c r="S6431" i="1"/>
  <c r="L6433" i="1"/>
  <c r="V6431" i="1"/>
  <c r="N6431" i="1"/>
  <c r="N6433" i="1" s="1"/>
  <c r="X1610" i="1"/>
  <c r="W1610" i="1"/>
  <c r="U1610" i="1"/>
  <c r="P1610" i="1"/>
  <c r="B1610" i="1" s="1"/>
  <c r="L1610" i="1"/>
  <c r="R1610" i="1" l="1"/>
  <c r="S1610" i="1"/>
  <c r="V1610" i="1"/>
  <c r="N1610" i="1"/>
  <c r="X2032" i="1" l="1"/>
  <c r="W2032" i="1"/>
  <c r="U2032" i="1"/>
  <c r="P2032" i="1"/>
  <c r="B2032" i="1" s="1"/>
  <c r="L2032" i="1"/>
  <c r="R2032" i="1" l="1"/>
  <c r="S2032" i="1"/>
  <c r="V2032" i="1"/>
  <c r="N2032" i="1"/>
  <c r="X6030" i="1"/>
  <c r="W6030" i="1"/>
  <c r="U6030" i="1"/>
  <c r="P6030" i="1"/>
  <c r="B6030" i="1" s="1"/>
  <c r="L6030" i="1"/>
  <c r="R6030" i="1" l="1"/>
  <c r="S6030" i="1"/>
  <c r="N6030" i="1"/>
  <c r="V6030" i="1"/>
  <c r="X6819" i="1"/>
  <c r="W6819" i="1"/>
  <c r="V6819" i="1"/>
  <c r="U6819" i="1"/>
  <c r="P6819" i="1"/>
  <c r="B6819" i="1" s="1"/>
  <c r="N6819" i="1"/>
  <c r="X6858" i="1" l="1"/>
  <c r="W6858" i="1"/>
  <c r="V6858" i="1"/>
  <c r="U6858" i="1"/>
  <c r="P6858" i="1"/>
  <c r="B6858" i="1" s="1"/>
  <c r="N6858" i="1"/>
  <c r="X6860" i="1" l="1"/>
  <c r="W6860" i="1"/>
  <c r="V6860" i="1"/>
  <c r="U6860" i="1"/>
  <c r="P6860" i="1"/>
  <c r="B6860" i="1" s="1"/>
  <c r="N6860" i="1"/>
  <c r="X688" i="1"/>
  <c r="W688" i="1"/>
  <c r="U688" i="1"/>
  <c r="P688" i="1"/>
  <c r="B688" i="1" s="1"/>
  <c r="L688" i="1"/>
  <c r="R688" i="1" l="1"/>
  <c r="S688" i="1"/>
  <c r="N688" i="1"/>
  <c r="V688" i="1"/>
  <c r="X6859" i="1" l="1"/>
  <c r="W6859" i="1"/>
  <c r="V6859" i="1"/>
  <c r="U6859" i="1"/>
  <c r="P6859" i="1"/>
  <c r="B6859" i="1" s="1"/>
  <c r="N6859" i="1"/>
  <c r="X3812" i="1"/>
  <c r="W3812" i="1"/>
  <c r="U3812" i="1"/>
  <c r="P3812" i="1"/>
  <c r="B3812" i="1" s="1"/>
  <c r="L3812" i="1"/>
  <c r="R3812" i="1" l="1"/>
  <c r="S3812" i="1"/>
  <c r="V3812" i="1"/>
  <c r="N3812" i="1"/>
  <c r="X5721" i="1"/>
  <c r="W5721" i="1"/>
  <c r="U5721" i="1"/>
  <c r="P5721" i="1"/>
  <c r="B5721" i="1" s="1"/>
  <c r="L5721" i="1"/>
  <c r="S5721" i="1" l="1"/>
  <c r="R5721" i="1"/>
  <c r="N5721" i="1"/>
  <c r="V5721" i="1"/>
  <c r="X6802" i="1" l="1"/>
  <c r="W6802" i="1"/>
  <c r="V6802" i="1"/>
  <c r="U6802" i="1"/>
  <c r="P6802" i="1"/>
  <c r="B6802" i="1" s="1"/>
  <c r="N6802" i="1"/>
  <c r="X5374" i="1" l="1"/>
  <c r="W5374" i="1"/>
  <c r="V5374" i="1"/>
  <c r="U5374" i="1"/>
  <c r="M5374" i="1"/>
  <c r="K5374" i="1"/>
  <c r="I5374" i="1"/>
  <c r="H5374" i="1"/>
  <c r="X5373" i="1"/>
  <c r="W5373" i="1"/>
  <c r="V5373" i="1"/>
  <c r="U5373" i="1"/>
  <c r="N5373" i="1"/>
  <c r="X5372" i="1"/>
  <c r="W5372" i="1"/>
  <c r="U5372" i="1"/>
  <c r="P5372" i="1"/>
  <c r="B5372" i="1" s="1"/>
  <c r="L5372" i="1"/>
  <c r="X5371" i="1"/>
  <c r="W5371" i="1"/>
  <c r="V5371" i="1"/>
  <c r="U5371" i="1"/>
  <c r="N5371" i="1"/>
  <c r="X5370" i="1"/>
  <c r="W5370" i="1"/>
  <c r="V5370" i="1"/>
  <c r="U5370" i="1"/>
  <c r="N5370" i="1"/>
  <c r="X6861" i="1"/>
  <c r="W6861" i="1"/>
  <c r="V6861" i="1"/>
  <c r="U6861" i="1"/>
  <c r="P6861" i="1"/>
  <c r="B6861" i="1" s="1"/>
  <c r="N6861" i="1"/>
  <c r="R5372" i="1" l="1"/>
  <c r="S5372" i="1"/>
  <c r="N5372" i="1"/>
  <c r="N5374" i="1" s="1"/>
  <c r="L5374" i="1"/>
  <c r="V5372" i="1"/>
  <c r="X6609" i="1" l="1"/>
  <c r="W6609" i="1"/>
  <c r="V6609" i="1"/>
  <c r="U6609" i="1"/>
  <c r="M6609" i="1"/>
  <c r="K6609" i="1"/>
  <c r="I6609" i="1"/>
  <c r="H6609" i="1"/>
  <c r="X6608" i="1"/>
  <c r="W6608" i="1"/>
  <c r="V6608" i="1"/>
  <c r="U6608" i="1"/>
  <c r="N6608" i="1"/>
  <c r="X6606" i="1"/>
  <c r="W6606" i="1"/>
  <c r="U6606" i="1"/>
  <c r="P6606" i="1"/>
  <c r="B6606" i="1" s="1"/>
  <c r="L6606" i="1"/>
  <c r="X6605" i="1"/>
  <c r="W6605" i="1"/>
  <c r="V6605" i="1"/>
  <c r="U6605" i="1"/>
  <c r="N6605" i="1"/>
  <c r="X6604" i="1"/>
  <c r="W6604" i="1"/>
  <c r="V6604" i="1"/>
  <c r="U6604" i="1"/>
  <c r="N6604" i="1"/>
  <c r="R6606" i="1" l="1"/>
  <c r="S6606" i="1"/>
  <c r="V6606" i="1"/>
  <c r="L6609" i="1"/>
  <c r="N6606" i="1"/>
  <c r="N6609" i="1" s="1"/>
  <c r="X2096" i="1"/>
  <c r="W2096" i="1"/>
  <c r="U2096" i="1"/>
  <c r="P2096" i="1"/>
  <c r="B2096" i="1" s="1"/>
  <c r="L2096" i="1"/>
  <c r="H2039" i="1"/>
  <c r="X2039" i="1"/>
  <c r="W2039" i="1"/>
  <c r="U2039" i="1"/>
  <c r="P2039" i="1"/>
  <c r="B2039" i="1" s="1"/>
  <c r="R2096" i="1" l="1"/>
  <c r="S2096" i="1"/>
  <c r="L2039" i="1"/>
  <c r="V2096" i="1"/>
  <c r="N2096" i="1"/>
  <c r="X865" i="1"/>
  <c r="W865" i="1"/>
  <c r="U865" i="1"/>
  <c r="P865" i="1"/>
  <c r="B865" i="1" s="1"/>
  <c r="L865" i="1"/>
  <c r="X4771" i="1"/>
  <c r="W4771" i="1"/>
  <c r="U4771" i="1"/>
  <c r="P4771" i="1"/>
  <c r="B4771" i="1" s="1"/>
  <c r="L4771" i="1"/>
  <c r="X2266" i="1"/>
  <c r="W2266" i="1"/>
  <c r="U2266" i="1"/>
  <c r="P2266" i="1"/>
  <c r="B2266" i="1" s="1"/>
  <c r="L2266" i="1"/>
  <c r="X6029" i="1"/>
  <c r="W6029" i="1"/>
  <c r="U6029" i="1"/>
  <c r="P6029" i="1"/>
  <c r="B6029" i="1" s="1"/>
  <c r="L6029" i="1"/>
  <c r="X6028" i="1"/>
  <c r="W6028" i="1"/>
  <c r="U6028" i="1"/>
  <c r="P6028" i="1"/>
  <c r="B6028" i="1" s="1"/>
  <c r="L6028" i="1"/>
  <c r="X2267" i="1"/>
  <c r="W2267" i="1"/>
  <c r="U2267" i="1"/>
  <c r="P2267" i="1"/>
  <c r="B2267" i="1" s="1"/>
  <c r="L2267" i="1"/>
  <c r="S2267" i="1" l="1"/>
  <c r="R2267" i="1"/>
  <c r="R865" i="1"/>
  <c r="S865" i="1"/>
  <c r="R2266" i="1"/>
  <c r="S2266" i="1"/>
  <c r="S6028" i="1"/>
  <c r="R6028" i="1"/>
  <c r="R4771" i="1"/>
  <c r="S4771" i="1"/>
  <c r="R2039" i="1"/>
  <c r="S2039" i="1"/>
  <c r="R6029" i="1"/>
  <c r="S6029" i="1"/>
  <c r="V2039" i="1"/>
  <c r="N2039" i="1"/>
  <c r="N2266" i="1"/>
  <c r="V4771" i="1"/>
  <c r="V6029" i="1"/>
  <c r="N2267" i="1"/>
  <c r="V6028" i="1"/>
  <c r="N865" i="1"/>
  <c r="V865" i="1"/>
  <c r="N4771" i="1"/>
  <c r="V2266" i="1"/>
  <c r="N6029" i="1"/>
  <c r="N6028" i="1"/>
  <c r="V2267" i="1"/>
  <c r="X6835" i="1" l="1"/>
  <c r="W6835" i="1"/>
  <c r="V6835" i="1"/>
  <c r="U6835" i="1"/>
  <c r="P6835" i="1"/>
  <c r="B6835" i="1" s="1"/>
  <c r="N6835" i="1"/>
  <c r="X6458" i="1"/>
  <c r="W6458" i="1"/>
  <c r="U6458" i="1"/>
  <c r="P6458" i="1"/>
  <c r="B6458" i="1" s="1"/>
  <c r="L6458" i="1"/>
  <c r="R6458" i="1" l="1"/>
  <c r="S6458" i="1"/>
  <c r="N6458" i="1"/>
  <c r="V6458" i="1"/>
  <c r="X903" i="1" l="1"/>
  <c r="W903" i="1"/>
  <c r="V903" i="1"/>
  <c r="U903" i="1"/>
  <c r="M903" i="1"/>
  <c r="K903" i="1"/>
  <c r="I903" i="1"/>
  <c r="H903" i="1"/>
  <c r="X902" i="1"/>
  <c r="W902" i="1"/>
  <c r="V902" i="1"/>
  <c r="U902" i="1"/>
  <c r="N902" i="1"/>
  <c r="X901" i="1"/>
  <c r="W901" i="1"/>
  <c r="U901" i="1"/>
  <c r="P901" i="1"/>
  <c r="B901" i="1" s="1"/>
  <c r="L901" i="1"/>
  <c r="X900" i="1"/>
  <c r="W900" i="1"/>
  <c r="V900" i="1"/>
  <c r="U900" i="1"/>
  <c r="N900" i="1"/>
  <c r="X899" i="1"/>
  <c r="W899" i="1"/>
  <c r="V899" i="1"/>
  <c r="U899" i="1"/>
  <c r="N899" i="1"/>
  <c r="I5929" i="1"/>
  <c r="L5929" i="1" s="1"/>
  <c r="X5929" i="1"/>
  <c r="W5929" i="1"/>
  <c r="U5929" i="1"/>
  <c r="P5929" i="1"/>
  <c r="B5929" i="1" s="1"/>
  <c r="X5928" i="1"/>
  <c r="W5928" i="1"/>
  <c r="U5928" i="1"/>
  <c r="P5928" i="1"/>
  <c r="B5928" i="1" s="1"/>
  <c r="L5928" i="1"/>
  <c r="R901" i="1" l="1"/>
  <c r="S901" i="1"/>
  <c r="R5929" i="1"/>
  <c r="S5929" i="1"/>
  <c r="S5928" i="1"/>
  <c r="R5928" i="1"/>
  <c r="V901" i="1"/>
  <c r="V5929" i="1"/>
  <c r="V5928" i="1"/>
  <c r="L903" i="1"/>
  <c r="N901" i="1"/>
  <c r="N903" i="1" s="1"/>
  <c r="N5929" i="1"/>
  <c r="N5928" i="1"/>
  <c r="X3055" i="1" l="1"/>
  <c r="W3055" i="1"/>
  <c r="U3055" i="1"/>
  <c r="P3055" i="1"/>
  <c r="B3055" i="1" s="1"/>
  <c r="L3055" i="1"/>
  <c r="S3055" i="1" l="1"/>
  <c r="R3055" i="1"/>
  <c r="V3055" i="1"/>
  <c r="N3055" i="1"/>
  <c r="X5379" i="1"/>
  <c r="W5379" i="1"/>
  <c r="V5379" i="1"/>
  <c r="U5379" i="1"/>
  <c r="M5379" i="1"/>
  <c r="K5379" i="1"/>
  <c r="I5379" i="1"/>
  <c r="H5379" i="1"/>
  <c r="X5378" i="1"/>
  <c r="W5378" i="1"/>
  <c r="V5378" i="1"/>
  <c r="U5378" i="1"/>
  <c r="N5378" i="1"/>
  <c r="X5377" i="1"/>
  <c r="W5377" i="1"/>
  <c r="U5377" i="1"/>
  <c r="P5377" i="1"/>
  <c r="B5377" i="1" s="1"/>
  <c r="L5377" i="1"/>
  <c r="X5376" i="1"/>
  <c r="W5376" i="1"/>
  <c r="V5376" i="1"/>
  <c r="U5376" i="1"/>
  <c r="N5376" i="1"/>
  <c r="X5375" i="1"/>
  <c r="W5375" i="1"/>
  <c r="V5375" i="1"/>
  <c r="U5375" i="1"/>
  <c r="N5375" i="1"/>
  <c r="S5377" i="1" l="1"/>
  <c r="R5377" i="1"/>
  <c r="N5377" i="1"/>
  <c r="N5379" i="1" s="1"/>
  <c r="L5379" i="1"/>
  <c r="V5377" i="1"/>
  <c r="X988" i="1"/>
  <c r="W988" i="1"/>
  <c r="V988" i="1"/>
  <c r="U988" i="1"/>
  <c r="M988" i="1"/>
  <c r="K988" i="1"/>
  <c r="I988" i="1"/>
  <c r="H988" i="1"/>
  <c r="X987" i="1"/>
  <c r="W987" i="1"/>
  <c r="V987" i="1"/>
  <c r="U987" i="1"/>
  <c r="N987" i="1"/>
  <c r="X986" i="1"/>
  <c r="W986" i="1"/>
  <c r="U986" i="1"/>
  <c r="P986" i="1"/>
  <c r="B986" i="1" s="1"/>
  <c r="L986" i="1"/>
  <c r="X985" i="1"/>
  <c r="W985" i="1"/>
  <c r="V985" i="1"/>
  <c r="U985" i="1"/>
  <c r="N985" i="1"/>
  <c r="X984" i="1"/>
  <c r="W984" i="1"/>
  <c r="V984" i="1"/>
  <c r="U984" i="1"/>
  <c r="N984" i="1"/>
  <c r="R986" i="1" l="1"/>
  <c r="S986" i="1"/>
  <c r="L988" i="1"/>
  <c r="N986" i="1"/>
  <c r="N988" i="1" s="1"/>
  <c r="V986" i="1"/>
  <c r="X5784" i="1" l="1"/>
  <c r="W5784" i="1"/>
  <c r="U5784" i="1"/>
  <c r="P5784" i="1"/>
  <c r="B5784" i="1" s="1"/>
  <c r="L5784" i="1"/>
  <c r="R5784" i="1" l="1"/>
  <c r="S5784" i="1"/>
  <c r="V5784" i="1"/>
  <c r="N5784" i="1"/>
  <c r="X858" i="1"/>
  <c r="W858" i="1"/>
  <c r="U858" i="1"/>
  <c r="P858" i="1"/>
  <c r="B858" i="1" s="1"/>
  <c r="L858" i="1"/>
  <c r="R858" i="1" l="1"/>
  <c r="S858" i="1"/>
  <c r="N858" i="1"/>
  <c r="V858" i="1"/>
  <c r="X4825" i="1"/>
  <c r="W4825" i="1"/>
  <c r="U4825" i="1"/>
  <c r="P4825" i="1"/>
  <c r="B4825" i="1" s="1"/>
  <c r="L4825" i="1"/>
  <c r="X5927" i="1"/>
  <c r="W5927" i="1"/>
  <c r="U5927" i="1"/>
  <c r="P5927" i="1"/>
  <c r="B5927" i="1" s="1"/>
  <c r="L5927" i="1"/>
  <c r="R4825" i="1" l="1"/>
  <c r="S4825" i="1"/>
  <c r="R5927" i="1"/>
  <c r="S5927" i="1"/>
  <c r="N5927" i="1"/>
  <c r="V4825" i="1"/>
  <c r="N4825" i="1"/>
  <c r="V5927" i="1"/>
  <c r="X5933" i="1"/>
  <c r="W5933" i="1"/>
  <c r="V5933" i="1"/>
  <c r="U5933" i="1"/>
  <c r="M5933" i="1"/>
  <c r="K5933" i="1"/>
  <c r="I5933" i="1"/>
  <c r="H5933" i="1"/>
  <c r="X5932" i="1"/>
  <c r="W5932" i="1"/>
  <c r="V5932" i="1"/>
  <c r="U5932" i="1"/>
  <c r="N5932" i="1"/>
  <c r="X5926" i="1"/>
  <c r="W5926" i="1"/>
  <c r="U5926" i="1"/>
  <c r="P5926" i="1"/>
  <c r="B5926" i="1" s="1"/>
  <c r="L5926" i="1"/>
  <c r="X5925" i="1"/>
  <c r="W5925" i="1"/>
  <c r="V5925" i="1"/>
  <c r="U5925" i="1"/>
  <c r="N5925" i="1"/>
  <c r="X5924" i="1"/>
  <c r="W5924" i="1"/>
  <c r="V5924" i="1"/>
  <c r="U5924" i="1"/>
  <c r="N5924" i="1"/>
  <c r="R5926" i="1" l="1"/>
  <c r="S5926" i="1"/>
  <c r="N5926" i="1"/>
  <c r="N5933" i="1" s="1"/>
  <c r="L5933" i="1"/>
  <c r="V5926" i="1"/>
  <c r="X2247" i="1" l="1"/>
  <c r="W2247" i="1"/>
  <c r="U2247" i="1"/>
  <c r="P2247" i="1"/>
  <c r="B2247" i="1" s="1"/>
  <c r="L2247" i="1"/>
  <c r="X924" i="1"/>
  <c r="W924" i="1"/>
  <c r="U924" i="1"/>
  <c r="P924" i="1"/>
  <c r="B924" i="1" s="1"/>
  <c r="L924" i="1"/>
  <c r="I5397" i="1"/>
  <c r="R924" i="1" l="1"/>
  <c r="S924" i="1"/>
  <c r="S2247" i="1"/>
  <c r="R2247" i="1"/>
  <c r="V924" i="1"/>
  <c r="V2247" i="1"/>
  <c r="N2247" i="1"/>
  <c r="N924" i="1"/>
  <c r="X5401" i="1" l="1"/>
  <c r="W5401" i="1"/>
  <c r="U5401" i="1"/>
  <c r="P5401" i="1"/>
  <c r="B5401" i="1" s="1"/>
  <c r="L5401" i="1"/>
  <c r="X3774" i="1"/>
  <c r="W3774" i="1"/>
  <c r="U3774" i="1"/>
  <c r="P3774" i="1"/>
  <c r="B3774" i="1" s="1"/>
  <c r="L3774" i="1"/>
  <c r="R3774" i="1" l="1"/>
  <c r="S3774" i="1"/>
  <c r="S5401" i="1"/>
  <c r="R5401" i="1"/>
  <c r="V5401" i="1"/>
  <c r="N5401" i="1"/>
  <c r="V3774" i="1"/>
  <c r="N3774" i="1"/>
  <c r="X1761" i="1" l="1"/>
  <c r="W1761" i="1"/>
  <c r="U1761" i="1"/>
  <c r="P1761" i="1"/>
  <c r="B1761" i="1" s="1"/>
  <c r="L1761" i="1"/>
  <c r="X1760" i="1"/>
  <c r="W1760" i="1"/>
  <c r="U1760" i="1"/>
  <c r="P1760" i="1"/>
  <c r="B1760" i="1" s="1"/>
  <c r="L1760" i="1"/>
  <c r="X1681" i="1"/>
  <c r="W1681" i="1"/>
  <c r="U1681" i="1"/>
  <c r="P1681" i="1"/>
  <c r="B1681" i="1" s="1"/>
  <c r="L1681" i="1"/>
  <c r="R1760" i="1" l="1"/>
  <c r="S1760" i="1"/>
  <c r="R1761" i="1"/>
  <c r="S1761" i="1"/>
  <c r="R1681" i="1"/>
  <c r="S1681" i="1"/>
  <c r="V1760" i="1"/>
  <c r="V1761" i="1"/>
  <c r="N1681" i="1"/>
  <c r="V1681" i="1"/>
  <c r="N1761" i="1"/>
  <c r="N1760" i="1"/>
  <c r="X2059" i="1"/>
  <c r="W2059" i="1"/>
  <c r="U2059" i="1"/>
  <c r="P2059" i="1"/>
  <c r="B2059" i="1" s="1"/>
  <c r="L2059" i="1"/>
  <c r="R2059" i="1" l="1"/>
  <c r="S2059" i="1"/>
  <c r="V2059" i="1"/>
  <c r="N2059" i="1"/>
  <c r="X6487" i="1" l="1"/>
  <c r="W6487" i="1"/>
  <c r="U6487" i="1"/>
  <c r="P6487" i="1"/>
  <c r="B6487" i="1" s="1"/>
  <c r="L6487" i="1"/>
  <c r="X6805" i="1"/>
  <c r="W6805" i="1"/>
  <c r="V6805" i="1"/>
  <c r="U6805" i="1"/>
  <c r="P6805" i="1"/>
  <c r="B6805" i="1" s="1"/>
  <c r="N6805" i="1"/>
  <c r="R6487" i="1" l="1"/>
  <c r="S6487" i="1"/>
  <c r="V6487" i="1"/>
  <c r="N6487" i="1"/>
  <c r="X4050" i="1" l="1"/>
  <c r="W4050" i="1"/>
  <c r="U4050" i="1"/>
  <c r="P4050" i="1"/>
  <c r="B4050" i="1" s="1"/>
  <c r="L4050" i="1"/>
  <c r="R4050" i="1" l="1"/>
  <c r="S4050" i="1"/>
  <c r="V4050" i="1"/>
  <c r="N4050" i="1"/>
  <c r="X747" i="1" l="1"/>
  <c r="W747" i="1"/>
  <c r="U747" i="1"/>
  <c r="P747" i="1"/>
  <c r="B747" i="1" s="1"/>
  <c r="L747" i="1"/>
  <c r="X3840" i="1"/>
  <c r="W3840" i="1"/>
  <c r="U3840" i="1"/>
  <c r="P3840" i="1"/>
  <c r="B3840" i="1" s="1"/>
  <c r="L3840" i="1"/>
  <c r="R3840" i="1" l="1"/>
  <c r="S3840" i="1"/>
  <c r="R747" i="1"/>
  <c r="S747" i="1"/>
  <c r="V747" i="1"/>
  <c r="V3840" i="1"/>
  <c r="N747" i="1"/>
  <c r="N3840" i="1"/>
  <c r="X2311" i="1" l="1"/>
  <c r="W2311" i="1"/>
  <c r="U2311" i="1"/>
  <c r="P2311" i="1"/>
  <c r="B2311" i="1" s="1"/>
  <c r="L2311" i="1"/>
  <c r="R2311" i="1" l="1"/>
  <c r="S2311" i="1"/>
  <c r="V2311" i="1"/>
  <c r="N2311" i="1"/>
  <c r="X957" i="1"/>
  <c r="W957" i="1"/>
  <c r="U957" i="1"/>
  <c r="P957" i="1"/>
  <c r="B957" i="1" s="1"/>
  <c r="L957" i="1"/>
  <c r="R957" i="1" l="1"/>
  <c r="S957" i="1"/>
  <c r="V957" i="1"/>
  <c r="N957" i="1"/>
  <c r="X4658" i="1"/>
  <c r="W4658" i="1"/>
  <c r="U4658" i="1"/>
  <c r="P4658" i="1"/>
  <c r="B4658" i="1" s="1"/>
  <c r="L4658" i="1"/>
  <c r="R4658" i="1" l="1"/>
  <c r="S4658" i="1"/>
  <c r="V4658" i="1"/>
  <c r="N4658" i="1"/>
  <c r="X1682" i="1" l="1"/>
  <c r="W1682" i="1"/>
  <c r="U1682" i="1"/>
  <c r="P1682" i="1"/>
  <c r="B1682" i="1" s="1"/>
  <c r="L1682" i="1"/>
  <c r="X518" i="1"/>
  <c r="W518" i="1"/>
  <c r="U518" i="1"/>
  <c r="P518" i="1"/>
  <c r="B518" i="1" s="1"/>
  <c r="L518" i="1"/>
  <c r="R1682" i="1" l="1"/>
  <c r="S1682" i="1"/>
  <c r="R518" i="1"/>
  <c r="S518" i="1"/>
  <c r="N518" i="1"/>
  <c r="V1682" i="1"/>
  <c r="N1682" i="1"/>
  <c r="V518" i="1"/>
  <c r="X519" i="1" l="1"/>
  <c r="W519" i="1"/>
  <c r="U519" i="1"/>
  <c r="P519" i="1"/>
  <c r="B519" i="1" s="1"/>
  <c r="L519" i="1"/>
  <c r="X1970" i="1"/>
  <c r="W1970" i="1"/>
  <c r="U1970" i="1"/>
  <c r="P1970" i="1"/>
  <c r="B1970" i="1" s="1"/>
  <c r="L1970" i="1"/>
  <c r="X3896" i="1"/>
  <c r="W3896" i="1"/>
  <c r="U3896" i="1"/>
  <c r="P3896" i="1"/>
  <c r="B3896" i="1" s="1"/>
  <c r="L3896" i="1"/>
  <c r="X3715" i="1"/>
  <c r="W3715" i="1"/>
  <c r="U3715" i="1"/>
  <c r="P3715" i="1"/>
  <c r="B3715" i="1" s="1"/>
  <c r="L3715" i="1"/>
  <c r="R1970" i="1" l="1"/>
  <c r="S1970" i="1"/>
  <c r="R3715" i="1"/>
  <c r="S3715" i="1"/>
  <c r="R519" i="1"/>
  <c r="S519" i="1"/>
  <c r="R3896" i="1"/>
  <c r="S3896" i="1"/>
  <c r="V1970" i="1"/>
  <c r="V519" i="1"/>
  <c r="V3896" i="1"/>
  <c r="N519" i="1"/>
  <c r="N1970" i="1"/>
  <c r="N3896" i="1"/>
  <c r="V3715" i="1"/>
  <c r="N3715" i="1"/>
  <c r="L6075" i="1" l="1"/>
  <c r="X6076" i="1"/>
  <c r="W6076" i="1"/>
  <c r="U6076" i="1"/>
  <c r="P6076" i="1"/>
  <c r="B6076" i="1" s="1"/>
  <c r="L6076" i="1"/>
  <c r="X6075" i="1"/>
  <c r="W6075" i="1"/>
  <c r="U6075" i="1"/>
  <c r="P6075" i="1"/>
  <c r="B6075" i="1" s="1"/>
  <c r="S6076" i="1" l="1"/>
  <c r="R6076" i="1"/>
  <c r="R6075" i="1"/>
  <c r="S6075" i="1"/>
  <c r="V6076" i="1"/>
  <c r="N6076" i="1"/>
  <c r="V6075" i="1"/>
  <c r="N6075" i="1"/>
  <c r="X3668" i="1"/>
  <c r="W3668" i="1"/>
  <c r="U3668" i="1"/>
  <c r="P3668" i="1"/>
  <c r="B3668" i="1" s="1"/>
  <c r="L3668" i="1"/>
  <c r="R3668" i="1" l="1"/>
  <c r="S3668" i="1"/>
  <c r="V3668" i="1"/>
  <c r="N3668" i="1"/>
  <c r="X5780" i="1" l="1"/>
  <c r="W5780" i="1"/>
  <c r="U5780" i="1"/>
  <c r="P5780" i="1"/>
  <c r="B5780" i="1" s="1"/>
  <c r="L5780" i="1"/>
  <c r="R5780" i="1" l="1"/>
  <c r="S5780" i="1"/>
  <c r="V5780" i="1"/>
  <c r="N5780" i="1"/>
  <c r="X2264" i="1"/>
  <c r="W2264" i="1"/>
  <c r="U2264" i="1"/>
  <c r="P2264" i="1"/>
  <c r="B2264" i="1" s="1"/>
  <c r="L2264" i="1"/>
  <c r="X776" i="1"/>
  <c r="W776" i="1"/>
  <c r="U776" i="1"/>
  <c r="P776" i="1"/>
  <c r="B776" i="1" s="1"/>
  <c r="L776" i="1"/>
  <c r="S776" i="1" l="1"/>
  <c r="R776" i="1"/>
  <c r="R2264" i="1"/>
  <c r="S2264" i="1"/>
  <c r="V2264" i="1"/>
  <c r="N2264" i="1"/>
  <c r="V776" i="1"/>
  <c r="N776" i="1"/>
  <c r="X6012" i="1" l="1"/>
  <c r="W6012" i="1"/>
  <c r="U6012" i="1"/>
  <c r="P6012" i="1"/>
  <c r="B6012" i="1" s="1"/>
  <c r="L6012" i="1"/>
  <c r="R6012" i="1" l="1"/>
  <c r="S6012" i="1"/>
  <c r="V6012" i="1"/>
  <c r="N6012" i="1"/>
  <c r="X919" i="1" l="1"/>
  <c r="W919" i="1"/>
  <c r="V919" i="1"/>
  <c r="U919" i="1"/>
  <c r="M919" i="1"/>
  <c r="K919" i="1"/>
  <c r="I919" i="1"/>
  <c r="H919" i="1"/>
  <c r="X918" i="1"/>
  <c r="W918" i="1"/>
  <c r="V918" i="1"/>
  <c r="U918" i="1"/>
  <c r="N918" i="1"/>
  <c r="X917" i="1"/>
  <c r="W917" i="1"/>
  <c r="U917" i="1"/>
  <c r="P917" i="1"/>
  <c r="B917" i="1" s="1"/>
  <c r="L917" i="1"/>
  <c r="X916" i="1"/>
  <c r="W916" i="1"/>
  <c r="V916" i="1"/>
  <c r="U916" i="1"/>
  <c r="N916" i="1"/>
  <c r="X915" i="1"/>
  <c r="W915" i="1"/>
  <c r="V915" i="1"/>
  <c r="U915" i="1"/>
  <c r="N915" i="1"/>
  <c r="R917" i="1" l="1"/>
  <c r="S917" i="1"/>
  <c r="N917" i="1"/>
  <c r="N919" i="1" s="1"/>
  <c r="L919" i="1"/>
  <c r="V917" i="1"/>
  <c r="X1407" i="1" l="1"/>
  <c r="W1407" i="1"/>
  <c r="U1407" i="1"/>
  <c r="P1407" i="1"/>
  <c r="B1407" i="1" s="1"/>
  <c r="L1407" i="1"/>
  <c r="R1407" i="1" l="1"/>
  <c r="S1407" i="1"/>
  <c r="V1407" i="1"/>
  <c r="N1407" i="1"/>
  <c r="X5144" i="1"/>
  <c r="W5144" i="1"/>
  <c r="U5144" i="1"/>
  <c r="P5144" i="1"/>
  <c r="B5144" i="1" s="1"/>
  <c r="L5144" i="1"/>
  <c r="R5144" i="1" l="1"/>
  <c r="S5144" i="1"/>
  <c r="V5144" i="1"/>
  <c r="N5144" i="1"/>
  <c r="X5947" i="1"/>
  <c r="W5947" i="1"/>
  <c r="U5947" i="1"/>
  <c r="P5947" i="1"/>
  <c r="B5947" i="1" s="1"/>
  <c r="L5947" i="1"/>
  <c r="R5947" i="1" l="1"/>
  <c r="S5947" i="1"/>
  <c r="V5947" i="1"/>
  <c r="N5947" i="1"/>
  <c r="X117" i="1" l="1"/>
  <c r="W117" i="1"/>
  <c r="U117" i="1"/>
  <c r="P117" i="1"/>
  <c r="B117" i="1" s="1"/>
  <c r="L117" i="1"/>
  <c r="R117" i="1" l="1"/>
  <c r="S117" i="1"/>
  <c r="V117" i="1"/>
  <c r="N117" i="1"/>
  <c r="X5942" i="1"/>
  <c r="W5942" i="1"/>
  <c r="U5942" i="1"/>
  <c r="P5942" i="1"/>
  <c r="B5942" i="1" s="1"/>
  <c r="L5942" i="1"/>
  <c r="R5942" i="1" l="1"/>
  <c r="S5942" i="1"/>
  <c r="V5942" i="1"/>
  <c r="N5942" i="1"/>
  <c r="X3699" i="1" l="1"/>
  <c r="W3699" i="1"/>
  <c r="U3699" i="1"/>
  <c r="P3699" i="1"/>
  <c r="B3699" i="1" s="1"/>
  <c r="L3699" i="1"/>
  <c r="R3699" i="1" l="1"/>
  <c r="S3699" i="1"/>
  <c r="V3699" i="1"/>
  <c r="N3699" i="1"/>
  <c r="X5261" i="1" l="1"/>
  <c r="W5261" i="1"/>
  <c r="U5261" i="1"/>
  <c r="P5261" i="1"/>
  <c r="B5261" i="1" s="1"/>
  <c r="L5261" i="1"/>
  <c r="X1790" i="1"/>
  <c r="W1790" i="1"/>
  <c r="U1790" i="1"/>
  <c r="P1790" i="1"/>
  <c r="B1790" i="1" s="1"/>
  <c r="L1790" i="1"/>
  <c r="X1791" i="1"/>
  <c r="W1791" i="1"/>
  <c r="U1791" i="1"/>
  <c r="P1791" i="1"/>
  <c r="B1791" i="1" s="1"/>
  <c r="L1791" i="1"/>
  <c r="R1790" i="1" l="1"/>
  <c r="S1790" i="1"/>
  <c r="R5261" i="1"/>
  <c r="S5261" i="1"/>
  <c r="R1791" i="1"/>
  <c r="S1791" i="1"/>
  <c r="V5261" i="1"/>
  <c r="N1790" i="1"/>
  <c r="V1791" i="1"/>
  <c r="N1791" i="1"/>
  <c r="N5261" i="1"/>
  <c r="V1790" i="1"/>
  <c r="X5079" i="1" l="1"/>
  <c r="W5079" i="1"/>
  <c r="U5079" i="1"/>
  <c r="P5079" i="1"/>
  <c r="B5079" i="1" s="1"/>
  <c r="L5079" i="1"/>
  <c r="R5079" i="1" l="1"/>
  <c r="S5079" i="1"/>
  <c r="N5079" i="1"/>
  <c r="V5079" i="1"/>
  <c r="X3666" i="1" l="1"/>
  <c r="W3666" i="1"/>
  <c r="U3666" i="1"/>
  <c r="P3666" i="1"/>
  <c r="B3666" i="1" s="1"/>
  <c r="L3666" i="1"/>
  <c r="X3665" i="1"/>
  <c r="W3665" i="1"/>
  <c r="U3665" i="1"/>
  <c r="P3665" i="1"/>
  <c r="B3665" i="1" s="1"/>
  <c r="L3665" i="1"/>
  <c r="R3665" i="1" l="1"/>
  <c r="S3665" i="1"/>
  <c r="R3666" i="1"/>
  <c r="S3666" i="1"/>
  <c r="V3665" i="1"/>
  <c r="N3666" i="1"/>
  <c r="V3666" i="1"/>
  <c r="N3665" i="1"/>
  <c r="X965" i="1"/>
  <c r="W965" i="1"/>
  <c r="U965" i="1"/>
  <c r="P965" i="1"/>
  <c r="B965" i="1" s="1"/>
  <c r="L965" i="1"/>
  <c r="R965" i="1" l="1"/>
  <c r="S965" i="1"/>
  <c r="N965" i="1"/>
  <c r="V965" i="1"/>
  <c r="X3952" i="1"/>
  <c r="W3952" i="1"/>
  <c r="U3952" i="1"/>
  <c r="P3952" i="1"/>
  <c r="B3952" i="1" s="1"/>
  <c r="L3952" i="1"/>
  <c r="R3952" i="1" l="1"/>
  <c r="S3952" i="1"/>
  <c r="V3952" i="1"/>
  <c r="N3952" i="1"/>
  <c r="X2245" i="1" l="1"/>
  <c r="W2245" i="1"/>
  <c r="U2245" i="1"/>
  <c r="P2245" i="1"/>
  <c r="B2245" i="1" s="1"/>
  <c r="L2245" i="1"/>
  <c r="R2245" i="1" l="1"/>
  <c r="S2245" i="1"/>
  <c r="N2245" i="1"/>
  <c r="V2245" i="1"/>
  <c r="X755" i="1"/>
  <c r="W755" i="1"/>
  <c r="U755" i="1"/>
  <c r="P755" i="1"/>
  <c r="B755" i="1" s="1"/>
  <c r="L755" i="1"/>
  <c r="R755" i="1" l="1"/>
  <c r="S755" i="1"/>
  <c r="V755" i="1"/>
  <c r="N755" i="1"/>
  <c r="X5569" i="1"/>
  <c r="W5569" i="1"/>
  <c r="U5569" i="1"/>
  <c r="P5569" i="1"/>
  <c r="B5569" i="1" s="1"/>
  <c r="L5569" i="1"/>
  <c r="R5569" i="1" l="1"/>
  <c r="S5569" i="1"/>
  <c r="V5569" i="1"/>
  <c r="N5569" i="1"/>
  <c r="X6803" i="1" l="1"/>
  <c r="W6803" i="1"/>
  <c r="V6803" i="1"/>
  <c r="U6803" i="1"/>
  <c r="P6803" i="1"/>
  <c r="B6803" i="1" s="1"/>
  <c r="N6803" i="1"/>
  <c r="X6059" i="1"/>
  <c r="W6059" i="1"/>
  <c r="U6059" i="1"/>
  <c r="P6059" i="1"/>
  <c r="B6059" i="1" s="1"/>
  <c r="L6059" i="1"/>
  <c r="R6059" i="1" l="1"/>
  <c r="S6059" i="1"/>
  <c r="V6059" i="1"/>
  <c r="N6059" i="1"/>
  <c r="X5468" i="1" l="1"/>
  <c r="W5468" i="1"/>
  <c r="U5468" i="1"/>
  <c r="P5468" i="1"/>
  <c r="B5468" i="1" s="1"/>
  <c r="L5468" i="1"/>
  <c r="R5468" i="1" l="1"/>
  <c r="S5468" i="1"/>
  <c r="V5468" i="1"/>
  <c r="N5468" i="1"/>
  <c r="X2174" i="1" l="1"/>
  <c r="W2174" i="1"/>
  <c r="U2174" i="1"/>
  <c r="P2174" i="1"/>
  <c r="B2174" i="1" s="1"/>
  <c r="L2174" i="1"/>
  <c r="R2174" i="1" l="1"/>
  <c r="S2174" i="1"/>
  <c r="N2174" i="1"/>
  <c r="V2174" i="1"/>
  <c r="X2175" i="1"/>
  <c r="W2175" i="1"/>
  <c r="U2175" i="1"/>
  <c r="P2175" i="1"/>
  <c r="B2175" i="1" s="1"/>
  <c r="L2175" i="1"/>
  <c r="R2175" i="1" l="1"/>
  <c r="S2175" i="1"/>
  <c r="N2175" i="1"/>
  <c r="V2175" i="1"/>
  <c r="X2047" i="1"/>
  <c r="W2047" i="1"/>
  <c r="U2047" i="1"/>
  <c r="P2047" i="1"/>
  <c r="B2047" i="1" s="1"/>
  <c r="L2047" i="1"/>
  <c r="X2048" i="1"/>
  <c r="W2048" i="1"/>
  <c r="U2048" i="1"/>
  <c r="P2048" i="1"/>
  <c r="B2048" i="1" s="1"/>
  <c r="L2048" i="1"/>
  <c r="R2047" i="1" l="1"/>
  <c r="S2047" i="1"/>
  <c r="R2048" i="1"/>
  <c r="S2048" i="1"/>
  <c r="N2047" i="1"/>
  <c r="V2048" i="1"/>
  <c r="V2047" i="1"/>
  <c r="N2048" i="1"/>
  <c r="X6351" i="1" l="1"/>
  <c r="W6351" i="1"/>
  <c r="U6351" i="1"/>
  <c r="P6351" i="1"/>
  <c r="B6351" i="1" s="1"/>
  <c r="L6351" i="1"/>
  <c r="R6351" i="1" l="1"/>
  <c r="S6351" i="1"/>
  <c r="V6351" i="1"/>
  <c r="N6351" i="1"/>
  <c r="X2178" i="1" l="1"/>
  <c r="W2178" i="1"/>
  <c r="U2178" i="1"/>
  <c r="P2178" i="1"/>
  <c r="B2178" i="1" s="1"/>
  <c r="L2178" i="1"/>
  <c r="X2177" i="1"/>
  <c r="W2177" i="1"/>
  <c r="U2177" i="1"/>
  <c r="P2177" i="1"/>
  <c r="B2177" i="1" s="1"/>
  <c r="L2177" i="1"/>
  <c r="R2177" i="1" l="1"/>
  <c r="S2177" i="1"/>
  <c r="R2178" i="1"/>
  <c r="S2178" i="1"/>
  <c r="N2178" i="1"/>
  <c r="V2178" i="1"/>
  <c r="V2177" i="1"/>
  <c r="N2177" i="1"/>
  <c r="X2147" i="1" l="1"/>
  <c r="W2147" i="1"/>
  <c r="U2147" i="1"/>
  <c r="P2147" i="1"/>
  <c r="B2147" i="1" s="1"/>
  <c r="L2147" i="1"/>
  <c r="X2246" i="1"/>
  <c r="W2246" i="1"/>
  <c r="U2246" i="1"/>
  <c r="P2246" i="1"/>
  <c r="B2246" i="1" s="1"/>
  <c r="L2246" i="1"/>
  <c r="R2246" i="1" l="1"/>
  <c r="S2246" i="1"/>
  <c r="R2147" i="1"/>
  <c r="S2147" i="1"/>
  <c r="V2147" i="1"/>
  <c r="N2147" i="1"/>
  <c r="V2246" i="1"/>
  <c r="N2246" i="1"/>
  <c r="X859" i="1" l="1"/>
  <c r="W859" i="1"/>
  <c r="U859" i="1"/>
  <c r="P859" i="1"/>
  <c r="B859" i="1" s="1"/>
  <c r="L859" i="1"/>
  <c r="R859" i="1" l="1"/>
  <c r="S859" i="1"/>
  <c r="N859" i="1"/>
  <c r="V859" i="1"/>
  <c r="I3791" i="1"/>
  <c r="L3791" i="1" s="1"/>
  <c r="X3791" i="1"/>
  <c r="W3791" i="1"/>
  <c r="U3791" i="1"/>
  <c r="P3791" i="1"/>
  <c r="B3791" i="1" s="1"/>
  <c r="X3945" i="1"/>
  <c r="W3945" i="1"/>
  <c r="U3945" i="1"/>
  <c r="P3945" i="1"/>
  <c r="B3945" i="1" s="1"/>
  <c r="L3945" i="1"/>
  <c r="X1213" i="1"/>
  <c r="W1213" i="1"/>
  <c r="U1213" i="1"/>
  <c r="P1213" i="1"/>
  <c r="B1213" i="1" s="1"/>
  <c r="L1213" i="1"/>
  <c r="X2689" i="1"/>
  <c r="W2689" i="1"/>
  <c r="U2689" i="1"/>
  <c r="P2689" i="1"/>
  <c r="B2689" i="1" s="1"/>
  <c r="L2689" i="1"/>
  <c r="R1213" i="1" l="1"/>
  <c r="S1213" i="1"/>
  <c r="R3791" i="1"/>
  <c r="S3791" i="1"/>
  <c r="R2689" i="1"/>
  <c r="S2689" i="1"/>
  <c r="R3945" i="1"/>
  <c r="S3945" i="1"/>
  <c r="V3945" i="1"/>
  <c r="V3791" i="1"/>
  <c r="V1213" i="1"/>
  <c r="N3791" i="1"/>
  <c r="N3945" i="1"/>
  <c r="N1213" i="1"/>
  <c r="V2689" i="1"/>
  <c r="N2689" i="1"/>
  <c r="X4200" i="1" l="1"/>
  <c r="W4200" i="1"/>
  <c r="U4200" i="1"/>
  <c r="P4200" i="1"/>
  <c r="B4200" i="1" s="1"/>
  <c r="L4200" i="1"/>
  <c r="R4200" i="1" l="1"/>
  <c r="S4200" i="1"/>
  <c r="V4200" i="1"/>
  <c r="N4200" i="1"/>
  <c r="X1710" i="1" l="1"/>
  <c r="W1710" i="1"/>
  <c r="U1710" i="1"/>
  <c r="P1710" i="1"/>
  <c r="B1710" i="1" s="1"/>
  <c r="L1710" i="1"/>
  <c r="R1710" i="1" l="1"/>
  <c r="S1710" i="1"/>
  <c r="V1710" i="1"/>
  <c r="N1710" i="1"/>
  <c r="X5094" i="1" l="1"/>
  <c r="W5094" i="1"/>
  <c r="U5094" i="1"/>
  <c r="P5094" i="1"/>
  <c r="B5094" i="1" s="1"/>
  <c r="L5094" i="1"/>
  <c r="X5770" i="1"/>
  <c r="W5770" i="1"/>
  <c r="U5770" i="1"/>
  <c r="P5770" i="1"/>
  <c r="B5770" i="1" s="1"/>
  <c r="L5770" i="1"/>
  <c r="R5770" i="1" l="1"/>
  <c r="S5770" i="1"/>
  <c r="R5094" i="1"/>
  <c r="S5094" i="1"/>
  <c r="V5094" i="1"/>
  <c r="N5094" i="1"/>
  <c r="V5770" i="1"/>
  <c r="N5770" i="1"/>
  <c r="X5319" i="1" l="1"/>
  <c r="W5319" i="1"/>
  <c r="U5319" i="1"/>
  <c r="P5319" i="1"/>
  <c r="B5319" i="1" s="1"/>
  <c r="L5319" i="1"/>
  <c r="R5319" i="1" l="1"/>
  <c r="S5319" i="1"/>
  <c r="N5319" i="1"/>
  <c r="V5319" i="1"/>
  <c r="X1942" i="1" l="1"/>
  <c r="W1942" i="1"/>
  <c r="U1942" i="1"/>
  <c r="P1942" i="1"/>
  <c r="B1942" i="1" s="1"/>
  <c r="L1942" i="1"/>
  <c r="R1942" i="1" l="1"/>
  <c r="S1942" i="1"/>
  <c r="V1942" i="1"/>
  <c r="N1942" i="1"/>
  <c r="X2321" i="1" l="1"/>
  <c r="W2321" i="1"/>
  <c r="U2321" i="1"/>
  <c r="P2321" i="1"/>
  <c r="B2321" i="1" s="1"/>
  <c r="L2321" i="1"/>
  <c r="S2321" i="1" l="1"/>
  <c r="R2321" i="1"/>
  <c r="V2321" i="1"/>
  <c r="N2321" i="1"/>
  <c r="X689" i="1"/>
  <c r="W689" i="1"/>
  <c r="U689" i="1"/>
  <c r="P689" i="1"/>
  <c r="B689" i="1" s="1"/>
  <c r="L689" i="1"/>
  <c r="R689" i="1" l="1"/>
  <c r="S689" i="1"/>
  <c r="N689" i="1"/>
  <c r="V689" i="1"/>
  <c r="X1773" i="1" l="1"/>
  <c r="W1773" i="1"/>
  <c r="U1773" i="1"/>
  <c r="P1773" i="1"/>
  <c r="B1773" i="1" s="1"/>
  <c r="L1773" i="1"/>
  <c r="R1773" i="1" l="1"/>
  <c r="S1773" i="1"/>
  <c r="V1773" i="1"/>
  <c r="N1773" i="1"/>
  <c r="X6136" i="1" l="1"/>
  <c r="W6136" i="1"/>
  <c r="U6136" i="1"/>
  <c r="P6136" i="1"/>
  <c r="B6136" i="1" s="1"/>
  <c r="L6136" i="1"/>
  <c r="X6124" i="1"/>
  <c r="W6124" i="1"/>
  <c r="U6124" i="1"/>
  <c r="P6124" i="1"/>
  <c r="B6124" i="1" s="1"/>
  <c r="L6124" i="1"/>
  <c r="L57" i="1"/>
  <c r="X57" i="1"/>
  <c r="W57" i="1"/>
  <c r="U57" i="1"/>
  <c r="P57" i="1"/>
  <c r="B57" i="1" s="1"/>
  <c r="R57" i="1" l="1"/>
  <c r="S57" i="1"/>
  <c r="R6136" i="1"/>
  <c r="S6136" i="1"/>
  <c r="R6124" i="1"/>
  <c r="S6124" i="1"/>
  <c r="N6136" i="1"/>
  <c r="V6136" i="1"/>
  <c r="V6124" i="1"/>
  <c r="N6124" i="1"/>
  <c r="V57" i="1"/>
  <c r="N57" i="1"/>
  <c r="X2090" i="1" l="1"/>
  <c r="W2090" i="1"/>
  <c r="U2090" i="1"/>
  <c r="P2090" i="1"/>
  <c r="B2090" i="1" s="1"/>
  <c r="L2090" i="1"/>
  <c r="R2090" i="1" l="1"/>
  <c r="S2090" i="1"/>
  <c r="N2090" i="1"/>
  <c r="V2090" i="1"/>
  <c r="X2030" i="1" l="1"/>
  <c r="W2030" i="1"/>
  <c r="U2030" i="1"/>
  <c r="P2030" i="1"/>
  <c r="B2030" i="1" s="1"/>
  <c r="L2030" i="1"/>
  <c r="X6498" i="1"/>
  <c r="W6498" i="1"/>
  <c r="U6498" i="1"/>
  <c r="P6498" i="1"/>
  <c r="B6498" i="1" s="1"/>
  <c r="L6498" i="1"/>
  <c r="R6498" i="1" l="1"/>
  <c r="S6498" i="1"/>
  <c r="R2030" i="1"/>
  <c r="S2030" i="1"/>
  <c r="V2030" i="1"/>
  <c r="N2030" i="1"/>
  <c r="V6498" i="1"/>
  <c r="N6498" i="1"/>
  <c r="X6809" i="1" l="1"/>
  <c r="W6809" i="1"/>
  <c r="V6809" i="1"/>
  <c r="U6809" i="1"/>
  <c r="P6809" i="1"/>
  <c r="B6809" i="1" s="1"/>
  <c r="N6809" i="1"/>
  <c r="X6883" i="1" l="1"/>
  <c r="W6883" i="1"/>
  <c r="V6883" i="1"/>
  <c r="U6883" i="1"/>
  <c r="X6880" i="1"/>
  <c r="W6880" i="1"/>
  <c r="V6880" i="1"/>
  <c r="U6880" i="1"/>
  <c r="X6875" i="1"/>
  <c r="W6875" i="1"/>
  <c r="V6875" i="1"/>
  <c r="U6875" i="1"/>
  <c r="X6874" i="1"/>
  <c r="W6874" i="1"/>
  <c r="V6874" i="1"/>
  <c r="U6874" i="1"/>
  <c r="X6873" i="1"/>
  <c r="W6873" i="1"/>
  <c r="V6873" i="1"/>
  <c r="U6873" i="1"/>
  <c r="X6872" i="1"/>
  <c r="W6872" i="1"/>
  <c r="V6872" i="1"/>
  <c r="U6872" i="1"/>
  <c r="X6871" i="1"/>
  <c r="W6871" i="1"/>
  <c r="V6871" i="1"/>
  <c r="U6871" i="1"/>
  <c r="X6870" i="1"/>
  <c r="W6870" i="1"/>
  <c r="V6870" i="1"/>
  <c r="U6870" i="1"/>
  <c r="X6868" i="1"/>
  <c r="W6868" i="1"/>
  <c r="V6868" i="1"/>
  <c r="U6868" i="1"/>
  <c r="X6865" i="1"/>
  <c r="W6865" i="1"/>
  <c r="V6865" i="1"/>
  <c r="U6865" i="1"/>
  <c r="X6864" i="1"/>
  <c r="W6864" i="1"/>
  <c r="V6864" i="1"/>
  <c r="U6864" i="1"/>
  <c r="X6863" i="1"/>
  <c r="W6863" i="1"/>
  <c r="V6863" i="1"/>
  <c r="U6863" i="1"/>
  <c r="X6850" i="1"/>
  <c r="W6850" i="1"/>
  <c r="V6850" i="1"/>
  <c r="U6850" i="1"/>
  <c r="X6857" i="1"/>
  <c r="W6857" i="1"/>
  <c r="V6857" i="1"/>
  <c r="U6857" i="1"/>
  <c r="X6854" i="1"/>
  <c r="W6854" i="1"/>
  <c r="V6854" i="1"/>
  <c r="U6854" i="1"/>
  <c r="X6826" i="1"/>
  <c r="W6826" i="1"/>
  <c r="V6826" i="1"/>
  <c r="U6826" i="1"/>
  <c r="X6813" i="1"/>
  <c r="W6813" i="1"/>
  <c r="V6813" i="1"/>
  <c r="U6813" i="1"/>
  <c r="X6812" i="1"/>
  <c r="W6812" i="1"/>
  <c r="V6812" i="1"/>
  <c r="U6812" i="1"/>
  <c r="X6811" i="1"/>
  <c r="W6811" i="1"/>
  <c r="V6811" i="1"/>
  <c r="U6811" i="1"/>
  <c r="X6810" i="1"/>
  <c r="W6810" i="1"/>
  <c r="V6810" i="1"/>
  <c r="U6810" i="1"/>
  <c r="X6808" i="1"/>
  <c r="W6808" i="1"/>
  <c r="V6808" i="1"/>
  <c r="U6808" i="1"/>
  <c r="X6807" i="1"/>
  <c r="W6807" i="1"/>
  <c r="V6807" i="1"/>
  <c r="U6807" i="1"/>
  <c r="X6806" i="1"/>
  <c r="W6806" i="1"/>
  <c r="V6806" i="1"/>
  <c r="U6806" i="1"/>
  <c r="X6800" i="1"/>
  <c r="W6800" i="1"/>
  <c r="V6800" i="1"/>
  <c r="U6800" i="1"/>
  <c r="P6808" i="1"/>
  <c r="B6808" i="1" s="1"/>
  <c r="N6808" i="1"/>
  <c r="V6888" i="1" l="1"/>
  <c r="W6888" i="1"/>
  <c r="U6888" i="1"/>
  <c r="X6888" i="1"/>
  <c r="X926" i="1" l="1"/>
  <c r="W926" i="1"/>
  <c r="V926" i="1"/>
  <c r="U926" i="1"/>
  <c r="M926" i="1"/>
  <c r="K926" i="1"/>
  <c r="I926" i="1"/>
  <c r="H926" i="1"/>
  <c r="X925" i="1"/>
  <c r="W925" i="1"/>
  <c r="V925" i="1"/>
  <c r="U925" i="1"/>
  <c r="N925" i="1"/>
  <c r="X922" i="1"/>
  <c r="W922" i="1"/>
  <c r="U922" i="1"/>
  <c r="P922" i="1"/>
  <c r="B922" i="1" s="1"/>
  <c r="L922" i="1"/>
  <c r="X921" i="1"/>
  <c r="W921" i="1"/>
  <c r="V921" i="1"/>
  <c r="U921" i="1"/>
  <c r="N921" i="1"/>
  <c r="X920" i="1"/>
  <c r="W920" i="1"/>
  <c r="V920" i="1"/>
  <c r="U920" i="1"/>
  <c r="N920" i="1"/>
  <c r="R922" i="1" l="1"/>
  <c r="S922" i="1"/>
  <c r="N922" i="1"/>
  <c r="N926" i="1" s="1"/>
  <c r="V922" i="1"/>
  <c r="L926" i="1"/>
  <c r="X5452" i="1" l="1"/>
  <c r="W5452" i="1"/>
  <c r="U5452" i="1"/>
  <c r="P5452" i="1"/>
  <c r="B5452" i="1" s="1"/>
  <c r="L5452" i="1"/>
  <c r="R5452" i="1" l="1"/>
  <c r="S5452" i="1"/>
  <c r="V5452" i="1"/>
  <c r="N5452" i="1"/>
  <c r="X4703" i="1" l="1"/>
  <c r="W4703" i="1"/>
  <c r="U4703" i="1"/>
  <c r="P4703" i="1"/>
  <c r="B4703" i="1" s="1"/>
  <c r="L4703" i="1"/>
  <c r="S4703" i="1" l="1"/>
  <c r="R4703" i="1"/>
  <c r="V4703" i="1"/>
  <c r="N4703" i="1"/>
  <c r="X2236" i="1" l="1"/>
  <c r="W2236" i="1"/>
  <c r="U2236" i="1"/>
  <c r="P2236" i="1"/>
  <c r="B2236" i="1" s="1"/>
  <c r="L2236" i="1"/>
  <c r="R2236" i="1" l="1"/>
  <c r="S2236" i="1"/>
  <c r="V2236" i="1"/>
  <c r="N2236" i="1"/>
  <c r="X3954" i="1" l="1"/>
  <c r="W3954" i="1"/>
  <c r="U3954" i="1"/>
  <c r="P3954" i="1"/>
  <c r="B3954" i="1" s="1"/>
  <c r="L3954" i="1"/>
  <c r="R3954" i="1" l="1"/>
  <c r="S3954" i="1"/>
  <c r="V3954" i="1"/>
  <c r="N3954" i="1"/>
  <c r="P6807" i="1" l="1"/>
  <c r="B6807" i="1" s="1"/>
  <c r="N6807" i="1"/>
  <c r="X2152" i="1" l="1"/>
  <c r="W2152" i="1"/>
  <c r="U2152" i="1"/>
  <c r="P2152" i="1"/>
  <c r="B2152" i="1" s="1"/>
  <c r="L2152" i="1"/>
  <c r="R2152" i="1" l="1"/>
  <c r="S2152" i="1"/>
  <c r="V2152" i="1"/>
  <c r="N2152" i="1"/>
  <c r="X4420" i="1" l="1"/>
  <c r="W4420" i="1"/>
  <c r="U4420" i="1"/>
  <c r="P4420" i="1"/>
  <c r="B4420" i="1" s="1"/>
  <c r="L4420" i="1"/>
  <c r="X1753" i="1"/>
  <c r="W1753" i="1"/>
  <c r="U1753" i="1"/>
  <c r="P1753" i="1"/>
  <c r="B1753" i="1" s="1"/>
  <c r="L1753" i="1"/>
  <c r="X1754" i="1"/>
  <c r="W1754" i="1"/>
  <c r="U1754" i="1"/>
  <c r="P1754" i="1"/>
  <c r="B1754" i="1" s="1"/>
  <c r="L1754" i="1"/>
  <c r="R1753" i="1" l="1"/>
  <c r="S1753" i="1"/>
  <c r="S4420" i="1"/>
  <c r="R4420" i="1"/>
  <c r="R1754" i="1"/>
  <c r="S1754" i="1"/>
  <c r="N1753" i="1"/>
  <c r="V4420" i="1"/>
  <c r="V1754" i="1"/>
  <c r="N4420" i="1"/>
  <c r="V1753" i="1"/>
  <c r="N1754" i="1"/>
  <c r="X2016" i="1" l="1"/>
  <c r="W2016" i="1"/>
  <c r="U2016" i="1"/>
  <c r="P2016" i="1"/>
  <c r="B2016" i="1" s="1"/>
  <c r="L2016" i="1"/>
  <c r="R2016" i="1" l="1"/>
  <c r="S2016" i="1"/>
  <c r="V2016" i="1"/>
  <c r="N2016" i="1"/>
  <c r="X4316" i="1" l="1"/>
  <c r="W4316" i="1"/>
  <c r="U4316" i="1"/>
  <c r="P4316" i="1"/>
  <c r="B4316" i="1" s="1"/>
  <c r="L4316" i="1"/>
  <c r="R4316" i="1" l="1"/>
  <c r="S4316" i="1"/>
  <c r="N4316" i="1"/>
  <c r="V4316" i="1"/>
  <c r="X6438" i="1" l="1"/>
  <c r="W6438" i="1"/>
  <c r="V6438" i="1"/>
  <c r="U6438" i="1"/>
  <c r="M6438" i="1"/>
  <c r="K6438" i="1"/>
  <c r="I6438" i="1"/>
  <c r="H6438" i="1"/>
  <c r="X6437" i="1"/>
  <c r="W6437" i="1"/>
  <c r="V6437" i="1"/>
  <c r="U6437" i="1"/>
  <c r="N6437" i="1"/>
  <c r="X6436" i="1"/>
  <c r="W6436" i="1"/>
  <c r="U6436" i="1"/>
  <c r="P6436" i="1"/>
  <c r="B6436" i="1" s="1"/>
  <c r="L6436" i="1"/>
  <c r="X6435" i="1"/>
  <c r="W6435" i="1"/>
  <c r="V6435" i="1"/>
  <c r="U6435" i="1"/>
  <c r="N6435" i="1"/>
  <c r="X6434" i="1"/>
  <c r="W6434" i="1"/>
  <c r="V6434" i="1"/>
  <c r="U6434" i="1"/>
  <c r="N6434" i="1"/>
  <c r="R6436" i="1" l="1"/>
  <c r="S6436" i="1"/>
  <c r="V6436" i="1"/>
  <c r="N6436" i="1"/>
  <c r="N6438" i="1" s="1"/>
  <c r="L6438" i="1"/>
  <c r="X2284" i="1" l="1"/>
  <c r="W2284" i="1"/>
  <c r="U2284" i="1"/>
  <c r="P2284" i="1"/>
  <c r="B2284" i="1" s="1"/>
  <c r="L2284" i="1"/>
  <c r="R2284" i="1" l="1"/>
  <c r="S2284" i="1"/>
  <c r="N2284" i="1"/>
  <c r="V2284" i="1"/>
  <c r="X2283" i="1"/>
  <c r="W2283" i="1"/>
  <c r="U2283" i="1"/>
  <c r="P2283" i="1"/>
  <c r="B2283" i="1" s="1"/>
  <c r="L2283" i="1"/>
  <c r="R2283" i="1" l="1"/>
  <c r="S2283" i="1"/>
  <c r="V2283" i="1"/>
  <c r="N2283" i="1"/>
  <c r="X2079" i="1"/>
  <c r="W2079" i="1"/>
  <c r="U2079" i="1"/>
  <c r="P2079" i="1"/>
  <c r="B2079" i="1" s="1"/>
  <c r="L2079" i="1"/>
  <c r="R2079" i="1" l="1"/>
  <c r="S2079" i="1"/>
  <c r="V2079" i="1"/>
  <c r="N2079" i="1"/>
  <c r="X823" i="1" l="1"/>
  <c r="W823" i="1"/>
  <c r="U823" i="1"/>
  <c r="P823" i="1"/>
  <c r="B823" i="1" s="1"/>
  <c r="L823" i="1"/>
  <c r="X3917" i="1"/>
  <c r="W3917" i="1"/>
  <c r="U3917" i="1"/>
  <c r="P3917" i="1"/>
  <c r="B3917" i="1" s="1"/>
  <c r="L3917" i="1"/>
  <c r="R3917" i="1" l="1"/>
  <c r="S3917" i="1"/>
  <c r="R823" i="1"/>
  <c r="S823" i="1"/>
  <c r="V823" i="1"/>
  <c r="N823" i="1"/>
  <c r="V3917" i="1"/>
  <c r="N3917" i="1"/>
  <c r="X77" i="1" l="1"/>
  <c r="W77" i="1"/>
  <c r="U77" i="1"/>
  <c r="P77" i="1"/>
  <c r="B77" i="1" s="1"/>
  <c r="L77" i="1"/>
  <c r="X4713" i="1"/>
  <c r="W4713" i="1"/>
  <c r="U4713" i="1"/>
  <c r="P4713" i="1"/>
  <c r="B4713" i="1" s="1"/>
  <c r="L4713" i="1"/>
  <c r="R77" i="1" l="1"/>
  <c r="S77" i="1"/>
  <c r="R4713" i="1"/>
  <c r="S4713" i="1"/>
  <c r="V4713" i="1"/>
  <c r="N77" i="1"/>
  <c r="V77" i="1"/>
  <c r="N4713" i="1"/>
  <c r="X635" i="1"/>
  <c r="W635" i="1"/>
  <c r="V635" i="1"/>
  <c r="U635" i="1"/>
  <c r="M635" i="1"/>
  <c r="K635" i="1"/>
  <c r="I635" i="1"/>
  <c r="H635" i="1"/>
  <c r="X634" i="1"/>
  <c r="W634" i="1"/>
  <c r="V634" i="1"/>
  <c r="U634" i="1"/>
  <c r="N634" i="1"/>
  <c r="X633" i="1"/>
  <c r="W633" i="1"/>
  <c r="U633" i="1"/>
  <c r="P633" i="1"/>
  <c r="B633" i="1" s="1"/>
  <c r="L633" i="1"/>
  <c r="X632" i="1"/>
  <c r="W632" i="1"/>
  <c r="V632" i="1"/>
  <c r="U632" i="1"/>
  <c r="N632" i="1"/>
  <c r="X631" i="1"/>
  <c r="W631" i="1"/>
  <c r="V631" i="1"/>
  <c r="U631" i="1"/>
  <c r="N631" i="1"/>
  <c r="R633" i="1" l="1"/>
  <c r="S633" i="1"/>
  <c r="L635" i="1"/>
  <c r="N633" i="1"/>
  <c r="N635" i="1" s="1"/>
  <c r="V633" i="1"/>
  <c r="X461" i="1" l="1"/>
  <c r="W461" i="1"/>
  <c r="U461" i="1"/>
  <c r="P461" i="1"/>
  <c r="B461" i="1" s="1"/>
  <c r="L461" i="1"/>
  <c r="R461" i="1" l="1"/>
  <c r="S461" i="1"/>
  <c r="N461" i="1"/>
  <c r="V461" i="1"/>
  <c r="X1321" i="1" l="1"/>
  <c r="W1321" i="1"/>
  <c r="U1321" i="1"/>
  <c r="P1321" i="1"/>
  <c r="B1321" i="1" s="1"/>
  <c r="L1321" i="1"/>
  <c r="R1321" i="1" l="1"/>
  <c r="S1321" i="1"/>
  <c r="V1321" i="1"/>
  <c r="N1321" i="1"/>
  <c r="X4927" i="1" l="1"/>
  <c r="W4927" i="1"/>
  <c r="U4927" i="1"/>
  <c r="P4927" i="1"/>
  <c r="B4927" i="1" s="1"/>
  <c r="L4927" i="1"/>
  <c r="R4927" i="1" l="1"/>
  <c r="S4927" i="1"/>
  <c r="V4927" i="1"/>
  <c r="N4927" i="1"/>
  <c r="X5873" i="1"/>
  <c r="W5873" i="1"/>
  <c r="U5873" i="1"/>
  <c r="P5873" i="1"/>
  <c r="B5873" i="1" s="1"/>
  <c r="L5873" i="1"/>
  <c r="R5873" i="1" l="1"/>
  <c r="S5873" i="1"/>
  <c r="V5873" i="1"/>
  <c r="N5873" i="1"/>
  <c r="X4305" i="1" l="1"/>
  <c r="W4305" i="1"/>
  <c r="U4305" i="1"/>
  <c r="P4305" i="1"/>
  <c r="B4305" i="1" s="1"/>
  <c r="H4305" i="1"/>
  <c r="L4305" i="1" s="1"/>
  <c r="R4305" i="1" l="1"/>
  <c r="S4305" i="1"/>
  <c r="V4305" i="1"/>
  <c r="N4305" i="1"/>
  <c r="X6543" i="1"/>
  <c r="W6543" i="1"/>
  <c r="U6543" i="1"/>
  <c r="P6543" i="1"/>
  <c r="B6543" i="1" s="1"/>
  <c r="L6543" i="1"/>
  <c r="R6543" i="1" l="1"/>
  <c r="S6543" i="1"/>
  <c r="V6543" i="1"/>
  <c r="N6543" i="1"/>
  <c r="X1409" i="1" l="1"/>
  <c r="W1409" i="1"/>
  <c r="U1409" i="1"/>
  <c r="P1409" i="1"/>
  <c r="B1409" i="1" s="1"/>
  <c r="L1409" i="1"/>
  <c r="X5120" i="1"/>
  <c r="W5120" i="1"/>
  <c r="U5120" i="1"/>
  <c r="P5120" i="1"/>
  <c r="B5120" i="1" s="1"/>
  <c r="L5120" i="1"/>
  <c r="X4692" i="1"/>
  <c r="W4692" i="1"/>
  <c r="U4692" i="1"/>
  <c r="P4692" i="1"/>
  <c r="B4692" i="1" s="1"/>
  <c r="L4692" i="1"/>
  <c r="R5120" i="1" l="1"/>
  <c r="S5120" i="1"/>
  <c r="R1409" i="1"/>
  <c r="S1409" i="1"/>
  <c r="R4692" i="1"/>
  <c r="S4692" i="1"/>
  <c r="V4692" i="1"/>
  <c r="V1409" i="1"/>
  <c r="V5120" i="1"/>
  <c r="N1409" i="1"/>
  <c r="N5120" i="1"/>
  <c r="N4692" i="1"/>
  <c r="X5156" i="1" l="1"/>
  <c r="W5156" i="1"/>
  <c r="U5156" i="1"/>
  <c r="P5156" i="1"/>
  <c r="B5156" i="1" s="1"/>
  <c r="L5156" i="1"/>
  <c r="R5156" i="1" l="1"/>
  <c r="S5156" i="1"/>
  <c r="V5156" i="1"/>
  <c r="N5156" i="1"/>
  <c r="X5208" i="1" l="1"/>
  <c r="W5208" i="1"/>
  <c r="V5208" i="1"/>
  <c r="U5208" i="1"/>
  <c r="M5208" i="1"/>
  <c r="I5208" i="1"/>
  <c r="H5208" i="1"/>
  <c r="X5207" i="1"/>
  <c r="W5207" i="1"/>
  <c r="V5207" i="1"/>
  <c r="U5207" i="1"/>
  <c r="N5207" i="1"/>
  <c r="K5208" i="1"/>
  <c r="X5206" i="1"/>
  <c r="W5206" i="1"/>
  <c r="U5206" i="1"/>
  <c r="P5206" i="1"/>
  <c r="B5206" i="1" s="1"/>
  <c r="L5206" i="1"/>
  <c r="X5205" i="1"/>
  <c r="W5205" i="1"/>
  <c r="V5205" i="1"/>
  <c r="U5205" i="1"/>
  <c r="N5205" i="1"/>
  <c r="X5204" i="1"/>
  <c r="W5204" i="1"/>
  <c r="V5204" i="1"/>
  <c r="U5204" i="1"/>
  <c r="N5204" i="1"/>
  <c r="S5206" i="1" l="1"/>
  <c r="R5206" i="1"/>
  <c r="L5208" i="1"/>
  <c r="N5206" i="1"/>
  <c r="N5208" i="1" s="1"/>
  <c r="V5206" i="1"/>
  <c r="X6718" i="1" l="1"/>
  <c r="W6718" i="1"/>
  <c r="U6718" i="1"/>
  <c r="P6718" i="1"/>
  <c r="B6718" i="1" s="1"/>
  <c r="L6718" i="1"/>
  <c r="R6718" i="1" l="1"/>
  <c r="S6718" i="1"/>
  <c r="V6718" i="1"/>
  <c r="N6718" i="1"/>
  <c r="X2148" i="1" l="1"/>
  <c r="W2148" i="1"/>
  <c r="U2148" i="1"/>
  <c r="P2148" i="1"/>
  <c r="B2148" i="1" s="1"/>
  <c r="L2148" i="1"/>
  <c r="R2148" i="1" l="1"/>
  <c r="S2148" i="1"/>
  <c r="N2148" i="1"/>
  <c r="V2148" i="1"/>
  <c r="X5664" i="1" l="1"/>
  <c r="W5664" i="1"/>
  <c r="U5664" i="1"/>
  <c r="P5664" i="1"/>
  <c r="B5664" i="1" s="1"/>
  <c r="L5664" i="1"/>
  <c r="R5664" i="1" l="1"/>
  <c r="S5664" i="1"/>
  <c r="V5664" i="1"/>
  <c r="N5664" i="1"/>
  <c r="X2194" i="1"/>
  <c r="W2194" i="1"/>
  <c r="U2194" i="1"/>
  <c r="P2194" i="1"/>
  <c r="B2194" i="1" s="1"/>
  <c r="L2194" i="1"/>
  <c r="R2194" i="1" l="1"/>
  <c r="S2194" i="1"/>
  <c r="V2194" i="1"/>
  <c r="N2194" i="1"/>
  <c r="X5739" i="1" l="1"/>
  <c r="W5739" i="1"/>
  <c r="U5739" i="1"/>
  <c r="P5739" i="1"/>
  <c r="B5739" i="1" s="1"/>
  <c r="L5739" i="1"/>
  <c r="X4954" i="1"/>
  <c r="W4954" i="1"/>
  <c r="U4954" i="1"/>
  <c r="P4954" i="1"/>
  <c r="B4954" i="1" s="1"/>
  <c r="L4954" i="1"/>
  <c r="R4954" i="1" l="1"/>
  <c r="S4954" i="1"/>
  <c r="R5739" i="1"/>
  <c r="S5739" i="1"/>
  <c r="V4954" i="1"/>
  <c r="N5739" i="1"/>
  <c r="V5739" i="1"/>
  <c r="N4954" i="1"/>
  <c r="X2709" i="1" l="1"/>
  <c r="W2709" i="1"/>
  <c r="U2709" i="1"/>
  <c r="P2709" i="1"/>
  <c r="B2709" i="1" s="1"/>
  <c r="L2709" i="1"/>
  <c r="S2709" i="1" l="1"/>
  <c r="R2709" i="1"/>
  <c r="V2709" i="1"/>
  <c r="N2709" i="1"/>
  <c r="X6258" i="1" l="1"/>
  <c r="W6258" i="1"/>
  <c r="U6258" i="1"/>
  <c r="P6258" i="1"/>
  <c r="B6258" i="1" s="1"/>
  <c r="L6258" i="1"/>
  <c r="R6258" i="1" l="1"/>
  <c r="S6258" i="1"/>
  <c r="V6258" i="1"/>
  <c r="N6258" i="1"/>
  <c r="X6013" i="1"/>
  <c r="W6013" i="1"/>
  <c r="U6013" i="1"/>
  <c r="P6013" i="1"/>
  <c r="B6013" i="1" s="1"/>
  <c r="L6013" i="1"/>
  <c r="X809" i="1"/>
  <c r="W809" i="1"/>
  <c r="U809" i="1"/>
  <c r="P809" i="1"/>
  <c r="B809" i="1" s="1"/>
  <c r="L809" i="1"/>
  <c r="R6013" i="1" l="1"/>
  <c r="S6013" i="1"/>
  <c r="R809" i="1"/>
  <c r="S809" i="1"/>
  <c r="N809" i="1"/>
  <c r="N6013" i="1"/>
  <c r="V6013" i="1"/>
  <c r="V809" i="1"/>
  <c r="X5090" i="1" l="1"/>
  <c r="W5090" i="1"/>
  <c r="U5090" i="1"/>
  <c r="P5090" i="1"/>
  <c r="B5090" i="1" s="1"/>
  <c r="L5090" i="1"/>
  <c r="S5090" i="1" l="1"/>
  <c r="R5090" i="1"/>
  <c r="V5090" i="1"/>
  <c r="N5090" i="1"/>
  <c r="X3664" i="1" l="1"/>
  <c r="W3664" i="1"/>
  <c r="U3664" i="1"/>
  <c r="P3664" i="1"/>
  <c r="B3664" i="1" s="1"/>
  <c r="L3664" i="1"/>
  <c r="R3664" i="1" l="1"/>
  <c r="S3664" i="1"/>
  <c r="V3664" i="1"/>
  <c r="N3664" i="1"/>
  <c r="X5567" i="1" l="1"/>
  <c r="W5567" i="1"/>
  <c r="U5567" i="1"/>
  <c r="P5567" i="1"/>
  <c r="B5567" i="1" s="1"/>
  <c r="L5567" i="1"/>
  <c r="S5567" i="1" l="1"/>
  <c r="R5567" i="1"/>
  <c r="V5567" i="1"/>
  <c r="N5567" i="1"/>
  <c r="X4813" i="1"/>
  <c r="W4813" i="1"/>
  <c r="U4813" i="1"/>
  <c r="P4813" i="1"/>
  <c r="B4813" i="1" s="1"/>
  <c r="L4813" i="1"/>
  <c r="R4813" i="1" l="1"/>
  <c r="S4813" i="1"/>
  <c r="N4813" i="1"/>
  <c r="V4813" i="1"/>
  <c r="X868" i="1"/>
  <c r="W868" i="1"/>
  <c r="U868" i="1"/>
  <c r="P868" i="1"/>
  <c r="B868" i="1" s="1"/>
  <c r="L868" i="1"/>
  <c r="R868" i="1" l="1"/>
  <c r="S868" i="1"/>
  <c r="V868" i="1"/>
  <c r="N868" i="1"/>
  <c r="X1361" i="1"/>
  <c r="W1361" i="1"/>
  <c r="U1361" i="1"/>
  <c r="P1361" i="1"/>
  <c r="B1361" i="1" s="1"/>
  <c r="L1361" i="1"/>
  <c r="R1361" i="1" l="1"/>
  <c r="S1361" i="1"/>
  <c r="V1361" i="1"/>
  <c r="N1361" i="1"/>
  <c r="X6590" i="1"/>
  <c r="W6590" i="1"/>
  <c r="V6590" i="1"/>
  <c r="U6590" i="1"/>
  <c r="M6590" i="1"/>
  <c r="K6590" i="1"/>
  <c r="I6590" i="1"/>
  <c r="H6590" i="1"/>
  <c r="X6589" i="1"/>
  <c r="W6589" i="1"/>
  <c r="V6589" i="1"/>
  <c r="U6589" i="1"/>
  <c r="N6589" i="1"/>
  <c r="X6588" i="1"/>
  <c r="W6588" i="1"/>
  <c r="U6588" i="1"/>
  <c r="P6588" i="1"/>
  <c r="B6588" i="1" s="1"/>
  <c r="L6588" i="1"/>
  <c r="X6587" i="1"/>
  <c r="W6587" i="1"/>
  <c r="V6587" i="1"/>
  <c r="U6587" i="1"/>
  <c r="N6587" i="1"/>
  <c r="X6586" i="1"/>
  <c r="W6586" i="1"/>
  <c r="V6586" i="1"/>
  <c r="U6586" i="1"/>
  <c r="N6586" i="1"/>
  <c r="R6588" i="1" l="1"/>
  <c r="S6588" i="1"/>
  <c r="V6588" i="1"/>
  <c r="N6588" i="1"/>
  <c r="N6590" i="1" s="1"/>
  <c r="L6590" i="1"/>
  <c r="X694" i="1"/>
  <c r="W694" i="1"/>
  <c r="U694" i="1"/>
  <c r="P694" i="1"/>
  <c r="B694" i="1" s="1"/>
  <c r="L694" i="1"/>
  <c r="X6224" i="1"/>
  <c r="W6224" i="1"/>
  <c r="U6224" i="1"/>
  <c r="P6224" i="1"/>
  <c r="B6224" i="1" s="1"/>
  <c r="L6224" i="1"/>
  <c r="R694" i="1" l="1"/>
  <c r="S694" i="1"/>
  <c r="R6224" i="1"/>
  <c r="S6224" i="1"/>
  <c r="N694" i="1"/>
  <c r="V6224" i="1"/>
  <c r="V694" i="1"/>
  <c r="N6224" i="1"/>
  <c r="X5632" i="1" l="1"/>
  <c r="W5632" i="1"/>
  <c r="U5632" i="1"/>
  <c r="P5632" i="1"/>
  <c r="B5632" i="1" s="1"/>
  <c r="L5632" i="1"/>
  <c r="X5236" i="1"/>
  <c r="W5236" i="1"/>
  <c r="U5236" i="1"/>
  <c r="P5236" i="1"/>
  <c r="B5236" i="1" s="1"/>
  <c r="L5236" i="1"/>
  <c r="R5236" i="1" l="1"/>
  <c r="S5236" i="1"/>
  <c r="R5632" i="1"/>
  <c r="S5632" i="1"/>
  <c r="V5236" i="1"/>
  <c r="V5632" i="1"/>
  <c r="N5632" i="1"/>
  <c r="N5236" i="1"/>
  <c r="X2031" i="1" l="1"/>
  <c r="W2031" i="1"/>
  <c r="U2031" i="1"/>
  <c r="P2031" i="1"/>
  <c r="B2031" i="1" s="1"/>
  <c r="L2031" i="1"/>
  <c r="R2031" i="1" l="1"/>
  <c r="S2031" i="1"/>
  <c r="V2031" i="1"/>
  <c r="N2031" i="1"/>
  <c r="X690" i="1"/>
  <c r="W690" i="1"/>
  <c r="U690" i="1"/>
  <c r="P690" i="1"/>
  <c r="B690" i="1" s="1"/>
  <c r="L690" i="1"/>
  <c r="R690" i="1" l="1"/>
  <c r="S690" i="1"/>
  <c r="N690" i="1"/>
  <c r="V690" i="1"/>
  <c r="X5589" i="1"/>
  <c r="W5589" i="1"/>
  <c r="U5589" i="1"/>
  <c r="P5589" i="1"/>
  <c r="B5589" i="1" s="1"/>
  <c r="L5589" i="1"/>
  <c r="L4109" i="1"/>
  <c r="X4109" i="1"/>
  <c r="W4109" i="1"/>
  <c r="U4109" i="1"/>
  <c r="P4109" i="1"/>
  <c r="B4109" i="1" s="1"/>
  <c r="S5589" i="1" l="1"/>
  <c r="R5589" i="1"/>
  <c r="R4109" i="1"/>
  <c r="S4109" i="1"/>
  <c r="V5589" i="1"/>
  <c r="N5589" i="1"/>
  <c r="V4109" i="1"/>
  <c r="N4109" i="1"/>
  <c r="L3807" i="1" l="1"/>
  <c r="X3807" i="1"/>
  <c r="W3807" i="1"/>
  <c r="U3807" i="1"/>
  <c r="P3807" i="1"/>
  <c r="B3807" i="1" s="1"/>
  <c r="R3807" i="1" l="1"/>
  <c r="S3807" i="1"/>
  <c r="V3807" i="1"/>
  <c r="N3807" i="1"/>
  <c r="X1285" i="1"/>
  <c r="W1285" i="1"/>
  <c r="V1285" i="1"/>
  <c r="U1285" i="1"/>
  <c r="M1285" i="1"/>
  <c r="I1285" i="1"/>
  <c r="H1285" i="1"/>
  <c r="X1284" i="1"/>
  <c r="W1284" i="1"/>
  <c r="V1284" i="1"/>
  <c r="U1284" i="1"/>
  <c r="N1284" i="1"/>
  <c r="K1285" i="1"/>
  <c r="X1283" i="1"/>
  <c r="W1283" i="1"/>
  <c r="U1283" i="1"/>
  <c r="P1283" i="1"/>
  <c r="B1283" i="1" s="1"/>
  <c r="L1283" i="1"/>
  <c r="X1282" i="1"/>
  <c r="W1282" i="1"/>
  <c r="V1282" i="1"/>
  <c r="U1282" i="1"/>
  <c r="N1282" i="1"/>
  <c r="X1281" i="1"/>
  <c r="W1281" i="1"/>
  <c r="V1281" i="1"/>
  <c r="U1281" i="1"/>
  <c r="N1281" i="1"/>
  <c r="R1283" i="1" l="1"/>
  <c r="N1283" i="1"/>
  <c r="N1285" i="1" s="1"/>
  <c r="V1283" i="1"/>
  <c r="L1285" i="1"/>
  <c r="X4784" i="1"/>
  <c r="W4784" i="1"/>
  <c r="U4784" i="1"/>
  <c r="P4784" i="1"/>
  <c r="B4784" i="1" s="1"/>
  <c r="L4784" i="1"/>
  <c r="R4784" i="1" l="1"/>
  <c r="S4784" i="1"/>
  <c r="V4784" i="1"/>
  <c r="N4784" i="1"/>
  <c r="X5717" i="1" l="1"/>
  <c r="W5717" i="1"/>
  <c r="U5717" i="1"/>
  <c r="P5717" i="1"/>
  <c r="B5717" i="1" s="1"/>
  <c r="L5717" i="1"/>
  <c r="X5454" i="1"/>
  <c r="W5454" i="1"/>
  <c r="U5454" i="1"/>
  <c r="P5454" i="1"/>
  <c r="B5454" i="1" s="1"/>
  <c r="L5454" i="1"/>
  <c r="R5454" i="1" l="1"/>
  <c r="S5454" i="1"/>
  <c r="R5717" i="1"/>
  <c r="S5717" i="1"/>
  <c r="N5717" i="1"/>
  <c r="V5717" i="1"/>
  <c r="N5454" i="1"/>
  <c r="V5454" i="1"/>
  <c r="X878" i="1" l="1"/>
  <c r="W878" i="1"/>
  <c r="U878" i="1"/>
  <c r="P878" i="1"/>
  <c r="B878" i="1" s="1"/>
  <c r="L878" i="1"/>
  <c r="L882" i="1"/>
  <c r="P882" i="1"/>
  <c r="B882" i="1" s="1"/>
  <c r="U882" i="1"/>
  <c r="W882" i="1"/>
  <c r="X882" i="1"/>
  <c r="R882" i="1" l="1"/>
  <c r="S882" i="1"/>
  <c r="R878" i="1"/>
  <c r="S878" i="1"/>
  <c r="N882" i="1"/>
  <c r="V882" i="1"/>
  <c r="N878" i="1"/>
  <c r="V878" i="1"/>
  <c r="X1690" i="1" l="1"/>
  <c r="W1690" i="1"/>
  <c r="V1690" i="1"/>
  <c r="U1690" i="1"/>
  <c r="M1690" i="1"/>
  <c r="K1690" i="1"/>
  <c r="I1690" i="1"/>
  <c r="H1690" i="1"/>
  <c r="X1689" i="1"/>
  <c r="W1689" i="1"/>
  <c r="V1689" i="1"/>
  <c r="U1689" i="1"/>
  <c r="N1689" i="1"/>
  <c r="X1688" i="1"/>
  <c r="W1688" i="1"/>
  <c r="U1688" i="1"/>
  <c r="P1688" i="1"/>
  <c r="B1688" i="1" s="1"/>
  <c r="L1688" i="1"/>
  <c r="X1687" i="1"/>
  <c r="W1687" i="1"/>
  <c r="V1687" i="1"/>
  <c r="U1687" i="1"/>
  <c r="N1687" i="1"/>
  <c r="X1686" i="1"/>
  <c r="W1686" i="1"/>
  <c r="V1686" i="1"/>
  <c r="U1686" i="1"/>
  <c r="N1686" i="1"/>
  <c r="X5152" i="1"/>
  <c r="W5152" i="1"/>
  <c r="U5152" i="1"/>
  <c r="P5152" i="1"/>
  <c r="B5152" i="1" s="1"/>
  <c r="L5152" i="1"/>
  <c r="R5152" i="1" l="1"/>
  <c r="S5152" i="1"/>
  <c r="R1688" i="1"/>
  <c r="S1688" i="1"/>
  <c r="V1688" i="1"/>
  <c r="L1690" i="1"/>
  <c r="N1688" i="1"/>
  <c r="N1690" i="1" s="1"/>
  <c r="V5152" i="1"/>
  <c r="N5152" i="1"/>
  <c r="X6233" i="1" l="1"/>
  <c r="W6233" i="1"/>
  <c r="U6233" i="1"/>
  <c r="P6233" i="1"/>
  <c r="B6233" i="1" s="1"/>
  <c r="L6233" i="1"/>
  <c r="R6233" i="1" l="1"/>
  <c r="S6233" i="1"/>
  <c r="V6233" i="1"/>
  <c r="N6233" i="1"/>
  <c r="X3443" i="1"/>
  <c r="W3443" i="1"/>
  <c r="U3443" i="1"/>
  <c r="P3443" i="1"/>
  <c r="B3443" i="1" s="1"/>
  <c r="L3443" i="1"/>
  <c r="R3443" i="1" l="1"/>
  <c r="S3443" i="1"/>
  <c r="V3443" i="1"/>
  <c r="N3443" i="1"/>
  <c r="X5865" i="1"/>
  <c r="W5865" i="1"/>
  <c r="U5865" i="1"/>
  <c r="P5865" i="1"/>
  <c r="B5865" i="1" s="1"/>
  <c r="L5865" i="1"/>
  <c r="R5865" i="1" l="1"/>
  <c r="S5865" i="1"/>
  <c r="V5865" i="1"/>
  <c r="N5865" i="1"/>
  <c r="X5631" i="1" l="1"/>
  <c r="W5631" i="1"/>
  <c r="U5631" i="1"/>
  <c r="P5631" i="1"/>
  <c r="B5631" i="1" s="1"/>
  <c r="L5631" i="1"/>
  <c r="R5631" i="1" l="1"/>
  <c r="S5631" i="1"/>
  <c r="V5631" i="1"/>
  <c r="N5631" i="1"/>
  <c r="X4384" i="1" l="1"/>
  <c r="W4384" i="1"/>
  <c r="U4384" i="1"/>
  <c r="P4384" i="1"/>
  <c r="B4384" i="1" s="1"/>
  <c r="L4384" i="1"/>
  <c r="S4384" i="1" s="1"/>
  <c r="R4384" i="1" l="1"/>
  <c r="V4384" i="1"/>
  <c r="N4384" i="1"/>
  <c r="X5100" i="1"/>
  <c r="W5100" i="1"/>
  <c r="U5100" i="1"/>
  <c r="P5100" i="1"/>
  <c r="B5100" i="1" s="1"/>
  <c r="L5100" i="1"/>
  <c r="R5100" i="1" l="1"/>
  <c r="S5100" i="1"/>
  <c r="V5100" i="1"/>
  <c r="N5100" i="1"/>
  <c r="X1290" i="1" l="1"/>
  <c r="W1290" i="1"/>
  <c r="U1290" i="1"/>
  <c r="P1290" i="1"/>
  <c r="B1290" i="1" s="1"/>
  <c r="L1290" i="1"/>
  <c r="X3888" i="1"/>
  <c r="W3888" i="1"/>
  <c r="U3888" i="1"/>
  <c r="P3888" i="1"/>
  <c r="B3888" i="1" s="1"/>
  <c r="L3888" i="1"/>
  <c r="R3888" i="1" l="1"/>
  <c r="S3888" i="1"/>
  <c r="R1290" i="1"/>
  <c r="S1290" i="1"/>
  <c r="V3888" i="1"/>
  <c r="V1290" i="1"/>
  <c r="N1290" i="1"/>
  <c r="N3888" i="1"/>
  <c r="X4044" i="1" l="1"/>
  <c r="W4044" i="1"/>
  <c r="V4044" i="1"/>
  <c r="U4044" i="1"/>
  <c r="M4044" i="1"/>
  <c r="K4044" i="1"/>
  <c r="I4044" i="1"/>
  <c r="H4044" i="1"/>
  <c r="X4043" i="1"/>
  <c r="W4043" i="1"/>
  <c r="V4043" i="1"/>
  <c r="U4043" i="1"/>
  <c r="N4043" i="1"/>
  <c r="X4042" i="1"/>
  <c r="W4042" i="1"/>
  <c r="U4042" i="1"/>
  <c r="P4042" i="1"/>
  <c r="B4042" i="1" s="1"/>
  <c r="L4042" i="1"/>
  <c r="X4041" i="1"/>
  <c r="W4041" i="1"/>
  <c r="V4041" i="1"/>
  <c r="U4041" i="1"/>
  <c r="N4041" i="1"/>
  <c r="X4040" i="1"/>
  <c r="W4040" i="1"/>
  <c r="V4040" i="1"/>
  <c r="U4040" i="1"/>
  <c r="N4040" i="1"/>
  <c r="R4042" i="1" l="1"/>
  <c r="S4042" i="1"/>
  <c r="N4042" i="1"/>
  <c r="N4044" i="1" s="1"/>
  <c r="L4044" i="1"/>
  <c r="V4042" i="1"/>
  <c r="X6480" i="1"/>
  <c r="W6480" i="1"/>
  <c r="U6480" i="1"/>
  <c r="P6480" i="1"/>
  <c r="B6480" i="1" s="1"/>
  <c r="L6480" i="1"/>
  <c r="R6480" i="1" l="1"/>
  <c r="S6480" i="1"/>
  <c r="V6480" i="1"/>
  <c r="N6480" i="1"/>
  <c r="X1776" i="1" l="1"/>
  <c r="W1776" i="1"/>
  <c r="V1776" i="1"/>
  <c r="U1776" i="1"/>
  <c r="M1776" i="1"/>
  <c r="K1776" i="1"/>
  <c r="I1776" i="1"/>
  <c r="H1776" i="1"/>
  <c r="X1775" i="1"/>
  <c r="W1775" i="1"/>
  <c r="V1775" i="1"/>
  <c r="U1775" i="1"/>
  <c r="N1775" i="1"/>
  <c r="X1774" i="1"/>
  <c r="W1774" i="1"/>
  <c r="U1774" i="1"/>
  <c r="P1774" i="1"/>
  <c r="B1774" i="1" s="1"/>
  <c r="L1774" i="1"/>
  <c r="X1772" i="1"/>
  <c r="W1772" i="1"/>
  <c r="U1772" i="1"/>
  <c r="P1772" i="1"/>
  <c r="B1772" i="1" s="1"/>
  <c r="L1772" i="1"/>
  <c r="X1771" i="1"/>
  <c r="W1771" i="1"/>
  <c r="V1771" i="1"/>
  <c r="U1771" i="1"/>
  <c r="N1771" i="1"/>
  <c r="X1770" i="1"/>
  <c r="W1770" i="1"/>
  <c r="V1770" i="1"/>
  <c r="U1770" i="1"/>
  <c r="N1770" i="1"/>
  <c r="R1774" i="1" l="1"/>
  <c r="S1774" i="1"/>
  <c r="R1772" i="1"/>
  <c r="S1772" i="1"/>
  <c r="V1774" i="1"/>
  <c r="V1772" i="1"/>
  <c r="N1774" i="1"/>
  <c r="N1772" i="1"/>
  <c r="L1776" i="1"/>
  <c r="N1776" i="1" l="1"/>
  <c r="X37" i="1"/>
  <c r="W37" i="1"/>
  <c r="U37" i="1"/>
  <c r="P37" i="1"/>
  <c r="B37" i="1" s="1"/>
  <c r="L37" i="1"/>
  <c r="R37" i="1" l="1"/>
  <c r="S37" i="1"/>
  <c r="V37" i="1"/>
  <c r="N37" i="1"/>
  <c r="X422" i="1" l="1"/>
  <c r="W422" i="1"/>
  <c r="U422" i="1"/>
  <c r="P422" i="1"/>
  <c r="B422" i="1" s="1"/>
  <c r="L422" i="1"/>
  <c r="X6576" i="1"/>
  <c r="W6576" i="1"/>
  <c r="U6576" i="1"/>
  <c r="P6576" i="1"/>
  <c r="B6576" i="1" s="1"/>
  <c r="L6576" i="1"/>
  <c r="R6576" i="1" l="1"/>
  <c r="S6576" i="1"/>
  <c r="R422" i="1"/>
  <c r="S422" i="1"/>
  <c r="V6576" i="1"/>
  <c r="N422" i="1"/>
  <c r="V422" i="1"/>
  <c r="N6576" i="1"/>
  <c r="X6756" i="1" l="1"/>
  <c r="W6756" i="1"/>
  <c r="U6756" i="1"/>
  <c r="P6756" i="1"/>
  <c r="B6756" i="1" s="1"/>
  <c r="L6756" i="1"/>
  <c r="R6756" i="1" l="1"/>
  <c r="S6756" i="1"/>
  <c r="V6756" i="1"/>
  <c r="N6756" i="1"/>
  <c r="X3828" i="1" l="1"/>
  <c r="W3828" i="1"/>
  <c r="U3828" i="1"/>
  <c r="P3828" i="1"/>
  <c r="B3828" i="1" s="1"/>
  <c r="L3828" i="1"/>
  <c r="R3828" i="1" l="1"/>
  <c r="S3828" i="1"/>
  <c r="V3828" i="1"/>
  <c r="N3828" i="1"/>
  <c r="X2098" i="1" l="1"/>
  <c r="W2098" i="1"/>
  <c r="U2098" i="1"/>
  <c r="P2098" i="1"/>
  <c r="B2098" i="1" s="1"/>
  <c r="L2098" i="1"/>
  <c r="R2098" i="1" l="1"/>
  <c r="S2098" i="1"/>
  <c r="V2098" i="1"/>
  <c r="N2098" i="1"/>
  <c r="X5238" i="1" l="1"/>
  <c r="W5238" i="1"/>
  <c r="U5238" i="1"/>
  <c r="P5238" i="1"/>
  <c r="B5238" i="1" s="1"/>
  <c r="L5238" i="1"/>
  <c r="X6722" i="1"/>
  <c r="W6722" i="1"/>
  <c r="U6722" i="1"/>
  <c r="P6722" i="1"/>
  <c r="B6722" i="1" s="1"/>
  <c r="L6722" i="1"/>
  <c r="R5238" i="1" l="1"/>
  <c r="S5238" i="1"/>
  <c r="R6722" i="1"/>
  <c r="S6722" i="1"/>
  <c r="V5238" i="1"/>
  <c r="N5238" i="1"/>
  <c r="V6722" i="1"/>
  <c r="N6722" i="1"/>
  <c r="X5636" i="1" l="1"/>
  <c r="W5636" i="1"/>
  <c r="U5636" i="1"/>
  <c r="P5636" i="1"/>
  <c r="B5636" i="1" s="1"/>
  <c r="L5636" i="1"/>
  <c r="X1362" i="1"/>
  <c r="W1362" i="1"/>
  <c r="U1362" i="1"/>
  <c r="P1362" i="1"/>
  <c r="B1362" i="1" s="1"/>
  <c r="L1362" i="1"/>
  <c r="R1362" i="1" l="1"/>
  <c r="S1362" i="1"/>
  <c r="R5636" i="1"/>
  <c r="S5636" i="1"/>
  <c r="V5636" i="1"/>
  <c r="V1362" i="1"/>
  <c r="N5636" i="1"/>
  <c r="N1362" i="1"/>
  <c r="X3852" i="1" l="1"/>
  <c r="W3852" i="1"/>
  <c r="U3852" i="1"/>
  <c r="P3852" i="1"/>
  <c r="B3852" i="1" s="1"/>
  <c r="L3852" i="1"/>
  <c r="R3852" i="1" l="1"/>
  <c r="S3852" i="1"/>
  <c r="V3852" i="1"/>
  <c r="N3852" i="1"/>
  <c r="X5325" i="1" l="1"/>
  <c r="W5325" i="1"/>
  <c r="U5325" i="1"/>
  <c r="P5325" i="1"/>
  <c r="B5325" i="1" s="1"/>
  <c r="L5325" i="1"/>
  <c r="R5325" i="1" l="1"/>
  <c r="S5325" i="1"/>
  <c r="V5325" i="1"/>
  <c r="N5325" i="1"/>
  <c r="X6418" i="1" l="1"/>
  <c r="W6418" i="1"/>
  <c r="V6418" i="1"/>
  <c r="U6418" i="1"/>
  <c r="M6418" i="1"/>
  <c r="K6418" i="1"/>
  <c r="I6418" i="1"/>
  <c r="H6418" i="1"/>
  <c r="X6417" i="1"/>
  <c r="W6417" i="1"/>
  <c r="V6417" i="1"/>
  <c r="U6417" i="1"/>
  <c r="N6417" i="1"/>
  <c r="X6416" i="1"/>
  <c r="W6416" i="1"/>
  <c r="U6416" i="1"/>
  <c r="P6416" i="1"/>
  <c r="B6416" i="1" s="1"/>
  <c r="L6416" i="1"/>
  <c r="X6415" i="1"/>
  <c r="W6415" i="1"/>
  <c r="V6415" i="1"/>
  <c r="U6415" i="1"/>
  <c r="N6415" i="1"/>
  <c r="X6414" i="1"/>
  <c r="W6414" i="1"/>
  <c r="V6414" i="1"/>
  <c r="U6414" i="1"/>
  <c r="N6414" i="1"/>
  <c r="R6416" i="1" l="1"/>
  <c r="S6416" i="1"/>
  <c r="V6416" i="1"/>
  <c r="N6416" i="1"/>
  <c r="N6418" i="1" s="1"/>
  <c r="L6418" i="1"/>
  <c r="X6775" i="1"/>
  <c r="W6775" i="1"/>
  <c r="U6775" i="1"/>
  <c r="P6775" i="1"/>
  <c r="B6775" i="1" s="1"/>
  <c r="L6775" i="1"/>
  <c r="X6774" i="1"/>
  <c r="W6774" i="1"/>
  <c r="U6774" i="1"/>
  <c r="P6774" i="1"/>
  <c r="B6774" i="1" s="1"/>
  <c r="L6774" i="1"/>
  <c r="R6775" i="1" l="1"/>
  <c r="S6775" i="1"/>
  <c r="R6774" i="1"/>
  <c r="S6774" i="1"/>
  <c r="V6775" i="1"/>
  <c r="V6774" i="1"/>
  <c r="N6775" i="1"/>
  <c r="N6774" i="1"/>
  <c r="X1408" i="1" l="1"/>
  <c r="W1408" i="1"/>
  <c r="U1408" i="1"/>
  <c r="P1408" i="1"/>
  <c r="B1408" i="1" s="1"/>
  <c r="L1408" i="1"/>
  <c r="R1408" i="1" l="1"/>
  <c r="S1408" i="1"/>
  <c r="V1408" i="1"/>
  <c r="N1408" i="1"/>
  <c r="X4191" i="1"/>
  <c r="W4191" i="1"/>
  <c r="U4191" i="1"/>
  <c r="P4191" i="1"/>
  <c r="B4191" i="1" s="1"/>
  <c r="L4191" i="1"/>
  <c r="X2262" i="1"/>
  <c r="W2262" i="1"/>
  <c r="U2262" i="1"/>
  <c r="P2262" i="1"/>
  <c r="B2262" i="1" s="1"/>
  <c r="L2262" i="1"/>
  <c r="R4191" i="1" l="1"/>
  <c r="S4191" i="1"/>
  <c r="R2262" i="1"/>
  <c r="S2262" i="1"/>
  <c r="V4191" i="1"/>
  <c r="N4191" i="1"/>
  <c r="V2262" i="1"/>
  <c r="N2262" i="1"/>
  <c r="X1865" i="1"/>
  <c r="W1865" i="1"/>
  <c r="U1865" i="1"/>
  <c r="P1865" i="1"/>
  <c r="B1865" i="1" s="1"/>
  <c r="L1865" i="1"/>
  <c r="R1865" i="1" l="1"/>
  <c r="S1865" i="1"/>
  <c r="V1865" i="1"/>
  <c r="N1865" i="1"/>
  <c r="X6725" i="1" l="1"/>
  <c r="W6725" i="1"/>
  <c r="U6725" i="1"/>
  <c r="P6725" i="1"/>
  <c r="B6725" i="1" s="1"/>
  <c r="L6725" i="1"/>
  <c r="R6725" i="1" l="1"/>
  <c r="S6725" i="1"/>
  <c r="V6725" i="1"/>
  <c r="N6725" i="1"/>
  <c r="X1533" i="1" l="1"/>
  <c r="W1533" i="1"/>
  <c r="U1533" i="1"/>
  <c r="P1533" i="1"/>
  <c r="B1533" i="1" s="1"/>
  <c r="L1533" i="1"/>
  <c r="X6316" i="1"/>
  <c r="W6316" i="1"/>
  <c r="U6316" i="1"/>
  <c r="P6316" i="1"/>
  <c r="B6316" i="1" s="1"/>
  <c r="L6316" i="1"/>
  <c r="R6316" i="1" l="1"/>
  <c r="S6316" i="1"/>
  <c r="R1533" i="1"/>
  <c r="S1533" i="1"/>
  <c r="V1533" i="1"/>
  <c r="N1533" i="1"/>
  <c r="V6316" i="1"/>
  <c r="N6316" i="1"/>
  <c r="X6580" i="1" l="1"/>
  <c r="W6580" i="1"/>
  <c r="U6580" i="1"/>
  <c r="P6580" i="1"/>
  <c r="B6580" i="1" s="1"/>
  <c r="L6580" i="1"/>
  <c r="R6580" i="1" l="1"/>
  <c r="S6580" i="1"/>
  <c r="V6580" i="1"/>
  <c r="N6580" i="1"/>
  <c r="X1862" i="1" l="1"/>
  <c r="W1862" i="1"/>
  <c r="U1862" i="1"/>
  <c r="P1862" i="1"/>
  <c r="B1862" i="1" s="1"/>
  <c r="L1862" i="1"/>
  <c r="R1862" i="1" l="1"/>
  <c r="S1862" i="1"/>
  <c r="N1862" i="1"/>
  <c r="V1862" i="1"/>
  <c r="X2091" i="1"/>
  <c r="W2091" i="1"/>
  <c r="U2091" i="1"/>
  <c r="P2091" i="1"/>
  <c r="B2091" i="1" s="1"/>
  <c r="L2091" i="1"/>
  <c r="R2091" i="1" l="1"/>
  <c r="S2091" i="1"/>
  <c r="V2091" i="1"/>
  <c r="N2091" i="1"/>
  <c r="X4608" i="1" l="1"/>
  <c r="W4608" i="1"/>
  <c r="U4608" i="1"/>
  <c r="P4608" i="1"/>
  <c r="B4608" i="1" s="1"/>
  <c r="L4608" i="1"/>
  <c r="R4608" i="1" l="1"/>
  <c r="S4608" i="1"/>
  <c r="V4608" i="1"/>
  <c r="N4608" i="1"/>
  <c r="X1858" i="1" l="1"/>
  <c r="W1858" i="1"/>
  <c r="U1858" i="1"/>
  <c r="P1858" i="1"/>
  <c r="B1858" i="1" s="1"/>
  <c r="L1858" i="1"/>
  <c r="R1858" i="1" l="1"/>
  <c r="S1858" i="1"/>
  <c r="V1858" i="1"/>
  <c r="N1858" i="1"/>
  <c r="X6578" i="1" l="1"/>
  <c r="W6578" i="1"/>
  <c r="U6578" i="1"/>
  <c r="P6578" i="1"/>
  <c r="B6578" i="1" s="1"/>
  <c r="L6578" i="1"/>
  <c r="R6578" i="1" l="1"/>
  <c r="S6578" i="1"/>
  <c r="V6578" i="1"/>
  <c r="N6578" i="1"/>
  <c r="X5948" i="1" l="1"/>
  <c r="W5948" i="1"/>
  <c r="U5948" i="1"/>
  <c r="P5948" i="1"/>
  <c r="B5948" i="1" s="1"/>
  <c r="L5948" i="1"/>
  <c r="R5948" i="1" l="1"/>
  <c r="S5948" i="1"/>
  <c r="V5948" i="1"/>
  <c r="N5948" i="1"/>
  <c r="X462" i="1" l="1"/>
  <c r="W462" i="1"/>
  <c r="U462" i="1"/>
  <c r="P462" i="1"/>
  <c r="B462" i="1" s="1"/>
  <c r="L462" i="1"/>
  <c r="R462" i="1" l="1"/>
  <c r="S462" i="1"/>
  <c r="V462" i="1"/>
  <c r="N462" i="1"/>
  <c r="X130" i="1" l="1"/>
  <c r="W130" i="1"/>
  <c r="U130" i="1"/>
  <c r="P130" i="1"/>
  <c r="B130" i="1" s="1"/>
  <c r="L130" i="1"/>
  <c r="R130" i="1" l="1"/>
  <c r="S130" i="1"/>
  <c r="V130" i="1"/>
  <c r="N130" i="1"/>
  <c r="X4809" i="1"/>
  <c r="W4809" i="1"/>
  <c r="U4809" i="1"/>
  <c r="P4809" i="1"/>
  <c r="B4809" i="1" s="1"/>
  <c r="L4809" i="1"/>
  <c r="R4809" i="1" l="1"/>
  <c r="S4809" i="1"/>
  <c r="V4809" i="1"/>
  <c r="N4809" i="1"/>
  <c r="X5333" i="1" l="1"/>
  <c r="W5333" i="1"/>
  <c r="U5333" i="1"/>
  <c r="P5333" i="1"/>
  <c r="B5333" i="1" s="1"/>
  <c r="L5333" i="1"/>
  <c r="R5333" i="1" l="1"/>
  <c r="S5333" i="1"/>
  <c r="V5333" i="1"/>
  <c r="N5333" i="1"/>
  <c r="X2701" i="1" l="1"/>
  <c r="W2701" i="1"/>
  <c r="U2701" i="1"/>
  <c r="P2701" i="1"/>
  <c r="B2701" i="1" s="1"/>
  <c r="L2701" i="1"/>
  <c r="R2701" i="1" l="1"/>
  <c r="S2701" i="1"/>
  <c r="V2701" i="1"/>
  <c r="N2701" i="1"/>
  <c r="X4419" i="1"/>
  <c r="W4419" i="1"/>
  <c r="U4419" i="1"/>
  <c r="P4419" i="1"/>
  <c r="B4419" i="1" s="1"/>
  <c r="L4419" i="1"/>
  <c r="R4419" i="1" l="1"/>
  <c r="S4419" i="1"/>
  <c r="V4419" i="1"/>
  <c r="N4419" i="1"/>
  <c r="X5736" i="1"/>
  <c r="W5736" i="1"/>
  <c r="U5736" i="1"/>
  <c r="P5736" i="1"/>
  <c r="B5736" i="1" s="1"/>
  <c r="L5736" i="1"/>
  <c r="S5736" i="1" l="1"/>
  <c r="R5736" i="1"/>
  <c r="V5736" i="1"/>
  <c r="N5736" i="1"/>
  <c r="X124" i="1" l="1"/>
  <c r="W124" i="1"/>
  <c r="U124" i="1"/>
  <c r="P124" i="1"/>
  <c r="B124" i="1" s="1"/>
  <c r="L124" i="1"/>
  <c r="I1645" i="1"/>
  <c r="R124" i="1" l="1"/>
  <c r="S124" i="1"/>
  <c r="V124" i="1"/>
  <c r="N124" i="1"/>
  <c r="X1645" i="1"/>
  <c r="W1645" i="1"/>
  <c r="U1645" i="1"/>
  <c r="P1645" i="1"/>
  <c r="B1645" i="1" s="1"/>
  <c r="L1645" i="1"/>
  <c r="R1645" i="1" l="1"/>
  <c r="S1645" i="1"/>
  <c r="V1645" i="1"/>
  <c r="N1645" i="1"/>
  <c r="X1324" i="1"/>
  <c r="W1324" i="1"/>
  <c r="U1324" i="1"/>
  <c r="P1324" i="1"/>
  <c r="B1324" i="1" s="1"/>
  <c r="L1324" i="1"/>
  <c r="R1324" i="1" l="1"/>
  <c r="S1324" i="1"/>
  <c r="V1324" i="1"/>
  <c r="N1324" i="1"/>
  <c r="X5901" i="1"/>
  <c r="W5901" i="1"/>
  <c r="U5901" i="1"/>
  <c r="P5901" i="1"/>
  <c r="B5901" i="1" s="1"/>
  <c r="L5901" i="1"/>
  <c r="R5901" i="1" l="1"/>
  <c r="S5901" i="1"/>
  <c r="V5901" i="1"/>
  <c r="N5901" i="1"/>
  <c r="X5019" i="1" l="1"/>
  <c r="W5019" i="1"/>
  <c r="U5019" i="1"/>
  <c r="P5019" i="1"/>
  <c r="B5019" i="1" s="1"/>
  <c r="L5019" i="1"/>
  <c r="R5019" i="1" l="1"/>
  <c r="S5019" i="1"/>
  <c r="V5019" i="1"/>
  <c r="N5019" i="1"/>
  <c r="X5656" i="1"/>
  <c r="W5656" i="1"/>
  <c r="U5656" i="1"/>
  <c r="P5656" i="1"/>
  <c r="B5656" i="1" s="1"/>
  <c r="L5656" i="1"/>
  <c r="R5656" i="1" l="1"/>
  <c r="S5656" i="1"/>
  <c r="V5656" i="1"/>
  <c r="N5656" i="1"/>
  <c r="X1551" i="1" l="1"/>
  <c r="W1551" i="1"/>
  <c r="U1551" i="1"/>
  <c r="P1551" i="1"/>
  <c r="B1551" i="1" s="1"/>
  <c r="L1551" i="1"/>
  <c r="R1551" i="1" l="1"/>
  <c r="S1551" i="1"/>
  <c r="V1551" i="1"/>
  <c r="N1551" i="1"/>
  <c r="X2305" i="1"/>
  <c r="W2305" i="1"/>
  <c r="U2305" i="1"/>
  <c r="P2305" i="1"/>
  <c r="B2305" i="1" s="1"/>
  <c r="I2305" i="1"/>
  <c r="L2305" i="1" s="1"/>
  <c r="S2305" i="1" l="1"/>
  <c r="R2305" i="1"/>
  <c r="V2305" i="1"/>
  <c r="N2305" i="1"/>
  <c r="X1586" i="1"/>
  <c r="W1586" i="1"/>
  <c r="U1586" i="1"/>
  <c r="P1586" i="1"/>
  <c r="B1586" i="1" s="1"/>
  <c r="L1586" i="1"/>
  <c r="R1586" i="1" l="1"/>
  <c r="S1586" i="1"/>
  <c r="N1586" i="1"/>
  <c r="V1586" i="1"/>
  <c r="X4975" i="1"/>
  <c r="W4975" i="1"/>
  <c r="U4975" i="1"/>
  <c r="P4975" i="1"/>
  <c r="B4975" i="1" s="1"/>
  <c r="L4975" i="1"/>
  <c r="R4975" i="1" l="1"/>
  <c r="S4975" i="1"/>
  <c r="V4975" i="1"/>
  <c r="N4975" i="1"/>
  <c r="X6353" i="1"/>
  <c r="W6353" i="1"/>
  <c r="U6353" i="1"/>
  <c r="P6353" i="1"/>
  <c r="B6353" i="1" s="1"/>
  <c r="L6353" i="1"/>
  <c r="S6353" i="1" l="1"/>
  <c r="R6353" i="1"/>
  <c r="V6353" i="1"/>
  <c r="N6353" i="1"/>
  <c r="X3681" i="1" l="1"/>
  <c r="W3681" i="1"/>
  <c r="U3681" i="1"/>
  <c r="P3681" i="1"/>
  <c r="B3681" i="1" s="1"/>
  <c r="L3681" i="1"/>
  <c r="R3681" i="1" l="1"/>
  <c r="S3681" i="1"/>
  <c r="N3681" i="1"/>
  <c r="V3681" i="1"/>
  <c r="X1332" i="1"/>
  <c r="W1332" i="1"/>
  <c r="U1332" i="1"/>
  <c r="P1332" i="1"/>
  <c r="B1332" i="1" s="1"/>
  <c r="L1332" i="1"/>
  <c r="R1332" i="1" l="1"/>
  <c r="S1332" i="1"/>
  <c r="N1332" i="1"/>
  <c r="V1332" i="1"/>
  <c r="I4899" i="1" l="1"/>
  <c r="X4899" i="1"/>
  <c r="W4899" i="1"/>
  <c r="U4899" i="1"/>
  <c r="P4899" i="1"/>
  <c r="B4899" i="1" s="1"/>
  <c r="L4899" i="1" l="1"/>
  <c r="X431" i="1"/>
  <c r="W431" i="1"/>
  <c r="U431" i="1"/>
  <c r="P431" i="1"/>
  <c r="B431" i="1" s="1"/>
  <c r="L431" i="1"/>
  <c r="R431" i="1" l="1"/>
  <c r="S431" i="1"/>
  <c r="R4899" i="1"/>
  <c r="S4899" i="1"/>
  <c r="V4899" i="1"/>
  <c r="N4899" i="1"/>
  <c r="V431" i="1"/>
  <c r="N431" i="1"/>
  <c r="X4684" i="1" l="1"/>
  <c r="W4684" i="1"/>
  <c r="V4684" i="1"/>
  <c r="U4684" i="1"/>
  <c r="M4684" i="1"/>
  <c r="K4684" i="1"/>
  <c r="I4684" i="1"/>
  <c r="H4684" i="1"/>
  <c r="X4683" i="1"/>
  <c r="W4683" i="1"/>
  <c r="V4683" i="1"/>
  <c r="U4683" i="1"/>
  <c r="N4683" i="1"/>
  <c r="X4681" i="1"/>
  <c r="W4681" i="1"/>
  <c r="U4681" i="1"/>
  <c r="P4681" i="1"/>
  <c r="B4681" i="1" s="1"/>
  <c r="L4681" i="1"/>
  <c r="X4680" i="1"/>
  <c r="W4680" i="1"/>
  <c r="V4680" i="1"/>
  <c r="U4680" i="1"/>
  <c r="N4680" i="1"/>
  <c r="X4679" i="1"/>
  <c r="W4679" i="1"/>
  <c r="V4679" i="1"/>
  <c r="U4679" i="1"/>
  <c r="N4679" i="1"/>
  <c r="R4681" i="1" l="1"/>
  <c r="S4681" i="1"/>
  <c r="L4684" i="1"/>
  <c r="N4681" i="1"/>
  <c r="N4684" i="1" s="1"/>
  <c r="V4681" i="1"/>
  <c r="L1335" i="1"/>
  <c r="X1335" i="1"/>
  <c r="W1335" i="1"/>
  <c r="U1335" i="1"/>
  <c r="P1335" i="1"/>
  <c r="B1335" i="1" s="1"/>
  <c r="R1335" i="1" l="1"/>
  <c r="S1335" i="1"/>
  <c r="V1335" i="1"/>
  <c r="N1335" i="1"/>
  <c r="X6499" i="1"/>
  <c r="W6499" i="1"/>
  <c r="U6499" i="1"/>
  <c r="P6499" i="1"/>
  <c r="B6499" i="1" s="1"/>
  <c r="L6499" i="1"/>
  <c r="R6499" i="1" l="1"/>
  <c r="S6499" i="1"/>
  <c r="N6499" i="1"/>
  <c r="V6499" i="1"/>
  <c r="X3765" i="1"/>
  <c r="W3765" i="1"/>
  <c r="V3765" i="1"/>
  <c r="U3765" i="1"/>
  <c r="M3765" i="1"/>
  <c r="K3765" i="1"/>
  <c r="I3765" i="1"/>
  <c r="H3765" i="1"/>
  <c r="X3764" i="1"/>
  <c r="W3764" i="1"/>
  <c r="V3764" i="1"/>
  <c r="U3764" i="1"/>
  <c r="N3764" i="1"/>
  <c r="X3763" i="1"/>
  <c r="W3763" i="1"/>
  <c r="U3763" i="1"/>
  <c r="P3763" i="1"/>
  <c r="B3763" i="1" s="1"/>
  <c r="L3763" i="1"/>
  <c r="X3762" i="1"/>
  <c r="W3762" i="1"/>
  <c r="V3762" i="1"/>
  <c r="U3762" i="1"/>
  <c r="N3762" i="1"/>
  <c r="X3761" i="1"/>
  <c r="W3761" i="1"/>
  <c r="V3761" i="1"/>
  <c r="U3761" i="1"/>
  <c r="N3761" i="1"/>
  <c r="R3763" i="1" l="1"/>
  <c r="S3763" i="1"/>
  <c r="L3765" i="1"/>
  <c r="V3763" i="1"/>
  <c r="N3763" i="1"/>
  <c r="N3765" i="1" s="1"/>
  <c r="X1747" i="1"/>
  <c r="W1747" i="1"/>
  <c r="U1747" i="1"/>
  <c r="P1747" i="1"/>
  <c r="B1747" i="1" s="1"/>
  <c r="L1747" i="1"/>
  <c r="R1747" i="1" l="1"/>
  <c r="S1747" i="1"/>
  <c r="V1747" i="1"/>
  <c r="N1747" i="1"/>
  <c r="X4637" i="1"/>
  <c r="W4637" i="1"/>
  <c r="U4637" i="1"/>
  <c r="P4637" i="1"/>
  <c r="B4637" i="1" s="1"/>
  <c r="L4637" i="1"/>
  <c r="R4637" i="1" l="1"/>
  <c r="S4637" i="1"/>
  <c r="V4637" i="1"/>
  <c r="N4637" i="1"/>
  <c r="X320" i="1"/>
  <c r="W320" i="1"/>
  <c r="U320" i="1"/>
  <c r="P320" i="1"/>
  <c r="B320" i="1" s="1"/>
  <c r="L320" i="1"/>
  <c r="R320" i="1" l="1"/>
  <c r="S320" i="1"/>
  <c r="V320" i="1"/>
  <c r="N320" i="1"/>
  <c r="X507" i="1"/>
  <c r="W507" i="1"/>
  <c r="U507" i="1"/>
  <c r="P507" i="1"/>
  <c r="B507" i="1" s="1"/>
  <c r="I507" i="1"/>
  <c r="L507" i="1" s="1"/>
  <c r="R507" i="1" l="1"/>
  <c r="S507" i="1"/>
  <c r="N507" i="1"/>
  <c r="V507" i="1"/>
  <c r="X1933" i="1" l="1"/>
  <c r="W1933" i="1"/>
  <c r="U1933" i="1"/>
  <c r="P1933" i="1"/>
  <c r="B1933" i="1" s="1"/>
  <c r="L1933" i="1"/>
  <c r="R1933" i="1" l="1"/>
  <c r="S1933" i="1"/>
  <c r="V1933" i="1"/>
  <c r="N1933" i="1"/>
  <c r="X2081" i="1"/>
  <c r="W2081" i="1"/>
  <c r="U2081" i="1"/>
  <c r="P2081" i="1"/>
  <c r="B2081" i="1" s="1"/>
  <c r="L2081" i="1"/>
  <c r="R2081" i="1" l="1"/>
  <c r="S2081" i="1"/>
  <c r="N2081" i="1"/>
  <c r="V2081" i="1"/>
  <c r="X2173" i="1" l="1"/>
  <c r="W2173" i="1"/>
  <c r="U2173" i="1"/>
  <c r="P2173" i="1"/>
  <c r="B2173" i="1" s="1"/>
  <c r="L2173" i="1"/>
  <c r="S2173" i="1" l="1"/>
  <c r="R2173" i="1"/>
  <c r="V2173" i="1"/>
  <c r="N2173" i="1"/>
  <c r="X4120" i="1" l="1"/>
  <c r="W4120" i="1"/>
  <c r="U4120" i="1"/>
  <c r="P4120" i="1"/>
  <c r="B4120" i="1" s="1"/>
  <c r="L4120" i="1"/>
  <c r="R4120" i="1" l="1"/>
  <c r="S4120" i="1"/>
  <c r="V4120" i="1"/>
  <c r="N4120" i="1"/>
  <c r="X5052" i="1" l="1"/>
  <c r="W5052" i="1"/>
  <c r="U5052" i="1"/>
  <c r="P5052" i="1"/>
  <c r="B5052" i="1" s="1"/>
  <c r="L5052" i="1"/>
  <c r="X4313" i="1"/>
  <c r="W4313" i="1"/>
  <c r="U4313" i="1"/>
  <c r="P4313" i="1"/>
  <c r="B4313" i="1" s="1"/>
  <c r="L4313" i="1"/>
  <c r="R4313" i="1" l="1"/>
  <c r="S4313" i="1"/>
  <c r="R5052" i="1"/>
  <c r="S5052" i="1"/>
  <c r="V4313" i="1"/>
  <c r="V5052" i="1"/>
  <c r="N5052" i="1"/>
  <c r="N4313" i="1"/>
  <c r="X5902" i="1"/>
  <c r="W5902" i="1"/>
  <c r="U5902" i="1"/>
  <c r="P5902" i="1"/>
  <c r="B5902" i="1" s="1"/>
  <c r="L5902" i="1"/>
  <c r="R5902" i="1" l="1"/>
  <c r="S5902" i="1"/>
  <c r="V5902" i="1"/>
  <c r="N5902" i="1"/>
  <c r="X5789" i="1"/>
  <c r="W5789" i="1"/>
  <c r="U5789" i="1"/>
  <c r="P5789" i="1"/>
  <c r="B5789" i="1" s="1"/>
  <c r="L5789" i="1"/>
  <c r="X1695" i="1"/>
  <c r="W1695" i="1"/>
  <c r="U1695" i="1"/>
  <c r="P1695" i="1"/>
  <c r="B1695" i="1" s="1"/>
  <c r="L1695" i="1"/>
  <c r="S1695" i="1" s="1"/>
  <c r="X6354" i="1"/>
  <c r="W6354" i="1"/>
  <c r="U6354" i="1"/>
  <c r="P6354" i="1"/>
  <c r="B6354" i="1" s="1"/>
  <c r="L6354" i="1"/>
  <c r="R5789" i="1" l="1"/>
  <c r="S5789" i="1"/>
  <c r="R6354" i="1"/>
  <c r="S6354" i="1"/>
  <c r="R1695" i="1"/>
  <c r="N6354" i="1"/>
  <c r="V6354" i="1"/>
  <c r="V5789" i="1"/>
  <c r="N5789" i="1"/>
  <c r="V1695" i="1"/>
  <c r="N1695" i="1"/>
  <c r="X908" i="1" l="1"/>
  <c r="W908" i="1"/>
  <c r="U908" i="1"/>
  <c r="P908" i="1"/>
  <c r="B908" i="1" s="1"/>
  <c r="L908" i="1"/>
  <c r="R908" i="1" l="1"/>
  <c r="S908" i="1"/>
  <c r="N908" i="1"/>
  <c r="V908" i="1"/>
  <c r="X3694" i="1" l="1"/>
  <c r="W3694" i="1"/>
  <c r="V3694" i="1"/>
  <c r="U3694" i="1"/>
  <c r="M3694" i="1"/>
  <c r="K3694" i="1"/>
  <c r="I3694" i="1"/>
  <c r="H3694" i="1"/>
  <c r="X3693" i="1"/>
  <c r="W3693" i="1"/>
  <c r="V3693" i="1"/>
  <c r="U3693" i="1"/>
  <c r="N3693" i="1"/>
  <c r="X3692" i="1"/>
  <c r="W3692" i="1"/>
  <c r="U3692" i="1"/>
  <c r="P3692" i="1"/>
  <c r="B3692" i="1" s="1"/>
  <c r="L3692" i="1"/>
  <c r="X3691" i="1"/>
  <c r="W3691" i="1"/>
  <c r="V3691" i="1"/>
  <c r="U3691" i="1"/>
  <c r="N3691" i="1"/>
  <c r="X3690" i="1"/>
  <c r="W3690" i="1"/>
  <c r="V3690" i="1"/>
  <c r="U3690" i="1"/>
  <c r="N3690" i="1"/>
  <c r="R3692" i="1" l="1"/>
  <c r="S3692" i="1"/>
  <c r="N3692" i="1"/>
  <c r="N3694" i="1" s="1"/>
  <c r="L3694" i="1"/>
  <c r="V3692" i="1"/>
  <c r="X5752" i="1" l="1"/>
  <c r="W5752" i="1"/>
  <c r="V5752" i="1"/>
  <c r="U5752" i="1"/>
  <c r="M5752" i="1"/>
  <c r="K5752" i="1"/>
  <c r="I5752" i="1"/>
  <c r="H5752" i="1"/>
  <c r="X5751" i="1"/>
  <c r="W5751" i="1"/>
  <c r="V5751" i="1"/>
  <c r="U5751" i="1"/>
  <c r="N5751" i="1"/>
  <c r="X5750" i="1"/>
  <c r="W5750" i="1"/>
  <c r="U5750" i="1"/>
  <c r="P5750" i="1"/>
  <c r="B5750" i="1" s="1"/>
  <c r="L5750" i="1"/>
  <c r="X5749" i="1"/>
  <c r="W5749" i="1"/>
  <c r="V5749" i="1"/>
  <c r="U5749" i="1"/>
  <c r="N5749" i="1"/>
  <c r="X5748" i="1"/>
  <c r="W5748" i="1"/>
  <c r="V5748" i="1"/>
  <c r="U5748" i="1"/>
  <c r="N5748" i="1"/>
  <c r="R5750" i="1" l="1"/>
  <c r="S5750" i="1"/>
  <c r="V5750" i="1"/>
  <c r="N5750" i="1"/>
  <c r="N5752" i="1" s="1"/>
  <c r="L5752" i="1"/>
  <c r="X616" i="1" l="1"/>
  <c r="W616" i="1"/>
  <c r="U616" i="1"/>
  <c r="P616" i="1"/>
  <c r="B616" i="1" s="1"/>
  <c r="L616" i="1"/>
  <c r="R616" i="1" l="1"/>
  <c r="S616" i="1"/>
  <c r="V616" i="1"/>
  <c r="N616" i="1"/>
  <c r="X1182" i="1" l="1"/>
  <c r="W1182" i="1"/>
  <c r="V1182" i="1"/>
  <c r="U1182" i="1"/>
  <c r="M1182" i="1"/>
  <c r="K1182" i="1"/>
  <c r="I1182" i="1"/>
  <c r="H1182" i="1"/>
  <c r="X1181" i="1"/>
  <c r="W1181" i="1"/>
  <c r="V1181" i="1"/>
  <c r="U1181" i="1"/>
  <c r="N1181" i="1"/>
  <c r="X1180" i="1"/>
  <c r="W1180" i="1"/>
  <c r="U1180" i="1"/>
  <c r="P1180" i="1"/>
  <c r="B1180" i="1" s="1"/>
  <c r="L1180" i="1"/>
  <c r="X1179" i="1"/>
  <c r="W1179" i="1"/>
  <c r="V1179" i="1"/>
  <c r="U1179" i="1"/>
  <c r="N1179" i="1"/>
  <c r="X1178" i="1"/>
  <c r="W1178" i="1"/>
  <c r="V1178" i="1"/>
  <c r="U1178" i="1"/>
  <c r="N1178" i="1"/>
  <c r="R1180" i="1" l="1"/>
  <c r="S1180" i="1"/>
  <c r="V1180" i="1"/>
  <c r="N1180" i="1"/>
  <c r="N1182" i="1" s="1"/>
  <c r="L1182" i="1"/>
  <c r="X1901" i="1" l="1"/>
  <c r="W1901" i="1"/>
  <c r="V1901" i="1"/>
  <c r="U1901" i="1"/>
  <c r="M1901" i="1"/>
  <c r="K1901" i="1"/>
  <c r="I1901" i="1"/>
  <c r="H1901" i="1"/>
  <c r="X1900" i="1"/>
  <c r="W1900" i="1"/>
  <c r="V1900" i="1"/>
  <c r="U1900" i="1"/>
  <c r="N1900" i="1"/>
  <c r="X1899" i="1"/>
  <c r="W1899" i="1"/>
  <c r="U1899" i="1"/>
  <c r="P1899" i="1"/>
  <c r="B1899" i="1" s="1"/>
  <c r="L1899" i="1"/>
  <c r="X1898" i="1"/>
  <c r="W1898" i="1"/>
  <c r="V1898" i="1"/>
  <c r="U1898" i="1"/>
  <c r="N1898" i="1"/>
  <c r="X1897" i="1"/>
  <c r="W1897" i="1"/>
  <c r="V1897" i="1"/>
  <c r="U1897" i="1"/>
  <c r="N1897" i="1"/>
  <c r="R1899" i="1" l="1"/>
  <c r="S1899" i="1"/>
  <c r="L1901" i="1"/>
  <c r="V1899" i="1"/>
  <c r="N1899" i="1"/>
  <c r="N1901" i="1" s="1"/>
  <c r="X3717" i="1"/>
  <c r="W3717" i="1"/>
  <c r="U3717" i="1"/>
  <c r="P3717" i="1"/>
  <c r="B3717" i="1" s="1"/>
  <c r="L3717" i="1"/>
  <c r="R3717" i="1" l="1"/>
  <c r="S3717" i="1"/>
  <c r="V3717" i="1"/>
  <c r="N3717" i="1"/>
  <c r="L277" i="1" l="1"/>
  <c r="X277" i="1"/>
  <c r="W277" i="1"/>
  <c r="U277" i="1"/>
  <c r="P277" i="1"/>
  <c r="B277" i="1" s="1"/>
  <c r="R277" i="1" l="1"/>
  <c r="S277" i="1"/>
  <c r="V277" i="1"/>
  <c r="N277" i="1"/>
  <c r="X1397" i="1" l="1"/>
  <c r="W1397" i="1"/>
  <c r="U1397" i="1"/>
  <c r="P1397" i="1"/>
  <c r="B1397" i="1" s="1"/>
  <c r="L1397" i="1"/>
  <c r="R1397" i="1" l="1"/>
  <c r="S1397" i="1"/>
  <c r="V1397" i="1"/>
  <c r="N1397" i="1"/>
  <c r="X3898" i="1" l="1"/>
  <c r="W3898" i="1"/>
  <c r="U3898" i="1"/>
  <c r="P3898" i="1"/>
  <c r="B3898" i="1" s="1"/>
  <c r="L3898" i="1"/>
  <c r="R3898" i="1" l="1"/>
  <c r="S3898" i="1"/>
  <c r="V3898" i="1"/>
  <c r="N3898" i="1"/>
  <c r="X6008" i="1" l="1"/>
  <c r="W6008" i="1"/>
  <c r="V6008" i="1"/>
  <c r="U6008" i="1"/>
  <c r="M6008" i="1"/>
  <c r="K6008" i="1"/>
  <c r="I6008" i="1"/>
  <c r="H6008" i="1"/>
  <c r="X6007" i="1"/>
  <c r="W6007" i="1"/>
  <c r="V6007" i="1"/>
  <c r="U6007" i="1"/>
  <c r="N6007" i="1"/>
  <c r="X6006" i="1"/>
  <c r="W6006" i="1"/>
  <c r="U6006" i="1"/>
  <c r="P6006" i="1"/>
  <c r="B6006" i="1" s="1"/>
  <c r="L6006" i="1"/>
  <c r="X6005" i="1"/>
  <c r="W6005" i="1"/>
  <c r="V6005" i="1"/>
  <c r="U6005" i="1"/>
  <c r="N6005" i="1"/>
  <c r="X6004" i="1"/>
  <c r="W6004" i="1"/>
  <c r="V6004" i="1"/>
  <c r="U6004" i="1"/>
  <c r="N6004" i="1"/>
  <c r="R6006" i="1" l="1"/>
  <c r="S6006" i="1"/>
  <c r="L6008" i="1"/>
  <c r="V6006" i="1"/>
  <c r="N6006" i="1"/>
  <c r="N6008" i="1" s="1"/>
  <c r="X321" i="1" l="1"/>
  <c r="W321" i="1"/>
  <c r="U321" i="1"/>
  <c r="P321" i="1"/>
  <c r="B321" i="1" s="1"/>
  <c r="L321" i="1"/>
  <c r="R321" i="1" l="1"/>
  <c r="S321" i="1"/>
  <c r="V321" i="1"/>
  <c r="N321" i="1"/>
  <c r="X34" i="1"/>
  <c r="W34" i="1"/>
  <c r="U34" i="1"/>
  <c r="P34" i="1"/>
  <c r="B34" i="1" s="1"/>
  <c r="L34" i="1"/>
  <c r="R34" i="1" l="1"/>
  <c r="S34" i="1"/>
  <c r="N34" i="1"/>
  <c r="V34" i="1"/>
  <c r="X893" i="1" l="1"/>
  <c r="W893" i="1"/>
  <c r="U893" i="1"/>
  <c r="P893" i="1"/>
  <c r="B893" i="1" s="1"/>
  <c r="L893" i="1"/>
  <c r="X2017" i="1"/>
  <c r="W2017" i="1"/>
  <c r="U2017" i="1"/>
  <c r="P2017" i="1"/>
  <c r="B2017" i="1" s="1"/>
  <c r="L2017" i="1"/>
  <c r="R893" i="1" l="1"/>
  <c r="S893" i="1"/>
  <c r="R2017" i="1"/>
  <c r="S2017" i="1"/>
  <c r="N893" i="1"/>
  <c r="V893" i="1"/>
  <c r="V2017" i="1"/>
  <c r="N2017" i="1"/>
  <c r="X1850" i="1" l="1"/>
  <c r="W1850" i="1"/>
  <c r="U1850" i="1"/>
  <c r="P1850" i="1"/>
  <c r="B1850" i="1" s="1"/>
  <c r="L1850" i="1"/>
  <c r="R1850" i="1" l="1"/>
  <c r="S1850" i="1"/>
  <c r="V1850" i="1"/>
  <c r="N1850" i="1"/>
  <c r="I5852" i="1"/>
  <c r="X829" i="1"/>
  <c r="W829" i="1"/>
  <c r="U829" i="1"/>
  <c r="P829" i="1"/>
  <c r="B829" i="1" s="1"/>
  <c r="L829" i="1"/>
  <c r="X1861" i="1"/>
  <c r="W1861" i="1"/>
  <c r="U1861" i="1"/>
  <c r="P1861" i="1"/>
  <c r="B1861" i="1" s="1"/>
  <c r="L1861" i="1"/>
  <c r="R829" i="1" l="1"/>
  <c r="S829" i="1"/>
  <c r="R1861" i="1"/>
  <c r="S1861" i="1"/>
  <c r="N829" i="1"/>
  <c r="V1861" i="1"/>
  <c r="V829" i="1"/>
  <c r="N1861" i="1"/>
  <c r="L4009" i="1" l="1"/>
  <c r="X4009" i="1"/>
  <c r="W4009" i="1"/>
  <c r="U4009" i="1"/>
  <c r="P4009" i="1"/>
  <c r="B4009" i="1" s="1"/>
  <c r="R4009" i="1" l="1"/>
  <c r="S4009" i="1"/>
  <c r="V4009" i="1"/>
  <c r="N4009" i="1"/>
  <c r="X847" i="1" l="1"/>
  <c r="W847" i="1"/>
  <c r="U847" i="1"/>
  <c r="P847" i="1"/>
  <c r="B847" i="1" s="1"/>
  <c r="L847" i="1"/>
  <c r="R847" i="1" l="1"/>
  <c r="S847" i="1"/>
  <c r="V847" i="1"/>
  <c r="N847" i="1"/>
  <c r="X2094" i="1" l="1"/>
  <c r="W2094" i="1"/>
  <c r="U2094" i="1"/>
  <c r="P2094" i="1"/>
  <c r="B2094" i="1" s="1"/>
  <c r="L2094" i="1"/>
  <c r="R2094" i="1" l="1"/>
  <c r="S2094" i="1"/>
  <c r="V2094" i="1"/>
  <c r="N2094" i="1"/>
  <c r="X3703" i="1" l="1"/>
  <c r="W3703" i="1"/>
  <c r="U3703" i="1"/>
  <c r="P3703" i="1"/>
  <c r="B3703" i="1" s="1"/>
  <c r="L3703" i="1"/>
  <c r="R3703" i="1" l="1"/>
  <c r="S3703" i="1"/>
  <c r="V3703" i="1"/>
  <c r="N3703" i="1"/>
  <c r="X4793" i="1" l="1"/>
  <c r="W4793" i="1"/>
  <c r="U4793" i="1"/>
  <c r="P4793" i="1"/>
  <c r="B4793" i="1" s="1"/>
  <c r="L4793" i="1"/>
  <c r="R4793" i="1" l="1"/>
  <c r="S4793" i="1"/>
  <c r="V4793" i="1"/>
  <c r="N4793" i="1"/>
  <c r="X2195" i="1" l="1"/>
  <c r="W2195" i="1"/>
  <c r="U2195" i="1"/>
  <c r="P2195" i="1"/>
  <c r="B2195" i="1" s="1"/>
  <c r="L2195" i="1"/>
  <c r="X6465" i="1"/>
  <c r="W6465" i="1"/>
  <c r="V6465" i="1"/>
  <c r="U6465" i="1"/>
  <c r="M6465" i="1"/>
  <c r="K6465" i="1"/>
  <c r="I6465" i="1"/>
  <c r="H6465" i="1"/>
  <c r="X6464" i="1"/>
  <c r="W6464" i="1"/>
  <c r="V6464" i="1"/>
  <c r="U6464" i="1"/>
  <c r="N6464" i="1"/>
  <c r="X6463" i="1"/>
  <c r="W6463" i="1"/>
  <c r="U6463" i="1"/>
  <c r="P6463" i="1"/>
  <c r="B6463" i="1" s="1"/>
  <c r="L6463" i="1"/>
  <c r="X6462" i="1"/>
  <c r="W6462" i="1"/>
  <c r="V6462" i="1"/>
  <c r="U6462" i="1"/>
  <c r="N6462" i="1"/>
  <c r="X6461" i="1"/>
  <c r="W6461" i="1"/>
  <c r="V6461" i="1"/>
  <c r="U6461" i="1"/>
  <c r="N6461" i="1"/>
  <c r="X1939" i="1"/>
  <c r="W1939" i="1"/>
  <c r="U1939" i="1"/>
  <c r="P1939" i="1"/>
  <c r="B1939" i="1" s="1"/>
  <c r="L1939" i="1"/>
  <c r="R6463" i="1" l="1"/>
  <c r="S6463" i="1"/>
  <c r="R2195" i="1"/>
  <c r="S2195" i="1"/>
  <c r="R1939" i="1"/>
  <c r="S1939" i="1"/>
  <c r="L6465" i="1"/>
  <c r="V1939" i="1"/>
  <c r="V2195" i="1"/>
  <c r="N2195" i="1"/>
  <c r="V6463" i="1"/>
  <c r="N6463" i="1"/>
  <c r="N6465" i="1" s="1"/>
  <c r="N1939" i="1"/>
  <c r="X551" i="1"/>
  <c r="W551" i="1"/>
  <c r="U551" i="1"/>
  <c r="P551" i="1"/>
  <c r="B551" i="1" s="1"/>
  <c r="L551" i="1"/>
  <c r="R551" i="1" l="1"/>
  <c r="S551" i="1"/>
  <c r="V551" i="1"/>
  <c r="N551" i="1"/>
  <c r="X5324" i="1" l="1"/>
  <c r="W5324" i="1"/>
  <c r="U5324" i="1"/>
  <c r="P5324" i="1"/>
  <c r="B5324" i="1" s="1"/>
  <c r="L5324" i="1"/>
  <c r="R5324" i="1" l="1"/>
  <c r="S5324" i="1"/>
  <c r="V5324" i="1"/>
  <c r="N5324" i="1"/>
  <c r="L666" i="1" l="1"/>
  <c r="X666" i="1"/>
  <c r="W666" i="1"/>
  <c r="U666" i="1"/>
  <c r="P666" i="1"/>
  <c r="B666" i="1" s="1"/>
  <c r="X668" i="1"/>
  <c r="W668" i="1"/>
  <c r="U668" i="1"/>
  <c r="P668" i="1"/>
  <c r="B668" i="1" s="1"/>
  <c r="L668" i="1"/>
  <c r="X1539" i="1"/>
  <c r="W1539" i="1"/>
  <c r="U1539" i="1"/>
  <c r="P1539" i="1"/>
  <c r="B1539" i="1" s="1"/>
  <c r="L1539" i="1"/>
  <c r="X508" i="1"/>
  <c r="W508" i="1"/>
  <c r="U508" i="1"/>
  <c r="P508" i="1"/>
  <c r="B508" i="1" s="1"/>
  <c r="L508" i="1"/>
  <c r="R668" i="1" l="1"/>
  <c r="S668" i="1"/>
  <c r="R508" i="1"/>
  <c r="S508" i="1"/>
  <c r="R1539" i="1"/>
  <c r="S1539" i="1"/>
  <c r="S666" i="1"/>
  <c r="R666" i="1"/>
  <c r="V508" i="1"/>
  <c r="V666" i="1"/>
  <c r="N666" i="1"/>
  <c r="N668" i="1"/>
  <c r="V668" i="1"/>
  <c r="V1539" i="1"/>
  <c r="N1539" i="1"/>
  <c r="N508" i="1"/>
  <c r="X5359" i="1" l="1"/>
  <c r="W5359" i="1"/>
  <c r="U5359" i="1"/>
  <c r="P5359" i="1"/>
  <c r="B5359" i="1" s="1"/>
  <c r="L5359" i="1"/>
  <c r="X6238" i="1"/>
  <c r="W6238" i="1"/>
  <c r="U6238" i="1"/>
  <c r="P6238" i="1"/>
  <c r="B6238" i="1" s="1"/>
  <c r="L6238" i="1"/>
  <c r="S6238" i="1" l="1"/>
  <c r="R6238" i="1"/>
  <c r="R5359" i="1"/>
  <c r="S5359" i="1"/>
  <c r="V6238" i="1"/>
  <c r="V5359" i="1"/>
  <c r="N5359" i="1"/>
  <c r="N6238" i="1"/>
  <c r="X4224" i="1" l="1"/>
  <c r="W4224" i="1"/>
  <c r="U4224" i="1"/>
  <c r="P4224" i="1"/>
  <c r="B4224" i="1" s="1"/>
  <c r="L4224" i="1"/>
  <c r="R4224" i="1" l="1"/>
  <c r="S4224" i="1"/>
  <c r="V4224" i="1"/>
  <c r="N4224" i="1"/>
  <c r="X5102" i="1"/>
  <c r="W5102" i="1"/>
  <c r="U5102" i="1"/>
  <c r="P5102" i="1"/>
  <c r="B5102" i="1" s="1"/>
  <c r="L5102" i="1"/>
  <c r="S5102" i="1" l="1"/>
  <c r="R5102" i="1"/>
  <c r="N5102" i="1"/>
  <c r="V5102" i="1"/>
  <c r="X3498" i="1"/>
  <c r="W3498" i="1"/>
  <c r="U3498" i="1"/>
  <c r="P3498" i="1"/>
  <c r="B3498" i="1" s="1"/>
  <c r="L3498" i="1"/>
  <c r="R3498" i="1" l="1"/>
  <c r="S3498" i="1"/>
  <c r="N3498" i="1"/>
  <c r="V3498" i="1"/>
  <c r="X3969" i="1" l="1"/>
  <c r="W3969" i="1"/>
  <c r="U3969" i="1"/>
  <c r="P3969" i="1"/>
  <c r="B3969" i="1" s="1"/>
  <c r="L3969" i="1"/>
  <c r="R3969" i="1" l="1"/>
  <c r="S3969" i="1"/>
  <c r="V3969" i="1"/>
  <c r="N3969" i="1"/>
  <c r="X4422" i="1"/>
  <c r="W4422" i="1"/>
  <c r="V4422" i="1"/>
  <c r="U4422" i="1"/>
  <c r="M4422" i="1"/>
  <c r="K4422" i="1"/>
  <c r="I4422" i="1"/>
  <c r="H4422" i="1"/>
  <c r="X4421" i="1"/>
  <c r="W4421" i="1"/>
  <c r="V4421" i="1"/>
  <c r="U4421" i="1"/>
  <c r="N4421" i="1"/>
  <c r="X4417" i="1"/>
  <c r="W4417" i="1"/>
  <c r="U4417" i="1"/>
  <c r="P4417" i="1"/>
  <c r="B4417" i="1" s="1"/>
  <c r="L4417" i="1"/>
  <c r="X4416" i="1"/>
  <c r="W4416" i="1"/>
  <c r="V4416" i="1"/>
  <c r="U4416" i="1"/>
  <c r="N4416" i="1"/>
  <c r="X4415" i="1"/>
  <c r="W4415" i="1"/>
  <c r="V4415" i="1"/>
  <c r="U4415" i="1"/>
  <c r="N4415" i="1"/>
  <c r="R4417" i="1" l="1"/>
  <c r="S4417" i="1"/>
  <c r="L4422" i="1"/>
  <c r="V4417" i="1"/>
  <c r="N4417" i="1"/>
  <c r="N4422" i="1" s="1"/>
  <c r="I3987" i="1"/>
  <c r="X3987" i="1" l="1"/>
  <c r="W3987" i="1"/>
  <c r="U3987" i="1"/>
  <c r="P3987" i="1"/>
  <c r="B3987" i="1" s="1"/>
  <c r="L3987" i="1"/>
  <c r="X5623" i="1"/>
  <c r="W5623" i="1"/>
  <c r="U5623" i="1"/>
  <c r="P5623" i="1"/>
  <c r="B5623" i="1" s="1"/>
  <c r="L5623" i="1"/>
  <c r="R5623" i="1" l="1"/>
  <c r="S5623" i="1"/>
  <c r="R3987" i="1"/>
  <c r="S3987" i="1"/>
  <c r="V3987" i="1"/>
  <c r="N3987" i="1"/>
  <c r="V5623" i="1"/>
  <c r="N5623" i="1"/>
  <c r="X866" i="1"/>
  <c r="W866" i="1"/>
  <c r="U866" i="1"/>
  <c r="P866" i="1"/>
  <c r="B866" i="1" s="1"/>
  <c r="L866" i="1"/>
  <c r="R866" i="1" l="1"/>
  <c r="S866" i="1"/>
  <c r="V866" i="1"/>
  <c r="N866" i="1"/>
  <c r="X3780" i="1"/>
  <c r="W3780" i="1"/>
  <c r="U3780" i="1"/>
  <c r="P3780" i="1"/>
  <c r="B3780" i="1" s="1"/>
  <c r="L3780" i="1"/>
  <c r="R3780" i="1" l="1"/>
  <c r="S3780" i="1"/>
  <c r="N3780" i="1"/>
  <c r="V3780" i="1"/>
  <c r="X3809" i="1" l="1"/>
  <c r="W3809" i="1"/>
  <c r="U3809" i="1"/>
  <c r="P3809" i="1"/>
  <c r="B3809" i="1" s="1"/>
  <c r="L3809" i="1"/>
  <c r="R3809" i="1" l="1"/>
  <c r="S3809" i="1"/>
  <c r="V3809" i="1"/>
  <c r="N3809" i="1"/>
  <c r="X691" i="1"/>
  <c r="W691" i="1"/>
  <c r="U691" i="1"/>
  <c r="P691" i="1"/>
  <c r="B691" i="1" s="1"/>
  <c r="L691" i="1"/>
  <c r="R691" i="1" l="1"/>
  <c r="S691" i="1"/>
  <c r="N691" i="1"/>
  <c r="V691" i="1"/>
  <c r="X3973" i="1"/>
  <c r="W3973" i="1"/>
  <c r="U3973" i="1"/>
  <c r="P3973" i="1"/>
  <c r="B3973" i="1" s="1"/>
  <c r="L3973" i="1"/>
  <c r="R3973" i="1" l="1"/>
  <c r="S3973" i="1"/>
  <c r="V3973" i="1"/>
  <c r="N3973" i="1"/>
  <c r="X5680" i="1"/>
  <c r="W5680" i="1"/>
  <c r="U5680" i="1"/>
  <c r="P5680" i="1"/>
  <c r="B5680" i="1" s="1"/>
  <c r="L5680" i="1"/>
  <c r="R5680" i="1" l="1"/>
  <c r="S5680" i="1"/>
  <c r="V5680" i="1"/>
  <c r="N5680" i="1"/>
  <c r="X6614" i="1"/>
  <c r="W6614" i="1"/>
  <c r="U6614" i="1"/>
  <c r="P6614" i="1"/>
  <c r="B6614" i="1" s="1"/>
  <c r="L6614" i="1"/>
  <c r="R6614" i="1" l="1"/>
  <c r="S6614" i="1"/>
  <c r="V6614" i="1"/>
  <c r="N6614" i="1"/>
  <c r="X2065" i="1"/>
  <c r="W2065" i="1"/>
  <c r="U2065" i="1"/>
  <c r="P2065" i="1"/>
  <c r="B2065" i="1" s="1"/>
  <c r="L2065" i="1"/>
  <c r="R2065" i="1" l="1"/>
  <c r="S2065" i="1"/>
  <c r="N2065" i="1"/>
  <c r="V2065" i="1"/>
  <c r="X769" i="1" l="1"/>
  <c r="W769" i="1"/>
  <c r="U769" i="1"/>
  <c r="P769" i="1"/>
  <c r="B769" i="1" s="1"/>
  <c r="L769" i="1"/>
  <c r="R769" i="1" l="1"/>
  <c r="S769" i="1"/>
  <c r="V769" i="1"/>
  <c r="N769" i="1"/>
  <c r="X4994" i="1"/>
  <c r="W4994" i="1"/>
  <c r="U4994" i="1"/>
  <c r="P4994" i="1"/>
  <c r="B4994" i="1" s="1"/>
  <c r="L4994" i="1"/>
  <c r="R4994" i="1" l="1"/>
  <c r="S4994" i="1"/>
  <c r="V4994" i="1"/>
  <c r="N4994" i="1"/>
  <c r="X6741" i="1" l="1"/>
  <c r="W6741" i="1"/>
  <c r="U6741" i="1"/>
  <c r="P6741" i="1"/>
  <c r="B6741" i="1" s="1"/>
  <c r="L6741" i="1"/>
  <c r="R6741" i="1" l="1"/>
  <c r="S6741" i="1"/>
  <c r="V6741" i="1"/>
  <c r="N6741" i="1"/>
  <c r="X4062" i="1"/>
  <c r="W4062" i="1"/>
  <c r="U4062" i="1"/>
  <c r="P4062" i="1"/>
  <c r="B4062" i="1" s="1"/>
  <c r="L4062" i="1"/>
  <c r="R4062" i="1" l="1"/>
  <c r="S4062" i="1"/>
  <c r="V4062" i="1"/>
  <c r="N4062" i="1"/>
  <c r="X5938" i="1"/>
  <c r="W5938" i="1"/>
  <c r="U5938" i="1"/>
  <c r="P5938" i="1"/>
  <c r="B5938" i="1" s="1"/>
  <c r="L5938" i="1"/>
  <c r="S5938" i="1" l="1"/>
  <c r="R5938" i="1"/>
  <c r="V5938" i="1"/>
  <c r="N5938" i="1"/>
  <c r="I363" i="1"/>
  <c r="L363" i="1" s="1"/>
  <c r="X363" i="1"/>
  <c r="W363" i="1"/>
  <c r="U363" i="1"/>
  <c r="P363" i="1"/>
  <c r="B363" i="1" s="1"/>
  <c r="R363" i="1" l="1"/>
  <c r="S363" i="1"/>
  <c r="V363" i="1"/>
  <c r="N363" i="1"/>
  <c r="X3649" i="1" l="1"/>
  <c r="W3649" i="1"/>
  <c r="U3649" i="1"/>
  <c r="P3649" i="1"/>
  <c r="B3649" i="1" s="1"/>
  <c r="L3649" i="1"/>
  <c r="R3649" i="1" l="1"/>
  <c r="S3649" i="1"/>
  <c r="V3649" i="1"/>
  <c r="N3649" i="1"/>
  <c r="X1570" i="1" l="1"/>
  <c r="W1570" i="1"/>
  <c r="V1570" i="1"/>
  <c r="U1570" i="1"/>
  <c r="M1570" i="1"/>
  <c r="K1570" i="1"/>
  <c r="I1570" i="1"/>
  <c r="H1570" i="1"/>
  <c r="X1569" i="1"/>
  <c r="W1569" i="1"/>
  <c r="V1569" i="1"/>
  <c r="U1569" i="1"/>
  <c r="N1569" i="1"/>
  <c r="X1568" i="1"/>
  <c r="W1568" i="1"/>
  <c r="U1568" i="1"/>
  <c r="P1568" i="1"/>
  <c r="B1568" i="1" s="1"/>
  <c r="L1568" i="1"/>
  <c r="X1567" i="1"/>
  <c r="W1567" i="1"/>
  <c r="V1567" i="1"/>
  <c r="U1567" i="1"/>
  <c r="N1567" i="1"/>
  <c r="X1566" i="1"/>
  <c r="W1566" i="1"/>
  <c r="V1566" i="1"/>
  <c r="U1566" i="1"/>
  <c r="N1566" i="1"/>
  <c r="R1568" i="1" l="1"/>
  <c r="S1568" i="1"/>
  <c r="V1568" i="1"/>
  <c r="N1568" i="1"/>
  <c r="N1570" i="1" s="1"/>
  <c r="L1570" i="1"/>
  <c r="X4767" i="1"/>
  <c r="W4767" i="1"/>
  <c r="U4767" i="1"/>
  <c r="P4767" i="1"/>
  <c r="B4767" i="1" s="1"/>
  <c r="L4767" i="1"/>
  <c r="R4767" i="1" l="1"/>
  <c r="S4767" i="1"/>
  <c r="V4767" i="1"/>
  <c r="N4767" i="1"/>
  <c r="X4762" i="1" l="1"/>
  <c r="W4762" i="1"/>
  <c r="U4762" i="1"/>
  <c r="P4762" i="1"/>
  <c r="B4762" i="1" s="1"/>
  <c r="L4762" i="1"/>
  <c r="R4762" i="1" l="1"/>
  <c r="S4762" i="1"/>
  <c r="V4762" i="1"/>
  <c r="N4762" i="1"/>
  <c r="X545" i="1" l="1"/>
  <c r="W545" i="1"/>
  <c r="U545" i="1"/>
  <c r="P545" i="1"/>
  <c r="B545" i="1" s="1"/>
  <c r="L545" i="1"/>
  <c r="R545" i="1" l="1"/>
  <c r="S545" i="1"/>
  <c r="V545" i="1"/>
  <c r="N545" i="1"/>
  <c r="X4075" i="1"/>
  <c r="W4075" i="1"/>
  <c r="U4075" i="1"/>
  <c r="P4075" i="1"/>
  <c r="B4075" i="1" s="1"/>
  <c r="L4075" i="1"/>
  <c r="R4075" i="1" l="1"/>
  <c r="S4075" i="1"/>
  <c r="V4075" i="1"/>
  <c r="N4075" i="1"/>
  <c r="X2244" i="1" l="1"/>
  <c r="W2244" i="1"/>
  <c r="U2244" i="1"/>
  <c r="P2244" i="1"/>
  <c r="B2244" i="1" s="1"/>
  <c r="L2244" i="1"/>
  <c r="R2244" i="1" l="1"/>
  <c r="S2244" i="1"/>
  <c r="V2244" i="1"/>
  <c r="N2244" i="1"/>
  <c r="X5719" i="1" l="1"/>
  <c r="W5719" i="1"/>
  <c r="U5719" i="1"/>
  <c r="P5719" i="1"/>
  <c r="B5719" i="1" s="1"/>
  <c r="L5719" i="1"/>
  <c r="R5719" i="1" l="1"/>
  <c r="S5719" i="1"/>
  <c r="V5719" i="1"/>
  <c r="N5719" i="1"/>
  <c r="X3465" i="1" l="1"/>
  <c r="W3465" i="1"/>
  <c r="U3465" i="1"/>
  <c r="P3465" i="1"/>
  <c r="B3465" i="1" s="1"/>
  <c r="L3465" i="1"/>
  <c r="R3465" i="1" l="1"/>
  <c r="S3465" i="1"/>
  <c r="V3465" i="1"/>
  <c r="N3465" i="1"/>
  <c r="X4317" i="1"/>
  <c r="W4317" i="1"/>
  <c r="U4317" i="1"/>
  <c r="P4317" i="1"/>
  <c r="B4317" i="1" s="1"/>
  <c r="L4317" i="1"/>
  <c r="R4317" i="1" l="1"/>
  <c r="S4317" i="1"/>
  <c r="V4317" i="1"/>
  <c r="N4317" i="1"/>
  <c r="X6742" i="1"/>
  <c r="W6742" i="1"/>
  <c r="U6742" i="1"/>
  <c r="P6742" i="1"/>
  <c r="B6742" i="1" s="1"/>
  <c r="L6742" i="1"/>
  <c r="R6742" i="1" l="1"/>
  <c r="S6742" i="1"/>
  <c r="V6742" i="1"/>
  <c r="N6742" i="1"/>
  <c r="L2040" i="1"/>
  <c r="X2040" i="1"/>
  <c r="W2040" i="1"/>
  <c r="U2040" i="1"/>
  <c r="P2040" i="1"/>
  <c r="B2040" i="1" s="1"/>
  <c r="X2003" i="1"/>
  <c r="W2003" i="1"/>
  <c r="U2003" i="1"/>
  <c r="P2003" i="1"/>
  <c r="B2003" i="1" s="1"/>
  <c r="L2003" i="1"/>
  <c r="X5318" i="1"/>
  <c r="W5318" i="1"/>
  <c r="U5318" i="1"/>
  <c r="P5318" i="1"/>
  <c r="B5318" i="1" s="1"/>
  <c r="L5318" i="1"/>
  <c r="X63" i="1"/>
  <c r="W63" i="1"/>
  <c r="U63" i="1"/>
  <c r="P63" i="1"/>
  <c r="B63" i="1" s="1"/>
  <c r="L63" i="1"/>
  <c r="R2040" i="1" l="1"/>
  <c r="S2040" i="1"/>
  <c r="R63" i="1"/>
  <c r="S63" i="1"/>
  <c r="R5318" i="1"/>
  <c r="S5318" i="1"/>
  <c r="R2003" i="1"/>
  <c r="S2003" i="1"/>
  <c r="N63" i="1"/>
  <c r="V5318" i="1"/>
  <c r="V2040" i="1"/>
  <c r="V63" i="1"/>
  <c r="N2040" i="1"/>
  <c r="V2003" i="1"/>
  <c r="N2003" i="1"/>
  <c r="N5318" i="1"/>
  <c r="X460" i="1" l="1"/>
  <c r="W460" i="1"/>
  <c r="U460" i="1"/>
  <c r="P460" i="1"/>
  <c r="B460" i="1" s="1"/>
  <c r="L460" i="1"/>
  <c r="S460" i="1" l="1"/>
  <c r="R460" i="1"/>
  <c r="V460" i="1"/>
  <c r="N460" i="1"/>
  <c r="X1636" i="1"/>
  <c r="W1636" i="1"/>
  <c r="U1636" i="1"/>
  <c r="P1636" i="1"/>
  <c r="B1636" i="1" s="1"/>
  <c r="L1636" i="1"/>
  <c r="R1636" i="1" l="1"/>
  <c r="S1636" i="1"/>
  <c r="V1636" i="1"/>
  <c r="N1636" i="1"/>
  <c r="X36" i="1"/>
  <c r="W36" i="1"/>
  <c r="U36" i="1"/>
  <c r="P36" i="1"/>
  <c r="B36" i="1" s="1"/>
  <c r="L36" i="1"/>
  <c r="R36" i="1" l="1"/>
  <c r="S36" i="1"/>
  <c r="V36" i="1"/>
  <c r="N36" i="1"/>
  <c r="L5962" i="1"/>
  <c r="X5962" i="1"/>
  <c r="W5962" i="1"/>
  <c r="U5962" i="1"/>
  <c r="P5962" i="1"/>
  <c r="B5962" i="1" s="1"/>
  <c r="R5962" i="1" l="1"/>
  <c r="S5962" i="1"/>
  <c r="V5962" i="1"/>
  <c r="N5962" i="1"/>
  <c r="X1593" i="1"/>
  <c r="W1593" i="1"/>
  <c r="U1593" i="1"/>
  <c r="P1593" i="1"/>
  <c r="B1593" i="1" s="1"/>
  <c r="L1593" i="1"/>
  <c r="X4942" i="1"/>
  <c r="W4942" i="1"/>
  <c r="V4942" i="1"/>
  <c r="U4942" i="1"/>
  <c r="M4942" i="1"/>
  <c r="K4942" i="1"/>
  <c r="I4942" i="1"/>
  <c r="H4942" i="1"/>
  <c r="X4941" i="1"/>
  <c r="W4941" i="1"/>
  <c r="V4941" i="1"/>
  <c r="U4941" i="1"/>
  <c r="N4941" i="1"/>
  <c r="X4940" i="1"/>
  <c r="W4940" i="1"/>
  <c r="U4940" i="1"/>
  <c r="P4940" i="1"/>
  <c r="B4940" i="1" s="1"/>
  <c r="L4940" i="1"/>
  <c r="S4940" i="1" s="1"/>
  <c r="X4939" i="1"/>
  <c r="W4939" i="1"/>
  <c r="V4939" i="1"/>
  <c r="U4939" i="1"/>
  <c r="N4939" i="1"/>
  <c r="X4938" i="1"/>
  <c r="W4938" i="1"/>
  <c r="V4938" i="1"/>
  <c r="U4938" i="1"/>
  <c r="N4938" i="1"/>
  <c r="R1593" i="1" l="1"/>
  <c r="S1593" i="1"/>
  <c r="R4940" i="1"/>
  <c r="V1593" i="1"/>
  <c r="V4940" i="1"/>
  <c r="N1593" i="1"/>
  <c r="N4940" i="1"/>
  <c r="N4942" i="1" s="1"/>
  <c r="L4942" i="1"/>
  <c r="X288" i="1"/>
  <c r="W288" i="1"/>
  <c r="U288" i="1"/>
  <c r="P288" i="1"/>
  <c r="B288" i="1" s="1"/>
  <c r="L288" i="1"/>
  <c r="R288" i="1" l="1"/>
  <c r="S288" i="1"/>
  <c r="V288" i="1"/>
  <c r="N288" i="1"/>
  <c r="I5012" i="1"/>
  <c r="X5012" i="1"/>
  <c r="W5012" i="1"/>
  <c r="U5012" i="1"/>
  <c r="P5012" i="1"/>
  <c r="B5012" i="1" s="1"/>
  <c r="X50" i="1"/>
  <c r="W50" i="1"/>
  <c r="U50" i="1"/>
  <c r="P50" i="1"/>
  <c r="B50" i="1" s="1"/>
  <c r="L50" i="1"/>
  <c r="R50" i="1" l="1"/>
  <c r="S50" i="1"/>
  <c r="L5012" i="1"/>
  <c r="V50" i="1"/>
  <c r="N50" i="1"/>
  <c r="H5183" i="1"/>
  <c r="L5183" i="1" s="1"/>
  <c r="X5183" i="1"/>
  <c r="W5183" i="1"/>
  <c r="U5183" i="1"/>
  <c r="P5183" i="1"/>
  <c r="B5183" i="1" s="1"/>
  <c r="R5183" i="1" l="1"/>
  <c r="S5183" i="1"/>
  <c r="S5012" i="1"/>
  <c r="R5012" i="1"/>
  <c r="N5012" i="1"/>
  <c r="V5012" i="1"/>
  <c r="V5183" i="1"/>
  <c r="N5183" i="1"/>
  <c r="X2259" i="1"/>
  <c r="W2259" i="1"/>
  <c r="U2259" i="1"/>
  <c r="P2259" i="1"/>
  <c r="B2259" i="1" s="1"/>
  <c r="L2259" i="1"/>
  <c r="R2259" i="1" l="1"/>
  <c r="S2259" i="1"/>
  <c r="V2259" i="1"/>
  <c r="N2259" i="1"/>
  <c r="X5699" i="1"/>
  <c r="W5699" i="1"/>
  <c r="U5699" i="1"/>
  <c r="P5699" i="1"/>
  <c r="B5699" i="1" s="1"/>
  <c r="L5699" i="1"/>
  <c r="R5699" i="1" l="1"/>
  <c r="S5699" i="1"/>
  <c r="V5699" i="1"/>
  <c r="N5699" i="1"/>
  <c r="H538" i="1" l="1"/>
  <c r="X539" i="1"/>
  <c r="W539" i="1"/>
  <c r="U539" i="1"/>
  <c r="P539" i="1"/>
  <c r="B539" i="1" s="1"/>
  <c r="I539" i="1"/>
  <c r="H539" i="1"/>
  <c r="L539" i="1" l="1"/>
  <c r="X5851" i="1"/>
  <c r="W5851" i="1"/>
  <c r="U5851" i="1"/>
  <c r="P5851" i="1"/>
  <c r="B5851" i="1" s="1"/>
  <c r="L5851" i="1"/>
  <c r="X4914" i="1"/>
  <c r="W4914" i="1"/>
  <c r="U4914" i="1"/>
  <c r="P4914" i="1"/>
  <c r="B4914" i="1" s="1"/>
  <c r="L4914" i="1"/>
  <c r="R4914" i="1" l="1"/>
  <c r="S4914" i="1"/>
  <c r="R5851" i="1"/>
  <c r="S5851" i="1"/>
  <c r="R539" i="1"/>
  <c r="S539" i="1"/>
  <c r="V539" i="1"/>
  <c r="N539" i="1"/>
  <c r="V5851" i="1"/>
  <c r="N5851" i="1"/>
  <c r="V4914" i="1"/>
  <c r="N4914" i="1"/>
  <c r="X6257" i="1" l="1"/>
  <c r="W6257" i="1"/>
  <c r="U6257" i="1"/>
  <c r="P6257" i="1"/>
  <c r="B6257" i="1" s="1"/>
  <c r="L6257" i="1"/>
  <c r="R6257" i="1" l="1"/>
  <c r="S6257" i="1"/>
  <c r="N6257" i="1"/>
  <c r="V6257" i="1"/>
  <c r="L669" i="1" l="1"/>
  <c r="X669" i="1"/>
  <c r="W669" i="1"/>
  <c r="U669" i="1"/>
  <c r="P669" i="1"/>
  <c r="B669" i="1" s="1"/>
  <c r="R669" i="1" l="1"/>
  <c r="S669" i="1"/>
  <c r="V669" i="1"/>
  <c r="N669" i="1"/>
  <c r="P6874" i="1"/>
  <c r="B6874" i="1" s="1"/>
  <c r="N6874" i="1"/>
  <c r="P6880" i="1"/>
  <c r="B6880" i="1" s="1"/>
  <c r="N6880" i="1"/>
  <c r="X4015" i="1"/>
  <c r="W4015" i="1"/>
  <c r="U4015" i="1"/>
  <c r="P4015" i="1"/>
  <c r="B4015" i="1" s="1"/>
  <c r="L4015" i="1"/>
  <c r="R4015" i="1" l="1"/>
  <c r="S4015" i="1"/>
  <c r="V4015" i="1"/>
  <c r="N4015" i="1"/>
  <c r="X55" i="1"/>
  <c r="W55" i="1"/>
  <c r="U55" i="1"/>
  <c r="P55" i="1"/>
  <c r="B55" i="1" s="1"/>
  <c r="L55" i="1"/>
  <c r="R55" i="1" l="1"/>
  <c r="S55" i="1"/>
  <c r="V55" i="1"/>
  <c r="N55" i="1"/>
  <c r="X5565" i="1"/>
  <c r="W5565" i="1"/>
  <c r="U5565" i="1"/>
  <c r="P5565" i="1"/>
  <c r="B5565" i="1" s="1"/>
  <c r="L5565" i="1"/>
  <c r="X5773" i="1"/>
  <c r="W5773" i="1"/>
  <c r="U5773" i="1"/>
  <c r="P5773" i="1"/>
  <c r="B5773" i="1" s="1"/>
  <c r="L5773" i="1"/>
  <c r="R5565" i="1" l="1"/>
  <c r="S5565" i="1"/>
  <c r="R5773" i="1"/>
  <c r="S5773" i="1"/>
  <c r="N5773" i="1"/>
  <c r="V5773" i="1"/>
  <c r="V5565" i="1"/>
  <c r="N5565" i="1"/>
  <c r="I4892" i="1" l="1"/>
  <c r="L4892" i="1" s="1"/>
  <c r="X4892" i="1"/>
  <c r="W4892" i="1"/>
  <c r="U4892" i="1"/>
  <c r="P4892" i="1"/>
  <c r="B4892" i="1" s="1"/>
  <c r="R4892" i="1" l="1"/>
  <c r="S4892" i="1"/>
  <c r="N4892" i="1"/>
  <c r="V4892" i="1"/>
  <c r="X5050" i="1" l="1"/>
  <c r="W5050" i="1"/>
  <c r="U5050" i="1"/>
  <c r="P5050" i="1"/>
  <c r="B5050" i="1" s="1"/>
  <c r="L5050" i="1"/>
  <c r="X5054" i="1"/>
  <c r="W5054" i="1"/>
  <c r="U5054" i="1"/>
  <c r="P5054" i="1"/>
  <c r="B5054" i="1" s="1"/>
  <c r="L5054" i="1"/>
  <c r="R5050" i="1" l="1"/>
  <c r="S5050" i="1"/>
  <c r="S5054" i="1"/>
  <c r="R5054" i="1"/>
  <c r="V5050" i="1"/>
  <c r="N5050" i="1"/>
  <c r="V5054" i="1"/>
  <c r="N5054" i="1"/>
  <c r="X3652" i="1" l="1"/>
  <c r="W3652" i="1"/>
  <c r="U3652" i="1"/>
  <c r="P3652" i="1"/>
  <c r="B3652" i="1" s="1"/>
  <c r="L3652" i="1"/>
  <c r="R3652" i="1" l="1"/>
  <c r="S3652" i="1"/>
  <c r="V3652" i="1"/>
  <c r="N3652" i="1"/>
  <c r="X5772" i="1"/>
  <c r="W5772" i="1"/>
  <c r="U5772" i="1"/>
  <c r="P5772" i="1"/>
  <c r="B5772" i="1" s="1"/>
  <c r="L5772" i="1"/>
  <c r="R5772" i="1" l="1"/>
  <c r="S5772" i="1"/>
  <c r="V5772" i="1"/>
  <c r="N5772" i="1"/>
  <c r="X692" i="1"/>
  <c r="W692" i="1"/>
  <c r="U692" i="1"/>
  <c r="P692" i="1"/>
  <c r="B692" i="1" s="1"/>
  <c r="L692" i="1"/>
  <c r="R692" i="1" l="1"/>
  <c r="S692" i="1"/>
  <c r="N692" i="1"/>
  <c r="V692" i="1"/>
  <c r="X5086" i="1"/>
  <c r="W5086" i="1"/>
  <c r="U5086" i="1"/>
  <c r="P5086" i="1"/>
  <c r="B5086" i="1" s="1"/>
  <c r="L5086" i="1"/>
  <c r="R5086" i="1" l="1"/>
  <c r="S5086" i="1"/>
  <c r="V5086" i="1"/>
  <c r="N5086" i="1"/>
  <c r="X4246" i="1" l="1"/>
  <c r="W4246" i="1"/>
  <c r="U4246" i="1"/>
  <c r="P4246" i="1"/>
  <c r="B4246" i="1" s="1"/>
  <c r="L4246" i="1"/>
  <c r="R4246" i="1" l="1"/>
  <c r="S4246" i="1"/>
  <c r="V4246" i="1"/>
  <c r="N4246" i="1"/>
  <c r="X6334" i="1"/>
  <c r="W6334" i="1"/>
  <c r="U6334" i="1"/>
  <c r="P6334" i="1"/>
  <c r="B6334" i="1" s="1"/>
  <c r="L6334" i="1"/>
  <c r="R6334" i="1" l="1"/>
  <c r="S6334" i="1"/>
  <c r="V6334" i="1"/>
  <c r="N6334" i="1"/>
  <c r="X6668" i="1" l="1"/>
  <c r="W6668" i="1"/>
  <c r="U6668" i="1"/>
  <c r="P6668" i="1"/>
  <c r="B6668" i="1" s="1"/>
  <c r="L6668" i="1"/>
  <c r="R6668" i="1" l="1"/>
  <c r="S6668" i="1"/>
  <c r="V6668" i="1"/>
  <c r="N6668" i="1"/>
  <c r="X693" i="1" l="1"/>
  <c r="W693" i="1"/>
  <c r="U693" i="1"/>
  <c r="P693" i="1"/>
  <c r="B693" i="1" s="1"/>
  <c r="L693" i="1"/>
  <c r="S693" i="1" l="1"/>
  <c r="R693" i="1"/>
  <c r="V693" i="1"/>
  <c r="N693" i="1"/>
  <c r="X6508" i="1"/>
  <c r="W6508" i="1"/>
  <c r="U6508" i="1"/>
  <c r="P6508" i="1"/>
  <c r="B6508" i="1" s="1"/>
  <c r="L6508" i="1"/>
  <c r="X5320" i="1"/>
  <c r="W5320" i="1"/>
  <c r="U5320" i="1"/>
  <c r="P5320" i="1"/>
  <c r="B5320" i="1" s="1"/>
  <c r="L5320" i="1"/>
  <c r="R6508" i="1" l="1"/>
  <c r="S6508" i="1"/>
  <c r="R5320" i="1"/>
  <c r="S5320" i="1"/>
  <c r="V5320" i="1"/>
  <c r="V6508" i="1"/>
  <c r="N6508" i="1"/>
  <c r="N5320" i="1"/>
  <c r="X907" i="1"/>
  <c r="W907" i="1"/>
  <c r="U907" i="1"/>
  <c r="P907" i="1"/>
  <c r="B907" i="1" s="1"/>
  <c r="L907" i="1"/>
  <c r="R907" i="1" l="1"/>
  <c r="S907" i="1"/>
  <c r="V907" i="1"/>
  <c r="N907" i="1"/>
  <c r="X6569" i="1" l="1"/>
  <c r="W6569" i="1"/>
  <c r="U6569" i="1"/>
  <c r="P6569" i="1"/>
  <c r="B6569" i="1" s="1"/>
  <c r="L6569" i="1"/>
  <c r="S6569" i="1" l="1"/>
  <c r="R6569" i="1"/>
  <c r="V6569" i="1"/>
  <c r="N6569" i="1"/>
  <c r="X3811" i="1"/>
  <c r="W3811" i="1"/>
  <c r="U3811" i="1"/>
  <c r="P3811" i="1"/>
  <c r="B3811" i="1" s="1"/>
  <c r="L3811" i="1"/>
  <c r="R3811" i="1" l="1"/>
  <c r="S3811" i="1"/>
  <c r="V3811" i="1"/>
  <c r="N3811" i="1"/>
  <c r="X6711" i="1"/>
  <c r="W6711" i="1"/>
  <c r="U6711" i="1"/>
  <c r="P6711" i="1"/>
  <c r="B6711" i="1" s="1"/>
  <c r="L6711" i="1"/>
  <c r="R6711" i="1" l="1"/>
  <c r="S6711" i="1"/>
  <c r="N6711" i="1"/>
  <c r="V6711" i="1"/>
  <c r="X789" i="1"/>
  <c r="W789" i="1"/>
  <c r="V789" i="1"/>
  <c r="U789" i="1"/>
  <c r="M789" i="1"/>
  <c r="K789" i="1"/>
  <c r="I789" i="1"/>
  <c r="H789" i="1"/>
  <c r="X788" i="1"/>
  <c r="W788" i="1"/>
  <c r="V788" i="1"/>
  <c r="U788" i="1"/>
  <c r="N788" i="1"/>
  <c r="X786" i="1"/>
  <c r="W786" i="1"/>
  <c r="U786" i="1"/>
  <c r="P786" i="1"/>
  <c r="B786" i="1" s="1"/>
  <c r="L786" i="1"/>
  <c r="X785" i="1"/>
  <c r="W785" i="1"/>
  <c r="U785" i="1"/>
  <c r="P785" i="1"/>
  <c r="B785" i="1" s="1"/>
  <c r="L785" i="1"/>
  <c r="X784" i="1"/>
  <c r="W784" i="1"/>
  <c r="V784" i="1"/>
  <c r="U784" i="1"/>
  <c r="N784" i="1"/>
  <c r="X783" i="1"/>
  <c r="W783" i="1"/>
  <c r="V783" i="1"/>
  <c r="U783" i="1"/>
  <c r="N783" i="1"/>
  <c r="S786" i="1" l="1"/>
  <c r="R786" i="1"/>
  <c r="R785" i="1"/>
  <c r="S785" i="1"/>
  <c r="V786" i="1"/>
  <c r="L789" i="1"/>
  <c r="V785" i="1"/>
  <c r="N786" i="1"/>
  <c r="N785" i="1"/>
  <c r="N789" i="1" l="1"/>
  <c r="I3790" i="1"/>
  <c r="X3792" i="1"/>
  <c r="W3792" i="1"/>
  <c r="U3792" i="1"/>
  <c r="P3792" i="1"/>
  <c r="B3792" i="1" s="1"/>
  <c r="L3792" i="1"/>
  <c r="X6296" i="1"/>
  <c r="W6296" i="1"/>
  <c r="U6296" i="1"/>
  <c r="P6296" i="1"/>
  <c r="B6296" i="1" s="1"/>
  <c r="L6296" i="1"/>
  <c r="X5276" i="1"/>
  <c r="W5276" i="1"/>
  <c r="V5276" i="1"/>
  <c r="U5276" i="1"/>
  <c r="M5276" i="1"/>
  <c r="K5276" i="1"/>
  <c r="I5276" i="1"/>
  <c r="H5276" i="1"/>
  <c r="X5275" i="1"/>
  <c r="W5275" i="1"/>
  <c r="V5275" i="1"/>
  <c r="U5275" i="1"/>
  <c r="N5275" i="1"/>
  <c r="X5273" i="1"/>
  <c r="W5273" i="1"/>
  <c r="U5273" i="1"/>
  <c r="P5273" i="1"/>
  <c r="B5273" i="1" s="1"/>
  <c r="L5273" i="1"/>
  <c r="X5272" i="1"/>
  <c r="W5272" i="1"/>
  <c r="V5272" i="1"/>
  <c r="U5272" i="1"/>
  <c r="N5272" i="1"/>
  <c r="X5271" i="1"/>
  <c r="W5271" i="1"/>
  <c r="V5271" i="1"/>
  <c r="U5271" i="1"/>
  <c r="N5271" i="1"/>
  <c r="R6296" i="1" l="1"/>
  <c r="S6296" i="1"/>
  <c r="R3792" i="1"/>
  <c r="S3792" i="1"/>
  <c r="S5273" i="1"/>
  <c r="R5273" i="1"/>
  <c r="V3792" i="1"/>
  <c r="V5273" i="1"/>
  <c r="N3792" i="1"/>
  <c r="V6296" i="1"/>
  <c r="N6296" i="1"/>
  <c r="N5273" i="1"/>
  <c r="N5276" i="1" s="1"/>
  <c r="L5276" i="1"/>
  <c r="X6230" i="1"/>
  <c r="W6230" i="1"/>
  <c r="U6230" i="1"/>
  <c r="P6230" i="1"/>
  <c r="B6230" i="1" s="1"/>
  <c r="L6230" i="1"/>
  <c r="R6230" i="1" l="1"/>
  <c r="S6230" i="1"/>
  <c r="V6230" i="1"/>
  <c r="N6230" i="1"/>
  <c r="X1921" i="1" l="1"/>
  <c r="W1921" i="1"/>
  <c r="U1921" i="1"/>
  <c r="P1921" i="1"/>
  <c r="B1921" i="1" s="1"/>
  <c r="L1921" i="1"/>
  <c r="X5785" i="1"/>
  <c r="W5785" i="1"/>
  <c r="U5785" i="1"/>
  <c r="P5785" i="1"/>
  <c r="B5785" i="1" s="1"/>
  <c r="L5785" i="1"/>
  <c r="X4760" i="1"/>
  <c r="W4760" i="1"/>
  <c r="U4760" i="1"/>
  <c r="P4760" i="1"/>
  <c r="B4760" i="1" s="1"/>
  <c r="L4760" i="1"/>
  <c r="R5785" i="1" l="1"/>
  <c r="S5785" i="1"/>
  <c r="R1921" i="1"/>
  <c r="S1921" i="1"/>
  <c r="S4760" i="1"/>
  <c r="R4760" i="1"/>
  <c r="V4760" i="1"/>
  <c r="V1921" i="1"/>
  <c r="N1921" i="1"/>
  <c r="V5785" i="1"/>
  <c r="N5785" i="1"/>
  <c r="N4760" i="1"/>
  <c r="X65" i="1" l="1"/>
  <c r="W65" i="1"/>
  <c r="U65" i="1"/>
  <c r="P65" i="1"/>
  <c r="B65" i="1" s="1"/>
  <c r="L65" i="1"/>
  <c r="R65" i="1" l="1"/>
  <c r="S65" i="1"/>
  <c r="V65" i="1"/>
  <c r="N65" i="1"/>
  <c r="X2281" i="1" l="1"/>
  <c r="W2281" i="1"/>
  <c r="U2281" i="1"/>
  <c r="P2281" i="1"/>
  <c r="B2281" i="1" s="1"/>
  <c r="L2281" i="1"/>
  <c r="L2282" i="1"/>
  <c r="P2282" i="1"/>
  <c r="B2282" i="1" s="1"/>
  <c r="U2282" i="1"/>
  <c r="W2282" i="1"/>
  <c r="X2282" i="1"/>
  <c r="S2281" i="1" l="1"/>
  <c r="R2281" i="1"/>
  <c r="R2282" i="1"/>
  <c r="S2282" i="1"/>
  <c r="N2282" i="1"/>
  <c r="V2282" i="1"/>
  <c r="V2281" i="1"/>
  <c r="N2281" i="1"/>
  <c r="X4607" i="1" l="1"/>
  <c r="W4607" i="1"/>
  <c r="U4607" i="1"/>
  <c r="P4607" i="1"/>
  <c r="B4607" i="1" s="1"/>
  <c r="L4607" i="1"/>
  <c r="X6533" i="1"/>
  <c r="W6533" i="1"/>
  <c r="U6533" i="1"/>
  <c r="P6533" i="1"/>
  <c r="B6533" i="1" s="1"/>
  <c r="L6533" i="1"/>
  <c r="X6534" i="1"/>
  <c r="W6534" i="1"/>
  <c r="U6534" i="1"/>
  <c r="P6534" i="1"/>
  <c r="B6534" i="1" s="1"/>
  <c r="L6534" i="1"/>
  <c r="R6533" i="1" l="1"/>
  <c r="S6533" i="1"/>
  <c r="R4607" i="1"/>
  <c r="S4607" i="1"/>
  <c r="S6534" i="1"/>
  <c r="R6534" i="1"/>
  <c r="V6534" i="1"/>
  <c r="V6533" i="1"/>
  <c r="V4607" i="1"/>
  <c r="N4607" i="1"/>
  <c r="N6533" i="1"/>
  <c r="N6534" i="1"/>
  <c r="P6811" i="1" l="1"/>
  <c r="B6811" i="1" s="1"/>
  <c r="N6811" i="1"/>
  <c r="X2687" i="1" l="1"/>
  <c r="W2687" i="1"/>
  <c r="U2687" i="1"/>
  <c r="P2687" i="1"/>
  <c r="B2687" i="1" s="1"/>
  <c r="L2687" i="1"/>
  <c r="X423" i="1"/>
  <c r="W423" i="1"/>
  <c r="U423" i="1"/>
  <c r="P423" i="1"/>
  <c r="B423" i="1" s="1"/>
  <c r="L423" i="1"/>
  <c r="S423" i="1" l="1"/>
  <c r="R423" i="1"/>
  <c r="R2687" i="1"/>
  <c r="S2687" i="1"/>
  <c r="V423" i="1"/>
  <c r="V2687" i="1"/>
  <c r="N2687" i="1"/>
  <c r="N423" i="1"/>
  <c r="X6479" i="1"/>
  <c r="W6479" i="1"/>
  <c r="U6479" i="1"/>
  <c r="P6479" i="1"/>
  <c r="B6479" i="1" s="1"/>
  <c r="L6479" i="1"/>
  <c r="X1387" i="1"/>
  <c r="W1387" i="1"/>
  <c r="U1387" i="1"/>
  <c r="P1387" i="1"/>
  <c r="B1387" i="1" s="1"/>
  <c r="L1387" i="1"/>
  <c r="R1387" i="1" l="1"/>
  <c r="S1387" i="1"/>
  <c r="R6479" i="1"/>
  <c r="S6479" i="1"/>
  <c r="V1387" i="1"/>
  <c r="V6479" i="1"/>
  <c r="N6479" i="1"/>
  <c r="N1387" i="1"/>
  <c r="X5095" i="1"/>
  <c r="W5095" i="1"/>
  <c r="U5095" i="1"/>
  <c r="P5095" i="1"/>
  <c r="B5095" i="1" s="1"/>
  <c r="L5095" i="1"/>
  <c r="X5150" i="1"/>
  <c r="W5150" i="1"/>
  <c r="U5150" i="1"/>
  <c r="P5150" i="1"/>
  <c r="B5150" i="1" s="1"/>
  <c r="L5150" i="1"/>
  <c r="R5150" i="1" l="1"/>
  <c r="S5150" i="1"/>
  <c r="R5095" i="1"/>
  <c r="S5095" i="1"/>
  <c r="V5150" i="1"/>
  <c r="N5095" i="1"/>
  <c r="V5095" i="1"/>
  <c r="N5150" i="1"/>
  <c r="X4093" i="1" l="1"/>
  <c r="W4093" i="1"/>
  <c r="U4093" i="1"/>
  <c r="P4093" i="1"/>
  <c r="B4093" i="1" s="1"/>
  <c r="L4093" i="1"/>
  <c r="R4093" i="1" l="1"/>
  <c r="S4093" i="1"/>
  <c r="N4093" i="1"/>
  <c r="V4093" i="1"/>
  <c r="X5781" i="1"/>
  <c r="W5781" i="1"/>
  <c r="U5781" i="1"/>
  <c r="P5781" i="1"/>
  <c r="B5781" i="1" s="1"/>
  <c r="L5781" i="1"/>
  <c r="X5451" i="1"/>
  <c r="W5451" i="1"/>
  <c r="U5451" i="1"/>
  <c r="P5451" i="1"/>
  <c r="B5451" i="1" s="1"/>
  <c r="L5451" i="1"/>
  <c r="X1974" i="1"/>
  <c r="W1974" i="1"/>
  <c r="U1974" i="1"/>
  <c r="P1974" i="1"/>
  <c r="B1974" i="1" s="1"/>
  <c r="L1974" i="1"/>
  <c r="X3893" i="1"/>
  <c r="W3893" i="1"/>
  <c r="U3893" i="1"/>
  <c r="P3893" i="1"/>
  <c r="B3893" i="1" s="1"/>
  <c r="L3893" i="1"/>
  <c r="R3893" i="1" l="1"/>
  <c r="S3893" i="1"/>
  <c r="S5781" i="1"/>
  <c r="R5781" i="1"/>
  <c r="R1974" i="1"/>
  <c r="S1974" i="1"/>
  <c r="R5451" i="1"/>
  <c r="S5451" i="1"/>
  <c r="V3893" i="1"/>
  <c r="V5781" i="1"/>
  <c r="V5451" i="1"/>
  <c r="V1974" i="1"/>
  <c r="N5781" i="1"/>
  <c r="N5451" i="1"/>
  <c r="N1974" i="1"/>
  <c r="N3893" i="1"/>
  <c r="X5154" i="1" l="1"/>
  <c r="W5154" i="1"/>
  <c r="U5154" i="1"/>
  <c r="P5154" i="1"/>
  <c r="B5154" i="1" s="1"/>
  <c r="L5154" i="1"/>
  <c r="S5154" i="1" l="1"/>
  <c r="R5154" i="1"/>
  <c r="V5154" i="1"/>
  <c r="N5154" i="1"/>
  <c r="X5096" i="1"/>
  <c r="W5096" i="1"/>
  <c r="U5096" i="1"/>
  <c r="P5096" i="1"/>
  <c r="B5096" i="1" s="1"/>
  <c r="L5096" i="1"/>
  <c r="S5096" i="1" l="1"/>
  <c r="R5096" i="1"/>
  <c r="V5096" i="1"/>
  <c r="N5096" i="1"/>
  <c r="X3467" i="1"/>
  <c r="W3467" i="1"/>
  <c r="U3467" i="1"/>
  <c r="P3467" i="1"/>
  <c r="B3467" i="1" s="1"/>
  <c r="L3467" i="1"/>
  <c r="R3467" i="1" l="1"/>
  <c r="S3467" i="1"/>
  <c r="V3467" i="1"/>
  <c r="N3467" i="1"/>
  <c r="X876" i="1"/>
  <c r="W876" i="1"/>
  <c r="U876" i="1"/>
  <c r="P876" i="1"/>
  <c r="B876" i="1" s="1"/>
  <c r="L876" i="1"/>
  <c r="L4204" i="1"/>
  <c r="R4204" i="1" l="1"/>
  <c r="S4204" i="1"/>
  <c r="R876" i="1"/>
  <c r="S876" i="1"/>
  <c r="V876" i="1"/>
  <c r="N876" i="1"/>
  <c r="X2312" i="1"/>
  <c r="W2312" i="1"/>
  <c r="U2312" i="1"/>
  <c r="P2312" i="1"/>
  <c r="B2312" i="1" s="1"/>
  <c r="L2312" i="1"/>
  <c r="R2312" i="1" l="1"/>
  <c r="S2312" i="1"/>
  <c r="V2312" i="1"/>
  <c r="N2312" i="1"/>
  <c r="X4204" i="1" l="1"/>
  <c r="W4204" i="1"/>
  <c r="V4204" i="1"/>
  <c r="U4204" i="1"/>
  <c r="P4204" i="1"/>
  <c r="B4204" i="1" s="1"/>
  <c r="N4204" i="1" l="1"/>
  <c r="X5665" i="1"/>
  <c r="W5665" i="1"/>
  <c r="U5665" i="1"/>
  <c r="P5665" i="1"/>
  <c r="B5665" i="1" s="1"/>
  <c r="L5665" i="1"/>
  <c r="S5665" i="1" l="1"/>
  <c r="R5665" i="1"/>
  <c r="V5665" i="1"/>
  <c r="N5665" i="1"/>
  <c r="X2140" i="1"/>
  <c r="W2140" i="1"/>
  <c r="U2140" i="1"/>
  <c r="P2140" i="1"/>
  <c r="B2140" i="1" s="1"/>
  <c r="L2140" i="1"/>
  <c r="R2140" i="1" l="1"/>
  <c r="S2140" i="1"/>
  <c r="N2140" i="1"/>
  <c r="V2140" i="1"/>
  <c r="X2151" i="1"/>
  <c r="W2151" i="1"/>
  <c r="U2151" i="1"/>
  <c r="P2151" i="1"/>
  <c r="B2151" i="1" s="1"/>
  <c r="L2151" i="1"/>
  <c r="R2151" i="1" l="1"/>
  <c r="S2151" i="1"/>
  <c r="V2151" i="1"/>
  <c r="N2151" i="1"/>
  <c r="X5241" i="1"/>
  <c r="W5241" i="1"/>
  <c r="U5241" i="1"/>
  <c r="P5241" i="1"/>
  <c r="B5241" i="1" s="1"/>
  <c r="L5241" i="1"/>
  <c r="R5241" i="1" l="1"/>
  <c r="S5241" i="1"/>
  <c r="V5241" i="1"/>
  <c r="N5241" i="1"/>
  <c r="X4948" i="1"/>
  <c r="W4948" i="1"/>
  <c r="U4948" i="1"/>
  <c r="P4948" i="1"/>
  <c r="B4948" i="1" s="1"/>
  <c r="L4948" i="1"/>
  <c r="S4948" i="1" l="1"/>
  <c r="R4948" i="1"/>
  <c r="V4948" i="1"/>
  <c r="N4948" i="1"/>
  <c r="X5782" i="1"/>
  <c r="W5782" i="1"/>
  <c r="U5782" i="1"/>
  <c r="P5782" i="1"/>
  <c r="B5782" i="1" s="1"/>
  <c r="L5782" i="1"/>
  <c r="R5782" i="1" l="1"/>
  <c r="S5782" i="1"/>
  <c r="V5782" i="1"/>
  <c r="N5782" i="1"/>
  <c r="X3916" i="1"/>
  <c r="W3916" i="1"/>
  <c r="U3916" i="1"/>
  <c r="P3916" i="1"/>
  <c r="B3916" i="1" s="1"/>
  <c r="L3916" i="1"/>
  <c r="X1809" i="1"/>
  <c r="W1809" i="1"/>
  <c r="U1809" i="1"/>
  <c r="P1809" i="1"/>
  <c r="B1809" i="1" s="1"/>
  <c r="L1809" i="1"/>
  <c r="R3916" i="1" l="1"/>
  <c r="S3916" i="1"/>
  <c r="R1809" i="1"/>
  <c r="S1809" i="1"/>
  <c r="V1809" i="1"/>
  <c r="V3916" i="1"/>
  <c r="N3916" i="1"/>
  <c r="N1809" i="1"/>
  <c r="X576" i="1"/>
  <c r="W576" i="1"/>
  <c r="U576" i="1"/>
  <c r="P576" i="1"/>
  <c r="B576" i="1" s="1"/>
  <c r="L576" i="1"/>
  <c r="R576" i="1" l="1"/>
  <c r="S576" i="1"/>
  <c r="V576" i="1"/>
  <c r="N576" i="1"/>
  <c r="X5661" i="1"/>
  <c r="W5661" i="1"/>
  <c r="U5661" i="1"/>
  <c r="P5661" i="1"/>
  <c r="B5661" i="1" s="1"/>
  <c r="L5661" i="1"/>
  <c r="X1550" i="1"/>
  <c r="W1550" i="1"/>
  <c r="U1550" i="1"/>
  <c r="P1550" i="1"/>
  <c r="B1550" i="1" s="1"/>
  <c r="L1550" i="1"/>
  <c r="R5661" i="1" l="1"/>
  <c r="S5661" i="1"/>
  <c r="R1550" i="1"/>
  <c r="S1550" i="1"/>
  <c r="V1550" i="1"/>
  <c r="V5661" i="1"/>
  <c r="N5661" i="1"/>
  <c r="N1550" i="1"/>
  <c r="X1342" i="1"/>
  <c r="W1342" i="1"/>
  <c r="U1342" i="1"/>
  <c r="P1342" i="1"/>
  <c r="B1342" i="1" s="1"/>
  <c r="L1342" i="1"/>
  <c r="X4649" i="1"/>
  <c r="W4649" i="1"/>
  <c r="U4649" i="1"/>
  <c r="P4649" i="1"/>
  <c r="B4649" i="1" s="1"/>
  <c r="L4649" i="1"/>
  <c r="X6577" i="1"/>
  <c r="W6577" i="1"/>
  <c r="U6577" i="1"/>
  <c r="P6577" i="1"/>
  <c r="B6577" i="1" s="1"/>
  <c r="L6577" i="1"/>
  <c r="R6577" i="1" l="1"/>
  <c r="S6577" i="1"/>
  <c r="R4649" i="1"/>
  <c r="S4649" i="1"/>
  <c r="R1342" i="1"/>
  <c r="S1342" i="1"/>
  <c r="V1342" i="1"/>
  <c r="V4649" i="1"/>
  <c r="N6577" i="1"/>
  <c r="V6577" i="1"/>
  <c r="N1342" i="1"/>
  <c r="N4649" i="1"/>
  <c r="X5894" i="1"/>
  <c r="W5894" i="1"/>
  <c r="U5894" i="1"/>
  <c r="P5894" i="1"/>
  <c r="B5894" i="1" s="1"/>
  <c r="L5894" i="1"/>
  <c r="R5894" i="1" l="1"/>
  <c r="S5894" i="1"/>
  <c r="V5894" i="1"/>
  <c r="N5894" i="1"/>
  <c r="X4995" i="1"/>
  <c r="W4995" i="1"/>
  <c r="U4995" i="1"/>
  <c r="P4995" i="1"/>
  <c r="B4995" i="1" s="1"/>
  <c r="L4995" i="1"/>
  <c r="R4995" i="1" l="1"/>
  <c r="S4995" i="1"/>
  <c r="V4995" i="1"/>
  <c r="N4995" i="1"/>
  <c r="X1926" i="1"/>
  <c r="W1926" i="1"/>
  <c r="U1926" i="1"/>
  <c r="P1926" i="1"/>
  <c r="B1926" i="1" s="1"/>
  <c r="L1926" i="1"/>
  <c r="X6240" i="1"/>
  <c r="W6240" i="1"/>
  <c r="U6240" i="1"/>
  <c r="P6240" i="1"/>
  <c r="B6240" i="1" s="1"/>
  <c r="L6240" i="1"/>
  <c r="R1926" i="1" l="1"/>
  <c r="S1926" i="1"/>
  <c r="R6240" i="1"/>
  <c r="S6240" i="1"/>
  <c r="V6240" i="1"/>
  <c r="N1926" i="1"/>
  <c r="V1926" i="1"/>
  <c r="N6240" i="1"/>
  <c r="X5142" i="1"/>
  <c r="W5142" i="1"/>
  <c r="U5142" i="1"/>
  <c r="P5142" i="1"/>
  <c r="B5142" i="1" s="1"/>
  <c r="L5142" i="1"/>
  <c r="X6357" i="1"/>
  <c r="W6357" i="1"/>
  <c r="U6357" i="1"/>
  <c r="P6357" i="1"/>
  <c r="B6357" i="1" s="1"/>
  <c r="L6357" i="1"/>
  <c r="X5941" i="1"/>
  <c r="W5941" i="1"/>
  <c r="U5941" i="1"/>
  <c r="P5941" i="1"/>
  <c r="B5941" i="1" s="1"/>
  <c r="L5941" i="1"/>
  <c r="R5941" i="1" l="1"/>
  <c r="S5941" i="1"/>
  <c r="R6357" i="1"/>
  <c r="S6357" i="1"/>
  <c r="S5142" i="1"/>
  <c r="R5142" i="1"/>
  <c r="V5142" i="1"/>
  <c r="N5941" i="1"/>
  <c r="V6357" i="1"/>
  <c r="N5142" i="1"/>
  <c r="N6357" i="1"/>
  <c r="V5941" i="1"/>
  <c r="X5819" i="1"/>
  <c r="W5819" i="1"/>
  <c r="U5819" i="1"/>
  <c r="P5819" i="1"/>
  <c r="B5819" i="1" s="1"/>
  <c r="L5819" i="1"/>
  <c r="X5157" i="1"/>
  <c r="W5157" i="1"/>
  <c r="U5157" i="1"/>
  <c r="P5157" i="1"/>
  <c r="B5157" i="1" s="1"/>
  <c r="L5157" i="1"/>
  <c r="R5819" i="1" l="1"/>
  <c r="S5819" i="1"/>
  <c r="R5157" i="1"/>
  <c r="S5157" i="1"/>
  <c r="V5819" i="1"/>
  <c r="N5157" i="1"/>
  <c r="N5819" i="1"/>
  <c r="V5157" i="1"/>
  <c r="X5604" i="1" l="1"/>
  <c r="W5604" i="1"/>
  <c r="U5604" i="1"/>
  <c r="P5604" i="1"/>
  <c r="B5604" i="1" s="1"/>
  <c r="L5604" i="1"/>
  <c r="R5604" i="1" l="1"/>
  <c r="S5604" i="1"/>
  <c r="V5604" i="1"/>
  <c r="N5604" i="1"/>
  <c r="L1941" i="1"/>
  <c r="X1941" i="1"/>
  <c r="W1941" i="1"/>
  <c r="U1941" i="1"/>
  <c r="P1941" i="1"/>
  <c r="B1941" i="1" s="1"/>
  <c r="R1941" i="1" l="1"/>
  <c r="S1941" i="1"/>
  <c r="V1941" i="1"/>
  <c r="N1941" i="1"/>
  <c r="X3856" i="1"/>
  <c r="W3856" i="1"/>
  <c r="U3856" i="1"/>
  <c r="P3856" i="1"/>
  <c r="B3856" i="1" s="1"/>
  <c r="L3856" i="1"/>
  <c r="R3856" i="1" l="1"/>
  <c r="S3856" i="1"/>
  <c r="V3856" i="1"/>
  <c r="N3856" i="1"/>
  <c r="X3975" i="1"/>
  <c r="W3975" i="1"/>
  <c r="U3975" i="1"/>
  <c r="P3975" i="1"/>
  <c r="B3975" i="1" s="1"/>
  <c r="L3975" i="1"/>
  <c r="R3975" i="1" l="1"/>
  <c r="S3975" i="1"/>
  <c r="V3975" i="1"/>
  <c r="N3975" i="1"/>
  <c r="X4706" i="1"/>
  <c r="W4706" i="1"/>
  <c r="U4706" i="1"/>
  <c r="P4706" i="1"/>
  <c r="B4706" i="1" s="1"/>
  <c r="L4706" i="1"/>
  <c r="R4706" i="1" l="1"/>
  <c r="S4706" i="1"/>
  <c r="V4706" i="1"/>
  <c r="N4706" i="1"/>
  <c r="X5028" i="1"/>
  <c r="W5028" i="1"/>
  <c r="U5028" i="1"/>
  <c r="P5028" i="1"/>
  <c r="B5028" i="1" s="1"/>
  <c r="L5028" i="1"/>
  <c r="X558" i="1"/>
  <c r="W558" i="1"/>
  <c r="U558" i="1"/>
  <c r="P558" i="1"/>
  <c r="B558" i="1" s="1"/>
  <c r="L558" i="1"/>
  <c r="R5028" i="1" l="1"/>
  <c r="S5028" i="1"/>
  <c r="R558" i="1"/>
  <c r="S558" i="1"/>
  <c r="V5028" i="1"/>
  <c r="N558" i="1"/>
  <c r="N5028" i="1"/>
  <c r="V558" i="1"/>
  <c r="X5047" i="1"/>
  <c r="W5047" i="1"/>
  <c r="U5047" i="1"/>
  <c r="P5047" i="1"/>
  <c r="B5047" i="1" s="1"/>
  <c r="L5047" i="1"/>
  <c r="R5047" i="1" l="1"/>
  <c r="S5047" i="1"/>
  <c r="V5047" i="1"/>
  <c r="N5047" i="1"/>
  <c r="X430" i="1" l="1"/>
  <c r="W430" i="1"/>
  <c r="U430" i="1"/>
  <c r="P430" i="1"/>
  <c r="B430" i="1" s="1"/>
  <c r="L430" i="1"/>
  <c r="R430" i="1" l="1"/>
  <c r="S430" i="1"/>
  <c r="V430" i="1"/>
  <c r="N430" i="1"/>
  <c r="X5908" i="1" l="1"/>
  <c r="W5908" i="1"/>
  <c r="U5908" i="1"/>
  <c r="P5908" i="1"/>
  <c r="B5908" i="1" s="1"/>
  <c r="L5908" i="1"/>
  <c r="X5909" i="1"/>
  <c r="W5909" i="1"/>
  <c r="U5909" i="1"/>
  <c r="P5909" i="1"/>
  <c r="B5909" i="1" s="1"/>
  <c r="L5909" i="1"/>
  <c r="R5909" i="1" l="1"/>
  <c r="S5909" i="1"/>
  <c r="R5908" i="1"/>
  <c r="S5908" i="1"/>
  <c r="N5908" i="1"/>
  <c r="V5908" i="1"/>
  <c r="V5909" i="1"/>
  <c r="N5909" i="1"/>
  <c r="X5469" i="1" l="1"/>
  <c r="W5469" i="1"/>
  <c r="U5469" i="1"/>
  <c r="P5469" i="1"/>
  <c r="B5469" i="1" s="1"/>
  <c r="L5469" i="1"/>
  <c r="R5469" i="1" l="1"/>
  <c r="S5469" i="1"/>
  <c r="N5469" i="1"/>
  <c r="V5469" i="1"/>
  <c r="X2161" i="1"/>
  <c r="W2161" i="1"/>
  <c r="U2161" i="1"/>
  <c r="P2161" i="1"/>
  <c r="B2161" i="1" s="1"/>
  <c r="L2161" i="1"/>
  <c r="R2161" i="1" l="1"/>
  <c r="S2161" i="1"/>
  <c r="N2161" i="1"/>
  <c r="V2161" i="1"/>
  <c r="X1347" i="1" l="1"/>
  <c r="W1347" i="1"/>
  <c r="U1347" i="1"/>
  <c r="P1347" i="1"/>
  <c r="B1347" i="1" s="1"/>
  <c r="L1347" i="1"/>
  <c r="X2097" i="1"/>
  <c r="W2097" i="1"/>
  <c r="U2097" i="1"/>
  <c r="P2097" i="1"/>
  <c r="B2097" i="1" s="1"/>
  <c r="L2097" i="1"/>
  <c r="R2097" i="1" l="1"/>
  <c r="S2097" i="1"/>
  <c r="R1347" i="1"/>
  <c r="S1347" i="1"/>
  <c r="V1347" i="1"/>
  <c r="N1347" i="1"/>
  <c r="V2097" i="1"/>
  <c r="N2097" i="1"/>
  <c r="X2163" i="1" l="1"/>
  <c r="W2163" i="1"/>
  <c r="U2163" i="1"/>
  <c r="P2163" i="1"/>
  <c r="B2163" i="1" s="1"/>
  <c r="L2163" i="1"/>
  <c r="R2163" i="1" l="1"/>
  <c r="S2163" i="1"/>
  <c r="V2163" i="1"/>
  <c r="N2163" i="1"/>
  <c r="X6378" i="1" l="1"/>
  <c r="W6378" i="1"/>
  <c r="U6378" i="1"/>
  <c r="P6378" i="1"/>
  <c r="B6378" i="1" s="1"/>
  <c r="L6378" i="1"/>
  <c r="R6378" i="1" l="1"/>
  <c r="S6378" i="1"/>
  <c r="V6378" i="1"/>
  <c r="N6378" i="1"/>
  <c r="P6868" i="1"/>
  <c r="B6868" i="1" s="1"/>
  <c r="N6868" i="1"/>
  <c r="L4801" i="1" l="1"/>
  <c r="X4801" i="1"/>
  <c r="W4801" i="1"/>
  <c r="U4801" i="1"/>
  <c r="P4801" i="1"/>
  <c r="B4801" i="1" s="1"/>
  <c r="X463" i="1"/>
  <c r="W463" i="1"/>
  <c r="U463" i="1"/>
  <c r="P463" i="1"/>
  <c r="B463" i="1" s="1"/>
  <c r="L463" i="1"/>
  <c r="R463" i="1" l="1"/>
  <c r="S463" i="1"/>
  <c r="R4801" i="1"/>
  <c r="S4801" i="1"/>
  <c r="V463" i="1"/>
  <c r="V4801" i="1"/>
  <c r="N4801" i="1"/>
  <c r="N463" i="1"/>
  <c r="L6717" i="1" l="1"/>
  <c r="X6717" i="1"/>
  <c r="W6717" i="1"/>
  <c r="U6717" i="1"/>
  <c r="P6717" i="1"/>
  <c r="B6717" i="1" s="1"/>
  <c r="R6717" i="1" l="1"/>
  <c r="S6717" i="1"/>
  <c r="V6717" i="1"/>
  <c r="N6717" i="1"/>
  <c r="X5630" i="1"/>
  <c r="W5630" i="1"/>
  <c r="U5630" i="1"/>
  <c r="P5630" i="1"/>
  <c r="B5630" i="1" s="1"/>
  <c r="L5630" i="1"/>
  <c r="R5630" i="1" l="1"/>
  <c r="S5630" i="1"/>
  <c r="V5630" i="1"/>
  <c r="N5630" i="1"/>
  <c r="X1668" i="1" l="1"/>
  <c r="W1668" i="1"/>
  <c r="U1668" i="1"/>
  <c r="P1668" i="1"/>
  <c r="B1668" i="1" s="1"/>
  <c r="L1668" i="1"/>
  <c r="R1668" i="1" l="1"/>
  <c r="S1668" i="1"/>
  <c r="V1668" i="1"/>
  <c r="N1668" i="1"/>
  <c r="X78" i="1"/>
  <c r="W78" i="1"/>
  <c r="U78" i="1"/>
  <c r="P78" i="1"/>
  <c r="B78" i="1" s="1"/>
  <c r="L78" i="1"/>
  <c r="R78" i="1" l="1"/>
  <c r="S78" i="1"/>
  <c r="N78" i="1"/>
  <c r="V78" i="1"/>
  <c r="P6865" i="1"/>
  <c r="B6865" i="1" s="1"/>
  <c r="N6865" i="1"/>
  <c r="X4182" i="1" l="1"/>
  <c r="W4182" i="1"/>
  <c r="U4182" i="1"/>
  <c r="P4182" i="1"/>
  <c r="B4182" i="1" s="1"/>
  <c r="L4182" i="1"/>
  <c r="R4182" i="1" l="1"/>
  <c r="S4182" i="1"/>
  <c r="N4182" i="1"/>
  <c r="V4182" i="1"/>
  <c r="X4808" i="1" l="1"/>
  <c r="W4808" i="1"/>
  <c r="U4808" i="1"/>
  <c r="P4808" i="1"/>
  <c r="B4808" i="1" s="1"/>
  <c r="L4808" i="1"/>
  <c r="R4808" i="1" l="1"/>
  <c r="S4808" i="1"/>
  <c r="N4808" i="1"/>
  <c r="V4808" i="1"/>
  <c r="X5098" i="1"/>
  <c r="W5098" i="1"/>
  <c r="U5098" i="1"/>
  <c r="P5098" i="1"/>
  <c r="B5098" i="1" s="1"/>
  <c r="L5098" i="1"/>
  <c r="R5098" i="1" l="1"/>
  <c r="S5098" i="1"/>
  <c r="V5098" i="1"/>
  <c r="N5098" i="1"/>
  <c r="X5070" i="1" l="1"/>
  <c r="W5070" i="1"/>
  <c r="U5070" i="1"/>
  <c r="P5070" i="1"/>
  <c r="B5070" i="1" s="1"/>
  <c r="L5070" i="1"/>
  <c r="S5070" i="1" l="1"/>
  <c r="R5070" i="1"/>
  <c r="N5070" i="1"/>
  <c r="V5070" i="1"/>
  <c r="X3398" i="1"/>
  <c r="W3398" i="1"/>
  <c r="U3398" i="1"/>
  <c r="P3398" i="1"/>
  <c r="B3398" i="1" s="1"/>
  <c r="L3398" i="1"/>
  <c r="R3398" i="1" l="1"/>
  <c r="S3398" i="1"/>
  <c r="N3398" i="1"/>
  <c r="V3398" i="1"/>
  <c r="X6253" i="1" l="1"/>
  <c r="W6253" i="1"/>
  <c r="V6253" i="1"/>
  <c r="U6253" i="1"/>
  <c r="M6253" i="1"/>
  <c r="K6253" i="1"/>
  <c r="I6253" i="1"/>
  <c r="H6253" i="1"/>
  <c r="X6252" i="1"/>
  <c r="W6252" i="1"/>
  <c r="V6252" i="1"/>
  <c r="U6252" i="1"/>
  <c r="N6252" i="1"/>
  <c r="X6251" i="1"/>
  <c r="W6251" i="1"/>
  <c r="U6251" i="1"/>
  <c r="P6251" i="1"/>
  <c r="B6251" i="1" s="1"/>
  <c r="L6251" i="1"/>
  <c r="X6250" i="1"/>
  <c r="W6250" i="1"/>
  <c r="V6250" i="1"/>
  <c r="U6250" i="1"/>
  <c r="N6250" i="1"/>
  <c r="X6249" i="1"/>
  <c r="W6249" i="1"/>
  <c r="V6249" i="1"/>
  <c r="U6249" i="1"/>
  <c r="N6249" i="1"/>
  <c r="R6251" i="1" l="1"/>
  <c r="S6251" i="1"/>
  <c r="N6251" i="1"/>
  <c r="N6253" i="1" s="1"/>
  <c r="V6251" i="1"/>
  <c r="L6253" i="1"/>
  <c r="X5617" i="1"/>
  <c r="W5617" i="1"/>
  <c r="U5617" i="1"/>
  <c r="P5617" i="1"/>
  <c r="B5617" i="1" s="1"/>
  <c r="L5617" i="1"/>
  <c r="R5617" i="1" l="1"/>
  <c r="S5617" i="1"/>
  <c r="N5617" i="1"/>
  <c r="V5617" i="1"/>
  <c r="K4011" i="1"/>
  <c r="X4011" i="1"/>
  <c r="W4011" i="1"/>
  <c r="V4011" i="1"/>
  <c r="U4011" i="1"/>
  <c r="M4011" i="1"/>
  <c r="I4011" i="1"/>
  <c r="H4011" i="1"/>
  <c r="X4010" i="1"/>
  <c r="W4010" i="1"/>
  <c r="V4010" i="1"/>
  <c r="U4010" i="1"/>
  <c r="N4010" i="1"/>
  <c r="X4008" i="1"/>
  <c r="W4008" i="1"/>
  <c r="U4008" i="1"/>
  <c r="P4008" i="1"/>
  <c r="B4008" i="1" s="1"/>
  <c r="X4007" i="1"/>
  <c r="W4007" i="1"/>
  <c r="V4007" i="1"/>
  <c r="U4007" i="1"/>
  <c r="N4007" i="1"/>
  <c r="X4006" i="1"/>
  <c r="W4006" i="1"/>
  <c r="V4006" i="1"/>
  <c r="U4006" i="1"/>
  <c r="N4006" i="1"/>
  <c r="X3675" i="1"/>
  <c r="W3675" i="1"/>
  <c r="U3675" i="1"/>
  <c r="P3675" i="1"/>
  <c r="B3675" i="1" s="1"/>
  <c r="L3675" i="1"/>
  <c r="I671" i="1"/>
  <c r="L671" i="1" s="1"/>
  <c r="X671" i="1"/>
  <c r="W671" i="1"/>
  <c r="U671" i="1"/>
  <c r="P671" i="1"/>
  <c r="B671" i="1" s="1"/>
  <c r="P6883" i="1"/>
  <c r="B6883" i="1" s="1"/>
  <c r="N6883" i="1"/>
  <c r="P6850" i="1"/>
  <c r="B6850" i="1" s="1"/>
  <c r="N6850" i="1"/>
  <c r="R3675" i="1" l="1"/>
  <c r="S3675" i="1"/>
  <c r="R671" i="1"/>
  <c r="S671" i="1"/>
  <c r="L4008" i="1"/>
  <c r="N3675" i="1"/>
  <c r="V3675" i="1"/>
  <c r="V671" i="1"/>
  <c r="N671" i="1"/>
  <c r="R4008" i="1" l="1"/>
  <c r="S4008" i="1"/>
  <c r="L4011" i="1"/>
  <c r="V4008" i="1"/>
  <c r="N4008" i="1"/>
  <c r="N4011" i="1" s="1"/>
  <c r="X4121" i="1"/>
  <c r="W4121" i="1"/>
  <c r="U4121" i="1"/>
  <c r="P4121" i="1"/>
  <c r="B4121" i="1" s="1"/>
  <c r="L4121" i="1"/>
  <c r="R4121" i="1" l="1"/>
  <c r="S4121" i="1"/>
  <c r="V4121" i="1"/>
  <c r="N4121" i="1"/>
  <c r="X6097" i="1"/>
  <c r="W6097" i="1"/>
  <c r="V6097" i="1"/>
  <c r="U6097" i="1"/>
  <c r="M6097" i="1"/>
  <c r="K6097" i="1"/>
  <c r="I6097" i="1"/>
  <c r="H6097" i="1"/>
  <c r="X6096" i="1"/>
  <c r="W6096" i="1"/>
  <c r="V6096" i="1"/>
  <c r="U6096" i="1"/>
  <c r="N6096" i="1"/>
  <c r="X6095" i="1"/>
  <c r="W6095" i="1"/>
  <c r="U6095" i="1"/>
  <c r="P6095" i="1"/>
  <c r="B6095" i="1" s="1"/>
  <c r="L6095" i="1"/>
  <c r="X6094" i="1"/>
  <c r="W6094" i="1"/>
  <c r="V6094" i="1"/>
  <c r="U6094" i="1"/>
  <c r="N6094" i="1"/>
  <c r="X6093" i="1"/>
  <c r="W6093" i="1"/>
  <c r="V6093" i="1"/>
  <c r="U6093" i="1"/>
  <c r="N6093" i="1"/>
  <c r="X1423" i="1"/>
  <c r="W1423" i="1"/>
  <c r="U1423" i="1"/>
  <c r="P1423" i="1"/>
  <c r="B1423" i="1" s="1"/>
  <c r="L1423" i="1"/>
  <c r="R6095" i="1" l="1"/>
  <c r="S6095" i="1"/>
  <c r="R1423" i="1"/>
  <c r="S1423" i="1"/>
  <c r="L6097" i="1"/>
  <c r="V6095" i="1"/>
  <c r="N6095" i="1"/>
  <c r="N6097" i="1" s="1"/>
  <c r="N1423" i="1"/>
  <c r="V1423" i="1"/>
  <c r="X319" i="1"/>
  <c r="W319" i="1"/>
  <c r="U319" i="1"/>
  <c r="P319" i="1"/>
  <c r="B319" i="1" s="1"/>
  <c r="L319" i="1"/>
  <c r="X549" i="1"/>
  <c r="W549" i="1"/>
  <c r="U549" i="1"/>
  <c r="P549" i="1"/>
  <c r="B549" i="1" s="1"/>
  <c r="L549" i="1"/>
  <c r="X1975" i="1"/>
  <c r="W1975" i="1"/>
  <c r="U1975" i="1"/>
  <c r="P1975" i="1"/>
  <c r="B1975" i="1" s="1"/>
  <c r="L1975" i="1"/>
  <c r="R1975" i="1" l="1"/>
  <c r="S1975" i="1"/>
  <c r="R549" i="1"/>
  <c r="S549" i="1"/>
  <c r="S319" i="1"/>
  <c r="R319" i="1"/>
  <c r="N549" i="1"/>
  <c r="N319" i="1"/>
  <c r="V319" i="1"/>
  <c r="V549" i="1"/>
  <c r="V1975" i="1"/>
  <c r="N1975" i="1"/>
  <c r="X3868" i="1"/>
  <c r="W3868" i="1"/>
  <c r="U3868" i="1"/>
  <c r="P3868" i="1"/>
  <c r="B3868" i="1" s="1"/>
  <c r="L3868" i="1"/>
  <c r="I4893" i="1"/>
  <c r="H4893" i="1"/>
  <c r="X4893" i="1"/>
  <c r="W4893" i="1"/>
  <c r="U4893" i="1"/>
  <c r="P4893" i="1"/>
  <c r="B4893" i="1" s="1"/>
  <c r="I4895" i="1"/>
  <c r="X4895" i="1"/>
  <c r="W4895" i="1"/>
  <c r="U4895" i="1"/>
  <c r="P4895" i="1"/>
  <c r="B4895" i="1" s="1"/>
  <c r="X1723" i="1"/>
  <c r="W1723" i="1"/>
  <c r="U1723" i="1"/>
  <c r="P1723" i="1"/>
  <c r="B1723" i="1" s="1"/>
  <c r="L1723" i="1"/>
  <c r="R1723" i="1" l="1"/>
  <c r="S1723" i="1"/>
  <c r="R3868" i="1"/>
  <c r="S3868" i="1"/>
  <c r="L4893" i="1"/>
  <c r="N4893" i="1" s="1"/>
  <c r="L4895" i="1"/>
  <c r="V3868" i="1"/>
  <c r="N3868" i="1"/>
  <c r="V4893" i="1"/>
  <c r="N1723" i="1"/>
  <c r="V1723" i="1"/>
  <c r="X5658" i="1"/>
  <c r="W5658" i="1"/>
  <c r="U5658" i="1"/>
  <c r="P5658" i="1"/>
  <c r="B5658" i="1" s="1"/>
  <c r="L5658" i="1"/>
  <c r="R4895" i="1" l="1"/>
  <c r="S4895" i="1"/>
  <c r="R5658" i="1"/>
  <c r="S5658" i="1"/>
  <c r="R4893" i="1"/>
  <c r="S4893" i="1"/>
  <c r="V4895" i="1"/>
  <c r="N4895" i="1"/>
  <c r="N5658" i="1"/>
  <c r="V5658" i="1"/>
  <c r="H2530" i="1"/>
  <c r="X3869" i="1" l="1"/>
  <c r="W3869" i="1"/>
  <c r="U3869" i="1"/>
  <c r="P3869" i="1"/>
  <c r="B3869" i="1" s="1"/>
  <c r="L3869" i="1"/>
  <c r="R3869" i="1" l="1"/>
  <c r="S3869" i="1"/>
  <c r="N3869" i="1"/>
  <c r="V3869" i="1"/>
  <c r="X94" i="1"/>
  <c r="W94" i="1"/>
  <c r="U94" i="1"/>
  <c r="P94" i="1"/>
  <c r="B94" i="1" s="1"/>
  <c r="L94" i="1"/>
  <c r="R94" i="1" l="1"/>
  <c r="S94" i="1"/>
  <c r="V94" i="1"/>
  <c r="N94" i="1"/>
  <c r="X6732" i="1"/>
  <c r="W6732" i="1"/>
  <c r="V6732" i="1"/>
  <c r="U6732" i="1"/>
  <c r="M6732" i="1"/>
  <c r="K6732" i="1"/>
  <c r="I6732" i="1"/>
  <c r="H6732" i="1"/>
  <c r="X6731" i="1"/>
  <c r="W6731" i="1"/>
  <c r="V6731" i="1"/>
  <c r="U6731" i="1"/>
  <c r="N6731" i="1"/>
  <c r="X6730" i="1"/>
  <c r="W6730" i="1"/>
  <c r="U6730" i="1"/>
  <c r="P6730" i="1"/>
  <c r="B6730" i="1" s="1"/>
  <c r="L6730" i="1"/>
  <c r="X6729" i="1"/>
  <c r="W6729" i="1"/>
  <c r="V6729" i="1"/>
  <c r="U6729" i="1"/>
  <c r="N6729" i="1"/>
  <c r="X6728" i="1"/>
  <c r="W6728" i="1"/>
  <c r="V6728" i="1"/>
  <c r="U6728" i="1"/>
  <c r="N6728" i="1"/>
  <c r="S6730" i="1" l="1"/>
  <c r="R6730" i="1"/>
  <c r="N6730" i="1"/>
  <c r="N6732" i="1" s="1"/>
  <c r="L6732" i="1"/>
  <c r="V6730" i="1"/>
  <c r="X1457" i="1" l="1"/>
  <c r="W1457" i="1"/>
  <c r="U1457" i="1"/>
  <c r="P1457" i="1"/>
  <c r="B1457" i="1" s="1"/>
  <c r="L1457" i="1"/>
  <c r="R1457" i="1" l="1"/>
  <c r="S1457" i="1"/>
  <c r="N1457" i="1"/>
  <c r="V1457" i="1"/>
  <c r="I768" i="1"/>
  <c r="L768" i="1" s="1"/>
  <c r="X2120" i="1"/>
  <c r="W2120" i="1"/>
  <c r="U2120" i="1"/>
  <c r="P2120" i="1"/>
  <c r="B2120" i="1" s="1"/>
  <c r="L2120" i="1"/>
  <c r="X768" i="1"/>
  <c r="W768" i="1"/>
  <c r="U768" i="1"/>
  <c r="P768" i="1"/>
  <c r="B768" i="1" s="1"/>
  <c r="R2120" i="1" l="1"/>
  <c r="S2120" i="1"/>
  <c r="R768" i="1"/>
  <c r="S768" i="1"/>
  <c r="N2120" i="1"/>
  <c r="V2120" i="1"/>
  <c r="N768" i="1"/>
  <c r="V768" i="1"/>
  <c r="X3988" i="1" l="1"/>
  <c r="W3988" i="1"/>
  <c r="U3988" i="1"/>
  <c r="P3988" i="1"/>
  <c r="B3988" i="1" s="1"/>
  <c r="L3988" i="1"/>
  <c r="R3988" i="1" l="1"/>
  <c r="S3988" i="1"/>
  <c r="N3988" i="1"/>
  <c r="V3988" i="1"/>
  <c r="X6109" i="1"/>
  <c r="W6109" i="1"/>
  <c r="U6109" i="1"/>
  <c r="P6109" i="1"/>
  <c r="B6109" i="1" s="1"/>
  <c r="L6109" i="1"/>
  <c r="X6110" i="1"/>
  <c r="W6110" i="1"/>
  <c r="U6110" i="1"/>
  <c r="P6110" i="1"/>
  <c r="B6110" i="1" s="1"/>
  <c r="L6110" i="1"/>
  <c r="R6109" i="1" l="1"/>
  <c r="S6109" i="1"/>
  <c r="R6110" i="1"/>
  <c r="S6110" i="1"/>
  <c r="V6110" i="1"/>
  <c r="N6109" i="1"/>
  <c r="N6110" i="1"/>
  <c r="V6109" i="1"/>
  <c r="X3948" i="1"/>
  <c r="W3948" i="1"/>
  <c r="V3948" i="1"/>
  <c r="U3948" i="1"/>
  <c r="M3948" i="1"/>
  <c r="K3948" i="1"/>
  <c r="I3948" i="1"/>
  <c r="H3948" i="1"/>
  <c r="X3947" i="1"/>
  <c r="W3947" i="1"/>
  <c r="V3947" i="1"/>
  <c r="U3947" i="1"/>
  <c r="N3947" i="1"/>
  <c r="X3944" i="1"/>
  <c r="W3944" i="1"/>
  <c r="U3944" i="1"/>
  <c r="P3944" i="1"/>
  <c r="B3944" i="1" s="1"/>
  <c r="L3944" i="1"/>
  <c r="X3943" i="1"/>
  <c r="W3943" i="1"/>
  <c r="V3943" i="1"/>
  <c r="U3943" i="1"/>
  <c r="N3943" i="1"/>
  <c r="X3942" i="1"/>
  <c r="W3942" i="1"/>
  <c r="V3942" i="1"/>
  <c r="U3942" i="1"/>
  <c r="N3942" i="1"/>
  <c r="R3944" i="1" l="1"/>
  <c r="S3944" i="1"/>
  <c r="L3948" i="1"/>
  <c r="N3944" i="1"/>
  <c r="N3948" i="1" s="1"/>
  <c r="V3944" i="1"/>
  <c r="X4988" i="1" l="1"/>
  <c r="W4988" i="1"/>
  <c r="U4988" i="1"/>
  <c r="P4988" i="1"/>
  <c r="B4988" i="1" s="1"/>
  <c r="L4988" i="1"/>
  <c r="R4988" i="1" l="1"/>
  <c r="S4988" i="1"/>
  <c r="V4988" i="1"/>
  <c r="N4988" i="1"/>
  <c r="X6447" i="1"/>
  <c r="W6447" i="1"/>
  <c r="U6447" i="1"/>
  <c r="P6447" i="1"/>
  <c r="B6447" i="1" s="1"/>
  <c r="L6447" i="1"/>
  <c r="R6447" i="1" l="1"/>
  <c r="S6447" i="1"/>
  <c r="N6447" i="1"/>
  <c r="V6447" i="1"/>
  <c r="X3845" i="1"/>
  <c r="W3845" i="1"/>
  <c r="U3845" i="1"/>
  <c r="P3845" i="1"/>
  <c r="B3845" i="1" s="1"/>
  <c r="L3845" i="1"/>
  <c r="R3845" i="1" l="1"/>
  <c r="S3845" i="1"/>
  <c r="V3845" i="1"/>
  <c r="N3845" i="1"/>
  <c r="X5092" i="1"/>
  <c r="W5092" i="1"/>
  <c r="U5092" i="1"/>
  <c r="P5092" i="1"/>
  <c r="B5092" i="1" s="1"/>
  <c r="L5092" i="1"/>
  <c r="R5092" i="1" l="1"/>
  <c r="S5092" i="1"/>
  <c r="N5092" i="1"/>
  <c r="V5092" i="1"/>
  <c r="X6058" i="1"/>
  <c r="W6058" i="1"/>
  <c r="U6058" i="1"/>
  <c r="P6058" i="1"/>
  <c r="B6058" i="1" s="1"/>
  <c r="L6058" i="1"/>
  <c r="X6579" i="1"/>
  <c r="W6579" i="1"/>
  <c r="U6579" i="1"/>
  <c r="P6579" i="1"/>
  <c r="B6579" i="1" s="1"/>
  <c r="L6579" i="1"/>
  <c r="R6058" i="1" l="1"/>
  <c r="S6058" i="1"/>
  <c r="S6579" i="1"/>
  <c r="R6579" i="1"/>
  <c r="N6579" i="1"/>
  <c r="N6058" i="1"/>
  <c r="V6058" i="1"/>
  <c r="V6579" i="1"/>
  <c r="X4921" i="1"/>
  <c r="W4921" i="1"/>
  <c r="U4921" i="1"/>
  <c r="P4921" i="1"/>
  <c r="B4921" i="1" s="1"/>
  <c r="L4921" i="1"/>
  <c r="R4921" i="1" l="1"/>
  <c r="S4921" i="1"/>
  <c r="V4921" i="1"/>
  <c r="N4921" i="1"/>
  <c r="X5766" i="1"/>
  <c r="W5766" i="1"/>
  <c r="U5766" i="1"/>
  <c r="P5766" i="1"/>
  <c r="B5766" i="1" s="1"/>
  <c r="L5766" i="1"/>
  <c r="R5766" i="1" l="1"/>
  <c r="N5766" i="1"/>
  <c r="V5766" i="1"/>
  <c r="X5512" i="1"/>
  <c r="W5512" i="1"/>
  <c r="V5512" i="1"/>
  <c r="U5512" i="1"/>
  <c r="M5512" i="1"/>
  <c r="K5512" i="1"/>
  <c r="I5512" i="1"/>
  <c r="H5512" i="1"/>
  <c r="X5511" i="1"/>
  <c r="W5511" i="1"/>
  <c r="V5511" i="1"/>
  <c r="U5511" i="1"/>
  <c r="N5511" i="1"/>
  <c r="X5510" i="1"/>
  <c r="W5510" i="1"/>
  <c r="U5510" i="1"/>
  <c r="P5510" i="1"/>
  <c r="B5510" i="1" s="1"/>
  <c r="L5510" i="1"/>
  <c r="X5509" i="1"/>
  <c r="W5509" i="1"/>
  <c r="V5509" i="1"/>
  <c r="U5509" i="1"/>
  <c r="N5509" i="1"/>
  <c r="X5508" i="1"/>
  <c r="W5508" i="1"/>
  <c r="V5508" i="1"/>
  <c r="U5508" i="1"/>
  <c r="N5508" i="1"/>
  <c r="X5134" i="1"/>
  <c r="W5134" i="1"/>
  <c r="U5134" i="1"/>
  <c r="P5134" i="1"/>
  <c r="B5134" i="1" s="1"/>
  <c r="L5134" i="1"/>
  <c r="X6352" i="1"/>
  <c r="W6352" i="1"/>
  <c r="U6352" i="1"/>
  <c r="P6352" i="1"/>
  <c r="B6352" i="1" s="1"/>
  <c r="L6352" i="1"/>
  <c r="R6352" i="1" l="1"/>
  <c r="S6352" i="1"/>
  <c r="R5510" i="1"/>
  <c r="S5510" i="1"/>
  <c r="R5134" i="1"/>
  <c r="S5134" i="1"/>
  <c r="N5510" i="1"/>
  <c r="N5512" i="1" s="1"/>
  <c r="L5512" i="1"/>
  <c r="V5510" i="1"/>
  <c r="V5134" i="1"/>
  <c r="N5134" i="1"/>
  <c r="V6352" i="1"/>
  <c r="N6352" i="1"/>
  <c r="X5954" i="1"/>
  <c r="W5954" i="1"/>
  <c r="U5954" i="1"/>
  <c r="P5954" i="1"/>
  <c r="B5954" i="1" s="1"/>
  <c r="L5954" i="1"/>
  <c r="R5954" i="1" l="1"/>
  <c r="S5954" i="1"/>
  <c r="N5954" i="1"/>
  <c r="V5954" i="1"/>
  <c r="X4208" i="1"/>
  <c r="W4208" i="1"/>
  <c r="U4208" i="1"/>
  <c r="P4208" i="1"/>
  <c r="B4208" i="1" s="1"/>
  <c r="L4208" i="1"/>
  <c r="R4208" i="1" l="1"/>
  <c r="S4208" i="1"/>
  <c r="N4208" i="1"/>
  <c r="V4208" i="1"/>
  <c r="X1318" i="1"/>
  <c r="W1318" i="1"/>
  <c r="U1318" i="1"/>
  <c r="P1318" i="1"/>
  <c r="B1318" i="1" s="1"/>
  <c r="L1318" i="1"/>
  <c r="R1318" i="1" l="1"/>
  <c r="S1318" i="1"/>
  <c r="N1318" i="1"/>
  <c r="V1318" i="1"/>
  <c r="X2688" i="1"/>
  <c r="W2688" i="1"/>
  <c r="U2688" i="1"/>
  <c r="P2688" i="1"/>
  <c r="B2688" i="1" s="1"/>
  <c r="L2688" i="1"/>
  <c r="R2688" i="1" l="1"/>
  <c r="S2688" i="1"/>
  <c r="N2688" i="1"/>
  <c r="V2688" i="1"/>
  <c r="X1348" i="1"/>
  <c r="W1348" i="1"/>
  <c r="U1348" i="1"/>
  <c r="P1348" i="1"/>
  <c r="B1348" i="1" s="1"/>
  <c r="L1348" i="1"/>
  <c r="R1348" i="1" l="1"/>
  <c r="S1348" i="1"/>
  <c r="N1348" i="1"/>
  <c r="V1348" i="1"/>
  <c r="X557" i="1"/>
  <c r="W557" i="1"/>
  <c r="U557" i="1"/>
  <c r="P557" i="1"/>
  <c r="B557" i="1" s="1"/>
  <c r="L557" i="1"/>
  <c r="R557" i="1" l="1"/>
  <c r="S557" i="1"/>
  <c r="N557" i="1"/>
  <c r="V557" i="1"/>
  <c r="X4790" i="1"/>
  <c r="W4790" i="1"/>
  <c r="U4790" i="1"/>
  <c r="P4790" i="1"/>
  <c r="B4790" i="1" s="1"/>
  <c r="L4790" i="1"/>
  <c r="R4790" i="1" l="1"/>
  <c r="S4790" i="1"/>
  <c r="V4790" i="1"/>
  <c r="N4790" i="1"/>
  <c r="X4432" i="1"/>
  <c r="W4432" i="1"/>
  <c r="U4432" i="1"/>
  <c r="P4432" i="1"/>
  <c r="B4432" i="1" s="1"/>
  <c r="L4432" i="1"/>
  <c r="R4432" i="1" l="1"/>
  <c r="S4432" i="1"/>
  <c r="N4432" i="1"/>
  <c r="V4432" i="1"/>
  <c r="X381" i="1"/>
  <c r="W381" i="1"/>
  <c r="U381" i="1"/>
  <c r="P381" i="1"/>
  <c r="B381" i="1" s="1"/>
  <c r="L381" i="1"/>
  <c r="R381" i="1" l="1"/>
  <c r="S381" i="1"/>
  <c r="N381" i="1"/>
  <c r="V381" i="1"/>
  <c r="X6083" i="1"/>
  <c r="W6083" i="1"/>
  <c r="U6083" i="1"/>
  <c r="P6083" i="1"/>
  <c r="B6083" i="1" s="1"/>
  <c r="L6083" i="1"/>
  <c r="X6085" i="1"/>
  <c r="W6085" i="1"/>
  <c r="U6085" i="1"/>
  <c r="P6085" i="1"/>
  <c r="B6085" i="1" s="1"/>
  <c r="L6085" i="1"/>
  <c r="X6086" i="1"/>
  <c r="W6086" i="1"/>
  <c r="U6086" i="1"/>
  <c r="P6086" i="1"/>
  <c r="B6086" i="1" s="1"/>
  <c r="L6086" i="1"/>
  <c r="X6084" i="1"/>
  <c r="W6084" i="1"/>
  <c r="U6084" i="1"/>
  <c r="P6084" i="1"/>
  <c r="B6084" i="1" s="1"/>
  <c r="L6084" i="1"/>
  <c r="R6084" i="1" l="1"/>
  <c r="S6084" i="1"/>
  <c r="R6083" i="1"/>
  <c r="S6083" i="1"/>
  <c r="R6086" i="1"/>
  <c r="S6086" i="1"/>
  <c r="R6085" i="1"/>
  <c r="S6085" i="1"/>
  <c r="V6083" i="1"/>
  <c r="V6085" i="1"/>
  <c r="V6084" i="1"/>
  <c r="N6086" i="1"/>
  <c r="N6083" i="1"/>
  <c r="N6085" i="1"/>
  <c r="N6084" i="1"/>
  <c r="V6086" i="1"/>
  <c r="X464" i="1"/>
  <c r="W464" i="1"/>
  <c r="U464" i="1"/>
  <c r="P464" i="1"/>
  <c r="B464" i="1" s="1"/>
  <c r="L464" i="1"/>
  <c r="R464" i="1" l="1"/>
  <c r="S464" i="1"/>
  <c r="N464" i="1"/>
  <c r="V464" i="1"/>
  <c r="X931" i="1"/>
  <c r="W931" i="1"/>
  <c r="V931" i="1"/>
  <c r="U931" i="1"/>
  <c r="M931" i="1"/>
  <c r="K931" i="1"/>
  <c r="I931" i="1"/>
  <c r="H931" i="1"/>
  <c r="X930" i="1"/>
  <c r="W930" i="1"/>
  <c r="V930" i="1"/>
  <c r="U930" i="1"/>
  <c r="N930" i="1"/>
  <c r="X929" i="1"/>
  <c r="W929" i="1"/>
  <c r="U929" i="1"/>
  <c r="P929" i="1"/>
  <c r="B929" i="1" s="1"/>
  <c r="L929" i="1"/>
  <c r="X928" i="1"/>
  <c r="W928" i="1"/>
  <c r="V928" i="1"/>
  <c r="U928" i="1"/>
  <c r="N928" i="1"/>
  <c r="X927" i="1"/>
  <c r="W927" i="1"/>
  <c r="V927" i="1"/>
  <c r="U927" i="1"/>
  <c r="N927" i="1"/>
  <c r="R929" i="1" l="1"/>
  <c r="S929" i="1"/>
  <c r="N929" i="1"/>
  <c r="N931" i="1" s="1"/>
  <c r="V929" i="1"/>
  <c r="L931" i="1"/>
  <c r="X5835" i="1" l="1"/>
  <c r="W5835" i="1"/>
  <c r="U5835" i="1"/>
  <c r="P5835" i="1"/>
  <c r="B5835" i="1" s="1"/>
  <c r="L5835" i="1"/>
  <c r="R5835" i="1" l="1"/>
  <c r="S5835" i="1"/>
  <c r="N5835" i="1"/>
  <c r="V5835" i="1"/>
  <c r="X3396" i="1"/>
  <c r="W3396" i="1"/>
  <c r="U3396" i="1"/>
  <c r="P3396" i="1"/>
  <c r="B3396" i="1" s="1"/>
  <c r="L3396" i="1"/>
  <c r="R3396" i="1" l="1"/>
  <c r="S3396" i="1"/>
  <c r="N3396" i="1"/>
  <c r="V3396" i="1"/>
  <c r="X5796" i="1"/>
  <c r="W5796" i="1"/>
  <c r="U5796" i="1"/>
  <c r="P5796" i="1"/>
  <c r="B5796" i="1" s="1"/>
  <c r="L5796" i="1"/>
  <c r="R5796" i="1" l="1"/>
  <c r="S5796" i="1"/>
  <c r="N5796" i="1"/>
  <c r="V5796" i="1"/>
  <c r="X1810" i="1"/>
  <c r="W1810" i="1"/>
  <c r="U1810" i="1"/>
  <c r="P1810" i="1"/>
  <c r="B1810" i="1" s="1"/>
  <c r="L1810" i="1"/>
  <c r="R1810" i="1" l="1"/>
  <c r="S1810" i="1"/>
  <c r="N1810" i="1"/>
  <c r="V1810" i="1"/>
  <c r="X1301" i="1" l="1"/>
  <c r="W1301" i="1"/>
  <c r="U1301" i="1"/>
  <c r="P1301" i="1"/>
  <c r="B1301" i="1" s="1"/>
  <c r="L1301" i="1"/>
  <c r="R1301" i="1" l="1"/>
  <c r="S1301" i="1"/>
  <c r="V1301" i="1"/>
  <c r="N1301" i="1"/>
  <c r="I3927" i="1"/>
  <c r="L3927" i="1" s="1"/>
  <c r="X3927" i="1"/>
  <c r="W3927" i="1"/>
  <c r="U3927" i="1"/>
  <c r="P3927" i="1"/>
  <c r="B3927" i="1" s="1"/>
  <c r="R3927" i="1" l="1"/>
  <c r="S3927" i="1"/>
  <c r="V3927" i="1"/>
  <c r="N3927" i="1"/>
  <c r="I6273" i="1"/>
  <c r="X6272" i="1"/>
  <c r="W6272" i="1"/>
  <c r="U6272" i="1"/>
  <c r="P6272" i="1"/>
  <c r="B6272" i="1" s="1"/>
  <c r="L6272" i="1"/>
  <c r="X1403" i="1"/>
  <c r="W1403" i="1"/>
  <c r="U1403" i="1"/>
  <c r="P1403" i="1"/>
  <c r="B1403" i="1" s="1"/>
  <c r="L1403" i="1"/>
  <c r="S6272" i="1" l="1"/>
  <c r="R6272" i="1"/>
  <c r="R1403" i="1"/>
  <c r="S1403" i="1"/>
  <c r="V1403" i="1"/>
  <c r="N6272" i="1"/>
  <c r="V6272" i="1"/>
  <c r="N1403" i="1"/>
  <c r="X5961" i="1" l="1"/>
  <c r="W5961" i="1"/>
  <c r="U5961" i="1"/>
  <c r="P5961" i="1"/>
  <c r="B5961" i="1" s="1"/>
  <c r="L5961" i="1"/>
  <c r="R5961" i="1" l="1"/>
  <c r="S5961" i="1"/>
  <c r="V5961" i="1"/>
  <c r="N5961" i="1"/>
  <c r="X877" i="1" l="1"/>
  <c r="W877" i="1"/>
  <c r="U877" i="1"/>
  <c r="P877" i="1"/>
  <c r="B877" i="1" s="1"/>
  <c r="L877" i="1"/>
  <c r="R877" i="1" l="1"/>
  <c r="S877" i="1"/>
  <c r="V877" i="1"/>
  <c r="N877" i="1"/>
  <c r="X526" i="1" l="1"/>
  <c r="W526" i="1"/>
  <c r="U526" i="1"/>
  <c r="P526" i="1"/>
  <c r="B526" i="1" s="1"/>
  <c r="L526" i="1"/>
  <c r="S526" i="1" l="1"/>
  <c r="R526" i="1"/>
  <c r="N526" i="1"/>
  <c r="V526" i="1"/>
  <c r="X619" i="1"/>
  <c r="W619" i="1"/>
  <c r="U619" i="1"/>
  <c r="P619" i="1"/>
  <c r="B619" i="1" s="1"/>
  <c r="L619" i="1"/>
  <c r="X4928" i="1"/>
  <c r="W4928" i="1"/>
  <c r="U4928" i="1"/>
  <c r="P4928" i="1"/>
  <c r="B4928" i="1" s="1"/>
  <c r="L4928" i="1"/>
  <c r="R619" i="1" l="1"/>
  <c r="S619" i="1"/>
  <c r="R4928" i="1"/>
  <c r="S4928" i="1"/>
  <c r="V4928" i="1"/>
  <c r="V619" i="1"/>
  <c r="N619" i="1"/>
  <c r="N4928" i="1"/>
  <c r="X3730" i="1" l="1"/>
  <c r="W3730" i="1"/>
  <c r="U3730" i="1"/>
  <c r="P3730" i="1"/>
  <c r="B3730" i="1" s="1"/>
  <c r="L3730" i="1"/>
  <c r="X5010" i="1"/>
  <c r="W5010" i="1"/>
  <c r="U5010" i="1"/>
  <c r="P5010" i="1"/>
  <c r="B5010" i="1" s="1"/>
  <c r="L5010" i="1"/>
  <c r="L2010" i="1"/>
  <c r="X2010" i="1"/>
  <c r="W2010" i="1"/>
  <c r="U2010" i="1"/>
  <c r="P2010" i="1"/>
  <c r="B2010" i="1" s="1"/>
  <c r="R2010" i="1" l="1"/>
  <c r="S2010" i="1"/>
  <c r="R5010" i="1"/>
  <c r="S5010" i="1"/>
  <c r="R3730" i="1"/>
  <c r="S3730" i="1"/>
  <c r="N3730" i="1"/>
  <c r="V3730" i="1"/>
  <c r="N5010" i="1"/>
  <c r="V5010" i="1"/>
  <c r="N2010" i="1"/>
  <c r="V2010" i="1"/>
  <c r="X801" i="1"/>
  <c r="W801" i="1"/>
  <c r="U801" i="1"/>
  <c r="P801" i="1"/>
  <c r="B801" i="1" s="1"/>
  <c r="L801" i="1"/>
  <c r="R801" i="1" l="1"/>
  <c r="S801" i="1"/>
  <c r="V801" i="1"/>
  <c r="N801" i="1"/>
  <c r="X3787" i="1"/>
  <c r="W3787" i="1"/>
  <c r="V3787" i="1"/>
  <c r="U3787" i="1"/>
  <c r="M3787" i="1"/>
  <c r="K3787" i="1"/>
  <c r="I3787" i="1"/>
  <c r="H3787" i="1"/>
  <c r="X3786" i="1"/>
  <c r="W3786" i="1"/>
  <c r="V3786" i="1"/>
  <c r="U3786" i="1"/>
  <c r="N3786" i="1"/>
  <c r="X3785" i="1"/>
  <c r="W3785" i="1"/>
  <c r="U3785" i="1"/>
  <c r="P3785" i="1"/>
  <c r="B3785" i="1" s="1"/>
  <c r="L3785" i="1"/>
  <c r="X3784" i="1"/>
  <c r="W3784" i="1"/>
  <c r="V3784" i="1"/>
  <c r="U3784" i="1"/>
  <c r="N3784" i="1"/>
  <c r="X3783" i="1"/>
  <c r="W3783" i="1"/>
  <c r="V3783" i="1"/>
  <c r="U3783" i="1"/>
  <c r="N3783" i="1"/>
  <c r="R3785" i="1" l="1"/>
  <c r="S3785" i="1"/>
  <c r="V3785" i="1"/>
  <c r="N3785" i="1"/>
  <c r="N3787" i="1" s="1"/>
  <c r="L3787" i="1"/>
  <c r="L3651" i="1" l="1"/>
  <c r="X3651" i="1"/>
  <c r="W3651" i="1"/>
  <c r="U3651" i="1"/>
  <c r="P3651" i="1"/>
  <c r="B3651" i="1" s="1"/>
  <c r="X256" i="1"/>
  <c r="W256" i="1"/>
  <c r="V256" i="1"/>
  <c r="U256" i="1"/>
  <c r="M256" i="1"/>
  <c r="K256" i="1"/>
  <c r="I256" i="1"/>
  <c r="H256" i="1"/>
  <c r="X255" i="1"/>
  <c r="W255" i="1"/>
  <c r="V255" i="1"/>
  <c r="U255" i="1"/>
  <c r="N255" i="1"/>
  <c r="X254" i="1"/>
  <c r="W254" i="1"/>
  <c r="U254" i="1"/>
  <c r="P254" i="1"/>
  <c r="B254" i="1" s="1"/>
  <c r="L254" i="1"/>
  <c r="X253" i="1"/>
  <c r="W253" i="1"/>
  <c r="V253" i="1"/>
  <c r="U253" i="1"/>
  <c r="N253" i="1"/>
  <c r="X252" i="1"/>
  <c r="W252" i="1"/>
  <c r="V252" i="1"/>
  <c r="U252" i="1"/>
  <c r="N252" i="1"/>
  <c r="X4885" i="1"/>
  <c r="W4885" i="1"/>
  <c r="U4885" i="1"/>
  <c r="P4885" i="1"/>
  <c r="B4885" i="1" s="1"/>
  <c r="L4885" i="1"/>
  <c r="R254" i="1" l="1"/>
  <c r="S254" i="1"/>
  <c r="R4885" i="1"/>
  <c r="S4885" i="1"/>
  <c r="R3651" i="1"/>
  <c r="S3651" i="1"/>
  <c r="N254" i="1"/>
  <c r="N256" i="1" s="1"/>
  <c r="V254" i="1"/>
  <c r="V3651" i="1"/>
  <c r="N3651" i="1"/>
  <c r="L256" i="1"/>
  <c r="V4885" i="1"/>
  <c r="N4885" i="1"/>
  <c r="P6875" i="1" l="1"/>
  <c r="B6875" i="1" s="1"/>
  <c r="N6875" i="1"/>
  <c r="P6872" i="1"/>
  <c r="B6872" i="1" s="1"/>
  <c r="N6872" i="1"/>
  <c r="X6377" i="1" l="1"/>
  <c r="W6377" i="1"/>
  <c r="U6377" i="1"/>
  <c r="P6377" i="1"/>
  <c r="B6377" i="1" s="1"/>
  <c r="L6377" i="1"/>
  <c r="P6873" i="1"/>
  <c r="B6873" i="1" s="1"/>
  <c r="N6873" i="1"/>
  <c r="P6870" i="1"/>
  <c r="B6870" i="1" s="1"/>
  <c r="N6870" i="1"/>
  <c r="R6377" i="1" l="1"/>
  <c r="S6377" i="1"/>
  <c r="N6377" i="1"/>
  <c r="V6377" i="1"/>
  <c r="X4806" i="1" l="1"/>
  <c r="W4806" i="1"/>
  <c r="U4806" i="1"/>
  <c r="P4806" i="1"/>
  <c r="B4806" i="1" s="1"/>
  <c r="L4806" i="1"/>
  <c r="S4806" i="1" l="1"/>
  <c r="R4806" i="1"/>
  <c r="V4806" i="1"/>
  <c r="N4806" i="1"/>
  <c r="P6812" i="1"/>
  <c r="B6812" i="1" s="1"/>
  <c r="N6812" i="1"/>
  <c r="P6813" i="1"/>
  <c r="B6813" i="1" s="1"/>
  <c r="N6813" i="1"/>
  <c r="X760" i="1"/>
  <c r="W760" i="1"/>
  <c r="U760" i="1"/>
  <c r="P760" i="1"/>
  <c r="B760" i="1" s="1"/>
  <c r="L760" i="1"/>
  <c r="R760" i="1" l="1"/>
  <c r="S760" i="1"/>
  <c r="N760" i="1"/>
  <c r="V760" i="1"/>
  <c r="X4311" i="1" l="1"/>
  <c r="W4311" i="1"/>
  <c r="U4311" i="1"/>
  <c r="P4311" i="1"/>
  <c r="B4311" i="1" s="1"/>
  <c r="L4311" i="1"/>
  <c r="R4311" i="1" l="1"/>
  <c r="S4311" i="1"/>
  <c r="N4311" i="1"/>
  <c r="V4311" i="1"/>
  <c r="X5097" i="1"/>
  <c r="W5097" i="1"/>
  <c r="U5097" i="1"/>
  <c r="P5097" i="1"/>
  <c r="B5097" i="1" s="1"/>
  <c r="L5097" i="1"/>
  <c r="X6581" i="1"/>
  <c r="W6581" i="1"/>
  <c r="U6581" i="1"/>
  <c r="P6581" i="1"/>
  <c r="B6581" i="1" s="1"/>
  <c r="L6581" i="1"/>
  <c r="X5820" i="1"/>
  <c r="W5820" i="1"/>
  <c r="U5820" i="1"/>
  <c r="P5820" i="1"/>
  <c r="B5820" i="1" s="1"/>
  <c r="L5820" i="1"/>
  <c r="P6871" i="1"/>
  <c r="B6871" i="1" s="1"/>
  <c r="N6871" i="1"/>
  <c r="P6863" i="1"/>
  <c r="B6863" i="1" s="1"/>
  <c r="N6863" i="1"/>
  <c r="R5097" i="1" l="1"/>
  <c r="S5097" i="1"/>
  <c r="R6581" i="1"/>
  <c r="S6581" i="1"/>
  <c r="R5820" i="1"/>
  <c r="S5820" i="1"/>
  <c r="N5820" i="1"/>
  <c r="N5097" i="1"/>
  <c r="V5097" i="1"/>
  <c r="N6581" i="1"/>
  <c r="V6581" i="1"/>
  <c r="V5820" i="1"/>
  <c r="X5672" i="1" l="1"/>
  <c r="W5672" i="1"/>
  <c r="U5672" i="1"/>
  <c r="P5672" i="1"/>
  <c r="B5672" i="1" s="1"/>
  <c r="L5672" i="1"/>
  <c r="R5672" i="1" l="1"/>
  <c r="S5672" i="1"/>
  <c r="N5672" i="1"/>
  <c r="V5672" i="1"/>
  <c r="X4612" i="1" l="1"/>
  <c r="W4612" i="1"/>
  <c r="U4612" i="1"/>
  <c r="P4612" i="1"/>
  <c r="B4612" i="1" s="1"/>
  <c r="L4612" i="1"/>
  <c r="M441" i="1"/>
  <c r="K441" i="1"/>
  <c r="I441" i="1"/>
  <c r="H441" i="1"/>
  <c r="X436" i="1"/>
  <c r="W436" i="1"/>
  <c r="U436" i="1"/>
  <c r="P436" i="1"/>
  <c r="B436" i="1" s="1"/>
  <c r="L436" i="1"/>
  <c r="R4612" i="1" l="1"/>
  <c r="S4612" i="1"/>
  <c r="R436" i="1"/>
  <c r="S436" i="1"/>
  <c r="N4612" i="1"/>
  <c r="V4612" i="1"/>
  <c r="V436" i="1"/>
  <c r="N436" i="1"/>
  <c r="L4886" i="1"/>
  <c r="X4886" i="1"/>
  <c r="W4886" i="1"/>
  <c r="U4886" i="1"/>
  <c r="P4886" i="1"/>
  <c r="B4886" i="1" s="1"/>
  <c r="S4886" i="1" l="1"/>
  <c r="R4886" i="1"/>
  <c r="V4886" i="1"/>
  <c r="N4886" i="1"/>
  <c r="X45" i="1" l="1"/>
  <c r="W45" i="1"/>
  <c r="U45" i="1"/>
  <c r="P45" i="1"/>
  <c r="B45" i="1" s="1"/>
  <c r="L45" i="1"/>
  <c r="R45" i="1" l="1"/>
  <c r="S45" i="1"/>
  <c r="V45" i="1"/>
  <c r="N45" i="1"/>
  <c r="X5470" i="1"/>
  <c r="W5470" i="1"/>
  <c r="U5470" i="1"/>
  <c r="P5470" i="1"/>
  <c r="B5470" i="1" s="1"/>
  <c r="L5470" i="1"/>
  <c r="R5470" i="1" l="1"/>
  <c r="S5470" i="1"/>
  <c r="V5470" i="1"/>
  <c r="N5470" i="1"/>
  <c r="X1759" i="1"/>
  <c r="W1759" i="1"/>
  <c r="U1759" i="1"/>
  <c r="P1759" i="1"/>
  <c r="B1759" i="1" s="1"/>
  <c r="L1759" i="1"/>
  <c r="X1758" i="1"/>
  <c r="W1758" i="1"/>
  <c r="U1758" i="1"/>
  <c r="P1758" i="1"/>
  <c r="B1758" i="1" s="1"/>
  <c r="L1758" i="1"/>
  <c r="R1759" i="1" l="1"/>
  <c r="S1759" i="1"/>
  <c r="R1758" i="1"/>
  <c r="S1758" i="1"/>
  <c r="N1759" i="1"/>
  <c r="V1759" i="1"/>
  <c r="N1758" i="1"/>
  <c r="V1758" i="1"/>
  <c r="X6237" i="1" l="1"/>
  <c r="W6237" i="1"/>
  <c r="U6237" i="1"/>
  <c r="P6237" i="1"/>
  <c r="B6237" i="1" s="1"/>
  <c r="L6237" i="1"/>
  <c r="R6237" i="1" l="1"/>
  <c r="S6237" i="1"/>
  <c r="V6237" i="1"/>
  <c r="N6237" i="1"/>
  <c r="X2061" i="1"/>
  <c r="W2061" i="1"/>
  <c r="V2061" i="1"/>
  <c r="U2061" i="1"/>
  <c r="M2061" i="1"/>
  <c r="K2061" i="1"/>
  <c r="I2061" i="1"/>
  <c r="H2061" i="1"/>
  <c r="X2060" i="1"/>
  <c r="W2060" i="1"/>
  <c r="V2060" i="1"/>
  <c r="U2060" i="1"/>
  <c r="N2060" i="1"/>
  <c r="X2058" i="1"/>
  <c r="W2058" i="1"/>
  <c r="U2058" i="1"/>
  <c r="P2058" i="1"/>
  <c r="B2058" i="1" s="1"/>
  <c r="L2058" i="1"/>
  <c r="X2057" i="1"/>
  <c r="W2057" i="1"/>
  <c r="V2057" i="1"/>
  <c r="U2057" i="1"/>
  <c r="N2057" i="1"/>
  <c r="X2056" i="1"/>
  <c r="W2056" i="1"/>
  <c r="V2056" i="1"/>
  <c r="U2056" i="1"/>
  <c r="N2056" i="1"/>
  <c r="R2058" i="1" l="1"/>
  <c r="S2058" i="1"/>
  <c r="N2058" i="1"/>
  <c r="N2061" i="1" s="1"/>
  <c r="L2061" i="1"/>
  <c r="V2058" i="1"/>
  <c r="X4765" i="1"/>
  <c r="W4765" i="1"/>
  <c r="U4765" i="1"/>
  <c r="P4765" i="1"/>
  <c r="B4765" i="1" s="1"/>
  <c r="L4765" i="1"/>
  <c r="R4765" i="1" l="1"/>
  <c r="S4765" i="1"/>
  <c r="N4765" i="1"/>
  <c r="V4765" i="1"/>
  <c r="X352" i="1"/>
  <c r="W352" i="1"/>
  <c r="U352" i="1"/>
  <c r="P352" i="1"/>
  <c r="B352" i="1" s="1"/>
  <c r="L352" i="1"/>
  <c r="R352" i="1" l="1"/>
  <c r="S352" i="1"/>
  <c r="N352" i="1"/>
  <c r="V352" i="1"/>
  <c r="X380" i="1" l="1"/>
  <c r="W380" i="1"/>
  <c r="U380" i="1"/>
  <c r="P380" i="1"/>
  <c r="B380" i="1" s="1"/>
  <c r="L380" i="1"/>
  <c r="X1871" i="1"/>
  <c r="W1871" i="1"/>
  <c r="U1871" i="1"/>
  <c r="P1871" i="1"/>
  <c r="B1871" i="1" s="1"/>
  <c r="L1871" i="1"/>
  <c r="X385" i="1"/>
  <c r="W385" i="1"/>
  <c r="U385" i="1"/>
  <c r="P385" i="1"/>
  <c r="B385" i="1" s="1"/>
  <c r="L385" i="1"/>
  <c r="R1871" i="1" l="1"/>
  <c r="S1871" i="1"/>
  <c r="R380" i="1"/>
  <c r="S380" i="1"/>
  <c r="S385" i="1"/>
  <c r="R385" i="1"/>
  <c r="N380" i="1"/>
  <c r="V380" i="1"/>
  <c r="N1871" i="1"/>
  <c r="V1871" i="1"/>
  <c r="N385" i="1"/>
  <c r="V385" i="1"/>
  <c r="X307" i="1"/>
  <c r="W307" i="1"/>
  <c r="U307" i="1"/>
  <c r="P307" i="1"/>
  <c r="B307" i="1" s="1"/>
  <c r="L307" i="1"/>
  <c r="X5146" i="1"/>
  <c r="W5146" i="1"/>
  <c r="U5146" i="1"/>
  <c r="P5146" i="1"/>
  <c r="B5146" i="1" s="1"/>
  <c r="L5146" i="1"/>
  <c r="X5830" i="1"/>
  <c r="W5830" i="1"/>
  <c r="U5830" i="1"/>
  <c r="P5830" i="1"/>
  <c r="B5830" i="1" s="1"/>
  <c r="L5830" i="1"/>
  <c r="X4996" i="1"/>
  <c r="W4996" i="1"/>
  <c r="U4996" i="1"/>
  <c r="P4996" i="1"/>
  <c r="B4996" i="1" s="1"/>
  <c r="I4996" i="1"/>
  <c r="L4996" i="1" s="1"/>
  <c r="X4666" i="1"/>
  <c r="W4666" i="1"/>
  <c r="U4666" i="1"/>
  <c r="P4666" i="1"/>
  <c r="B4666" i="1" s="1"/>
  <c r="L4666" i="1"/>
  <c r="X5020" i="1"/>
  <c r="W5020" i="1"/>
  <c r="U5020" i="1"/>
  <c r="P5020" i="1"/>
  <c r="B5020" i="1" s="1"/>
  <c r="L5020" i="1"/>
  <c r="R5146" i="1" l="1"/>
  <c r="S5146" i="1"/>
  <c r="R4996" i="1"/>
  <c r="S4996" i="1"/>
  <c r="R5020" i="1"/>
  <c r="S5020" i="1"/>
  <c r="R307" i="1"/>
  <c r="S307" i="1"/>
  <c r="R5830" i="1"/>
  <c r="S5830" i="1"/>
  <c r="R4666" i="1"/>
  <c r="S4666" i="1"/>
  <c r="N307" i="1"/>
  <c r="V307" i="1"/>
  <c r="N5146" i="1"/>
  <c r="V5146" i="1"/>
  <c r="N5830" i="1"/>
  <c r="V5830" i="1"/>
  <c r="N4996" i="1"/>
  <c r="V4996" i="1"/>
  <c r="N4666" i="1"/>
  <c r="V4666" i="1"/>
  <c r="N5020" i="1"/>
  <c r="V5020" i="1"/>
  <c r="X3501" i="1" l="1"/>
  <c r="W3501" i="1"/>
  <c r="U3501" i="1"/>
  <c r="P3501" i="1"/>
  <c r="B3501" i="1" s="1"/>
  <c r="L3501" i="1"/>
  <c r="X3913" i="1"/>
  <c r="W3913" i="1"/>
  <c r="U3913" i="1"/>
  <c r="P3913" i="1"/>
  <c r="B3913" i="1" s="1"/>
  <c r="L3913" i="1"/>
  <c r="R3913" i="1" l="1"/>
  <c r="S3913" i="1"/>
  <c r="R3501" i="1"/>
  <c r="S3501" i="1"/>
  <c r="N3501" i="1"/>
  <c r="V3501" i="1"/>
  <c r="N3913" i="1"/>
  <c r="V3913" i="1"/>
  <c r="X5507" i="1" l="1"/>
  <c r="W5507" i="1"/>
  <c r="V5507" i="1"/>
  <c r="U5507" i="1"/>
  <c r="M5507" i="1"/>
  <c r="K5507" i="1"/>
  <c r="I5507" i="1"/>
  <c r="H5507" i="1"/>
  <c r="X5506" i="1"/>
  <c r="W5506" i="1"/>
  <c r="V5506" i="1"/>
  <c r="U5506" i="1"/>
  <c r="N5506" i="1"/>
  <c r="X5505" i="1"/>
  <c r="W5505" i="1"/>
  <c r="U5505" i="1"/>
  <c r="P5505" i="1"/>
  <c r="B5505" i="1" s="1"/>
  <c r="L5505" i="1"/>
  <c r="X5504" i="1"/>
  <c r="W5504" i="1"/>
  <c r="V5504" i="1"/>
  <c r="U5504" i="1"/>
  <c r="N5504" i="1"/>
  <c r="X5503" i="1"/>
  <c r="W5503" i="1"/>
  <c r="V5503" i="1"/>
  <c r="U5503" i="1"/>
  <c r="N5503" i="1"/>
  <c r="R5505" i="1" l="1"/>
  <c r="S5505" i="1"/>
  <c r="V5505" i="1"/>
  <c r="N5505" i="1"/>
  <c r="N5507" i="1" s="1"/>
  <c r="L5507" i="1"/>
  <c r="X4269" i="1"/>
  <c r="W4269" i="1"/>
  <c r="U4269" i="1"/>
  <c r="P4269" i="1"/>
  <c r="B4269" i="1" s="1"/>
  <c r="L4269" i="1"/>
  <c r="R4269" i="1" l="1"/>
  <c r="S4269" i="1"/>
  <c r="V4269" i="1"/>
  <c r="N4269" i="1"/>
  <c r="X853" i="1" l="1"/>
  <c r="W853" i="1"/>
  <c r="U853" i="1"/>
  <c r="P853" i="1"/>
  <c r="B853" i="1" s="1"/>
  <c r="L853" i="1"/>
  <c r="X721" i="1"/>
  <c r="W721" i="1"/>
  <c r="U721" i="1"/>
  <c r="P721" i="1"/>
  <c r="B721" i="1" s="1"/>
  <c r="L721" i="1"/>
  <c r="X3770" i="1"/>
  <c r="W3770" i="1"/>
  <c r="V3770" i="1"/>
  <c r="U3770" i="1"/>
  <c r="M3770" i="1"/>
  <c r="K3770" i="1"/>
  <c r="I3770" i="1"/>
  <c r="H3770" i="1"/>
  <c r="X3769" i="1"/>
  <c r="W3769" i="1"/>
  <c r="V3769" i="1"/>
  <c r="U3769" i="1"/>
  <c r="N3769" i="1"/>
  <c r="X3768" i="1"/>
  <c r="W3768" i="1"/>
  <c r="U3768" i="1"/>
  <c r="P3768" i="1"/>
  <c r="B3768" i="1" s="1"/>
  <c r="L3768" i="1"/>
  <c r="X3767" i="1"/>
  <c r="W3767" i="1"/>
  <c r="V3767" i="1"/>
  <c r="U3767" i="1"/>
  <c r="N3767" i="1"/>
  <c r="X3766" i="1"/>
  <c r="W3766" i="1"/>
  <c r="V3766" i="1"/>
  <c r="U3766" i="1"/>
  <c r="N3766" i="1"/>
  <c r="X5911" i="1"/>
  <c r="W5911" i="1"/>
  <c r="V5911" i="1"/>
  <c r="U5911" i="1"/>
  <c r="M5911" i="1"/>
  <c r="K5911" i="1"/>
  <c r="I5911" i="1"/>
  <c r="H5911" i="1"/>
  <c r="X5910" i="1"/>
  <c r="W5910" i="1"/>
  <c r="V5910" i="1"/>
  <c r="U5910" i="1"/>
  <c r="N5910" i="1"/>
  <c r="X5907" i="1"/>
  <c r="W5907" i="1"/>
  <c r="U5907" i="1"/>
  <c r="P5907" i="1"/>
  <c r="B5907" i="1" s="1"/>
  <c r="L5907" i="1"/>
  <c r="X5906" i="1"/>
  <c r="W5906" i="1"/>
  <c r="V5906" i="1"/>
  <c r="U5906" i="1"/>
  <c r="N5906" i="1"/>
  <c r="X5905" i="1"/>
  <c r="W5905" i="1"/>
  <c r="V5905" i="1"/>
  <c r="U5905" i="1"/>
  <c r="N5905" i="1"/>
  <c r="X3642" i="1"/>
  <c r="W3642" i="1"/>
  <c r="U3642" i="1"/>
  <c r="P3642" i="1"/>
  <c r="B3642" i="1" s="1"/>
  <c r="L3642" i="1"/>
  <c r="R721" i="1" l="1"/>
  <c r="S721" i="1"/>
  <c r="R853" i="1"/>
  <c r="S853" i="1"/>
  <c r="R3642" i="1"/>
  <c r="S3642" i="1"/>
  <c r="R5907" i="1"/>
  <c r="S5907" i="1"/>
  <c r="R3768" i="1"/>
  <c r="S3768" i="1"/>
  <c r="V853" i="1"/>
  <c r="N853" i="1"/>
  <c r="N721" i="1"/>
  <c r="V721" i="1"/>
  <c r="N3768" i="1"/>
  <c r="N3770" i="1" s="1"/>
  <c r="L3770" i="1"/>
  <c r="V3768" i="1"/>
  <c r="N5907" i="1"/>
  <c r="N5911" i="1" s="1"/>
  <c r="L5911" i="1"/>
  <c r="V5907" i="1"/>
  <c r="N3642" i="1"/>
  <c r="V3642" i="1"/>
  <c r="X2043" i="1"/>
  <c r="W2043" i="1"/>
  <c r="V2043" i="1"/>
  <c r="U2043" i="1"/>
  <c r="M2043" i="1"/>
  <c r="K2043" i="1"/>
  <c r="I2043" i="1"/>
  <c r="H2043" i="1"/>
  <c r="X2042" i="1"/>
  <c r="W2042" i="1"/>
  <c r="V2042" i="1"/>
  <c r="U2042" i="1"/>
  <c r="N2042" i="1"/>
  <c r="X2037" i="1"/>
  <c r="W2037" i="1"/>
  <c r="U2037" i="1"/>
  <c r="P2037" i="1"/>
  <c r="B2037" i="1" s="1"/>
  <c r="L2037" i="1"/>
  <c r="X2036" i="1"/>
  <c r="W2036" i="1"/>
  <c r="V2036" i="1"/>
  <c r="U2036" i="1"/>
  <c r="N2036" i="1"/>
  <c r="X2035" i="1"/>
  <c r="W2035" i="1"/>
  <c r="V2035" i="1"/>
  <c r="U2035" i="1"/>
  <c r="N2035" i="1"/>
  <c r="R2037" i="1" l="1"/>
  <c r="S2037" i="1"/>
  <c r="L2043" i="1"/>
  <c r="N2037" i="1"/>
  <c r="N2043" i="1" s="1"/>
  <c r="V2037" i="1"/>
  <c r="X3740" i="1" l="1"/>
  <c r="W3740" i="1"/>
  <c r="U3740" i="1"/>
  <c r="P3740" i="1"/>
  <c r="B3740" i="1" s="1"/>
  <c r="L3740" i="1"/>
  <c r="X5609" i="1"/>
  <c r="W5609" i="1"/>
  <c r="U5609" i="1"/>
  <c r="P5609" i="1"/>
  <c r="B5609" i="1" s="1"/>
  <c r="L5609" i="1"/>
  <c r="L4900" i="1"/>
  <c r="X4900" i="1"/>
  <c r="W4900" i="1"/>
  <c r="U4900" i="1"/>
  <c r="P4900" i="1"/>
  <c r="B4900" i="1" s="1"/>
  <c r="X1756" i="1"/>
  <c r="W1756" i="1"/>
  <c r="U1756" i="1"/>
  <c r="P1756" i="1"/>
  <c r="B1756" i="1" s="1"/>
  <c r="L1756" i="1"/>
  <c r="X1757" i="1"/>
  <c r="W1757" i="1"/>
  <c r="U1757" i="1"/>
  <c r="P1757" i="1"/>
  <c r="B1757" i="1" s="1"/>
  <c r="L1757" i="1"/>
  <c r="R1756" i="1" l="1"/>
  <c r="S1756" i="1"/>
  <c r="R4900" i="1"/>
  <c r="S4900" i="1"/>
  <c r="R3740" i="1"/>
  <c r="S3740" i="1"/>
  <c r="R5609" i="1"/>
  <c r="S5609" i="1"/>
  <c r="R1757" i="1"/>
  <c r="S1757" i="1"/>
  <c r="V1756" i="1"/>
  <c r="N3740" i="1"/>
  <c r="V3740" i="1"/>
  <c r="N5609" i="1"/>
  <c r="V5609" i="1"/>
  <c r="V4900" i="1"/>
  <c r="N4900" i="1"/>
  <c r="N1756" i="1"/>
  <c r="V1757" i="1"/>
  <c r="N1757" i="1"/>
  <c r="X1574" i="1" l="1"/>
  <c r="W1574" i="1"/>
  <c r="U1574" i="1"/>
  <c r="P1574" i="1"/>
  <c r="B1574" i="1" s="1"/>
  <c r="L1574" i="1"/>
  <c r="X2083" i="1"/>
  <c r="W2083" i="1"/>
  <c r="U2083" i="1"/>
  <c r="P2083" i="1"/>
  <c r="B2083" i="1" s="1"/>
  <c r="L2083" i="1"/>
  <c r="R2083" i="1" l="1"/>
  <c r="S2083" i="1"/>
  <c r="R1574" i="1"/>
  <c r="S1574" i="1"/>
  <c r="N1574" i="1"/>
  <c r="V1574" i="1"/>
  <c r="V2083" i="1"/>
  <c r="N2083" i="1"/>
  <c r="X2105" i="1"/>
  <c r="W2105" i="1"/>
  <c r="U2105" i="1"/>
  <c r="P2105" i="1"/>
  <c r="B2105" i="1" s="1"/>
  <c r="L2105" i="1"/>
  <c r="X334" i="1"/>
  <c r="W334" i="1"/>
  <c r="U334" i="1"/>
  <c r="P334" i="1"/>
  <c r="B334" i="1" s="1"/>
  <c r="L334" i="1"/>
  <c r="H6557" i="1"/>
  <c r="X6558" i="1"/>
  <c r="W6558" i="1"/>
  <c r="U6558" i="1"/>
  <c r="P6558" i="1"/>
  <c r="B6558" i="1" s="1"/>
  <c r="L6558" i="1"/>
  <c r="S6558" i="1" l="1"/>
  <c r="R6558" i="1"/>
  <c r="R334" i="1"/>
  <c r="S334" i="1"/>
  <c r="R2105" i="1"/>
  <c r="S2105" i="1"/>
  <c r="V2105" i="1"/>
  <c r="N2105" i="1"/>
  <c r="N334" i="1"/>
  <c r="V334" i="1"/>
  <c r="N6558" i="1"/>
  <c r="V6558" i="1"/>
  <c r="X6398" i="1" l="1"/>
  <c r="W6398" i="1"/>
  <c r="V6398" i="1"/>
  <c r="U6398" i="1"/>
  <c r="M6398" i="1"/>
  <c r="K6398" i="1"/>
  <c r="I6398" i="1"/>
  <c r="H6398" i="1"/>
  <c r="X6397" i="1"/>
  <c r="W6397" i="1"/>
  <c r="V6397" i="1"/>
  <c r="U6397" i="1"/>
  <c r="N6397" i="1"/>
  <c r="X6396" i="1"/>
  <c r="W6396" i="1"/>
  <c r="U6396" i="1"/>
  <c r="P6396" i="1"/>
  <c r="B6396" i="1" s="1"/>
  <c r="L6396" i="1"/>
  <c r="X6395" i="1"/>
  <c r="W6395" i="1"/>
  <c r="V6395" i="1"/>
  <c r="U6395" i="1"/>
  <c r="N6395" i="1"/>
  <c r="X6394" i="1"/>
  <c r="W6394" i="1"/>
  <c r="V6394" i="1"/>
  <c r="U6394" i="1"/>
  <c r="N6394" i="1"/>
  <c r="P6806" i="1"/>
  <c r="B6806" i="1" s="1"/>
  <c r="N6806" i="1"/>
  <c r="S6396" i="1" l="1"/>
  <c r="R6396" i="1"/>
  <c r="V6396" i="1"/>
  <c r="L6398" i="1"/>
  <c r="N6396" i="1"/>
  <c r="N6398" i="1" s="1"/>
  <c r="X96" i="1" l="1"/>
  <c r="W96" i="1"/>
  <c r="U96" i="1"/>
  <c r="P96" i="1"/>
  <c r="B96" i="1" s="1"/>
  <c r="L96" i="1"/>
  <c r="R96" i="1" l="1"/>
  <c r="S96" i="1"/>
  <c r="V96" i="1"/>
  <c r="N96" i="1"/>
  <c r="X6290" i="1" l="1"/>
  <c r="W6290" i="1"/>
  <c r="U6290" i="1"/>
  <c r="P6290" i="1"/>
  <c r="B6290" i="1" s="1"/>
  <c r="L6290" i="1"/>
  <c r="X6448" i="1"/>
  <c r="W6448" i="1"/>
  <c r="U6448" i="1"/>
  <c r="P6448" i="1"/>
  <c r="B6448" i="1" s="1"/>
  <c r="L6448" i="1"/>
  <c r="X3778" i="1"/>
  <c r="W3778" i="1"/>
  <c r="U3778" i="1"/>
  <c r="P3778" i="1"/>
  <c r="B3778" i="1" s="1"/>
  <c r="L3778" i="1"/>
  <c r="S6448" i="1" l="1"/>
  <c r="R6448" i="1"/>
  <c r="S6290" i="1"/>
  <c r="R6290" i="1"/>
  <c r="R3778" i="1"/>
  <c r="S3778" i="1"/>
  <c r="N6290" i="1"/>
  <c r="V6290" i="1"/>
  <c r="N6448" i="1"/>
  <c r="V6448" i="1"/>
  <c r="V3778" i="1"/>
  <c r="N3778" i="1"/>
  <c r="X889" i="1" l="1"/>
  <c r="W889" i="1"/>
  <c r="U889" i="1"/>
  <c r="P889" i="1"/>
  <c r="B889" i="1" s="1"/>
  <c r="L889" i="1"/>
  <c r="R889" i="1" l="1"/>
  <c r="S889" i="1"/>
  <c r="N889" i="1"/>
  <c r="V889" i="1"/>
  <c r="X5662" i="1"/>
  <c r="W5662" i="1"/>
  <c r="U5662" i="1"/>
  <c r="P5662" i="1"/>
  <c r="B5662" i="1" s="1"/>
  <c r="L5662" i="1"/>
  <c r="X3687" i="1"/>
  <c r="W3687" i="1"/>
  <c r="U3687" i="1"/>
  <c r="P3687" i="1"/>
  <c r="B3687" i="1" s="1"/>
  <c r="I3687" i="1"/>
  <c r="R5662" i="1" l="1"/>
  <c r="S5662" i="1"/>
  <c r="L3687" i="1"/>
  <c r="N5662" i="1"/>
  <c r="V5662" i="1"/>
  <c r="R3687" i="1" l="1"/>
  <c r="S3687" i="1"/>
  <c r="N3687" i="1"/>
  <c r="V3687" i="1"/>
  <c r="X5358" i="1"/>
  <c r="W5358" i="1"/>
  <c r="U5358" i="1"/>
  <c r="P5358" i="1"/>
  <c r="B5358" i="1" s="1"/>
  <c r="L5358" i="1"/>
  <c r="X5357" i="1"/>
  <c r="W5357" i="1"/>
  <c r="U5357" i="1"/>
  <c r="P5357" i="1"/>
  <c r="B5357" i="1" s="1"/>
  <c r="L5357" i="1"/>
  <c r="X1421" i="1"/>
  <c r="W1421" i="1"/>
  <c r="U1421" i="1"/>
  <c r="P1421" i="1"/>
  <c r="B1421" i="1" s="1"/>
  <c r="L1421" i="1"/>
  <c r="X6598" i="1"/>
  <c r="W6598" i="1"/>
  <c r="V6598" i="1"/>
  <c r="U6598" i="1"/>
  <c r="K6598" i="1"/>
  <c r="I6598" i="1"/>
  <c r="X6597" i="1"/>
  <c r="W6597" i="1"/>
  <c r="V6597" i="1"/>
  <c r="U6597" i="1"/>
  <c r="N6597" i="1"/>
  <c r="L6598" i="1"/>
  <c r="X6592" i="1"/>
  <c r="W6592" i="1"/>
  <c r="V6592" i="1"/>
  <c r="U6592" i="1"/>
  <c r="N6592" i="1"/>
  <c r="X6591" i="1"/>
  <c r="W6591" i="1"/>
  <c r="V6591" i="1"/>
  <c r="U6591" i="1"/>
  <c r="N6591" i="1"/>
  <c r="R1421" i="1" l="1"/>
  <c r="S1421" i="1"/>
  <c r="S5358" i="1"/>
  <c r="R5358" i="1"/>
  <c r="R5357" i="1"/>
  <c r="S5357" i="1"/>
  <c r="V5357" i="1"/>
  <c r="N5358" i="1"/>
  <c r="N1421" i="1"/>
  <c r="N5357" i="1"/>
  <c r="V5358" i="1"/>
  <c r="V1421" i="1"/>
  <c r="N6598" i="1"/>
  <c r="L5168" i="1" l="1"/>
  <c r="X5168" i="1"/>
  <c r="W5168" i="1"/>
  <c r="U5168" i="1"/>
  <c r="P5168" i="1"/>
  <c r="B5168" i="1" s="1"/>
  <c r="R5168" i="1" l="1"/>
  <c r="S5168" i="1"/>
  <c r="N5168" i="1"/>
  <c r="V5168" i="1"/>
  <c r="X6449" i="1" l="1"/>
  <c r="W6449" i="1"/>
  <c r="U6449" i="1"/>
  <c r="P6449" i="1"/>
  <c r="B6449" i="1" s="1"/>
  <c r="L6449" i="1"/>
  <c r="R6449" i="1" l="1"/>
  <c r="S6449" i="1"/>
  <c r="N6449" i="1"/>
  <c r="V6449" i="1"/>
  <c r="X5071" i="1" l="1"/>
  <c r="W5071" i="1"/>
  <c r="U5071" i="1"/>
  <c r="P5071" i="1"/>
  <c r="B5071" i="1" s="1"/>
  <c r="L5071" i="1"/>
  <c r="X4314" i="1"/>
  <c r="W4314" i="1"/>
  <c r="U4314" i="1"/>
  <c r="P4314" i="1"/>
  <c r="B4314" i="1" s="1"/>
  <c r="L4314" i="1"/>
  <c r="X4557" i="1"/>
  <c r="W4557" i="1"/>
  <c r="U4557" i="1"/>
  <c r="P4557" i="1"/>
  <c r="B4557" i="1" s="1"/>
  <c r="L4557" i="1"/>
  <c r="R4314" i="1" l="1"/>
  <c r="S4314" i="1"/>
  <c r="R5071" i="1"/>
  <c r="S5071" i="1"/>
  <c r="R4557" i="1"/>
  <c r="S4557" i="1"/>
  <c r="V5071" i="1"/>
  <c r="N5071" i="1"/>
  <c r="N4314" i="1"/>
  <c r="V4314" i="1"/>
  <c r="N4557" i="1"/>
  <c r="V4557" i="1"/>
  <c r="X5434" i="1" l="1"/>
  <c r="W5434" i="1"/>
  <c r="U5434" i="1"/>
  <c r="P5434" i="1"/>
  <c r="B5434" i="1" s="1"/>
  <c r="L5434" i="1"/>
  <c r="X5433" i="1"/>
  <c r="W5433" i="1"/>
  <c r="U5433" i="1"/>
  <c r="P5433" i="1"/>
  <c r="B5433" i="1" s="1"/>
  <c r="L5433" i="1"/>
  <c r="X2263" i="1"/>
  <c r="W2263" i="1"/>
  <c r="U2263" i="1"/>
  <c r="P2263" i="1"/>
  <c r="B2263" i="1" s="1"/>
  <c r="L2263" i="1"/>
  <c r="X3728" i="1"/>
  <c r="W3728" i="1"/>
  <c r="U3728" i="1"/>
  <c r="P3728" i="1"/>
  <c r="B3728" i="1" s="1"/>
  <c r="L3728" i="1"/>
  <c r="R5433" i="1" l="1"/>
  <c r="S5433" i="1"/>
  <c r="R3728" i="1"/>
  <c r="S3728" i="1"/>
  <c r="R5434" i="1"/>
  <c r="S5434" i="1"/>
  <c r="R2263" i="1"/>
  <c r="S2263" i="1"/>
  <c r="N5433" i="1"/>
  <c r="V5434" i="1"/>
  <c r="N5434" i="1"/>
  <c r="V5433" i="1"/>
  <c r="N2263" i="1"/>
  <c r="V2263" i="1"/>
  <c r="V3728" i="1"/>
  <c r="N3728" i="1"/>
  <c r="X6101" i="1" l="1"/>
  <c r="W6101" i="1"/>
  <c r="U6101" i="1"/>
  <c r="P6101" i="1"/>
  <c r="B6101" i="1" s="1"/>
  <c r="L6101" i="1"/>
  <c r="R6101" i="1" l="1"/>
  <c r="S6101" i="1"/>
  <c r="N6101" i="1"/>
  <c r="V6101" i="1"/>
  <c r="X3962" i="1"/>
  <c r="W3962" i="1"/>
  <c r="U3962" i="1"/>
  <c r="P3962" i="1"/>
  <c r="B3962" i="1" s="1"/>
  <c r="L3962" i="1"/>
  <c r="R3962" i="1" l="1"/>
  <c r="S3962" i="1"/>
  <c r="N3962" i="1"/>
  <c r="V3962" i="1"/>
  <c r="X947" i="1" l="1"/>
  <c r="W947" i="1"/>
  <c r="U947" i="1"/>
  <c r="P947" i="1"/>
  <c r="B947" i="1" s="1"/>
  <c r="L947" i="1"/>
  <c r="X5064" i="1"/>
  <c r="W5064" i="1"/>
  <c r="U5064" i="1"/>
  <c r="P5064" i="1"/>
  <c r="B5064" i="1" s="1"/>
  <c r="L5064" i="1"/>
  <c r="X5065" i="1"/>
  <c r="W5065" i="1"/>
  <c r="U5065" i="1"/>
  <c r="P5065" i="1"/>
  <c r="B5065" i="1" s="1"/>
  <c r="L5065" i="1"/>
  <c r="S5064" i="1" l="1"/>
  <c r="R5064" i="1"/>
  <c r="R947" i="1"/>
  <c r="S947" i="1"/>
  <c r="R5065" i="1"/>
  <c r="S5065" i="1"/>
  <c r="V5064" i="1"/>
  <c r="N947" i="1"/>
  <c r="V947" i="1"/>
  <c r="N5064" i="1"/>
  <c r="N5065" i="1"/>
  <c r="V5065" i="1"/>
  <c r="X5057" i="1" l="1"/>
  <c r="W5057" i="1"/>
  <c r="U5057" i="1"/>
  <c r="P5057" i="1"/>
  <c r="B5057" i="1" s="1"/>
  <c r="L5057" i="1"/>
  <c r="R5057" i="1" l="1"/>
  <c r="S5057" i="1"/>
  <c r="N5057" i="1"/>
  <c r="V5057" i="1"/>
  <c r="I777" i="1"/>
  <c r="L777" i="1" s="1"/>
  <c r="X777" i="1"/>
  <c r="W777" i="1"/>
  <c r="U777" i="1"/>
  <c r="P777" i="1"/>
  <c r="B777" i="1" s="1"/>
  <c r="R777" i="1" l="1"/>
  <c r="S777" i="1"/>
  <c r="N777" i="1"/>
  <c r="V777" i="1"/>
  <c r="M292" i="1"/>
  <c r="X948" i="1" l="1"/>
  <c r="W948" i="1"/>
  <c r="U948" i="1"/>
  <c r="P948" i="1"/>
  <c r="B948" i="1" s="1"/>
  <c r="L948" i="1"/>
  <c r="R948" i="1" l="1"/>
  <c r="S948" i="1"/>
  <c r="N948" i="1"/>
  <c r="V948" i="1"/>
  <c r="X5361" i="1"/>
  <c r="W5361" i="1"/>
  <c r="U5361" i="1"/>
  <c r="P5361" i="1"/>
  <c r="B5361" i="1" s="1"/>
  <c r="L5361" i="1"/>
  <c r="X5360" i="1"/>
  <c r="W5360" i="1"/>
  <c r="U5360" i="1"/>
  <c r="P5360" i="1"/>
  <c r="B5360" i="1" s="1"/>
  <c r="L5360" i="1"/>
  <c r="X4638" i="1"/>
  <c r="W4638" i="1"/>
  <c r="U4638" i="1"/>
  <c r="P4638" i="1"/>
  <c r="B4638" i="1" s="1"/>
  <c r="L4638" i="1"/>
  <c r="X4639" i="1"/>
  <c r="W4639" i="1"/>
  <c r="U4639" i="1"/>
  <c r="P4639" i="1"/>
  <c r="B4639" i="1" s="1"/>
  <c r="L4639" i="1"/>
  <c r="X4231" i="1"/>
  <c r="W4231" i="1"/>
  <c r="U4231" i="1"/>
  <c r="P4231" i="1"/>
  <c r="B4231" i="1" s="1"/>
  <c r="L4231" i="1"/>
  <c r="L1954" i="1"/>
  <c r="X1954" i="1"/>
  <c r="W1954" i="1"/>
  <c r="U1954" i="1"/>
  <c r="P1954" i="1"/>
  <c r="B1954" i="1" s="1"/>
  <c r="P6810" i="1"/>
  <c r="B6810" i="1" s="1"/>
  <c r="N6810" i="1"/>
  <c r="R4639" i="1" l="1"/>
  <c r="S4639" i="1"/>
  <c r="R4638" i="1"/>
  <c r="S4638" i="1"/>
  <c r="R1954" i="1"/>
  <c r="S1954" i="1"/>
  <c r="R4231" i="1"/>
  <c r="S4231" i="1"/>
  <c r="R5360" i="1"/>
  <c r="S5360" i="1"/>
  <c r="R5361" i="1"/>
  <c r="S5361" i="1"/>
  <c r="N5361" i="1"/>
  <c r="N4639" i="1"/>
  <c r="V4638" i="1"/>
  <c r="V5361" i="1"/>
  <c r="N5360" i="1"/>
  <c r="V5360" i="1"/>
  <c r="N4638" i="1"/>
  <c r="V4639" i="1"/>
  <c r="V4231" i="1"/>
  <c r="N4231" i="1"/>
  <c r="N1954" i="1"/>
  <c r="V1954" i="1"/>
  <c r="X3923" i="1" l="1"/>
  <c r="W3923" i="1"/>
  <c r="U3923" i="1"/>
  <c r="P3923" i="1"/>
  <c r="B3923" i="1" s="1"/>
  <c r="L3923" i="1"/>
  <c r="X5212" i="1"/>
  <c r="W5212" i="1"/>
  <c r="U5212" i="1"/>
  <c r="P5212" i="1"/>
  <c r="B5212" i="1" s="1"/>
  <c r="L5212" i="1"/>
  <c r="X5801" i="1"/>
  <c r="W5801" i="1"/>
  <c r="U5801" i="1"/>
  <c r="P5801" i="1"/>
  <c r="B5801" i="1" s="1"/>
  <c r="L5801" i="1"/>
  <c r="X566" i="1"/>
  <c r="W566" i="1"/>
  <c r="V566" i="1"/>
  <c r="U566" i="1"/>
  <c r="M566" i="1"/>
  <c r="K566" i="1"/>
  <c r="I566" i="1"/>
  <c r="H566" i="1"/>
  <c r="X565" i="1"/>
  <c r="W565" i="1"/>
  <c r="V565" i="1"/>
  <c r="U565" i="1"/>
  <c r="N565" i="1"/>
  <c r="X564" i="1"/>
  <c r="W564" i="1"/>
  <c r="U564" i="1"/>
  <c r="P564" i="1"/>
  <c r="B564" i="1" s="1"/>
  <c r="L564" i="1"/>
  <c r="X563" i="1"/>
  <c r="W563" i="1"/>
  <c r="V563" i="1"/>
  <c r="U563" i="1"/>
  <c r="N563" i="1"/>
  <c r="X562" i="1"/>
  <c r="W562" i="1"/>
  <c r="V562" i="1"/>
  <c r="U562" i="1"/>
  <c r="N562" i="1"/>
  <c r="R5212" i="1" l="1"/>
  <c r="S5212" i="1"/>
  <c r="S564" i="1"/>
  <c r="R564" i="1"/>
  <c r="R3923" i="1"/>
  <c r="S3923" i="1"/>
  <c r="R5801" i="1"/>
  <c r="S5801" i="1"/>
  <c r="V3923" i="1"/>
  <c r="N3923" i="1"/>
  <c r="N5212" i="1"/>
  <c r="V5212" i="1"/>
  <c r="N5801" i="1"/>
  <c r="V5801" i="1"/>
  <c r="V564" i="1"/>
  <c r="N564" i="1"/>
  <c r="N566" i="1" s="1"/>
  <c r="L566" i="1"/>
  <c r="X5432" i="1"/>
  <c r="W5432" i="1"/>
  <c r="U5432" i="1"/>
  <c r="P5432" i="1"/>
  <c r="B5432" i="1" s="1"/>
  <c r="L5432" i="1"/>
  <c r="X5435" i="1"/>
  <c r="W5435" i="1"/>
  <c r="U5435" i="1"/>
  <c r="P5435" i="1"/>
  <c r="B5435" i="1" s="1"/>
  <c r="L5435" i="1"/>
  <c r="X695" i="1"/>
  <c r="W695" i="1"/>
  <c r="U695" i="1"/>
  <c r="P695" i="1"/>
  <c r="B695" i="1" s="1"/>
  <c r="L695" i="1"/>
  <c r="S5432" i="1" l="1"/>
  <c r="R5432" i="1"/>
  <c r="R695" i="1"/>
  <c r="S695" i="1"/>
  <c r="R5435" i="1"/>
  <c r="S5435" i="1"/>
  <c r="N5432" i="1"/>
  <c r="V5432" i="1"/>
  <c r="V5435" i="1"/>
  <c r="N5435" i="1"/>
  <c r="N695" i="1"/>
  <c r="V695" i="1"/>
  <c r="X2099" i="1" l="1"/>
  <c r="W2099" i="1"/>
  <c r="U2099" i="1"/>
  <c r="P2099" i="1"/>
  <c r="B2099" i="1" s="1"/>
  <c r="L2099" i="1"/>
  <c r="X6039" i="1"/>
  <c r="W6039" i="1"/>
  <c r="U6039" i="1"/>
  <c r="P6039" i="1"/>
  <c r="B6039" i="1" s="1"/>
  <c r="L6039" i="1"/>
  <c r="X4596" i="1"/>
  <c r="W4596" i="1"/>
  <c r="U4596" i="1"/>
  <c r="P4596" i="1"/>
  <c r="B4596" i="1" s="1"/>
  <c r="L4596" i="1"/>
  <c r="R6039" i="1" l="1"/>
  <c r="S6039" i="1"/>
  <c r="R2099" i="1"/>
  <c r="S2099" i="1"/>
  <c r="R4596" i="1"/>
  <c r="S4596" i="1"/>
  <c r="N2099" i="1"/>
  <c r="V2099" i="1"/>
  <c r="V6039" i="1"/>
  <c r="N6039" i="1"/>
  <c r="V4596" i="1"/>
  <c r="N4596" i="1"/>
  <c r="X6566" i="1" l="1"/>
  <c r="W6566" i="1"/>
  <c r="U6566" i="1"/>
  <c r="P6566" i="1"/>
  <c r="B6566" i="1" s="1"/>
  <c r="L6566" i="1"/>
  <c r="R6566" i="1" l="1"/>
  <c r="S6566" i="1"/>
  <c r="N6566" i="1"/>
  <c r="V6566" i="1"/>
  <c r="X4650" i="1"/>
  <c r="W4650" i="1"/>
  <c r="U4650" i="1"/>
  <c r="P4650" i="1"/>
  <c r="B4650" i="1" s="1"/>
  <c r="L4650" i="1"/>
  <c r="S4650" i="1" l="1"/>
  <c r="R4650" i="1"/>
  <c r="N4650" i="1"/>
  <c r="V4650" i="1"/>
  <c r="X5462" i="1" l="1"/>
  <c r="W5462" i="1"/>
  <c r="U5462" i="1"/>
  <c r="P5462" i="1"/>
  <c r="B5462" i="1" s="1"/>
  <c r="L5462" i="1"/>
  <c r="X5464" i="1"/>
  <c r="W5464" i="1"/>
  <c r="V5464" i="1"/>
  <c r="U5464" i="1"/>
  <c r="M5464" i="1"/>
  <c r="K5464" i="1"/>
  <c r="I5464" i="1"/>
  <c r="H5464" i="1"/>
  <c r="X5463" i="1"/>
  <c r="W5463" i="1"/>
  <c r="V5463" i="1"/>
  <c r="U5463" i="1"/>
  <c r="N5463" i="1"/>
  <c r="X5461" i="1"/>
  <c r="W5461" i="1"/>
  <c r="U5461" i="1"/>
  <c r="P5461" i="1"/>
  <c r="B5461" i="1" s="1"/>
  <c r="L5461" i="1"/>
  <c r="X5460" i="1"/>
  <c r="W5460" i="1"/>
  <c r="V5460" i="1"/>
  <c r="U5460" i="1"/>
  <c r="N5460" i="1"/>
  <c r="X5459" i="1"/>
  <c r="W5459" i="1"/>
  <c r="V5459" i="1"/>
  <c r="U5459" i="1"/>
  <c r="N5459" i="1"/>
  <c r="S5461" i="1" l="1"/>
  <c r="R5461" i="1"/>
  <c r="R5462" i="1"/>
  <c r="S5462" i="1"/>
  <c r="V5462" i="1"/>
  <c r="N5462" i="1"/>
  <c r="N5461" i="1"/>
  <c r="L5464" i="1"/>
  <c r="V5461" i="1"/>
  <c r="X5613" i="1"/>
  <c r="W5613" i="1"/>
  <c r="U5613" i="1"/>
  <c r="P5613" i="1"/>
  <c r="B5613" i="1" s="1"/>
  <c r="L5613" i="1"/>
  <c r="X54" i="1"/>
  <c r="W54" i="1"/>
  <c r="U54" i="1"/>
  <c r="P54" i="1"/>
  <c r="B54" i="1" s="1"/>
  <c r="L54" i="1"/>
  <c r="X446" i="1"/>
  <c r="W446" i="1"/>
  <c r="V446" i="1"/>
  <c r="U446" i="1"/>
  <c r="M446" i="1"/>
  <c r="K446" i="1"/>
  <c r="I446" i="1"/>
  <c r="H446" i="1"/>
  <c r="X445" i="1"/>
  <c r="W445" i="1"/>
  <c r="V445" i="1"/>
  <c r="U445" i="1"/>
  <c r="N445" i="1"/>
  <c r="X444" i="1"/>
  <c r="W444" i="1"/>
  <c r="U444" i="1"/>
  <c r="P444" i="1"/>
  <c r="B444" i="1" s="1"/>
  <c r="L444" i="1"/>
  <c r="X443" i="1"/>
  <c r="W443" i="1"/>
  <c r="V443" i="1"/>
  <c r="U443" i="1"/>
  <c r="N443" i="1"/>
  <c r="X442" i="1"/>
  <c r="W442" i="1"/>
  <c r="V442" i="1"/>
  <c r="U442" i="1"/>
  <c r="N442" i="1"/>
  <c r="R54" i="1" l="1"/>
  <c r="S54" i="1"/>
  <c r="S5613" i="1"/>
  <c r="R5613" i="1"/>
  <c r="R444" i="1"/>
  <c r="S444" i="1"/>
  <c r="V444" i="1"/>
  <c r="N5613" i="1"/>
  <c r="N5464" i="1"/>
  <c r="V5613" i="1"/>
  <c r="N54" i="1"/>
  <c r="V54" i="1"/>
  <c r="N444" i="1"/>
  <c r="N446" i="1" s="1"/>
  <c r="L446" i="1"/>
  <c r="X5590" i="1" l="1"/>
  <c r="W5590" i="1"/>
  <c r="U5590" i="1"/>
  <c r="P5590" i="1"/>
  <c r="B5590" i="1" s="1"/>
  <c r="L5590" i="1"/>
  <c r="R5590" i="1" l="1"/>
  <c r="S5590" i="1"/>
  <c r="N5590" i="1"/>
  <c r="V5590" i="1"/>
  <c r="X4193" i="1" l="1"/>
  <c r="W4193" i="1"/>
  <c r="U4193" i="1"/>
  <c r="P4193" i="1"/>
  <c r="B4193" i="1" s="1"/>
  <c r="L4193" i="1"/>
  <c r="R4193" i="1" l="1"/>
  <c r="S4193" i="1"/>
  <c r="V4193" i="1"/>
  <c r="N4193" i="1"/>
  <c r="X3890" i="1" l="1"/>
  <c r="W3890" i="1"/>
  <c r="U3890" i="1"/>
  <c r="P3890" i="1"/>
  <c r="B3890" i="1" s="1"/>
  <c r="L3890" i="1"/>
  <c r="R3890" i="1" l="1"/>
  <c r="S3890" i="1"/>
  <c r="N3890" i="1"/>
  <c r="V3890" i="1"/>
  <c r="X4799" i="1"/>
  <c r="W4799" i="1"/>
  <c r="U4799" i="1"/>
  <c r="P4799" i="1"/>
  <c r="B4799" i="1" s="1"/>
  <c r="L4799" i="1"/>
  <c r="R4799" i="1" l="1"/>
  <c r="S4799" i="1"/>
  <c r="V4799" i="1"/>
  <c r="N4799" i="1"/>
  <c r="X2055" i="1" l="1"/>
  <c r="W2055" i="1"/>
  <c r="V2055" i="1"/>
  <c r="U2055" i="1"/>
  <c r="M2055" i="1"/>
  <c r="K2055" i="1"/>
  <c r="I2055" i="1"/>
  <c r="H2055" i="1"/>
  <c r="X2054" i="1"/>
  <c r="W2054" i="1"/>
  <c r="V2054" i="1"/>
  <c r="U2054" i="1"/>
  <c r="N2054" i="1"/>
  <c r="X2053" i="1"/>
  <c r="W2053" i="1"/>
  <c r="U2053" i="1"/>
  <c r="P2053" i="1"/>
  <c r="B2053" i="1" s="1"/>
  <c r="L2053" i="1"/>
  <c r="X2052" i="1"/>
  <c r="W2052" i="1"/>
  <c r="V2052" i="1"/>
  <c r="U2052" i="1"/>
  <c r="N2052" i="1"/>
  <c r="X2051" i="1"/>
  <c r="W2051" i="1"/>
  <c r="V2051" i="1"/>
  <c r="U2051" i="1"/>
  <c r="N2051" i="1"/>
  <c r="X2317" i="1"/>
  <c r="W2317" i="1"/>
  <c r="U2317" i="1"/>
  <c r="P2317" i="1"/>
  <c r="B2317" i="1" s="1"/>
  <c r="L2317" i="1"/>
  <c r="R2317" i="1" l="1"/>
  <c r="S2317" i="1"/>
  <c r="R2053" i="1"/>
  <c r="S2053" i="1"/>
  <c r="V2053" i="1"/>
  <c r="N2053" i="1"/>
  <c r="N2055" i="1" s="1"/>
  <c r="L2055" i="1"/>
  <c r="N2317" i="1"/>
  <c r="V2317" i="1"/>
  <c r="X5740" i="1" l="1"/>
  <c r="W5740" i="1"/>
  <c r="U5740" i="1"/>
  <c r="P5740" i="1"/>
  <c r="B5740" i="1" s="1"/>
  <c r="L5740" i="1"/>
  <c r="X620" i="1"/>
  <c r="W620" i="1"/>
  <c r="U620" i="1"/>
  <c r="P620" i="1"/>
  <c r="B620" i="1" s="1"/>
  <c r="L620" i="1"/>
  <c r="L1563" i="1"/>
  <c r="X1563" i="1"/>
  <c r="W1563" i="1"/>
  <c r="U1563" i="1"/>
  <c r="P1563" i="1"/>
  <c r="B1563" i="1" s="1"/>
  <c r="X5581" i="1"/>
  <c r="W5581" i="1"/>
  <c r="U5581" i="1"/>
  <c r="P5581" i="1"/>
  <c r="B5581" i="1" s="1"/>
  <c r="L5581" i="1"/>
  <c r="X656" i="1"/>
  <c r="W656" i="1"/>
  <c r="U656" i="1"/>
  <c r="P656" i="1"/>
  <c r="B656" i="1" s="1"/>
  <c r="L656" i="1"/>
  <c r="X528" i="1"/>
  <c r="W528" i="1"/>
  <c r="U528" i="1"/>
  <c r="P528" i="1"/>
  <c r="B528" i="1" s="1"/>
  <c r="L528" i="1"/>
  <c r="I490" i="1"/>
  <c r="X492" i="1"/>
  <c r="W492" i="1"/>
  <c r="U492" i="1"/>
  <c r="P492" i="1"/>
  <c r="B492" i="1" s="1"/>
  <c r="L492" i="1"/>
  <c r="R528" i="1" l="1"/>
  <c r="S528" i="1"/>
  <c r="R492" i="1"/>
  <c r="S492" i="1"/>
  <c r="R620" i="1"/>
  <c r="S620" i="1"/>
  <c r="R5581" i="1"/>
  <c r="S5581" i="1"/>
  <c r="R5740" i="1"/>
  <c r="S5740" i="1"/>
  <c r="R1563" i="1"/>
  <c r="S1563" i="1"/>
  <c r="R656" i="1"/>
  <c r="S656" i="1"/>
  <c r="N620" i="1"/>
  <c r="N5740" i="1"/>
  <c r="V5740" i="1"/>
  <c r="V620" i="1"/>
  <c r="N1563" i="1"/>
  <c r="V1563" i="1"/>
  <c r="V5581" i="1"/>
  <c r="N5581" i="1"/>
  <c r="N656" i="1"/>
  <c r="V656" i="1"/>
  <c r="V528" i="1"/>
  <c r="N528" i="1"/>
  <c r="N492" i="1"/>
  <c r="V492" i="1"/>
  <c r="X4997" i="1" l="1"/>
  <c r="W4997" i="1"/>
  <c r="U4997" i="1"/>
  <c r="P4997" i="1"/>
  <c r="B4997" i="1" s="1"/>
  <c r="L4997" i="1"/>
  <c r="R4997" i="1" l="1"/>
  <c r="S4997" i="1"/>
  <c r="N4997" i="1"/>
  <c r="V4997" i="1"/>
  <c r="X1465" i="1" l="1"/>
  <c r="W1465" i="1"/>
  <c r="V1465" i="1"/>
  <c r="U1465" i="1"/>
  <c r="M1465" i="1"/>
  <c r="K1465" i="1"/>
  <c r="I1465" i="1"/>
  <c r="H1465" i="1"/>
  <c r="X1464" i="1"/>
  <c r="W1464" i="1"/>
  <c r="V1464" i="1"/>
  <c r="U1464" i="1"/>
  <c r="N1464" i="1"/>
  <c r="X1463" i="1"/>
  <c r="W1463" i="1"/>
  <c r="U1463" i="1"/>
  <c r="P1463" i="1"/>
  <c r="B1463" i="1" s="1"/>
  <c r="L1463" i="1"/>
  <c r="X1462" i="1"/>
  <c r="W1462" i="1"/>
  <c r="V1462" i="1"/>
  <c r="U1462" i="1"/>
  <c r="N1462" i="1"/>
  <c r="X1461" i="1"/>
  <c r="W1461" i="1"/>
  <c r="V1461" i="1"/>
  <c r="U1461" i="1"/>
  <c r="N1461" i="1"/>
  <c r="R1463" i="1" l="1"/>
  <c r="S1463" i="1"/>
  <c r="L1465" i="1"/>
  <c r="N1463" i="1"/>
  <c r="N1465" i="1" s="1"/>
  <c r="V1463" i="1"/>
  <c r="X350" i="1"/>
  <c r="W350" i="1"/>
  <c r="U350" i="1"/>
  <c r="P350" i="1"/>
  <c r="B350" i="1" s="1"/>
  <c r="L350" i="1"/>
  <c r="R350" i="1" l="1"/>
  <c r="S350" i="1"/>
  <c r="N350" i="1"/>
  <c r="V350" i="1"/>
  <c r="X6568" i="1"/>
  <c r="W6568" i="1"/>
  <c r="U6568" i="1"/>
  <c r="P6568" i="1"/>
  <c r="B6568" i="1" s="1"/>
  <c r="L6568" i="1"/>
  <c r="X1220" i="1"/>
  <c r="W1220" i="1"/>
  <c r="V1220" i="1"/>
  <c r="U1220" i="1"/>
  <c r="M1220" i="1"/>
  <c r="K1220" i="1"/>
  <c r="I1220" i="1"/>
  <c r="H1220" i="1"/>
  <c r="X1219" i="1"/>
  <c r="W1219" i="1"/>
  <c r="V1219" i="1"/>
  <c r="U1219" i="1"/>
  <c r="N1219" i="1"/>
  <c r="X1218" i="1"/>
  <c r="W1218" i="1"/>
  <c r="U1218" i="1"/>
  <c r="P1218" i="1"/>
  <c r="B1218" i="1" s="1"/>
  <c r="L1218" i="1"/>
  <c r="X1217" i="1"/>
  <c r="W1217" i="1"/>
  <c r="V1217" i="1"/>
  <c r="U1217" i="1"/>
  <c r="N1217" i="1"/>
  <c r="X1216" i="1"/>
  <c r="W1216" i="1"/>
  <c r="V1216" i="1"/>
  <c r="U1216" i="1"/>
  <c r="N1216" i="1"/>
  <c r="R6568" i="1" l="1"/>
  <c r="S6568" i="1"/>
  <c r="R1218" i="1"/>
  <c r="S1218" i="1"/>
  <c r="N6568" i="1"/>
  <c r="V6568" i="1"/>
  <c r="L1220" i="1"/>
  <c r="V1218" i="1"/>
  <c r="N1218" i="1"/>
  <c r="N1220" i="1" s="1"/>
  <c r="X767" i="1"/>
  <c r="W767" i="1"/>
  <c r="U767" i="1"/>
  <c r="P767" i="1"/>
  <c r="B767" i="1" s="1"/>
  <c r="L767" i="1"/>
  <c r="R767" i="1" l="1"/>
  <c r="S767" i="1"/>
  <c r="V767" i="1"/>
  <c r="N767" i="1"/>
  <c r="X4625" i="1" l="1"/>
  <c r="W4625" i="1"/>
  <c r="U4625" i="1"/>
  <c r="P4625" i="1"/>
  <c r="B4625" i="1" s="1"/>
  <c r="L4625" i="1"/>
  <c r="R4625" i="1" l="1"/>
  <c r="S4625" i="1"/>
  <c r="V4625" i="1"/>
  <c r="N4625" i="1"/>
  <c r="X3892" i="1" l="1"/>
  <c r="W3892" i="1"/>
  <c r="U3892" i="1"/>
  <c r="P3892" i="1"/>
  <c r="B3892" i="1" s="1"/>
  <c r="L3892" i="1"/>
  <c r="R3892" i="1" l="1"/>
  <c r="S3892" i="1"/>
  <c r="N3892" i="1"/>
  <c r="V3892" i="1"/>
  <c r="X5963" i="1" l="1"/>
  <c r="W5963" i="1"/>
  <c r="U5963" i="1"/>
  <c r="P5963" i="1"/>
  <c r="B5963" i="1" s="1"/>
  <c r="L5963" i="1"/>
  <c r="S5963" i="1" l="1"/>
  <c r="R5963" i="1"/>
  <c r="V5963" i="1"/>
  <c r="N5963" i="1"/>
  <c r="X5653" i="1"/>
  <c r="W5653" i="1"/>
  <c r="U5653" i="1"/>
  <c r="P5653" i="1"/>
  <c r="B5653" i="1" s="1"/>
  <c r="L5653" i="1"/>
  <c r="X4772" i="1"/>
  <c r="W4772" i="1"/>
  <c r="U4772" i="1"/>
  <c r="P4772" i="1"/>
  <c r="B4772" i="1" s="1"/>
  <c r="L4772" i="1"/>
  <c r="S5653" i="1" l="1"/>
  <c r="R5653" i="1"/>
  <c r="S4772" i="1"/>
  <c r="R4772" i="1"/>
  <c r="N5653" i="1"/>
  <c r="V5653" i="1"/>
  <c r="N4772" i="1"/>
  <c r="V4772" i="1"/>
  <c r="X813" i="1"/>
  <c r="W813" i="1"/>
  <c r="U813" i="1"/>
  <c r="P813" i="1"/>
  <c r="B813" i="1" s="1"/>
  <c r="L813" i="1"/>
  <c r="X3725" i="1"/>
  <c r="W3725" i="1"/>
  <c r="U3725" i="1"/>
  <c r="P3725" i="1"/>
  <c r="B3725" i="1" s="1"/>
  <c r="L3725" i="1"/>
  <c r="R3725" i="1" l="1"/>
  <c r="S3725" i="1"/>
  <c r="R813" i="1"/>
  <c r="S813" i="1"/>
  <c r="N813" i="1"/>
  <c r="V813" i="1"/>
  <c r="N3725" i="1"/>
  <c r="V3725" i="1"/>
  <c r="X5875" i="1" l="1"/>
  <c r="W5875" i="1"/>
  <c r="V5875" i="1"/>
  <c r="U5875" i="1"/>
  <c r="M5875" i="1"/>
  <c r="K5875" i="1"/>
  <c r="I5875" i="1"/>
  <c r="H5875" i="1"/>
  <c r="X5874" i="1"/>
  <c r="W5874" i="1"/>
  <c r="V5874" i="1"/>
  <c r="U5874" i="1"/>
  <c r="N5874" i="1"/>
  <c r="X5872" i="1"/>
  <c r="W5872" i="1"/>
  <c r="U5872" i="1"/>
  <c r="P5872" i="1"/>
  <c r="B5872" i="1" s="1"/>
  <c r="L5872" i="1"/>
  <c r="X5871" i="1"/>
  <c r="W5871" i="1"/>
  <c r="V5871" i="1"/>
  <c r="U5871" i="1"/>
  <c r="N5871" i="1"/>
  <c r="X5870" i="1"/>
  <c r="W5870" i="1"/>
  <c r="V5870" i="1"/>
  <c r="U5870" i="1"/>
  <c r="N5870" i="1"/>
  <c r="X4789" i="1"/>
  <c r="W4789" i="1"/>
  <c r="U4789" i="1"/>
  <c r="P4789" i="1"/>
  <c r="B4789" i="1" s="1"/>
  <c r="L4789" i="1"/>
  <c r="X5257" i="1"/>
  <c r="W5257" i="1"/>
  <c r="V5257" i="1"/>
  <c r="U5257" i="1"/>
  <c r="M5257" i="1"/>
  <c r="K5257" i="1"/>
  <c r="I5257" i="1"/>
  <c r="H5257" i="1"/>
  <c r="X5256" i="1"/>
  <c r="W5256" i="1"/>
  <c r="V5256" i="1"/>
  <c r="U5256" i="1"/>
  <c r="N5256" i="1"/>
  <c r="X5255" i="1"/>
  <c r="W5255" i="1"/>
  <c r="U5255" i="1"/>
  <c r="P5255" i="1"/>
  <c r="B5255" i="1" s="1"/>
  <c r="L5255" i="1"/>
  <c r="X5254" i="1"/>
  <c r="W5254" i="1"/>
  <c r="V5254" i="1"/>
  <c r="U5254" i="1"/>
  <c r="N5254" i="1"/>
  <c r="X5253" i="1"/>
  <c r="W5253" i="1"/>
  <c r="V5253" i="1"/>
  <c r="U5253" i="1"/>
  <c r="N5253" i="1"/>
  <c r="S5255" i="1" l="1"/>
  <c r="R5255" i="1"/>
  <c r="R4789" i="1"/>
  <c r="S4789" i="1"/>
  <c r="R5872" i="1"/>
  <c r="S5872" i="1"/>
  <c r="N5255" i="1"/>
  <c r="N5257" i="1" s="1"/>
  <c r="N5872" i="1"/>
  <c r="N5875" i="1" s="1"/>
  <c r="L5875" i="1"/>
  <c r="V5872" i="1"/>
  <c r="N4789" i="1"/>
  <c r="V4789" i="1"/>
  <c r="V5255" i="1"/>
  <c r="L5257" i="1"/>
  <c r="X6036" i="1" l="1"/>
  <c r="W6036" i="1"/>
  <c r="U6036" i="1"/>
  <c r="P6036" i="1"/>
  <c r="B6036" i="1" s="1"/>
  <c r="L6036" i="1"/>
  <c r="X748" i="1"/>
  <c r="W748" i="1"/>
  <c r="U748" i="1"/>
  <c r="P748" i="1"/>
  <c r="B748" i="1" s="1"/>
  <c r="L748" i="1"/>
  <c r="L6703" i="1"/>
  <c r="X6703" i="1"/>
  <c r="W6703" i="1"/>
  <c r="U6703" i="1"/>
  <c r="P6703" i="1"/>
  <c r="B6703" i="1" s="1"/>
  <c r="X6704" i="1"/>
  <c r="W6704" i="1"/>
  <c r="U6704" i="1"/>
  <c r="P6704" i="1"/>
  <c r="B6704" i="1" s="1"/>
  <c r="L6704" i="1"/>
  <c r="X5840" i="1"/>
  <c r="W5840" i="1"/>
  <c r="U5840" i="1"/>
  <c r="P5840" i="1"/>
  <c r="B5840" i="1" s="1"/>
  <c r="L5840" i="1"/>
  <c r="S748" i="1" l="1"/>
  <c r="R748" i="1"/>
  <c r="R6704" i="1"/>
  <c r="S6704" i="1"/>
  <c r="R6703" i="1"/>
  <c r="S6703" i="1"/>
  <c r="R6036" i="1"/>
  <c r="S6036" i="1"/>
  <c r="S5840" i="1"/>
  <c r="R5840" i="1"/>
  <c r="N6704" i="1"/>
  <c r="V5840" i="1"/>
  <c r="V6703" i="1"/>
  <c r="N6036" i="1"/>
  <c r="V6036" i="1"/>
  <c r="N748" i="1"/>
  <c r="V748" i="1"/>
  <c r="N6703" i="1"/>
  <c r="V6704" i="1"/>
  <c r="N5840" i="1"/>
  <c r="X243" i="1" l="1"/>
  <c r="W243" i="1"/>
  <c r="U243" i="1"/>
  <c r="P243" i="1"/>
  <c r="B243" i="1" s="1"/>
  <c r="L243" i="1"/>
  <c r="X6215" i="1"/>
  <c r="W6215" i="1"/>
  <c r="V6215" i="1"/>
  <c r="U6215" i="1"/>
  <c r="M6215" i="1"/>
  <c r="K6215" i="1"/>
  <c r="I6215" i="1"/>
  <c r="H6215" i="1"/>
  <c r="X6214" i="1"/>
  <c r="W6214" i="1"/>
  <c r="V6214" i="1"/>
  <c r="U6214" i="1"/>
  <c r="N6214" i="1"/>
  <c r="X6213" i="1"/>
  <c r="W6213" i="1"/>
  <c r="U6213" i="1"/>
  <c r="P6213" i="1"/>
  <c r="B6213" i="1" s="1"/>
  <c r="L6213" i="1"/>
  <c r="X6212" i="1"/>
  <c r="W6212" i="1"/>
  <c r="V6212" i="1"/>
  <c r="U6212" i="1"/>
  <c r="N6212" i="1"/>
  <c r="X6211" i="1"/>
  <c r="W6211" i="1"/>
  <c r="V6211" i="1"/>
  <c r="U6211" i="1"/>
  <c r="N6211" i="1"/>
  <c r="X2202" i="1"/>
  <c r="W2202" i="1"/>
  <c r="V2202" i="1"/>
  <c r="U2202" i="1"/>
  <c r="M2202" i="1"/>
  <c r="I2202" i="1"/>
  <c r="H2202" i="1"/>
  <c r="X2201" i="1"/>
  <c r="W2201" i="1"/>
  <c r="V2201" i="1"/>
  <c r="U2201" i="1"/>
  <c r="N2201" i="1"/>
  <c r="X2200" i="1"/>
  <c r="W2200" i="1"/>
  <c r="U2200" i="1"/>
  <c r="P2200" i="1"/>
  <c r="B2200" i="1" s="1"/>
  <c r="K2202" i="1"/>
  <c r="X2199" i="1"/>
  <c r="W2199" i="1"/>
  <c r="V2199" i="1"/>
  <c r="U2199" i="1"/>
  <c r="N2199" i="1"/>
  <c r="X2198" i="1"/>
  <c r="W2198" i="1"/>
  <c r="V2198" i="1"/>
  <c r="U2198" i="1"/>
  <c r="N2198" i="1"/>
  <c r="X6745" i="1"/>
  <c r="W6745" i="1"/>
  <c r="U6745" i="1"/>
  <c r="P6745" i="1"/>
  <c r="B6745" i="1" s="1"/>
  <c r="L6745" i="1"/>
  <c r="X696" i="1"/>
  <c r="W696" i="1"/>
  <c r="U696" i="1"/>
  <c r="P696" i="1"/>
  <c r="B696" i="1" s="1"/>
  <c r="L696" i="1"/>
  <c r="X1436" i="1"/>
  <c r="W1436" i="1"/>
  <c r="U1436" i="1"/>
  <c r="P1436" i="1"/>
  <c r="B1436" i="1" s="1"/>
  <c r="L1436" i="1"/>
  <c r="R696" i="1" l="1"/>
  <c r="S696" i="1"/>
  <c r="R6213" i="1"/>
  <c r="S6213" i="1"/>
  <c r="S6745" i="1"/>
  <c r="R6745" i="1"/>
  <c r="R243" i="1"/>
  <c r="S243" i="1"/>
  <c r="R1436" i="1"/>
  <c r="S1436" i="1"/>
  <c r="V6213" i="1"/>
  <c r="N243" i="1"/>
  <c r="V243" i="1"/>
  <c r="N6213" i="1"/>
  <c r="N6215" i="1" s="1"/>
  <c r="L6215" i="1"/>
  <c r="L2200" i="1"/>
  <c r="N6745" i="1"/>
  <c r="V6745" i="1"/>
  <c r="V696" i="1"/>
  <c r="N696" i="1"/>
  <c r="N1436" i="1"/>
  <c r="V1436" i="1"/>
  <c r="X1595" i="1"/>
  <c r="W1595" i="1"/>
  <c r="V1595" i="1"/>
  <c r="U1595" i="1"/>
  <c r="M1595" i="1"/>
  <c r="K1595" i="1"/>
  <c r="I1595" i="1"/>
  <c r="H1595" i="1"/>
  <c r="X1594" i="1"/>
  <c r="W1594" i="1"/>
  <c r="V1594" i="1"/>
  <c r="U1594" i="1"/>
  <c r="N1594" i="1"/>
  <c r="X1592" i="1"/>
  <c r="W1592" i="1"/>
  <c r="U1592" i="1"/>
  <c r="P1592" i="1"/>
  <c r="B1592" i="1" s="1"/>
  <c r="L1592" i="1"/>
  <c r="X1591" i="1"/>
  <c r="W1591" i="1"/>
  <c r="V1591" i="1"/>
  <c r="U1591" i="1"/>
  <c r="N1591" i="1"/>
  <c r="X1590" i="1"/>
  <c r="W1590" i="1"/>
  <c r="V1590" i="1"/>
  <c r="U1590" i="1"/>
  <c r="N1590" i="1"/>
  <c r="R2200" i="1" l="1"/>
  <c r="S2200" i="1"/>
  <c r="R1592" i="1"/>
  <c r="S1592" i="1"/>
  <c r="L1595" i="1"/>
  <c r="V2200" i="1"/>
  <c r="L2202" i="1"/>
  <c r="N2200" i="1"/>
  <c r="N2202" i="1" s="1"/>
  <c r="V1592" i="1"/>
  <c r="N1592" i="1"/>
  <c r="N1595" i="1" s="1"/>
  <c r="I2136" i="1" l="1"/>
  <c r="L2136" i="1" s="1"/>
  <c r="X2136" i="1"/>
  <c r="W2136" i="1"/>
  <c r="U2136" i="1"/>
  <c r="P2136" i="1"/>
  <c r="B2136" i="1" s="1"/>
  <c r="R2136" i="1" l="1"/>
  <c r="S2136" i="1"/>
  <c r="V2136" i="1"/>
  <c r="N2136" i="1"/>
  <c r="X5839" i="1" l="1"/>
  <c r="W5839" i="1"/>
  <c r="U5839" i="1"/>
  <c r="P5839" i="1"/>
  <c r="B5839" i="1" s="1"/>
  <c r="L5839" i="1"/>
  <c r="X4214" i="1"/>
  <c r="W4214" i="1"/>
  <c r="U4214" i="1"/>
  <c r="P4214" i="1"/>
  <c r="B4214" i="1" s="1"/>
  <c r="L4214" i="1"/>
  <c r="R4214" i="1" l="1"/>
  <c r="S4214" i="1"/>
  <c r="R5839" i="1"/>
  <c r="S5839" i="1"/>
  <c r="N5839" i="1"/>
  <c r="V5839" i="1"/>
  <c r="N4214" i="1"/>
  <c r="V4214" i="1"/>
  <c r="X4652" i="1"/>
  <c r="W4652" i="1"/>
  <c r="V4652" i="1"/>
  <c r="U4652" i="1"/>
  <c r="M4652" i="1"/>
  <c r="K4652" i="1"/>
  <c r="I4652" i="1"/>
  <c r="H4652" i="1"/>
  <c r="X4651" i="1"/>
  <c r="W4651" i="1"/>
  <c r="V4651" i="1"/>
  <c r="U4651" i="1"/>
  <c r="N4651" i="1"/>
  <c r="X4648" i="1"/>
  <c r="W4648" i="1"/>
  <c r="U4648" i="1"/>
  <c r="P4648" i="1"/>
  <c r="B4648" i="1" s="1"/>
  <c r="L4648" i="1"/>
  <c r="X4647" i="1"/>
  <c r="W4647" i="1"/>
  <c r="V4647" i="1"/>
  <c r="U4647" i="1"/>
  <c r="N4647" i="1"/>
  <c r="X4646" i="1"/>
  <c r="W4646" i="1"/>
  <c r="V4646" i="1"/>
  <c r="U4646" i="1"/>
  <c r="N4646" i="1"/>
  <c r="R4648" i="1" l="1"/>
  <c r="S4648" i="1"/>
  <c r="N4648" i="1"/>
  <c r="N4652" i="1" s="1"/>
  <c r="L4652" i="1"/>
  <c r="V4648" i="1"/>
  <c r="X5197" i="1"/>
  <c r="W5197" i="1"/>
  <c r="U5197" i="1"/>
  <c r="P5197" i="1"/>
  <c r="B5197" i="1" s="1"/>
  <c r="L5197" i="1"/>
  <c r="R5197" i="1" l="1"/>
  <c r="S5197" i="1"/>
  <c r="N5197" i="1"/>
  <c r="V5197" i="1"/>
  <c r="X1455" i="1"/>
  <c r="W1455" i="1"/>
  <c r="U1455" i="1"/>
  <c r="P1455" i="1"/>
  <c r="B1455" i="1" s="1"/>
  <c r="L1455" i="1"/>
  <c r="R1455" i="1" l="1"/>
  <c r="S1455" i="1"/>
  <c r="V1455" i="1"/>
  <c r="N1455" i="1"/>
  <c r="X242" i="1" l="1"/>
  <c r="W242" i="1"/>
  <c r="U242" i="1"/>
  <c r="P242" i="1"/>
  <c r="B242" i="1" s="1"/>
  <c r="L242" i="1"/>
  <c r="X4207" i="1"/>
  <c r="W4207" i="1"/>
  <c r="U4207" i="1"/>
  <c r="P4207" i="1"/>
  <c r="B4207" i="1" s="1"/>
  <c r="L4207" i="1"/>
  <c r="X3846" i="1"/>
  <c r="W3846" i="1"/>
  <c r="U3846" i="1"/>
  <c r="P3846" i="1"/>
  <c r="B3846" i="1" s="1"/>
  <c r="L3846" i="1"/>
  <c r="X888" i="1"/>
  <c r="W888" i="1"/>
  <c r="U888" i="1"/>
  <c r="P888" i="1"/>
  <c r="B888" i="1" s="1"/>
  <c r="L888" i="1"/>
  <c r="R4207" i="1" l="1"/>
  <c r="S4207" i="1"/>
  <c r="R888" i="1"/>
  <c r="S888" i="1"/>
  <c r="R242" i="1"/>
  <c r="S242" i="1"/>
  <c r="R3846" i="1"/>
  <c r="S3846" i="1"/>
  <c r="V242" i="1"/>
  <c r="N242" i="1"/>
  <c r="N4207" i="1"/>
  <c r="V4207" i="1"/>
  <c r="N3846" i="1"/>
  <c r="V3846" i="1"/>
  <c r="N888" i="1"/>
  <c r="V888" i="1"/>
  <c r="X6335" i="1"/>
  <c r="W6335" i="1"/>
  <c r="U6335" i="1"/>
  <c r="P6335" i="1"/>
  <c r="B6335" i="1" s="1"/>
  <c r="L6335" i="1"/>
  <c r="R6335" i="1" l="1"/>
  <c r="S6335" i="1"/>
  <c r="N6335" i="1"/>
  <c r="V6335" i="1"/>
  <c r="X1947" i="1" l="1"/>
  <c r="W1947" i="1"/>
  <c r="U1947" i="1"/>
  <c r="P1947" i="1"/>
  <c r="B1947" i="1" s="1"/>
  <c r="L1947" i="1"/>
  <c r="L2299" i="1"/>
  <c r="X2299" i="1"/>
  <c r="W2299" i="1"/>
  <c r="U2299" i="1"/>
  <c r="P2299" i="1"/>
  <c r="B2299" i="1" s="1"/>
  <c r="R1947" i="1" l="1"/>
  <c r="S1947" i="1"/>
  <c r="R2299" i="1"/>
  <c r="S2299" i="1"/>
  <c r="N1947" i="1"/>
  <c r="V1947" i="1"/>
  <c r="N2299" i="1"/>
  <c r="V2299" i="1"/>
  <c r="X5972" i="1" l="1"/>
  <c r="W5972" i="1"/>
  <c r="U5972" i="1"/>
  <c r="P5972" i="1"/>
  <c r="B5972" i="1" s="1"/>
  <c r="L5972" i="1"/>
  <c r="X6111" i="1"/>
  <c r="W6111" i="1"/>
  <c r="U6111" i="1"/>
  <c r="P6111" i="1"/>
  <c r="B6111" i="1" s="1"/>
  <c r="L6111" i="1"/>
  <c r="X1443" i="1"/>
  <c r="W1443" i="1"/>
  <c r="U1443" i="1"/>
  <c r="P1443" i="1"/>
  <c r="B1443" i="1" s="1"/>
  <c r="L1443" i="1"/>
  <c r="X879" i="1"/>
  <c r="W879" i="1"/>
  <c r="U879" i="1"/>
  <c r="P879" i="1"/>
  <c r="B879" i="1" s="1"/>
  <c r="L879" i="1"/>
  <c r="R6111" i="1" l="1"/>
  <c r="S6111" i="1"/>
  <c r="R879" i="1"/>
  <c r="S879" i="1"/>
  <c r="R5972" i="1"/>
  <c r="S5972" i="1"/>
  <c r="R1443" i="1"/>
  <c r="S1443" i="1"/>
  <c r="V879" i="1"/>
  <c r="V5972" i="1"/>
  <c r="N5972" i="1"/>
  <c r="V6111" i="1"/>
  <c r="N6111" i="1"/>
  <c r="V1443" i="1"/>
  <c r="N1443" i="1"/>
  <c r="N879" i="1"/>
  <c r="X4766" i="1" l="1"/>
  <c r="W4766" i="1"/>
  <c r="U4766" i="1"/>
  <c r="P4766" i="1"/>
  <c r="B4766" i="1" s="1"/>
  <c r="L4766" i="1"/>
  <c r="X2260" i="1"/>
  <c r="W2260" i="1"/>
  <c r="U2260" i="1"/>
  <c r="P2260" i="1"/>
  <c r="B2260" i="1" s="1"/>
  <c r="L2260" i="1"/>
  <c r="R2260" i="1" l="1"/>
  <c r="S2260" i="1"/>
  <c r="S4766" i="1"/>
  <c r="R4766" i="1"/>
  <c r="N2260" i="1"/>
  <c r="N4766" i="1"/>
  <c r="V4766" i="1"/>
  <c r="V2260" i="1"/>
  <c r="X3824" i="1" l="1"/>
  <c r="W3824" i="1"/>
  <c r="V3824" i="1"/>
  <c r="U3824" i="1"/>
  <c r="M3824" i="1"/>
  <c r="K3824" i="1"/>
  <c r="I3824" i="1"/>
  <c r="H3824" i="1"/>
  <c r="X3823" i="1"/>
  <c r="W3823" i="1"/>
  <c r="V3823" i="1"/>
  <c r="U3823" i="1"/>
  <c r="N3823" i="1"/>
  <c r="X3822" i="1"/>
  <c r="W3822" i="1"/>
  <c r="U3822" i="1"/>
  <c r="P3822" i="1"/>
  <c r="B3822" i="1" s="1"/>
  <c r="L3822" i="1"/>
  <c r="X3821" i="1"/>
  <c r="W3821" i="1"/>
  <c r="V3821" i="1"/>
  <c r="U3821" i="1"/>
  <c r="N3821" i="1"/>
  <c r="X3820" i="1"/>
  <c r="W3820" i="1"/>
  <c r="V3820" i="1"/>
  <c r="U3820" i="1"/>
  <c r="N3820" i="1"/>
  <c r="X1308" i="1"/>
  <c r="W1308" i="1"/>
  <c r="U1308" i="1"/>
  <c r="P1308" i="1"/>
  <c r="B1308" i="1" s="1"/>
  <c r="L1308" i="1"/>
  <c r="X3640" i="1"/>
  <c r="W3640" i="1"/>
  <c r="U3640" i="1"/>
  <c r="P3640" i="1"/>
  <c r="B3640" i="1" s="1"/>
  <c r="L3640" i="1"/>
  <c r="X5169" i="1"/>
  <c r="W5169" i="1"/>
  <c r="U5169" i="1"/>
  <c r="P5169" i="1"/>
  <c r="B5169" i="1" s="1"/>
  <c r="L5169" i="1"/>
  <c r="R5169" i="1" l="1"/>
  <c r="S5169" i="1"/>
  <c r="R3822" i="1"/>
  <c r="S3822" i="1"/>
  <c r="R3640" i="1"/>
  <c r="S3640" i="1"/>
  <c r="R1308" i="1"/>
  <c r="S1308" i="1"/>
  <c r="V3822" i="1"/>
  <c r="N3822" i="1"/>
  <c r="N3824" i="1" s="1"/>
  <c r="L3824" i="1"/>
  <c r="V1308" i="1"/>
  <c r="N1308" i="1"/>
  <c r="N3640" i="1"/>
  <c r="V3640" i="1"/>
  <c r="N5169" i="1"/>
  <c r="V5169" i="1"/>
  <c r="X4218" i="1" l="1"/>
  <c r="W4218" i="1"/>
  <c r="U4218" i="1"/>
  <c r="P4218" i="1"/>
  <c r="B4218" i="1" s="1"/>
  <c r="L4218" i="1"/>
  <c r="X1961" i="1"/>
  <c r="W1961" i="1"/>
  <c r="V1961" i="1"/>
  <c r="U1961" i="1"/>
  <c r="M1961" i="1"/>
  <c r="I1961" i="1"/>
  <c r="H1961" i="1"/>
  <c r="X1960" i="1"/>
  <c r="W1960" i="1"/>
  <c r="V1960" i="1"/>
  <c r="U1960" i="1"/>
  <c r="N1960" i="1"/>
  <c r="X1959" i="1"/>
  <c r="W1959" i="1"/>
  <c r="U1959" i="1"/>
  <c r="P1959" i="1"/>
  <c r="B1959" i="1" s="1"/>
  <c r="K1961" i="1"/>
  <c r="X1958" i="1"/>
  <c r="W1958" i="1"/>
  <c r="V1958" i="1"/>
  <c r="U1958" i="1"/>
  <c r="N1958" i="1"/>
  <c r="X1957" i="1"/>
  <c r="W1957" i="1"/>
  <c r="V1957" i="1"/>
  <c r="U1957" i="1"/>
  <c r="N1957" i="1"/>
  <c r="R4218" i="1" l="1"/>
  <c r="S4218" i="1"/>
  <c r="L1959" i="1"/>
  <c r="N4218" i="1"/>
  <c r="V4218" i="1"/>
  <c r="R1959" i="1" l="1"/>
  <c r="S1959" i="1"/>
  <c r="V1959" i="1"/>
  <c r="L1961" i="1"/>
  <c r="N1959" i="1"/>
  <c r="N1961" i="1" s="1"/>
  <c r="X5738" i="1"/>
  <c r="W5738" i="1"/>
  <c r="U5738" i="1"/>
  <c r="P5738" i="1"/>
  <c r="B5738" i="1" s="1"/>
  <c r="L5738" i="1"/>
  <c r="X1575" i="1"/>
  <c r="W1575" i="1"/>
  <c r="U1575" i="1"/>
  <c r="P1575" i="1"/>
  <c r="B1575" i="1" s="1"/>
  <c r="L1575" i="1"/>
  <c r="R5738" i="1" l="1"/>
  <c r="S5738" i="1"/>
  <c r="R1575" i="1"/>
  <c r="S1575" i="1"/>
  <c r="N1575" i="1"/>
  <c r="N5738" i="1"/>
  <c r="V5738" i="1"/>
  <c r="V1575" i="1"/>
  <c r="X6339" i="1" l="1"/>
  <c r="W6339" i="1"/>
  <c r="U6339" i="1"/>
  <c r="P6339" i="1"/>
  <c r="B6339" i="1" s="1"/>
  <c r="L6339" i="1"/>
  <c r="X1416" i="1"/>
  <c r="W1416" i="1"/>
  <c r="U1416" i="1"/>
  <c r="P1416" i="1"/>
  <c r="B1416" i="1" s="1"/>
  <c r="L1416" i="1"/>
  <c r="R1416" i="1" l="1"/>
  <c r="S1416" i="1"/>
  <c r="R6339" i="1"/>
  <c r="S6339" i="1"/>
  <c r="N6339" i="1"/>
  <c r="V6339" i="1"/>
  <c r="V1416" i="1"/>
  <c r="N1416" i="1"/>
  <c r="X1600" i="1"/>
  <c r="W1600" i="1"/>
  <c r="U1600" i="1"/>
  <c r="P1600" i="1"/>
  <c r="B1600" i="1" s="1"/>
  <c r="L1600" i="1"/>
  <c r="R1600" i="1" l="1"/>
  <c r="S1600" i="1"/>
  <c r="N1600" i="1"/>
  <c r="V1600" i="1"/>
  <c r="X5882" i="1" l="1"/>
  <c r="W5882" i="1"/>
  <c r="U5882" i="1"/>
  <c r="P5882" i="1"/>
  <c r="B5882" i="1" s="1"/>
  <c r="L5882" i="1"/>
  <c r="X5611" i="1"/>
  <c r="W5611" i="1"/>
  <c r="U5611" i="1"/>
  <c r="P5611" i="1"/>
  <c r="B5611" i="1" s="1"/>
  <c r="L5611" i="1"/>
  <c r="X5612" i="1"/>
  <c r="W5612" i="1"/>
  <c r="U5612" i="1"/>
  <c r="P5612" i="1"/>
  <c r="B5612" i="1" s="1"/>
  <c r="L5612" i="1"/>
  <c r="R5611" i="1" l="1"/>
  <c r="S5611" i="1"/>
  <c r="S5882" i="1"/>
  <c r="R5882" i="1"/>
  <c r="R5612" i="1"/>
  <c r="S5612" i="1"/>
  <c r="N5611" i="1"/>
  <c r="N5882" i="1"/>
  <c r="V5882" i="1"/>
  <c r="V5611" i="1"/>
  <c r="V5612" i="1"/>
  <c r="N5612" i="1"/>
  <c r="X4640" i="1" l="1"/>
  <c r="W4640" i="1"/>
  <c r="U4640" i="1"/>
  <c r="P4640" i="1"/>
  <c r="B4640" i="1" s="1"/>
  <c r="L4640" i="1"/>
  <c r="S4640" i="1" l="1"/>
  <c r="R4640" i="1"/>
  <c r="N4640" i="1"/>
  <c r="V4640" i="1"/>
  <c r="X5955" i="1"/>
  <c r="W5955" i="1"/>
  <c r="U5955" i="1"/>
  <c r="P5955" i="1"/>
  <c r="B5955" i="1" s="1"/>
  <c r="L5955" i="1"/>
  <c r="X1868" i="1"/>
  <c r="W1868" i="1"/>
  <c r="U1868" i="1"/>
  <c r="P1868" i="1"/>
  <c r="B1868" i="1" s="1"/>
  <c r="L1868" i="1"/>
  <c r="X806" i="1"/>
  <c r="W806" i="1"/>
  <c r="U806" i="1"/>
  <c r="P806" i="1"/>
  <c r="B806" i="1" s="1"/>
  <c r="L806" i="1"/>
  <c r="R5955" i="1" l="1"/>
  <c r="S5955" i="1"/>
  <c r="R806" i="1"/>
  <c r="S806" i="1"/>
  <c r="R1868" i="1"/>
  <c r="S1868" i="1"/>
  <c r="V806" i="1"/>
  <c r="N5955" i="1"/>
  <c r="V5955" i="1"/>
  <c r="V1868" i="1"/>
  <c r="N1868" i="1"/>
  <c r="N806" i="1"/>
  <c r="X4974" i="1" l="1"/>
  <c r="W4974" i="1"/>
  <c r="U4974" i="1"/>
  <c r="P4974" i="1"/>
  <c r="B4974" i="1" s="1"/>
  <c r="L4974" i="1"/>
  <c r="X4763" i="1"/>
  <c r="W4763" i="1"/>
  <c r="U4763" i="1"/>
  <c r="P4763" i="1"/>
  <c r="B4763" i="1" s="1"/>
  <c r="L4763" i="1"/>
  <c r="R4763" i="1" l="1"/>
  <c r="S4763" i="1"/>
  <c r="R4974" i="1"/>
  <c r="S4974" i="1"/>
  <c r="N4974" i="1"/>
  <c r="V4974" i="1"/>
  <c r="N4763" i="1"/>
  <c r="V4763" i="1"/>
  <c r="X3739" i="1" l="1"/>
  <c r="W3739" i="1"/>
  <c r="U3739" i="1"/>
  <c r="P3739" i="1"/>
  <c r="B3739" i="1" s="1"/>
  <c r="L3739" i="1"/>
  <c r="R3739" i="1" l="1"/>
  <c r="S3739" i="1"/>
  <c r="V3739" i="1"/>
  <c r="N3739" i="1"/>
  <c r="I4069" i="1" l="1"/>
  <c r="L4069" i="1" s="1"/>
  <c r="X4069" i="1"/>
  <c r="W4069" i="1"/>
  <c r="U4069" i="1"/>
  <c r="P4069" i="1"/>
  <c r="B4069" i="1" s="1"/>
  <c r="X5958" i="1"/>
  <c r="W5958" i="1"/>
  <c r="U5958" i="1"/>
  <c r="P5958" i="1"/>
  <c r="B5958" i="1" s="1"/>
  <c r="L5958" i="1"/>
  <c r="X909" i="1"/>
  <c r="W909" i="1"/>
  <c r="U909" i="1"/>
  <c r="P909" i="1"/>
  <c r="B909" i="1" s="1"/>
  <c r="L909" i="1"/>
  <c r="R5958" i="1" l="1"/>
  <c r="S5958" i="1"/>
  <c r="R909" i="1"/>
  <c r="S909" i="1"/>
  <c r="R4069" i="1"/>
  <c r="S4069" i="1"/>
  <c r="N5958" i="1"/>
  <c r="N4069" i="1"/>
  <c r="V4069" i="1"/>
  <c r="V5958" i="1"/>
  <c r="N909" i="1"/>
  <c r="V909" i="1"/>
  <c r="X3899" i="1"/>
  <c r="W3899" i="1"/>
  <c r="U3899" i="1"/>
  <c r="P3899" i="1"/>
  <c r="B3899" i="1" s="1"/>
  <c r="L3899" i="1"/>
  <c r="R3899" i="1" l="1"/>
  <c r="S3899" i="1"/>
  <c r="V3899" i="1"/>
  <c r="N3899" i="1"/>
  <c r="X6337" i="1" l="1"/>
  <c r="W6337" i="1"/>
  <c r="U6337" i="1"/>
  <c r="P6337" i="1"/>
  <c r="B6337" i="1" s="1"/>
  <c r="L6337" i="1"/>
  <c r="R6337" i="1" l="1"/>
  <c r="S6337" i="1"/>
  <c r="V6337" i="1"/>
  <c r="N6337" i="1"/>
  <c r="X3390" i="1" l="1"/>
  <c r="W3390" i="1"/>
  <c r="U3390" i="1"/>
  <c r="P3390" i="1"/>
  <c r="B3390" i="1" s="1"/>
  <c r="L3390" i="1"/>
  <c r="R3390" i="1" l="1"/>
  <c r="S3390" i="1"/>
  <c r="N3390" i="1"/>
  <c r="V3390" i="1"/>
  <c r="X1410" i="1" l="1"/>
  <c r="W1410" i="1"/>
  <c r="U1410" i="1"/>
  <c r="P1410" i="1"/>
  <c r="B1410" i="1" s="1"/>
  <c r="L1410" i="1"/>
  <c r="R1410" i="1" l="1"/>
  <c r="S1410" i="1"/>
  <c r="V1410" i="1"/>
  <c r="N1410" i="1"/>
  <c r="X1951" i="1"/>
  <c r="W1951" i="1"/>
  <c r="U1951" i="1"/>
  <c r="P1951" i="1"/>
  <c r="B1951" i="1" s="1"/>
  <c r="L1951" i="1"/>
  <c r="X144" i="1"/>
  <c r="W144" i="1"/>
  <c r="U144" i="1"/>
  <c r="P144" i="1"/>
  <c r="B144" i="1" s="1"/>
  <c r="L144" i="1"/>
  <c r="X145" i="1"/>
  <c r="W145" i="1"/>
  <c r="U145" i="1"/>
  <c r="P145" i="1"/>
  <c r="B145" i="1" s="1"/>
  <c r="L145" i="1"/>
  <c r="X6025" i="1"/>
  <c r="W6025" i="1"/>
  <c r="U6025" i="1"/>
  <c r="P6025" i="1"/>
  <c r="B6025" i="1" s="1"/>
  <c r="L6025" i="1"/>
  <c r="X351" i="1"/>
  <c r="W351" i="1"/>
  <c r="U351" i="1"/>
  <c r="P351" i="1"/>
  <c r="B351" i="1" s="1"/>
  <c r="L351" i="1"/>
  <c r="X309" i="1"/>
  <c r="W309" i="1"/>
  <c r="V309" i="1"/>
  <c r="U309" i="1"/>
  <c r="M309" i="1"/>
  <c r="K309" i="1"/>
  <c r="I309" i="1"/>
  <c r="H309" i="1"/>
  <c r="X308" i="1"/>
  <c r="W308" i="1"/>
  <c r="V308" i="1"/>
  <c r="U308" i="1"/>
  <c r="N308" i="1"/>
  <c r="X305" i="1"/>
  <c r="W305" i="1"/>
  <c r="U305" i="1"/>
  <c r="P305" i="1"/>
  <c r="B305" i="1" s="1"/>
  <c r="L305" i="1"/>
  <c r="X304" i="1"/>
  <c r="W304" i="1"/>
  <c r="V304" i="1"/>
  <c r="U304" i="1"/>
  <c r="N304" i="1"/>
  <c r="X303" i="1"/>
  <c r="W303" i="1"/>
  <c r="V303" i="1"/>
  <c r="U303" i="1"/>
  <c r="N303" i="1"/>
  <c r="R6025" i="1" l="1"/>
  <c r="S6025" i="1"/>
  <c r="S305" i="1"/>
  <c r="R305" i="1"/>
  <c r="R351" i="1"/>
  <c r="S351" i="1"/>
  <c r="R145" i="1"/>
  <c r="S145" i="1"/>
  <c r="R144" i="1"/>
  <c r="S144" i="1"/>
  <c r="R1951" i="1"/>
  <c r="S1951" i="1"/>
  <c r="V305" i="1"/>
  <c r="N144" i="1"/>
  <c r="L309" i="1"/>
  <c r="N1951" i="1"/>
  <c r="V1951" i="1"/>
  <c r="V144" i="1"/>
  <c r="V145" i="1"/>
  <c r="N145" i="1"/>
  <c r="N6025" i="1"/>
  <c r="V6025" i="1"/>
  <c r="V351" i="1"/>
  <c r="N351" i="1"/>
  <c r="N305" i="1"/>
  <c r="N309" i="1" s="1"/>
  <c r="X97" i="1" l="1"/>
  <c r="W97" i="1"/>
  <c r="U97" i="1"/>
  <c r="P97" i="1"/>
  <c r="B97" i="1" s="1"/>
  <c r="L97" i="1"/>
  <c r="X6654" i="1"/>
  <c r="W6654" i="1"/>
  <c r="U6654" i="1"/>
  <c r="P6654" i="1"/>
  <c r="B6654" i="1" s="1"/>
  <c r="L6654" i="1"/>
  <c r="X495" i="1"/>
  <c r="W495" i="1"/>
  <c r="U495" i="1"/>
  <c r="P495" i="1"/>
  <c r="B495" i="1" s="1"/>
  <c r="L495" i="1"/>
  <c r="R6654" i="1" l="1"/>
  <c r="S6654" i="1"/>
  <c r="R97" i="1"/>
  <c r="S97" i="1"/>
  <c r="S495" i="1"/>
  <c r="R495" i="1"/>
  <c r="N6654" i="1"/>
  <c r="V97" i="1"/>
  <c r="N97" i="1"/>
  <c r="V6654" i="1"/>
  <c r="V495" i="1"/>
  <c r="N495" i="1"/>
  <c r="X6385" i="1"/>
  <c r="W6385" i="1"/>
  <c r="U6385" i="1"/>
  <c r="P6385" i="1"/>
  <c r="B6385" i="1" s="1"/>
  <c r="L6385" i="1"/>
  <c r="R6385" i="1" l="1"/>
  <c r="S6385" i="1"/>
  <c r="V6385" i="1"/>
  <c r="N6385" i="1"/>
  <c r="X5356" i="1" l="1"/>
  <c r="W5356" i="1"/>
  <c r="U5356" i="1"/>
  <c r="P5356" i="1"/>
  <c r="B5356" i="1" s="1"/>
  <c r="L5356" i="1"/>
  <c r="X5363" i="1"/>
  <c r="W5363" i="1"/>
  <c r="V5363" i="1"/>
  <c r="U5363" i="1"/>
  <c r="M5363" i="1"/>
  <c r="K5363" i="1"/>
  <c r="I5363" i="1"/>
  <c r="H5363" i="1"/>
  <c r="X5362" i="1"/>
  <c r="W5362" i="1"/>
  <c r="V5362" i="1"/>
  <c r="U5362" i="1"/>
  <c r="N5362" i="1"/>
  <c r="X5355" i="1"/>
  <c r="W5355" i="1"/>
  <c r="U5355" i="1"/>
  <c r="P5355" i="1"/>
  <c r="B5355" i="1" s="1"/>
  <c r="L5355" i="1"/>
  <c r="X5354" i="1"/>
  <c r="W5354" i="1"/>
  <c r="V5354" i="1"/>
  <c r="U5354" i="1"/>
  <c r="N5354" i="1"/>
  <c r="X5353" i="1"/>
  <c r="W5353" i="1"/>
  <c r="V5353" i="1"/>
  <c r="U5353" i="1"/>
  <c r="N5353" i="1"/>
  <c r="R5355" i="1" l="1"/>
  <c r="S5355" i="1"/>
  <c r="R5356" i="1"/>
  <c r="S5356" i="1"/>
  <c r="N5355" i="1"/>
  <c r="N5356" i="1"/>
  <c r="V5356" i="1"/>
  <c r="V5355" i="1"/>
  <c r="L5363" i="1"/>
  <c r="X5112" i="1"/>
  <c r="W5112" i="1"/>
  <c r="U5112" i="1"/>
  <c r="P5112" i="1"/>
  <c r="B5112" i="1" s="1"/>
  <c r="L5112" i="1"/>
  <c r="R5112" i="1" l="1"/>
  <c r="S5112" i="1"/>
  <c r="N5363" i="1"/>
  <c r="N5112" i="1"/>
  <c r="V5112" i="1"/>
  <c r="P6826" i="1"/>
  <c r="B6826" i="1" s="1"/>
  <c r="N6826" i="1"/>
  <c r="X4238" i="1"/>
  <c r="W4238" i="1"/>
  <c r="U4238" i="1"/>
  <c r="P4238" i="1"/>
  <c r="B4238" i="1" s="1"/>
  <c r="L4238" i="1"/>
  <c r="X1792" i="1"/>
  <c r="W1792" i="1"/>
  <c r="U1792" i="1"/>
  <c r="P1792" i="1"/>
  <c r="B1792" i="1" s="1"/>
  <c r="L1792" i="1"/>
  <c r="X5485" i="1"/>
  <c r="W5485" i="1"/>
  <c r="U5485" i="1"/>
  <c r="P5485" i="1"/>
  <c r="B5485" i="1" s="1"/>
  <c r="L5485" i="1"/>
  <c r="R4238" i="1" l="1"/>
  <c r="S4238" i="1"/>
  <c r="R1792" i="1"/>
  <c r="S1792" i="1"/>
  <c r="R5485" i="1"/>
  <c r="S5485" i="1"/>
  <c r="N4238" i="1"/>
  <c r="N1792" i="1"/>
  <c r="V4238" i="1"/>
  <c r="V1792" i="1"/>
  <c r="N5485" i="1"/>
  <c r="V5485" i="1"/>
  <c r="X3641" i="1" l="1"/>
  <c r="W3641" i="1"/>
  <c r="U3641" i="1"/>
  <c r="P3641" i="1"/>
  <c r="B3641" i="1" s="1"/>
  <c r="L3641" i="1"/>
  <c r="X6118" i="1"/>
  <c r="W6118" i="1"/>
  <c r="V6118" i="1"/>
  <c r="U6118" i="1"/>
  <c r="M6118" i="1"/>
  <c r="K6118" i="1"/>
  <c r="I6118" i="1"/>
  <c r="H6118" i="1"/>
  <c r="X6117" i="1"/>
  <c r="W6117" i="1"/>
  <c r="V6117" i="1"/>
  <c r="U6117" i="1"/>
  <c r="N6117" i="1"/>
  <c r="X6116" i="1"/>
  <c r="W6116" i="1"/>
  <c r="U6116" i="1"/>
  <c r="P6116" i="1"/>
  <c r="B6116" i="1" s="1"/>
  <c r="L6116" i="1"/>
  <c r="X6115" i="1"/>
  <c r="W6115" i="1"/>
  <c r="V6115" i="1"/>
  <c r="U6115" i="1"/>
  <c r="N6115" i="1"/>
  <c r="X6114" i="1"/>
  <c r="W6114" i="1"/>
  <c r="V6114" i="1"/>
  <c r="U6114" i="1"/>
  <c r="N6114" i="1"/>
  <c r="S6116" i="1" l="1"/>
  <c r="R6116" i="1"/>
  <c r="R3641" i="1"/>
  <c r="S3641" i="1"/>
  <c r="L6118" i="1"/>
  <c r="V6116" i="1"/>
  <c r="V3641" i="1"/>
  <c r="N3641" i="1"/>
  <c r="N6116" i="1"/>
  <c r="N6118" i="1" s="1"/>
  <c r="X1950" i="1"/>
  <c r="W1950" i="1"/>
  <c r="U1950" i="1"/>
  <c r="P1950" i="1"/>
  <c r="B1950" i="1" s="1"/>
  <c r="L1950" i="1"/>
  <c r="R1950" i="1" l="1"/>
  <c r="S1950" i="1"/>
  <c r="N1950" i="1"/>
  <c r="V1950" i="1"/>
  <c r="X4889" i="1"/>
  <c r="W4889" i="1"/>
  <c r="U4889" i="1"/>
  <c r="P4889" i="1"/>
  <c r="B4889" i="1" s="1"/>
  <c r="L4889" i="1"/>
  <c r="R4889" i="1" l="1"/>
  <c r="S4889" i="1"/>
  <c r="N4889" i="1"/>
  <c r="V4889" i="1"/>
  <c r="X6340" i="1" l="1"/>
  <c r="W6340" i="1"/>
  <c r="U6340" i="1"/>
  <c r="P6340" i="1"/>
  <c r="B6340" i="1" s="1"/>
  <c r="L6340" i="1"/>
  <c r="X6522" i="1"/>
  <c r="W6522" i="1"/>
  <c r="U6522" i="1"/>
  <c r="P6522" i="1"/>
  <c r="B6522" i="1" s="1"/>
  <c r="L6522" i="1"/>
  <c r="X3876" i="1"/>
  <c r="W3876" i="1"/>
  <c r="U3876" i="1"/>
  <c r="P3876" i="1"/>
  <c r="B3876" i="1" s="1"/>
  <c r="L3876" i="1"/>
  <c r="R6522" i="1" l="1"/>
  <c r="S6522" i="1"/>
  <c r="R6340" i="1"/>
  <c r="S6340" i="1"/>
  <c r="R3876" i="1"/>
  <c r="S3876" i="1"/>
  <c r="N6340" i="1"/>
  <c r="V6340" i="1"/>
  <c r="V6522" i="1"/>
  <c r="N6522" i="1"/>
  <c r="N3876" i="1"/>
  <c r="V3876" i="1"/>
  <c r="X732" i="1" l="1"/>
  <c r="W732" i="1"/>
  <c r="V732" i="1"/>
  <c r="U732" i="1"/>
  <c r="M732" i="1"/>
  <c r="K732" i="1"/>
  <c r="I732" i="1"/>
  <c r="H732" i="1"/>
  <c r="X731" i="1"/>
  <c r="W731" i="1"/>
  <c r="V731" i="1"/>
  <c r="U731" i="1"/>
  <c r="N731" i="1"/>
  <c r="X730" i="1"/>
  <c r="W730" i="1"/>
  <c r="U730" i="1"/>
  <c r="P730" i="1"/>
  <c r="B730" i="1" s="1"/>
  <c r="L730" i="1"/>
  <c r="X729" i="1"/>
  <c r="W729" i="1"/>
  <c r="U729" i="1"/>
  <c r="P729" i="1"/>
  <c r="B729" i="1" s="1"/>
  <c r="L729" i="1"/>
  <c r="X728" i="1"/>
  <c r="W728" i="1"/>
  <c r="U728" i="1"/>
  <c r="P728" i="1"/>
  <c r="B728" i="1" s="1"/>
  <c r="L728" i="1"/>
  <c r="X727" i="1"/>
  <c r="W727" i="1"/>
  <c r="V727" i="1"/>
  <c r="U727" i="1"/>
  <c r="N727" i="1"/>
  <c r="X726" i="1"/>
  <c r="W726" i="1"/>
  <c r="V726" i="1"/>
  <c r="U726" i="1"/>
  <c r="N726" i="1"/>
  <c r="R729" i="1" l="1"/>
  <c r="S729" i="1"/>
  <c r="R730" i="1"/>
  <c r="S730" i="1"/>
  <c r="S728" i="1"/>
  <c r="R728" i="1"/>
  <c r="N729" i="1"/>
  <c r="V729" i="1"/>
  <c r="N728" i="1"/>
  <c r="N730" i="1"/>
  <c r="L732" i="1"/>
  <c r="V728" i="1"/>
  <c r="V730" i="1"/>
  <c r="X698" i="1"/>
  <c r="W698" i="1"/>
  <c r="U698" i="1"/>
  <c r="P698" i="1"/>
  <c r="B698" i="1" s="1"/>
  <c r="L698" i="1"/>
  <c r="X604" i="1"/>
  <c r="W604" i="1"/>
  <c r="U604" i="1"/>
  <c r="P604" i="1"/>
  <c r="B604" i="1" s="1"/>
  <c r="L604" i="1"/>
  <c r="X1170" i="1"/>
  <c r="W1170" i="1"/>
  <c r="U1170" i="1"/>
  <c r="P1170" i="1"/>
  <c r="B1170" i="1" s="1"/>
  <c r="L1170" i="1"/>
  <c r="S604" i="1" l="1"/>
  <c r="R604" i="1"/>
  <c r="R698" i="1"/>
  <c r="S698" i="1"/>
  <c r="R1170" i="1"/>
  <c r="S1170" i="1"/>
  <c r="N604" i="1"/>
  <c r="N732" i="1"/>
  <c r="V698" i="1"/>
  <c r="N698" i="1"/>
  <c r="V604" i="1"/>
  <c r="N1170" i="1"/>
  <c r="V1170" i="1"/>
  <c r="X1315" i="1"/>
  <c r="W1315" i="1"/>
  <c r="U1315" i="1"/>
  <c r="P1315" i="1"/>
  <c r="B1315" i="1" s="1"/>
  <c r="L1315" i="1"/>
  <c r="R1315" i="1" l="1"/>
  <c r="S1315" i="1"/>
  <c r="N1315" i="1"/>
  <c r="V1315" i="1"/>
  <c r="X1383" i="1"/>
  <c r="W1383" i="1"/>
  <c r="V1383" i="1"/>
  <c r="U1383" i="1"/>
  <c r="M1383" i="1"/>
  <c r="H1383" i="1"/>
  <c r="X1382" i="1"/>
  <c r="W1382" i="1"/>
  <c r="V1382" i="1"/>
  <c r="U1382" i="1"/>
  <c r="N1382" i="1"/>
  <c r="X1381" i="1"/>
  <c r="W1381" i="1"/>
  <c r="U1381" i="1"/>
  <c r="P1381" i="1"/>
  <c r="B1381" i="1" s="1"/>
  <c r="K1383" i="1"/>
  <c r="I1383" i="1"/>
  <c r="X1380" i="1"/>
  <c r="W1380" i="1"/>
  <c r="V1380" i="1"/>
  <c r="U1380" i="1"/>
  <c r="N1380" i="1"/>
  <c r="X1379" i="1"/>
  <c r="W1379" i="1"/>
  <c r="V1379" i="1"/>
  <c r="U1379" i="1"/>
  <c r="N1379" i="1"/>
  <c r="L1381" i="1" l="1"/>
  <c r="R1381" i="1" l="1"/>
  <c r="S1381" i="1"/>
  <c r="N1381" i="1"/>
  <c r="N1383" i="1" s="1"/>
  <c r="L1383" i="1"/>
  <c r="V1381" i="1"/>
  <c r="X606" i="1"/>
  <c r="W606" i="1"/>
  <c r="V606" i="1"/>
  <c r="U606" i="1"/>
  <c r="M606" i="1"/>
  <c r="K606" i="1"/>
  <c r="I606" i="1"/>
  <c r="H606" i="1"/>
  <c r="X605" i="1"/>
  <c r="W605" i="1"/>
  <c r="V605" i="1"/>
  <c r="U605" i="1"/>
  <c r="N605" i="1"/>
  <c r="X603" i="1"/>
  <c r="W603" i="1"/>
  <c r="U603" i="1"/>
  <c r="P603" i="1"/>
  <c r="B603" i="1" s="1"/>
  <c r="L603" i="1"/>
  <c r="X602" i="1"/>
  <c r="W602" i="1"/>
  <c r="V602" i="1"/>
  <c r="U602" i="1"/>
  <c r="N602" i="1"/>
  <c r="X601" i="1"/>
  <c r="W601" i="1"/>
  <c r="V601" i="1"/>
  <c r="U601" i="1"/>
  <c r="N601" i="1"/>
  <c r="X6019" i="1"/>
  <c r="W6019" i="1"/>
  <c r="U6019" i="1"/>
  <c r="P6019" i="1"/>
  <c r="B6019" i="1" s="1"/>
  <c r="L6019" i="1"/>
  <c r="R603" i="1" l="1"/>
  <c r="S603" i="1"/>
  <c r="R6019" i="1"/>
  <c r="S6019" i="1"/>
  <c r="N603" i="1"/>
  <c r="N606" i="1" s="1"/>
  <c r="V603" i="1"/>
  <c r="L606" i="1"/>
  <c r="N6019" i="1"/>
  <c r="V6019" i="1"/>
  <c r="X2100" i="1" l="1"/>
  <c r="W2100" i="1"/>
  <c r="U2100" i="1"/>
  <c r="P2100" i="1"/>
  <c r="B2100" i="1" s="1"/>
  <c r="L2100" i="1"/>
  <c r="X1887" i="1"/>
  <c r="W1887" i="1"/>
  <c r="V1887" i="1"/>
  <c r="U1887" i="1"/>
  <c r="M1887" i="1"/>
  <c r="K1887" i="1"/>
  <c r="I1887" i="1"/>
  <c r="H1887" i="1"/>
  <c r="X1886" i="1"/>
  <c r="W1886" i="1"/>
  <c r="V1886" i="1"/>
  <c r="U1886" i="1"/>
  <c r="N1886" i="1"/>
  <c r="X1885" i="1"/>
  <c r="W1885" i="1"/>
  <c r="U1885" i="1"/>
  <c r="P1885" i="1"/>
  <c r="B1885" i="1" s="1"/>
  <c r="L1885" i="1"/>
  <c r="X1884" i="1"/>
  <c r="W1884" i="1"/>
  <c r="V1884" i="1"/>
  <c r="U1884" i="1"/>
  <c r="N1884" i="1"/>
  <c r="X1883" i="1"/>
  <c r="W1883" i="1"/>
  <c r="V1883" i="1"/>
  <c r="U1883" i="1"/>
  <c r="N1883" i="1"/>
  <c r="X911" i="1"/>
  <c r="W911" i="1"/>
  <c r="U911" i="1"/>
  <c r="P911" i="1"/>
  <c r="B911" i="1" s="1"/>
  <c r="L911" i="1"/>
  <c r="R2100" i="1" l="1"/>
  <c r="S2100" i="1"/>
  <c r="R1885" i="1"/>
  <c r="S1885" i="1"/>
  <c r="R911" i="1"/>
  <c r="S911" i="1"/>
  <c r="V1885" i="1"/>
  <c r="N2100" i="1"/>
  <c r="V2100" i="1"/>
  <c r="N1885" i="1"/>
  <c r="N1887" i="1" s="1"/>
  <c r="L1887" i="1"/>
  <c r="V911" i="1"/>
  <c r="N911" i="1"/>
  <c r="X1940" i="1" l="1"/>
  <c r="W1940" i="1"/>
  <c r="U1940" i="1"/>
  <c r="P1940" i="1"/>
  <c r="B1940" i="1" s="1"/>
  <c r="L1940" i="1"/>
  <c r="X5695" i="1"/>
  <c r="W5695" i="1"/>
  <c r="V5695" i="1"/>
  <c r="U5695" i="1"/>
  <c r="M5695" i="1"/>
  <c r="K5695" i="1"/>
  <c r="I5695" i="1"/>
  <c r="H5695" i="1"/>
  <c r="X5694" i="1"/>
  <c r="W5694" i="1"/>
  <c r="V5694" i="1"/>
  <c r="U5694" i="1"/>
  <c r="N5694" i="1"/>
  <c r="X5693" i="1"/>
  <c r="W5693" i="1"/>
  <c r="U5693" i="1"/>
  <c r="P5693" i="1"/>
  <c r="B5693" i="1" s="1"/>
  <c r="L5693" i="1"/>
  <c r="X5692" i="1"/>
  <c r="W5692" i="1"/>
  <c r="V5692" i="1"/>
  <c r="U5692" i="1"/>
  <c r="N5692" i="1"/>
  <c r="X5691" i="1"/>
  <c r="W5691" i="1"/>
  <c r="V5691" i="1"/>
  <c r="U5691" i="1"/>
  <c r="N5691" i="1"/>
  <c r="X745" i="1"/>
  <c r="W745" i="1"/>
  <c r="U745" i="1"/>
  <c r="P745" i="1"/>
  <c r="B745" i="1" s="1"/>
  <c r="L745" i="1"/>
  <c r="X4215" i="1"/>
  <c r="W4215" i="1"/>
  <c r="U4215" i="1"/>
  <c r="P4215" i="1"/>
  <c r="B4215" i="1" s="1"/>
  <c r="L4215" i="1"/>
  <c r="R1940" i="1" l="1"/>
  <c r="S1940" i="1"/>
  <c r="R5693" i="1"/>
  <c r="S5693" i="1"/>
  <c r="R4215" i="1"/>
  <c r="S4215" i="1"/>
  <c r="R745" i="1"/>
  <c r="S745" i="1"/>
  <c r="N5693" i="1"/>
  <c r="N5695" i="1" s="1"/>
  <c r="N1940" i="1"/>
  <c r="V1940" i="1"/>
  <c r="V5693" i="1"/>
  <c r="L5695" i="1"/>
  <c r="V745" i="1"/>
  <c r="N745" i="1"/>
  <c r="N4215" i="1"/>
  <c r="V4215" i="1"/>
  <c r="X87" i="1" l="1"/>
  <c r="W87" i="1"/>
  <c r="U87" i="1"/>
  <c r="P87" i="1"/>
  <c r="B87" i="1" s="1"/>
  <c r="L87" i="1"/>
  <c r="P6854" i="1"/>
  <c r="B6854" i="1" s="1"/>
  <c r="N6854" i="1"/>
  <c r="P6857" i="1"/>
  <c r="B6857" i="1" s="1"/>
  <c r="N6857" i="1"/>
  <c r="R87" i="1" l="1"/>
  <c r="S87" i="1"/>
  <c r="N87" i="1"/>
  <c r="V87" i="1"/>
  <c r="X1224" i="1"/>
  <c r="W1224" i="1"/>
  <c r="U1224" i="1"/>
  <c r="P1224" i="1"/>
  <c r="B1224" i="1" s="1"/>
  <c r="L1224" i="1"/>
  <c r="R1224" i="1" l="1"/>
  <c r="S1224" i="1"/>
  <c r="V1224" i="1"/>
  <c r="N1224" i="1"/>
  <c r="X4785" i="1" l="1"/>
  <c r="W4785" i="1"/>
  <c r="U4785" i="1"/>
  <c r="P4785" i="1"/>
  <c r="B4785" i="1" s="1"/>
  <c r="L4785" i="1"/>
  <c r="X1721" i="1"/>
  <c r="W1721" i="1"/>
  <c r="U1721" i="1"/>
  <c r="P1721" i="1"/>
  <c r="B1721" i="1" s="1"/>
  <c r="L1721" i="1"/>
  <c r="X2165" i="1"/>
  <c r="W2165" i="1"/>
  <c r="U2165" i="1"/>
  <c r="P2165" i="1"/>
  <c r="B2165" i="1" s="1"/>
  <c r="L2165" i="1"/>
  <c r="X2288" i="1"/>
  <c r="W2288" i="1"/>
  <c r="V2288" i="1"/>
  <c r="U2288" i="1"/>
  <c r="N2288" i="1"/>
  <c r="X2287" i="1"/>
  <c r="W2287" i="1"/>
  <c r="V2287" i="1"/>
  <c r="U2287" i="1"/>
  <c r="N2287" i="1"/>
  <c r="X2286" i="1"/>
  <c r="W2286" i="1"/>
  <c r="V2286" i="1"/>
  <c r="U2286" i="1"/>
  <c r="M2286" i="1"/>
  <c r="K2286" i="1"/>
  <c r="I2286" i="1"/>
  <c r="H2286" i="1"/>
  <c r="X2285" i="1"/>
  <c r="W2285" i="1"/>
  <c r="V2285" i="1"/>
  <c r="U2285" i="1"/>
  <c r="N2285" i="1"/>
  <c r="X2280" i="1"/>
  <c r="W2280" i="1"/>
  <c r="U2280" i="1"/>
  <c r="P2280" i="1"/>
  <c r="B2280" i="1" s="1"/>
  <c r="L2280" i="1"/>
  <c r="X2279" i="1"/>
  <c r="W2279" i="1"/>
  <c r="U2279" i="1"/>
  <c r="P2279" i="1"/>
  <c r="B2279" i="1" s="1"/>
  <c r="L2279" i="1"/>
  <c r="X831" i="1"/>
  <c r="W831" i="1"/>
  <c r="U831" i="1"/>
  <c r="P831" i="1"/>
  <c r="B831" i="1" s="1"/>
  <c r="L831" i="1"/>
  <c r="X949" i="1"/>
  <c r="W949" i="1"/>
  <c r="U949" i="1"/>
  <c r="P949" i="1"/>
  <c r="B949" i="1" s="1"/>
  <c r="L949" i="1"/>
  <c r="X946" i="1"/>
  <c r="W946" i="1"/>
  <c r="U946" i="1"/>
  <c r="P946" i="1"/>
  <c r="B946" i="1" s="1"/>
  <c r="L946" i="1"/>
  <c r="R1721" i="1" l="1"/>
  <c r="S1721" i="1"/>
  <c r="R4785" i="1"/>
  <c r="S4785" i="1"/>
  <c r="R831" i="1"/>
  <c r="S831" i="1"/>
  <c r="R946" i="1"/>
  <c r="S946" i="1"/>
  <c r="R2165" i="1"/>
  <c r="S2165" i="1"/>
  <c r="R2279" i="1"/>
  <c r="S2279" i="1"/>
  <c r="R949" i="1"/>
  <c r="S949" i="1"/>
  <c r="R2280" i="1"/>
  <c r="S2280" i="1"/>
  <c r="N949" i="1"/>
  <c r="N946" i="1"/>
  <c r="L2286" i="1"/>
  <c r="N4785" i="1"/>
  <c r="V4785" i="1"/>
  <c r="N1721" i="1"/>
  <c r="V1721" i="1"/>
  <c r="N2165" i="1"/>
  <c r="V2165" i="1"/>
  <c r="V2279" i="1"/>
  <c r="V2280" i="1"/>
  <c r="N2280" i="1"/>
  <c r="N2279" i="1"/>
  <c r="N831" i="1"/>
  <c r="V831" i="1"/>
  <c r="V949" i="1"/>
  <c r="V946" i="1"/>
  <c r="N2286" i="1" l="1"/>
  <c r="X1413" i="1"/>
  <c r="W1413" i="1"/>
  <c r="U1413" i="1"/>
  <c r="P1413" i="1"/>
  <c r="B1413" i="1" s="1"/>
  <c r="L1413" i="1"/>
  <c r="X1931" i="1"/>
  <c r="W1931" i="1"/>
  <c r="U1931" i="1"/>
  <c r="P1931" i="1"/>
  <c r="B1931" i="1" s="1"/>
  <c r="L1931" i="1"/>
  <c r="R1931" i="1" l="1"/>
  <c r="S1931" i="1"/>
  <c r="R1413" i="1"/>
  <c r="S1413" i="1"/>
  <c r="N1413" i="1"/>
  <c r="V1413" i="1"/>
  <c r="N1931" i="1"/>
  <c r="V1931" i="1"/>
  <c r="X1446" i="1" l="1"/>
  <c r="W1446" i="1"/>
  <c r="V1446" i="1"/>
  <c r="U1446" i="1"/>
  <c r="M1446" i="1"/>
  <c r="K1446" i="1"/>
  <c r="I1446" i="1"/>
  <c r="H1446" i="1"/>
  <c r="X1445" i="1"/>
  <c r="W1445" i="1"/>
  <c r="V1445" i="1"/>
  <c r="U1445" i="1"/>
  <c r="N1445" i="1"/>
  <c r="X1441" i="1"/>
  <c r="W1441" i="1"/>
  <c r="U1441" i="1"/>
  <c r="P1441" i="1"/>
  <c r="B1441" i="1" s="1"/>
  <c r="L1441" i="1"/>
  <c r="X1440" i="1"/>
  <c r="W1440" i="1"/>
  <c r="V1440" i="1"/>
  <c r="U1440" i="1"/>
  <c r="N1440" i="1"/>
  <c r="X1439" i="1"/>
  <c r="W1439" i="1"/>
  <c r="V1439" i="1"/>
  <c r="U1439" i="1"/>
  <c r="N1439" i="1"/>
  <c r="P6864" i="1"/>
  <c r="B6864" i="1" s="1"/>
  <c r="N6864" i="1"/>
  <c r="R1441" i="1" l="1"/>
  <c r="S1441" i="1"/>
  <c r="N1441" i="1"/>
  <c r="N1446" i="1" s="1"/>
  <c r="L1446" i="1"/>
  <c r="V1441" i="1"/>
  <c r="X2121" i="1" l="1"/>
  <c r="W2121" i="1"/>
  <c r="U2121" i="1"/>
  <c r="P2121" i="1"/>
  <c r="B2121" i="1" s="1"/>
  <c r="L2121" i="1"/>
  <c r="R2121" i="1" l="1"/>
  <c r="S2121" i="1"/>
  <c r="V2121" i="1"/>
  <c r="N2121" i="1"/>
  <c r="X2092" i="1" l="1"/>
  <c r="W2092" i="1"/>
  <c r="U2092" i="1"/>
  <c r="P2092" i="1"/>
  <c r="B2092" i="1" s="1"/>
  <c r="L2092" i="1"/>
  <c r="R2092" i="1" l="1"/>
  <c r="S2092" i="1"/>
  <c r="V2092" i="1"/>
  <c r="N2092" i="1"/>
  <c r="X5182" i="1" l="1"/>
  <c r="W5182" i="1"/>
  <c r="U5182" i="1"/>
  <c r="P5182" i="1"/>
  <c r="B5182" i="1" s="1"/>
  <c r="L5182" i="1"/>
  <c r="X1422" i="1"/>
  <c r="W1422" i="1"/>
  <c r="U1422" i="1"/>
  <c r="P1422" i="1"/>
  <c r="B1422" i="1" s="1"/>
  <c r="L1422" i="1"/>
  <c r="R5182" i="1" l="1"/>
  <c r="S5182" i="1"/>
  <c r="R1422" i="1"/>
  <c r="S1422" i="1"/>
  <c r="N5182" i="1"/>
  <c r="V5182" i="1"/>
  <c r="N1422" i="1"/>
  <c r="V1422" i="1"/>
  <c r="X4087" i="1" l="1"/>
  <c r="W4087" i="1"/>
  <c r="U4087" i="1"/>
  <c r="P4087" i="1"/>
  <c r="B4087" i="1" s="1"/>
  <c r="L4087" i="1"/>
  <c r="X1552" i="1"/>
  <c r="W1552" i="1"/>
  <c r="U1552" i="1"/>
  <c r="P1552" i="1"/>
  <c r="B1552" i="1" s="1"/>
  <c r="L1552" i="1"/>
  <c r="R1552" i="1" l="1"/>
  <c r="S1552" i="1"/>
  <c r="R4087" i="1"/>
  <c r="S4087" i="1"/>
  <c r="N1552" i="1"/>
  <c r="N4087" i="1"/>
  <c r="V4087" i="1"/>
  <c r="V1552" i="1"/>
  <c r="X151" i="1" l="1"/>
  <c r="W151" i="1"/>
  <c r="U151" i="1"/>
  <c r="P151" i="1"/>
  <c r="B151" i="1" s="1"/>
  <c r="L151" i="1"/>
  <c r="R151" i="1" l="1"/>
  <c r="S151" i="1"/>
  <c r="N151" i="1"/>
  <c r="V151" i="1"/>
  <c r="X3991" i="1" l="1"/>
  <c r="W3991" i="1"/>
  <c r="U3991" i="1"/>
  <c r="P3991" i="1"/>
  <c r="B3991" i="1" s="1"/>
  <c r="L3991" i="1"/>
  <c r="R3991" i="1" l="1"/>
  <c r="S3991" i="1"/>
  <c r="V3991" i="1"/>
  <c r="N3991" i="1"/>
  <c r="X106" i="1"/>
  <c r="W106" i="1"/>
  <c r="U106" i="1"/>
  <c r="P106" i="1"/>
  <c r="B106" i="1" s="1"/>
  <c r="L106" i="1"/>
  <c r="R106" i="1" l="1"/>
  <c r="S106" i="1"/>
  <c r="V106" i="1"/>
  <c r="N106" i="1"/>
  <c r="H4299" i="1"/>
  <c r="H4301" i="1" s="1"/>
  <c r="X4301" i="1"/>
  <c r="W4301" i="1"/>
  <c r="V4301" i="1"/>
  <c r="U4301" i="1"/>
  <c r="M4301" i="1"/>
  <c r="K4301" i="1"/>
  <c r="I4301" i="1"/>
  <c r="X4300" i="1"/>
  <c r="W4300" i="1"/>
  <c r="V4300" i="1"/>
  <c r="U4300" i="1"/>
  <c r="N4300" i="1"/>
  <c r="X4299" i="1"/>
  <c r="W4299" i="1"/>
  <c r="U4299" i="1"/>
  <c r="P4299" i="1"/>
  <c r="B4299" i="1" s="1"/>
  <c r="X4298" i="1"/>
  <c r="W4298" i="1"/>
  <c r="V4298" i="1"/>
  <c r="U4298" i="1"/>
  <c r="N4298" i="1"/>
  <c r="X4297" i="1"/>
  <c r="W4297" i="1"/>
  <c r="V4297" i="1"/>
  <c r="U4297" i="1"/>
  <c r="N4297" i="1"/>
  <c r="L4299" i="1" l="1"/>
  <c r="X280" i="1"/>
  <c r="W280" i="1"/>
  <c r="U280" i="1"/>
  <c r="P280" i="1"/>
  <c r="B280" i="1" s="1"/>
  <c r="L280" i="1"/>
  <c r="X6460" i="1"/>
  <c r="W6460" i="1"/>
  <c r="V6460" i="1"/>
  <c r="U6460" i="1"/>
  <c r="M6460" i="1"/>
  <c r="K6460" i="1"/>
  <c r="I6460" i="1"/>
  <c r="H6460" i="1"/>
  <c r="X6459" i="1"/>
  <c r="W6459" i="1"/>
  <c r="V6459" i="1"/>
  <c r="U6459" i="1"/>
  <c r="N6459" i="1"/>
  <c r="X6457" i="1"/>
  <c r="W6457" i="1"/>
  <c r="U6457" i="1"/>
  <c r="P6457" i="1"/>
  <c r="B6457" i="1" s="1"/>
  <c r="L6457" i="1"/>
  <c r="N6457" i="1" s="1"/>
  <c r="X6456" i="1"/>
  <c r="W6456" i="1"/>
  <c r="V6456" i="1"/>
  <c r="U6456" i="1"/>
  <c r="N6456" i="1"/>
  <c r="X6455" i="1"/>
  <c r="W6455" i="1"/>
  <c r="V6455" i="1"/>
  <c r="U6455" i="1"/>
  <c r="N6455" i="1"/>
  <c r="X456" i="1"/>
  <c r="W456" i="1"/>
  <c r="V456" i="1"/>
  <c r="U456" i="1"/>
  <c r="M456" i="1"/>
  <c r="K456" i="1"/>
  <c r="I456" i="1"/>
  <c r="H456" i="1"/>
  <c r="X455" i="1"/>
  <c r="W455" i="1"/>
  <c r="V455" i="1"/>
  <c r="U455" i="1"/>
  <c r="N455" i="1"/>
  <c r="X454" i="1"/>
  <c r="W454" i="1"/>
  <c r="U454" i="1"/>
  <c r="P454" i="1"/>
  <c r="B454" i="1" s="1"/>
  <c r="L454" i="1"/>
  <c r="X453" i="1"/>
  <c r="W453" i="1"/>
  <c r="V453" i="1"/>
  <c r="U453" i="1"/>
  <c r="N453" i="1"/>
  <c r="X452" i="1"/>
  <c r="W452" i="1"/>
  <c r="V452" i="1"/>
  <c r="U452" i="1"/>
  <c r="N452" i="1"/>
  <c r="S280" i="1" l="1"/>
  <c r="R280" i="1"/>
  <c r="R454" i="1"/>
  <c r="S454" i="1"/>
  <c r="R4299" i="1"/>
  <c r="S4299" i="1"/>
  <c r="V454" i="1"/>
  <c r="N6460" i="1"/>
  <c r="V4299" i="1"/>
  <c r="L4301" i="1"/>
  <c r="N4299" i="1"/>
  <c r="N4301" i="1" s="1"/>
  <c r="V280" i="1"/>
  <c r="N280" i="1"/>
  <c r="L6460" i="1"/>
  <c r="V6457" i="1"/>
  <c r="N454" i="1"/>
  <c r="N456" i="1" s="1"/>
  <c r="L456" i="1"/>
  <c r="H4855" i="1"/>
  <c r="I4855" i="1"/>
  <c r="X1484" i="1" l="1"/>
  <c r="W1484" i="1"/>
  <c r="V1484" i="1"/>
  <c r="U1484" i="1"/>
  <c r="M1484" i="1"/>
  <c r="K1484" i="1"/>
  <c r="I1484" i="1"/>
  <c r="H1484" i="1"/>
  <c r="X1483" i="1"/>
  <c r="W1483" i="1"/>
  <c r="V1483" i="1"/>
  <c r="U1483" i="1"/>
  <c r="N1483" i="1"/>
  <c r="X1482" i="1"/>
  <c r="W1482" i="1"/>
  <c r="U1482" i="1"/>
  <c r="P1482" i="1"/>
  <c r="B1482" i="1" s="1"/>
  <c r="L1482" i="1"/>
  <c r="X1481" i="1"/>
  <c r="W1481" i="1"/>
  <c r="V1481" i="1"/>
  <c r="U1481" i="1"/>
  <c r="N1481" i="1"/>
  <c r="X1480" i="1"/>
  <c r="W1480" i="1"/>
  <c r="V1480" i="1"/>
  <c r="U1480" i="1"/>
  <c r="N1480" i="1"/>
  <c r="X942" i="1"/>
  <c r="W942" i="1"/>
  <c r="V942" i="1"/>
  <c r="U942" i="1"/>
  <c r="M942" i="1"/>
  <c r="K942" i="1"/>
  <c r="I942" i="1"/>
  <c r="H942" i="1"/>
  <c r="X941" i="1"/>
  <c r="W941" i="1"/>
  <c r="V941" i="1"/>
  <c r="U941" i="1"/>
  <c r="N941" i="1"/>
  <c r="X940" i="1"/>
  <c r="W940" i="1"/>
  <c r="U940" i="1"/>
  <c r="P940" i="1"/>
  <c r="B940" i="1" s="1"/>
  <c r="L940" i="1"/>
  <c r="X939" i="1"/>
  <c r="W939" i="1"/>
  <c r="V939" i="1"/>
  <c r="U939" i="1"/>
  <c r="N939" i="1"/>
  <c r="X938" i="1"/>
  <c r="W938" i="1"/>
  <c r="V938" i="1"/>
  <c r="U938" i="1"/>
  <c r="N938" i="1"/>
  <c r="R940" i="1" l="1"/>
  <c r="S940" i="1"/>
  <c r="R1482" i="1"/>
  <c r="S1482" i="1"/>
  <c r="N940" i="1"/>
  <c r="N942" i="1" s="1"/>
  <c r="N1482" i="1"/>
  <c r="N1484" i="1" s="1"/>
  <c r="L1484" i="1"/>
  <c r="V1482" i="1"/>
  <c r="L942" i="1"/>
  <c r="V940" i="1"/>
  <c r="X5143" i="1"/>
  <c r="W5143" i="1"/>
  <c r="U5143" i="1"/>
  <c r="P5143" i="1"/>
  <c r="B5143" i="1" s="1"/>
  <c r="L5143" i="1"/>
  <c r="X5953" i="1"/>
  <c r="W5953" i="1"/>
  <c r="U5953" i="1"/>
  <c r="P5953" i="1"/>
  <c r="B5953" i="1" s="1"/>
  <c r="L5953" i="1"/>
  <c r="X758" i="1"/>
  <c r="W758" i="1"/>
  <c r="U758" i="1"/>
  <c r="P758" i="1"/>
  <c r="B758" i="1" s="1"/>
  <c r="L758" i="1"/>
  <c r="R5953" i="1" l="1"/>
  <c r="S5953" i="1"/>
  <c r="R5143" i="1"/>
  <c r="S5143" i="1"/>
  <c r="S758" i="1"/>
  <c r="R758" i="1"/>
  <c r="N758" i="1"/>
  <c r="N5143" i="1"/>
  <c r="V5143" i="1"/>
  <c r="N5953" i="1"/>
  <c r="V5953" i="1"/>
  <c r="V758" i="1"/>
  <c r="X1316" i="1" l="1"/>
  <c r="W1316" i="1"/>
  <c r="U1316" i="1"/>
  <c r="P1316" i="1"/>
  <c r="B1316" i="1" s="1"/>
  <c r="L1316" i="1"/>
  <c r="R1316" i="1" l="1"/>
  <c r="S1316" i="1"/>
  <c r="N1316" i="1"/>
  <c r="V1316" i="1"/>
  <c r="X1999" i="1"/>
  <c r="W1999" i="1"/>
  <c r="V1999" i="1"/>
  <c r="U1999" i="1"/>
  <c r="M1999" i="1"/>
  <c r="K1999" i="1"/>
  <c r="I1999" i="1"/>
  <c r="X1998" i="1"/>
  <c r="W1998" i="1"/>
  <c r="V1998" i="1"/>
  <c r="U1998" i="1"/>
  <c r="N1998" i="1"/>
  <c r="X1997" i="1"/>
  <c r="W1997" i="1"/>
  <c r="U1997" i="1"/>
  <c r="P1997" i="1"/>
  <c r="B1997" i="1" s="1"/>
  <c r="H1999" i="1"/>
  <c r="X1996" i="1"/>
  <c r="W1996" i="1"/>
  <c r="V1996" i="1"/>
  <c r="U1996" i="1"/>
  <c r="N1996" i="1"/>
  <c r="X1995" i="1"/>
  <c r="W1995" i="1"/>
  <c r="V1995" i="1"/>
  <c r="U1995" i="1"/>
  <c r="N1995" i="1"/>
  <c r="L1997" i="1" l="1"/>
  <c r="R1997" i="1" l="1"/>
  <c r="S1997" i="1"/>
  <c r="L1999" i="1"/>
  <c r="N1997" i="1"/>
  <c r="N1999" i="1" s="1"/>
  <c r="V1997" i="1"/>
  <c r="X1534" i="1"/>
  <c r="W1534" i="1"/>
  <c r="U1534" i="1"/>
  <c r="P1534" i="1"/>
  <c r="B1534" i="1" s="1"/>
  <c r="L1534" i="1"/>
  <c r="R1534" i="1" l="1"/>
  <c r="S1534" i="1"/>
  <c r="N1534" i="1"/>
  <c r="V1534" i="1"/>
  <c r="X42" i="1" l="1"/>
  <c r="W42" i="1"/>
  <c r="U42" i="1"/>
  <c r="P42" i="1"/>
  <c r="B42" i="1" s="1"/>
  <c r="L42" i="1"/>
  <c r="X5635" i="1"/>
  <c r="W5635" i="1"/>
  <c r="U5635" i="1"/>
  <c r="P5635" i="1"/>
  <c r="B5635" i="1" s="1"/>
  <c r="L5635" i="1"/>
  <c r="X5596" i="1"/>
  <c r="W5596" i="1"/>
  <c r="U5596" i="1"/>
  <c r="P5596" i="1"/>
  <c r="B5596" i="1" s="1"/>
  <c r="L5596" i="1"/>
  <c r="X4909" i="1"/>
  <c r="W4909" i="1"/>
  <c r="V4909" i="1"/>
  <c r="U4909" i="1"/>
  <c r="M4909" i="1"/>
  <c r="K4909" i="1"/>
  <c r="I4909" i="1"/>
  <c r="H4909" i="1"/>
  <c r="X4908" i="1"/>
  <c r="W4908" i="1"/>
  <c r="V4908" i="1"/>
  <c r="U4908" i="1"/>
  <c r="N4908" i="1"/>
  <c r="X4907" i="1"/>
  <c r="W4907" i="1"/>
  <c r="U4907" i="1"/>
  <c r="P4907" i="1"/>
  <c r="B4907" i="1" s="1"/>
  <c r="L4907" i="1"/>
  <c r="X4906" i="1"/>
  <c r="W4906" i="1"/>
  <c r="V4906" i="1"/>
  <c r="U4906" i="1"/>
  <c r="N4906" i="1"/>
  <c r="X4905" i="1"/>
  <c r="W4905" i="1"/>
  <c r="V4905" i="1"/>
  <c r="U4905" i="1"/>
  <c r="N4905" i="1"/>
  <c r="X6559" i="1"/>
  <c r="W6559" i="1"/>
  <c r="U6559" i="1"/>
  <c r="P6559" i="1"/>
  <c r="B6559" i="1" s="1"/>
  <c r="H6559" i="1"/>
  <c r="L6559" i="1" s="1"/>
  <c r="R6559" i="1" l="1"/>
  <c r="S6559" i="1"/>
  <c r="R4907" i="1"/>
  <c r="S4907" i="1"/>
  <c r="R42" i="1"/>
  <c r="S42" i="1"/>
  <c r="S5635" i="1"/>
  <c r="R5635" i="1"/>
  <c r="R5596" i="1"/>
  <c r="S5596" i="1"/>
  <c r="N5596" i="1"/>
  <c r="N42" i="1"/>
  <c r="V42" i="1"/>
  <c r="N5635" i="1"/>
  <c r="V5635" i="1"/>
  <c r="V5596" i="1"/>
  <c r="N6559" i="1"/>
  <c r="V4907" i="1"/>
  <c r="N4907" i="1"/>
  <c r="N4909" i="1" s="1"/>
  <c r="L4909" i="1"/>
  <c r="V6559" i="1"/>
  <c r="X5145" i="1" l="1"/>
  <c r="W5145" i="1"/>
  <c r="U5145" i="1"/>
  <c r="P5145" i="1"/>
  <c r="B5145" i="1" s="1"/>
  <c r="L5145" i="1"/>
  <c r="X244" i="1"/>
  <c r="W244" i="1"/>
  <c r="U244" i="1"/>
  <c r="P244" i="1"/>
  <c r="B244" i="1" s="1"/>
  <c r="R5145" i="1" l="1"/>
  <c r="S5145" i="1"/>
  <c r="N5145" i="1"/>
  <c r="V5145" i="1"/>
  <c r="N244" i="1"/>
  <c r="V244" i="1"/>
  <c r="X5655" i="1"/>
  <c r="W5655" i="1"/>
  <c r="U5655" i="1"/>
  <c r="P5655" i="1"/>
  <c r="B5655" i="1" s="1"/>
  <c r="L5655" i="1"/>
  <c r="R5655" i="1" l="1"/>
  <c r="S5655" i="1"/>
  <c r="N5655" i="1"/>
  <c r="V5655" i="1"/>
  <c r="X1560" i="1" l="1"/>
  <c r="W1560" i="1"/>
  <c r="U1560" i="1"/>
  <c r="P1560" i="1"/>
  <c r="B1560" i="1" s="1"/>
  <c r="L1560" i="1"/>
  <c r="X5437" i="1"/>
  <c r="W5437" i="1"/>
  <c r="V5437" i="1"/>
  <c r="U5437" i="1"/>
  <c r="M5437" i="1"/>
  <c r="K5437" i="1"/>
  <c r="I5437" i="1"/>
  <c r="H5437" i="1"/>
  <c r="X5436" i="1"/>
  <c r="W5436" i="1"/>
  <c r="V5436" i="1"/>
  <c r="U5436" i="1"/>
  <c r="N5436" i="1"/>
  <c r="X5429" i="1"/>
  <c r="W5429" i="1"/>
  <c r="V5429" i="1"/>
  <c r="U5429" i="1"/>
  <c r="N5429" i="1"/>
  <c r="X5428" i="1"/>
  <c r="W5428" i="1"/>
  <c r="V5428" i="1"/>
  <c r="U5428" i="1"/>
  <c r="N5428" i="1"/>
  <c r="X1732" i="1"/>
  <c r="W1732" i="1"/>
  <c r="V1732" i="1"/>
  <c r="U1732" i="1"/>
  <c r="M1732" i="1"/>
  <c r="K1732" i="1"/>
  <c r="I1732" i="1"/>
  <c r="H1732" i="1"/>
  <c r="X1731" i="1"/>
  <c r="W1731" i="1"/>
  <c r="V1731" i="1"/>
  <c r="U1731" i="1"/>
  <c r="N1731" i="1"/>
  <c r="X1729" i="1"/>
  <c r="W1729" i="1"/>
  <c r="U1729" i="1"/>
  <c r="P1729" i="1"/>
  <c r="B1729" i="1" s="1"/>
  <c r="L1729" i="1"/>
  <c r="X1728" i="1"/>
  <c r="W1728" i="1"/>
  <c r="V1728" i="1"/>
  <c r="U1728" i="1"/>
  <c r="N1728" i="1"/>
  <c r="X1727" i="1"/>
  <c r="W1727" i="1"/>
  <c r="V1727" i="1"/>
  <c r="U1727" i="1"/>
  <c r="N1727" i="1"/>
  <c r="R1729" i="1" l="1"/>
  <c r="S1729" i="1"/>
  <c r="R1560" i="1"/>
  <c r="S1560" i="1"/>
  <c r="V1729" i="1"/>
  <c r="V1560" i="1"/>
  <c r="N1560" i="1"/>
  <c r="N5437" i="1"/>
  <c r="L5437" i="1"/>
  <c r="N1729" i="1"/>
  <c r="N1732" i="1" s="1"/>
  <c r="L1732" i="1"/>
  <c r="X4398" i="1"/>
  <c r="W4398" i="1"/>
  <c r="V4398" i="1"/>
  <c r="U4398" i="1"/>
  <c r="M4398" i="1"/>
  <c r="K4398" i="1"/>
  <c r="I4398" i="1"/>
  <c r="H4398" i="1"/>
  <c r="X4397" i="1"/>
  <c r="W4397" i="1"/>
  <c r="V4397" i="1"/>
  <c r="U4397" i="1"/>
  <c r="N4397" i="1"/>
  <c r="X4396" i="1"/>
  <c r="W4396" i="1"/>
  <c r="U4396" i="1"/>
  <c r="P4396" i="1"/>
  <c r="B4396" i="1" s="1"/>
  <c r="L4396" i="1"/>
  <c r="X4395" i="1"/>
  <c r="W4395" i="1"/>
  <c r="V4395" i="1"/>
  <c r="U4395" i="1"/>
  <c r="N4395" i="1"/>
  <c r="X4394" i="1"/>
  <c r="W4394" i="1"/>
  <c r="V4394" i="1"/>
  <c r="U4394" i="1"/>
  <c r="N4394" i="1"/>
  <c r="X1973" i="1"/>
  <c r="W1973" i="1"/>
  <c r="U1973" i="1"/>
  <c r="P1973" i="1"/>
  <c r="B1973" i="1" s="1"/>
  <c r="L1973" i="1"/>
  <c r="R1973" i="1" l="1"/>
  <c r="S1973" i="1"/>
  <c r="S4396" i="1"/>
  <c r="R4396" i="1"/>
  <c r="V4396" i="1"/>
  <c r="N4396" i="1"/>
  <c r="N4398" i="1" s="1"/>
  <c r="L4398" i="1"/>
  <c r="N1973" i="1"/>
  <c r="V1973" i="1"/>
  <c r="X1641" i="1" l="1"/>
  <c r="W1641" i="1"/>
  <c r="U1641" i="1"/>
  <c r="P1641" i="1"/>
  <c r="B1641" i="1" s="1"/>
  <c r="L1641" i="1"/>
  <c r="X810" i="1"/>
  <c r="W810" i="1"/>
  <c r="U810" i="1"/>
  <c r="P810" i="1"/>
  <c r="B810" i="1" s="1"/>
  <c r="L810" i="1"/>
  <c r="I5670" i="1"/>
  <c r="R810" i="1" l="1"/>
  <c r="S810" i="1"/>
  <c r="R1641" i="1"/>
  <c r="S1641" i="1"/>
  <c r="N1641" i="1"/>
  <c r="V1641" i="1"/>
  <c r="N810" i="1"/>
  <c r="V810" i="1"/>
  <c r="X5670" i="1"/>
  <c r="W5670" i="1"/>
  <c r="U5670" i="1"/>
  <c r="P5670" i="1"/>
  <c r="B5670" i="1" s="1"/>
  <c r="L5670" i="1"/>
  <c r="R5670" i="1" l="1"/>
  <c r="S5670" i="1"/>
  <c r="N5670" i="1"/>
  <c r="V5670" i="1"/>
  <c r="X1859" i="1" l="1"/>
  <c r="W1859" i="1"/>
  <c r="U1859" i="1"/>
  <c r="P1859" i="1"/>
  <c r="B1859" i="1" s="1"/>
  <c r="L1859" i="1"/>
  <c r="R1859" i="1" l="1"/>
  <c r="S1859" i="1"/>
  <c r="N1859" i="1"/>
  <c r="V1859" i="1"/>
  <c r="L4803" i="1"/>
  <c r="X4803" i="1"/>
  <c r="W4803" i="1"/>
  <c r="U4803" i="1"/>
  <c r="P4803" i="1"/>
  <c r="B4803" i="1" s="1"/>
  <c r="X4226" i="1"/>
  <c r="W4226" i="1"/>
  <c r="U4226" i="1"/>
  <c r="P4226" i="1"/>
  <c r="B4226" i="1" s="1"/>
  <c r="L4226" i="1"/>
  <c r="X5327" i="1"/>
  <c r="W5327" i="1"/>
  <c r="U5327" i="1"/>
  <c r="P5327" i="1"/>
  <c r="B5327" i="1" s="1"/>
  <c r="L5327" i="1"/>
  <c r="S5327" i="1" l="1"/>
  <c r="R5327" i="1"/>
  <c r="R4803" i="1"/>
  <c r="S4803" i="1"/>
  <c r="R4226" i="1"/>
  <c r="S4226" i="1"/>
  <c r="V4803" i="1"/>
  <c r="N4803" i="1"/>
  <c r="V4226" i="1"/>
  <c r="N4226" i="1"/>
  <c r="V5327" i="1"/>
  <c r="N5327" i="1"/>
  <c r="X1946" i="1" l="1"/>
  <c r="W1946" i="1"/>
  <c r="U1946" i="1"/>
  <c r="P1946" i="1"/>
  <c r="B1946" i="1" s="1"/>
  <c r="L1946" i="1"/>
  <c r="X323" i="1"/>
  <c r="W323" i="1"/>
  <c r="U323" i="1"/>
  <c r="P323" i="1"/>
  <c r="B323" i="1" s="1"/>
  <c r="L323" i="1"/>
  <c r="X3727" i="1"/>
  <c r="W3727" i="1"/>
  <c r="U3727" i="1"/>
  <c r="P3727" i="1"/>
  <c r="B3727" i="1" s="1"/>
  <c r="L3727" i="1"/>
  <c r="X6747" i="1"/>
  <c r="W6747" i="1"/>
  <c r="U6747" i="1"/>
  <c r="P6747" i="1"/>
  <c r="B6747" i="1" s="1"/>
  <c r="L6747" i="1"/>
  <c r="R323" i="1" l="1"/>
  <c r="S323" i="1"/>
  <c r="R6747" i="1"/>
  <c r="S6747" i="1"/>
  <c r="R1946" i="1"/>
  <c r="S1946" i="1"/>
  <c r="R3727" i="1"/>
  <c r="S3727" i="1"/>
  <c r="N3727" i="1"/>
  <c r="N1946" i="1"/>
  <c r="V1946" i="1"/>
  <c r="N323" i="1"/>
  <c r="V323" i="1"/>
  <c r="V3727" i="1"/>
  <c r="N6747" i="1"/>
  <c r="V6747" i="1"/>
  <c r="X5093" i="1"/>
  <c r="W5093" i="1"/>
  <c r="U5093" i="1"/>
  <c r="P5093" i="1"/>
  <c r="B5093" i="1" s="1"/>
  <c r="L5093" i="1"/>
  <c r="X5850" i="1"/>
  <c r="W5850" i="1"/>
  <c r="U5850" i="1"/>
  <c r="P5850" i="1"/>
  <c r="B5850" i="1" s="1"/>
  <c r="L5850" i="1"/>
  <c r="R5093" i="1" l="1"/>
  <c r="S5093" i="1"/>
  <c r="R5850" i="1"/>
  <c r="S5850" i="1"/>
  <c r="N5093" i="1"/>
  <c r="V5093" i="1"/>
  <c r="N5850" i="1"/>
  <c r="V5850" i="1"/>
  <c r="X1561" i="1"/>
  <c r="W1561" i="1"/>
  <c r="U1561" i="1"/>
  <c r="P1561" i="1"/>
  <c r="B1561" i="1" s="1"/>
  <c r="L1561" i="1"/>
  <c r="R1561" i="1" l="1"/>
  <c r="S1561" i="1"/>
  <c r="N1561" i="1"/>
  <c r="V1561" i="1"/>
  <c r="X5952" i="1" l="1"/>
  <c r="W5952" i="1"/>
  <c r="U5952" i="1"/>
  <c r="P5952" i="1"/>
  <c r="B5952" i="1" s="1"/>
  <c r="L5952" i="1"/>
  <c r="R5952" i="1" l="1"/>
  <c r="S5952" i="1"/>
  <c r="N5952" i="1"/>
  <c r="V5952" i="1"/>
  <c r="X5657" i="1" l="1"/>
  <c r="W5657" i="1"/>
  <c r="U5657" i="1"/>
  <c r="P5657" i="1"/>
  <c r="B5657" i="1" s="1"/>
  <c r="L5657" i="1"/>
  <c r="X5174" i="1"/>
  <c r="W5174" i="1"/>
  <c r="U5174" i="1"/>
  <c r="P5174" i="1"/>
  <c r="B5174" i="1" s="1"/>
  <c r="L5174" i="1"/>
  <c r="R5174" i="1" l="1"/>
  <c r="S5174" i="1"/>
  <c r="R5657" i="1"/>
  <c r="S5657" i="1"/>
  <c r="N5657" i="1"/>
  <c r="V5657" i="1"/>
  <c r="N5174" i="1"/>
  <c r="V5174" i="1"/>
  <c r="X3741" i="1" l="1"/>
  <c r="W3741" i="1"/>
  <c r="U3741" i="1"/>
  <c r="P3741" i="1"/>
  <c r="B3741" i="1" s="1"/>
  <c r="L3741" i="1"/>
  <c r="X4976" i="1"/>
  <c r="W4976" i="1"/>
  <c r="U4976" i="1"/>
  <c r="P4976" i="1"/>
  <c r="B4976" i="1" s="1"/>
  <c r="L4976" i="1"/>
  <c r="X4611" i="1"/>
  <c r="W4611" i="1"/>
  <c r="U4611" i="1"/>
  <c r="P4611" i="1"/>
  <c r="B4611" i="1" s="1"/>
  <c r="L4611" i="1"/>
  <c r="R4976" i="1" l="1"/>
  <c r="S4976" i="1"/>
  <c r="R3741" i="1"/>
  <c r="S3741" i="1"/>
  <c r="R4611" i="1"/>
  <c r="S4611" i="1"/>
  <c r="N3741" i="1"/>
  <c r="V3741" i="1"/>
  <c r="N4976" i="1"/>
  <c r="V4976" i="1"/>
  <c r="V4611" i="1"/>
  <c r="N4611" i="1"/>
  <c r="X6341" i="1"/>
  <c r="W6341" i="1"/>
  <c r="U6341" i="1"/>
  <c r="P6341" i="1"/>
  <c r="B6341" i="1" s="1"/>
  <c r="L6341" i="1"/>
  <c r="R6341" i="1" l="1"/>
  <c r="S6341" i="1"/>
  <c r="V6341" i="1"/>
  <c r="N6341" i="1"/>
  <c r="X3534" i="1"/>
  <c r="W3534" i="1"/>
  <c r="U3534" i="1"/>
  <c r="P3534" i="1"/>
  <c r="B3534" i="1" s="1"/>
  <c r="L3534" i="1"/>
  <c r="R3534" i="1" l="1"/>
  <c r="S3534" i="1"/>
  <c r="N3534" i="1"/>
  <c r="V3534" i="1"/>
  <c r="X1834" i="1" l="1"/>
  <c r="W1834" i="1"/>
  <c r="V1834" i="1"/>
  <c r="U1834" i="1"/>
  <c r="M1834" i="1"/>
  <c r="K1834" i="1"/>
  <c r="I1834" i="1"/>
  <c r="H1834" i="1"/>
  <c r="X1833" i="1"/>
  <c r="W1833" i="1"/>
  <c r="V1833" i="1"/>
  <c r="U1833" i="1"/>
  <c r="N1833" i="1"/>
  <c r="X1832" i="1"/>
  <c r="W1832" i="1"/>
  <c r="U1832" i="1"/>
  <c r="P1832" i="1"/>
  <c r="B1832" i="1" s="1"/>
  <c r="L1832" i="1"/>
  <c r="X1831" i="1"/>
  <c r="W1831" i="1"/>
  <c r="V1831" i="1"/>
  <c r="U1831" i="1"/>
  <c r="N1831" i="1"/>
  <c r="X1830" i="1"/>
  <c r="W1830" i="1"/>
  <c r="V1830" i="1"/>
  <c r="U1830" i="1"/>
  <c r="N1830" i="1"/>
  <c r="X4074" i="1"/>
  <c r="W4074" i="1"/>
  <c r="U4074" i="1"/>
  <c r="P4074" i="1"/>
  <c r="B4074" i="1" s="1"/>
  <c r="L4074" i="1"/>
  <c r="X5502" i="1"/>
  <c r="W5502" i="1"/>
  <c r="V5502" i="1"/>
  <c r="U5502" i="1"/>
  <c r="M5502" i="1"/>
  <c r="K5502" i="1"/>
  <c r="I5502" i="1"/>
  <c r="H5502" i="1"/>
  <c r="X5501" i="1"/>
  <c r="W5501" i="1"/>
  <c r="V5501" i="1"/>
  <c r="U5501" i="1"/>
  <c r="N5501" i="1"/>
  <c r="X5499" i="1"/>
  <c r="W5499" i="1"/>
  <c r="U5499" i="1"/>
  <c r="P5499" i="1"/>
  <c r="B5499" i="1" s="1"/>
  <c r="L5499" i="1"/>
  <c r="X5498" i="1"/>
  <c r="W5498" i="1"/>
  <c r="U5498" i="1"/>
  <c r="P5498" i="1"/>
  <c r="B5498" i="1" s="1"/>
  <c r="L5498" i="1"/>
  <c r="X5497" i="1"/>
  <c r="W5497" i="1"/>
  <c r="U5497" i="1"/>
  <c r="P5497" i="1"/>
  <c r="B5497" i="1" s="1"/>
  <c r="L5497" i="1"/>
  <c r="X5496" i="1"/>
  <c r="W5496" i="1"/>
  <c r="U5496" i="1"/>
  <c r="P5496" i="1"/>
  <c r="B5496" i="1" s="1"/>
  <c r="L5496" i="1"/>
  <c r="X5495" i="1"/>
  <c r="W5495" i="1"/>
  <c r="V5495" i="1"/>
  <c r="U5495" i="1"/>
  <c r="N5495" i="1"/>
  <c r="X5494" i="1"/>
  <c r="W5494" i="1"/>
  <c r="V5494" i="1"/>
  <c r="U5494" i="1"/>
  <c r="N5494" i="1"/>
  <c r="R5498" i="1" l="1"/>
  <c r="S5498" i="1"/>
  <c r="R5496" i="1"/>
  <c r="S5496" i="1"/>
  <c r="R1832" i="1"/>
  <c r="S1832" i="1"/>
  <c r="R4074" i="1"/>
  <c r="S4074" i="1"/>
  <c r="R5499" i="1"/>
  <c r="S5499" i="1"/>
  <c r="S5497" i="1"/>
  <c r="R5497" i="1"/>
  <c r="N5498" i="1"/>
  <c r="N5496" i="1"/>
  <c r="N5497" i="1"/>
  <c r="N1832" i="1"/>
  <c r="N1834" i="1" s="1"/>
  <c r="L1834" i="1"/>
  <c r="V1832" i="1"/>
  <c r="V4074" i="1"/>
  <c r="N4074" i="1"/>
  <c r="N5499" i="1"/>
  <c r="V5496" i="1"/>
  <c r="V5499" i="1"/>
  <c r="V5498" i="1"/>
  <c r="L5502" i="1"/>
  <c r="V5497" i="1"/>
  <c r="N5502" i="1" l="1"/>
  <c r="X4428" i="1"/>
  <c r="W4428" i="1"/>
  <c r="V4428" i="1"/>
  <c r="U4428" i="1"/>
  <c r="M4428" i="1"/>
  <c r="K4428" i="1"/>
  <c r="I4428" i="1"/>
  <c r="H4428" i="1"/>
  <c r="X4427" i="1"/>
  <c r="W4427" i="1"/>
  <c r="V4427" i="1"/>
  <c r="U4427" i="1"/>
  <c r="N4427" i="1"/>
  <c r="X4425" i="1"/>
  <c r="W4425" i="1"/>
  <c r="U4425" i="1"/>
  <c r="P4425" i="1"/>
  <c r="B4425" i="1" s="1"/>
  <c r="L4425" i="1"/>
  <c r="X4424" i="1"/>
  <c r="W4424" i="1"/>
  <c r="V4424" i="1"/>
  <c r="U4424" i="1"/>
  <c r="N4424" i="1"/>
  <c r="X4423" i="1"/>
  <c r="W4423" i="1"/>
  <c r="V4423" i="1"/>
  <c r="U4423" i="1"/>
  <c r="N4423" i="1"/>
  <c r="X5121" i="1"/>
  <c r="W5121" i="1"/>
  <c r="U5121" i="1"/>
  <c r="P5121" i="1"/>
  <c r="B5121" i="1" s="1"/>
  <c r="L5121" i="1"/>
  <c r="X5194" i="1"/>
  <c r="W5194" i="1"/>
  <c r="U5194" i="1"/>
  <c r="P5194" i="1"/>
  <c r="B5194" i="1" s="1"/>
  <c r="L5194" i="1"/>
  <c r="X5858" i="1"/>
  <c r="W5858" i="1"/>
  <c r="U5858" i="1"/>
  <c r="P5858" i="1"/>
  <c r="B5858" i="1" s="1"/>
  <c r="L5858" i="1"/>
  <c r="X3729" i="1"/>
  <c r="W3729" i="1"/>
  <c r="U3729" i="1"/>
  <c r="P3729" i="1"/>
  <c r="B3729" i="1" s="1"/>
  <c r="L3729" i="1"/>
  <c r="R4425" i="1" l="1"/>
  <c r="S4425" i="1"/>
  <c r="R5858" i="1"/>
  <c r="S5858" i="1"/>
  <c r="R5194" i="1"/>
  <c r="S5194" i="1"/>
  <c r="R5121" i="1"/>
  <c r="S5121" i="1"/>
  <c r="R3729" i="1"/>
  <c r="S3729" i="1"/>
  <c r="V4425" i="1"/>
  <c r="N4425" i="1"/>
  <c r="N4428" i="1" s="1"/>
  <c r="L4428" i="1"/>
  <c r="N5121" i="1"/>
  <c r="V5121" i="1"/>
  <c r="N5194" i="1"/>
  <c r="V5194" i="1"/>
  <c r="N5858" i="1"/>
  <c r="V5858" i="1"/>
  <c r="V3729" i="1"/>
  <c r="N3729" i="1"/>
  <c r="X470" i="1" l="1"/>
  <c r="W470" i="1"/>
  <c r="U470" i="1"/>
  <c r="P470" i="1"/>
  <c r="B470" i="1" s="1"/>
  <c r="L470" i="1"/>
  <c r="X4434" i="1"/>
  <c r="W4434" i="1"/>
  <c r="V4434" i="1"/>
  <c r="U4434" i="1"/>
  <c r="M4434" i="1"/>
  <c r="K4434" i="1"/>
  <c r="I4434" i="1"/>
  <c r="H4434" i="1"/>
  <c r="X4433" i="1"/>
  <c r="W4433" i="1"/>
  <c r="V4433" i="1"/>
  <c r="U4433" i="1"/>
  <c r="N4433" i="1"/>
  <c r="X4431" i="1"/>
  <c r="W4431" i="1"/>
  <c r="U4431" i="1"/>
  <c r="P4431" i="1"/>
  <c r="B4431" i="1" s="1"/>
  <c r="L4431" i="1"/>
  <c r="X4430" i="1"/>
  <c r="W4430" i="1"/>
  <c r="V4430" i="1"/>
  <c r="U4430" i="1"/>
  <c r="N4430" i="1"/>
  <c r="X4429" i="1"/>
  <c r="W4429" i="1"/>
  <c r="V4429" i="1"/>
  <c r="U4429" i="1"/>
  <c r="N4429" i="1"/>
  <c r="R4431" i="1" l="1"/>
  <c r="S4431" i="1"/>
  <c r="S470" i="1"/>
  <c r="R470" i="1"/>
  <c r="N470" i="1"/>
  <c r="V470" i="1"/>
  <c r="V4431" i="1"/>
  <c r="N4431" i="1"/>
  <c r="N4434" i="1" s="1"/>
  <c r="L4434" i="1"/>
  <c r="X1938" i="1" l="1"/>
  <c r="W1938" i="1"/>
  <c r="U1938" i="1"/>
  <c r="P1938" i="1"/>
  <c r="B1938" i="1" s="1"/>
  <c r="L1938" i="1"/>
  <c r="R1938" i="1" l="1"/>
  <c r="S1938" i="1"/>
  <c r="N1938" i="1"/>
  <c r="V1938" i="1"/>
  <c r="X1388" i="1" l="1"/>
  <c r="W1388" i="1"/>
  <c r="U1388" i="1"/>
  <c r="P1388" i="1"/>
  <c r="B1388" i="1" s="1"/>
  <c r="L1388" i="1"/>
  <c r="R1388" i="1" l="1"/>
  <c r="S1388" i="1"/>
  <c r="N1388" i="1"/>
  <c r="V1388" i="1"/>
  <c r="M6888" i="1"/>
  <c r="M6890" i="1" s="1"/>
  <c r="L6890" i="1"/>
  <c r="P6800" i="1"/>
  <c r="B6800" i="1" s="1"/>
  <c r="N6800" i="1"/>
  <c r="X6799" i="1"/>
  <c r="X6890" i="1" s="1"/>
  <c r="W6799" i="1"/>
  <c r="W6890" i="1" s="1"/>
  <c r="V6799" i="1"/>
  <c r="V6890" i="1" s="1"/>
  <c r="U6799" i="1"/>
  <c r="U6890" i="1" s="1"/>
  <c r="N6888" i="1" l="1"/>
  <c r="N6890" i="1" s="1"/>
  <c r="X5262" i="1"/>
  <c r="W5262" i="1"/>
  <c r="U5262" i="1"/>
  <c r="P5262" i="1"/>
  <c r="B5262" i="1" s="1"/>
  <c r="L5262" i="1"/>
  <c r="X5264" i="1"/>
  <c r="W5264" i="1"/>
  <c r="V5264" i="1"/>
  <c r="U5264" i="1"/>
  <c r="M5264" i="1"/>
  <c r="K5264" i="1"/>
  <c r="I5264" i="1"/>
  <c r="H5264" i="1"/>
  <c r="X5263" i="1"/>
  <c r="W5263" i="1"/>
  <c r="V5263" i="1"/>
  <c r="U5263" i="1"/>
  <c r="N5263" i="1"/>
  <c r="X5260" i="1"/>
  <c r="W5260" i="1"/>
  <c r="U5260" i="1"/>
  <c r="P5260" i="1"/>
  <c r="B5260" i="1" s="1"/>
  <c r="L5260" i="1"/>
  <c r="X5259" i="1"/>
  <c r="W5259" i="1"/>
  <c r="V5259" i="1"/>
  <c r="U5259" i="1"/>
  <c r="N5259" i="1"/>
  <c r="X5258" i="1"/>
  <c r="W5258" i="1"/>
  <c r="V5258" i="1"/>
  <c r="U5258" i="1"/>
  <c r="N5258" i="1"/>
  <c r="X471" i="1"/>
  <c r="W471" i="1"/>
  <c r="U471" i="1"/>
  <c r="P471" i="1"/>
  <c r="B471" i="1" s="1"/>
  <c r="L471" i="1"/>
  <c r="X4777" i="1"/>
  <c r="W4777" i="1"/>
  <c r="U4777" i="1"/>
  <c r="P4777" i="1"/>
  <c r="B4777" i="1" s="1"/>
  <c r="L4777" i="1"/>
  <c r="R5260" i="1" l="1"/>
  <c r="S5260" i="1"/>
  <c r="R5262" i="1"/>
  <c r="S5262" i="1"/>
  <c r="R4777" i="1"/>
  <c r="S4777" i="1"/>
  <c r="R471" i="1"/>
  <c r="S471" i="1"/>
  <c r="N5260" i="1"/>
  <c r="N471" i="1"/>
  <c r="V471" i="1"/>
  <c r="V5262" i="1"/>
  <c r="V5260" i="1"/>
  <c r="N5262" i="1"/>
  <c r="L5264" i="1"/>
  <c r="N4777" i="1"/>
  <c r="V4777" i="1"/>
  <c r="N5264" i="1" l="1"/>
  <c r="X887" i="1"/>
  <c r="W887" i="1"/>
  <c r="U887" i="1"/>
  <c r="P887" i="1"/>
  <c r="B887" i="1" s="1"/>
  <c r="L887" i="1"/>
  <c r="R887" i="1" l="1"/>
  <c r="S887" i="1"/>
  <c r="N887" i="1"/>
  <c r="V887" i="1"/>
  <c r="X4058" i="1"/>
  <c r="W4058" i="1"/>
  <c r="U4058" i="1"/>
  <c r="P4058" i="1"/>
  <c r="B4058" i="1" s="1"/>
  <c r="L4058" i="1"/>
  <c r="R4058" i="1" l="1"/>
  <c r="S4058" i="1"/>
  <c r="N4058" i="1"/>
  <c r="V4058" i="1"/>
  <c r="X5586" i="1" l="1"/>
  <c r="W5586" i="1"/>
  <c r="U5586" i="1"/>
  <c r="P5586" i="1"/>
  <c r="B5586" i="1" s="1"/>
  <c r="L5586" i="1"/>
  <c r="R5586" i="1" l="1"/>
  <c r="S5586" i="1"/>
  <c r="N5586" i="1"/>
  <c r="V5586" i="1"/>
  <c r="X812" i="1" l="1"/>
  <c r="W812" i="1"/>
  <c r="U812" i="1"/>
  <c r="P812" i="1"/>
  <c r="B812" i="1" s="1"/>
  <c r="L812" i="1"/>
  <c r="R812" i="1" l="1"/>
  <c r="S812" i="1"/>
  <c r="V812" i="1"/>
  <c r="N812" i="1"/>
  <c r="X5344" i="1" l="1"/>
  <c r="W5344" i="1"/>
  <c r="U5344" i="1"/>
  <c r="P5344" i="1"/>
  <c r="B5344" i="1" s="1"/>
  <c r="L5344" i="1"/>
  <c r="X6486" i="1"/>
  <c r="W6486" i="1"/>
  <c r="U6486" i="1"/>
  <c r="P6486" i="1"/>
  <c r="B6486" i="1" s="1"/>
  <c r="L6486" i="1"/>
  <c r="R5344" i="1" l="1"/>
  <c r="S5344" i="1"/>
  <c r="R6486" i="1"/>
  <c r="S6486" i="1"/>
  <c r="V5344" i="1"/>
  <c r="N5344" i="1"/>
  <c r="N6486" i="1"/>
  <c r="V6486" i="1"/>
  <c r="X867" i="1" l="1"/>
  <c r="W867" i="1"/>
  <c r="U867" i="1"/>
  <c r="P867" i="1"/>
  <c r="B867" i="1" s="1"/>
  <c r="L867" i="1"/>
  <c r="X1320" i="1"/>
  <c r="W1320" i="1"/>
  <c r="U1320" i="1"/>
  <c r="P1320" i="1"/>
  <c r="B1320" i="1" s="1"/>
  <c r="L1320" i="1"/>
  <c r="X5949" i="1"/>
  <c r="W5949" i="1"/>
  <c r="U5949" i="1"/>
  <c r="P5949" i="1"/>
  <c r="B5949" i="1" s="1"/>
  <c r="L5949" i="1"/>
  <c r="R867" i="1" l="1"/>
  <c r="S867" i="1"/>
  <c r="R5949" i="1"/>
  <c r="S5949" i="1"/>
  <c r="R1320" i="1"/>
  <c r="S1320" i="1"/>
  <c r="N867" i="1"/>
  <c r="V867" i="1"/>
  <c r="N5949" i="1"/>
  <c r="V5949" i="1"/>
  <c r="N1320" i="1"/>
  <c r="V1320" i="1"/>
  <c r="X5944" i="1" l="1"/>
  <c r="W5944" i="1"/>
  <c r="U5944" i="1"/>
  <c r="P5944" i="1"/>
  <c r="B5944" i="1" s="1"/>
  <c r="L5944" i="1"/>
  <c r="R5944" i="1" l="1"/>
  <c r="S5944" i="1"/>
  <c r="V5944" i="1"/>
  <c r="N5944" i="1"/>
  <c r="X5031" i="1" l="1"/>
  <c r="W5031" i="1"/>
  <c r="U5031" i="1"/>
  <c r="P5031" i="1"/>
  <c r="B5031" i="1" s="1"/>
  <c r="L5031" i="1"/>
  <c r="X114" i="1"/>
  <c r="W114" i="1"/>
  <c r="V114" i="1"/>
  <c r="U114" i="1"/>
  <c r="M114" i="1"/>
  <c r="K114" i="1"/>
  <c r="I114" i="1"/>
  <c r="H114" i="1"/>
  <c r="X113" i="1"/>
  <c r="W113" i="1"/>
  <c r="V113" i="1"/>
  <c r="U113" i="1"/>
  <c r="N113" i="1"/>
  <c r="X112" i="1"/>
  <c r="W112" i="1"/>
  <c r="U112" i="1"/>
  <c r="P112" i="1"/>
  <c r="B112" i="1" s="1"/>
  <c r="L112" i="1"/>
  <c r="X111" i="1"/>
  <c r="W111" i="1"/>
  <c r="U111" i="1"/>
  <c r="P111" i="1"/>
  <c r="B111" i="1" s="1"/>
  <c r="L111" i="1"/>
  <c r="X110" i="1"/>
  <c r="W110" i="1"/>
  <c r="V110" i="1"/>
  <c r="U110" i="1"/>
  <c r="N110" i="1"/>
  <c r="R5031" i="1" l="1"/>
  <c r="S5031" i="1"/>
  <c r="R111" i="1"/>
  <c r="S111" i="1"/>
  <c r="R112" i="1"/>
  <c r="S112" i="1"/>
  <c r="N112" i="1"/>
  <c r="N111" i="1"/>
  <c r="V5031" i="1"/>
  <c r="N5031" i="1"/>
  <c r="V112" i="1"/>
  <c r="V111" i="1"/>
  <c r="L114" i="1"/>
  <c r="N114" i="1" l="1"/>
  <c r="X741" i="1"/>
  <c r="W741" i="1"/>
  <c r="U741" i="1"/>
  <c r="P741" i="1"/>
  <c r="B741" i="1" s="1"/>
  <c r="L741" i="1"/>
  <c r="R741" i="1" l="1"/>
  <c r="S741" i="1"/>
  <c r="V741" i="1"/>
  <c r="N741" i="1"/>
  <c r="M553" i="1" l="1"/>
  <c r="K553" i="1"/>
  <c r="I553" i="1"/>
  <c r="H553" i="1"/>
  <c r="X1414" i="1" l="1"/>
  <c r="W1414" i="1"/>
  <c r="U1414" i="1"/>
  <c r="P1414" i="1"/>
  <c r="B1414" i="1" s="1"/>
  <c r="L1414" i="1"/>
  <c r="R1414" i="1" l="1"/>
  <c r="S1414" i="1"/>
  <c r="N1414" i="1"/>
  <c r="V1414" i="1"/>
  <c r="X6683" i="1" l="1"/>
  <c r="W6683" i="1"/>
  <c r="U6683" i="1"/>
  <c r="P6683" i="1"/>
  <c r="B6683" i="1" s="1"/>
  <c r="L6683" i="1"/>
  <c r="R6683" i="1" l="1"/>
  <c r="S6683" i="1"/>
  <c r="N6683" i="1"/>
  <c r="V6683" i="1"/>
  <c r="X3914" i="1" l="1"/>
  <c r="W3914" i="1"/>
  <c r="U3914" i="1"/>
  <c r="P3914" i="1"/>
  <c r="B3914" i="1" s="1"/>
  <c r="L3914" i="1"/>
  <c r="R3914" i="1" l="1"/>
  <c r="S3914" i="1"/>
  <c r="N3914" i="1"/>
  <c r="V3914" i="1"/>
  <c r="X6506" i="1" l="1"/>
  <c r="W6506" i="1"/>
  <c r="U6506" i="1"/>
  <c r="P6506" i="1"/>
  <c r="B6506" i="1" s="1"/>
  <c r="L6506" i="1"/>
  <c r="R6506" i="1" l="1"/>
  <c r="S6506" i="1"/>
  <c r="N6506" i="1"/>
  <c r="V6506" i="1"/>
  <c r="X544" i="1" l="1"/>
  <c r="W544" i="1"/>
  <c r="U544" i="1"/>
  <c r="P544" i="1"/>
  <c r="B544" i="1" s="1"/>
  <c r="L544" i="1"/>
  <c r="S544" i="1" l="1"/>
  <c r="R544" i="1"/>
  <c r="N544" i="1"/>
  <c r="V544" i="1"/>
  <c r="X2028" i="1" l="1"/>
  <c r="W2028" i="1"/>
  <c r="U2028" i="1"/>
  <c r="P2028" i="1"/>
  <c r="B2028" i="1" s="1"/>
  <c r="L2028" i="1"/>
  <c r="X6541" i="1"/>
  <c r="W6541" i="1"/>
  <c r="U6541" i="1"/>
  <c r="P6541" i="1"/>
  <c r="B6541" i="1" s="1"/>
  <c r="L6541" i="1"/>
  <c r="R6541" i="1" l="1"/>
  <c r="S6541" i="1"/>
  <c r="R2028" i="1"/>
  <c r="S2028" i="1"/>
  <c r="N2028" i="1"/>
  <c r="V2028" i="1"/>
  <c r="N6541" i="1"/>
  <c r="V6541" i="1"/>
  <c r="X5153" i="1" l="1"/>
  <c r="W5153" i="1"/>
  <c r="U5153" i="1"/>
  <c r="P5153" i="1"/>
  <c r="B5153" i="1" s="1"/>
  <c r="L5153" i="1"/>
  <c r="X6520" i="1"/>
  <c r="W6520" i="1"/>
  <c r="U6520" i="1"/>
  <c r="P6520" i="1"/>
  <c r="B6520" i="1" s="1"/>
  <c r="L6520" i="1"/>
  <c r="R6520" i="1" l="1"/>
  <c r="S6520" i="1"/>
  <c r="R5153" i="1"/>
  <c r="S5153" i="1"/>
  <c r="N5153" i="1"/>
  <c r="V5153" i="1"/>
  <c r="N6520" i="1"/>
  <c r="V6520" i="1"/>
  <c r="X3513" i="1"/>
  <c r="W3513" i="1"/>
  <c r="U3513" i="1"/>
  <c r="P3513" i="1"/>
  <c r="B3513" i="1" s="1"/>
  <c r="L3513" i="1"/>
  <c r="R3513" i="1" l="1"/>
  <c r="S3513" i="1"/>
  <c r="N3513" i="1"/>
  <c r="V3513" i="1"/>
  <c r="X548" i="1" l="1"/>
  <c r="W548" i="1"/>
  <c r="U548" i="1"/>
  <c r="P548" i="1"/>
  <c r="B548" i="1" s="1"/>
  <c r="L548" i="1"/>
  <c r="X1802" i="1"/>
  <c r="W1802" i="1"/>
  <c r="U1802" i="1"/>
  <c r="P1802" i="1"/>
  <c r="B1802" i="1" s="1"/>
  <c r="L1802" i="1"/>
  <c r="X2050" i="1"/>
  <c r="W2050" i="1"/>
  <c r="V2050" i="1"/>
  <c r="U2050" i="1"/>
  <c r="M2050" i="1"/>
  <c r="K2050" i="1"/>
  <c r="I2050" i="1"/>
  <c r="H2050" i="1"/>
  <c r="X2049" i="1"/>
  <c r="W2049" i="1"/>
  <c r="V2049" i="1"/>
  <c r="U2049" i="1"/>
  <c r="N2049" i="1"/>
  <c r="X2046" i="1"/>
  <c r="W2046" i="1"/>
  <c r="U2046" i="1"/>
  <c r="P2046" i="1"/>
  <c r="B2046" i="1" s="1"/>
  <c r="L2046" i="1"/>
  <c r="X2045" i="1"/>
  <c r="W2045" i="1"/>
  <c r="V2045" i="1"/>
  <c r="U2045" i="1"/>
  <c r="N2045" i="1"/>
  <c r="X2044" i="1"/>
  <c r="W2044" i="1"/>
  <c r="V2044" i="1"/>
  <c r="U2044" i="1"/>
  <c r="N2044" i="1"/>
  <c r="X5783" i="1"/>
  <c r="W5783" i="1"/>
  <c r="U5783" i="1"/>
  <c r="P5783" i="1"/>
  <c r="B5783" i="1" s="1"/>
  <c r="L5783" i="1"/>
  <c r="R1802" i="1" l="1"/>
  <c r="S1802" i="1"/>
  <c r="R548" i="1"/>
  <c r="S548" i="1"/>
  <c r="R2046" i="1"/>
  <c r="S2046" i="1"/>
  <c r="R5783" i="1"/>
  <c r="S5783" i="1"/>
  <c r="V2046" i="1"/>
  <c r="N548" i="1"/>
  <c r="V548" i="1"/>
  <c r="N1802" i="1"/>
  <c r="V1802" i="1"/>
  <c r="N2046" i="1"/>
  <c r="N2050" i="1" s="1"/>
  <c r="L2050" i="1"/>
  <c r="V5783" i="1"/>
  <c r="N5783" i="1"/>
  <c r="X3716" i="1"/>
  <c r="W3716" i="1"/>
  <c r="U3716" i="1"/>
  <c r="P3716" i="1"/>
  <c r="B3716" i="1" s="1"/>
  <c r="L3716" i="1"/>
  <c r="R3716" i="1" l="1"/>
  <c r="S3716" i="1"/>
  <c r="N3716" i="1"/>
  <c r="V3716" i="1"/>
  <c r="X6748" i="1" l="1"/>
  <c r="W6748" i="1"/>
  <c r="U6748" i="1"/>
  <c r="P6748" i="1"/>
  <c r="B6748" i="1" s="1"/>
  <c r="L6748" i="1"/>
  <c r="X1155" i="1"/>
  <c r="W1155" i="1"/>
  <c r="V1155" i="1"/>
  <c r="U1155" i="1"/>
  <c r="M1155" i="1"/>
  <c r="K1155" i="1"/>
  <c r="I1155" i="1"/>
  <c r="H1155" i="1"/>
  <c r="X1154" i="1"/>
  <c r="W1154" i="1"/>
  <c r="V1154" i="1"/>
  <c r="U1154" i="1"/>
  <c r="N1154" i="1"/>
  <c r="X1153" i="1"/>
  <c r="W1153" i="1"/>
  <c r="U1153" i="1"/>
  <c r="P1153" i="1"/>
  <c r="B1153" i="1" s="1"/>
  <c r="L1153" i="1"/>
  <c r="X1152" i="1"/>
  <c r="W1152" i="1"/>
  <c r="V1152" i="1"/>
  <c r="U1152" i="1"/>
  <c r="N1152" i="1"/>
  <c r="X1151" i="1"/>
  <c r="W1151" i="1"/>
  <c r="V1151" i="1"/>
  <c r="U1151" i="1"/>
  <c r="N1151" i="1"/>
  <c r="R6748" i="1" l="1"/>
  <c r="S6748" i="1"/>
  <c r="R1153" i="1"/>
  <c r="S1153" i="1"/>
  <c r="N6748" i="1"/>
  <c r="V6748" i="1"/>
  <c r="N1153" i="1"/>
  <c r="N1155" i="1" s="1"/>
  <c r="L1155" i="1"/>
  <c r="V1153" i="1"/>
  <c r="X6317" i="1" l="1"/>
  <c r="W6317" i="1"/>
  <c r="U6317" i="1"/>
  <c r="P6317" i="1"/>
  <c r="B6317" i="1" s="1"/>
  <c r="L6317" i="1"/>
  <c r="X4052" i="1"/>
  <c r="W4052" i="1"/>
  <c r="U4052" i="1"/>
  <c r="P4052" i="1"/>
  <c r="B4052" i="1" s="1"/>
  <c r="L4052" i="1"/>
  <c r="X3889" i="1"/>
  <c r="W3889" i="1"/>
  <c r="U3889" i="1"/>
  <c r="P3889" i="1"/>
  <c r="B3889" i="1" s="1"/>
  <c r="L3889" i="1"/>
  <c r="X5791" i="1"/>
  <c r="W5791" i="1"/>
  <c r="U5791" i="1"/>
  <c r="P5791" i="1"/>
  <c r="B5791" i="1" s="1"/>
  <c r="L5791" i="1"/>
  <c r="X5069" i="1"/>
  <c r="W5069" i="1"/>
  <c r="U5069" i="1"/>
  <c r="P5069" i="1"/>
  <c r="B5069" i="1" s="1"/>
  <c r="L5069" i="1"/>
  <c r="R5791" i="1" l="1"/>
  <c r="S5791" i="1"/>
  <c r="R6317" i="1"/>
  <c r="S6317" i="1"/>
  <c r="R4052" i="1"/>
  <c r="S4052" i="1"/>
  <c r="R3889" i="1"/>
  <c r="S3889" i="1"/>
  <c r="R5069" i="1"/>
  <c r="S5069" i="1"/>
  <c r="N3889" i="1"/>
  <c r="V3889" i="1"/>
  <c r="N6317" i="1"/>
  <c r="V6317" i="1"/>
  <c r="V4052" i="1"/>
  <c r="N4052" i="1"/>
  <c r="N5791" i="1"/>
  <c r="V5791" i="1"/>
  <c r="N5069" i="1"/>
  <c r="V5069" i="1"/>
  <c r="X5066" i="1" l="1"/>
  <c r="W5066" i="1"/>
  <c r="U5066" i="1"/>
  <c r="P5066" i="1"/>
  <c r="B5066" i="1" s="1"/>
  <c r="L5066" i="1"/>
  <c r="X4059" i="1"/>
  <c r="W4059" i="1"/>
  <c r="U4059" i="1"/>
  <c r="P4059" i="1"/>
  <c r="B4059" i="1" s="1"/>
  <c r="L4059" i="1"/>
  <c r="R5066" i="1" l="1"/>
  <c r="S5066" i="1"/>
  <c r="R4059" i="1"/>
  <c r="S4059" i="1"/>
  <c r="N5066" i="1"/>
  <c r="V5066" i="1"/>
  <c r="V4059" i="1"/>
  <c r="N4059" i="1"/>
  <c r="X681" i="1" l="1"/>
  <c r="W681" i="1"/>
  <c r="U681" i="1"/>
  <c r="P681" i="1"/>
  <c r="B681" i="1" s="1"/>
  <c r="L681" i="1"/>
  <c r="X1406" i="1"/>
  <c r="W1406" i="1"/>
  <c r="U1406" i="1"/>
  <c r="P1406" i="1"/>
  <c r="B1406" i="1" s="1"/>
  <c r="L1406" i="1"/>
  <c r="R1406" i="1" l="1"/>
  <c r="S1406" i="1"/>
  <c r="R681" i="1"/>
  <c r="S681" i="1"/>
  <c r="V1406" i="1"/>
  <c r="N681" i="1"/>
  <c r="V681" i="1"/>
  <c r="N1406" i="1"/>
  <c r="X881" i="1" l="1"/>
  <c r="W881" i="1"/>
  <c r="U881" i="1"/>
  <c r="P881" i="1"/>
  <c r="B881" i="1" s="1"/>
  <c r="L881" i="1"/>
  <c r="R881" i="1" l="1"/>
  <c r="S881" i="1"/>
  <c r="N881" i="1"/>
  <c r="V881" i="1"/>
  <c r="X807" i="1"/>
  <c r="W807" i="1"/>
  <c r="U807" i="1"/>
  <c r="P807" i="1"/>
  <c r="B807" i="1" s="1"/>
  <c r="L807" i="1"/>
  <c r="X5629" i="1"/>
  <c r="W5629" i="1"/>
  <c r="U5629" i="1"/>
  <c r="P5629" i="1"/>
  <c r="B5629" i="1" s="1"/>
  <c r="L5629" i="1"/>
  <c r="R807" i="1" l="1"/>
  <c r="S807" i="1"/>
  <c r="S5629" i="1"/>
  <c r="R5629" i="1"/>
  <c r="N807" i="1"/>
  <c r="V807" i="1"/>
  <c r="N5629" i="1"/>
  <c r="V5629" i="1"/>
  <c r="X4725" i="1"/>
  <c r="W4725" i="1"/>
  <c r="U4725" i="1"/>
  <c r="P4725" i="1"/>
  <c r="B4725" i="1" s="1"/>
  <c r="L4725" i="1"/>
  <c r="R4725" i="1" l="1"/>
  <c r="S4725" i="1"/>
  <c r="N4725" i="1"/>
  <c r="V4725" i="1"/>
  <c r="X5087" i="1"/>
  <c r="W5087" i="1"/>
  <c r="U5087" i="1"/>
  <c r="P5087" i="1"/>
  <c r="B5087" i="1" s="1"/>
  <c r="L5087" i="1"/>
  <c r="R5087" i="1" l="1"/>
  <c r="S5087" i="1"/>
  <c r="N5087" i="1"/>
  <c r="V5087" i="1"/>
  <c r="X1683" i="1"/>
  <c r="W1683" i="1"/>
  <c r="U1683" i="1"/>
  <c r="P1683" i="1"/>
  <c r="B1683" i="1" s="1"/>
  <c r="L1683" i="1"/>
  <c r="R1683" i="1" l="1"/>
  <c r="S1683" i="1"/>
  <c r="N1683" i="1"/>
  <c r="V1683" i="1"/>
  <c r="X35" i="1"/>
  <c r="W35" i="1"/>
  <c r="U35" i="1"/>
  <c r="P35" i="1"/>
  <c r="B35" i="1" s="1"/>
  <c r="L35" i="1"/>
  <c r="R35" i="1" l="1"/>
  <c r="S35" i="1"/>
  <c r="N35" i="1"/>
  <c r="V35" i="1"/>
  <c r="X5124" i="1"/>
  <c r="W5124" i="1"/>
  <c r="V5124" i="1"/>
  <c r="U5124" i="1"/>
  <c r="M5124" i="1"/>
  <c r="K5124" i="1"/>
  <c r="I5124" i="1"/>
  <c r="H5124" i="1"/>
  <c r="X5123" i="1"/>
  <c r="W5123" i="1"/>
  <c r="V5123" i="1"/>
  <c r="U5123" i="1"/>
  <c r="N5123" i="1"/>
  <c r="X5122" i="1"/>
  <c r="W5122" i="1"/>
  <c r="U5122" i="1"/>
  <c r="P5122" i="1"/>
  <c r="B5122" i="1" s="1"/>
  <c r="L5122" i="1"/>
  <c r="X5119" i="1"/>
  <c r="W5119" i="1"/>
  <c r="U5119" i="1"/>
  <c r="P5119" i="1"/>
  <c r="B5119" i="1" s="1"/>
  <c r="L5119" i="1"/>
  <c r="X5118" i="1"/>
  <c r="W5118" i="1"/>
  <c r="V5118" i="1"/>
  <c r="U5118" i="1"/>
  <c r="N5118" i="1"/>
  <c r="X5117" i="1"/>
  <c r="W5117" i="1"/>
  <c r="V5117" i="1"/>
  <c r="U5117" i="1"/>
  <c r="N5117" i="1"/>
  <c r="R5122" i="1" l="1"/>
  <c r="S5122" i="1"/>
  <c r="R5119" i="1"/>
  <c r="S5119" i="1"/>
  <c r="N5119" i="1"/>
  <c r="V5119" i="1"/>
  <c r="V5122" i="1"/>
  <c r="N5122" i="1"/>
  <c r="N5124" i="1" s="1"/>
  <c r="L5124" i="1"/>
  <c r="X3760" i="1" l="1"/>
  <c r="W3760" i="1"/>
  <c r="V3760" i="1"/>
  <c r="U3760" i="1"/>
  <c r="M3760" i="1"/>
  <c r="K3760" i="1"/>
  <c r="I3760" i="1"/>
  <c r="H3760" i="1"/>
  <c r="X3759" i="1"/>
  <c r="W3759" i="1"/>
  <c r="V3759" i="1"/>
  <c r="U3759" i="1"/>
  <c r="N3759" i="1"/>
  <c r="X3758" i="1"/>
  <c r="W3758" i="1"/>
  <c r="U3758" i="1"/>
  <c r="P3758" i="1"/>
  <c r="B3758" i="1" s="1"/>
  <c r="L3758" i="1"/>
  <c r="X3757" i="1"/>
  <c r="W3757" i="1"/>
  <c r="V3757" i="1"/>
  <c r="U3757" i="1"/>
  <c r="N3757" i="1"/>
  <c r="X3756" i="1"/>
  <c r="W3756" i="1"/>
  <c r="V3756" i="1"/>
  <c r="U3756" i="1"/>
  <c r="N3756" i="1"/>
  <c r="R3758" i="1" l="1"/>
  <c r="S3758" i="1"/>
  <c r="N3758" i="1"/>
  <c r="N3760" i="1" s="1"/>
  <c r="V3758" i="1"/>
  <c r="L3760" i="1"/>
  <c r="X3743" i="1"/>
  <c r="W3743" i="1"/>
  <c r="U3743" i="1"/>
  <c r="P3743" i="1"/>
  <c r="B3743" i="1" s="1"/>
  <c r="L3743" i="1"/>
  <c r="R3743" i="1" l="1"/>
  <c r="S3743" i="1"/>
  <c r="N3743" i="1"/>
  <c r="V3743" i="1"/>
  <c r="X2253" i="1"/>
  <c r="W2253" i="1"/>
  <c r="U2253" i="1"/>
  <c r="P2253" i="1"/>
  <c r="B2253" i="1" s="1"/>
  <c r="L2253" i="1"/>
  <c r="R2253" i="1" l="1"/>
  <c r="S2253" i="1"/>
  <c r="V2253" i="1"/>
  <c r="N2253" i="1"/>
  <c r="X5879" i="1" l="1"/>
  <c r="W5879" i="1"/>
  <c r="U5879" i="1"/>
  <c r="P5879" i="1"/>
  <c r="B5879" i="1" s="1"/>
  <c r="L5879" i="1"/>
  <c r="R5879" i="1" l="1"/>
  <c r="S5879" i="1"/>
  <c r="N5879" i="1"/>
  <c r="V5879" i="1"/>
  <c r="X3956" i="1" l="1"/>
  <c r="W3956" i="1"/>
  <c r="U3956" i="1"/>
  <c r="P3956" i="1"/>
  <c r="B3956" i="1" s="1"/>
  <c r="L3956" i="1"/>
  <c r="R3956" i="1" l="1"/>
  <c r="S3956" i="1"/>
  <c r="N3956" i="1"/>
  <c r="V3956" i="1"/>
  <c r="X2022" i="1"/>
  <c r="W2022" i="1"/>
  <c r="U2022" i="1"/>
  <c r="P2022" i="1"/>
  <c r="B2022" i="1" s="1"/>
  <c r="L2022" i="1"/>
  <c r="X1177" i="1"/>
  <c r="W1177" i="1"/>
  <c r="V1177" i="1"/>
  <c r="U1177" i="1"/>
  <c r="M1177" i="1"/>
  <c r="K1177" i="1"/>
  <c r="I1177" i="1"/>
  <c r="H1177" i="1"/>
  <c r="X1176" i="1"/>
  <c r="W1176" i="1"/>
  <c r="V1176" i="1"/>
  <c r="U1176" i="1"/>
  <c r="N1176" i="1"/>
  <c r="X1175" i="1"/>
  <c r="W1175" i="1"/>
  <c r="U1175" i="1"/>
  <c r="P1175" i="1"/>
  <c r="B1175" i="1" s="1"/>
  <c r="L1175" i="1"/>
  <c r="X1174" i="1"/>
  <c r="W1174" i="1"/>
  <c r="V1174" i="1"/>
  <c r="U1174" i="1"/>
  <c r="N1174" i="1"/>
  <c r="X1173" i="1"/>
  <c r="W1173" i="1"/>
  <c r="V1173" i="1"/>
  <c r="U1173" i="1"/>
  <c r="N1173" i="1"/>
  <c r="R2022" i="1" l="1"/>
  <c r="S2022" i="1"/>
  <c r="R1175" i="1"/>
  <c r="S1175" i="1"/>
  <c r="V2022" i="1"/>
  <c r="N2022" i="1"/>
  <c r="N1175" i="1"/>
  <c r="N1177" i="1" s="1"/>
  <c r="L1177" i="1"/>
  <c r="V1175" i="1"/>
  <c r="X4116" i="1" l="1"/>
  <c r="W4116" i="1"/>
  <c r="V4116" i="1"/>
  <c r="U4116" i="1"/>
  <c r="M4116" i="1"/>
  <c r="K4116" i="1"/>
  <c r="I4116" i="1"/>
  <c r="H4116" i="1"/>
  <c r="X4115" i="1"/>
  <c r="W4115" i="1"/>
  <c r="V4115" i="1"/>
  <c r="U4115" i="1"/>
  <c r="N4115" i="1"/>
  <c r="X4114" i="1"/>
  <c r="W4114" i="1"/>
  <c r="U4114" i="1"/>
  <c r="P4114" i="1"/>
  <c r="B4114" i="1" s="1"/>
  <c r="L4114" i="1"/>
  <c r="X4113" i="1"/>
  <c r="W4113" i="1"/>
  <c r="V4113" i="1"/>
  <c r="U4113" i="1"/>
  <c r="N4113" i="1"/>
  <c r="X4112" i="1"/>
  <c r="W4112" i="1"/>
  <c r="V4112" i="1"/>
  <c r="U4112" i="1"/>
  <c r="N4112" i="1"/>
  <c r="X757" i="1"/>
  <c r="W757" i="1"/>
  <c r="U757" i="1"/>
  <c r="P757" i="1"/>
  <c r="B757" i="1" s="1"/>
  <c r="L757" i="1"/>
  <c r="X1345" i="1"/>
  <c r="W1345" i="1"/>
  <c r="U1345" i="1"/>
  <c r="P1345" i="1"/>
  <c r="B1345" i="1" s="1"/>
  <c r="L1345" i="1"/>
  <c r="X3683" i="1"/>
  <c r="W3683" i="1"/>
  <c r="V3683" i="1"/>
  <c r="U3683" i="1"/>
  <c r="M3683" i="1"/>
  <c r="H3683" i="1"/>
  <c r="X3682" i="1"/>
  <c r="W3682" i="1"/>
  <c r="V3682" i="1"/>
  <c r="U3682" i="1"/>
  <c r="N3682" i="1"/>
  <c r="X3680" i="1"/>
  <c r="W3680" i="1"/>
  <c r="U3680" i="1"/>
  <c r="P3680" i="1"/>
  <c r="B3680" i="1" s="1"/>
  <c r="K3683" i="1"/>
  <c r="L3680" i="1"/>
  <c r="X3679" i="1"/>
  <c r="W3679" i="1"/>
  <c r="V3679" i="1"/>
  <c r="U3679" i="1"/>
  <c r="N3679" i="1"/>
  <c r="X3678" i="1"/>
  <c r="W3678" i="1"/>
  <c r="V3678" i="1"/>
  <c r="U3678" i="1"/>
  <c r="N3678" i="1"/>
  <c r="X2018" i="1"/>
  <c r="W2018" i="1"/>
  <c r="U2018" i="1"/>
  <c r="P2018" i="1"/>
  <c r="B2018" i="1" s="1"/>
  <c r="L2018" i="1"/>
  <c r="R2018" i="1" l="1"/>
  <c r="S2018" i="1"/>
  <c r="R4114" i="1"/>
  <c r="S4114" i="1"/>
  <c r="R757" i="1"/>
  <c r="S757" i="1"/>
  <c r="R3680" i="1"/>
  <c r="S3680" i="1"/>
  <c r="R1345" i="1"/>
  <c r="S1345" i="1"/>
  <c r="N757" i="1"/>
  <c r="N4114" i="1"/>
  <c r="N4116" i="1" s="1"/>
  <c r="L4116" i="1"/>
  <c r="V4114" i="1"/>
  <c r="V757" i="1"/>
  <c r="V1345" i="1"/>
  <c r="N1345" i="1"/>
  <c r="V3680" i="1"/>
  <c r="L3683" i="1"/>
  <c r="N3680" i="1"/>
  <c r="N3683" i="1" s="1"/>
  <c r="I3683" i="1"/>
  <c r="N2018" i="1"/>
  <c r="V2018" i="1"/>
  <c r="X1935" i="1" l="1"/>
  <c r="W1935" i="1"/>
  <c r="U1935" i="1"/>
  <c r="P1935" i="1"/>
  <c r="B1935" i="1" s="1"/>
  <c r="L1935" i="1"/>
  <c r="X1412" i="1"/>
  <c r="W1412" i="1"/>
  <c r="U1412" i="1"/>
  <c r="P1412" i="1"/>
  <c r="B1412" i="1" s="1"/>
  <c r="L1412" i="1"/>
  <c r="R1412" i="1" l="1"/>
  <c r="S1412" i="1"/>
  <c r="R1935" i="1"/>
  <c r="S1935" i="1"/>
  <c r="N1412" i="1"/>
  <c r="N1935" i="1"/>
  <c r="V1935" i="1"/>
  <c r="V1412" i="1"/>
  <c r="X5743" i="1" l="1"/>
  <c r="W5743" i="1"/>
  <c r="U5743" i="1"/>
  <c r="P5743" i="1"/>
  <c r="B5743" i="1" s="1"/>
  <c r="L5743" i="1"/>
  <c r="R5743" i="1" l="1"/>
  <c r="S5743" i="1"/>
  <c r="N5743" i="1"/>
  <c r="V5743" i="1"/>
  <c r="X886" i="1"/>
  <c r="W886" i="1"/>
  <c r="U886" i="1"/>
  <c r="P886" i="1"/>
  <c r="B886" i="1" s="1"/>
  <c r="L886" i="1"/>
  <c r="X885" i="1"/>
  <c r="W885" i="1"/>
  <c r="U885" i="1"/>
  <c r="P885" i="1"/>
  <c r="B885" i="1" s="1"/>
  <c r="L885" i="1"/>
  <c r="X884" i="1"/>
  <c r="W884" i="1"/>
  <c r="U884" i="1"/>
  <c r="P884" i="1"/>
  <c r="B884" i="1" s="1"/>
  <c r="L884" i="1"/>
  <c r="R886" i="1" l="1"/>
  <c r="S886" i="1"/>
  <c r="R884" i="1"/>
  <c r="S884" i="1"/>
  <c r="R885" i="1"/>
  <c r="S885" i="1"/>
  <c r="N885" i="1"/>
  <c r="V885" i="1"/>
  <c r="N884" i="1"/>
  <c r="N886" i="1"/>
  <c r="V886" i="1"/>
  <c r="V884" i="1"/>
  <c r="X6695" i="1" l="1"/>
  <c r="W6695" i="1"/>
  <c r="U6695" i="1"/>
  <c r="P6695" i="1"/>
  <c r="B6695" i="1" s="1"/>
  <c r="L6695" i="1"/>
  <c r="R6695" i="1" l="1"/>
  <c r="S6695" i="1"/>
  <c r="N6695" i="1"/>
  <c r="V6695" i="1"/>
  <c r="X3895" i="1"/>
  <c r="W3895" i="1"/>
  <c r="U3895" i="1"/>
  <c r="P3895" i="1"/>
  <c r="B3895" i="1" s="1"/>
  <c r="L3895" i="1"/>
  <c r="R3895" i="1" l="1"/>
  <c r="S3895" i="1"/>
  <c r="N3895" i="1"/>
  <c r="V3895" i="1"/>
  <c r="X4705" i="1"/>
  <c r="W4705" i="1"/>
  <c r="U4705" i="1"/>
  <c r="P4705" i="1"/>
  <c r="B4705" i="1" s="1"/>
  <c r="L4705" i="1"/>
  <c r="X5151" i="1"/>
  <c r="W5151" i="1"/>
  <c r="U5151" i="1"/>
  <c r="P5151" i="1"/>
  <c r="B5151" i="1" s="1"/>
  <c r="L5151" i="1"/>
  <c r="X1737" i="1"/>
  <c r="W1737" i="1"/>
  <c r="U1737" i="1"/>
  <c r="P1737" i="1"/>
  <c r="B1737" i="1" s="1"/>
  <c r="L1737" i="1"/>
  <c r="X1738" i="1"/>
  <c r="W1738" i="1"/>
  <c r="U1738" i="1"/>
  <c r="P1738" i="1"/>
  <c r="B1738" i="1" s="1"/>
  <c r="L1738" i="1"/>
  <c r="X341" i="1"/>
  <c r="W341" i="1"/>
  <c r="V341" i="1"/>
  <c r="U341" i="1"/>
  <c r="M341" i="1"/>
  <c r="K341" i="1"/>
  <c r="I341" i="1"/>
  <c r="H341" i="1"/>
  <c r="X340" i="1"/>
  <c r="W340" i="1"/>
  <c r="V340" i="1"/>
  <c r="U340" i="1"/>
  <c r="N340" i="1"/>
  <c r="X339" i="1"/>
  <c r="W339" i="1"/>
  <c r="U339" i="1"/>
  <c r="P339" i="1"/>
  <c r="B339" i="1" s="1"/>
  <c r="L339" i="1"/>
  <c r="X338" i="1"/>
  <c r="W338" i="1"/>
  <c r="V338" i="1"/>
  <c r="U338" i="1"/>
  <c r="N338" i="1"/>
  <c r="X337" i="1"/>
  <c r="W337" i="1"/>
  <c r="V337" i="1"/>
  <c r="U337" i="1"/>
  <c r="N337" i="1"/>
  <c r="X971" i="1"/>
  <c r="W971" i="1"/>
  <c r="U971" i="1"/>
  <c r="P971" i="1"/>
  <c r="B971" i="1" s="1"/>
  <c r="L971" i="1"/>
  <c r="R971" i="1" l="1"/>
  <c r="S971" i="1"/>
  <c r="R1737" i="1"/>
  <c r="S1737" i="1"/>
  <c r="R1738" i="1"/>
  <c r="S1738" i="1"/>
  <c r="R4705" i="1"/>
  <c r="S4705" i="1"/>
  <c r="R339" i="1"/>
  <c r="S339" i="1"/>
  <c r="R5151" i="1"/>
  <c r="S5151" i="1"/>
  <c r="N1737" i="1"/>
  <c r="V339" i="1"/>
  <c r="N5151" i="1"/>
  <c r="N4705" i="1"/>
  <c r="V4705" i="1"/>
  <c r="V5151" i="1"/>
  <c r="V1737" i="1"/>
  <c r="N1738" i="1"/>
  <c r="V1738" i="1"/>
  <c r="N339" i="1"/>
  <c r="N341" i="1" s="1"/>
  <c r="L341" i="1"/>
  <c r="V971" i="1"/>
  <c r="N971" i="1"/>
  <c r="X1225" i="1" l="1"/>
  <c r="W1225" i="1"/>
  <c r="U1225" i="1"/>
  <c r="P1225" i="1"/>
  <c r="B1225" i="1" s="1"/>
  <c r="L1225" i="1"/>
  <c r="X2084" i="1"/>
  <c r="W2084" i="1"/>
  <c r="U2084" i="1"/>
  <c r="P2084" i="1"/>
  <c r="B2084" i="1" s="1"/>
  <c r="L2084" i="1"/>
  <c r="R2084" i="1" l="1"/>
  <c r="S2084" i="1"/>
  <c r="R1225" i="1"/>
  <c r="S1225" i="1"/>
  <c r="N1225" i="1"/>
  <c r="V1225" i="1"/>
  <c r="N2084" i="1"/>
  <c r="V2084" i="1"/>
  <c r="X6232" i="1" l="1"/>
  <c r="W6232" i="1"/>
  <c r="U6232" i="1"/>
  <c r="P6232" i="1"/>
  <c r="B6232" i="1" s="1"/>
  <c r="L6232" i="1"/>
  <c r="S6232" i="1" l="1"/>
  <c r="R6232" i="1"/>
  <c r="N6232" i="1"/>
  <c r="V6232" i="1"/>
  <c r="X5987" i="1" l="1"/>
  <c r="W5987" i="1"/>
  <c r="V5987" i="1"/>
  <c r="U5987" i="1"/>
  <c r="M5987" i="1"/>
  <c r="K5987" i="1"/>
  <c r="I5987" i="1"/>
  <c r="H5987" i="1"/>
  <c r="X5986" i="1"/>
  <c r="W5986" i="1"/>
  <c r="V5986" i="1"/>
  <c r="U5986" i="1"/>
  <c r="N5986" i="1"/>
  <c r="X5985" i="1"/>
  <c r="W5985" i="1"/>
  <c r="U5985" i="1"/>
  <c r="P5985" i="1"/>
  <c r="B5985" i="1" s="1"/>
  <c r="L5985" i="1"/>
  <c r="X5984" i="1"/>
  <c r="W5984" i="1"/>
  <c r="V5984" i="1"/>
  <c r="U5984" i="1"/>
  <c r="N5984" i="1"/>
  <c r="X5983" i="1"/>
  <c r="W5983" i="1"/>
  <c r="V5983" i="1"/>
  <c r="U5983" i="1"/>
  <c r="N5983" i="1"/>
  <c r="R5985" i="1" l="1"/>
  <c r="S5985" i="1"/>
  <c r="V5985" i="1"/>
  <c r="N5985" i="1"/>
  <c r="N5987" i="1" s="1"/>
  <c r="L5987" i="1"/>
  <c r="X2101" i="1" l="1"/>
  <c r="W2101" i="1"/>
  <c r="U2101" i="1"/>
  <c r="P2101" i="1"/>
  <c r="B2101" i="1" s="1"/>
  <c r="L2101" i="1"/>
  <c r="R2101" i="1" l="1"/>
  <c r="S2101" i="1"/>
  <c r="N2101" i="1"/>
  <c r="V2101" i="1"/>
  <c r="X4056" i="1" l="1"/>
  <c r="W4056" i="1"/>
  <c r="U4056" i="1"/>
  <c r="P4056" i="1"/>
  <c r="B4056" i="1" s="1"/>
  <c r="L4056" i="1"/>
  <c r="X40" i="1"/>
  <c r="W40" i="1"/>
  <c r="U40" i="1"/>
  <c r="P40" i="1"/>
  <c r="B40" i="1" s="1"/>
  <c r="L40" i="1"/>
  <c r="X651" i="1"/>
  <c r="W651" i="1"/>
  <c r="V651" i="1"/>
  <c r="U651" i="1"/>
  <c r="M651" i="1"/>
  <c r="K651" i="1"/>
  <c r="I651" i="1"/>
  <c r="H651" i="1"/>
  <c r="X650" i="1"/>
  <c r="W650" i="1"/>
  <c r="V650" i="1"/>
  <c r="U650" i="1"/>
  <c r="N650" i="1"/>
  <c r="X649" i="1"/>
  <c r="W649" i="1"/>
  <c r="U649" i="1"/>
  <c r="P649" i="1"/>
  <c r="B649" i="1" s="1"/>
  <c r="L649" i="1"/>
  <c r="X648" i="1"/>
  <c r="W648" i="1"/>
  <c r="V648" i="1"/>
  <c r="U648" i="1"/>
  <c r="N648" i="1"/>
  <c r="X647" i="1"/>
  <c r="W647" i="1"/>
  <c r="V647" i="1"/>
  <c r="U647" i="1"/>
  <c r="N647" i="1"/>
  <c r="R649" i="1" l="1"/>
  <c r="S649" i="1"/>
  <c r="R40" i="1"/>
  <c r="S40" i="1"/>
  <c r="R4056" i="1"/>
  <c r="S4056" i="1"/>
  <c r="N40" i="1"/>
  <c r="L651" i="1"/>
  <c r="N4056" i="1"/>
  <c r="V4056" i="1"/>
  <c r="V40" i="1"/>
  <c r="V649" i="1"/>
  <c r="N649" i="1"/>
  <c r="N651" i="1" s="1"/>
  <c r="X3700" i="1" l="1"/>
  <c r="W3700" i="1"/>
  <c r="U3700" i="1"/>
  <c r="P3700" i="1"/>
  <c r="B3700" i="1" s="1"/>
  <c r="L3700" i="1"/>
  <c r="X535" i="1"/>
  <c r="W535" i="1"/>
  <c r="V535" i="1"/>
  <c r="U535" i="1"/>
  <c r="M535" i="1"/>
  <c r="K535" i="1"/>
  <c r="X534" i="1"/>
  <c r="W534" i="1"/>
  <c r="V534" i="1"/>
  <c r="U534" i="1"/>
  <c r="N534" i="1"/>
  <c r="X533" i="1"/>
  <c r="W533" i="1"/>
  <c r="U533" i="1"/>
  <c r="P533" i="1"/>
  <c r="B533" i="1" s="1"/>
  <c r="L533" i="1"/>
  <c r="I535" i="1"/>
  <c r="H535" i="1"/>
  <c r="X532" i="1"/>
  <c r="W532" i="1"/>
  <c r="V532" i="1"/>
  <c r="U532" i="1"/>
  <c r="N532" i="1"/>
  <c r="X531" i="1"/>
  <c r="W531" i="1"/>
  <c r="V531" i="1"/>
  <c r="U531" i="1"/>
  <c r="N531" i="1"/>
  <c r="R533" i="1" l="1"/>
  <c r="S533" i="1"/>
  <c r="R3700" i="1"/>
  <c r="S3700" i="1"/>
  <c r="N3700" i="1"/>
  <c r="V3700" i="1"/>
  <c r="N533" i="1"/>
  <c r="N535" i="1" s="1"/>
  <c r="L535" i="1"/>
  <c r="V533" i="1"/>
  <c r="X3960" i="1"/>
  <c r="W3960" i="1"/>
  <c r="U3960" i="1"/>
  <c r="P3960" i="1"/>
  <c r="B3960" i="1" s="1"/>
  <c r="L3960" i="1"/>
  <c r="R3960" i="1" l="1"/>
  <c r="S3960" i="1"/>
  <c r="N3960" i="1"/>
  <c r="V3960" i="1"/>
  <c r="X935" i="1" l="1"/>
  <c r="W935" i="1"/>
  <c r="U935" i="1"/>
  <c r="P935" i="1"/>
  <c r="B935" i="1" s="1"/>
  <c r="L935" i="1"/>
  <c r="X123" i="1"/>
  <c r="W123" i="1"/>
  <c r="U123" i="1"/>
  <c r="P123" i="1"/>
  <c r="B123" i="1" s="1"/>
  <c r="L123" i="1"/>
  <c r="R935" i="1" l="1"/>
  <c r="S935" i="1"/>
  <c r="R123" i="1"/>
  <c r="S123" i="1"/>
  <c r="V935" i="1"/>
  <c r="N935" i="1"/>
  <c r="N123" i="1"/>
  <c r="V123" i="1"/>
  <c r="X400" i="1" l="1"/>
  <c r="W400" i="1"/>
  <c r="U400" i="1"/>
  <c r="P400" i="1"/>
  <c r="B400" i="1" s="1"/>
  <c r="L400" i="1"/>
  <c r="X5951" i="1"/>
  <c r="W5951" i="1"/>
  <c r="U5951" i="1"/>
  <c r="P5951" i="1"/>
  <c r="B5951" i="1" s="1"/>
  <c r="L5951" i="1"/>
  <c r="R400" i="1" l="1"/>
  <c r="S400" i="1"/>
  <c r="S5951" i="1"/>
  <c r="R5951" i="1"/>
  <c r="N400" i="1"/>
  <c r="V400" i="1"/>
  <c r="V5951" i="1"/>
  <c r="N5951" i="1"/>
  <c r="X1238" i="1" l="1"/>
  <c r="W1238" i="1"/>
  <c r="U1238" i="1"/>
  <c r="P1238" i="1"/>
  <c r="B1238" i="1" s="1"/>
  <c r="L1238" i="1"/>
  <c r="R1238" i="1" l="1"/>
  <c r="S1238" i="1"/>
  <c r="N1238" i="1"/>
  <c r="V1238" i="1"/>
  <c r="X4225" i="1" l="1"/>
  <c r="W4225" i="1"/>
  <c r="U4225" i="1"/>
  <c r="P4225" i="1"/>
  <c r="B4225" i="1" s="1"/>
  <c r="L4225" i="1"/>
  <c r="R4225" i="1" l="1"/>
  <c r="S4225" i="1"/>
  <c r="N4225" i="1"/>
  <c r="V4225" i="1"/>
  <c r="X5557" i="1" l="1"/>
  <c r="W5557" i="1"/>
  <c r="U5557" i="1"/>
  <c r="P5557" i="1"/>
  <c r="B5557" i="1" s="1"/>
  <c r="L5557" i="1"/>
  <c r="X4057" i="1"/>
  <c r="W4057" i="1"/>
  <c r="U4057" i="1"/>
  <c r="P4057" i="1"/>
  <c r="B4057" i="1" s="1"/>
  <c r="L4057" i="1"/>
  <c r="I779" i="1"/>
  <c r="L779" i="1" s="1"/>
  <c r="X779" i="1"/>
  <c r="W779" i="1"/>
  <c r="U779" i="1"/>
  <c r="P779" i="1"/>
  <c r="B779" i="1" s="1"/>
  <c r="X2149" i="1"/>
  <c r="W2149" i="1"/>
  <c r="U2149" i="1"/>
  <c r="P2149" i="1"/>
  <c r="B2149" i="1" s="1"/>
  <c r="L2149" i="1"/>
  <c r="X4481" i="1"/>
  <c r="W4481" i="1"/>
  <c r="U4481" i="1"/>
  <c r="P4481" i="1"/>
  <c r="B4481" i="1" s="1"/>
  <c r="L4481" i="1"/>
  <c r="R4057" i="1" l="1"/>
  <c r="S4057" i="1"/>
  <c r="R2149" i="1"/>
  <c r="S2149" i="1"/>
  <c r="R779" i="1"/>
  <c r="S779" i="1"/>
  <c r="R5557" i="1"/>
  <c r="S5557" i="1"/>
  <c r="R4481" i="1"/>
  <c r="S4481" i="1"/>
  <c r="V5557" i="1"/>
  <c r="N5557" i="1"/>
  <c r="N4057" i="1"/>
  <c r="V4057" i="1"/>
  <c r="N779" i="1"/>
  <c r="V779" i="1"/>
  <c r="N2149" i="1"/>
  <c r="V2149" i="1"/>
  <c r="V4481" i="1"/>
  <c r="N4481" i="1"/>
  <c r="X3871" i="1" l="1"/>
  <c r="W3871" i="1"/>
  <c r="V3871" i="1"/>
  <c r="U3871" i="1"/>
  <c r="M3871" i="1"/>
  <c r="K3871" i="1"/>
  <c r="I3871" i="1"/>
  <c r="H3871" i="1"/>
  <c r="X3870" i="1"/>
  <c r="W3870" i="1"/>
  <c r="V3870" i="1"/>
  <c r="U3870" i="1"/>
  <c r="N3870" i="1"/>
  <c r="X3867" i="1"/>
  <c r="W3867" i="1"/>
  <c r="U3867" i="1"/>
  <c r="P3867" i="1"/>
  <c r="B3867" i="1" s="1"/>
  <c r="L3867" i="1"/>
  <c r="X3866" i="1"/>
  <c r="W3866" i="1"/>
  <c r="V3866" i="1"/>
  <c r="U3866" i="1"/>
  <c r="N3866" i="1"/>
  <c r="X3865" i="1"/>
  <c r="W3865" i="1"/>
  <c r="V3865" i="1"/>
  <c r="U3865" i="1"/>
  <c r="N3865" i="1"/>
  <c r="X5803" i="1"/>
  <c r="W5803" i="1"/>
  <c r="U5803" i="1"/>
  <c r="P5803" i="1"/>
  <c r="B5803" i="1" s="1"/>
  <c r="L5803" i="1"/>
  <c r="R5803" i="1" l="1"/>
  <c r="S5803" i="1"/>
  <c r="R3867" i="1"/>
  <c r="S3867" i="1"/>
  <c r="V5803" i="1"/>
  <c r="N3867" i="1"/>
  <c r="N3871" i="1" s="1"/>
  <c r="L3871" i="1"/>
  <c r="V3867" i="1"/>
  <c r="N5803" i="1"/>
  <c r="H379" i="1" l="1"/>
  <c r="L379" i="1" s="1"/>
  <c r="X379" i="1"/>
  <c r="W379" i="1"/>
  <c r="U379" i="1"/>
  <c r="P379" i="1"/>
  <c r="B379" i="1" s="1"/>
  <c r="X382" i="1"/>
  <c r="W382" i="1"/>
  <c r="U382" i="1"/>
  <c r="P382" i="1"/>
  <c r="B382" i="1" s="1"/>
  <c r="L382" i="1"/>
  <c r="R382" i="1" l="1"/>
  <c r="S382" i="1"/>
  <c r="S379" i="1"/>
  <c r="R379" i="1"/>
  <c r="V379" i="1"/>
  <c r="N379" i="1"/>
  <c r="N382" i="1"/>
  <c r="V382" i="1"/>
  <c r="L3797" i="1"/>
  <c r="X3797" i="1"/>
  <c r="W3797" i="1"/>
  <c r="U3797" i="1"/>
  <c r="P3797" i="1"/>
  <c r="B3797" i="1" s="1"/>
  <c r="R3797" i="1" l="1"/>
  <c r="S3797" i="1"/>
  <c r="N3797" i="1"/>
  <c r="V3797" i="1"/>
  <c r="X6723" i="1" l="1"/>
  <c r="W6723" i="1"/>
  <c r="U6723" i="1"/>
  <c r="P6723" i="1"/>
  <c r="B6723" i="1" s="1"/>
  <c r="L6723" i="1"/>
  <c r="R6723" i="1" l="1"/>
  <c r="S6723" i="1"/>
  <c r="N6723" i="1"/>
  <c r="V6723" i="1"/>
  <c r="X6374" i="1"/>
  <c r="W6374" i="1"/>
  <c r="U6374" i="1"/>
  <c r="P6374" i="1"/>
  <c r="B6374" i="1" s="1"/>
  <c r="L6374" i="1"/>
  <c r="S6374" i="1" l="1"/>
  <c r="R6374" i="1"/>
  <c r="V6374" i="1"/>
  <c r="N6374" i="1"/>
  <c r="I4798" i="1" l="1"/>
  <c r="L4798" i="1" s="1"/>
  <c r="X4798" i="1"/>
  <c r="W4798" i="1"/>
  <c r="U4798" i="1"/>
  <c r="P4798" i="1"/>
  <c r="B4798" i="1" s="1"/>
  <c r="X6721" i="1"/>
  <c r="W6721" i="1"/>
  <c r="U6721" i="1"/>
  <c r="P6721" i="1"/>
  <c r="B6721" i="1" s="1"/>
  <c r="L6721" i="1"/>
  <c r="R6721" i="1" l="1"/>
  <c r="S6721" i="1"/>
  <c r="R4798" i="1"/>
  <c r="S4798" i="1"/>
  <c r="V4798" i="1"/>
  <c r="N4798" i="1"/>
  <c r="N6721" i="1"/>
  <c r="V6721" i="1"/>
  <c r="X5920" i="1" l="1"/>
  <c r="W5920" i="1"/>
  <c r="U5920" i="1"/>
  <c r="P5920" i="1"/>
  <c r="B5920" i="1" s="1"/>
  <c r="L5920" i="1"/>
  <c r="R5920" i="1" l="1"/>
  <c r="S5920" i="1"/>
  <c r="V5920" i="1"/>
  <c r="N5920" i="1"/>
  <c r="I3798" i="1" l="1"/>
  <c r="X3798" i="1"/>
  <c r="W3798" i="1"/>
  <c r="U3798" i="1"/>
  <c r="P3798" i="1"/>
  <c r="B3798" i="1" s="1"/>
  <c r="L3798" i="1" l="1"/>
  <c r="R3798" i="1" l="1"/>
  <c r="S3798" i="1"/>
  <c r="N3798" i="1"/>
  <c r="V3798" i="1"/>
  <c r="X1556" i="1"/>
  <c r="W1556" i="1"/>
  <c r="V1556" i="1"/>
  <c r="U1556" i="1"/>
  <c r="M1556" i="1"/>
  <c r="K1556" i="1"/>
  <c r="I1556" i="1"/>
  <c r="H1556" i="1"/>
  <c r="X1555" i="1"/>
  <c r="W1555" i="1"/>
  <c r="V1555" i="1"/>
  <c r="U1555" i="1"/>
  <c r="N1555" i="1"/>
  <c r="X1549" i="1"/>
  <c r="W1549" i="1"/>
  <c r="U1549" i="1"/>
  <c r="P1549" i="1"/>
  <c r="B1549" i="1" s="1"/>
  <c r="L1549" i="1"/>
  <c r="X1548" i="1"/>
  <c r="W1548" i="1"/>
  <c r="V1548" i="1"/>
  <c r="U1548" i="1"/>
  <c r="N1548" i="1"/>
  <c r="X1547" i="1"/>
  <c r="W1547" i="1"/>
  <c r="V1547" i="1"/>
  <c r="U1547" i="1"/>
  <c r="N1547" i="1"/>
  <c r="R1549" i="1" l="1"/>
  <c r="S1549" i="1"/>
  <c r="L1556" i="1"/>
  <c r="V1549" i="1"/>
  <c r="N1549" i="1"/>
  <c r="N1556" i="1" s="1"/>
  <c r="X4206" i="1" l="1"/>
  <c r="W4206" i="1"/>
  <c r="U4206" i="1"/>
  <c r="P4206" i="1"/>
  <c r="B4206" i="1" s="1"/>
  <c r="L4206" i="1"/>
  <c r="X5634" i="1"/>
  <c r="W5634" i="1"/>
  <c r="U5634" i="1"/>
  <c r="P5634" i="1"/>
  <c r="B5634" i="1" s="1"/>
  <c r="L5634" i="1"/>
  <c r="R5634" i="1" l="1"/>
  <c r="S5634" i="1"/>
  <c r="R4206" i="1"/>
  <c r="S4206" i="1"/>
  <c r="N4206" i="1"/>
  <c r="V4206" i="1"/>
  <c r="N5634" i="1"/>
  <c r="V5634" i="1"/>
  <c r="X5099" i="1" l="1"/>
  <c r="W5099" i="1"/>
  <c r="U5099" i="1"/>
  <c r="P5099" i="1"/>
  <c r="B5099" i="1" s="1"/>
  <c r="L5099" i="1"/>
  <c r="R5099" i="1" l="1"/>
  <c r="S5099" i="1"/>
  <c r="N5099" i="1"/>
  <c r="V5099" i="1"/>
  <c r="X6325" i="1" l="1"/>
  <c r="W6325" i="1"/>
  <c r="V6325" i="1"/>
  <c r="U6325" i="1"/>
  <c r="M6325" i="1"/>
  <c r="K6325" i="1"/>
  <c r="I6325" i="1"/>
  <c r="H6325" i="1"/>
  <c r="X6324" i="1"/>
  <c r="W6324" i="1"/>
  <c r="V6324" i="1"/>
  <c r="U6324" i="1"/>
  <c r="N6324" i="1"/>
  <c r="X6323" i="1"/>
  <c r="W6323" i="1"/>
  <c r="U6323" i="1"/>
  <c r="P6323" i="1"/>
  <c r="B6323" i="1" s="1"/>
  <c r="L6323" i="1"/>
  <c r="X6322" i="1"/>
  <c r="W6322" i="1"/>
  <c r="V6322" i="1"/>
  <c r="U6322" i="1"/>
  <c r="N6322" i="1"/>
  <c r="X6321" i="1"/>
  <c r="W6321" i="1"/>
  <c r="V6321" i="1"/>
  <c r="U6321" i="1"/>
  <c r="N6321" i="1"/>
  <c r="R6323" i="1" l="1"/>
  <c r="S6323" i="1"/>
  <c r="N6323" i="1"/>
  <c r="N6325" i="1" s="1"/>
  <c r="L6325" i="1"/>
  <c r="V6323" i="1"/>
  <c r="X2160" i="1"/>
  <c r="W2160" i="1"/>
  <c r="U2160" i="1"/>
  <c r="P2160" i="1"/>
  <c r="B2160" i="1" s="1"/>
  <c r="L2160" i="1"/>
  <c r="L5416" i="1"/>
  <c r="X5419" i="1"/>
  <c r="W5419" i="1"/>
  <c r="V5419" i="1"/>
  <c r="U5419" i="1"/>
  <c r="M5419" i="1"/>
  <c r="I5419" i="1"/>
  <c r="H5419" i="1"/>
  <c r="X5418" i="1"/>
  <c r="W5418" i="1"/>
  <c r="V5418" i="1"/>
  <c r="U5418" i="1"/>
  <c r="N5418" i="1"/>
  <c r="X5416" i="1"/>
  <c r="W5416" i="1"/>
  <c r="U5416" i="1"/>
  <c r="P5416" i="1"/>
  <c r="B5416" i="1" s="1"/>
  <c r="X5415" i="1"/>
  <c r="W5415" i="1"/>
  <c r="V5415" i="1"/>
  <c r="U5415" i="1"/>
  <c r="N5415" i="1"/>
  <c r="X5414" i="1"/>
  <c r="W5414" i="1"/>
  <c r="V5414" i="1"/>
  <c r="U5414" i="1"/>
  <c r="N5414" i="1"/>
  <c r="X3777" i="1"/>
  <c r="W3777" i="1"/>
  <c r="U3777" i="1"/>
  <c r="P3777" i="1"/>
  <c r="B3777" i="1" s="1"/>
  <c r="L3777" i="1"/>
  <c r="X950" i="1"/>
  <c r="W950" i="1"/>
  <c r="U950" i="1"/>
  <c r="P950" i="1"/>
  <c r="B950" i="1" s="1"/>
  <c r="L950" i="1"/>
  <c r="R5416" i="1" l="1"/>
  <c r="S5416" i="1"/>
  <c r="R2160" i="1"/>
  <c r="S2160" i="1"/>
  <c r="R3777" i="1"/>
  <c r="S3777" i="1"/>
  <c r="R950" i="1"/>
  <c r="S950" i="1"/>
  <c r="N950" i="1"/>
  <c r="V2160" i="1"/>
  <c r="N2160" i="1"/>
  <c r="V950" i="1"/>
  <c r="N3777" i="1"/>
  <c r="V5416" i="1"/>
  <c r="N5416" i="1"/>
  <c r="L5419" i="1"/>
  <c r="K5419" i="1"/>
  <c r="V3777" i="1"/>
  <c r="X832" i="1"/>
  <c r="W832" i="1"/>
  <c r="U832" i="1"/>
  <c r="P832" i="1"/>
  <c r="B832" i="1" s="1"/>
  <c r="L832" i="1"/>
  <c r="R832" i="1" l="1"/>
  <c r="S832" i="1"/>
  <c r="N5419" i="1"/>
  <c r="N832" i="1"/>
  <c r="V832" i="1"/>
  <c r="X5056" i="1"/>
  <c r="W5056" i="1"/>
  <c r="U5056" i="1"/>
  <c r="P5056" i="1"/>
  <c r="B5056" i="1" s="1"/>
  <c r="L5056" i="1"/>
  <c r="X572" i="1"/>
  <c r="W572" i="1"/>
  <c r="V572" i="1"/>
  <c r="U572" i="1"/>
  <c r="M572" i="1"/>
  <c r="K572" i="1"/>
  <c r="I572" i="1"/>
  <c r="H572" i="1"/>
  <c r="X571" i="1"/>
  <c r="W571" i="1"/>
  <c r="V571" i="1"/>
  <c r="U571" i="1"/>
  <c r="N571" i="1"/>
  <c r="X570" i="1"/>
  <c r="W570" i="1"/>
  <c r="U570" i="1"/>
  <c r="P570" i="1"/>
  <c r="B570" i="1" s="1"/>
  <c r="L570" i="1"/>
  <c r="X569" i="1"/>
  <c r="W569" i="1"/>
  <c r="U569" i="1"/>
  <c r="P569" i="1"/>
  <c r="B569" i="1" s="1"/>
  <c r="L569" i="1"/>
  <c r="X568" i="1"/>
  <c r="W568" i="1"/>
  <c r="V568" i="1"/>
  <c r="U568" i="1"/>
  <c r="N568" i="1"/>
  <c r="X567" i="1"/>
  <c r="W567" i="1"/>
  <c r="V567" i="1"/>
  <c r="U567" i="1"/>
  <c r="N567" i="1"/>
  <c r="X2080" i="1"/>
  <c r="W2080" i="1"/>
  <c r="U2080" i="1"/>
  <c r="P2080" i="1"/>
  <c r="B2080" i="1" s="1"/>
  <c r="L2080" i="1"/>
  <c r="X6484" i="1"/>
  <c r="W6484" i="1"/>
  <c r="U6484" i="1"/>
  <c r="P6484" i="1"/>
  <c r="B6484" i="1" s="1"/>
  <c r="L6484" i="1"/>
  <c r="R2080" i="1" l="1"/>
  <c r="S2080" i="1"/>
  <c r="R569" i="1"/>
  <c r="S569" i="1"/>
  <c r="R5056" i="1"/>
  <c r="S5056" i="1"/>
  <c r="S6484" i="1"/>
  <c r="R6484" i="1"/>
  <c r="R570" i="1"/>
  <c r="S570" i="1"/>
  <c r="V570" i="1"/>
  <c r="N5056" i="1"/>
  <c r="V5056" i="1"/>
  <c r="N570" i="1"/>
  <c r="N569" i="1"/>
  <c r="V569" i="1"/>
  <c r="L572" i="1"/>
  <c r="N2080" i="1"/>
  <c r="V2080" i="1"/>
  <c r="N6484" i="1"/>
  <c r="V6484" i="1"/>
  <c r="N572" i="1" l="1"/>
  <c r="X1677" i="1"/>
  <c r="W1677" i="1"/>
  <c r="V1677" i="1"/>
  <c r="U1677" i="1"/>
  <c r="M1677" i="1"/>
  <c r="K1677" i="1"/>
  <c r="I1677" i="1"/>
  <c r="H1677" i="1"/>
  <c r="X1676" i="1"/>
  <c r="W1676" i="1"/>
  <c r="V1676" i="1"/>
  <c r="U1676" i="1"/>
  <c r="N1676" i="1"/>
  <c r="X1674" i="1"/>
  <c r="W1674" i="1"/>
  <c r="U1674" i="1"/>
  <c r="P1674" i="1"/>
  <c r="B1674" i="1" s="1"/>
  <c r="L1674" i="1"/>
  <c r="X1673" i="1"/>
  <c r="W1673" i="1"/>
  <c r="V1673" i="1"/>
  <c r="U1673" i="1"/>
  <c r="N1673" i="1"/>
  <c r="X1672" i="1"/>
  <c r="W1672" i="1"/>
  <c r="V1672" i="1"/>
  <c r="U1672" i="1"/>
  <c r="N1672" i="1"/>
  <c r="R1674" i="1" l="1"/>
  <c r="S1674" i="1"/>
  <c r="V1674" i="1"/>
  <c r="N1674" i="1"/>
  <c r="N1677" i="1" s="1"/>
  <c r="L1677" i="1"/>
  <c r="X5027" i="1" l="1"/>
  <c r="W5027" i="1"/>
  <c r="U5027" i="1"/>
  <c r="P5027" i="1"/>
  <c r="B5027" i="1" s="1"/>
  <c r="L5027" i="1"/>
  <c r="R5027" i="1" l="1"/>
  <c r="S5027" i="1"/>
  <c r="N5027" i="1"/>
  <c r="V5027" i="1"/>
  <c r="X6051" i="1" l="1"/>
  <c r="W6051" i="1"/>
  <c r="U6051" i="1"/>
  <c r="P6051" i="1"/>
  <c r="B6051" i="1" s="1"/>
  <c r="L6051" i="1"/>
  <c r="R6051" i="1" l="1"/>
  <c r="S6051" i="1"/>
  <c r="N6051" i="1"/>
  <c r="V6051" i="1"/>
  <c r="X4099" i="1"/>
  <c r="W4099" i="1"/>
  <c r="U4099" i="1"/>
  <c r="P4099" i="1"/>
  <c r="B4099" i="1" s="1"/>
  <c r="L4099" i="1"/>
  <c r="R4099" i="1" l="1"/>
  <c r="S4099" i="1"/>
  <c r="N4099" i="1"/>
  <c r="V4099" i="1"/>
  <c r="X5178" i="1" l="1"/>
  <c r="W5178" i="1"/>
  <c r="U5178" i="1"/>
  <c r="P5178" i="1"/>
  <c r="B5178" i="1" s="1"/>
  <c r="L5178" i="1"/>
  <c r="R5178" i="1" l="1"/>
  <c r="S5178" i="1"/>
  <c r="V5178" i="1"/>
  <c r="N5178" i="1"/>
  <c r="X3842" i="1" l="1"/>
  <c r="W3842" i="1"/>
  <c r="U3842" i="1"/>
  <c r="P3842" i="1"/>
  <c r="B3842" i="1" s="1"/>
  <c r="L3842" i="1"/>
  <c r="R3842" i="1" l="1"/>
  <c r="S3842" i="1"/>
  <c r="V3842" i="1"/>
  <c r="N3842" i="1"/>
  <c r="L5855" i="1" l="1"/>
  <c r="X5855" i="1"/>
  <c r="W5855" i="1"/>
  <c r="U5855" i="1"/>
  <c r="P5855" i="1"/>
  <c r="B5855" i="1" s="1"/>
  <c r="R5855" i="1" l="1"/>
  <c r="S5855" i="1"/>
  <c r="V5855" i="1"/>
  <c r="N5855" i="1"/>
  <c r="X4800" i="1" l="1"/>
  <c r="W4800" i="1"/>
  <c r="U4800" i="1"/>
  <c r="P4800" i="1"/>
  <c r="B4800" i="1" s="1"/>
  <c r="L4800" i="1"/>
  <c r="S4800" i="1" l="1"/>
  <c r="R4800" i="1"/>
  <c r="N4800" i="1"/>
  <c r="V4800" i="1"/>
  <c r="X4055" i="1" l="1"/>
  <c r="W4055" i="1"/>
  <c r="U4055" i="1"/>
  <c r="P4055" i="1"/>
  <c r="B4055" i="1" s="1"/>
  <c r="L4055" i="1"/>
  <c r="R4055" i="1" l="1"/>
  <c r="N4055" i="1"/>
  <c r="V4055" i="1"/>
  <c r="X5385" i="1" l="1"/>
  <c r="W5385" i="1"/>
  <c r="U5385" i="1"/>
  <c r="P5385" i="1"/>
  <c r="B5385" i="1" s="1"/>
  <c r="L5385" i="1"/>
  <c r="R5385" i="1" l="1"/>
  <c r="S5385" i="1"/>
  <c r="N5385" i="1"/>
  <c r="V5385" i="1"/>
  <c r="X5088" i="1"/>
  <c r="W5088" i="1"/>
  <c r="U5088" i="1"/>
  <c r="P5088" i="1"/>
  <c r="B5088" i="1" s="1"/>
  <c r="L5088" i="1"/>
  <c r="R5088" i="1" l="1"/>
  <c r="S5088" i="1"/>
  <c r="N5088" i="1"/>
  <c r="V5088" i="1"/>
  <c r="X233" i="1" l="1"/>
  <c r="W233" i="1"/>
  <c r="U233" i="1"/>
  <c r="P233" i="1"/>
  <c r="B233" i="1" s="1"/>
  <c r="L233" i="1"/>
  <c r="X1816" i="1"/>
  <c r="W1816" i="1"/>
  <c r="U1816" i="1"/>
  <c r="P1816" i="1"/>
  <c r="B1816" i="1" s="1"/>
  <c r="L1816" i="1"/>
  <c r="X761" i="1"/>
  <c r="W761" i="1"/>
  <c r="U761" i="1"/>
  <c r="P761" i="1"/>
  <c r="B761" i="1" s="1"/>
  <c r="L761" i="1"/>
  <c r="R1816" i="1" l="1"/>
  <c r="S1816" i="1"/>
  <c r="R233" i="1"/>
  <c r="S233" i="1"/>
  <c r="R761" i="1"/>
  <c r="S761" i="1"/>
  <c r="V233" i="1"/>
  <c r="N233" i="1"/>
  <c r="V1816" i="1"/>
  <c r="N1816" i="1"/>
  <c r="N761" i="1"/>
  <c r="V761" i="1"/>
  <c r="X5582" i="1" l="1"/>
  <c r="W5582" i="1"/>
  <c r="U5582" i="1"/>
  <c r="P5582" i="1"/>
  <c r="B5582" i="1" s="1"/>
  <c r="L5582" i="1"/>
  <c r="R5582" i="1" l="1"/>
  <c r="S5582" i="1"/>
  <c r="N5582" i="1"/>
  <c r="V5582" i="1"/>
  <c r="X1527" i="1"/>
  <c r="W1527" i="1"/>
  <c r="U1527" i="1"/>
  <c r="P1527" i="1"/>
  <c r="B1527" i="1" s="1"/>
  <c r="L1527" i="1"/>
  <c r="R1527" i="1" l="1"/>
  <c r="S1527" i="1"/>
  <c r="N1527" i="1"/>
  <c r="V1527" i="1"/>
  <c r="X1394" i="1"/>
  <c r="W1394" i="1"/>
  <c r="V1394" i="1"/>
  <c r="U1394" i="1"/>
  <c r="M1394" i="1"/>
  <c r="K1394" i="1"/>
  <c r="I1394" i="1"/>
  <c r="H1394" i="1"/>
  <c r="X1393" i="1"/>
  <c r="W1393" i="1"/>
  <c r="V1393" i="1"/>
  <c r="U1393" i="1"/>
  <c r="N1393" i="1"/>
  <c r="X1392" i="1"/>
  <c r="W1392" i="1"/>
  <c r="U1392" i="1"/>
  <c r="P1392" i="1"/>
  <c r="B1392" i="1" s="1"/>
  <c r="L1392" i="1"/>
  <c r="X1391" i="1"/>
  <c r="W1391" i="1"/>
  <c r="V1391" i="1"/>
  <c r="U1391" i="1"/>
  <c r="N1391" i="1"/>
  <c r="R1392" i="1" l="1"/>
  <c r="S1392" i="1"/>
  <c r="V1392" i="1"/>
  <c r="N1392" i="1"/>
  <c r="N1394" i="1" s="1"/>
  <c r="L1394" i="1"/>
  <c r="M1907" i="1"/>
  <c r="K1907" i="1"/>
  <c r="I1907" i="1"/>
  <c r="H1907" i="1"/>
  <c r="X1904" i="1" l="1"/>
  <c r="W1904" i="1"/>
  <c r="U1904" i="1"/>
  <c r="P1904" i="1"/>
  <c r="B1904" i="1" s="1"/>
  <c r="L1904" i="1"/>
  <c r="N1904" i="1" l="1"/>
  <c r="V1904" i="1"/>
  <c r="X1936" i="1"/>
  <c r="W1936" i="1"/>
  <c r="U1936" i="1"/>
  <c r="P1936" i="1"/>
  <c r="B1936" i="1" s="1"/>
  <c r="L1936" i="1"/>
  <c r="R1936" i="1" l="1"/>
  <c r="S1936" i="1"/>
  <c r="N1936" i="1"/>
  <c r="V1936" i="1"/>
  <c r="X4242" i="1" l="1"/>
  <c r="W4242" i="1"/>
  <c r="V4242" i="1"/>
  <c r="U4242" i="1"/>
  <c r="M4242" i="1"/>
  <c r="K4242" i="1"/>
  <c r="I4242" i="1"/>
  <c r="H4242" i="1"/>
  <c r="X4241" i="1"/>
  <c r="W4241" i="1"/>
  <c r="V4241" i="1"/>
  <c r="U4241" i="1"/>
  <c r="N4241" i="1"/>
  <c r="X4236" i="1"/>
  <c r="W4236" i="1"/>
  <c r="U4236" i="1"/>
  <c r="P4236" i="1"/>
  <c r="B4236" i="1" s="1"/>
  <c r="L4236" i="1"/>
  <c r="X4235" i="1"/>
  <c r="W4235" i="1"/>
  <c r="V4235" i="1"/>
  <c r="U4235" i="1"/>
  <c r="N4235" i="1"/>
  <c r="X4234" i="1"/>
  <c r="W4234" i="1"/>
  <c r="V4234" i="1"/>
  <c r="U4234" i="1"/>
  <c r="N4234" i="1"/>
  <c r="R4236" i="1" l="1"/>
  <c r="S4236" i="1"/>
  <c r="V4236" i="1"/>
  <c r="N4236" i="1"/>
  <c r="N4242" i="1" s="1"/>
  <c r="L4242" i="1"/>
  <c r="X5104" i="1" l="1"/>
  <c r="W5104" i="1"/>
  <c r="U5104" i="1"/>
  <c r="P5104" i="1"/>
  <c r="B5104" i="1" s="1"/>
  <c r="L5104" i="1"/>
  <c r="R5104" i="1" l="1"/>
  <c r="S5104" i="1"/>
  <c r="V5104" i="1"/>
  <c r="N5104" i="1"/>
  <c r="X1319" i="1"/>
  <c r="W1319" i="1"/>
  <c r="U1319" i="1"/>
  <c r="P1319" i="1"/>
  <c r="B1319" i="1" s="1"/>
  <c r="L1319" i="1"/>
  <c r="R1319" i="1" l="1"/>
  <c r="S1319" i="1"/>
  <c r="N1319" i="1"/>
  <c r="V1319" i="1"/>
  <c r="X4071" i="1" l="1"/>
  <c r="W4071" i="1"/>
  <c r="U4071" i="1"/>
  <c r="P4071" i="1"/>
  <c r="B4071" i="1" s="1"/>
  <c r="L4071" i="1"/>
  <c r="R4071" i="1" l="1"/>
  <c r="S4071" i="1"/>
  <c r="N4071" i="1"/>
  <c r="V4071" i="1"/>
  <c r="X2082" i="1"/>
  <c r="W2082" i="1"/>
  <c r="U2082" i="1"/>
  <c r="P2082" i="1"/>
  <c r="B2082" i="1" s="1"/>
  <c r="L2082" i="1"/>
  <c r="R2082" i="1" l="1"/>
  <c r="S2082" i="1"/>
  <c r="N2082" i="1"/>
  <c r="V2082" i="1"/>
  <c r="X1712" i="1"/>
  <c r="W1712" i="1"/>
  <c r="V1712" i="1"/>
  <c r="U1712" i="1"/>
  <c r="M1712" i="1"/>
  <c r="K1712" i="1"/>
  <c r="I1712" i="1"/>
  <c r="H1712" i="1"/>
  <c r="X1711" i="1"/>
  <c r="W1711" i="1"/>
  <c r="V1711" i="1"/>
  <c r="U1711" i="1"/>
  <c r="N1711" i="1"/>
  <c r="X1709" i="1"/>
  <c r="W1709" i="1"/>
  <c r="U1709" i="1"/>
  <c r="P1709" i="1"/>
  <c r="B1709" i="1" s="1"/>
  <c r="L1709" i="1"/>
  <c r="X1708" i="1"/>
  <c r="W1708" i="1"/>
  <c r="V1708" i="1"/>
  <c r="U1708" i="1"/>
  <c r="N1708" i="1"/>
  <c r="X1707" i="1"/>
  <c r="W1707" i="1"/>
  <c r="V1707" i="1"/>
  <c r="U1707" i="1"/>
  <c r="N1707" i="1"/>
  <c r="R1709" i="1" l="1"/>
  <c r="S1709" i="1"/>
  <c r="L1712" i="1"/>
  <c r="V1709" i="1"/>
  <c r="N1709" i="1"/>
  <c r="N1712" i="1" s="1"/>
  <c r="X622" i="1"/>
  <c r="W622" i="1"/>
  <c r="U622" i="1"/>
  <c r="P622" i="1"/>
  <c r="B622" i="1" s="1"/>
  <c r="L622" i="1"/>
  <c r="R622" i="1" l="1"/>
  <c r="S622" i="1"/>
  <c r="V622" i="1"/>
  <c r="N622" i="1"/>
  <c r="X126" i="1" l="1"/>
  <c r="W126" i="1"/>
  <c r="U126" i="1"/>
  <c r="P126" i="1"/>
  <c r="B126" i="1" s="1"/>
  <c r="L126" i="1"/>
  <c r="R126" i="1" l="1"/>
  <c r="S126" i="1"/>
  <c r="V126" i="1"/>
  <c r="N126" i="1"/>
  <c r="L3803" i="1"/>
  <c r="X3803" i="1"/>
  <c r="W3803" i="1"/>
  <c r="U3803" i="1"/>
  <c r="P3803" i="1"/>
  <c r="B3803" i="1" s="1"/>
  <c r="R3803" i="1" l="1"/>
  <c r="S3803" i="1"/>
  <c r="N3803" i="1"/>
  <c r="V3803" i="1"/>
  <c r="X5384" i="1"/>
  <c r="W5384" i="1"/>
  <c r="U5384" i="1"/>
  <c r="P5384" i="1"/>
  <c r="B5384" i="1" s="1"/>
  <c r="L5384" i="1"/>
  <c r="X4894" i="1"/>
  <c r="W4894" i="1"/>
  <c r="U4894" i="1"/>
  <c r="P4894" i="1"/>
  <c r="B4894" i="1" s="1"/>
  <c r="L4894" i="1"/>
  <c r="R5384" i="1" l="1"/>
  <c r="S5384" i="1"/>
  <c r="S4894" i="1"/>
  <c r="R4894" i="1"/>
  <c r="N5384" i="1"/>
  <c r="V5384" i="1"/>
  <c r="N4894" i="1"/>
  <c r="V4894" i="1"/>
  <c r="I1669" i="1"/>
  <c r="X1669" i="1" l="1"/>
  <c r="W1669" i="1"/>
  <c r="U1669" i="1"/>
  <c r="P1669" i="1"/>
  <c r="B1669" i="1" s="1"/>
  <c r="L1669" i="1"/>
  <c r="R1669" i="1" l="1"/>
  <c r="S1669" i="1"/>
  <c r="N1669" i="1"/>
  <c r="V1669" i="1"/>
  <c r="X952" i="1"/>
  <c r="W952" i="1"/>
  <c r="V952" i="1"/>
  <c r="U952" i="1"/>
  <c r="M952" i="1"/>
  <c r="K952" i="1"/>
  <c r="I952" i="1"/>
  <c r="H952" i="1"/>
  <c r="X951" i="1"/>
  <c r="W951" i="1"/>
  <c r="V951" i="1"/>
  <c r="U951" i="1"/>
  <c r="N951" i="1"/>
  <c r="X945" i="1"/>
  <c r="W945" i="1"/>
  <c r="U945" i="1"/>
  <c r="P945" i="1"/>
  <c r="B945" i="1" s="1"/>
  <c r="L945" i="1"/>
  <c r="X944" i="1"/>
  <c r="W944" i="1"/>
  <c r="V944" i="1"/>
  <c r="U944" i="1"/>
  <c r="N944" i="1"/>
  <c r="X943" i="1"/>
  <c r="W943" i="1"/>
  <c r="V943" i="1"/>
  <c r="U943" i="1"/>
  <c r="N943" i="1"/>
  <c r="R945" i="1" l="1"/>
  <c r="S945" i="1"/>
  <c r="V945" i="1"/>
  <c r="N945" i="1"/>
  <c r="L952" i="1"/>
  <c r="N952" i="1" l="1"/>
  <c r="X5700" i="1" l="1"/>
  <c r="W5700" i="1"/>
  <c r="U5700" i="1"/>
  <c r="P5700" i="1"/>
  <c r="B5700" i="1" s="1"/>
  <c r="L5700" i="1"/>
  <c r="L1766" i="1"/>
  <c r="X1766" i="1"/>
  <c r="W1766" i="1"/>
  <c r="U1766" i="1"/>
  <c r="P1766" i="1"/>
  <c r="B1766" i="1" s="1"/>
  <c r="X6408" i="1"/>
  <c r="W6408" i="1"/>
  <c r="V6408" i="1"/>
  <c r="U6408" i="1"/>
  <c r="M6408" i="1"/>
  <c r="K6408" i="1"/>
  <c r="I6408" i="1"/>
  <c r="H6408" i="1"/>
  <c r="X6407" i="1"/>
  <c r="W6407" i="1"/>
  <c r="V6407" i="1"/>
  <c r="U6407" i="1"/>
  <c r="N6407" i="1"/>
  <c r="X6406" i="1"/>
  <c r="W6406" i="1"/>
  <c r="U6406" i="1"/>
  <c r="P6406" i="1"/>
  <c r="B6406" i="1" s="1"/>
  <c r="L6406" i="1"/>
  <c r="X6405" i="1"/>
  <c r="W6405" i="1"/>
  <c r="V6405" i="1"/>
  <c r="U6405" i="1"/>
  <c r="N6405" i="1"/>
  <c r="X6404" i="1"/>
  <c r="W6404" i="1"/>
  <c r="V6404" i="1"/>
  <c r="U6404" i="1"/>
  <c r="N6404" i="1"/>
  <c r="X46" i="1"/>
  <c r="W46" i="1"/>
  <c r="U46" i="1"/>
  <c r="P46" i="1"/>
  <c r="B46" i="1" s="1"/>
  <c r="L46" i="1"/>
  <c r="S5700" i="1" l="1"/>
  <c r="R5700" i="1"/>
  <c r="R1766" i="1"/>
  <c r="S1766" i="1"/>
  <c r="R46" i="1"/>
  <c r="S46" i="1"/>
  <c r="R6406" i="1"/>
  <c r="S6406" i="1"/>
  <c r="N5700" i="1"/>
  <c r="V5700" i="1"/>
  <c r="V1766" i="1"/>
  <c r="N1766" i="1"/>
  <c r="L6408" i="1"/>
  <c r="V6406" i="1"/>
  <c r="N6406" i="1"/>
  <c r="N6408" i="1" s="1"/>
  <c r="V46" i="1"/>
  <c r="N46" i="1"/>
  <c r="X4337" i="1"/>
  <c r="W4337" i="1"/>
  <c r="U4337" i="1"/>
  <c r="P4337" i="1"/>
  <c r="B4337" i="1" s="1"/>
  <c r="L4337" i="1"/>
  <c r="S4337" i="1" l="1"/>
  <c r="R4337" i="1"/>
  <c r="N4337" i="1"/>
  <c r="V4337" i="1"/>
  <c r="X4575" i="1"/>
  <c r="W4575" i="1"/>
  <c r="U4575" i="1"/>
  <c r="P4575" i="1"/>
  <c r="B4575" i="1" s="1"/>
  <c r="L4575" i="1"/>
  <c r="R4575" i="1" l="1"/>
  <c r="S4575" i="1"/>
  <c r="N4575" i="1"/>
  <c r="V4575" i="1"/>
  <c r="X5039" i="1"/>
  <c r="W5039" i="1"/>
  <c r="U5039" i="1"/>
  <c r="P5039" i="1"/>
  <c r="B5039" i="1" s="1"/>
  <c r="L5039" i="1"/>
  <c r="R5039" i="1" l="1"/>
  <c r="S5039" i="1"/>
  <c r="N5039" i="1"/>
  <c r="V5039" i="1"/>
  <c r="X1844" i="1"/>
  <c r="W1844" i="1"/>
  <c r="U1844" i="1"/>
  <c r="P1844" i="1"/>
  <c r="B1844" i="1" s="1"/>
  <c r="L1844" i="1"/>
  <c r="R1844" i="1" l="1"/>
  <c r="S1844" i="1"/>
  <c r="V1844" i="1"/>
  <c r="N1844" i="1"/>
  <c r="X591" i="1"/>
  <c r="W591" i="1"/>
  <c r="U591" i="1"/>
  <c r="P591" i="1"/>
  <c r="B591" i="1" s="1"/>
  <c r="L591" i="1"/>
  <c r="I780" i="1"/>
  <c r="L780" i="1" s="1"/>
  <c r="X780" i="1"/>
  <c r="W780" i="1"/>
  <c r="U780" i="1"/>
  <c r="P780" i="1"/>
  <c r="B780" i="1" s="1"/>
  <c r="R591" i="1" l="1"/>
  <c r="S591" i="1"/>
  <c r="R780" i="1"/>
  <c r="S780" i="1"/>
  <c r="V591" i="1"/>
  <c r="N591" i="1"/>
  <c r="V780" i="1"/>
  <c r="N780" i="1"/>
  <c r="X1851" i="1"/>
  <c r="W1851" i="1"/>
  <c r="U1851" i="1"/>
  <c r="P1851" i="1"/>
  <c r="B1851" i="1" s="1"/>
  <c r="L1851" i="1"/>
  <c r="R1851" i="1" l="1"/>
  <c r="S1851" i="1"/>
  <c r="N1851" i="1"/>
  <c r="V1851" i="1"/>
  <c r="X6713" i="1"/>
  <c r="W6713" i="1"/>
  <c r="V6713" i="1"/>
  <c r="U6713" i="1"/>
  <c r="M6713" i="1"/>
  <c r="K6713" i="1"/>
  <c r="I6713" i="1"/>
  <c r="H6713" i="1"/>
  <c r="X6712" i="1"/>
  <c r="W6712" i="1"/>
  <c r="V6712" i="1"/>
  <c r="U6712" i="1"/>
  <c r="N6712" i="1"/>
  <c r="X6710" i="1"/>
  <c r="W6710" i="1"/>
  <c r="U6710" i="1"/>
  <c r="P6710" i="1"/>
  <c r="B6710" i="1" s="1"/>
  <c r="L6710" i="1"/>
  <c r="X6709" i="1"/>
  <c r="W6709" i="1"/>
  <c r="V6709" i="1"/>
  <c r="U6709" i="1"/>
  <c r="N6709" i="1"/>
  <c r="X6708" i="1"/>
  <c r="W6708" i="1"/>
  <c r="V6708" i="1"/>
  <c r="U6708" i="1"/>
  <c r="N6708" i="1"/>
  <c r="S6710" i="1" l="1"/>
  <c r="R6710" i="1"/>
  <c r="V6710" i="1"/>
  <c r="N6710" i="1"/>
  <c r="N6713" i="1" s="1"/>
  <c r="L6713" i="1"/>
  <c r="X670" i="1" l="1"/>
  <c r="W670" i="1"/>
  <c r="U670" i="1"/>
  <c r="P670" i="1"/>
  <c r="B670" i="1" s="1"/>
  <c r="L670" i="1"/>
  <c r="R670" i="1" l="1"/>
  <c r="S670" i="1"/>
  <c r="N670" i="1"/>
  <c r="V670" i="1"/>
  <c r="X6241" i="1" l="1"/>
  <c r="W6241" i="1"/>
  <c r="U6241" i="1"/>
  <c r="P6241" i="1"/>
  <c r="B6241" i="1" s="1"/>
  <c r="L6241" i="1"/>
  <c r="X6535" i="1"/>
  <c r="W6535" i="1"/>
  <c r="U6535" i="1"/>
  <c r="P6535" i="1"/>
  <c r="B6535" i="1" s="1"/>
  <c r="L6535" i="1"/>
  <c r="X5226" i="1"/>
  <c r="W5226" i="1"/>
  <c r="U5226" i="1"/>
  <c r="P5226" i="1"/>
  <c r="B5226" i="1" s="1"/>
  <c r="L5226" i="1"/>
  <c r="R6535" i="1" l="1"/>
  <c r="S6535" i="1"/>
  <c r="R6241" i="1"/>
  <c r="S6241" i="1"/>
  <c r="R5226" i="1"/>
  <c r="S5226" i="1"/>
  <c r="N6535" i="1"/>
  <c r="N6241" i="1"/>
  <c r="V6241" i="1"/>
  <c r="V6535" i="1"/>
  <c r="N5226" i="1"/>
  <c r="V5226" i="1"/>
  <c r="X6759" i="1"/>
  <c r="W6759" i="1"/>
  <c r="V6759" i="1"/>
  <c r="U6759" i="1"/>
  <c r="M6759" i="1"/>
  <c r="K6759" i="1"/>
  <c r="I6759" i="1"/>
  <c r="H6759" i="1"/>
  <c r="X6758" i="1"/>
  <c r="W6758" i="1"/>
  <c r="V6758" i="1"/>
  <c r="U6758" i="1"/>
  <c r="N6758" i="1"/>
  <c r="X6755" i="1"/>
  <c r="W6755" i="1"/>
  <c r="U6755" i="1"/>
  <c r="P6755" i="1"/>
  <c r="B6755" i="1" s="1"/>
  <c r="L6755" i="1"/>
  <c r="X6754" i="1"/>
  <c r="W6754" i="1"/>
  <c r="V6754" i="1"/>
  <c r="U6754" i="1"/>
  <c r="N6754" i="1"/>
  <c r="X6753" i="1"/>
  <c r="W6753" i="1"/>
  <c r="V6753" i="1"/>
  <c r="U6753" i="1"/>
  <c r="N6753" i="1"/>
  <c r="S6755" i="1" l="1"/>
  <c r="R6755" i="1"/>
  <c r="N6755" i="1"/>
  <c r="N6759" i="1" s="1"/>
  <c r="L6759" i="1"/>
  <c r="V6755" i="1"/>
  <c r="X4051" i="1"/>
  <c r="W4051" i="1"/>
  <c r="U4051" i="1"/>
  <c r="P4051" i="1"/>
  <c r="B4051" i="1" s="1"/>
  <c r="L4051" i="1"/>
  <c r="R4051" i="1" l="1"/>
  <c r="S4051" i="1"/>
  <c r="V4051" i="1"/>
  <c r="N4051" i="1"/>
  <c r="X766" i="1" l="1"/>
  <c r="W766" i="1"/>
  <c r="U766" i="1"/>
  <c r="P766" i="1"/>
  <c r="B766" i="1" s="1"/>
  <c r="L766" i="1"/>
  <c r="X81" i="1"/>
  <c r="W81" i="1"/>
  <c r="U81" i="1"/>
  <c r="P81" i="1"/>
  <c r="B81" i="1" s="1"/>
  <c r="L81" i="1"/>
  <c r="X1504" i="1"/>
  <c r="W1504" i="1"/>
  <c r="U1504" i="1"/>
  <c r="P1504" i="1"/>
  <c r="B1504" i="1" s="1"/>
  <c r="L1504" i="1"/>
  <c r="R81" i="1" l="1"/>
  <c r="S81" i="1"/>
  <c r="R766" i="1"/>
  <c r="S766" i="1"/>
  <c r="R1504" i="1"/>
  <c r="S1504" i="1"/>
  <c r="N1504" i="1"/>
  <c r="N81" i="1"/>
  <c r="N766" i="1"/>
  <c r="V766" i="1"/>
  <c r="V81" i="1"/>
  <c r="V1504" i="1"/>
  <c r="X1562" i="1" l="1"/>
  <c r="W1562" i="1"/>
  <c r="U1562" i="1"/>
  <c r="P1562" i="1"/>
  <c r="B1562" i="1" s="1"/>
  <c r="L1562" i="1"/>
  <c r="R1562" i="1" l="1"/>
  <c r="S1562" i="1"/>
  <c r="V1562" i="1"/>
  <c r="N1562" i="1"/>
  <c r="L287" i="1"/>
  <c r="X287" i="1"/>
  <c r="W287" i="1"/>
  <c r="U287" i="1"/>
  <c r="P287" i="1"/>
  <c r="B287" i="1" s="1"/>
  <c r="X4977" i="1"/>
  <c r="W4977" i="1"/>
  <c r="U4977" i="1"/>
  <c r="P4977" i="1"/>
  <c r="B4977" i="1" s="1"/>
  <c r="L4977" i="1"/>
  <c r="S287" i="1" l="1"/>
  <c r="R287" i="1"/>
  <c r="S4977" i="1"/>
  <c r="R4977" i="1"/>
  <c r="N287" i="1"/>
  <c r="N4977" i="1"/>
  <c r="V287" i="1"/>
  <c r="V4977" i="1"/>
  <c r="X5831" i="1"/>
  <c r="W5831" i="1"/>
  <c r="U5831" i="1"/>
  <c r="P5831" i="1"/>
  <c r="B5831" i="1" s="1"/>
  <c r="L5831" i="1"/>
  <c r="R5831" i="1" l="1"/>
  <c r="S5831" i="1"/>
  <c r="V5831" i="1"/>
  <c r="N5831" i="1"/>
  <c r="X1846" i="1" l="1"/>
  <c r="W1846" i="1"/>
  <c r="U1846" i="1"/>
  <c r="P1846" i="1"/>
  <c r="B1846" i="1" s="1"/>
  <c r="L1846" i="1"/>
  <c r="R1846" i="1" l="1"/>
  <c r="S1846" i="1"/>
  <c r="N1846" i="1"/>
  <c r="V1846" i="1"/>
  <c r="X72" i="1"/>
  <c r="W72" i="1"/>
  <c r="V72" i="1"/>
  <c r="U72" i="1"/>
  <c r="M72" i="1"/>
  <c r="K72" i="1"/>
  <c r="I72" i="1"/>
  <c r="X71" i="1"/>
  <c r="W71" i="1"/>
  <c r="V71" i="1"/>
  <c r="U71" i="1"/>
  <c r="N71" i="1"/>
  <c r="X70" i="1"/>
  <c r="W70" i="1"/>
  <c r="U70" i="1"/>
  <c r="P70" i="1"/>
  <c r="B70" i="1" s="1"/>
  <c r="H70" i="1"/>
  <c r="H72" i="1" s="1"/>
  <c r="X69" i="1"/>
  <c r="W69" i="1"/>
  <c r="V69" i="1"/>
  <c r="U69" i="1"/>
  <c r="N69" i="1"/>
  <c r="X68" i="1"/>
  <c r="W68" i="1"/>
  <c r="V68" i="1"/>
  <c r="U68" i="1"/>
  <c r="N68" i="1"/>
  <c r="L70" i="1" l="1"/>
  <c r="X3989" i="1"/>
  <c r="W3989" i="1"/>
  <c r="U3989" i="1"/>
  <c r="P3989" i="1"/>
  <c r="B3989" i="1" s="1"/>
  <c r="L3989" i="1"/>
  <c r="R3989" i="1" l="1"/>
  <c r="S3989" i="1"/>
  <c r="R70" i="1"/>
  <c r="S70" i="1"/>
  <c r="V70" i="1"/>
  <c r="N70" i="1"/>
  <c r="N72" i="1" s="1"/>
  <c r="L72" i="1"/>
  <c r="N3989" i="1"/>
  <c r="V3989" i="1"/>
  <c r="X6338" i="1"/>
  <c r="W6338" i="1"/>
  <c r="U6338" i="1"/>
  <c r="P6338" i="1"/>
  <c r="B6338" i="1" s="1"/>
  <c r="L6338" i="1"/>
  <c r="R6338" i="1" l="1"/>
  <c r="S6338" i="1"/>
  <c r="V6338" i="1"/>
  <c r="N6338" i="1"/>
  <c r="X5821" i="1" l="1"/>
  <c r="W5821" i="1"/>
  <c r="U5821" i="1"/>
  <c r="P5821" i="1"/>
  <c r="B5821" i="1" s="1"/>
  <c r="L5821" i="1"/>
  <c r="R5821" i="1" l="1"/>
  <c r="S5821" i="1"/>
  <c r="V5821" i="1"/>
  <c r="N5821" i="1"/>
  <c r="X2171" i="1"/>
  <c r="W2171" i="1"/>
  <c r="U2171" i="1"/>
  <c r="P2171" i="1"/>
  <c r="B2171" i="1" s="1"/>
  <c r="L2171" i="1"/>
  <c r="X2172" i="1"/>
  <c r="W2172" i="1"/>
  <c r="U2172" i="1"/>
  <c r="P2172" i="1"/>
  <c r="B2172" i="1" s="1"/>
  <c r="L2172" i="1"/>
  <c r="X5607" i="1"/>
  <c r="W5607" i="1"/>
  <c r="U5607" i="1"/>
  <c r="P5607" i="1"/>
  <c r="B5607" i="1" s="1"/>
  <c r="L5607" i="1"/>
  <c r="X5608" i="1"/>
  <c r="W5608" i="1"/>
  <c r="U5608" i="1"/>
  <c r="P5608" i="1"/>
  <c r="B5608" i="1" s="1"/>
  <c r="L5608" i="1"/>
  <c r="X4339" i="1"/>
  <c r="W4339" i="1"/>
  <c r="V4339" i="1"/>
  <c r="U4339" i="1"/>
  <c r="M4339" i="1"/>
  <c r="K4339" i="1"/>
  <c r="I4339" i="1"/>
  <c r="H4339" i="1"/>
  <c r="X4338" i="1"/>
  <c r="W4338" i="1"/>
  <c r="V4338" i="1"/>
  <c r="U4338" i="1"/>
  <c r="N4338" i="1"/>
  <c r="X4336" i="1"/>
  <c r="W4336" i="1"/>
  <c r="U4336" i="1"/>
  <c r="P4336" i="1"/>
  <c r="B4336" i="1" s="1"/>
  <c r="L4336" i="1"/>
  <c r="X4335" i="1"/>
  <c r="W4335" i="1"/>
  <c r="V4335" i="1"/>
  <c r="U4335" i="1"/>
  <c r="N4335" i="1"/>
  <c r="X4334" i="1"/>
  <c r="W4334" i="1"/>
  <c r="V4334" i="1"/>
  <c r="U4334" i="1"/>
  <c r="N4334" i="1"/>
  <c r="R5608" i="1" l="1"/>
  <c r="S5608" i="1"/>
  <c r="S5607" i="1"/>
  <c r="R5607" i="1"/>
  <c r="R4336" i="1"/>
  <c r="S4336" i="1"/>
  <c r="R2172" i="1"/>
  <c r="S2172" i="1"/>
  <c r="R2171" i="1"/>
  <c r="S2171" i="1"/>
  <c r="N2172" i="1"/>
  <c r="V2171" i="1"/>
  <c r="L4339" i="1"/>
  <c r="V5607" i="1"/>
  <c r="V5608" i="1"/>
  <c r="N2171" i="1"/>
  <c r="V2172" i="1"/>
  <c r="N5607" i="1"/>
  <c r="N5608" i="1"/>
  <c r="V4336" i="1"/>
  <c r="N4336" i="1"/>
  <c r="N4339" i="1" s="1"/>
  <c r="X6617" i="1" l="1"/>
  <c r="W6617" i="1"/>
  <c r="U6617" i="1"/>
  <c r="P6617" i="1"/>
  <c r="B6617" i="1" s="1"/>
  <c r="L6617" i="1"/>
  <c r="X1843" i="1"/>
  <c r="W1843" i="1"/>
  <c r="U1843" i="1"/>
  <c r="P1843" i="1"/>
  <c r="B1843" i="1" s="1"/>
  <c r="L1843" i="1"/>
  <c r="R1843" i="1" l="1"/>
  <c r="S1843" i="1"/>
  <c r="R6617" i="1"/>
  <c r="S6617" i="1"/>
  <c r="N6617" i="1"/>
  <c r="V6617" i="1"/>
  <c r="V1843" i="1"/>
  <c r="N1843" i="1"/>
  <c r="X3400" i="1" l="1"/>
  <c r="W3400" i="1"/>
  <c r="U3400" i="1"/>
  <c r="P3400" i="1"/>
  <c r="B3400" i="1" s="1"/>
  <c r="L3400" i="1"/>
  <c r="R3400" i="1" l="1"/>
  <c r="S3400" i="1"/>
  <c r="N3400" i="1"/>
  <c r="V3400" i="1"/>
  <c r="X4217" i="1"/>
  <c r="W4217" i="1"/>
  <c r="U4217" i="1"/>
  <c r="P4217" i="1"/>
  <c r="B4217" i="1" s="1"/>
  <c r="L4217" i="1"/>
  <c r="R4217" i="1" l="1"/>
  <c r="S4217" i="1"/>
  <c r="N4217" i="1"/>
  <c r="V4217" i="1"/>
  <c r="L384" i="1"/>
  <c r="X384" i="1"/>
  <c r="W384" i="1"/>
  <c r="U384" i="1"/>
  <c r="P384" i="1"/>
  <c r="B384" i="1" s="1"/>
  <c r="R384" i="1" l="1"/>
  <c r="S384" i="1"/>
  <c r="N384" i="1"/>
  <c r="V384" i="1"/>
  <c r="X1924" i="1"/>
  <c r="W1924" i="1"/>
  <c r="L1924" i="1"/>
  <c r="U1924" i="1"/>
  <c r="P1924" i="1"/>
  <c r="B1924" i="1" s="1"/>
  <c r="X621" i="1"/>
  <c r="W621" i="1"/>
  <c r="L621" i="1"/>
  <c r="U621" i="1"/>
  <c r="P621" i="1"/>
  <c r="B621" i="1" s="1"/>
  <c r="X5560" i="1"/>
  <c r="W5560" i="1"/>
  <c r="L5560" i="1"/>
  <c r="U5560" i="1"/>
  <c r="P5560" i="1"/>
  <c r="B5560" i="1" s="1"/>
  <c r="X1226" i="1"/>
  <c r="W1226" i="1"/>
  <c r="L1226" i="1"/>
  <c r="U1226" i="1"/>
  <c r="P1226" i="1"/>
  <c r="B1226" i="1" s="1"/>
  <c r="L5162" i="1"/>
  <c r="L5161" i="1"/>
  <c r="L4794" i="1"/>
  <c r="L3925" i="1"/>
  <c r="L846" i="1"/>
  <c r="L504" i="1"/>
  <c r="X5455" i="1"/>
  <c r="W5455" i="1"/>
  <c r="U5455" i="1"/>
  <c r="P5455" i="1"/>
  <c r="B5455" i="1" s="1"/>
  <c r="L5455" i="1"/>
  <c r="X504" i="1"/>
  <c r="W504" i="1"/>
  <c r="U504" i="1"/>
  <c r="P504" i="1"/>
  <c r="B504" i="1" s="1"/>
  <c r="X4361" i="1"/>
  <c r="W4361" i="1"/>
  <c r="V4361" i="1"/>
  <c r="U4361" i="1"/>
  <c r="M4361" i="1"/>
  <c r="K4361" i="1"/>
  <c r="I4361" i="1"/>
  <c r="H4361" i="1"/>
  <c r="X4360" i="1"/>
  <c r="W4360" i="1"/>
  <c r="V4360" i="1"/>
  <c r="U4360" i="1"/>
  <c r="N4360" i="1"/>
  <c r="X4358" i="1"/>
  <c r="W4358" i="1"/>
  <c r="U4358" i="1"/>
  <c r="P4358" i="1"/>
  <c r="B4358" i="1" s="1"/>
  <c r="L4358" i="1"/>
  <c r="X4357" i="1"/>
  <c r="W4357" i="1"/>
  <c r="V4357" i="1"/>
  <c r="U4357" i="1"/>
  <c r="N4357" i="1"/>
  <c r="X4356" i="1"/>
  <c r="W4356" i="1"/>
  <c r="V4356" i="1"/>
  <c r="U4356" i="1"/>
  <c r="N4356" i="1"/>
  <c r="X1643" i="1"/>
  <c r="W1643" i="1"/>
  <c r="U1643" i="1"/>
  <c r="P1643" i="1"/>
  <c r="B1643" i="1" s="1"/>
  <c r="L1643" i="1"/>
  <c r="X5846" i="1"/>
  <c r="W5846" i="1"/>
  <c r="U5846" i="1"/>
  <c r="P5846" i="1"/>
  <c r="B5846" i="1" s="1"/>
  <c r="L5846" i="1"/>
  <c r="X846" i="1"/>
  <c r="W846" i="1"/>
  <c r="U846" i="1"/>
  <c r="P846" i="1"/>
  <c r="B846" i="1" s="1"/>
  <c r="X6361" i="1"/>
  <c r="W6361" i="1"/>
  <c r="U6361" i="1"/>
  <c r="P6361" i="1"/>
  <c r="B6361" i="1" s="1"/>
  <c r="L6361" i="1"/>
  <c r="X722" i="1"/>
  <c r="W722" i="1"/>
  <c r="U722" i="1"/>
  <c r="P722" i="1"/>
  <c r="B722" i="1" s="1"/>
  <c r="L722" i="1"/>
  <c r="X6360" i="1"/>
  <c r="W6360" i="1"/>
  <c r="U6360" i="1"/>
  <c r="P6360" i="1"/>
  <c r="B6360" i="1" s="1"/>
  <c r="L6360" i="1"/>
  <c r="X5797" i="1"/>
  <c r="W5797" i="1"/>
  <c r="U5797" i="1"/>
  <c r="P5797" i="1"/>
  <c r="B5797" i="1" s="1"/>
  <c r="L5797" i="1"/>
  <c r="X5162" i="1"/>
  <c r="W5162" i="1"/>
  <c r="U5162" i="1"/>
  <c r="P5162" i="1"/>
  <c r="B5162" i="1" s="1"/>
  <c r="X5798" i="1"/>
  <c r="W5798" i="1"/>
  <c r="U5798" i="1"/>
  <c r="P5798" i="1"/>
  <c r="B5798" i="1" s="1"/>
  <c r="L5798" i="1"/>
  <c r="X844" i="1"/>
  <c r="W844" i="1"/>
  <c r="U844" i="1"/>
  <c r="P844" i="1"/>
  <c r="B844" i="1" s="1"/>
  <c r="L844" i="1"/>
  <c r="X41" i="1"/>
  <c r="W41" i="1"/>
  <c r="U41" i="1"/>
  <c r="P41" i="1"/>
  <c r="B41" i="1" s="1"/>
  <c r="L41" i="1"/>
  <c r="X4794" i="1"/>
  <c r="W4794" i="1"/>
  <c r="U4794" i="1"/>
  <c r="P4794" i="1"/>
  <c r="B4794" i="1" s="1"/>
  <c r="X3924" i="1"/>
  <c r="W3924" i="1"/>
  <c r="U3924" i="1"/>
  <c r="P3924" i="1"/>
  <c r="B3924" i="1" s="1"/>
  <c r="L3924" i="1"/>
  <c r="L6452" i="1"/>
  <c r="X6450" i="1"/>
  <c r="W6450" i="1"/>
  <c r="U6450" i="1"/>
  <c r="P6450" i="1"/>
  <c r="B6450" i="1" s="1"/>
  <c r="L6450" i="1"/>
  <c r="X3925" i="1"/>
  <c r="W3925" i="1"/>
  <c r="U3925" i="1"/>
  <c r="P3925" i="1"/>
  <c r="B3925" i="1" s="1"/>
  <c r="X5161" i="1"/>
  <c r="W5161" i="1"/>
  <c r="U5161" i="1"/>
  <c r="P5161" i="1"/>
  <c r="B5161" i="1" s="1"/>
  <c r="X4795" i="1"/>
  <c r="W4795" i="1"/>
  <c r="U4795" i="1"/>
  <c r="P4795" i="1"/>
  <c r="B4795" i="1" s="1"/>
  <c r="L4795" i="1"/>
  <c r="X5163" i="1"/>
  <c r="W5163" i="1"/>
  <c r="U5163" i="1"/>
  <c r="P5163" i="1"/>
  <c r="B5163" i="1" s="1"/>
  <c r="L5163" i="1"/>
  <c r="X1869" i="1"/>
  <c r="W1869" i="1"/>
  <c r="U1869" i="1"/>
  <c r="P1869" i="1"/>
  <c r="B1869" i="1" s="1"/>
  <c r="L1869" i="1"/>
  <c r="X5795" i="1"/>
  <c r="W5795" i="1"/>
  <c r="U5795" i="1"/>
  <c r="P5795" i="1"/>
  <c r="B5795" i="1" s="1"/>
  <c r="L5795" i="1"/>
  <c r="X5072" i="1"/>
  <c r="W5072" i="1"/>
  <c r="U5072" i="1"/>
  <c r="P5072" i="1"/>
  <c r="B5072" i="1" s="1"/>
  <c r="L5072" i="1"/>
  <c r="X3701" i="1"/>
  <c r="W3701" i="1"/>
  <c r="U3701" i="1"/>
  <c r="P3701" i="1"/>
  <c r="B3701" i="1" s="1"/>
  <c r="L3701" i="1"/>
  <c r="H6382" i="1"/>
  <c r="X4184" i="1"/>
  <c r="W4184" i="1"/>
  <c r="U4184" i="1"/>
  <c r="P4184" i="1"/>
  <c r="B4184" i="1" s="1"/>
  <c r="L4184" i="1"/>
  <c r="X4802" i="1"/>
  <c r="W4802" i="1"/>
  <c r="U4802" i="1"/>
  <c r="P4802" i="1"/>
  <c r="B4802" i="1" s="1"/>
  <c r="L4802" i="1"/>
  <c r="X1878" i="1"/>
  <c r="W1878" i="1"/>
  <c r="U1878" i="1"/>
  <c r="P1878" i="1"/>
  <c r="B1878" i="1" s="1"/>
  <c r="L1878" i="1"/>
  <c r="X6507" i="1"/>
  <c r="W6507" i="1"/>
  <c r="U6507" i="1"/>
  <c r="P6507" i="1"/>
  <c r="B6507" i="1" s="1"/>
  <c r="L6507" i="1"/>
  <c r="X5916" i="1"/>
  <c r="W5916" i="1"/>
  <c r="V5916" i="1"/>
  <c r="U5916" i="1"/>
  <c r="M5916" i="1"/>
  <c r="K5916" i="1"/>
  <c r="I5916" i="1"/>
  <c r="H5916" i="1"/>
  <c r="X5915" i="1"/>
  <c r="W5915" i="1"/>
  <c r="V5915" i="1"/>
  <c r="U5915" i="1"/>
  <c r="N5915" i="1"/>
  <c r="X5914" i="1"/>
  <c r="W5914" i="1"/>
  <c r="U5914" i="1"/>
  <c r="P5914" i="1"/>
  <c r="B5914" i="1" s="1"/>
  <c r="L5914" i="1"/>
  <c r="X5913" i="1"/>
  <c r="W5913" i="1"/>
  <c r="V5913" i="1"/>
  <c r="U5913" i="1"/>
  <c r="N5913" i="1"/>
  <c r="X5912" i="1"/>
  <c r="W5912" i="1"/>
  <c r="V5912" i="1"/>
  <c r="U5912" i="1"/>
  <c r="N5912" i="1"/>
  <c r="X3909" i="1"/>
  <c r="W3909" i="1"/>
  <c r="V3909" i="1"/>
  <c r="U3909" i="1"/>
  <c r="M3909" i="1"/>
  <c r="K3909" i="1"/>
  <c r="I3909" i="1"/>
  <c r="H3909" i="1"/>
  <c r="X3908" i="1"/>
  <c r="W3908" i="1"/>
  <c r="V3908" i="1"/>
  <c r="U3908" i="1"/>
  <c r="N3908" i="1"/>
  <c r="X3907" i="1"/>
  <c r="W3907" i="1"/>
  <c r="U3907" i="1"/>
  <c r="P3907" i="1"/>
  <c r="B3907" i="1" s="1"/>
  <c r="L3907" i="1"/>
  <c r="X3906" i="1"/>
  <c r="W3906" i="1"/>
  <c r="V3906" i="1"/>
  <c r="U3906" i="1"/>
  <c r="N3906" i="1"/>
  <c r="X3905" i="1"/>
  <c r="W3905" i="1"/>
  <c r="V3905" i="1"/>
  <c r="U3905" i="1"/>
  <c r="N3905" i="1"/>
  <c r="I5559" i="1"/>
  <c r="L5559" i="1" s="1"/>
  <c r="X5559" i="1"/>
  <c r="W5559" i="1"/>
  <c r="U5559" i="1"/>
  <c r="P5559" i="1"/>
  <c r="B5559" i="1" s="1"/>
  <c r="I5004" i="1"/>
  <c r="L5004" i="1" s="1"/>
  <c r="X5004" i="1"/>
  <c r="W5004" i="1"/>
  <c r="U5004" i="1"/>
  <c r="P5004" i="1"/>
  <c r="B5004" i="1" s="1"/>
  <c r="X1812" i="1"/>
  <c r="W1812" i="1"/>
  <c r="V1812" i="1"/>
  <c r="U1812" i="1"/>
  <c r="M1812" i="1"/>
  <c r="K1812" i="1"/>
  <c r="I1812" i="1"/>
  <c r="H1812" i="1"/>
  <c r="X1811" i="1"/>
  <c r="W1811" i="1"/>
  <c r="V1811" i="1"/>
  <c r="U1811" i="1"/>
  <c r="N1811" i="1"/>
  <c r="X1808" i="1"/>
  <c r="W1808" i="1"/>
  <c r="U1808" i="1"/>
  <c r="P1808" i="1"/>
  <c r="B1808" i="1" s="1"/>
  <c r="L1808" i="1"/>
  <c r="X1807" i="1"/>
  <c r="W1807" i="1"/>
  <c r="V1807" i="1"/>
  <c r="U1807" i="1"/>
  <c r="N1807" i="1"/>
  <c r="X1806" i="1"/>
  <c r="W1806" i="1"/>
  <c r="V1806" i="1"/>
  <c r="U1806" i="1"/>
  <c r="N1806" i="1"/>
  <c r="X5067" i="1"/>
  <c r="W5067" i="1"/>
  <c r="U5067" i="1"/>
  <c r="P5067" i="1"/>
  <c r="B5067" i="1" s="1"/>
  <c r="L5067" i="1"/>
  <c r="I4631" i="1"/>
  <c r="L4631" i="1" s="1"/>
  <c r="X4630" i="1"/>
  <c r="W4630" i="1"/>
  <c r="U4630" i="1"/>
  <c r="P4630" i="1"/>
  <c r="B4630" i="1" s="1"/>
  <c r="L4630" i="1"/>
  <c r="X4641" i="1"/>
  <c r="W4641" i="1"/>
  <c r="U4641" i="1"/>
  <c r="P4641" i="1"/>
  <c r="B4641" i="1" s="1"/>
  <c r="L4641" i="1"/>
  <c r="X1801" i="1"/>
  <c r="W1801" i="1"/>
  <c r="U1801" i="1"/>
  <c r="P1801" i="1"/>
  <c r="B1801" i="1" s="1"/>
  <c r="L1801" i="1"/>
  <c r="S1801" i="1" s="1"/>
  <c r="X4887" i="1"/>
  <c r="W4887" i="1"/>
  <c r="U4887" i="1"/>
  <c r="P4887" i="1"/>
  <c r="B4887" i="1" s="1"/>
  <c r="L4887" i="1"/>
  <c r="X4096" i="1"/>
  <c r="W4096" i="1"/>
  <c r="U4096" i="1"/>
  <c r="P4096" i="1"/>
  <c r="B4096" i="1" s="1"/>
  <c r="L4096" i="1"/>
  <c r="X1702" i="1"/>
  <c r="W1702" i="1"/>
  <c r="U1702" i="1"/>
  <c r="P1702" i="1"/>
  <c r="B1702" i="1" s="1"/>
  <c r="L1702" i="1"/>
  <c r="X937" i="1"/>
  <c r="W937" i="1"/>
  <c r="V937" i="1"/>
  <c r="U937" i="1"/>
  <c r="M937" i="1"/>
  <c r="K937" i="1"/>
  <c r="I937" i="1"/>
  <c r="H937" i="1"/>
  <c r="X936" i="1"/>
  <c r="W936" i="1"/>
  <c r="V936" i="1"/>
  <c r="U936" i="1"/>
  <c r="N936" i="1"/>
  <c r="X934" i="1"/>
  <c r="W934" i="1"/>
  <c r="U934" i="1"/>
  <c r="P934" i="1"/>
  <c r="B934" i="1" s="1"/>
  <c r="L934" i="1"/>
  <c r="X933" i="1"/>
  <c r="W933" i="1"/>
  <c r="V933" i="1"/>
  <c r="U933" i="1"/>
  <c r="N933" i="1"/>
  <c r="X932" i="1"/>
  <c r="W932" i="1"/>
  <c r="V932" i="1"/>
  <c r="U932" i="1"/>
  <c r="N932" i="1"/>
  <c r="L6521" i="1"/>
  <c r="V934" i="1"/>
  <c r="X6521" i="1"/>
  <c r="W6521" i="1"/>
  <c r="U6521" i="1"/>
  <c r="P6521" i="1"/>
  <c r="B6521" i="1" s="1"/>
  <c r="X547" i="1"/>
  <c r="W547" i="1"/>
  <c r="U547" i="1"/>
  <c r="P547" i="1"/>
  <c r="B547" i="1" s="1"/>
  <c r="L547" i="1"/>
  <c r="X1417" i="1"/>
  <c r="W1417" i="1"/>
  <c r="U1417" i="1"/>
  <c r="P1417" i="1"/>
  <c r="B1417" i="1" s="1"/>
  <c r="L1417" i="1"/>
  <c r="L3801" i="1"/>
  <c r="X3801" i="1"/>
  <c r="W3801" i="1"/>
  <c r="U3801" i="1"/>
  <c r="P3801" i="1"/>
  <c r="B3801" i="1" s="1"/>
  <c r="X1144" i="1"/>
  <c r="W1144" i="1"/>
  <c r="V1144" i="1"/>
  <c r="U1144" i="1"/>
  <c r="M1144" i="1"/>
  <c r="K1144" i="1"/>
  <c r="I1144" i="1"/>
  <c r="H1144" i="1"/>
  <c r="X1143" i="1"/>
  <c r="W1143" i="1"/>
  <c r="V1143" i="1"/>
  <c r="U1143" i="1"/>
  <c r="N1143" i="1"/>
  <c r="X1142" i="1"/>
  <c r="W1142" i="1"/>
  <c r="U1142" i="1"/>
  <c r="P1142" i="1"/>
  <c r="B1142" i="1" s="1"/>
  <c r="L1142" i="1"/>
  <c r="X1141" i="1"/>
  <c r="W1141" i="1"/>
  <c r="V1141" i="1"/>
  <c r="U1141" i="1"/>
  <c r="N1141" i="1"/>
  <c r="X1140" i="1"/>
  <c r="W1140" i="1"/>
  <c r="V1140" i="1"/>
  <c r="U1140" i="1"/>
  <c r="N1140" i="1"/>
  <c r="X1187" i="1"/>
  <c r="W1187" i="1"/>
  <c r="V1187" i="1"/>
  <c r="U1187" i="1"/>
  <c r="M1187" i="1"/>
  <c r="K1187" i="1"/>
  <c r="I1187" i="1"/>
  <c r="H1187" i="1"/>
  <c r="X1186" i="1"/>
  <c r="W1186" i="1"/>
  <c r="V1186" i="1"/>
  <c r="U1186" i="1"/>
  <c r="N1186" i="1"/>
  <c r="X1185" i="1"/>
  <c r="W1185" i="1"/>
  <c r="U1185" i="1"/>
  <c r="P1185" i="1"/>
  <c r="B1185" i="1" s="1"/>
  <c r="L1185" i="1"/>
  <c r="X1184" i="1"/>
  <c r="W1184" i="1"/>
  <c r="V1184" i="1"/>
  <c r="U1184" i="1"/>
  <c r="N1184" i="1"/>
  <c r="X1183" i="1"/>
  <c r="W1183" i="1"/>
  <c r="V1183" i="1"/>
  <c r="U1183" i="1"/>
  <c r="N1183" i="1"/>
  <c r="X6037" i="1"/>
  <c r="W6037" i="1"/>
  <c r="U6037" i="1"/>
  <c r="P6037" i="1"/>
  <c r="B6037" i="1" s="1"/>
  <c r="L6037" i="1"/>
  <c r="H5033" i="1"/>
  <c r="L5033" i="1" s="1"/>
  <c r="X5033" i="1"/>
  <c r="W5033" i="1"/>
  <c r="U5033" i="1"/>
  <c r="P5033" i="1"/>
  <c r="B5033" i="1" s="1"/>
  <c r="X1666" i="1"/>
  <c r="W1666" i="1"/>
  <c r="U1666" i="1"/>
  <c r="P1666" i="1"/>
  <c r="B1666" i="1" s="1"/>
  <c r="L1666" i="1"/>
  <c r="X1503" i="1"/>
  <c r="W1503" i="1"/>
  <c r="U1503" i="1"/>
  <c r="P1503" i="1"/>
  <c r="B1503" i="1" s="1"/>
  <c r="L1503" i="1"/>
  <c r="X2086" i="1"/>
  <c r="W2086" i="1"/>
  <c r="V2086" i="1"/>
  <c r="U2086" i="1"/>
  <c r="M2086" i="1"/>
  <c r="K2086" i="1"/>
  <c r="I2086" i="1"/>
  <c r="H2086" i="1"/>
  <c r="X2085" i="1"/>
  <c r="W2085" i="1"/>
  <c r="V2085" i="1"/>
  <c r="U2085" i="1"/>
  <c r="N2085" i="1"/>
  <c r="X2078" i="1"/>
  <c r="W2078" i="1"/>
  <c r="U2078" i="1"/>
  <c r="P2078" i="1"/>
  <c r="B2078" i="1" s="1"/>
  <c r="L2078" i="1"/>
  <c r="X2077" i="1"/>
  <c r="W2077" i="1"/>
  <c r="V2077" i="1"/>
  <c r="U2077" i="1"/>
  <c r="N2077" i="1"/>
  <c r="X2076" i="1"/>
  <c r="W2076" i="1"/>
  <c r="V2076" i="1"/>
  <c r="U2076" i="1"/>
  <c r="N2076" i="1"/>
  <c r="X5605" i="1"/>
  <c r="W5605" i="1"/>
  <c r="U5605" i="1"/>
  <c r="P5605" i="1"/>
  <c r="B5605" i="1" s="1"/>
  <c r="L5605" i="1"/>
  <c r="X1749" i="1"/>
  <c r="W1749" i="1"/>
  <c r="V1749" i="1"/>
  <c r="U1749" i="1"/>
  <c r="M1749" i="1"/>
  <c r="H1749" i="1"/>
  <c r="X1748" i="1"/>
  <c r="W1748" i="1"/>
  <c r="V1748" i="1"/>
  <c r="U1748" i="1"/>
  <c r="N1748" i="1"/>
  <c r="I1749" i="1"/>
  <c r="X1746" i="1"/>
  <c r="W1746" i="1"/>
  <c r="U1746" i="1"/>
  <c r="P1746" i="1"/>
  <c r="B1746" i="1" s="1"/>
  <c r="L1746" i="1"/>
  <c r="X1745" i="1"/>
  <c r="W1745" i="1"/>
  <c r="V1745" i="1"/>
  <c r="U1745" i="1"/>
  <c r="N1745" i="1"/>
  <c r="X1744" i="1"/>
  <c r="W1744" i="1"/>
  <c r="V1744" i="1"/>
  <c r="U1744" i="1"/>
  <c r="N1744" i="1"/>
  <c r="K1749" i="1"/>
  <c r="X1194" i="1"/>
  <c r="W1194" i="1"/>
  <c r="V1194" i="1"/>
  <c r="U1194" i="1"/>
  <c r="M1194" i="1"/>
  <c r="K1194" i="1"/>
  <c r="I1194" i="1"/>
  <c r="H1194" i="1"/>
  <c r="X1193" i="1"/>
  <c r="W1193" i="1"/>
  <c r="V1193" i="1"/>
  <c r="U1193" i="1"/>
  <c r="N1193" i="1"/>
  <c r="X1190" i="1"/>
  <c r="W1190" i="1"/>
  <c r="U1190" i="1"/>
  <c r="P1190" i="1"/>
  <c r="B1190" i="1" s="1"/>
  <c r="L1190" i="1"/>
  <c r="X1189" i="1"/>
  <c r="W1189" i="1"/>
  <c r="V1189" i="1"/>
  <c r="U1189" i="1"/>
  <c r="N1189" i="1"/>
  <c r="X1188" i="1"/>
  <c r="W1188" i="1"/>
  <c r="V1188" i="1"/>
  <c r="U1188" i="1"/>
  <c r="N1188" i="1"/>
  <c r="X3966" i="1"/>
  <c r="W3966" i="1"/>
  <c r="U3966" i="1"/>
  <c r="P3966" i="1"/>
  <c r="B3966" i="1" s="1"/>
  <c r="L3966" i="1"/>
  <c r="X4048" i="1"/>
  <c r="W4048" i="1"/>
  <c r="U4048" i="1"/>
  <c r="P4048" i="1"/>
  <c r="B4048" i="1" s="1"/>
  <c r="L4048" i="1"/>
  <c r="X330" i="1"/>
  <c r="W330" i="1"/>
  <c r="U330" i="1"/>
  <c r="P330" i="1"/>
  <c r="B330" i="1" s="1"/>
  <c r="L330" i="1"/>
  <c r="X5587" i="1"/>
  <c r="W5587" i="1"/>
  <c r="U5587" i="1"/>
  <c r="P5587" i="1"/>
  <c r="B5587" i="1" s="1"/>
  <c r="L5587" i="1"/>
  <c r="I5009" i="1"/>
  <c r="L5009" i="1" s="1"/>
  <c r="X5009" i="1"/>
  <c r="W5009" i="1"/>
  <c r="U5009" i="1"/>
  <c r="P5009" i="1"/>
  <c r="B5009" i="1" s="1"/>
  <c r="X6379" i="1"/>
  <c r="W6379" i="1"/>
  <c r="U6379" i="1"/>
  <c r="P6379" i="1"/>
  <c r="B6379" i="1" s="1"/>
  <c r="L6379" i="1"/>
  <c r="X4201" i="1"/>
  <c r="W4201" i="1"/>
  <c r="U4201" i="1"/>
  <c r="P4201" i="1"/>
  <c r="B4201" i="1" s="1"/>
  <c r="L4201" i="1"/>
  <c r="X5646" i="1"/>
  <c r="W5646" i="1"/>
  <c r="U5646" i="1"/>
  <c r="P5646" i="1"/>
  <c r="B5646" i="1" s="1"/>
  <c r="L5646" i="1"/>
  <c r="X4049" i="1"/>
  <c r="W4049" i="1"/>
  <c r="U4049" i="1"/>
  <c r="P4049" i="1"/>
  <c r="B4049" i="1" s="1"/>
  <c r="L4049" i="1"/>
  <c r="I5977" i="1"/>
  <c r="L5977" i="1" s="1"/>
  <c r="X5978" i="1"/>
  <c r="W5978" i="1"/>
  <c r="U5978" i="1"/>
  <c r="P5978" i="1"/>
  <c r="B5978" i="1" s="1"/>
  <c r="L5978" i="1"/>
  <c r="X661" i="1"/>
  <c r="W661" i="1"/>
  <c r="U661" i="1"/>
  <c r="P661" i="1"/>
  <c r="B661" i="1" s="1"/>
  <c r="L661" i="1"/>
  <c r="X5195" i="1"/>
  <c r="W5195" i="1"/>
  <c r="U5195" i="1"/>
  <c r="P5195" i="1"/>
  <c r="B5195" i="1" s="1"/>
  <c r="L5195" i="1"/>
  <c r="X5614" i="1"/>
  <c r="W5614" i="1"/>
  <c r="U5614" i="1"/>
  <c r="P5614" i="1"/>
  <c r="B5614" i="1" s="1"/>
  <c r="L5614" i="1"/>
  <c r="X2207" i="1"/>
  <c r="W2207" i="1"/>
  <c r="U2207" i="1"/>
  <c r="P2207" i="1"/>
  <c r="B2207" i="1" s="1"/>
  <c r="L2207" i="1"/>
  <c r="X1847" i="1"/>
  <c r="W1847" i="1"/>
  <c r="U1847" i="1"/>
  <c r="P1847" i="1"/>
  <c r="B1847" i="1" s="1"/>
  <c r="L1847" i="1"/>
  <c r="X5597" i="1"/>
  <c r="W5597" i="1"/>
  <c r="U5597" i="1"/>
  <c r="P5597" i="1"/>
  <c r="B5597" i="1" s="1"/>
  <c r="L5597" i="1"/>
  <c r="X1456" i="1"/>
  <c r="W1456" i="1"/>
  <c r="U1456" i="1"/>
  <c r="P1456" i="1"/>
  <c r="B1456" i="1" s="1"/>
  <c r="L1456" i="1"/>
  <c r="X1309" i="1"/>
  <c r="W1309" i="1"/>
  <c r="U1309" i="1"/>
  <c r="P1309" i="1"/>
  <c r="B1309" i="1" s="1"/>
  <c r="L1309" i="1"/>
  <c r="X1297" i="1"/>
  <c r="W1297" i="1"/>
  <c r="U1297" i="1"/>
  <c r="P1297" i="1"/>
  <c r="B1297" i="1" s="1"/>
  <c r="L1297" i="1"/>
  <c r="X521" i="1"/>
  <c r="W521" i="1"/>
  <c r="V521" i="1"/>
  <c r="U521" i="1"/>
  <c r="M521" i="1"/>
  <c r="K521" i="1"/>
  <c r="I521" i="1"/>
  <c r="H521" i="1"/>
  <c r="X520" i="1"/>
  <c r="W520" i="1"/>
  <c r="V520" i="1"/>
  <c r="U520" i="1"/>
  <c r="N520" i="1"/>
  <c r="X517" i="1"/>
  <c r="W517" i="1"/>
  <c r="U517" i="1"/>
  <c r="P517" i="1"/>
  <c r="B517" i="1" s="1"/>
  <c r="L517" i="1"/>
  <c r="X516" i="1"/>
  <c r="W516" i="1"/>
  <c r="V516" i="1"/>
  <c r="U516" i="1"/>
  <c r="N516" i="1"/>
  <c r="X515" i="1"/>
  <c r="W515" i="1"/>
  <c r="V515" i="1"/>
  <c r="U515" i="1"/>
  <c r="N515" i="1"/>
  <c r="X6388" i="1"/>
  <c r="W6388" i="1"/>
  <c r="U6388" i="1"/>
  <c r="P6388" i="1"/>
  <c r="B6388" i="1" s="1"/>
  <c r="L6388" i="1"/>
  <c r="X289" i="1"/>
  <c r="W289" i="1"/>
  <c r="U289" i="1"/>
  <c r="P289" i="1"/>
  <c r="B289" i="1" s="1"/>
  <c r="L289" i="1"/>
  <c r="X264" i="1"/>
  <c r="W264" i="1"/>
  <c r="V264" i="1"/>
  <c r="U264" i="1"/>
  <c r="M264" i="1"/>
  <c r="K264" i="1"/>
  <c r="I264" i="1"/>
  <c r="H264" i="1"/>
  <c r="X263" i="1"/>
  <c r="W263" i="1"/>
  <c r="V263" i="1"/>
  <c r="U263" i="1"/>
  <c r="N263" i="1"/>
  <c r="X259" i="1"/>
  <c r="W259" i="1"/>
  <c r="U259" i="1"/>
  <c r="P259" i="1"/>
  <c r="B259" i="1" s="1"/>
  <c r="L259" i="1"/>
  <c r="X258" i="1"/>
  <c r="W258" i="1"/>
  <c r="V258" i="1"/>
  <c r="U258" i="1"/>
  <c r="N258" i="1"/>
  <c r="X257" i="1"/>
  <c r="W257" i="1"/>
  <c r="V257" i="1"/>
  <c r="U257" i="1"/>
  <c r="N257" i="1"/>
  <c r="X6061" i="1"/>
  <c r="W6061" i="1"/>
  <c r="U6061" i="1"/>
  <c r="P6061" i="1"/>
  <c r="B6061" i="1" s="1"/>
  <c r="L6061" i="1"/>
  <c r="X3750" i="1"/>
  <c r="W3750" i="1"/>
  <c r="U3750" i="1"/>
  <c r="P3750" i="1"/>
  <c r="B3750" i="1" s="1"/>
  <c r="L3750" i="1"/>
  <c r="X5322" i="1"/>
  <c r="W5322" i="1"/>
  <c r="U5322" i="1"/>
  <c r="P5322" i="1"/>
  <c r="B5322" i="1" s="1"/>
  <c r="L5322" i="1"/>
  <c r="X1736" i="1"/>
  <c r="W1736" i="1"/>
  <c r="U1736" i="1"/>
  <c r="P1736" i="1"/>
  <c r="B1736" i="1" s="1"/>
  <c r="L1736" i="1"/>
  <c r="X1505" i="1"/>
  <c r="W1505" i="1"/>
  <c r="U1505" i="1"/>
  <c r="P1505" i="1"/>
  <c r="B1505" i="1" s="1"/>
  <c r="L1505" i="1"/>
  <c r="X5228" i="1"/>
  <c r="W5228" i="1"/>
  <c r="U5228" i="1"/>
  <c r="P5228" i="1"/>
  <c r="B5228" i="1" s="1"/>
  <c r="L5228" i="1"/>
  <c r="X1635" i="1"/>
  <c r="W1635" i="1"/>
  <c r="U1635" i="1"/>
  <c r="P1635" i="1"/>
  <c r="B1635" i="1" s="1"/>
  <c r="L1635" i="1"/>
  <c r="L3704" i="1"/>
  <c r="X3704" i="1"/>
  <c r="W3704" i="1"/>
  <c r="U3704" i="1"/>
  <c r="P3704" i="1"/>
  <c r="B3704" i="1" s="1"/>
  <c r="X680" i="1"/>
  <c r="W680" i="1"/>
  <c r="U680" i="1"/>
  <c r="P680" i="1"/>
  <c r="B680" i="1" s="1"/>
  <c r="L680" i="1"/>
  <c r="X356" i="1"/>
  <c r="W356" i="1"/>
  <c r="U356" i="1"/>
  <c r="P356" i="1"/>
  <c r="B356" i="1" s="1"/>
  <c r="L356" i="1"/>
  <c r="X1458" i="1"/>
  <c r="W1458" i="1"/>
  <c r="U1458" i="1"/>
  <c r="P1458" i="1"/>
  <c r="B1458" i="1" s="1"/>
  <c r="L1458" i="1"/>
  <c r="X5340" i="1"/>
  <c r="W5340" i="1"/>
  <c r="U5340" i="1"/>
  <c r="P5340" i="1"/>
  <c r="B5340" i="1" s="1"/>
  <c r="L5340" i="1"/>
  <c r="X5959" i="1"/>
  <c r="W5959" i="1"/>
  <c r="U5959" i="1"/>
  <c r="P5959" i="1"/>
  <c r="B5959" i="1" s="1"/>
  <c r="L5959" i="1"/>
  <c r="X1907" i="1"/>
  <c r="W1907" i="1"/>
  <c r="V1907" i="1"/>
  <c r="U1907" i="1"/>
  <c r="X1906" i="1"/>
  <c r="W1906" i="1"/>
  <c r="V1906" i="1"/>
  <c r="U1906" i="1"/>
  <c r="N1906" i="1"/>
  <c r="X1905" i="1"/>
  <c r="W1905" i="1"/>
  <c r="U1905" i="1"/>
  <c r="P1905" i="1"/>
  <c r="B1905" i="1" s="1"/>
  <c r="L1905" i="1"/>
  <c r="X1903" i="1"/>
  <c r="W1903" i="1"/>
  <c r="V1903" i="1"/>
  <c r="U1903" i="1"/>
  <c r="N1903" i="1"/>
  <c r="X1902" i="1"/>
  <c r="W1902" i="1"/>
  <c r="V1902" i="1"/>
  <c r="U1902" i="1"/>
  <c r="N1902" i="1"/>
  <c r="X3992" i="1"/>
  <c r="W3992" i="1"/>
  <c r="U3992" i="1"/>
  <c r="P3992" i="1"/>
  <c r="B3992" i="1" s="1"/>
  <c r="L3992" i="1"/>
  <c r="K5214" i="1"/>
  <c r="X5214" i="1"/>
  <c r="W5214" i="1"/>
  <c r="V5214" i="1"/>
  <c r="U5214" i="1"/>
  <c r="M5214" i="1"/>
  <c r="I5214" i="1"/>
  <c r="H5214" i="1"/>
  <c r="X5213" i="1"/>
  <c r="W5213" i="1"/>
  <c r="V5213" i="1"/>
  <c r="U5213" i="1"/>
  <c r="N5213" i="1"/>
  <c r="X5211" i="1"/>
  <c r="W5211" i="1"/>
  <c r="U5211" i="1"/>
  <c r="P5211" i="1"/>
  <c r="B5211" i="1" s="1"/>
  <c r="X5210" i="1"/>
  <c r="W5210" i="1"/>
  <c r="V5210" i="1"/>
  <c r="U5210" i="1"/>
  <c r="N5210" i="1"/>
  <c r="X5209" i="1"/>
  <c r="W5209" i="1"/>
  <c r="V5209" i="1"/>
  <c r="U5209" i="1"/>
  <c r="N5209" i="1"/>
  <c r="I511" i="1"/>
  <c r="L511" i="1" s="1"/>
  <c r="X511" i="1"/>
  <c r="W511" i="1"/>
  <c r="U511" i="1"/>
  <c r="P511" i="1"/>
  <c r="B511" i="1" s="1"/>
  <c r="X99" i="1"/>
  <c r="W99" i="1"/>
  <c r="U99" i="1"/>
  <c r="P99" i="1"/>
  <c r="B99" i="1" s="1"/>
  <c r="L99" i="1"/>
  <c r="X6769" i="1"/>
  <c r="W6769" i="1"/>
  <c r="V6769" i="1"/>
  <c r="U6769" i="1"/>
  <c r="M6769" i="1"/>
  <c r="K6769" i="1"/>
  <c r="I6769" i="1"/>
  <c r="H6769" i="1"/>
  <c r="X6768" i="1"/>
  <c r="W6768" i="1"/>
  <c r="V6768" i="1"/>
  <c r="U6768" i="1"/>
  <c r="N6768" i="1"/>
  <c r="X6767" i="1"/>
  <c r="W6767" i="1"/>
  <c r="U6767" i="1"/>
  <c r="P6767" i="1"/>
  <c r="B6767" i="1" s="1"/>
  <c r="L6767" i="1"/>
  <c r="X6766" i="1"/>
  <c r="W6766" i="1"/>
  <c r="V6766" i="1"/>
  <c r="U6766" i="1"/>
  <c r="N6766" i="1"/>
  <c r="X6765" i="1"/>
  <c r="W6765" i="1"/>
  <c r="V6765" i="1"/>
  <c r="U6765" i="1"/>
  <c r="N6765" i="1"/>
  <c r="X5970" i="1"/>
  <c r="W5970" i="1"/>
  <c r="U5970" i="1"/>
  <c r="P5970" i="1"/>
  <c r="B5970" i="1" s="1"/>
  <c r="L5970" i="1"/>
  <c r="H391" i="1"/>
  <c r="L391" i="1" s="1"/>
  <c r="X393" i="1"/>
  <c r="W393" i="1"/>
  <c r="V393" i="1"/>
  <c r="U393" i="1"/>
  <c r="M393" i="1"/>
  <c r="K393" i="1"/>
  <c r="I393" i="1"/>
  <c r="X392" i="1"/>
  <c r="W392" i="1"/>
  <c r="V392" i="1"/>
  <c r="U392" i="1"/>
  <c r="N392" i="1"/>
  <c r="X391" i="1"/>
  <c r="W391" i="1"/>
  <c r="U391" i="1"/>
  <c r="P391" i="1"/>
  <c r="B391" i="1" s="1"/>
  <c r="X390" i="1"/>
  <c r="W390" i="1"/>
  <c r="V390" i="1"/>
  <c r="U390" i="1"/>
  <c r="N390" i="1"/>
  <c r="X389" i="1"/>
  <c r="W389" i="1"/>
  <c r="V389" i="1"/>
  <c r="U389" i="1"/>
  <c r="N389" i="1"/>
  <c r="X1336" i="1"/>
  <c r="W1336" i="1"/>
  <c r="U1336" i="1"/>
  <c r="P1336" i="1"/>
  <c r="B1336" i="1" s="1"/>
  <c r="L1336" i="1"/>
  <c r="X1872" i="1"/>
  <c r="W1872" i="1"/>
  <c r="U1872" i="1"/>
  <c r="P1872" i="1"/>
  <c r="B1872" i="1" s="1"/>
  <c r="L1872" i="1"/>
  <c r="X2237" i="1"/>
  <c r="W2237" i="1"/>
  <c r="U2237" i="1"/>
  <c r="P2237" i="1"/>
  <c r="B2237" i="1" s="1"/>
  <c r="L2237" i="1"/>
  <c r="X3883" i="1"/>
  <c r="W3883" i="1"/>
  <c r="V3883" i="1"/>
  <c r="U3883" i="1"/>
  <c r="M3883" i="1"/>
  <c r="K3883" i="1"/>
  <c r="I3883" i="1"/>
  <c r="H3883" i="1"/>
  <c r="X3882" i="1"/>
  <c r="W3882" i="1"/>
  <c r="V3882" i="1"/>
  <c r="U3882" i="1"/>
  <c r="N3882" i="1"/>
  <c r="X3881" i="1"/>
  <c r="W3881" i="1"/>
  <c r="U3881" i="1"/>
  <c r="P3881" i="1"/>
  <c r="B3881" i="1" s="1"/>
  <c r="L3881" i="1"/>
  <c r="X3880" i="1"/>
  <c r="W3880" i="1"/>
  <c r="V3880" i="1"/>
  <c r="U3880" i="1"/>
  <c r="N3880" i="1"/>
  <c r="X3879" i="1"/>
  <c r="W3879" i="1"/>
  <c r="V3879" i="1"/>
  <c r="U3879" i="1"/>
  <c r="N3879" i="1"/>
  <c r="X848" i="1"/>
  <c r="W848" i="1"/>
  <c r="U848" i="1"/>
  <c r="P848" i="1"/>
  <c r="B848" i="1" s="1"/>
  <c r="L848" i="1"/>
  <c r="X30" i="1"/>
  <c r="W30" i="1"/>
  <c r="V30" i="1"/>
  <c r="U30" i="1"/>
  <c r="M30" i="1"/>
  <c r="K30" i="1"/>
  <c r="I30" i="1"/>
  <c r="H30" i="1"/>
  <c r="X29" i="1"/>
  <c r="W29" i="1"/>
  <c r="V29" i="1"/>
  <c r="U29" i="1"/>
  <c r="N29" i="1"/>
  <c r="X28" i="1"/>
  <c r="W28" i="1"/>
  <c r="U28" i="1"/>
  <c r="P28" i="1"/>
  <c r="B28" i="1" s="1"/>
  <c r="L28" i="1"/>
  <c r="X27" i="1"/>
  <c r="W27" i="1"/>
  <c r="V27" i="1"/>
  <c r="U27" i="1"/>
  <c r="N27" i="1"/>
  <c r="X26" i="1"/>
  <c r="W26" i="1"/>
  <c r="V26" i="1"/>
  <c r="U26" i="1"/>
  <c r="N26" i="1"/>
  <c r="X286" i="1"/>
  <c r="W286" i="1"/>
  <c r="U286" i="1"/>
  <c r="P286" i="1"/>
  <c r="B286" i="1" s="1"/>
  <c r="L286" i="1"/>
  <c r="X4250" i="1"/>
  <c r="W4250" i="1"/>
  <c r="U4250" i="1"/>
  <c r="P4250" i="1"/>
  <c r="B4250" i="1" s="1"/>
  <c r="L4250" i="1"/>
  <c r="X967" i="1"/>
  <c r="W967" i="1"/>
  <c r="V967" i="1"/>
  <c r="U967" i="1"/>
  <c r="M967" i="1"/>
  <c r="K967" i="1"/>
  <c r="I967" i="1"/>
  <c r="H967" i="1"/>
  <c r="X966" i="1"/>
  <c r="W966" i="1"/>
  <c r="V966" i="1"/>
  <c r="U966" i="1"/>
  <c r="N966" i="1"/>
  <c r="X963" i="1"/>
  <c r="W963" i="1"/>
  <c r="U963" i="1"/>
  <c r="P963" i="1"/>
  <c r="B963" i="1" s="1"/>
  <c r="L963" i="1"/>
  <c r="X962" i="1"/>
  <c r="W962" i="1"/>
  <c r="V962" i="1"/>
  <c r="U962" i="1"/>
  <c r="N962" i="1"/>
  <c r="X961" i="1"/>
  <c r="W961" i="1"/>
  <c r="V961" i="1"/>
  <c r="U961" i="1"/>
  <c r="N961" i="1"/>
  <c r="X2071" i="1"/>
  <c r="W2071" i="1"/>
  <c r="U2071" i="1"/>
  <c r="P2071" i="1"/>
  <c r="B2071" i="1" s="1"/>
  <c r="L2071" i="1"/>
  <c r="X1934" i="1"/>
  <c r="W1934" i="1"/>
  <c r="U1934" i="1"/>
  <c r="P1934" i="1"/>
  <c r="B1934" i="1" s="1"/>
  <c r="L1934" i="1"/>
  <c r="X805" i="1"/>
  <c r="W805" i="1"/>
  <c r="U805" i="1"/>
  <c r="P805" i="1"/>
  <c r="B805" i="1" s="1"/>
  <c r="L805" i="1"/>
  <c r="X4588" i="1"/>
  <c r="W4588" i="1"/>
  <c r="U4588" i="1"/>
  <c r="P4588" i="1"/>
  <c r="B4588" i="1" s="1"/>
  <c r="L4588" i="1"/>
  <c r="X5979" i="1"/>
  <c r="W5979" i="1"/>
  <c r="U5979" i="1"/>
  <c r="P5979" i="1"/>
  <c r="B5979" i="1" s="1"/>
  <c r="L5979" i="1"/>
  <c r="X5980" i="1"/>
  <c r="W5980" i="1"/>
  <c r="U5980" i="1"/>
  <c r="P5980" i="1"/>
  <c r="B5980" i="1" s="1"/>
  <c r="L5980" i="1"/>
  <c r="X5982" i="1"/>
  <c r="W5982" i="1"/>
  <c r="V5982" i="1"/>
  <c r="U5982" i="1"/>
  <c r="M5982" i="1"/>
  <c r="K5982" i="1"/>
  <c r="H5982" i="1"/>
  <c r="X5981" i="1"/>
  <c r="W5981" i="1"/>
  <c r="V5981" i="1"/>
  <c r="U5981" i="1"/>
  <c r="N5981" i="1"/>
  <c r="X5977" i="1"/>
  <c r="W5977" i="1"/>
  <c r="U5977" i="1"/>
  <c r="P5977" i="1"/>
  <c r="B5977" i="1" s="1"/>
  <c r="X5976" i="1"/>
  <c r="W5976" i="1"/>
  <c r="V5976" i="1"/>
  <c r="U5976" i="1"/>
  <c r="N5976" i="1"/>
  <c r="X5975" i="1"/>
  <c r="W5975" i="1"/>
  <c r="V5975" i="1"/>
  <c r="U5975" i="1"/>
  <c r="N5975" i="1"/>
  <c r="X530" i="1"/>
  <c r="W530" i="1"/>
  <c r="V530" i="1"/>
  <c r="U530" i="1"/>
  <c r="M530" i="1"/>
  <c r="K530" i="1"/>
  <c r="X529" i="1"/>
  <c r="W529" i="1"/>
  <c r="V529" i="1"/>
  <c r="U529" i="1"/>
  <c r="N529" i="1"/>
  <c r="X524" i="1"/>
  <c r="W524" i="1"/>
  <c r="U524" i="1"/>
  <c r="P524" i="1"/>
  <c r="B524" i="1" s="1"/>
  <c r="I530" i="1"/>
  <c r="L524" i="1"/>
  <c r="X523" i="1"/>
  <c r="W523" i="1"/>
  <c r="V523" i="1"/>
  <c r="U523" i="1"/>
  <c r="N523" i="1"/>
  <c r="X522" i="1"/>
  <c r="W522" i="1"/>
  <c r="V522" i="1"/>
  <c r="U522" i="1"/>
  <c r="N522" i="1"/>
  <c r="H530" i="1"/>
  <c r="X1971" i="1"/>
  <c r="W1971" i="1"/>
  <c r="U1971" i="1"/>
  <c r="P1971" i="1"/>
  <c r="B1971" i="1" s="1"/>
  <c r="L1971" i="1"/>
  <c r="X1976" i="1"/>
  <c r="W1976" i="1"/>
  <c r="U1976" i="1"/>
  <c r="P1976" i="1"/>
  <c r="B1976" i="1" s="1"/>
  <c r="L1976" i="1"/>
  <c r="X5880" i="1"/>
  <c r="W5880" i="1"/>
  <c r="U5880" i="1"/>
  <c r="P5880" i="1"/>
  <c r="B5880" i="1" s="1"/>
  <c r="L5880" i="1"/>
  <c r="V5880" i="1" s="1"/>
  <c r="X2133" i="1"/>
  <c r="W2133" i="1"/>
  <c r="U2133" i="1"/>
  <c r="P2133" i="1"/>
  <c r="B2133" i="1" s="1"/>
  <c r="L2133" i="1"/>
  <c r="X5734" i="1"/>
  <c r="W5734" i="1"/>
  <c r="U5734" i="1"/>
  <c r="P5734" i="1"/>
  <c r="B5734" i="1" s="1"/>
  <c r="L5734" i="1"/>
  <c r="V5734" i="1" s="1"/>
  <c r="X4076" i="1"/>
  <c r="W4076" i="1"/>
  <c r="U4076" i="1"/>
  <c r="P4076" i="1"/>
  <c r="B4076" i="1" s="1"/>
  <c r="L4076" i="1"/>
  <c r="X6475" i="1"/>
  <c r="W6475" i="1"/>
  <c r="V6475" i="1"/>
  <c r="U6475" i="1"/>
  <c r="M6475" i="1"/>
  <c r="K6475" i="1"/>
  <c r="I6475" i="1"/>
  <c r="H6475" i="1"/>
  <c r="X6474" i="1"/>
  <c r="W6474" i="1"/>
  <c r="V6474" i="1"/>
  <c r="U6474" i="1"/>
  <c r="N6474" i="1"/>
  <c r="X6473" i="1"/>
  <c r="W6473" i="1"/>
  <c r="U6473" i="1"/>
  <c r="P6473" i="1"/>
  <c r="B6473" i="1" s="1"/>
  <c r="L6473" i="1"/>
  <c r="X6472" i="1"/>
  <c r="W6472" i="1"/>
  <c r="V6472" i="1"/>
  <c r="U6472" i="1"/>
  <c r="N6472" i="1"/>
  <c r="X6471" i="1"/>
  <c r="W6471" i="1"/>
  <c r="V6471" i="1"/>
  <c r="U6471" i="1"/>
  <c r="N6471" i="1"/>
  <c r="X4618" i="1"/>
  <c r="W4618" i="1"/>
  <c r="U4618" i="1"/>
  <c r="P4618" i="1"/>
  <c r="B4618" i="1" s="1"/>
  <c r="L4618" i="1"/>
  <c r="N4618" i="1" s="1"/>
  <c r="X1199" i="1"/>
  <c r="W1199" i="1"/>
  <c r="V1199" i="1"/>
  <c r="U1199" i="1"/>
  <c r="M1199" i="1"/>
  <c r="K1199" i="1"/>
  <c r="I1199" i="1"/>
  <c r="H1199" i="1"/>
  <c r="X1198" i="1"/>
  <c r="W1198" i="1"/>
  <c r="V1198" i="1"/>
  <c r="U1198" i="1"/>
  <c r="N1198" i="1"/>
  <c r="X1197" i="1"/>
  <c r="W1197" i="1"/>
  <c r="U1197" i="1"/>
  <c r="P1197" i="1"/>
  <c r="B1197" i="1" s="1"/>
  <c r="L1197" i="1"/>
  <c r="V1197" i="1" s="1"/>
  <c r="X1196" i="1"/>
  <c r="W1196" i="1"/>
  <c r="V1196" i="1"/>
  <c r="U1196" i="1"/>
  <c r="N1196" i="1"/>
  <c r="X1195" i="1"/>
  <c r="W1195" i="1"/>
  <c r="V1195" i="1"/>
  <c r="U1195" i="1"/>
  <c r="N1195" i="1"/>
  <c r="X5606" i="1"/>
  <c r="W5606" i="1"/>
  <c r="U5606" i="1"/>
  <c r="P5606" i="1"/>
  <c r="B5606" i="1" s="1"/>
  <c r="L5606" i="1"/>
  <c r="X2072" i="1"/>
  <c r="W2072" i="1"/>
  <c r="U2072" i="1"/>
  <c r="P2072" i="1"/>
  <c r="B2072" i="1" s="1"/>
  <c r="L2072" i="1"/>
  <c r="X2316" i="1"/>
  <c r="W2316" i="1"/>
  <c r="U2316" i="1"/>
  <c r="P2316" i="1"/>
  <c r="B2316" i="1" s="1"/>
  <c r="L2316" i="1"/>
  <c r="X4620" i="1"/>
  <c r="W4620" i="1"/>
  <c r="U4620" i="1"/>
  <c r="P4620" i="1"/>
  <c r="B4620" i="1" s="1"/>
  <c r="L4620" i="1"/>
  <c r="X4247" i="1"/>
  <c r="W4247" i="1"/>
  <c r="U4247" i="1"/>
  <c r="P4247" i="1"/>
  <c r="B4247" i="1" s="1"/>
  <c r="L4247" i="1"/>
  <c r="X5227" i="1"/>
  <c r="W5227" i="1"/>
  <c r="U5227" i="1"/>
  <c r="P5227" i="1"/>
  <c r="B5227" i="1" s="1"/>
  <c r="L5227" i="1"/>
  <c r="X4998" i="1"/>
  <c r="W4998" i="1"/>
  <c r="U4998" i="1"/>
  <c r="P4998" i="1"/>
  <c r="B4998" i="1" s="1"/>
  <c r="L4998" i="1"/>
  <c r="D8" i="11"/>
  <c r="D9" i="11" s="1"/>
  <c r="C8" i="11"/>
  <c r="C9" i="11" s="1"/>
  <c r="E35" i="11"/>
  <c r="F35" i="11" s="1"/>
  <c r="E34" i="11"/>
  <c r="F34" i="11" s="1"/>
  <c r="E33" i="11"/>
  <c r="F33" i="11" s="1"/>
  <c r="E32" i="11"/>
  <c r="F32" i="11" s="1"/>
  <c r="E31" i="11"/>
  <c r="F31" i="11" s="1"/>
  <c r="E30" i="11"/>
  <c r="F30" i="11" s="1"/>
  <c r="E29" i="11"/>
  <c r="F29" i="11" s="1"/>
  <c r="E28" i="11"/>
  <c r="F28" i="11" s="1"/>
  <c r="E27" i="11"/>
  <c r="F27" i="11" s="1"/>
  <c r="E26" i="11"/>
  <c r="F26" i="11" s="1"/>
  <c r="E25" i="11"/>
  <c r="F25" i="11" s="1"/>
  <c r="E24" i="11"/>
  <c r="F24" i="11" s="1"/>
  <c r="E23" i="11"/>
  <c r="F23" i="11" s="1"/>
  <c r="E22" i="11"/>
  <c r="F22" i="11" s="1"/>
  <c r="E21" i="11"/>
  <c r="F21" i="11" s="1"/>
  <c r="E20" i="11"/>
  <c r="F20" i="11" s="1"/>
  <c r="E19" i="11"/>
  <c r="F19" i="11" s="1"/>
  <c r="E18" i="11"/>
  <c r="F18" i="11" s="1"/>
  <c r="E17" i="11"/>
  <c r="F17" i="11" s="1"/>
  <c r="E16" i="11"/>
  <c r="F16" i="11" s="1"/>
  <c r="E15" i="11"/>
  <c r="F15" i="11" s="1"/>
  <c r="E14" i="11"/>
  <c r="F14" i="11" s="1"/>
  <c r="E13" i="11"/>
  <c r="F13" i="11" s="1"/>
  <c r="E12" i="11"/>
  <c r="F12" i="11" s="1"/>
  <c r="E7" i="11"/>
  <c r="F7" i="11" s="1"/>
  <c r="E6" i="11"/>
  <c r="F6" i="11" s="1"/>
  <c r="X6234" i="1"/>
  <c r="W6234" i="1"/>
  <c r="U6234" i="1"/>
  <c r="P6234" i="1"/>
  <c r="B6234" i="1" s="1"/>
  <c r="L6234" i="1"/>
  <c r="X4670" i="1"/>
  <c r="W4670" i="1"/>
  <c r="U4670" i="1"/>
  <c r="P4670" i="1"/>
  <c r="B4670" i="1" s="1"/>
  <c r="L4670" i="1"/>
  <c r="X1849" i="1"/>
  <c r="W1849" i="1"/>
  <c r="U1849" i="1"/>
  <c r="P1849" i="1"/>
  <c r="B1849" i="1" s="1"/>
  <c r="L1849" i="1"/>
  <c r="X4979" i="1"/>
  <c r="W4979" i="1"/>
  <c r="U4979" i="1"/>
  <c r="P4979" i="1"/>
  <c r="B4979" i="1" s="1"/>
  <c r="L4979" i="1"/>
  <c r="X5971" i="1"/>
  <c r="W5971" i="1"/>
  <c r="U5971" i="1"/>
  <c r="P5971" i="1"/>
  <c r="B5971" i="1" s="1"/>
  <c r="L5971" i="1"/>
  <c r="X4981" i="1"/>
  <c r="W4981" i="1"/>
  <c r="U4981" i="1"/>
  <c r="P4981" i="1"/>
  <c r="B4981" i="1" s="1"/>
  <c r="L4981" i="1"/>
  <c r="X5237" i="1"/>
  <c r="W5237" i="1"/>
  <c r="U5237" i="1"/>
  <c r="P5237" i="1"/>
  <c r="B5237" i="1" s="1"/>
  <c r="L5237" i="1"/>
  <c r="X1864" i="1"/>
  <c r="W1864" i="1"/>
  <c r="U1864" i="1"/>
  <c r="P1864" i="1"/>
  <c r="B1864" i="1" s="1"/>
  <c r="L1864" i="1"/>
  <c r="L479" i="1"/>
  <c r="X479" i="1"/>
  <c r="W479" i="1"/>
  <c r="U479" i="1"/>
  <c r="P479" i="1"/>
  <c r="B479" i="1" s="1"/>
  <c r="X816" i="1"/>
  <c r="W816" i="1"/>
  <c r="U816" i="1"/>
  <c r="P816" i="1"/>
  <c r="B816" i="1" s="1"/>
  <c r="L816" i="1"/>
  <c r="L4810" i="1"/>
  <c r="X4810" i="1"/>
  <c r="W4810" i="1"/>
  <c r="U4810" i="1"/>
  <c r="P4810" i="1"/>
  <c r="B4810" i="1" s="1"/>
  <c r="X5229" i="1"/>
  <c r="W5229" i="1"/>
  <c r="U5229" i="1"/>
  <c r="P5229" i="1"/>
  <c r="B5229" i="1" s="1"/>
  <c r="L5229" i="1"/>
  <c r="X4229" i="1"/>
  <c r="W4229" i="1"/>
  <c r="U4229" i="1"/>
  <c r="P4229" i="1"/>
  <c r="B4229" i="1" s="1"/>
  <c r="L4229" i="1"/>
  <c r="L743" i="1"/>
  <c r="X743" i="1"/>
  <c r="W743" i="1"/>
  <c r="U743" i="1"/>
  <c r="P743" i="1"/>
  <c r="B743" i="1" s="1"/>
  <c r="X4227" i="1"/>
  <c r="W4227" i="1"/>
  <c r="U4227" i="1"/>
  <c r="P4227" i="1"/>
  <c r="B4227" i="1" s="1"/>
  <c r="L4227" i="1"/>
  <c r="X2322" i="1"/>
  <c r="W2322" i="1"/>
  <c r="U2322" i="1"/>
  <c r="P2322" i="1"/>
  <c r="B2322" i="1" s="1"/>
  <c r="L2322" i="1"/>
  <c r="X1160" i="1"/>
  <c r="W1160" i="1"/>
  <c r="V1160" i="1"/>
  <c r="U1160" i="1"/>
  <c r="M1160" i="1"/>
  <c r="K1160" i="1"/>
  <c r="I1160" i="1"/>
  <c r="H1160" i="1"/>
  <c r="X1159" i="1"/>
  <c r="W1159" i="1"/>
  <c r="V1159" i="1"/>
  <c r="U1159" i="1"/>
  <c r="N1159" i="1"/>
  <c r="X1158" i="1"/>
  <c r="W1158" i="1"/>
  <c r="U1158" i="1"/>
  <c r="P1158" i="1"/>
  <c r="B1158" i="1" s="1"/>
  <c r="L1158" i="1"/>
  <c r="X1157" i="1"/>
  <c r="W1157" i="1"/>
  <c r="V1157" i="1"/>
  <c r="U1157" i="1"/>
  <c r="N1157" i="1"/>
  <c r="X1156" i="1"/>
  <c r="W1156" i="1"/>
  <c r="V1156" i="1"/>
  <c r="U1156" i="1"/>
  <c r="N1156" i="1"/>
  <c r="X3819" i="1"/>
  <c r="W3819" i="1"/>
  <c r="V3819" i="1"/>
  <c r="U3819" i="1"/>
  <c r="M3819" i="1"/>
  <c r="K3819" i="1"/>
  <c r="I3819" i="1"/>
  <c r="H3819" i="1"/>
  <c r="X3818" i="1"/>
  <c r="W3818" i="1"/>
  <c r="V3818" i="1"/>
  <c r="U3818" i="1"/>
  <c r="N3818" i="1"/>
  <c r="X3817" i="1"/>
  <c r="W3817" i="1"/>
  <c r="U3817" i="1"/>
  <c r="P3817" i="1"/>
  <c r="B3817" i="1" s="1"/>
  <c r="L3817" i="1"/>
  <c r="X3816" i="1"/>
  <c r="W3816" i="1"/>
  <c r="V3816" i="1"/>
  <c r="U3816" i="1"/>
  <c r="N3816" i="1"/>
  <c r="X3815" i="1"/>
  <c r="W3815" i="1"/>
  <c r="V3815" i="1"/>
  <c r="U3815" i="1"/>
  <c r="N3815" i="1"/>
  <c r="X5862" i="1"/>
  <c r="W5862" i="1"/>
  <c r="U5862" i="1"/>
  <c r="P5862" i="1"/>
  <c r="B5862" i="1" s="1"/>
  <c r="L5862" i="1"/>
  <c r="X4868" i="1"/>
  <c r="W4868" i="1"/>
  <c r="U4868" i="1"/>
  <c r="P4868" i="1"/>
  <c r="B4868" i="1" s="1"/>
  <c r="L4868" i="1"/>
  <c r="X1944" i="1"/>
  <c r="W1944" i="1"/>
  <c r="U1944" i="1"/>
  <c r="P1944" i="1"/>
  <c r="B1944" i="1" s="1"/>
  <c r="L1944" i="1"/>
  <c r="X6744" i="1"/>
  <c r="W6744" i="1"/>
  <c r="U6744" i="1"/>
  <c r="P6744" i="1"/>
  <c r="B6744" i="1" s="1"/>
  <c r="L6744" i="1"/>
  <c r="X5240" i="1"/>
  <c r="W5240" i="1"/>
  <c r="U5240" i="1"/>
  <c r="P5240" i="1"/>
  <c r="B5240" i="1" s="1"/>
  <c r="L5240" i="1"/>
  <c r="X2319" i="1"/>
  <c r="W2319" i="1"/>
  <c r="U2319" i="1"/>
  <c r="P2319" i="1"/>
  <c r="B2319" i="1" s="1"/>
  <c r="L2319" i="1"/>
  <c r="L4073" i="1"/>
  <c r="X4066" i="1"/>
  <c r="W4066" i="1"/>
  <c r="U4066" i="1"/>
  <c r="P4066" i="1"/>
  <c r="B4066" i="1" s="1"/>
  <c r="L4066" i="1"/>
  <c r="X4073" i="1"/>
  <c r="W4073" i="1"/>
  <c r="U4073" i="1"/>
  <c r="P4073" i="1"/>
  <c r="B4073" i="1" s="1"/>
  <c r="X5594" i="1"/>
  <c r="W5594" i="1"/>
  <c r="U5594" i="1"/>
  <c r="P5594" i="1"/>
  <c r="B5594" i="1" s="1"/>
  <c r="L5594" i="1"/>
  <c r="X5173" i="1"/>
  <c r="W5173" i="1"/>
  <c r="U5173" i="1"/>
  <c r="P5173" i="1"/>
  <c r="B5173" i="1" s="1"/>
  <c r="L5173" i="1"/>
  <c r="X855" i="1"/>
  <c r="W855" i="1"/>
  <c r="U855" i="1"/>
  <c r="P855" i="1"/>
  <c r="B855" i="1" s="1"/>
  <c r="L855" i="1"/>
  <c r="X4156" i="1"/>
  <c r="W4156" i="1"/>
  <c r="U4156" i="1"/>
  <c r="P4156" i="1"/>
  <c r="B4156" i="1" s="1"/>
  <c r="L4156" i="1"/>
  <c r="X1646" i="1"/>
  <c r="W1646" i="1"/>
  <c r="U1646" i="1"/>
  <c r="P1646" i="1"/>
  <c r="B1646" i="1" s="1"/>
  <c r="L1646" i="1"/>
  <c r="X4195" i="1"/>
  <c r="W4195" i="1"/>
  <c r="V4195" i="1"/>
  <c r="U4195" i="1"/>
  <c r="M4195" i="1"/>
  <c r="K4195" i="1"/>
  <c r="I4195" i="1"/>
  <c r="H4195" i="1"/>
  <c r="X4194" i="1"/>
  <c r="W4194" i="1"/>
  <c r="V4194" i="1"/>
  <c r="U4194" i="1"/>
  <c r="N4194" i="1"/>
  <c r="X4190" i="1"/>
  <c r="W4190" i="1"/>
  <c r="U4190" i="1"/>
  <c r="P4190" i="1"/>
  <c r="B4190" i="1" s="1"/>
  <c r="L4190" i="1"/>
  <c r="X4189" i="1"/>
  <c r="W4189" i="1"/>
  <c r="V4189" i="1"/>
  <c r="U4189" i="1"/>
  <c r="N4189" i="1"/>
  <c r="X4188" i="1"/>
  <c r="W4188" i="1"/>
  <c r="V4188" i="1"/>
  <c r="U4188" i="1"/>
  <c r="N4188" i="1"/>
  <c r="X1626" i="1"/>
  <c r="W1626" i="1"/>
  <c r="U1626" i="1"/>
  <c r="P1626" i="1"/>
  <c r="B1626" i="1" s="1"/>
  <c r="L1626" i="1"/>
  <c r="X6650" i="1"/>
  <c r="W6650" i="1"/>
  <c r="V6650" i="1"/>
  <c r="U6650" i="1"/>
  <c r="M6650" i="1"/>
  <c r="K6650" i="1"/>
  <c r="I6650" i="1"/>
  <c r="H6650" i="1"/>
  <c r="X6649" i="1"/>
  <c r="W6649" i="1"/>
  <c r="V6649" i="1"/>
  <c r="U6649" i="1"/>
  <c r="N6649" i="1"/>
  <c r="X6648" i="1"/>
  <c r="W6648" i="1"/>
  <c r="U6648" i="1"/>
  <c r="P6648" i="1"/>
  <c r="B6648" i="1" s="1"/>
  <c r="L6648" i="1"/>
  <c r="X6647" i="1"/>
  <c r="W6647" i="1"/>
  <c r="V6647" i="1"/>
  <c r="U6647" i="1"/>
  <c r="N6647" i="1"/>
  <c r="X6646" i="1"/>
  <c r="W6646" i="1"/>
  <c r="V6646" i="1"/>
  <c r="U6646" i="1"/>
  <c r="N6646" i="1"/>
  <c r="L3977" i="1"/>
  <c r="X3977" i="1"/>
  <c r="W3977" i="1"/>
  <c r="U3977" i="1"/>
  <c r="P3977" i="1"/>
  <c r="B3977" i="1" s="1"/>
  <c r="X5563" i="1"/>
  <c r="W5563" i="1"/>
  <c r="U5563" i="1"/>
  <c r="P5563" i="1"/>
  <c r="B5563" i="1" s="1"/>
  <c r="L5563" i="1"/>
  <c r="H1623" i="1"/>
  <c r="L1623" i="1" s="1"/>
  <c r="X1625" i="1"/>
  <c r="W1625" i="1"/>
  <c r="U1625" i="1"/>
  <c r="P1625" i="1"/>
  <c r="B1625" i="1" s="1"/>
  <c r="L1625" i="1"/>
  <c r="X5198" i="1"/>
  <c r="W5198" i="1"/>
  <c r="U5198" i="1"/>
  <c r="P5198" i="1"/>
  <c r="B5198" i="1" s="1"/>
  <c r="L5198" i="1"/>
  <c r="X5669" i="1"/>
  <c r="W5669" i="1"/>
  <c r="U5669" i="1"/>
  <c r="P5669" i="1"/>
  <c r="B5669" i="1" s="1"/>
  <c r="L5669" i="1"/>
  <c r="X4018" i="1"/>
  <c r="W4018" i="1"/>
  <c r="V4018" i="1"/>
  <c r="U4018" i="1"/>
  <c r="M4018" i="1"/>
  <c r="K4018" i="1"/>
  <c r="I4018" i="1"/>
  <c r="H4018" i="1"/>
  <c r="X4017" i="1"/>
  <c r="W4017" i="1"/>
  <c r="V4017" i="1"/>
  <c r="U4017" i="1"/>
  <c r="N4017" i="1"/>
  <c r="X4014" i="1"/>
  <c r="W4014" i="1"/>
  <c r="U4014" i="1"/>
  <c r="P4014" i="1"/>
  <c r="B4014" i="1" s="1"/>
  <c r="L4014" i="1"/>
  <c r="X4013" i="1"/>
  <c r="W4013" i="1"/>
  <c r="V4013" i="1"/>
  <c r="U4013" i="1"/>
  <c r="N4013" i="1"/>
  <c r="X4012" i="1"/>
  <c r="W4012" i="1"/>
  <c r="V4012" i="1"/>
  <c r="U4012" i="1"/>
  <c r="N4012" i="1"/>
  <c r="X845" i="1"/>
  <c r="W845" i="1"/>
  <c r="U845" i="1"/>
  <c r="P845" i="1"/>
  <c r="B845" i="1" s="1"/>
  <c r="L845" i="1"/>
  <c r="X1631" i="1"/>
  <c r="W1631" i="1"/>
  <c r="U1631" i="1"/>
  <c r="P1631" i="1"/>
  <c r="B1631" i="1" s="1"/>
  <c r="L1631" i="1"/>
  <c r="K1311" i="1"/>
  <c r="X1311" i="1"/>
  <c r="W1311" i="1"/>
  <c r="V1311" i="1"/>
  <c r="U1311" i="1"/>
  <c r="M1311" i="1"/>
  <c r="I1311" i="1"/>
  <c r="H1311" i="1"/>
  <c r="X1310" i="1"/>
  <c r="W1310" i="1"/>
  <c r="V1310" i="1"/>
  <c r="U1310" i="1"/>
  <c r="N1310" i="1"/>
  <c r="X1307" i="1"/>
  <c r="W1307" i="1"/>
  <c r="U1307" i="1"/>
  <c r="P1307" i="1"/>
  <c r="B1307" i="1" s="1"/>
  <c r="X1306" i="1"/>
  <c r="W1306" i="1"/>
  <c r="V1306" i="1"/>
  <c r="U1306" i="1"/>
  <c r="N1306" i="1"/>
  <c r="X1305" i="1"/>
  <c r="W1305" i="1"/>
  <c r="V1305" i="1"/>
  <c r="U1305" i="1"/>
  <c r="N1305" i="1"/>
  <c r="X2273" i="1"/>
  <c r="W2273" i="1"/>
  <c r="U2273" i="1"/>
  <c r="P2273" i="1"/>
  <c r="B2273" i="1" s="1"/>
  <c r="L2273" i="1"/>
  <c r="X5663" i="1"/>
  <c r="W5663" i="1"/>
  <c r="U5663" i="1"/>
  <c r="P5663" i="1"/>
  <c r="B5663" i="1" s="1"/>
  <c r="L5663" i="1"/>
  <c r="X4730" i="1"/>
  <c r="W4730" i="1"/>
  <c r="U4730" i="1"/>
  <c r="P4730" i="1"/>
  <c r="B4730" i="1" s="1"/>
  <c r="L4730" i="1"/>
  <c r="X6483" i="1"/>
  <c r="W6483" i="1"/>
  <c r="U6483" i="1"/>
  <c r="P6483" i="1"/>
  <c r="B6483" i="1" s="1"/>
  <c r="L6483" i="1"/>
  <c r="X5341" i="1"/>
  <c r="W5341" i="1"/>
  <c r="U5341" i="1"/>
  <c r="P5341" i="1"/>
  <c r="B5341" i="1" s="1"/>
  <c r="L5341" i="1"/>
  <c r="X4631" i="1"/>
  <c r="W4631" i="1"/>
  <c r="U4631" i="1"/>
  <c r="P4631" i="1"/>
  <c r="B4631" i="1" s="1"/>
  <c r="I1649" i="1"/>
  <c r="L1649" i="1" s="1"/>
  <c r="X1649" i="1"/>
  <c r="W1649" i="1"/>
  <c r="U1649" i="1"/>
  <c r="P1649" i="1"/>
  <c r="B1649" i="1" s="1"/>
  <c r="X6552" i="1"/>
  <c r="W6552" i="1"/>
  <c r="U6552" i="1"/>
  <c r="P6552" i="1"/>
  <c r="B6552" i="1" s="1"/>
  <c r="L6552" i="1"/>
  <c r="X6550" i="1"/>
  <c r="W6550" i="1"/>
  <c r="U6550" i="1"/>
  <c r="P6550" i="1"/>
  <c r="B6550" i="1" s="1"/>
  <c r="L6550" i="1"/>
  <c r="X660" i="1"/>
  <c r="W660" i="1"/>
  <c r="U660" i="1"/>
  <c r="P660" i="1"/>
  <c r="B660" i="1" s="1"/>
  <c r="L660" i="1"/>
  <c r="X659" i="1"/>
  <c r="W659" i="1"/>
  <c r="U659" i="1"/>
  <c r="P659" i="1"/>
  <c r="B659" i="1" s="1"/>
  <c r="L659" i="1"/>
  <c r="X657" i="1"/>
  <c r="W657" i="1"/>
  <c r="U657" i="1"/>
  <c r="P657" i="1"/>
  <c r="B657" i="1" s="1"/>
  <c r="L657" i="1"/>
  <c r="X658" i="1"/>
  <c r="W658" i="1"/>
  <c r="U658" i="1"/>
  <c r="P658" i="1"/>
  <c r="B658" i="1" s="1"/>
  <c r="L658" i="1"/>
  <c r="X4137" i="1"/>
  <c r="W4137" i="1"/>
  <c r="U4137" i="1"/>
  <c r="P4137" i="1"/>
  <c r="B4137" i="1" s="1"/>
  <c r="L4137" i="1"/>
  <c r="X4136" i="1"/>
  <c r="W4136" i="1"/>
  <c r="U4136" i="1"/>
  <c r="P4136" i="1"/>
  <c r="B4136" i="1" s="1"/>
  <c r="L4136" i="1"/>
  <c r="N6552" i="1"/>
  <c r="L673" i="1"/>
  <c r="X673" i="1"/>
  <c r="W673" i="1"/>
  <c r="U673" i="1"/>
  <c r="P673" i="1"/>
  <c r="B673" i="1" s="1"/>
  <c r="I2218" i="1"/>
  <c r="L2218" i="1" s="1"/>
  <c r="X2218" i="1"/>
  <c r="W2218" i="1"/>
  <c r="U2218" i="1"/>
  <c r="P2218" i="1"/>
  <c r="B2218" i="1" s="1"/>
  <c r="X2274" i="1"/>
  <c r="W2274" i="1"/>
  <c r="U2274" i="1"/>
  <c r="P2274" i="1"/>
  <c r="B2274" i="1" s="1"/>
  <c r="H2274" i="1"/>
  <c r="L2274" i="1" s="1"/>
  <c r="L6080" i="1"/>
  <c r="X6081" i="1"/>
  <c r="W6081" i="1"/>
  <c r="U6081" i="1"/>
  <c r="P6081" i="1"/>
  <c r="B6081" i="1" s="1"/>
  <c r="L6081" i="1"/>
  <c r="X6080" i="1"/>
  <c r="W6080" i="1"/>
  <c r="U6080" i="1"/>
  <c r="P6080" i="1"/>
  <c r="B6080" i="1" s="1"/>
  <c r="X6079" i="1"/>
  <c r="W6079" i="1"/>
  <c r="U6079" i="1"/>
  <c r="P6079" i="1"/>
  <c r="B6079" i="1" s="1"/>
  <c r="L6079" i="1"/>
  <c r="X6082" i="1"/>
  <c r="W6082" i="1"/>
  <c r="U6082" i="1"/>
  <c r="P6082" i="1"/>
  <c r="B6082" i="1" s="1"/>
  <c r="L6082" i="1"/>
  <c r="X95" i="1"/>
  <c r="W95" i="1"/>
  <c r="U95" i="1"/>
  <c r="P95" i="1"/>
  <c r="B95" i="1" s="1"/>
  <c r="L95" i="1"/>
  <c r="X3894" i="1"/>
  <c r="W3894" i="1"/>
  <c r="U3894" i="1"/>
  <c r="P3894" i="1"/>
  <c r="B3894" i="1" s="1"/>
  <c r="L3894" i="1"/>
  <c r="X4060" i="1"/>
  <c r="W4060" i="1"/>
  <c r="U4060" i="1"/>
  <c r="P4060" i="1"/>
  <c r="B4060" i="1" s="1"/>
  <c r="L4060" i="1"/>
  <c r="X2067" i="1"/>
  <c r="W2067" i="1"/>
  <c r="V2067" i="1"/>
  <c r="U2067" i="1"/>
  <c r="M2067" i="1"/>
  <c r="K2067" i="1"/>
  <c r="I2067" i="1"/>
  <c r="H2067" i="1"/>
  <c r="X2066" i="1"/>
  <c r="W2066" i="1"/>
  <c r="V2066" i="1"/>
  <c r="U2066" i="1"/>
  <c r="N2066" i="1"/>
  <c r="X2064" i="1"/>
  <c r="W2064" i="1"/>
  <c r="U2064" i="1"/>
  <c r="P2064" i="1"/>
  <c r="B2064" i="1" s="1"/>
  <c r="L2064" i="1"/>
  <c r="X2063" i="1"/>
  <c r="W2063" i="1"/>
  <c r="V2063" i="1"/>
  <c r="U2063" i="1"/>
  <c r="N2063" i="1"/>
  <c r="X2062" i="1"/>
  <c r="W2062" i="1"/>
  <c r="V2062" i="1"/>
  <c r="U2062" i="1"/>
  <c r="N2062" i="1"/>
  <c r="X718" i="1"/>
  <c r="W718" i="1"/>
  <c r="U718" i="1"/>
  <c r="P718" i="1"/>
  <c r="B718" i="1" s="1"/>
  <c r="L718" i="1"/>
  <c r="X770" i="1"/>
  <c r="W770" i="1"/>
  <c r="U770" i="1"/>
  <c r="P770" i="1"/>
  <c r="B770" i="1" s="1"/>
  <c r="L770" i="1"/>
  <c r="L4642" i="1"/>
  <c r="X4642" i="1"/>
  <c r="W4642" i="1"/>
  <c r="U4642" i="1"/>
  <c r="P4642" i="1"/>
  <c r="B4642" i="1" s="1"/>
  <c r="X5186" i="1"/>
  <c r="W5186" i="1"/>
  <c r="U5186" i="1"/>
  <c r="P5186" i="1"/>
  <c r="B5186" i="1" s="1"/>
  <c r="L5186" i="1"/>
  <c r="L594" i="1"/>
  <c r="X594" i="1"/>
  <c r="W594" i="1"/>
  <c r="U594" i="1"/>
  <c r="P594" i="1"/>
  <c r="B594" i="1" s="1"/>
  <c r="L498" i="1"/>
  <c r="X498" i="1"/>
  <c r="W498" i="1"/>
  <c r="U498" i="1"/>
  <c r="P498" i="1"/>
  <c r="B498" i="1" s="1"/>
  <c r="X664" i="1"/>
  <c r="W664" i="1"/>
  <c r="U664" i="1"/>
  <c r="P664" i="1"/>
  <c r="B664" i="1" s="1"/>
  <c r="X272" i="1"/>
  <c r="W272" i="1"/>
  <c r="U272" i="1"/>
  <c r="P272" i="1"/>
  <c r="B272" i="1" s="1"/>
  <c r="L272" i="1"/>
  <c r="X4776" i="1"/>
  <c r="W4776" i="1"/>
  <c r="U4776" i="1"/>
  <c r="P4776" i="1"/>
  <c r="B4776" i="1" s="1"/>
  <c r="L4776" i="1"/>
  <c r="X4775" i="1"/>
  <c r="W4775" i="1"/>
  <c r="U4775" i="1"/>
  <c r="P4775" i="1"/>
  <c r="B4775" i="1" s="1"/>
  <c r="L4775" i="1"/>
  <c r="X4108" i="1"/>
  <c r="W4108" i="1"/>
  <c r="U4108" i="1"/>
  <c r="P4108" i="1"/>
  <c r="B4108" i="1" s="1"/>
  <c r="L4108" i="1"/>
  <c r="S4108" i="1" s="1"/>
  <c r="X6309" i="1"/>
  <c r="W6309" i="1"/>
  <c r="U6309" i="1"/>
  <c r="P6309" i="1"/>
  <c r="B6309" i="1" s="1"/>
  <c r="L6309" i="1"/>
  <c r="X1535" i="1"/>
  <c r="W1535" i="1"/>
  <c r="U1535" i="1"/>
  <c r="P1535" i="1"/>
  <c r="B1535" i="1" s="1"/>
  <c r="L1535" i="1"/>
  <c r="L6073" i="1"/>
  <c r="X6092" i="1"/>
  <c r="W6092" i="1"/>
  <c r="V6092" i="1"/>
  <c r="U6092" i="1"/>
  <c r="M6092" i="1"/>
  <c r="I6092" i="1"/>
  <c r="H6092" i="1"/>
  <c r="X6091" i="1"/>
  <c r="W6091" i="1"/>
  <c r="V6091" i="1"/>
  <c r="U6091" i="1"/>
  <c r="N6091" i="1"/>
  <c r="X6073" i="1"/>
  <c r="W6073" i="1"/>
  <c r="U6073" i="1"/>
  <c r="P6073" i="1"/>
  <c r="B6073" i="1" s="1"/>
  <c r="X6072" i="1"/>
  <c r="W6072" i="1"/>
  <c r="V6072" i="1"/>
  <c r="U6072" i="1"/>
  <c r="N6072" i="1"/>
  <c r="X6071" i="1"/>
  <c r="W6071" i="1"/>
  <c r="V6071" i="1"/>
  <c r="U6071" i="1"/>
  <c r="N6071" i="1"/>
  <c r="L505" i="1"/>
  <c r="X505" i="1"/>
  <c r="W505" i="1"/>
  <c r="U505" i="1"/>
  <c r="P505" i="1"/>
  <c r="B505" i="1" s="1"/>
  <c r="X1502" i="1"/>
  <c r="W1502" i="1"/>
  <c r="U1502" i="1"/>
  <c r="P1502" i="1"/>
  <c r="B1502" i="1" s="1"/>
  <c r="L1502" i="1"/>
  <c r="X1589" i="1"/>
  <c r="W1589" i="1"/>
  <c r="V1589" i="1"/>
  <c r="U1589" i="1"/>
  <c r="M1589" i="1"/>
  <c r="K1589" i="1"/>
  <c r="I1589" i="1"/>
  <c r="H1589" i="1"/>
  <c r="X1588" i="1"/>
  <c r="W1588" i="1"/>
  <c r="V1588" i="1"/>
  <c r="U1588" i="1"/>
  <c r="N1588" i="1"/>
  <c r="X1585" i="1"/>
  <c r="W1585" i="1"/>
  <c r="U1585" i="1"/>
  <c r="P1585" i="1"/>
  <c r="B1585" i="1" s="1"/>
  <c r="L1585" i="1"/>
  <c r="X1584" i="1"/>
  <c r="W1584" i="1"/>
  <c r="V1584" i="1"/>
  <c r="U1584" i="1"/>
  <c r="N1584" i="1"/>
  <c r="X1583" i="1"/>
  <c r="W1583" i="1"/>
  <c r="V1583" i="1"/>
  <c r="U1583" i="1"/>
  <c r="N1583" i="1"/>
  <c r="X3749" i="1"/>
  <c r="W3749" i="1"/>
  <c r="U3749" i="1"/>
  <c r="P3749" i="1"/>
  <c r="B3749" i="1" s="1"/>
  <c r="L3749" i="1"/>
  <c r="X6567" i="1"/>
  <c r="W6567" i="1"/>
  <c r="U6567" i="1"/>
  <c r="P6567" i="1"/>
  <c r="B6567" i="1" s="1"/>
  <c r="L6567" i="1"/>
  <c r="X5561" i="1"/>
  <c r="W5561" i="1"/>
  <c r="U5561" i="1"/>
  <c r="P5561" i="1"/>
  <c r="B5561" i="1" s="1"/>
  <c r="L5561" i="1"/>
  <c r="X1839" i="1"/>
  <c r="W1839" i="1"/>
  <c r="V1839" i="1"/>
  <c r="U1839" i="1"/>
  <c r="M1839" i="1"/>
  <c r="K1839" i="1"/>
  <c r="I1839" i="1"/>
  <c r="H1839" i="1"/>
  <c r="X1838" i="1"/>
  <c r="W1838" i="1"/>
  <c r="V1838" i="1"/>
  <c r="U1838" i="1"/>
  <c r="N1838" i="1"/>
  <c r="X1837" i="1"/>
  <c r="W1837" i="1"/>
  <c r="U1837" i="1"/>
  <c r="P1837" i="1"/>
  <c r="B1837" i="1" s="1"/>
  <c r="L1837" i="1"/>
  <c r="X1836" i="1"/>
  <c r="W1836" i="1"/>
  <c r="V1836" i="1"/>
  <c r="U1836" i="1"/>
  <c r="N1836" i="1"/>
  <c r="X1835" i="1"/>
  <c r="W1835" i="1"/>
  <c r="V1835" i="1"/>
  <c r="U1835" i="1"/>
  <c r="N1835" i="1"/>
  <c r="X48" i="1"/>
  <c r="W48" i="1"/>
  <c r="U48" i="1"/>
  <c r="P48" i="1"/>
  <c r="B48" i="1" s="1"/>
  <c r="L48" i="1"/>
  <c r="X1693" i="1"/>
  <c r="W1693" i="1"/>
  <c r="U1693" i="1"/>
  <c r="P1693" i="1"/>
  <c r="B1693" i="1" s="1"/>
  <c r="L1693" i="1"/>
  <c r="S1693" i="1" s="1"/>
  <c r="X5175" i="1"/>
  <c r="W5175" i="1"/>
  <c r="U5175" i="1"/>
  <c r="P5175" i="1"/>
  <c r="B5175" i="1" s="1"/>
  <c r="L5175" i="1"/>
  <c r="X509" i="1"/>
  <c r="W509" i="1"/>
  <c r="U509" i="1"/>
  <c r="P509" i="1"/>
  <c r="B509" i="1" s="1"/>
  <c r="L509" i="1"/>
  <c r="X4083" i="1"/>
  <c r="W4083" i="1"/>
  <c r="U4083" i="1"/>
  <c r="P4083" i="1"/>
  <c r="B4083" i="1" s="1"/>
  <c r="L4083" i="1"/>
  <c r="X6582" i="1"/>
  <c r="W6582" i="1"/>
  <c r="U6582" i="1"/>
  <c r="P6582" i="1"/>
  <c r="B6582" i="1" s="1"/>
  <c r="L6582" i="1"/>
  <c r="X4355" i="1"/>
  <c r="W4355" i="1"/>
  <c r="V4355" i="1"/>
  <c r="U4355" i="1"/>
  <c r="M4355" i="1"/>
  <c r="K4355" i="1"/>
  <c r="I4355" i="1"/>
  <c r="H4355" i="1"/>
  <c r="X4354" i="1"/>
  <c r="W4354" i="1"/>
  <c r="V4354" i="1"/>
  <c r="U4354" i="1"/>
  <c r="N4354" i="1"/>
  <c r="X4353" i="1"/>
  <c r="W4353" i="1"/>
  <c r="U4353" i="1"/>
  <c r="P4353" i="1"/>
  <c r="B4353" i="1" s="1"/>
  <c r="L4353" i="1"/>
  <c r="X4352" i="1"/>
  <c r="W4352" i="1"/>
  <c r="V4352" i="1"/>
  <c r="U4352" i="1"/>
  <c r="N4352" i="1"/>
  <c r="X4351" i="1"/>
  <c r="W4351" i="1"/>
  <c r="V4351" i="1"/>
  <c r="U4351" i="1"/>
  <c r="N4351" i="1"/>
  <c r="X4152" i="1"/>
  <c r="W4152" i="1"/>
  <c r="V4152" i="1"/>
  <c r="U4152" i="1"/>
  <c r="M4152" i="1"/>
  <c r="K4152" i="1"/>
  <c r="I4152" i="1"/>
  <c r="H4152" i="1"/>
  <c r="X4151" i="1"/>
  <c r="W4151" i="1"/>
  <c r="V4151" i="1"/>
  <c r="U4151" i="1"/>
  <c r="N4151" i="1"/>
  <c r="X4148" i="1"/>
  <c r="W4148" i="1"/>
  <c r="U4148" i="1"/>
  <c r="P4148" i="1"/>
  <c r="B4148" i="1" s="1"/>
  <c r="L4148" i="1"/>
  <c r="X4147" i="1"/>
  <c r="W4147" i="1"/>
  <c r="V4147" i="1"/>
  <c r="U4147" i="1"/>
  <c r="N4147" i="1"/>
  <c r="X4146" i="1"/>
  <c r="W4146" i="1"/>
  <c r="V4146" i="1"/>
  <c r="U4146" i="1"/>
  <c r="N4146" i="1"/>
  <c r="X6551" i="1"/>
  <c r="W6551" i="1"/>
  <c r="U6551" i="1"/>
  <c r="P6551" i="1"/>
  <c r="B6551" i="1" s="1"/>
  <c r="L6551" i="1"/>
  <c r="X4230" i="1"/>
  <c r="W4230" i="1"/>
  <c r="U4230" i="1"/>
  <c r="P4230" i="1"/>
  <c r="B4230" i="1" s="1"/>
  <c r="L4230" i="1"/>
  <c r="X1565" i="1"/>
  <c r="W1565" i="1"/>
  <c r="V1565" i="1"/>
  <c r="U1565" i="1"/>
  <c r="M1565" i="1"/>
  <c r="K1565" i="1"/>
  <c r="I1565" i="1"/>
  <c r="H1565" i="1"/>
  <c r="X1564" i="1"/>
  <c r="W1564" i="1"/>
  <c r="V1564" i="1"/>
  <c r="U1564" i="1"/>
  <c r="N1564" i="1"/>
  <c r="X1559" i="1"/>
  <c r="W1559" i="1"/>
  <c r="U1559" i="1"/>
  <c r="P1559" i="1"/>
  <c r="B1559" i="1" s="1"/>
  <c r="L1559" i="1"/>
  <c r="X1558" i="1"/>
  <c r="W1558" i="1"/>
  <c r="V1558" i="1"/>
  <c r="U1558" i="1"/>
  <c r="N1558" i="1"/>
  <c r="X1557" i="1"/>
  <c r="W1557" i="1"/>
  <c r="V1557" i="1"/>
  <c r="U1557" i="1"/>
  <c r="N1557" i="1"/>
  <c r="X386" i="1"/>
  <c r="W386" i="1"/>
  <c r="U386" i="1"/>
  <c r="P386" i="1"/>
  <c r="B386" i="1" s="1"/>
  <c r="L386" i="1"/>
  <c r="X5411" i="1"/>
  <c r="W5411" i="1"/>
  <c r="U5411" i="1"/>
  <c r="P5411" i="1"/>
  <c r="B5411" i="1" s="1"/>
  <c r="L5411" i="1"/>
  <c r="X6485" i="1"/>
  <c r="W6485" i="1"/>
  <c r="U6485" i="1"/>
  <c r="P6485" i="1"/>
  <c r="B6485" i="1" s="1"/>
  <c r="L6485" i="1"/>
  <c r="X510" i="1"/>
  <c r="W510" i="1"/>
  <c r="U510" i="1"/>
  <c r="P510" i="1"/>
  <c r="B510" i="1" s="1"/>
  <c r="L510" i="1"/>
  <c r="X2139" i="1"/>
  <c r="W2139" i="1"/>
  <c r="U2139" i="1"/>
  <c r="P2139" i="1"/>
  <c r="B2139" i="1" s="1"/>
  <c r="L2139" i="1"/>
  <c r="L5218" i="1"/>
  <c r="X5218" i="1"/>
  <c r="W5218" i="1"/>
  <c r="U5218" i="1"/>
  <c r="P5218" i="1"/>
  <c r="B5218" i="1" s="1"/>
  <c r="X2684" i="1"/>
  <c r="W2684" i="1"/>
  <c r="U2684" i="1"/>
  <c r="P2684" i="1"/>
  <c r="B2684" i="1" s="1"/>
  <c r="L2684" i="1"/>
  <c r="H3648" i="1"/>
  <c r="L3648" i="1" s="1"/>
  <c r="X47" i="1"/>
  <c r="W47" i="1"/>
  <c r="U47" i="1"/>
  <c r="P47" i="1"/>
  <c r="B47" i="1" s="1"/>
  <c r="L47" i="1"/>
  <c r="L6068" i="1"/>
  <c r="X6068" i="1"/>
  <c r="W6068" i="1"/>
  <c r="U6068" i="1"/>
  <c r="P6068" i="1"/>
  <c r="B6068" i="1" s="1"/>
  <c r="X3650" i="1"/>
  <c r="W3650" i="1"/>
  <c r="U3650" i="1"/>
  <c r="P3650" i="1"/>
  <c r="B3650" i="1" s="1"/>
  <c r="I3650" i="1"/>
  <c r="L3650" i="1" s="1"/>
  <c r="M898" i="1"/>
  <c r="I898" i="1"/>
  <c r="X1507" i="1"/>
  <c r="W1507" i="1"/>
  <c r="U1507" i="1"/>
  <c r="P1507" i="1"/>
  <c r="B1507" i="1" s="1"/>
  <c r="L1507" i="1"/>
  <c r="X1508" i="1"/>
  <c r="W1508" i="1"/>
  <c r="U1508" i="1"/>
  <c r="P1508" i="1"/>
  <c r="B1508" i="1" s="1"/>
  <c r="L1508" i="1"/>
  <c r="X4345" i="1"/>
  <c r="W4345" i="1"/>
  <c r="V4345" i="1"/>
  <c r="U4345" i="1"/>
  <c r="M4345" i="1"/>
  <c r="K4345" i="1"/>
  <c r="I4345" i="1"/>
  <c r="H4345" i="1"/>
  <c r="X4344" i="1"/>
  <c r="W4344" i="1"/>
  <c r="V4344" i="1"/>
  <c r="U4344" i="1"/>
  <c r="N4344" i="1"/>
  <c r="X4342" i="1"/>
  <c r="W4342" i="1"/>
  <c r="U4342" i="1"/>
  <c r="P4342" i="1"/>
  <c r="B4342" i="1" s="1"/>
  <c r="L4342" i="1"/>
  <c r="X4341" i="1"/>
  <c r="W4341" i="1"/>
  <c r="V4341" i="1"/>
  <c r="U4341" i="1"/>
  <c r="N4341" i="1"/>
  <c r="X4340" i="1"/>
  <c r="W4340" i="1"/>
  <c r="V4340" i="1"/>
  <c r="U4340" i="1"/>
  <c r="N4340" i="1"/>
  <c r="X4628" i="1"/>
  <c r="W4628" i="1"/>
  <c r="U4628" i="1"/>
  <c r="P4628" i="1"/>
  <c r="B4628" i="1" s="1"/>
  <c r="L4628" i="1"/>
  <c r="X5957" i="1"/>
  <c r="W5957" i="1"/>
  <c r="U5957" i="1"/>
  <c r="P5957" i="1"/>
  <c r="B5957" i="1" s="1"/>
  <c r="L5957" i="1"/>
  <c r="L1767" i="1"/>
  <c r="X1767" i="1"/>
  <c r="W1767" i="1"/>
  <c r="U1767" i="1"/>
  <c r="P1767" i="1"/>
  <c r="B1767" i="1" s="1"/>
  <c r="L5818" i="1"/>
  <c r="X5817" i="1"/>
  <c r="W5817" i="1"/>
  <c r="U5817" i="1"/>
  <c r="P5817" i="1"/>
  <c r="B5817" i="1" s="1"/>
  <c r="L5817" i="1"/>
  <c r="X3936" i="1"/>
  <c r="W3936" i="1"/>
  <c r="U3936" i="1"/>
  <c r="P3936" i="1"/>
  <c r="B3936" i="1" s="1"/>
  <c r="L3936" i="1"/>
  <c r="X1411" i="1"/>
  <c r="W1411" i="1"/>
  <c r="U1411" i="1"/>
  <c r="P1411" i="1"/>
  <c r="B1411" i="1" s="1"/>
  <c r="L1411" i="1"/>
  <c r="X514" i="1"/>
  <c r="W514" i="1"/>
  <c r="V514" i="1"/>
  <c r="U514" i="1"/>
  <c r="M514" i="1"/>
  <c r="X513" i="1"/>
  <c r="W513" i="1"/>
  <c r="V513" i="1"/>
  <c r="U513" i="1"/>
  <c r="N513" i="1"/>
  <c r="X503" i="1"/>
  <c r="W503" i="1"/>
  <c r="U503" i="1"/>
  <c r="P503" i="1"/>
  <c r="B503" i="1" s="1"/>
  <c r="H514" i="1"/>
  <c r="X502" i="1"/>
  <c r="W502" i="1"/>
  <c r="V502" i="1"/>
  <c r="U502" i="1"/>
  <c r="N502" i="1"/>
  <c r="X501" i="1"/>
  <c r="W501" i="1"/>
  <c r="V501" i="1"/>
  <c r="U501" i="1"/>
  <c r="N501" i="1"/>
  <c r="L503" i="1"/>
  <c r="L1763" i="1"/>
  <c r="X1763" i="1"/>
  <c r="W1763" i="1"/>
  <c r="U1763" i="1"/>
  <c r="P1763" i="1"/>
  <c r="B1763" i="1" s="1"/>
  <c r="L4213" i="1"/>
  <c r="X4213" i="1"/>
  <c r="W4213" i="1"/>
  <c r="U4213" i="1"/>
  <c r="P4213" i="1"/>
  <c r="B4213" i="1" s="1"/>
  <c r="X1930" i="1"/>
  <c r="W1930" i="1"/>
  <c r="U1930" i="1"/>
  <c r="P1930" i="1"/>
  <c r="B1930" i="1" s="1"/>
  <c r="L1930" i="1"/>
  <c r="X874" i="1"/>
  <c r="W874" i="1"/>
  <c r="U874" i="1"/>
  <c r="P874" i="1"/>
  <c r="B874" i="1" s="1"/>
  <c r="L874" i="1"/>
  <c r="X883" i="1"/>
  <c r="W883" i="1"/>
  <c r="U883" i="1"/>
  <c r="P883" i="1"/>
  <c r="B883" i="1" s="1"/>
  <c r="L883" i="1"/>
  <c r="X129" i="1"/>
  <c r="W129" i="1"/>
  <c r="U129" i="1"/>
  <c r="P129" i="1"/>
  <c r="B129" i="1" s="1"/>
  <c r="L129" i="1"/>
  <c r="P4986" i="1"/>
  <c r="B4986" i="1" s="1"/>
  <c r="I1655" i="1"/>
  <c r="L1655" i="1" s="1"/>
  <c r="X1655" i="1"/>
  <c r="W1655" i="1"/>
  <c r="U1655" i="1"/>
  <c r="P1655" i="1"/>
  <c r="B1655" i="1" s="1"/>
  <c r="X5193" i="1"/>
  <c r="W5193" i="1"/>
  <c r="U5193" i="1"/>
  <c r="P5193" i="1"/>
  <c r="B5193" i="1" s="1"/>
  <c r="L5193" i="1"/>
  <c r="X4610" i="1"/>
  <c r="W4610" i="1"/>
  <c r="U4610" i="1"/>
  <c r="P4610" i="1"/>
  <c r="B4610" i="1" s="1"/>
  <c r="L4610" i="1"/>
  <c r="X5179" i="1"/>
  <c r="W5179" i="1"/>
  <c r="U5179" i="1"/>
  <c r="P5179" i="1"/>
  <c r="B5179" i="1" s="1"/>
  <c r="L5179" i="1"/>
  <c r="I4986" i="1"/>
  <c r="L4986" i="1" s="1"/>
  <c r="X4986" i="1"/>
  <c r="W4986" i="1"/>
  <c r="U4986" i="1"/>
  <c r="X6376" i="1"/>
  <c r="W6376" i="1"/>
  <c r="U6376" i="1"/>
  <c r="P6376" i="1"/>
  <c r="B6376" i="1" s="1"/>
  <c r="L6376" i="1"/>
  <c r="L5304" i="1"/>
  <c r="X5305" i="1"/>
  <c r="W5305" i="1"/>
  <c r="U5305" i="1"/>
  <c r="P5305" i="1"/>
  <c r="B5305" i="1" s="1"/>
  <c r="L5305" i="1"/>
  <c r="L3773" i="1"/>
  <c r="X3775" i="1"/>
  <c r="W3775" i="1"/>
  <c r="U3775" i="1"/>
  <c r="P3775" i="1"/>
  <c r="B3775" i="1" s="1"/>
  <c r="L3775" i="1"/>
  <c r="X326" i="1"/>
  <c r="W326" i="1"/>
  <c r="U326" i="1"/>
  <c r="P326" i="1"/>
  <c r="B326" i="1" s="1"/>
  <c r="L326" i="1"/>
  <c r="H5041" i="1"/>
  <c r="L5041" i="1" s="1"/>
  <c r="X5041" i="1"/>
  <c r="W5041" i="1"/>
  <c r="U5041" i="1"/>
  <c r="P5041" i="1"/>
  <c r="B5041" i="1" s="1"/>
  <c r="X1415" i="1"/>
  <c r="W1415" i="1"/>
  <c r="U1415" i="1"/>
  <c r="P1415" i="1"/>
  <c r="B1415" i="1" s="1"/>
  <c r="L1415" i="1"/>
  <c r="X6764" i="1"/>
  <c r="W6764" i="1"/>
  <c r="V6764" i="1"/>
  <c r="U6764" i="1"/>
  <c r="M6764" i="1"/>
  <c r="K6764" i="1"/>
  <c r="I6764" i="1"/>
  <c r="H6764" i="1"/>
  <c r="X6763" i="1"/>
  <c r="W6763" i="1"/>
  <c r="V6763" i="1"/>
  <c r="U6763" i="1"/>
  <c r="N6763" i="1"/>
  <c r="X6762" i="1"/>
  <c r="W6762" i="1"/>
  <c r="U6762" i="1"/>
  <c r="P6762" i="1"/>
  <c r="B6762" i="1" s="1"/>
  <c r="L6762" i="1"/>
  <c r="X6761" i="1"/>
  <c r="W6761" i="1"/>
  <c r="V6761" i="1"/>
  <c r="U6761" i="1"/>
  <c r="N6761" i="1"/>
  <c r="X6760" i="1"/>
  <c r="W6760" i="1"/>
  <c r="V6760" i="1"/>
  <c r="U6760" i="1"/>
  <c r="N6760" i="1"/>
  <c r="X5946" i="1"/>
  <c r="W5946" i="1"/>
  <c r="U5946" i="1"/>
  <c r="P5946" i="1"/>
  <c r="B5946" i="1" s="1"/>
  <c r="L5946" i="1"/>
  <c r="X354" i="1"/>
  <c r="W354" i="1"/>
  <c r="U354" i="1"/>
  <c r="P354" i="1"/>
  <c r="B354" i="1" s="1"/>
  <c r="L354" i="1"/>
  <c r="H5307" i="1"/>
  <c r="L5307" i="1" s="1"/>
  <c r="X5307" i="1"/>
  <c r="W5307" i="1"/>
  <c r="U5307" i="1"/>
  <c r="P5307" i="1"/>
  <c r="B5307" i="1" s="1"/>
  <c r="I3805" i="1"/>
  <c r="X3796" i="1"/>
  <c r="W3796" i="1"/>
  <c r="U3796" i="1"/>
  <c r="P3796" i="1"/>
  <c r="B3796" i="1" s="1"/>
  <c r="L3796" i="1"/>
  <c r="X5405" i="1"/>
  <c r="W5405" i="1"/>
  <c r="U5405" i="1"/>
  <c r="P5405" i="1"/>
  <c r="B5405" i="1" s="1"/>
  <c r="L5405" i="1"/>
  <c r="X6773" i="1"/>
  <c r="W6773" i="1"/>
  <c r="U6773" i="1"/>
  <c r="P6773" i="1"/>
  <c r="B6773" i="1" s="1"/>
  <c r="L6773" i="1"/>
  <c r="N6773" i="1" s="1"/>
  <c r="X6382" i="1"/>
  <c r="W6382" i="1"/>
  <c r="U6382" i="1"/>
  <c r="P6382" i="1"/>
  <c r="B6382" i="1" s="1"/>
  <c r="L6382" i="1"/>
  <c r="X6225" i="1"/>
  <c r="W6225" i="1"/>
  <c r="U6225" i="1"/>
  <c r="P6225" i="1"/>
  <c r="B6225" i="1" s="1"/>
  <c r="L6225" i="1"/>
  <c r="I353" i="1"/>
  <c r="L353" i="1" s="1"/>
  <c r="X353" i="1"/>
  <c r="W353" i="1"/>
  <c r="U353" i="1"/>
  <c r="P353" i="1"/>
  <c r="B353" i="1" s="1"/>
  <c r="X6779" i="1"/>
  <c r="X6776" i="1"/>
  <c r="X6772" i="1"/>
  <c r="X6771" i="1"/>
  <c r="X6770" i="1"/>
  <c r="X6752" i="1"/>
  <c r="X6751" i="1"/>
  <c r="X6750" i="1"/>
  <c r="X6749" i="1"/>
  <c r="X6746" i="1"/>
  <c r="X6740" i="1"/>
  <c r="X6739" i="1"/>
  <c r="X6738" i="1"/>
  <c r="X6737" i="1"/>
  <c r="X6736" i="1"/>
  <c r="X6735" i="1"/>
  <c r="X6734" i="1"/>
  <c r="X6733" i="1"/>
  <c r="X6727" i="1"/>
  <c r="X6726" i="1"/>
  <c r="X6724" i="1"/>
  <c r="X6720" i="1"/>
  <c r="X6719" i="1"/>
  <c r="X6716" i="1"/>
  <c r="X6715" i="1"/>
  <c r="X6714" i="1"/>
  <c r="X6707" i="1"/>
  <c r="X6706" i="1"/>
  <c r="X6702" i="1"/>
  <c r="X6701" i="1"/>
  <c r="X6700" i="1"/>
  <c r="X6699" i="1"/>
  <c r="X6698" i="1"/>
  <c r="X6697" i="1"/>
  <c r="X6696" i="1"/>
  <c r="X6694" i="1"/>
  <c r="X6693" i="1"/>
  <c r="X6692" i="1"/>
  <c r="X6691" i="1"/>
  <c r="X6690" i="1"/>
  <c r="X6689" i="1"/>
  <c r="X6688" i="1"/>
  <c r="X6687" i="1"/>
  <c r="X6686" i="1"/>
  <c r="X6685" i="1"/>
  <c r="X6684" i="1"/>
  <c r="X6682" i="1"/>
  <c r="X6681" i="1"/>
  <c r="X6680" i="1"/>
  <c r="X6679" i="1"/>
  <c r="X6678" i="1"/>
  <c r="X6677" i="1"/>
  <c r="X6676" i="1"/>
  <c r="X6675" i="1"/>
  <c r="X6674" i="1"/>
  <c r="X6673" i="1"/>
  <c r="X6672" i="1"/>
  <c r="X6671" i="1"/>
  <c r="X6670" i="1"/>
  <c r="X6669" i="1"/>
  <c r="X6667" i="1"/>
  <c r="X6666" i="1"/>
  <c r="X6665" i="1"/>
  <c r="X6658" i="1"/>
  <c r="X6657" i="1"/>
  <c r="X6656" i="1"/>
  <c r="X6655" i="1"/>
  <c r="X6653" i="1"/>
  <c r="X6652" i="1"/>
  <c r="X6651" i="1"/>
  <c r="X6637" i="1"/>
  <c r="X6636" i="1"/>
  <c r="X6635" i="1"/>
  <c r="X6634" i="1"/>
  <c r="X6633" i="1"/>
  <c r="X6632" i="1"/>
  <c r="X6631" i="1"/>
  <c r="X6630" i="1"/>
  <c r="X6628" i="1"/>
  <c r="X6627" i="1"/>
  <c r="X6626" i="1"/>
  <c r="X6620" i="1"/>
  <c r="X6619" i="1"/>
  <c r="X6618" i="1"/>
  <c r="X6615" i="1"/>
  <c r="X6612" i="1"/>
  <c r="X6611" i="1"/>
  <c r="X6610" i="1"/>
  <c r="X6603" i="1"/>
  <c r="X6602" i="1"/>
  <c r="X6601" i="1"/>
  <c r="X6600" i="1"/>
  <c r="X6599" i="1"/>
  <c r="X6585" i="1"/>
  <c r="X6584" i="1"/>
  <c r="X6574" i="1"/>
  <c r="X6573" i="1"/>
  <c r="X6572" i="1"/>
  <c r="X6571" i="1"/>
  <c r="X6570" i="1"/>
  <c r="X6564" i="1"/>
  <c r="X6563" i="1"/>
  <c r="X6562" i="1"/>
  <c r="X6561" i="1"/>
  <c r="X6560" i="1"/>
  <c r="X6557" i="1"/>
  <c r="X6556" i="1"/>
  <c r="X6555" i="1"/>
  <c r="X6554" i="1"/>
  <c r="X6553" i="1"/>
  <c r="X6549" i="1"/>
  <c r="X6548" i="1"/>
  <c r="X6547" i="1"/>
  <c r="X6546" i="1"/>
  <c r="X6545" i="1"/>
  <c r="X6544" i="1"/>
  <c r="X6540" i="1"/>
  <c r="X6539" i="1"/>
  <c r="X6538" i="1"/>
  <c r="X6537" i="1"/>
  <c r="X6536" i="1"/>
  <c r="X6532" i="1"/>
  <c r="X6531" i="1"/>
  <c r="X6530" i="1"/>
  <c r="X6529" i="1"/>
  <c r="X6528" i="1"/>
  <c r="X6527" i="1"/>
  <c r="X6526" i="1"/>
  <c r="X6525" i="1"/>
  <c r="X6524" i="1"/>
  <c r="X6523" i="1"/>
  <c r="X6519" i="1"/>
  <c r="X6518" i="1"/>
  <c r="X6517" i="1"/>
  <c r="X6516" i="1"/>
  <c r="X6515" i="1"/>
  <c r="X6514" i="1"/>
  <c r="X6513" i="1"/>
  <c r="X6512" i="1"/>
  <c r="X6511" i="1"/>
  <c r="X6510" i="1"/>
  <c r="X6509" i="1"/>
  <c r="X6505" i="1"/>
  <c r="X6504" i="1"/>
  <c r="X6503" i="1"/>
  <c r="X6502" i="1"/>
  <c r="X6501" i="1"/>
  <c r="X6496" i="1"/>
  <c r="X6495" i="1"/>
  <c r="X6494" i="1"/>
  <c r="X6493" i="1"/>
  <c r="X6492" i="1"/>
  <c r="X6491" i="1"/>
  <c r="X6490" i="1"/>
  <c r="X6489" i="1"/>
  <c r="X6488" i="1"/>
  <c r="X6478" i="1"/>
  <c r="X6477" i="1"/>
  <c r="X6476" i="1"/>
  <c r="X6454" i="1"/>
  <c r="X6453" i="1"/>
  <c r="X6452" i="1"/>
  <c r="X6446" i="1"/>
  <c r="X6445" i="1"/>
  <c r="X6444" i="1"/>
  <c r="X6443" i="1"/>
  <c r="X6442" i="1"/>
  <c r="X6441" i="1"/>
  <c r="X6440" i="1"/>
  <c r="X6439" i="1"/>
  <c r="X6428" i="1"/>
  <c r="X6427" i="1"/>
  <c r="X6426" i="1"/>
  <c r="X6425" i="1"/>
  <c r="X6424" i="1"/>
  <c r="X6413" i="1"/>
  <c r="X6412" i="1"/>
  <c r="X6411" i="1"/>
  <c r="X6410" i="1"/>
  <c r="X6409" i="1"/>
  <c r="X6403" i="1"/>
  <c r="X6402" i="1"/>
  <c r="X6401" i="1"/>
  <c r="X6400" i="1"/>
  <c r="X6399" i="1"/>
  <c r="X6393" i="1"/>
  <c r="X6392" i="1"/>
  <c r="X6391" i="1"/>
  <c r="X6390" i="1"/>
  <c r="X6389" i="1"/>
  <c r="X6387" i="1"/>
  <c r="X6386" i="1"/>
  <c r="X6384" i="1"/>
  <c r="X6383" i="1"/>
  <c r="X6381" i="1"/>
  <c r="X6380" i="1"/>
  <c r="X6375" i="1"/>
  <c r="X6373" i="1"/>
  <c r="X6372" i="1"/>
  <c r="X6371" i="1"/>
  <c r="X6370" i="1"/>
  <c r="X6369" i="1"/>
  <c r="X6368" i="1"/>
  <c r="X6367" i="1"/>
  <c r="X6366" i="1"/>
  <c r="X6365" i="1"/>
  <c r="X6364" i="1"/>
  <c r="X6363" i="1"/>
  <c r="X6359" i="1"/>
  <c r="X6358" i="1"/>
  <c r="X6356" i="1"/>
  <c r="X6349" i="1"/>
  <c r="X6348" i="1"/>
  <c r="X6347" i="1"/>
  <c r="X6346" i="1"/>
  <c r="X6345" i="1"/>
  <c r="X6344" i="1"/>
  <c r="X6342" i="1"/>
  <c r="X6333" i="1"/>
  <c r="X6332" i="1"/>
  <c r="X6331" i="1"/>
  <c r="X6330" i="1"/>
  <c r="X6329" i="1"/>
  <c r="X6328" i="1"/>
  <c r="X6327" i="1"/>
  <c r="X6326" i="1"/>
  <c r="X6320" i="1"/>
  <c r="X6319" i="1"/>
  <c r="X6318" i="1"/>
  <c r="X6315" i="1"/>
  <c r="X6314" i="1"/>
  <c r="X6313" i="1"/>
  <c r="X6312" i="1"/>
  <c r="X6311" i="1"/>
  <c r="X6310" i="1"/>
  <c r="X6308" i="1"/>
  <c r="X6307" i="1"/>
  <c r="X6306" i="1"/>
  <c r="X6299" i="1"/>
  <c r="X6298" i="1"/>
  <c r="X6297" i="1"/>
  <c r="X6295" i="1"/>
  <c r="X6294" i="1"/>
  <c r="X6293" i="1"/>
  <c r="X6292" i="1"/>
  <c r="X6291" i="1"/>
  <c r="X6288" i="1"/>
  <c r="X6287" i="1"/>
  <c r="X6286" i="1"/>
  <c r="X6285" i="1"/>
  <c r="X6284" i="1"/>
  <c r="X6283" i="1"/>
  <c r="X6282" i="1"/>
  <c r="X6281" i="1"/>
  <c r="X6275" i="1"/>
  <c r="X6274" i="1"/>
  <c r="X6273" i="1"/>
  <c r="X6271" i="1"/>
  <c r="X6270" i="1"/>
  <c r="X6269" i="1"/>
  <c r="X6268" i="1"/>
  <c r="X6267" i="1"/>
  <c r="X6266" i="1"/>
  <c r="X6265" i="1"/>
  <c r="X6264" i="1"/>
  <c r="X6263" i="1"/>
  <c r="X6262" i="1"/>
  <c r="X6261" i="1"/>
  <c r="X6260" i="1"/>
  <c r="X6259" i="1"/>
  <c r="X6256" i="1"/>
  <c r="X6255" i="1"/>
  <c r="X6254" i="1"/>
  <c r="X6243" i="1"/>
  <c r="X6242" i="1"/>
  <c r="X6239" i="1"/>
  <c r="X6236" i="1"/>
  <c r="X6235" i="1"/>
  <c r="X6231" i="1"/>
  <c r="X6229" i="1"/>
  <c r="X6228" i="1"/>
  <c r="X6227" i="1"/>
  <c r="X6226" i="1"/>
  <c r="X6223" i="1"/>
  <c r="X6222" i="1"/>
  <c r="X6221" i="1"/>
  <c r="X6220" i="1"/>
  <c r="X6219" i="1"/>
  <c r="X6218" i="1"/>
  <c r="X6217" i="1"/>
  <c r="X6216" i="1"/>
  <c r="X6210" i="1"/>
  <c r="X6209" i="1"/>
  <c r="X6208" i="1"/>
  <c r="X6207" i="1"/>
  <c r="X6206" i="1"/>
  <c r="X6205" i="1"/>
  <c r="X6204" i="1"/>
  <c r="X6203" i="1"/>
  <c r="X6202" i="1"/>
  <c r="X6201" i="1"/>
  <c r="X6200" i="1"/>
  <c r="X6199" i="1"/>
  <c r="X6198" i="1"/>
  <c r="X6197" i="1"/>
  <c r="X6196" i="1"/>
  <c r="X6195" i="1"/>
  <c r="X6194" i="1"/>
  <c r="X6193" i="1"/>
  <c r="X6192" i="1"/>
  <c r="X6191" i="1"/>
  <c r="X6190" i="1"/>
  <c r="X6189" i="1"/>
  <c r="X6188" i="1"/>
  <c r="X6187" i="1"/>
  <c r="X6186" i="1"/>
  <c r="X6185" i="1"/>
  <c r="X6184" i="1"/>
  <c r="X6183" i="1"/>
  <c r="X6182" i="1"/>
  <c r="X6181" i="1"/>
  <c r="X6180" i="1"/>
  <c r="X6179" i="1"/>
  <c r="X6178" i="1"/>
  <c r="X6177" i="1"/>
  <c r="X6176" i="1"/>
  <c r="X6175" i="1"/>
  <c r="X6174" i="1"/>
  <c r="X6173" i="1"/>
  <c r="X6172" i="1"/>
  <c r="X6171" i="1"/>
  <c r="X6170" i="1"/>
  <c r="X6169" i="1"/>
  <c r="X6168" i="1"/>
  <c r="X6167" i="1"/>
  <c r="X6166" i="1"/>
  <c r="X6165" i="1"/>
  <c r="X6164" i="1"/>
  <c r="X6163" i="1"/>
  <c r="X6162" i="1"/>
  <c r="X6161" i="1"/>
  <c r="X6160" i="1"/>
  <c r="X6159" i="1"/>
  <c r="X6158" i="1"/>
  <c r="X6157" i="1"/>
  <c r="X6156" i="1"/>
  <c r="X6155" i="1"/>
  <c r="X6154" i="1"/>
  <c r="X6153" i="1"/>
  <c r="X6152" i="1"/>
  <c r="X6151" i="1"/>
  <c r="X6150" i="1"/>
  <c r="X6149" i="1"/>
  <c r="X6148" i="1"/>
  <c r="X6147" i="1"/>
  <c r="X6146" i="1"/>
  <c r="X6145" i="1"/>
  <c r="X6144" i="1"/>
  <c r="X6143" i="1"/>
  <c r="X6142" i="1"/>
  <c r="X6141" i="1"/>
  <c r="X6140" i="1"/>
  <c r="X6139" i="1"/>
  <c r="X6138" i="1"/>
  <c r="X6137" i="1"/>
  <c r="X6135" i="1"/>
  <c r="X6134" i="1"/>
  <c r="X6133" i="1"/>
  <c r="X6132" i="1"/>
  <c r="X6131" i="1"/>
  <c r="X6130" i="1"/>
  <c r="X6129" i="1"/>
  <c r="X6128" i="1"/>
  <c r="X6127" i="1"/>
  <c r="X6126" i="1"/>
  <c r="X6125" i="1"/>
  <c r="X6121" i="1"/>
  <c r="X6120" i="1"/>
  <c r="X6119" i="1"/>
  <c r="X6113" i="1"/>
  <c r="X6112" i="1"/>
  <c r="X6108" i="1"/>
  <c r="X6107" i="1"/>
  <c r="X6106" i="1"/>
  <c r="X6105" i="1"/>
  <c r="X6104" i="1"/>
  <c r="X6102" i="1"/>
  <c r="X6103" i="1"/>
  <c r="X6100" i="1"/>
  <c r="X6099" i="1"/>
  <c r="X6098" i="1"/>
  <c r="X6070" i="1"/>
  <c r="X6069" i="1"/>
  <c r="X6066" i="1"/>
  <c r="X6065" i="1"/>
  <c r="X6064" i="1"/>
  <c r="X6063" i="1"/>
  <c r="X6062" i="1"/>
  <c r="X6057" i="1"/>
  <c r="X6056" i="1"/>
  <c r="X6055" i="1"/>
  <c r="X6054" i="1"/>
  <c r="X6053" i="1"/>
  <c r="X6052" i="1"/>
  <c r="X6050" i="1"/>
  <c r="X6049" i="1"/>
  <c r="X6048" i="1"/>
  <c r="X6047" i="1"/>
  <c r="X6041" i="1"/>
  <c r="X6040" i="1"/>
  <c r="X6038" i="1"/>
  <c r="X6035" i="1"/>
  <c r="X6034" i="1"/>
  <c r="X6033" i="1"/>
  <c r="X6032" i="1"/>
  <c r="X6031" i="1"/>
  <c r="X6027" i="1"/>
  <c r="X6024" i="1"/>
  <c r="X6023" i="1"/>
  <c r="X6022" i="1"/>
  <c r="X6021" i="1"/>
  <c r="X6020" i="1"/>
  <c r="X6018" i="1"/>
  <c r="X6017" i="1"/>
  <c r="X6016" i="1"/>
  <c r="X6015" i="1"/>
  <c r="X6014" i="1"/>
  <c r="X6011" i="1"/>
  <c r="X6010" i="1"/>
  <c r="X6009" i="1"/>
  <c r="X6003" i="1"/>
  <c r="X6002" i="1"/>
  <c r="X6001" i="1"/>
  <c r="X6000" i="1"/>
  <c r="X5999" i="1"/>
  <c r="X5998" i="1"/>
  <c r="X5997" i="1"/>
  <c r="X5996" i="1"/>
  <c r="X5995" i="1"/>
  <c r="X5994" i="1"/>
  <c r="X5993" i="1"/>
  <c r="X5992" i="1"/>
  <c r="X5991" i="1"/>
  <c r="X5990" i="1"/>
  <c r="X5989" i="1"/>
  <c r="X5988" i="1"/>
  <c r="X5974" i="1"/>
  <c r="X5973" i="1"/>
  <c r="X5968" i="1"/>
  <c r="X5967" i="1"/>
  <c r="X5966" i="1"/>
  <c r="X5965" i="1"/>
  <c r="X5964" i="1"/>
  <c r="X5960" i="1"/>
  <c r="X5950" i="1"/>
  <c r="X5945" i="1"/>
  <c r="X5943" i="1"/>
  <c r="X5939" i="1"/>
  <c r="X5936" i="1"/>
  <c r="X5935" i="1"/>
  <c r="X5934" i="1"/>
  <c r="X5923" i="1"/>
  <c r="X5922" i="1"/>
  <c r="X5919" i="1"/>
  <c r="X5918" i="1"/>
  <c r="X5917" i="1"/>
  <c r="X5904" i="1"/>
  <c r="X5903" i="1"/>
  <c r="X5900" i="1"/>
  <c r="X5899" i="1"/>
  <c r="X5898" i="1"/>
  <c r="X5897" i="1"/>
  <c r="X5896" i="1"/>
  <c r="X5892" i="1"/>
  <c r="X5891" i="1"/>
  <c r="X5890" i="1"/>
  <c r="X5889" i="1"/>
  <c r="X5888" i="1"/>
  <c r="X5887" i="1"/>
  <c r="X5886" i="1"/>
  <c r="X5885" i="1"/>
  <c r="X5884" i="1"/>
  <c r="X5883" i="1"/>
  <c r="X5881" i="1"/>
  <c r="X5878" i="1"/>
  <c r="X5877" i="1"/>
  <c r="X5876" i="1"/>
  <c r="X5869" i="1"/>
  <c r="X5868" i="1"/>
  <c r="X5867" i="1"/>
  <c r="X5866" i="1"/>
  <c r="X5864" i="1"/>
  <c r="X5859" i="1"/>
  <c r="X5854" i="1"/>
  <c r="X5852" i="1"/>
  <c r="X5845" i="1"/>
  <c r="X5844" i="1"/>
  <c r="X5843" i="1"/>
  <c r="X5842" i="1"/>
  <c r="X5841" i="1"/>
  <c r="X5838" i="1"/>
  <c r="X5837" i="1"/>
  <c r="X5836" i="1"/>
  <c r="X5833" i="1"/>
  <c r="X5832" i="1"/>
  <c r="X5827" i="1"/>
  <c r="X5826" i="1"/>
  <c r="X5825" i="1"/>
  <c r="X5824" i="1"/>
  <c r="X5823" i="1"/>
  <c r="X5822" i="1"/>
  <c r="X5818" i="1"/>
  <c r="X5816" i="1"/>
  <c r="X5814" i="1"/>
  <c r="X5810" i="1"/>
  <c r="X5809" i="1"/>
  <c r="X5807" i="1"/>
  <c r="X5805" i="1"/>
  <c r="X5804" i="1"/>
  <c r="X5802" i="1"/>
  <c r="X5800" i="1"/>
  <c r="X5799" i="1"/>
  <c r="X5794" i="1"/>
  <c r="X5793" i="1"/>
  <c r="X5792" i="1"/>
  <c r="X5790" i="1"/>
  <c r="X5788" i="1"/>
  <c r="X5786" i="1"/>
  <c r="X5779" i="1"/>
  <c r="X5778" i="1"/>
  <c r="X5777" i="1"/>
  <c r="X5776" i="1"/>
  <c r="X5775" i="1"/>
  <c r="X5774" i="1"/>
  <c r="X5769" i="1"/>
  <c r="X5768" i="1"/>
  <c r="X5765" i="1"/>
  <c r="X5764" i="1"/>
  <c r="X5758" i="1"/>
  <c r="X5757" i="1"/>
  <c r="X5755" i="1"/>
  <c r="X5754" i="1"/>
  <c r="X5753" i="1"/>
  <c r="X5747" i="1"/>
  <c r="X5746" i="1"/>
  <c r="X5745" i="1"/>
  <c r="X5744" i="1"/>
  <c r="X5742" i="1"/>
  <c r="X5741" i="1"/>
  <c r="X5737" i="1"/>
  <c r="X5735" i="1"/>
  <c r="X5732" i="1"/>
  <c r="X5731" i="1"/>
  <c r="X5730" i="1"/>
  <c r="X5729" i="1"/>
  <c r="X5728" i="1"/>
  <c r="X5727" i="1"/>
  <c r="X5726" i="1"/>
  <c r="X5725" i="1"/>
  <c r="X5724" i="1"/>
  <c r="X5723" i="1"/>
  <c r="X5720" i="1"/>
  <c r="X5716" i="1"/>
  <c r="X5715" i="1"/>
  <c r="X5714" i="1"/>
  <c r="X5713" i="1"/>
  <c r="X5712" i="1"/>
  <c r="X5711" i="1"/>
  <c r="X5710" i="1"/>
  <c r="X5709" i="1"/>
  <c r="X5708" i="1"/>
  <c r="X5707" i="1"/>
  <c r="X5706" i="1"/>
  <c r="X5705" i="1"/>
  <c r="X5704" i="1"/>
  <c r="X5703" i="1"/>
  <c r="X5702" i="1"/>
  <c r="X5701" i="1"/>
  <c r="X5698" i="1"/>
  <c r="X5697" i="1"/>
  <c r="X5696" i="1"/>
  <c r="X5685" i="1"/>
  <c r="X5684" i="1"/>
  <c r="X5682" i="1"/>
  <c r="X5681" i="1"/>
  <c r="X5679" i="1"/>
  <c r="X5678" i="1"/>
  <c r="X5677" i="1"/>
  <c r="X5676" i="1"/>
  <c r="X5675" i="1"/>
  <c r="X5674" i="1"/>
  <c r="X5673" i="1"/>
  <c r="X5671" i="1"/>
  <c r="X5668" i="1"/>
  <c r="X5667" i="1"/>
  <c r="X5666" i="1"/>
  <c r="X5660" i="1"/>
  <c r="X5652" i="1"/>
  <c r="X5650" i="1"/>
  <c r="X5648" i="1"/>
  <c r="X5647" i="1"/>
  <c r="X5645" i="1"/>
  <c r="X5644" i="1"/>
  <c r="X5643" i="1"/>
  <c r="X5642" i="1"/>
  <c r="X5641" i="1"/>
  <c r="X5640" i="1"/>
  <c r="X5639" i="1"/>
  <c r="X5638" i="1"/>
  <c r="X5628" i="1"/>
  <c r="X5627" i="1"/>
  <c r="X5626" i="1"/>
  <c r="X5625" i="1"/>
  <c r="X5624" i="1"/>
  <c r="X5621" i="1"/>
  <c r="X5620" i="1"/>
  <c r="X5619" i="1"/>
  <c r="X5618" i="1"/>
  <c r="X5616" i="1"/>
  <c r="X5615" i="1"/>
  <c r="X5610" i="1"/>
  <c r="X5603" i="1"/>
  <c r="X5602" i="1"/>
  <c r="X5600" i="1"/>
  <c r="X5599" i="1"/>
  <c r="X5598" i="1"/>
  <c r="X5595" i="1"/>
  <c r="X5593" i="1"/>
  <c r="X5592" i="1"/>
  <c r="X5591" i="1"/>
  <c r="X5588" i="1"/>
  <c r="X5584" i="1"/>
  <c r="X5583" i="1"/>
  <c r="X5580" i="1"/>
  <c r="X5579" i="1"/>
  <c r="X5578" i="1"/>
  <c r="X5577" i="1"/>
  <c r="X5576" i="1"/>
  <c r="X5575" i="1"/>
  <c r="X5574" i="1"/>
  <c r="X5573" i="1"/>
  <c r="X5572" i="1"/>
  <c r="X5571" i="1"/>
  <c r="X5568" i="1"/>
  <c r="X5566" i="1"/>
  <c r="X5564" i="1"/>
  <c r="X5562" i="1"/>
  <c r="X5558" i="1"/>
  <c r="X5556" i="1"/>
  <c r="X5555" i="1"/>
  <c r="X5554" i="1"/>
  <c r="X5553" i="1"/>
  <c r="X5552" i="1"/>
  <c r="X5551" i="1"/>
  <c r="X5550" i="1"/>
  <c r="X5549" i="1"/>
  <c r="X5548" i="1"/>
  <c r="X5547" i="1"/>
  <c r="X5546" i="1"/>
  <c r="X5545" i="1"/>
  <c r="X5544" i="1"/>
  <c r="X5543" i="1"/>
  <c r="X5542" i="1"/>
  <c r="X5541" i="1"/>
  <c r="X5540" i="1"/>
  <c r="X5539" i="1"/>
  <c r="X5538" i="1"/>
  <c r="X5537" i="1"/>
  <c r="X5536" i="1"/>
  <c r="X5535" i="1"/>
  <c r="X5534" i="1"/>
  <c r="X5533" i="1"/>
  <c r="X5532" i="1"/>
  <c r="X5531" i="1"/>
  <c r="X5530" i="1"/>
  <c r="X5529" i="1"/>
  <c r="X5528" i="1"/>
  <c r="X5527" i="1"/>
  <c r="X5526" i="1"/>
  <c r="X5525" i="1"/>
  <c r="X5524" i="1"/>
  <c r="X5523" i="1"/>
  <c r="X5522" i="1"/>
  <c r="X5521" i="1"/>
  <c r="X5520" i="1"/>
  <c r="X5519" i="1"/>
  <c r="X5518" i="1"/>
  <c r="X5517" i="1"/>
  <c r="X5516" i="1"/>
  <c r="X5515" i="1"/>
  <c r="X5514" i="1"/>
  <c r="X5513" i="1"/>
  <c r="X5488" i="1"/>
  <c r="X5487" i="1"/>
  <c r="X5486" i="1"/>
  <c r="X5484" i="1"/>
  <c r="X5483" i="1"/>
  <c r="X5482" i="1"/>
  <c r="X5481" i="1"/>
  <c r="X5480" i="1"/>
  <c r="X5479" i="1"/>
  <c r="X5478" i="1"/>
  <c r="X5477" i="1"/>
  <c r="X5476" i="1"/>
  <c r="X5475" i="1"/>
  <c r="X5474" i="1"/>
  <c r="X5473" i="1"/>
  <c r="X5472" i="1"/>
  <c r="X5471" i="1"/>
  <c r="X5467" i="1"/>
  <c r="X5466" i="1"/>
  <c r="X5465" i="1"/>
  <c r="X5458" i="1"/>
  <c r="X5457" i="1"/>
  <c r="X5456" i="1"/>
  <c r="X5450" i="1"/>
  <c r="X5449" i="1"/>
  <c r="X5448" i="1"/>
  <c r="X5427" i="1"/>
  <c r="X5426" i="1"/>
  <c r="X5425" i="1"/>
  <c r="X5424" i="1"/>
  <c r="X5423" i="1"/>
  <c r="X5422" i="1"/>
  <c r="X5421" i="1"/>
  <c r="X5420" i="1"/>
  <c r="X5413" i="1"/>
  <c r="X5412" i="1"/>
  <c r="X5403" i="1"/>
  <c r="X5402" i="1"/>
  <c r="X5397" i="1"/>
  <c r="X5396" i="1"/>
  <c r="X5395" i="1"/>
  <c r="X5389" i="1"/>
  <c r="X5388" i="1"/>
  <c r="X5387" i="1"/>
  <c r="X5386" i="1"/>
  <c r="X5383" i="1"/>
  <c r="X5382" i="1"/>
  <c r="X5381" i="1"/>
  <c r="X5380" i="1"/>
  <c r="X5347" i="1"/>
  <c r="X5346" i="1"/>
  <c r="X5345" i="1"/>
  <c r="X5343" i="1"/>
  <c r="X5339" i="1"/>
  <c r="X5338" i="1"/>
  <c r="X5337" i="1"/>
  <c r="X5336" i="1"/>
  <c r="X5335" i="1"/>
  <c r="X5332" i="1"/>
  <c r="X5331" i="1"/>
  <c r="X5330" i="1"/>
  <c r="X5329" i="1"/>
  <c r="X5328" i="1"/>
  <c r="X5326" i="1"/>
  <c r="X5321" i="1"/>
  <c r="X5316" i="1"/>
  <c r="X5315" i="1"/>
  <c r="X5314" i="1"/>
  <c r="X5313" i="1"/>
  <c r="X5312" i="1"/>
  <c r="X5310" i="1"/>
  <c r="X5309" i="1"/>
  <c r="X5306" i="1"/>
  <c r="X5304" i="1"/>
  <c r="X5303" i="1"/>
  <c r="X5302" i="1"/>
  <c r="X5301" i="1"/>
  <c r="X5300" i="1"/>
  <c r="X5299" i="1"/>
  <c r="X5298" i="1"/>
  <c r="X5297" i="1"/>
  <c r="X5296" i="1"/>
  <c r="X5295" i="1"/>
  <c r="X5293" i="1"/>
  <c r="X5292" i="1"/>
  <c r="X5291" i="1"/>
  <c r="X5290" i="1"/>
  <c r="X5289" i="1"/>
  <c r="X5286" i="1"/>
  <c r="X5284" i="1"/>
  <c r="X5283" i="1"/>
  <c r="X5282" i="1"/>
  <c r="X5247" i="1"/>
  <c r="X5246" i="1"/>
  <c r="X5245" i="1"/>
  <c r="X5244" i="1"/>
  <c r="X5243" i="1"/>
  <c r="X5242" i="1"/>
  <c r="X5239" i="1"/>
  <c r="X5235" i="1"/>
  <c r="X5234" i="1"/>
  <c r="X5233" i="1"/>
  <c r="X5232" i="1"/>
  <c r="X5231" i="1"/>
  <c r="X5230" i="1"/>
  <c r="X5225" i="1"/>
  <c r="X5224" i="1"/>
  <c r="X5223" i="1"/>
  <c r="X5222" i="1"/>
  <c r="X5221" i="1"/>
  <c r="X5220" i="1"/>
  <c r="X5219" i="1"/>
  <c r="X5217" i="1"/>
  <c r="X5216" i="1"/>
  <c r="X5215" i="1"/>
  <c r="X5203" i="1"/>
  <c r="X5202" i="1"/>
  <c r="X5201" i="1"/>
  <c r="X5200" i="1"/>
  <c r="X5191" i="1"/>
  <c r="X5190" i="1"/>
  <c r="X5189" i="1"/>
  <c r="X5188" i="1"/>
  <c r="X5187" i="1"/>
  <c r="X5185" i="1"/>
  <c r="X5184" i="1"/>
  <c r="X5181" i="1"/>
  <c r="X5180" i="1"/>
  <c r="X5176" i="1"/>
  <c r="X5171" i="1"/>
  <c r="X5165" i="1"/>
  <c r="X5164" i="1"/>
  <c r="X5159" i="1"/>
  <c r="X5155" i="1"/>
  <c r="X5149" i="1"/>
  <c r="X5147" i="1"/>
  <c r="X5139" i="1"/>
  <c r="X5138" i="1"/>
  <c r="X5137" i="1"/>
  <c r="X5136" i="1"/>
  <c r="X5135" i="1"/>
  <c r="X5133" i="1"/>
  <c r="X5132" i="1"/>
  <c r="X5131" i="1"/>
  <c r="X5116" i="1"/>
  <c r="X5115" i="1"/>
  <c r="X5114" i="1"/>
  <c r="X5111" i="1"/>
  <c r="X5110" i="1"/>
  <c r="X5109" i="1"/>
  <c r="X5108" i="1"/>
  <c r="X5107" i="1"/>
  <c r="X5103" i="1"/>
  <c r="X5101" i="1"/>
  <c r="X5091" i="1"/>
  <c r="X5089" i="1"/>
  <c r="X5084" i="1"/>
  <c r="X5083" i="1"/>
  <c r="X5082" i="1"/>
  <c r="X5081" i="1"/>
  <c r="X5080" i="1"/>
  <c r="X5078" i="1"/>
  <c r="X5077" i="1"/>
  <c r="X5076" i="1"/>
  <c r="X5075" i="1"/>
  <c r="X5074" i="1"/>
  <c r="X5073" i="1"/>
  <c r="X5068" i="1"/>
  <c r="X5063" i="1"/>
  <c r="X5062" i="1"/>
  <c r="X5061" i="1"/>
  <c r="X5060" i="1"/>
  <c r="X5059" i="1"/>
  <c r="X5058" i="1"/>
  <c r="X5055" i="1"/>
  <c r="X5051" i="1"/>
  <c r="X5049" i="1"/>
  <c r="X5048" i="1"/>
  <c r="X5046" i="1"/>
  <c r="X5045" i="1"/>
  <c r="X5044" i="1"/>
  <c r="X5043" i="1"/>
  <c r="X5042" i="1"/>
  <c r="X5040" i="1"/>
  <c r="X5038" i="1"/>
  <c r="X5037" i="1"/>
  <c r="X5036" i="1"/>
  <c r="X5034" i="1"/>
  <c r="X5032" i="1"/>
  <c r="X5030" i="1"/>
  <c r="X5029" i="1"/>
  <c r="X5026" i="1"/>
  <c r="X5025" i="1"/>
  <c r="X5024" i="1"/>
  <c r="X5023" i="1"/>
  <c r="X5022" i="1"/>
  <c r="X5021" i="1"/>
  <c r="X5018" i="1"/>
  <c r="X5017" i="1"/>
  <c r="X5016" i="1"/>
  <c r="X5015" i="1"/>
  <c r="X5014" i="1"/>
  <c r="X5011" i="1"/>
  <c r="X5008" i="1"/>
  <c r="X5006" i="1"/>
  <c r="X5003" i="1"/>
  <c r="X5002" i="1"/>
  <c r="X5001" i="1"/>
  <c r="X4993" i="1"/>
  <c r="X4992" i="1"/>
  <c r="X4991" i="1"/>
  <c r="X4990" i="1"/>
  <c r="X4989" i="1"/>
  <c r="X4987" i="1"/>
  <c r="X4985" i="1"/>
  <c r="X4984" i="1"/>
  <c r="X4983" i="1"/>
  <c r="X4982" i="1"/>
  <c r="X4980" i="1"/>
  <c r="X4978" i="1"/>
  <c r="X4973" i="1"/>
  <c r="X4971" i="1"/>
  <c r="X4970" i="1"/>
  <c r="X4969" i="1"/>
  <c r="X4968" i="1"/>
  <c r="X4967" i="1"/>
  <c r="X4966" i="1"/>
  <c r="X4965" i="1"/>
  <c r="X4964" i="1"/>
  <c r="X4963" i="1"/>
  <c r="X4956" i="1"/>
  <c r="X4955" i="1"/>
  <c r="X4953" i="1"/>
  <c r="X4952" i="1"/>
  <c r="X4951" i="1"/>
  <c r="X4950" i="1"/>
  <c r="X4949" i="1"/>
  <c r="X4947" i="1"/>
  <c r="X4946" i="1"/>
  <c r="X4945" i="1"/>
  <c r="X4944" i="1"/>
  <c r="X4943" i="1"/>
  <c r="X4932" i="1"/>
  <c r="X4931" i="1"/>
  <c r="X4930" i="1"/>
  <c r="X4929" i="1"/>
  <c r="X4926" i="1"/>
  <c r="X4925" i="1"/>
  <c r="X4924" i="1"/>
  <c r="X4923" i="1"/>
  <c r="X4922" i="1"/>
  <c r="X4919" i="1"/>
  <c r="X4918" i="1"/>
  <c r="X4917" i="1"/>
  <c r="X4916" i="1"/>
  <c r="X4915" i="1"/>
  <c r="X4913" i="1"/>
  <c r="X4912" i="1"/>
  <c r="X4911" i="1"/>
  <c r="X4910" i="1"/>
  <c r="X4904" i="1"/>
  <c r="X4903" i="1"/>
  <c r="X4901" i="1"/>
  <c r="X4884" i="1"/>
  <c r="X4883" i="1"/>
  <c r="X4882" i="1"/>
  <c r="X4881" i="1"/>
  <c r="X4880" i="1"/>
  <c r="X4879" i="1"/>
  <c r="X4878" i="1"/>
  <c r="X4877" i="1"/>
  <c r="X4875" i="1"/>
  <c r="X4874" i="1"/>
  <c r="X4873" i="1"/>
  <c r="X4872" i="1"/>
  <c r="X4871" i="1"/>
  <c r="X4870" i="1"/>
  <c r="X4869" i="1"/>
  <c r="X4867" i="1"/>
  <c r="X4866" i="1"/>
  <c r="X4865" i="1"/>
  <c r="X4864" i="1"/>
  <c r="X4863" i="1"/>
  <c r="X4862" i="1"/>
  <c r="X4861" i="1"/>
  <c r="X4860" i="1"/>
  <c r="X4859" i="1"/>
  <c r="X4858" i="1"/>
  <c r="X4857" i="1"/>
  <c r="X4856" i="1"/>
  <c r="X4855" i="1"/>
  <c r="X4854" i="1"/>
  <c r="X4853" i="1"/>
  <c r="X4852" i="1"/>
  <c r="X4851" i="1"/>
  <c r="X4850" i="1"/>
  <c r="X4849" i="1"/>
  <c r="X4848" i="1"/>
  <c r="X4847" i="1"/>
  <c r="X4846" i="1"/>
  <c r="X4845" i="1"/>
  <c r="X4844" i="1"/>
  <c r="X4843" i="1"/>
  <c r="X4842" i="1"/>
  <c r="X4841" i="1"/>
  <c r="X4840" i="1"/>
  <c r="X4839" i="1"/>
  <c r="X4838" i="1"/>
  <c r="X4837" i="1"/>
  <c r="X4836" i="1"/>
  <c r="X4835" i="1"/>
  <c r="X4834" i="1"/>
  <c r="X4833" i="1"/>
  <c r="X4832" i="1"/>
  <c r="X4831" i="1"/>
  <c r="X4830" i="1"/>
  <c r="X4829" i="1"/>
  <c r="X4828" i="1"/>
  <c r="X4827" i="1"/>
  <c r="X4826" i="1"/>
  <c r="X4823" i="1"/>
  <c r="X4822" i="1"/>
  <c r="X4821" i="1"/>
  <c r="X4820" i="1"/>
  <c r="X4819" i="1"/>
  <c r="X4812" i="1"/>
  <c r="X4811" i="1"/>
  <c r="X4807" i="1"/>
  <c r="X4805" i="1"/>
  <c r="X4804" i="1"/>
  <c r="X4797" i="1"/>
  <c r="X4796" i="1"/>
  <c r="X4792" i="1"/>
  <c r="X4791" i="1"/>
  <c r="X4788" i="1"/>
  <c r="X4787" i="1"/>
  <c r="X4786" i="1"/>
  <c r="X4783" i="1"/>
  <c r="X4782" i="1"/>
  <c r="X4781" i="1"/>
  <c r="X4780" i="1"/>
  <c r="X4779" i="1"/>
  <c r="X4778" i="1"/>
  <c r="X4774" i="1"/>
  <c r="X4773" i="1"/>
  <c r="X4770" i="1"/>
  <c r="X4768" i="1"/>
  <c r="X4764" i="1"/>
  <c r="X4761" i="1"/>
  <c r="X4759" i="1"/>
  <c r="X4758" i="1"/>
  <c r="X4757" i="1"/>
  <c r="X4756" i="1"/>
  <c r="X4755" i="1"/>
  <c r="X4754" i="1"/>
  <c r="X4753" i="1"/>
  <c r="X4752" i="1"/>
  <c r="X4751" i="1"/>
  <c r="X4750" i="1"/>
  <c r="X4749" i="1"/>
  <c r="X4748" i="1"/>
  <c r="X4747" i="1"/>
  <c r="X4746" i="1"/>
  <c r="X4745" i="1"/>
  <c r="X4744" i="1"/>
  <c r="X4743" i="1"/>
  <c r="X4742" i="1"/>
  <c r="X4741" i="1"/>
  <c r="X4740" i="1"/>
  <c r="X4739" i="1"/>
  <c r="X4738" i="1"/>
  <c r="X4737" i="1"/>
  <c r="X4736" i="1"/>
  <c r="X4735" i="1"/>
  <c r="X4734" i="1"/>
  <c r="X4733" i="1"/>
  <c r="X4732" i="1"/>
  <c r="X4731" i="1"/>
  <c r="X4729" i="1"/>
  <c r="X4728" i="1"/>
  <c r="X4727" i="1"/>
  <c r="X4726" i="1"/>
  <c r="X4724" i="1"/>
  <c r="X4723" i="1"/>
  <c r="X4722" i="1"/>
  <c r="X4721" i="1"/>
  <c r="X4720" i="1"/>
  <c r="X4719" i="1"/>
  <c r="X4718" i="1"/>
  <c r="X4717" i="1"/>
  <c r="X4716" i="1"/>
  <c r="X4715" i="1"/>
  <c r="X4714" i="1"/>
  <c r="X4711" i="1"/>
  <c r="X4710" i="1"/>
  <c r="X4709" i="1"/>
  <c r="X4708" i="1"/>
  <c r="X4707" i="1"/>
  <c r="X4702" i="1"/>
  <c r="X4701" i="1"/>
  <c r="X4700" i="1"/>
  <c r="X4699" i="1"/>
  <c r="X4698" i="1"/>
  <c r="X4697" i="1"/>
  <c r="X4696" i="1"/>
  <c r="X4695" i="1"/>
  <c r="X4694" i="1"/>
  <c r="X4693" i="1"/>
  <c r="X4687" i="1"/>
  <c r="X4686" i="1"/>
  <c r="X4685" i="1"/>
  <c r="X4678" i="1"/>
  <c r="X4677" i="1"/>
  <c r="X4676" i="1"/>
  <c r="X4675" i="1"/>
  <c r="X4674" i="1"/>
  <c r="X4673" i="1"/>
  <c r="X4672" i="1"/>
  <c r="X4671" i="1"/>
  <c r="X4669" i="1"/>
  <c r="X4665" i="1"/>
  <c r="X4664" i="1"/>
  <c r="X4663" i="1"/>
  <c r="X4662" i="1"/>
  <c r="X4661" i="1"/>
  <c r="X4660" i="1"/>
  <c r="X4659" i="1"/>
  <c r="X4655" i="1"/>
  <c r="X4654" i="1"/>
  <c r="X4653" i="1"/>
  <c r="X4645" i="1"/>
  <c r="X4644" i="1"/>
  <c r="X4636" i="1"/>
  <c r="X4635" i="1"/>
  <c r="X4634" i="1"/>
  <c r="X4633" i="1"/>
  <c r="X4632" i="1"/>
  <c r="X4629" i="1"/>
  <c r="X4627" i="1"/>
  <c r="X4624" i="1"/>
  <c r="X4623" i="1"/>
  <c r="X4622" i="1"/>
  <c r="X4621" i="1"/>
  <c r="X4619" i="1"/>
  <c r="X4617" i="1"/>
  <c r="X4616" i="1"/>
  <c r="X4614" i="1"/>
  <c r="X4613" i="1"/>
  <c r="X4605" i="1"/>
  <c r="X4603" i="1"/>
  <c r="X4602" i="1"/>
  <c r="X4601" i="1"/>
  <c r="X4600" i="1"/>
  <c r="X4599" i="1"/>
  <c r="X4598" i="1"/>
  <c r="X4597" i="1"/>
  <c r="X4595" i="1"/>
  <c r="X4594" i="1"/>
  <c r="X4593" i="1"/>
  <c r="X4592" i="1"/>
  <c r="X4591" i="1"/>
  <c r="X4590" i="1"/>
  <c r="X4589" i="1"/>
  <c r="X4587" i="1"/>
  <c r="X4586" i="1"/>
  <c r="X4585" i="1"/>
  <c r="X4584" i="1"/>
  <c r="X4583" i="1"/>
  <c r="X4582" i="1"/>
  <c r="X4581" i="1"/>
  <c r="X4580" i="1"/>
  <c r="X4579" i="1"/>
  <c r="X4578" i="1"/>
  <c r="X4577" i="1"/>
  <c r="X4576" i="1"/>
  <c r="X4574" i="1"/>
  <c r="X4573" i="1"/>
  <c r="X4572" i="1"/>
  <c r="X4571" i="1"/>
  <c r="X4570" i="1"/>
  <c r="X4569" i="1"/>
  <c r="X4568" i="1"/>
  <c r="X4567" i="1"/>
  <c r="X4566" i="1"/>
  <c r="X4565" i="1"/>
  <c r="X4564" i="1"/>
  <c r="X4563" i="1"/>
  <c r="X4562" i="1"/>
  <c r="X4561" i="1"/>
  <c r="X4560" i="1"/>
  <c r="X4559" i="1"/>
  <c r="X4558" i="1"/>
  <c r="X4556" i="1"/>
  <c r="X4555" i="1"/>
  <c r="X4554" i="1"/>
  <c r="X4553" i="1"/>
  <c r="X4552" i="1"/>
  <c r="X4551" i="1"/>
  <c r="X4550" i="1"/>
  <c r="X4549" i="1"/>
  <c r="X4548" i="1"/>
  <c r="X4547" i="1"/>
  <c r="X4546" i="1"/>
  <c r="X4545" i="1"/>
  <c r="X4544" i="1"/>
  <c r="X4543" i="1"/>
  <c r="X4542" i="1"/>
  <c r="X4541" i="1"/>
  <c r="X4540" i="1"/>
  <c r="X4539" i="1"/>
  <c r="X4538" i="1"/>
  <c r="X4537" i="1"/>
  <c r="X4536" i="1"/>
  <c r="X4535" i="1"/>
  <c r="X4534" i="1"/>
  <c r="X4533" i="1"/>
  <c r="X4532" i="1"/>
  <c r="X4531" i="1"/>
  <c r="X4530" i="1"/>
  <c r="X4529" i="1"/>
  <c r="X4528" i="1"/>
  <c r="X4527" i="1"/>
  <c r="X4526" i="1"/>
  <c r="X4525" i="1"/>
  <c r="X4524" i="1"/>
  <c r="X4523" i="1"/>
  <c r="X4522" i="1"/>
  <c r="X4521" i="1"/>
  <c r="X4520" i="1"/>
  <c r="X4519" i="1"/>
  <c r="X4518" i="1"/>
  <c r="X4517" i="1"/>
  <c r="X4516" i="1"/>
  <c r="X4515" i="1"/>
  <c r="X4514" i="1"/>
  <c r="X4513" i="1"/>
  <c r="X4512" i="1"/>
  <c r="X4511" i="1"/>
  <c r="X4510" i="1"/>
  <c r="X4509" i="1"/>
  <c r="X4508" i="1"/>
  <c r="X4507" i="1"/>
  <c r="X4506" i="1"/>
  <c r="X4505" i="1"/>
  <c r="X4504" i="1"/>
  <c r="X4503" i="1"/>
  <c r="X4502" i="1"/>
  <c r="X4501" i="1"/>
  <c r="X4500" i="1"/>
  <c r="X4499" i="1"/>
  <c r="X4498" i="1"/>
  <c r="X4497" i="1"/>
  <c r="X4496" i="1"/>
  <c r="X4495" i="1"/>
  <c r="X4494" i="1"/>
  <c r="X4493" i="1"/>
  <c r="X4492" i="1"/>
  <c r="X4491" i="1"/>
  <c r="X4490" i="1"/>
  <c r="X4489" i="1"/>
  <c r="X4488" i="1"/>
  <c r="X4487" i="1"/>
  <c r="X4486" i="1"/>
  <c r="X4485" i="1"/>
  <c r="X4484" i="1"/>
  <c r="X4483" i="1"/>
  <c r="X4482" i="1"/>
  <c r="X4480" i="1"/>
  <c r="X4479" i="1"/>
  <c r="X4478" i="1"/>
  <c r="X4477" i="1"/>
  <c r="X4476" i="1"/>
  <c r="X4475" i="1"/>
  <c r="X4474" i="1"/>
  <c r="X4473" i="1"/>
  <c r="X4472" i="1"/>
  <c r="X4471" i="1"/>
  <c r="X4470" i="1"/>
  <c r="X4469" i="1"/>
  <c r="X4468" i="1"/>
  <c r="X4467" i="1"/>
  <c r="X4466" i="1"/>
  <c r="X4465" i="1"/>
  <c r="X4464" i="1"/>
  <c r="X4463" i="1"/>
  <c r="X4462" i="1"/>
  <c r="X4461" i="1"/>
  <c r="X4460" i="1"/>
  <c r="X4459" i="1"/>
  <c r="X4458" i="1"/>
  <c r="X4457" i="1"/>
  <c r="X4456" i="1"/>
  <c r="X4455" i="1"/>
  <c r="X4454" i="1"/>
  <c r="X4453" i="1"/>
  <c r="X4452" i="1"/>
  <c r="X4451" i="1"/>
  <c r="X4450" i="1"/>
  <c r="X4449" i="1"/>
  <c r="X4448" i="1"/>
  <c r="X4447" i="1"/>
  <c r="X4446" i="1"/>
  <c r="X4445" i="1"/>
  <c r="X4444" i="1"/>
  <c r="X4443" i="1"/>
  <c r="X4442" i="1"/>
  <c r="X4441" i="1"/>
  <c r="X4440" i="1"/>
  <c r="X4439" i="1"/>
  <c r="X4438" i="1"/>
  <c r="X4437" i="1"/>
  <c r="X4436" i="1"/>
  <c r="X4435" i="1"/>
  <c r="X4414" i="1"/>
  <c r="X4413" i="1"/>
  <c r="X4412" i="1"/>
  <c r="X4411" i="1"/>
  <c r="X4410" i="1"/>
  <c r="X4409" i="1"/>
  <c r="X4408" i="1"/>
  <c r="X4407" i="1"/>
  <c r="X4406" i="1"/>
  <c r="X4405" i="1"/>
  <c r="X4404" i="1"/>
  <c r="X4403" i="1"/>
  <c r="X4402" i="1"/>
  <c r="X4401" i="1"/>
  <c r="X4400" i="1"/>
  <c r="X4399" i="1"/>
  <c r="X4393" i="1"/>
  <c r="X4392" i="1"/>
  <c r="X4390" i="1"/>
  <c r="X4389" i="1"/>
  <c r="X4388" i="1"/>
  <c r="X4387" i="1"/>
  <c r="X4386" i="1"/>
  <c r="X4385" i="1"/>
  <c r="X4382" i="1"/>
  <c r="X4380" i="1"/>
  <c r="X4379" i="1"/>
  <c r="X4378" i="1"/>
  <c r="X4367" i="1"/>
  <c r="X4366" i="1"/>
  <c r="X4364" i="1"/>
  <c r="X4363" i="1"/>
  <c r="X4362" i="1"/>
  <c r="X4333" i="1"/>
  <c r="X4332" i="1"/>
  <c r="X4331" i="1"/>
  <c r="X4330" i="1"/>
  <c r="X4329" i="1"/>
  <c r="X4320" i="1"/>
  <c r="X4319" i="1"/>
  <c r="X4318" i="1"/>
  <c r="X4315" i="1"/>
  <c r="X4312" i="1"/>
  <c r="X4310" i="1"/>
  <c r="X4309" i="1"/>
  <c r="X4308" i="1"/>
  <c r="X4307" i="1"/>
  <c r="X4306" i="1"/>
  <c r="X4304" i="1"/>
  <c r="X4303" i="1"/>
  <c r="X4302" i="1"/>
  <c r="X4296" i="1"/>
  <c r="X4295" i="1"/>
  <c r="X4293" i="1"/>
  <c r="X4292" i="1"/>
  <c r="X4291" i="1"/>
  <c r="X4290" i="1"/>
  <c r="X4289" i="1"/>
  <c r="X4288" i="1"/>
  <c r="X4287" i="1"/>
  <c r="X4286" i="1"/>
  <c r="X4285" i="1"/>
  <c r="X4284" i="1"/>
  <c r="X4283" i="1"/>
  <c r="X4282" i="1"/>
  <c r="X4281" i="1"/>
  <c r="X4280" i="1"/>
  <c r="X4279" i="1"/>
  <c r="X4278" i="1"/>
  <c r="X4277" i="1"/>
  <c r="X4276" i="1"/>
  <c r="X4275" i="1"/>
  <c r="X4274" i="1"/>
  <c r="X4273" i="1"/>
  <c r="X4272" i="1"/>
  <c r="X4271" i="1"/>
  <c r="X4268" i="1"/>
  <c r="X4267" i="1"/>
  <c r="X4266" i="1"/>
  <c r="X4265" i="1"/>
  <c r="X4264" i="1"/>
  <c r="X4262" i="1"/>
  <c r="X4261" i="1"/>
  <c r="X4260" i="1"/>
  <c r="X4259" i="1"/>
  <c r="X4258" i="1"/>
  <c r="X4257" i="1"/>
  <c r="X4256" i="1"/>
  <c r="X4255" i="1"/>
  <c r="X4254" i="1"/>
  <c r="X4253" i="1"/>
  <c r="X4252" i="1"/>
  <c r="X4249" i="1"/>
  <c r="X4248" i="1"/>
  <c r="X4245" i="1"/>
  <c r="X4244" i="1"/>
  <c r="X4243" i="1"/>
  <c r="X4233" i="1"/>
  <c r="X4232" i="1"/>
  <c r="X4228" i="1"/>
  <c r="X4222" i="1"/>
  <c r="X4221" i="1"/>
  <c r="X4220" i="1"/>
  <c r="X4219" i="1"/>
  <c r="X4216" i="1"/>
  <c r="X4212" i="1"/>
  <c r="X4210" i="1"/>
  <c r="X4205" i="1"/>
  <c r="X4203" i="1"/>
  <c r="X4202" i="1"/>
  <c r="X4198" i="1"/>
  <c r="X4197" i="1"/>
  <c r="X4196" i="1"/>
  <c r="X4187" i="1"/>
  <c r="X4186" i="1"/>
  <c r="X4185" i="1"/>
  <c r="X4179" i="1"/>
  <c r="X4178" i="1"/>
  <c r="X4177" i="1"/>
  <c r="X4176" i="1"/>
  <c r="X4175" i="1"/>
  <c r="X4174" i="1"/>
  <c r="X4173" i="1"/>
  <c r="X4172" i="1"/>
  <c r="X4171" i="1"/>
  <c r="X4170" i="1"/>
  <c r="X4169" i="1"/>
  <c r="X4168" i="1"/>
  <c r="X4167" i="1"/>
  <c r="X4166" i="1"/>
  <c r="X4165" i="1"/>
  <c r="X4164" i="1"/>
  <c r="X4163" i="1"/>
  <c r="X4162" i="1"/>
  <c r="X4161" i="1"/>
  <c r="X4160" i="1"/>
  <c r="X4159" i="1"/>
  <c r="X4158" i="1"/>
  <c r="X4157" i="1"/>
  <c r="X4155" i="1"/>
  <c r="X4154" i="1"/>
  <c r="X4153" i="1"/>
  <c r="X4145" i="1"/>
  <c r="X4144" i="1"/>
  <c r="X4143" i="1"/>
  <c r="X4140" i="1"/>
  <c r="X4139" i="1"/>
  <c r="X4138" i="1"/>
  <c r="X4135" i="1"/>
  <c r="X4134" i="1"/>
  <c r="X4133" i="1"/>
  <c r="X4132" i="1"/>
  <c r="X4131" i="1"/>
  <c r="X4130" i="1"/>
  <c r="X4129" i="1"/>
  <c r="X4128" i="1"/>
  <c r="X4127" i="1"/>
  <c r="X4126" i="1"/>
  <c r="X4125" i="1"/>
  <c r="X4124" i="1"/>
  <c r="X4123" i="1"/>
  <c r="X4122" i="1"/>
  <c r="X4119" i="1"/>
  <c r="X4118" i="1"/>
  <c r="X4117" i="1"/>
  <c r="X4111" i="1"/>
  <c r="X4110" i="1"/>
  <c r="X4106" i="1"/>
  <c r="X4105" i="1"/>
  <c r="X4104" i="1"/>
  <c r="X4103" i="1"/>
  <c r="X4102" i="1"/>
  <c r="X4101" i="1"/>
  <c r="X4100" i="1"/>
  <c r="X4097" i="1"/>
  <c r="X4094" i="1"/>
  <c r="X4092" i="1"/>
  <c r="X4091" i="1"/>
  <c r="X4090" i="1"/>
  <c r="X4089" i="1"/>
  <c r="X4088" i="1"/>
  <c r="X4086" i="1"/>
  <c r="X4085" i="1"/>
  <c r="X4084" i="1"/>
  <c r="X4082" i="1"/>
  <c r="X4081" i="1"/>
  <c r="X4080" i="1"/>
  <c r="X4079" i="1"/>
  <c r="X4078" i="1"/>
  <c r="X4077" i="1"/>
  <c r="X4072" i="1"/>
  <c r="X4070" i="1"/>
  <c r="X4068" i="1"/>
  <c r="X4067" i="1"/>
  <c r="X4065" i="1"/>
  <c r="X4063" i="1"/>
  <c r="X4061" i="1"/>
  <c r="X4054" i="1"/>
  <c r="X4047" i="1"/>
  <c r="X4046" i="1"/>
  <c r="X4045" i="1"/>
  <c r="X4039" i="1"/>
  <c r="X4038" i="1"/>
  <c r="X4037" i="1"/>
  <c r="X4036" i="1"/>
  <c r="X4035" i="1"/>
  <c r="X4034" i="1"/>
  <c r="X4033" i="1"/>
  <c r="X4032" i="1"/>
  <c r="X4031" i="1"/>
  <c r="X4030" i="1"/>
  <c r="X4029" i="1"/>
  <c r="X4028" i="1"/>
  <c r="X4027" i="1"/>
  <c r="X4026" i="1"/>
  <c r="X4025" i="1"/>
  <c r="X4024" i="1"/>
  <c r="X4000" i="1"/>
  <c r="X3999" i="1"/>
  <c r="X3986" i="1"/>
  <c r="X3985" i="1"/>
  <c r="X3984" i="1"/>
  <c r="X3983" i="1"/>
  <c r="X3982" i="1"/>
  <c r="X3981" i="1"/>
  <c r="X3980" i="1"/>
  <c r="X3979" i="1"/>
  <c r="X3978" i="1"/>
  <c r="X3976" i="1"/>
  <c r="X3971" i="1"/>
  <c r="X3970" i="1"/>
  <c r="X3968" i="1"/>
  <c r="X3967" i="1"/>
  <c r="X3965" i="1"/>
  <c r="X3964" i="1"/>
  <c r="X3963" i="1"/>
  <c r="X3959" i="1"/>
  <c r="X3957" i="1"/>
  <c r="X3955" i="1"/>
  <c r="X3951" i="1"/>
  <c r="X3950" i="1"/>
  <c r="X3949" i="1"/>
  <c r="X3941" i="1"/>
  <c r="X3940" i="1"/>
  <c r="X3939" i="1"/>
  <c r="X3938" i="1"/>
  <c r="X3937" i="1"/>
  <c r="X3935" i="1"/>
  <c r="X3934" i="1"/>
  <c r="X3933" i="1"/>
  <c r="X3932" i="1"/>
  <c r="X3929" i="1"/>
  <c r="X3926" i="1"/>
  <c r="X3922" i="1"/>
  <c r="X3921" i="1"/>
  <c r="X3920" i="1"/>
  <c r="X3919" i="1"/>
  <c r="X3918" i="1"/>
  <c r="X3915" i="1"/>
  <c r="X3912" i="1"/>
  <c r="X3911" i="1"/>
  <c r="X3910" i="1"/>
  <c r="X3904" i="1"/>
  <c r="X3903" i="1"/>
  <c r="X3902" i="1"/>
  <c r="X3901" i="1"/>
  <c r="X3900" i="1"/>
  <c r="X3891" i="1"/>
  <c r="X3886" i="1"/>
  <c r="X3885" i="1"/>
  <c r="X3884" i="1"/>
  <c r="X3878" i="1"/>
  <c r="X3877" i="1"/>
  <c r="X3874" i="1"/>
  <c r="X3873" i="1"/>
  <c r="X3872" i="1"/>
  <c r="X3864" i="1"/>
  <c r="X3863" i="1"/>
  <c r="X3862" i="1"/>
  <c r="X3861" i="1"/>
  <c r="X3860" i="1"/>
  <c r="X3859" i="1"/>
  <c r="X3858" i="1"/>
  <c r="X3857" i="1"/>
  <c r="X3855" i="1"/>
  <c r="X3853" i="1"/>
  <c r="X3851" i="1"/>
  <c r="X3850" i="1"/>
  <c r="X3849" i="1"/>
  <c r="X3848" i="1"/>
  <c r="X3847" i="1"/>
  <c r="X3844" i="1"/>
  <c r="X3843" i="1"/>
  <c r="X3841" i="1"/>
  <c r="X3839" i="1"/>
  <c r="X3838" i="1"/>
  <c r="X3837" i="1"/>
  <c r="X3836" i="1"/>
  <c r="X3835" i="1"/>
  <c r="X3833" i="1"/>
  <c r="X3832" i="1"/>
  <c r="X3831" i="1"/>
  <c r="X3830" i="1"/>
  <c r="X3829" i="1"/>
  <c r="X3827" i="1"/>
  <c r="X3826" i="1"/>
  <c r="X3825" i="1"/>
  <c r="X3814" i="1"/>
  <c r="X3813" i="1"/>
  <c r="X3805" i="1"/>
  <c r="X3795" i="1"/>
  <c r="X3794" i="1"/>
  <c r="X3793" i="1"/>
  <c r="X3790" i="1"/>
  <c r="X3789" i="1"/>
  <c r="X3788" i="1"/>
  <c r="X3782" i="1"/>
  <c r="X3781" i="1"/>
  <c r="X3779" i="1"/>
  <c r="X3776" i="1"/>
  <c r="X3773" i="1"/>
  <c r="X3772" i="1"/>
  <c r="X3771" i="1"/>
  <c r="X3755" i="1"/>
  <c r="X3754" i="1"/>
  <c r="X3753" i="1"/>
  <c r="X3748" i="1"/>
  <c r="X3746" i="1"/>
  <c r="X3745" i="1"/>
  <c r="X3742" i="1"/>
  <c r="X3737" i="1"/>
  <c r="X3736" i="1"/>
  <c r="X3735" i="1"/>
  <c r="X3734" i="1"/>
  <c r="X3733" i="1"/>
  <c r="X3732" i="1"/>
  <c r="X3724" i="1"/>
  <c r="X3723" i="1"/>
  <c r="X3722" i="1"/>
  <c r="X3721" i="1"/>
  <c r="X3720" i="1"/>
  <c r="X3719" i="1"/>
  <c r="X3714" i="1"/>
  <c r="X3713" i="1"/>
  <c r="X3712" i="1"/>
  <c r="X3706" i="1"/>
  <c r="X3705" i="1"/>
  <c r="X3702" i="1"/>
  <c r="X3696" i="1"/>
  <c r="X3695" i="1"/>
  <c r="X3689" i="1"/>
  <c r="X3688" i="1"/>
  <c r="X3686" i="1"/>
  <c r="X3685" i="1"/>
  <c r="X3684" i="1"/>
  <c r="X3677" i="1"/>
  <c r="X3676" i="1"/>
  <c r="X3674" i="1"/>
  <c r="X3673" i="1"/>
  <c r="X3672" i="1"/>
  <c r="X3671" i="1"/>
  <c r="X3670" i="1"/>
  <c r="X3669" i="1"/>
  <c r="X3667" i="1"/>
  <c r="X3663" i="1"/>
  <c r="X3662" i="1"/>
  <c r="X3661" i="1"/>
  <c r="X3655" i="1"/>
  <c r="X3654" i="1"/>
  <c r="X3653" i="1"/>
  <c r="X3648" i="1"/>
  <c r="X3647" i="1"/>
  <c r="X3646" i="1"/>
  <c r="X3645" i="1"/>
  <c r="X3644" i="1"/>
  <c r="X3637" i="1"/>
  <c r="X3636" i="1"/>
  <c r="X3635" i="1"/>
  <c r="X3634" i="1"/>
  <c r="X3633" i="1"/>
  <c r="X3632" i="1"/>
  <c r="X3631" i="1"/>
  <c r="X3630" i="1"/>
  <c r="X3629" i="1"/>
  <c r="X3628" i="1"/>
  <c r="X3627" i="1"/>
  <c r="X3626" i="1"/>
  <c r="X3625" i="1"/>
  <c r="X3624" i="1"/>
  <c r="X3623" i="1"/>
  <c r="X3622" i="1"/>
  <c r="X3621" i="1"/>
  <c r="X3620" i="1"/>
  <c r="X3619" i="1"/>
  <c r="X3618" i="1"/>
  <c r="X3617" i="1"/>
  <c r="X3616" i="1"/>
  <c r="X3615" i="1"/>
  <c r="X3614" i="1"/>
  <c r="X3613" i="1"/>
  <c r="X3612" i="1"/>
  <c r="X3611" i="1"/>
  <c r="X3610" i="1"/>
  <c r="X3609" i="1"/>
  <c r="X3608" i="1"/>
  <c r="X3607" i="1"/>
  <c r="X3606" i="1"/>
  <c r="X3605" i="1"/>
  <c r="X3604" i="1"/>
  <c r="X3603" i="1"/>
  <c r="X3602" i="1"/>
  <c r="X3601" i="1"/>
  <c r="X3600" i="1"/>
  <c r="X3599" i="1"/>
  <c r="X3598" i="1"/>
  <c r="X3597" i="1"/>
  <c r="X3596" i="1"/>
  <c r="X3595" i="1"/>
  <c r="X3594" i="1"/>
  <c r="X3593" i="1"/>
  <c r="X3592" i="1"/>
  <c r="X3591" i="1"/>
  <c r="X3590" i="1"/>
  <c r="X3589" i="1"/>
  <c r="X3588" i="1"/>
  <c r="X3587" i="1"/>
  <c r="X3586" i="1"/>
  <c r="X3585" i="1"/>
  <c r="X3584" i="1"/>
  <c r="X3583" i="1"/>
  <c r="X3582" i="1"/>
  <c r="X3581" i="1"/>
  <c r="X3580" i="1"/>
  <c r="X3579" i="1"/>
  <c r="X3578" i="1"/>
  <c r="X3577" i="1"/>
  <c r="X3576" i="1"/>
  <c r="X3575" i="1"/>
  <c r="X3574" i="1"/>
  <c r="X3573" i="1"/>
  <c r="X3572" i="1"/>
  <c r="X3571" i="1"/>
  <c r="X3570" i="1"/>
  <c r="X3569" i="1"/>
  <c r="X3568" i="1"/>
  <c r="X3567" i="1"/>
  <c r="X3566" i="1"/>
  <c r="X3565" i="1"/>
  <c r="X3564" i="1"/>
  <c r="X3563" i="1"/>
  <c r="X3562" i="1"/>
  <c r="X3561" i="1"/>
  <c r="X3560" i="1"/>
  <c r="X3559" i="1"/>
  <c r="X3558" i="1"/>
  <c r="X3557" i="1"/>
  <c r="X3556" i="1"/>
  <c r="X3555" i="1"/>
  <c r="X3554" i="1"/>
  <c r="X3553" i="1"/>
  <c r="X3552" i="1"/>
  <c r="X3551" i="1"/>
  <c r="X3550" i="1"/>
  <c r="X3549" i="1"/>
  <c r="X3548" i="1"/>
  <c r="X3547" i="1"/>
  <c r="X3546" i="1"/>
  <c r="X3545" i="1"/>
  <c r="X3544" i="1"/>
  <c r="X3543" i="1"/>
  <c r="X3542" i="1"/>
  <c r="X3541" i="1"/>
  <c r="X3540" i="1"/>
  <c r="X3539" i="1"/>
  <c r="X3538" i="1"/>
  <c r="X3537" i="1"/>
  <c r="X3536" i="1"/>
  <c r="X3535" i="1"/>
  <c r="X3533" i="1"/>
  <c r="X3532" i="1"/>
  <c r="X3531" i="1"/>
  <c r="X3530" i="1"/>
  <c r="X3529" i="1"/>
  <c r="X3528" i="1"/>
  <c r="X3527" i="1"/>
  <c r="X3526" i="1"/>
  <c r="X3525" i="1"/>
  <c r="X3524" i="1"/>
  <c r="X3523" i="1"/>
  <c r="X3522" i="1"/>
  <c r="X3521" i="1"/>
  <c r="X3520" i="1"/>
  <c r="X3519" i="1"/>
  <c r="X3518" i="1"/>
  <c r="X3517" i="1"/>
  <c r="X3516" i="1"/>
  <c r="X3515" i="1"/>
  <c r="X3514" i="1"/>
  <c r="X3512" i="1"/>
  <c r="X3511" i="1"/>
  <c r="X3510" i="1"/>
  <c r="X3509" i="1"/>
  <c r="X3508" i="1"/>
  <c r="X3507" i="1"/>
  <c r="X3506" i="1"/>
  <c r="X3505" i="1"/>
  <c r="X3504" i="1"/>
  <c r="X3503" i="1"/>
  <c r="X3502" i="1"/>
  <c r="X3499" i="1"/>
  <c r="X3497" i="1"/>
  <c r="X3496" i="1"/>
  <c r="X3495" i="1"/>
  <c r="X3494" i="1"/>
  <c r="X3493" i="1"/>
  <c r="X3492" i="1"/>
  <c r="X3491" i="1"/>
  <c r="X3490" i="1"/>
  <c r="X3489" i="1"/>
  <c r="X3488" i="1"/>
  <c r="X3487" i="1"/>
  <c r="X3486" i="1"/>
  <c r="X3485" i="1"/>
  <c r="X3484" i="1"/>
  <c r="X3483" i="1"/>
  <c r="X3482" i="1"/>
  <c r="X3481" i="1"/>
  <c r="X3480" i="1"/>
  <c r="X3479" i="1"/>
  <c r="X3478" i="1"/>
  <c r="X3477" i="1"/>
  <c r="X3476" i="1"/>
  <c r="X3475" i="1"/>
  <c r="X3474" i="1"/>
  <c r="X3473" i="1"/>
  <c r="X3472" i="1"/>
  <c r="X3471" i="1"/>
  <c r="X3470" i="1"/>
  <c r="X3469" i="1"/>
  <c r="X3468" i="1"/>
  <c r="X3466" i="1"/>
  <c r="X3464" i="1"/>
  <c r="X3463" i="1"/>
  <c r="X3462" i="1"/>
  <c r="X3461" i="1"/>
  <c r="X3460" i="1"/>
  <c r="X3459" i="1"/>
  <c r="X3458" i="1"/>
  <c r="X3457" i="1"/>
  <c r="X3456" i="1"/>
  <c r="X3455" i="1"/>
  <c r="X3454" i="1"/>
  <c r="X3453" i="1"/>
  <c r="X3452" i="1"/>
  <c r="X3451" i="1"/>
  <c r="X3450" i="1"/>
  <c r="X3449" i="1"/>
  <c r="X3448" i="1"/>
  <c r="X3447" i="1"/>
  <c r="X3446" i="1"/>
  <c r="X3445" i="1"/>
  <c r="X3444" i="1"/>
  <c r="X3442" i="1"/>
  <c r="X3441" i="1"/>
  <c r="X3440" i="1"/>
  <c r="X3439" i="1"/>
  <c r="X3438" i="1"/>
  <c r="X3437" i="1"/>
  <c r="X3436" i="1"/>
  <c r="X3435" i="1"/>
  <c r="X3434" i="1"/>
  <c r="X3433" i="1"/>
  <c r="X3432" i="1"/>
  <c r="X3431" i="1"/>
  <c r="X3430" i="1"/>
  <c r="X3429" i="1"/>
  <c r="X3428" i="1"/>
  <c r="X3427" i="1"/>
  <c r="X3426" i="1"/>
  <c r="X3425" i="1"/>
  <c r="X3424" i="1"/>
  <c r="X3423" i="1"/>
  <c r="X3422" i="1"/>
  <c r="X3421" i="1"/>
  <c r="X3420" i="1"/>
  <c r="X3419" i="1"/>
  <c r="X3418" i="1"/>
  <c r="X3417" i="1"/>
  <c r="X3416" i="1"/>
  <c r="X3415" i="1"/>
  <c r="X3414" i="1"/>
  <c r="X3413" i="1"/>
  <c r="X3412" i="1"/>
  <c r="X3411" i="1"/>
  <c r="X3410" i="1"/>
  <c r="X3409" i="1"/>
  <c r="X3408" i="1"/>
  <c r="X3407" i="1"/>
  <c r="X3406" i="1"/>
  <c r="X3405" i="1"/>
  <c r="X3404" i="1"/>
  <c r="X3403" i="1"/>
  <c r="X3402" i="1"/>
  <c r="X3401" i="1"/>
  <c r="X3395" i="1"/>
  <c r="X3394" i="1"/>
  <c r="X3393" i="1"/>
  <c r="X3391" i="1"/>
  <c r="X3389" i="1"/>
  <c r="X3388" i="1"/>
  <c r="X3387" i="1"/>
  <c r="X3386" i="1"/>
  <c r="X3385" i="1"/>
  <c r="X3384" i="1"/>
  <c r="X3383" i="1"/>
  <c r="X3382" i="1"/>
  <c r="X3381" i="1"/>
  <c r="X3380" i="1"/>
  <c r="X3379" i="1"/>
  <c r="X3378" i="1"/>
  <c r="X3377" i="1"/>
  <c r="X3376" i="1"/>
  <c r="X3375" i="1"/>
  <c r="X3374" i="1"/>
  <c r="X3373" i="1"/>
  <c r="X3372" i="1"/>
  <c r="X3371" i="1"/>
  <c r="X3370" i="1"/>
  <c r="X3369" i="1"/>
  <c r="X3368" i="1"/>
  <c r="X3367" i="1"/>
  <c r="X3366" i="1"/>
  <c r="X3365" i="1"/>
  <c r="X3364" i="1"/>
  <c r="X3363" i="1"/>
  <c r="X3362" i="1"/>
  <c r="X3361" i="1"/>
  <c r="X3360" i="1"/>
  <c r="X3359" i="1"/>
  <c r="X3358" i="1"/>
  <c r="X3357" i="1"/>
  <c r="X3356" i="1"/>
  <c r="X3355" i="1"/>
  <c r="X3354" i="1"/>
  <c r="X3353" i="1"/>
  <c r="X3352" i="1"/>
  <c r="X3351" i="1"/>
  <c r="X3350" i="1"/>
  <c r="X3349" i="1"/>
  <c r="X3348" i="1"/>
  <c r="X3347" i="1"/>
  <c r="X3346" i="1"/>
  <c r="X3345" i="1"/>
  <c r="X3344" i="1"/>
  <c r="X3343" i="1"/>
  <c r="X3342" i="1"/>
  <c r="X3341" i="1"/>
  <c r="X3340" i="1"/>
  <c r="X3339" i="1"/>
  <c r="X3338" i="1"/>
  <c r="X3337" i="1"/>
  <c r="X3336" i="1"/>
  <c r="X3335" i="1"/>
  <c r="X3334" i="1"/>
  <c r="X3333" i="1"/>
  <c r="X3332" i="1"/>
  <c r="X3331" i="1"/>
  <c r="X3330" i="1"/>
  <c r="X3329" i="1"/>
  <c r="X3328" i="1"/>
  <c r="X3327" i="1"/>
  <c r="X3326" i="1"/>
  <c r="X3325" i="1"/>
  <c r="X3324" i="1"/>
  <c r="X3323" i="1"/>
  <c r="X3322" i="1"/>
  <c r="X3321" i="1"/>
  <c r="X3320" i="1"/>
  <c r="X3319" i="1"/>
  <c r="X3318" i="1"/>
  <c r="X3317" i="1"/>
  <c r="X3316" i="1"/>
  <c r="X3315" i="1"/>
  <c r="X3314" i="1"/>
  <c r="X3313" i="1"/>
  <c r="X3312" i="1"/>
  <c r="X3311" i="1"/>
  <c r="X3310" i="1"/>
  <c r="X3309" i="1"/>
  <c r="X3308" i="1"/>
  <c r="X3307" i="1"/>
  <c r="X3306" i="1"/>
  <c r="X3305" i="1"/>
  <c r="X3304" i="1"/>
  <c r="X3303" i="1"/>
  <c r="X3302" i="1"/>
  <c r="X3301" i="1"/>
  <c r="X3300" i="1"/>
  <c r="X3299" i="1"/>
  <c r="X3298" i="1"/>
  <c r="X3297" i="1"/>
  <c r="X3296" i="1"/>
  <c r="X3295" i="1"/>
  <c r="X3294" i="1"/>
  <c r="X3293" i="1"/>
  <c r="X3292" i="1"/>
  <c r="X3291" i="1"/>
  <c r="X3290" i="1"/>
  <c r="X3289" i="1"/>
  <c r="X3288" i="1"/>
  <c r="X3287" i="1"/>
  <c r="X3286" i="1"/>
  <c r="X3285" i="1"/>
  <c r="X3284" i="1"/>
  <c r="X3283" i="1"/>
  <c r="X3282" i="1"/>
  <c r="X3281" i="1"/>
  <c r="X3280" i="1"/>
  <c r="X3279" i="1"/>
  <c r="X3278" i="1"/>
  <c r="X3277" i="1"/>
  <c r="X3276" i="1"/>
  <c r="X3275" i="1"/>
  <c r="X3274" i="1"/>
  <c r="X3273" i="1"/>
  <c r="X3272" i="1"/>
  <c r="X3271" i="1"/>
  <c r="X3270" i="1"/>
  <c r="X3269" i="1"/>
  <c r="X3268" i="1"/>
  <c r="X3267" i="1"/>
  <c r="X3266" i="1"/>
  <c r="X3265" i="1"/>
  <c r="X3264" i="1"/>
  <c r="X3263" i="1"/>
  <c r="X3262" i="1"/>
  <c r="X3261" i="1"/>
  <c r="X3260" i="1"/>
  <c r="X3259" i="1"/>
  <c r="X3258" i="1"/>
  <c r="X3257" i="1"/>
  <c r="X3256" i="1"/>
  <c r="X3255" i="1"/>
  <c r="X3254" i="1"/>
  <c r="X3253" i="1"/>
  <c r="X3252" i="1"/>
  <c r="X3251" i="1"/>
  <c r="X3250" i="1"/>
  <c r="X3249" i="1"/>
  <c r="X3248" i="1"/>
  <c r="X3247" i="1"/>
  <c r="X3246" i="1"/>
  <c r="X3245" i="1"/>
  <c r="X3244" i="1"/>
  <c r="X3243" i="1"/>
  <c r="X3242" i="1"/>
  <c r="X3241" i="1"/>
  <c r="X3240" i="1"/>
  <c r="X3239" i="1"/>
  <c r="X3238" i="1"/>
  <c r="X3237" i="1"/>
  <c r="X3236" i="1"/>
  <c r="X3235" i="1"/>
  <c r="X3234" i="1"/>
  <c r="X3233" i="1"/>
  <c r="X3232" i="1"/>
  <c r="X3231" i="1"/>
  <c r="X3230" i="1"/>
  <c r="X3229" i="1"/>
  <c r="X3228" i="1"/>
  <c r="X3227" i="1"/>
  <c r="X3226" i="1"/>
  <c r="X3225" i="1"/>
  <c r="X3224" i="1"/>
  <c r="X3223" i="1"/>
  <c r="X3222" i="1"/>
  <c r="X3221" i="1"/>
  <c r="X3220" i="1"/>
  <c r="X3219" i="1"/>
  <c r="X3218" i="1"/>
  <c r="X3217" i="1"/>
  <c r="X3216" i="1"/>
  <c r="X3215" i="1"/>
  <c r="X3214" i="1"/>
  <c r="X3213" i="1"/>
  <c r="X3212" i="1"/>
  <c r="X3211" i="1"/>
  <c r="X3210" i="1"/>
  <c r="X3209" i="1"/>
  <c r="X3208" i="1"/>
  <c r="X3207" i="1"/>
  <c r="X3206" i="1"/>
  <c r="X3205" i="1"/>
  <c r="X3204" i="1"/>
  <c r="X3203" i="1"/>
  <c r="X3202" i="1"/>
  <c r="X3201" i="1"/>
  <c r="X3200" i="1"/>
  <c r="X3199" i="1"/>
  <c r="X3198" i="1"/>
  <c r="X3197" i="1"/>
  <c r="X3196" i="1"/>
  <c r="X3195" i="1"/>
  <c r="X3194" i="1"/>
  <c r="X3193" i="1"/>
  <c r="X3192" i="1"/>
  <c r="X3191" i="1"/>
  <c r="X3190" i="1"/>
  <c r="X3189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161" i="1"/>
  <c r="X3160" i="1"/>
  <c r="X3159" i="1"/>
  <c r="X3158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8" i="1"/>
  <c r="X3137" i="1"/>
  <c r="X3136" i="1"/>
  <c r="X3135" i="1"/>
  <c r="X3134" i="1"/>
  <c r="X3133" i="1"/>
  <c r="X3132" i="1"/>
  <c r="X3131" i="1"/>
  <c r="X3130" i="1"/>
  <c r="X3129" i="1"/>
  <c r="X3128" i="1"/>
  <c r="X3127" i="1"/>
  <c r="X3126" i="1"/>
  <c r="X3125" i="1"/>
  <c r="X3124" i="1"/>
  <c r="X3123" i="1"/>
  <c r="X3122" i="1"/>
  <c r="X3121" i="1"/>
  <c r="X3120" i="1"/>
  <c r="X3119" i="1"/>
  <c r="X3118" i="1"/>
  <c r="X3117" i="1"/>
  <c r="X3116" i="1"/>
  <c r="X3115" i="1"/>
  <c r="X3114" i="1"/>
  <c r="X3113" i="1"/>
  <c r="X3112" i="1"/>
  <c r="X3111" i="1"/>
  <c r="X3110" i="1"/>
  <c r="X3109" i="1"/>
  <c r="X3108" i="1"/>
  <c r="X3107" i="1"/>
  <c r="X3106" i="1"/>
  <c r="X3105" i="1"/>
  <c r="X3104" i="1"/>
  <c r="X3103" i="1"/>
  <c r="X3102" i="1"/>
  <c r="X3101" i="1"/>
  <c r="X3100" i="1"/>
  <c r="X3099" i="1"/>
  <c r="X3098" i="1"/>
  <c r="X3097" i="1"/>
  <c r="X3096" i="1"/>
  <c r="X3095" i="1"/>
  <c r="X3094" i="1"/>
  <c r="X3093" i="1"/>
  <c r="X3092" i="1"/>
  <c r="X3091" i="1"/>
  <c r="X3090" i="1"/>
  <c r="X3089" i="1"/>
  <c r="X3088" i="1"/>
  <c r="X3087" i="1"/>
  <c r="X3086" i="1"/>
  <c r="X3085" i="1"/>
  <c r="X3084" i="1"/>
  <c r="X3083" i="1"/>
  <c r="X3082" i="1"/>
  <c r="X3081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8" i="1"/>
  <c r="X3067" i="1"/>
  <c r="X3066" i="1"/>
  <c r="X3065" i="1"/>
  <c r="X3064" i="1"/>
  <c r="X3063" i="1"/>
  <c r="X3062" i="1"/>
  <c r="X3061" i="1"/>
  <c r="X3060" i="1"/>
  <c r="X3059" i="1"/>
  <c r="X3058" i="1"/>
  <c r="X3057" i="1"/>
  <c r="X3056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3005" i="1"/>
  <c r="X3004" i="1"/>
  <c r="X3003" i="1"/>
  <c r="X3002" i="1"/>
  <c r="X3001" i="1"/>
  <c r="X3000" i="1"/>
  <c r="X2999" i="1"/>
  <c r="X2998" i="1"/>
  <c r="X2997" i="1"/>
  <c r="X2996" i="1"/>
  <c r="X2995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965" i="1"/>
  <c r="X2964" i="1"/>
  <c r="X2963" i="1"/>
  <c r="X2962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30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2911" i="1"/>
  <c r="X2910" i="1"/>
  <c r="X2909" i="1"/>
  <c r="X2908" i="1"/>
  <c r="X2907" i="1"/>
  <c r="X2906" i="1"/>
  <c r="X2905" i="1"/>
  <c r="X2904" i="1"/>
  <c r="X2903" i="1"/>
  <c r="X2902" i="1"/>
  <c r="X2901" i="1"/>
  <c r="X2900" i="1"/>
  <c r="X2899" i="1"/>
  <c r="X2898" i="1"/>
  <c r="X2897" i="1"/>
  <c r="X2896" i="1"/>
  <c r="X2895" i="1"/>
  <c r="X2894" i="1"/>
  <c r="X2893" i="1"/>
  <c r="X2892" i="1"/>
  <c r="X2891" i="1"/>
  <c r="X2890" i="1"/>
  <c r="X2889" i="1"/>
  <c r="X2888" i="1"/>
  <c r="X2887" i="1"/>
  <c r="X2886" i="1"/>
  <c r="X2885" i="1"/>
  <c r="X2884" i="1"/>
  <c r="X2883" i="1"/>
  <c r="X2882" i="1"/>
  <c r="X2881" i="1"/>
  <c r="X2880" i="1"/>
  <c r="X2879" i="1"/>
  <c r="X2878" i="1"/>
  <c r="X2877" i="1"/>
  <c r="X2876" i="1"/>
  <c r="X2875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849" i="1"/>
  <c r="X2848" i="1"/>
  <c r="X2847" i="1"/>
  <c r="X2846" i="1"/>
  <c r="X2845" i="1"/>
  <c r="X2844" i="1"/>
  <c r="X2843" i="1"/>
  <c r="X2842" i="1"/>
  <c r="X2841" i="1"/>
  <c r="X2840" i="1"/>
  <c r="X2839" i="1"/>
  <c r="X2838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825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6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8" i="1"/>
  <c r="X2747" i="1"/>
  <c r="X2746" i="1"/>
  <c r="X2745" i="1"/>
  <c r="X2744" i="1"/>
  <c r="X2743" i="1"/>
  <c r="X2742" i="1"/>
  <c r="X2741" i="1"/>
  <c r="X2740" i="1"/>
  <c r="X2739" i="1"/>
  <c r="X2738" i="1"/>
  <c r="X2737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7" i="1"/>
  <c r="X2706" i="1"/>
  <c r="X2705" i="1"/>
  <c r="X2704" i="1"/>
  <c r="X2703" i="1"/>
  <c r="X2702" i="1"/>
  <c r="X2700" i="1"/>
  <c r="X2698" i="1"/>
  <c r="X2697" i="1"/>
  <c r="X2696" i="1"/>
  <c r="X2695" i="1"/>
  <c r="X2694" i="1"/>
  <c r="X2692" i="1"/>
  <c r="X2690" i="1"/>
  <c r="X2685" i="1"/>
  <c r="X2683" i="1"/>
  <c r="X2682" i="1"/>
  <c r="X2681" i="1"/>
  <c r="X2680" i="1"/>
  <c r="X2679" i="1"/>
  <c r="X2678" i="1"/>
  <c r="X2677" i="1"/>
  <c r="X2676" i="1"/>
  <c r="X2675" i="1"/>
  <c r="X2674" i="1"/>
  <c r="X2673" i="1"/>
  <c r="X2672" i="1"/>
  <c r="X2671" i="1"/>
  <c r="X2670" i="1"/>
  <c r="X2669" i="1"/>
  <c r="X2668" i="1"/>
  <c r="X2667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3" i="1"/>
  <c r="X2642" i="1"/>
  <c r="X2641" i="1"/>
  <c r="X2640" i="1"/>
  <c r="X2639" i="1"/>
  <c r="X2638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4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530" i="1"/>
  <c r="X2529" i="1"/>
  <c r="X2528" i="1"/>
  <c r="X2527" i="1"/>
  <c r="X2526" i="1"/>
  <c r="X2525" i="1"/>
  <c r="X2524" i="1"/>
  <c r="X2523" i="1"/>
  <c r="X2522" i="1"/>
  <c r="X2521" i="1"/>
  <c r="X2520" i="1"/>
  <c r="X2519" i="1"/>
  <c r="X2518" i="1"/>
  <c r="X2517" i="1"/>
  <c r="X2516" i="1"/>
  <c r="X2515" i="1"/>
  <c r="X2514" i="1"/>
  <c r="X2513" i="1"/>
  <c r="X2512" i="1"/>
  <c r="X2511" i="1"/>
  <c r="X2510" i="1"/>
  <c r="X2509" i="1"/>
  <c r="X2508" i="1"/>
  <c r="X2507" i="1"/>
  <c r="X2506" i="1"/>
  <c r="X2505" i="1"/>
  <c r="X2504" i="1"/>
  <c r="X2503" i="1"/>
  <c r="X2502" i="1"/>
  <c r="X2501" i="1"/>
  <c r="X2500" i="1"/>
  <c r="X2499" i="1"/>
  <c r="X2498" i="1"/>
  <c r="X2497" i="1"/>
  <c r="X2496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2471" i="1"/>
  <c r="X2470" i="1"/>
  <c r="X2469" i="1"/>
  <c r="X2468" i="1"/>
  <c r="X2467" i="1"/>
  <c r="X2466" i="1"/>
  <c r="X2465" i="1"/>
  <c r="X2464" i="1"/>
  <c r="X2463" i="1"/>
  <c r="X2462" i="1"/>
  <c r="X2461" i="1"/>
  <c r="X2460" i="1"/>
  <c r="X2459" i="1"/>
  <c r="X2458" i="1"/>
  <c r="X2457" i="1"/>
  <c r="X2456" i="1"/>
  <c r="X2455" i="1"/>
  <c r="X2454" i="1"/>
  <c r="X2453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13" i="1"/>
  <c r="X2412" i="1"/>
  <c r="X2411" i="1"/>
  <c r="X2410" i="1"/>
  <c r="X2409" i="1"/>
  <c r="X2408" i="1"/>
  <c r="X2407" i="1"/>
  <c r="X2406" i="1"/>
  <c r="X2405" i="1"/>
  <c r="X2404" i="1"/>
  <c r="X2403" i="1"/>
  <c r="X2402" i="1"/>
  <c r="X2401" i="1"/>
  <c r="X2398" i="1"/>
  <c r="X2397" i="1"/>
  <c r="X2396" i="1"/>
  <c r="X2395" i="1"/>
  <c r="X2394" i="1"/>
  <c r="X2393" i="1"/>
  <c r="X2392" i="1"/>
  <c r="X2391" i="1"/>
  <c r="X2390" i="1"/>
  <c r="X2389" i="1"/>
  <c r="X2388" i="1"/>
  <c r="X2387" i="1"/>
  <c r="X2386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72" i="1"/>
  <c r="X2371" i="1"/>
  <c r="X2370" i="1"/>
  <c r="X2369" i="1"/>
  <c r="X2368" i="1"/>
  <c r="X2367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4" i="1"/>
  <c r="X2333" i="1"/>
  <c r="X2332" i="1"/>
  <c r="X2331" i="1"/>
  <c r="X2324" i="1"/>
  <c r="X2323" i="1"/>
  <c r="X2320" i="1"/>
  <c r="X2315" i="1"/>
  <c r="X2314" i="1"/>
  <c r="X2310" i="1"/>
  <c r="X2309" i="1"/>
  <c r="X2308" i="1"/>
  <c r="X2307" i="1"/>
  <c r="X2306" i="1"/>
  <c r="X2304" i="1"/>
  <c r="X2303" i="1"/>
  <c r="X2302" i="1"/>
  <c r="X2301" i="1"/>
  <c r="X2300" i="1"/>
  <c r="X2298" i="1"/>
  <c r="X2297" i="1"/>
  <c r="X2296" i="1"/>
  <c r="X2295" i="1"/>
  <c r="X2294" i="1"/>
  <c r="X2293" i="1"/>
  <c r="X2292" i="1"/>
  <c r="X2291" i="1"/>
  <c r="X2290" i="1"/>
  <c r="X2289" i="1"/>
  <c r="X2278" i="1"/>
  <c r="X2277" i="1"/>
  <c r="X2276" i="1"/>
  <c r="X2275" i="1"/>
  <c r="X2272" i="1"/>
  <c r="X2271" i="1"/>
  <c r="X2270" i="1"/>
  <c r="X2269" i="1"/>
  <c r="X2268" i="1"/>
  <c r="X2265" i="1"/>
  <c r="X2261" i="1"/>
  <c r="X2258" i="1"/>
  <c r="X2257" i="1"/>
  <c r="X2256" i="1"/>
  <c r="X2255" i="1"/>
  <c r="X2254" i="1"/>
  <c r="X2252" i="1"/>
  <c r="X2251" i="1"/>
  <c r="X2250" i="1"/>
  <c r="X2249" i="1"/>
  <c r="X2248" i="1"/>
  <c r="X2243" i="1"/>
  <c r="X2242" i="1"/>
  <c r="X2241" i="1"/>
  <c r="X2240" i="1"/>
  <c r="X2239" i="1"/>
  <c r="X2238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7" i="1"/>
  <c r="X2216" i="1"/>
  <c r="X2215" i="1"/>
  <c r="X2214" i="1"/>
  <c r="X2213" i="1"/>
  <c r="X2212" i="1"/>
  <c r="X2211" i="1"/>
  <c r="X2210" i="1"/>
  <c r="X2209" i="1"/>
  <c r="X2208" i="1"/>
  <c r="X2205" i="1"/>
  <c r="X2204" i="1"/>
  <c r="X2203" i="1"/>
  <c r="X2197" i="1"/>
  <c r="X2196" i="1"/>
  <c r="X2193" i="1"/>
  <c r="X2192" i="1"/>
  <c r="X2191" i="1"/>
  <c r="X2190" i="1"/>
  <c r="X2189" i="1"/>
  <c r="X2188" i="1"/>
  <c r="X2187" i="1"/>
  <c r="X2186" i="1"/>
  <c r="X2180" i="1"/>
  <c r="X2179" i="1"/>
  <c r="X2176" i="1"/>
  <c r="X2170" i="1"/>
  <c r="X2169" i="1"/>
  <c r="X2168" i="1"/>
  <c r="X2167" i="1"/>
  <c r="X2166" i="1"/>
  <c r="X2162" i="1"/>
  <c r="X2159" i="1"/>
  <c r="X2158" i="1"/>
  <c r="X2157" i="1"/>
  <c r="X2156" i="1"/>
  <c r="X2155" i="1"/>
  <c r="X2154" i="1"/>
  <c r="X2153" i="1"/>
  <c r="X2146" i="1"/>
  <c r="X2145" i="1"/>
  <c r="X2144" i="1"/>
  <c r="X2143" i="1"/>
  <c r="X2142" i="1"/>
  <c r="X2141" i="1"/>
  <c r="X2138" i="1"/>
  <c r="X2137" i="1"/>
  <c r="X2135" i="1"/>
  <c r="X2134" i="1"/>
  <c r="X2131" i="1"/>
  <c r="X2130" i="1"/>
  <c r="X2129" i="1"/>
  <c r="X2128" i="1"/>
  <c r="X2127" i="1"/>
  <c r="X2126" i="1"/>
  <c r="X2125" i="1"/>
  <c r="X2124" i="1"/>
  <c r="X2123" i="1"/>
  <c r="X2122" i="1"/>
  <c r="X2119" i="1"/>
  <c r="X2118" i="1"/>
  <c r="X2117" i="1"/>
  <c r="X2111" i="1"/>
  <c r="X2110" i="1"/>
  <c r="X2109" i="1"/>
  <c r="X2108" i="1"/>
  <c r="X2107" i="1"/>
  <c r="X2106" i="1"/>
  <c r="X2103" i="1"/>
  <c r="X2102" i="1"/>
  <c r="X2095" i="1"/>
  <c r="X2089" i="1"/>
  <c r="X2088" i="1"/>
  <c r="X2087" i="1"/>
  <c r="X2075" i="1"/>
  <c r="X2074" i="1"/>
  <c r="X2073" i="1"/>
  <c r="X2070" i="1"/>
  <c r="X2069" i="1"/>
  <c r="X2068" i="1"/>
  <c r="X2034" i="1"/>
  <c r="X2033" i="1"/>
  <c r="X2029" i="1"/>
  <c r="X2027" i="1"/>
  <c r="X2026" i="1"/>
  <c r="X2025" i="1"/>
  <c r="X2024" i="1"/>
  <c r="X2023" i="1"/>
  <c r="X2021" i="1"/>
  <c r="X2019" i="1"/>
  <c r="X2015" i="1"/>
  <c r="X2014" i="1"/>
  <c r="X2013" i="1"/>
  <c r="X2012" i="1"/>
  <c r="X2011" i="1"/>
  <c r="X2007" i="1"/>
  <c r="X2006" i="1"/>
  <c r="X2005" i="1"/>
  <c r="X2004" i="1"/>
  <c r="X2002" i="1"/>
  <c r="X2001" i="1"/>
  <c r="X2000" i="1"/>
  <c r="X1989" i="1"/>
  <c r="X1988" i="1"/>
  <c r="X1987" i="1"/>
  <c r="X1986" i="1"/>
  <c r="X1985" i="1"/>
  <c r="X1979" i="1"/>
  <c r="X1978" i="1"/>
  <c r="X1977" i="1"/>
  <c r="X1972" i="1"/>
  <c r="X1969" i="1"/>
  <c r="X1968" i="1"/>
  <c r="X1967" i="1"/>
  <c r="X1966" i="1"/>
  <c r="X1965" i="1"/>
  <c r="X1964" i="1"/>
  <c r="X1963" i="1"/>
  <c r="X1962" i="1"/>
  <c r="X1956" i="1"/>
  <c r="X1955" i="1"/>
  <c r="X1953" i="1"/>
  <c r="X1948" i="1"/>
  <c r="X1945" i="1"/>
  <c r="X1943" i="1"/>
  <c r="X1937" i="1"/>
  <c r="X1932" i="1"/>
  <c r="X1929" i="1"/>
  <c r="X1928" i="1"/>
  <c r="X1925" i="1"/>
  <c r="X1923" i="1"/>
  <c r="X1920" i="1"/>
  <c r="X1919" i="1"/>
  <c r="X1918" i="1"/>
  <c r="X1917" i="1"/>
  <c r="X1916" i="1"/>
  <c r="X1915" i="1"/>
  <c r="X1914" i="1"/>
  <c r="X1913" i="1"/>
  <c r="X1896" i="1"/>
  <c r="X1895" i="1"/>
  <c r="X1894" i="1"/>
  <c r="X1893" i="1"/>
  <c r="X1892" i="1"/>
  <c r="X1891" i="1"/>
  <c r="X1890" i="1"/>
  <c r="X1889" i="1"/>
  <c r="X1888" i="1"/>
  <c r="X1882" i="1"/>
  <c r="X1881" i="1"/>
  <c r="X1879" i="1"/>
  <c r="X1877" i="1"/>
  <c r="X1876" i="1"/>
  <c r="X1875" i="1"/>
  <c r="X1874" i="1"/>
  <c r="X1873" i="1"/>
  <c r="X1870" i="1"/>
  <c r="X1867" i="1"/>
  <c r="X1866" i="1"/>
  <c r="X1863" i="1"/>
  <c r="X1860" i="1"/>
  <c r="X1857" i="1"/>
  <c r="X1856" i="1"/>
  <c r="X1855" i="1"/>
  <c r="X1854" i="1"/>
  <c r="X1853" i="1"/>
  <c r="X1842" i="1"/>
  <c r="X1841" i="1"/>
  <c r="X1840" i="1"/>
  <c r="X1829" i="1"/>
  <c r="X1828" i="1"/>
  <c r="X1827" i="1"/>
  <c r="X1826" i="1"/>
  <c r="X1825" i="1"/>
  <c r="X1824" i="1"/>
  <c r="X1823" i="1"/>
  <c r="X1822" i="1"/>
  <c r="X1821" i="1"/>
  <c r="X1820" i="1"/>
  <c r="X1819" i="1"/>
  <c r="X1818" i="1"/>
  <c r="X1817" i="1"/>
  <c r="X1815" i="1"/>
  <c r="X1814" i="1"/>
  <c r="X1813" i="1"/>
  <c r="X1805" i="1"/>
  <c r="X1804" i="1"/>
  <c r="X1803" i="1"/>
  <c r="X1799" i="1"/>
  <c r="X1797" i="1"/>
  <c r="X1796" i="1"/>
  <c r="X1795" i="1"/>
  <c r="X1794" i="1"/>
  <c r="X1793" i="1"/>
  <c r="X1789" i="1"/>
  <c r="X1788" i="1"/>
  <c r="X1787" i="1"/>
  <c r="X1786" i="1"/>
  <c r="X1785" i="1"/>
  <c r="X1784" i="1"/>
  <c r="X1783" i="1"/>
  <c r="X1782" i="1"/>
  <c r="X1781" i="1"/>
  <c r="X1780" i="1"/>
  <c r="X1779" i="1"/>
  <c r="X1778" i="1"/>
  <c r="X1777" i="1"/>
  <c r="X1769" i="1"/>
  <c r="X1768" i="1"/>
  <c r="X1765" i="1"/>
  <c r="X1764" i="1"/>
  <c r="X1762" i="1"/>
  <c r="X1755" i="1"/>
  <c r="X1752" i="1"/>
  <c r="X1751" i="1"/>
  <c r="X1750" i="1"/>
  <c r="X1743" i="1"/>
  <c r="X1742" i="1"/>
  <c r="X1741" i="1"/>
  <c r="X1740" i="1"/>
  <c r="X1739" i="1"/>
  <c r="X1735" i="1"/>
  <c r="X1734" i="1"/>
  <c r="X1733" i="1"/>
  <c r="X1726" i="1"/>
  <c r="X1725" i="1"/>
  <c r="X1724" i="1"/>
  <c r="X1722" i="1"/>
  <c r="X1720" i="1"/>
  <c r="X1719" i="1"/>
  <c r="X1718" i="1"/>
  <c r="X1717" i="1"/>
  <c r="X1716" i="1"/>
  <c r="X1715" i="1"/>
  <c r="X1714" i="1"/>
  <c r="X1713" i="1"/>
  <c r="X1706" i="1"/>
  <c r="X1705" i="1"/>
  <c r="X1704" i="1"/>
  <c r="X1703" i="1"/>
  <c r="X1701" i="1"/>
  <c r="X1700" i="1"/>
  <c r="X1699" i="1"/>
  <c r="X1698" i="1"/>
  <c r="X1697" i="1"/>
  <c r="X1694" i="1"/>
  <c r="X1692" i="1"/>
  <c r="X1691" i="1"/>
  <c r="X1685" i="1"/>
  <c r="X1684" i="1"/>
  <c r="X1680" i="1"/>
  <c r="X1679" i="1"/>
  <c r="X1678" i="1"/>
  <c r="X1671" i="1"/>
  <c r="X1670" i="1"/>
  <c r="X1667" i="1"/>
  <c r="X1665" i="1"/>
  <c r="X1664" i="1"/>
  <c r="X1663" i="1"/>
  <c r="X1662" i="1"/>
  <c r="X1661" i="1"/>
  <c r="X1660" i="1"/>
  <c r="X1659" i="1"/>
  <c r="X1654" i="1"/>
  <c r="X1651" i="1"/>
  <c r="X1650" i="1"/>
  <c r="X1648" i="1"/>
  <c r="X1644" i="1"/>
  <c r="X1642" i="1"/>
  <c r="X1640" i="1"/>
  <c r="X1639" i="1"/>
  <c r="X1633" i="1"/>
  <c r="X1632" i="1"/>
  <c r="X1630" i="1"/>
  <c r="X1628" i="1"/>
  <c r="X1623" i="1"/>
  <c r="X1622" i="1"/>
  <c r="X1621" i="1"/>
  <c r="X1620" i="1"/>
  <c r="X1619" i="1"/>
  <c r="X1618" i="1"/>
  <c r="X1617" i="1"/>
  <c r="X1616" i="1"/>
  <c r="X1615" i="1"/>
  <c r="X1614" i="1"/>
  <c r="X1611" i="1"/>
  <c r="X1608" i="1"/>
  <c r="X1606" i="1"/>
  <c r="X1605" i="1"/>
  <c r="X1604" i="1"/>
  <c r="X1603" i="1"/>
  <c r="X1602" i="1"/>
  <c r="X1601" i="1"/>
  <c r="X1599" i="1"/>
  <c r="X1598" i="1"/>
  <c r="X1597" i="1"/>
  <c r="X1596" i="1"/>
  <c r="X1582" i="1"/>
  <c r="X1581" i="1"/>
  <c r="X1580" i="1"/>
  <c r="X1579" i="1"/>
  <c r="X1578" i="1"/>
  <c r="X1577" i="1"/>
  <c r="X1576" i="1"/>
  <c r="X1573" i="1"/>
  <c r="X1572" i="1"/>
  <c r="X1571" i="1"/>
  <c r="X1541" i="1"/>
  <c r="X1540" i="1"/>
  <c r="X1538" i="1"/>
  <c r="X1537" i="1"/>
  <c r="X1532" i="1"/>
  <c r="X1531" i="1"/>
  <c r="X1530" i="1"/>
  <c r="X1529" i="1"/>
  <c r="X1528" i="1"/>
  <c r="X1526" i="1"/>
  <c r="X1525" i="1"/>
  <c r="X1524" i="1"/>
  <c r="X1523" i="1"/>
  <c r="X1522" i="1"/>
  <c r="X1521" i="1"/>
  <c r="X1520" i="1"/>
  <c r="X1519" i="1"/>
  <c r="X1511" i="1"/>
  <c r="X1510" i="1"/>
  <c r="X1509" i="1"/>
  <c r="X1506" i="1"/>
  <c r="X1500" i="1"/>
  <c r="X1499" i="1"/>
  <c r="X1498" i="1"/>
  <c r="X1497" i="1"/>
  <c r="X1496" i="1"/>
  <c r="X1489" i="1"/>
  <c r="X1488" i="1"/>
  <c r="X1487" i="1"/>
  <c r="X1486" i="1"/>
  <c r="X1485" i="1"/>
  <c r="X1460" i="1"/>
  <c r="X1459" i="1"/>
  <c r="X1454" i="1"/>
  <c r="X1453" i="1"/>
  <c r="X1452" i="1"/>
  <c r="X1451" i="1"/>
  <c r="X1450" i="1"/>
  <c r="X1449" i="1"/>
  <c r="X1448" i="1"/>
  <c r="X1447" i="1"/>
  <c r="X1438" i="1"/>
  <c r="X1437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0" i="1"/>
  <c r="X1419" i="1"/>
  <c r="X1418" i="1"/>
  <c r="X1405" i="1"/>
  <c r="X1404" i="1"/>
  <c r="X1402" i="1"/>
  <c r="X1401" i="1"/>
  <c r="X1400" i="1"/>
  <c r="X1399" i="1"/>
  <c r="X1398" i="1"/>
  <c r="X1396" i="1"/>
  <c r="X1395" i="1"/>
  <c r="X1390" i="1"/>
  <c r="X1389" i="1"/>
  <c r="X1386" i="1"/>
  <c r="X1385" i="1"/>
  <c r="X1384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63" i="1"/>
  <c r="X1360" i="1"/>
  <c r="X1359" i="1"/>
  <c r="X1358" i="1"/>
  <c r="X1351" i="1"/>
  <c r="X1350" i="1"/>
  <c r="X1349" i="1"/>
  <c r="X1344" i="1"/>
  <c r="X1343" i="1"/>
  <c r="X1341" i="1"/>
  <c r="X1340" i="1"/>
  <c r="X1339" i="1"/>
  <c r="X1338" i="1"/>
  <c r="X1337" i="1"/>
  <c r="X1331" i="1"/>
  <c r="X1330" i="1"/>
  <c r="X1329" i="1"/>
  <c r="X1328" i="1"/>
  <c r="X1327" i="1"/>
  <c r="X1325" i="1"/>
  <c r="X1323" i="1"/>
  <c r="X1322" i="1"/>
  <c r="X1317" i="1"/>
  <c r="X1314" i="1"/>
  <c r="X1313" i="1"/>
  <c r="X1312" i="1"/>
  <c r="X1304" i="1"/>
  <c r="X1303" i="1"/>
  <c r="X1302" i="1"/>
  <c r="X1299" i="1"/>
  <c r="X1296" i="1"/>
  <c r="X1295" i="1"/>
  <c r="X1294" i="1"/>
  <c r="X1293" i="1"/>
  <c r="X1292" i="1"/>
  <c r="X1291" i="1"/>
  <c r="X1289" i="1"/>
  <c r="X1288" i="1"/>
  <c r="X1287" i="1"/>
  <c r="X1286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6" i="1"/>
  <c r="X1235" i="1"/>
  <c r="X1234" i="1"/>
  <c r="X1233" i="1"/>
  <c r="X1232" i="1"/>
  <c r="X1231" i="1"/>
  <c r="X1230" i="1"/>
  <c r="X1229" i="1"/>
  <c r="X1228" i="1"/>
  <c r="X1227" i="1"/>
  <c r="X1223" i="1"/>
  <c r="X1222" i="1"/>
  <c r="X1221" i="1"/>
  <c r="X1215" i="1"/>
  <c r="X1214" i="1"/>
  <c r="X1212" i="1"/>
  <c r="X1211" i="1"/>
  <c r="X1210" i="1"/>
  <c r="X1204" i="1"/>
  <c r="X1203" i="1"/>
  <c r="X1202" i="1"/>
  <c r="X1201" i="1"/>
  <c r="X1200" i="1"/>
  <c r="X1172" i="1"/>
  <c r="X1171" i="1"/>
  <c r="X1168" i="1"/>
  <c r="X1167" i="1"/>
  <c r="X1166" i="1"/>
  <c r="X1165" i="1"/>
  <c r="X1164" i="1"/>
  <c r="X1163" i="1"/>
  <c r="X1162" i="1"/>
  <c r="X1161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83" i="1"/>
  <c r="X982" i="1"/>
  <c r="X981" i="1"/>
  <c r="X980" i="1"/>
  <c r="X979" i="1"/>
  <c r="X993" i="1"/>
  <c r="X992" i="1"/>
  <c r="X991" i="1"/>
  <c r="X990" i="1"/>
  <c r="X989" i="1"/>
  <c r="X978" i="1"/>
  <c r="X977" i="1"/>
  <c r="X976" i="1"/>
  <c r="X975" i="1"/>
  <c r="X974" i="1"/>
  <c r="X973" i="1"/>
  <c r="X972" i="1"/>
  <c r="X970" i="1"/>
  <c r="X969" i="1"/>
  <c r="X968" i="1"/>
  <c r="X960" i="1"/>
  <c r="X959" i="1"/>
  <c r="X958" i="1"/>
  <c r="X956" i="1"/>
  <c r="X955" i="1"/>
  <c r="X954" i="1"/>
  <c r="X953" i="1"/>
  <c r="X914" i="1"/>
  <c r="X913" i="1"/>
  <c r="X912" i="1"/>
  <c r="X910" i="1"/>
  <c r="X906" i="1"/>
  <c r="X905" i="1"/>
  <c r="X904" i="1"/>
  <c r="X898" i="1"/>
  <c r="X897" i="1"/>
  <c r="X896" i="1"/>
  <c r="X895" i="1"/>
  <c r="X892" i="1"/>
  <c r="X891" i="1"/>
  <c r="X890" i="1"/>
  <c r="X873" i="1"/>
  <c r="X872" i="1"/>
  <c r="X871" i="1"/>
  <c r="X870" i="1"/>
  <c r="X869" i="1"/>
  <c r="X864" i="1"/>
  <c r="X863" i="1"/>
  <c r="X862" i="1"/>
  <c r="X861" i="1"/>
  <c r="X860" i="1"/>
  <c r="X857" i="1"/>
  <c r="X854" i="1"/>
  <c r="X852" i="1"/>
  <c r="X849" i="1"/>
  <c r="X843" i="1"/>
  <c r="X842" i="1"/>
  <c r="X841" i="1"/>
  <c r="X840" i="1"/>
  <c r="X839" i="1"/>
  <c r="X838" i="1"/>
  <c r="X837" i="1"/>
  <c r="X836" i="1"/>
  <c r="X835" i="1"/>
  <c r="X834" i="1"/>
  <c r="X833" i="1"/>
  <c r="X828" i="1"/>
  <c r="X827" i="1"/>
  <c r="X826" i="1"/>
  <c r="X825" i="1"/>
  <c r="X824" i="1"/>
  <c r="X822" i="1"/>
  <c r="X821" i="1"/>
  <c r="X820" i="1"/>
  <c r="X819" i="1"/>
  <c r="X818" i="1"/>
  <c r="X814" i="1"/>
  <c r="X811" i="1"/>
  <c r="X808" i="1"/>
  <c r="X803" i="1"/>
  <c r="X798" i="1"/>
  <c r="X797" i="1"/>
  <c r="X796" i="1"/>
  <c r="X795" i="1"/>
  <c r="X794" i="1"/>
  <c r="X792" i="1"/>
  <c r="X791" i="1"/>
  <c r="X790" i="1"/>
  <c r="X782" i="1"/>
  <c r="X781" i="1"/>
  <c r="X778" i="1"/>
  <c r="X775" i="1"/>
  <c r="X774" i="1"/>
  <c r="X772" i="1"/>
  <c r="X771" i="1"/>
  <c r="X765" i="1"/>
  <c r="X764" i="1"/>
  <c r="X763" i="1"/>
  <c r="X762" i="1"/>
  <c r="X759" i="1"/>
  <c r="X756" i="1"/>
  <c r="X754" i="1"/>
  <c r="X753" i="1"/>
  <c r="X752" i="1"/>
  <c r="X751" i="1"/>
  <c r="X750" i="1"/>
  <c r="X749" i="1"/>
  <c r="X746" i="1"/>
  <c r="X744" i="1"/>
  <c r="X742" i="1"/>
  <c r="X740" i="1"/>
  <c r="X739" i="1"/>
  <c r="X738" i="1"/>
  <c r="X737" i="1"/>
  <c r="X736" i="1"/>
  <c r="X735" i="1"/>
  <c r="X734" i="1"/>
  <c r="X733" i="1"/>
  <c r="X725" i="1"/>
  <c r="X724" i="1"/>
  <c r="X723" i="1"/>
  <c r="X720" i="1"/>
  <c r="X719" i="1"/>
  <c r="X717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7" i="1"/>
  <c r="X686" i="1"/>
  <c r="X685" i="1"/>
  <c r="X684" i="1"/>
  <c r="X683" i="1"/>
  <c r="X682" i="1"/>
  <c r="X679" i="1"/>
  <c r="X678" i="1"/>
  <c r="X677" i="1"/>
  <c r="X676" i="1"/>
  <c r="X675" i="1"/>
  <c r="X674" i="1"/>
  <c r="X665" i="1"/>
  <c r="X654" i="1"/>
  <c r="X653" i="1"/>
  <c r="X652" i="1"/>
  <c r="X646" i="1"/>
  <c r="X645" i="1"/>
  <c r="X644" i="1"/>
  <c r="X643" i="1"/>
  <c r="X642" i="1"/>
  <c r="X641" i="1"/>
  <c r="X640" i="1"/>
  <c r="X639" i="1"/>
  <c r="X638" i="1"/>
  <c r="X637" i="1"/>
  <c r="X636" i="1"/>
  <c r="X630" i="1"/>
  <c r="X629" i="1"/>
  <c r="X628" i="1"/>
  <c r="X627" i="1"/>
  <c r="X626" i="1"/>
  <c r="X625" i="1"/>
  <c r="X624" i="1"/>
  <c r="X623" i="1"/>
  <c r="X618" i="1"/>
  <c r="X617" i="1"/>
  <c r="X615" i="1"/>
  <c r="X614" i="1"/>
  <c r="X613" i="1"/>
  <c r="X612" i="1"/>
  <c r="X611" i="1"/>
  <c r="X610" i="1"/>
  <c r="X609" i="1"/>
  <c r="X608" i="1"/>
  <c r="X607" i="1"/>
  <c r="X600" i="1"/>
  <c r="X599" i="1"/>
  <c r="X593" i="1"/>
  <c r="X592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5" i="1"/>
  <c r="X574" i="1"/>
  <c r="X573" i="1"/>
  <c r="X561" i="1"/>
  <c r="X560" i="1"/>
  <c r="X559" i="1"/>
  <c r="X556" i="1"/>
  <c r="X555" i="1"/>
  <c r="X554" i="1"/>
  <c r="X553" i="1"/>
  <c r="X552" i="1"/>
  <c r="X550" i="1"/>
  <c r="X546" i="1"/>
  <c r="X543" i="1"/>
  <c r="X542" i="1"/>
  <c r="X541" i="1"/>
  <c r="X540" i="1"/>
  <c r="X538" i="1"/>
  <c r="X537" i="1"/>
  <c r="X536" i="1"/>
  <c r="X500" i="1"/>
  <c r="X499" i="1"/>
  <c r="X497" i="1"/>
  <c r="X496" i="1"/>
  <c r="X494" i="1"/>
  <c r="X490" i="1"/>
  <c r="X489" i="1"/>
  <c r="X488" i="1"/>
  <c r="X487" i="1"/>
  <c r="X486" i="1"/>
  <c r="X485" i="1"/>
  <c r="X484" i="1"/>
  <c r="X483" i="1"/>
  <c r="X482" i="1"/>
  <c r="X481" i="1"/>
  <c r="X480" i="1"/>
  <c r="X477" i="1"/>
  <c r="X476" i="1"/>
  <c r="X475" i="1"/>
  <c r="X474" i="1"/>
  <c r="X473" i="1"/>
  <c r="X472" i="1"/>
  <c r="X469" i="1"/>
  <c r="X468" i="1"/>
  <c r="X467" i="1"/>
  <c r="X466" i="1"/>
  <c r="X465" i="1"/>
  <c r="X459" i="1"/>
  <c r="X458" i="1"/>
  <c r="X457" i="1"/>
  <c r="X451" i="1"/>
  <c r="X450" i="1"/>
  <c r="X449" i="1"/>
  <c r="X448" i="1"/>
  <c r="X447" i="1"/>
  <c r="X441" i="1"/>
  <c r="X440" i="1"/>
  <c r="X437" i="1"/>
  <c r="X435" i="1"/>
  <c r="X434" i="1"/>
  <c r="X433" i="1"/>
  <c r="X432" i="1"/>
  <c r="X429" i="1"/>
  <c r="X428" i="1"/>
  <c r="X427" i="1"/>
  <c r="X426" i="1"/>
  <c r="X425" i="1"/>
  <c r="X424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398" i="1"/>
  <c r="X397" i="1"/>
  <c r="X396" i="1"/>
  <c r="X395" i="1"/>
  <c r="X394" i="1"/>
  <c r="X388" i="1"/>
  <c r="X387" i="1"/>
  <c r="X378" i="1"/>
  <c r="X377" i="1"/>
  <c r="X376" i="1"/>
  <c r="X375" i="1"/>
  <c r="X374" i="1"/>
  <c r="X373" i="1"/>
  <c r="X372" i="1"/>
  <c r="X369" i="1"/>
  <c r="X368" i="1"/>
  <c r="X367" i="1"/>
  <c r="X366" i="1"/>
  <c r="X364" i="1"/>
  <c r="X362" i="1"/>
  <c r="X361" i="1"/>
  <c r="X360" i="1"/>
  <c r="X359" i="1"/>
  <c r="X358" i="1"/>
  <c r="X357" i="1"/>
  <c r="X355" i="1"/>
  <c r="X349" i="1"/>
  <c r="X348" i="1"/>
  <c r="X347" i="1"/>
  <c r="X346" i="1"/>
  <c r="X345" i="1"/>
  <c r="X344" i="1"/>
  <c r="X343" i="1"/>
  <c r="X342" i="1"/>
  <c r="X336" i="1"/>
  <c r="X335" i="1"/>
  <c r="X333" i="1"/>
  <c r="X332" i="1"/>
  <c r="X331" i="1"/>
  <c r="X329" i="1"/>
  <c r="X328" i="1"/>
  <c r="X327" i="1"/>
  <c r="X325" i="1"/>
  <c r="X324" i="1"/>
  <c r="X322" i="1"/>
  <c r="X318" i="1"/>
  <c r="X317" i="1"/>
  <c r="X316" i="1"/>
  <c r="X315" i="1"/>
  <c r="X314" i="1"/>
  <c r="X313" i="1"/>
  <c r="X312" i="1"/>
  <c r="X311" i="1"/>
  <c r="X310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4" i="1"/>
  <c r="X283" i="1"/>
  <c r="X282" i="1"/>
  <c r="X281" i="1"/>
  <c r="X279" i="1"/>
  <c r="X278" i="1"/>
  <c r="X276" i="1"/>
  <c r="X275" i="1"/>
  <c r="X274" i="1"/>
  <c r="X273" i="1"/>
  <c r="X271" i="1"/>
  <c r="X270" i="1"/>
  <c r="X269" i="1"/>
  <c r="X268" i="1"/>
  <c r="X267" i="1"/>
  <c r="X266" i="1"/>
  <c r="X265" i="1"/>
  <c r="X251" i="1"/>
  <c r="X250" i="1"/>
  <c r="X249" i="1"/>
  <c r="X248" i="1"/>
  <c r="X247" i="1"/>
  <c r="X246" i="1"/>
  <c r="X245" i="1"/>
  <c r="X241" i="1"/>
  <c r="X240" i="1"/>
  <c r="X239" i="1"/>
  <c r="X238" i="1"/>
  <c r="X237" i="1"/>
  <c r="X236" i="1"/>
  <c r="X235" i="1"/>
  <c r="X234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0" i="1"/>
  <c r="X149" i="1"/>
  <c r="X148" i="1"/>
  <c r="X147" i="1"/>
  <c r="X146" i="1"/>
  <c r="X142" i="1"/>
  <c r="X141" i="1"/>
  <c r="X140" i="1"/>
  <c r="X134" i="1"/>
  <c r="X133" i="1"/>
  <c r="X131" i="1"/>
  <c r="X127" i="1"/>
  <c r="X125" i="1"/>
  <c r="X122" i="1"/>
  <c r="X121" i="1"/>
  <c r="X120" i="1"/>
  <c r="X119" i="1"/>
  <c r="X118" i="1"/>
  <c r="X116" i="1"/>
  <c r="X115" i="1"/>
  <c r="X109" i="1"/>
  <c r="X108" i="1"/>
  <c r="X107" i="1"/>
  <c r="X105" i="1"/>
  <c r="X104" i="1"/>
  <c r="X103" i="1"/>
  <c r="X102" i="1"/>
  <c r="X101" i="1"/>
  <c r="X100" i="1"/>
  <c r="X98" i="1"/>
  <c r="X93" i="1"/>
  <c r="X92" i="1"/>
  <c r="X91" i="1"/>
  <c r="X90" i="1"/>
  <c r="X89" i="1"/>
  <c r="X88" i="1"/>
  <c r="X86" i="1"/>
  <c r="X85" i="1"/>
  <c r="X84" i="1"/>
  <c r="X83" i="1"/>
  <c r="X82" i="1"/>
  <c r="X75" i="1"/>
  <c r="X74" i="1"/>
  <c r="X73" i="1"/>
  <c r="X67" i="1"/>
  <c r="X66" i="1"/>
  <c r="X62" i="1"/>
  <c r="X61" i="1"/>
  <c r="X60" i="1"/>
  <c r="X59" i="1"/>
  <c r="X58" i="1"/>
  <c r="X56" i="1"/>
  <c r="X53" i="1"/>
  <c r="X52" i="1"/>
  <c r="X51" i="1"/>
  <c r="X49" i="1"/>
  <c r="X39" i="1"/>
  <c r="X38" i="1"/>
  <c r="X33" i="1"/>
  <c r="X32" i="1"/>
  <c r="X31" i="1"/>
  <c r="X25" i="1"/>
  <c r="X24" i="1"/>
  <c r="X21" i="1"/>
  <c r="X12" i="1"/>
  <c r="X11" i="1"/>
  <c r="X10" i="1"/>
  <c r="X9" i="1"/>
  <c r="X8" i="1"/>
  <c r="X7" i="1"/>
  <c r="X6" i="1"/>
  <c r="W6779" i="1"/>
  <c r="W6776" i="1"/>
  <c r="W6772" i="1"/>
  <c r="W6771" i="1"/>
  <c r="W6770" i="1"/>
  <c r="W6752" i="1"/>
  <c r="W6751" i="1"/>
  <c r="W6750" i="1"/>
  <c r="W6749" i="1"/>
  <c r="W6746" i="1"/>
  <c r="W6740" i="1"/>
  <c r="W6739" i="1"/>
  <c r="W6738" i="1"/>
  <c r="W6737" i="1"/>
  <c r="W6736" i="1"/>
  <c r="W6735" i="1"/>
  <c r="W6734" i="1"/>
  <c r="W6733" i="1"/>
  <c r="W6727" i="1"/>
  <c r="W6726" i="1"/>
  <c r="W6724" i="1"/>
  <c r="W6720" i="1"/>
  <c r="W6719" i="1"/>
  <c r="W6716" i="1"/>
  <c r="W6715" i="1"/>
  <c r="W6714" i="1"/>
  <c r="W6707" i="1"/>
  <c r="W6706" i="1"/>
  <c r="W6702" i="1"/>
  <c r="W6701" i="1"/>
  <c r="W6700" i="1"/>
  <c r="W6699" i="1"/>
  <c r="W6698" i="1"/>
  <c r="W6697" i="1"/>
  <c r="W6696" i="1"/>
  <c r="W6694" i="1"/>
  <c r="W6693" i="1"/>
  <c r="W6692" i="1"/>
  <c r="W6691" i="1"/>
  <c r="W6690" i="1"/>
  <c r="W6689" i="1"/>
  <c r="W6688" i="1"/>
  <c r="W6687" i="1"/>
  <c r="W6686" i="1"/>
  <c r="W6685" i="1"/>
  <c r="W6684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7" i="1"/>
  <c r="W6666" i="1"/>
  <c r="W6665" i="1"/>
  <c r="W6658" i="1"/>
  <c r="W6657" i="1"/>
  <c r="W6656" i="1"/>
  <c r="W6655" i="1"/>
  <c r="W6653" i="1"/>
  <c r="W6652" i="1"/>
  <c r="W6651" i="1"/>
  <c r="W6637" i="1"/>
  <c r="W6636" i="1"/>
  <c r="W6635" i="1"/>
  <c r="W6634" i="1"/>
  <c r="W6633" i="1"/>
  <c r="W6632" i="1"/>
  <c r="W6631" i="1"/>
  <c r="W6630" i="1"/>
  <c r="W6628" i="1"/>
  <c r="W6627" i="1"/>
  <c r="W6626" i="1"/>
  <c r="W6620" i="1"/>
  <c r="W6619" i="1"/>
  <c r="W6618" i="1"/>
  <c r="W6615" i="1"/>
  <c r="W6612" i="1"/>
  <c r="W6611" i="1"/>
  <c r="W6610" i="1"/>
  <c r="W6603" i="1"/>
  <c r="W6602" i="1"/>
  <c r="W6601" i="1"/>
  <c r="W6600" i="1"/>
  <c r="W6599" i="1"/>
  <c r="W6585" i="1"/>
  <c r="W6584" i="1"/>
  <c r="W6574" i="1"/>
  <c r="W6573" i="1"/>
  <c r="W6572" i="1"/>
  <c r="W6571" i="1"/>
  <c r="W6570" i="1"/>
  <c r="W6564" i="1"/>
  <c r="W6563" i="1"/>
  <c r="W6562" i="1"/>
  <c r="W6561" i="1"/>
  <c r="W6560" i="1"/>
  <c r="W6557" i="1"/>
  <c r="W6556" i="1"/>
  <c r="W6555" i="1"/>
  <c r="W6554" i="1"/>
  <c r="W6553" i="1"/>
  <c r="W6549" i="1"/>
  <c r="W6548" i="1"/>
  <c r="W6547" i="1"/>
  <c r="W6546" i="1"/>
  <c r="W6545" i="1"/>
  <c r="W6544" i="1"/>
  <c r="W6540" i="1"/>
  <c r="W6539" i="1"/>
  <c r="W6538" i="1"/>
  <c r="W6537" i="1"/>
  <c r="W6536" i="1"/>
  <c r="W6532" i="1"/>
  <c r="W6531" i="1"/>
  <c r="W6530" i="1"/>
  <c r="W6529" i="1"/>
  <c r="W6528" i="1"/>
  <c r="W6527" i="1"/>
  <c r="W6526" i="1"/>
  <c r="W6525" i="1"/>
  <c r="W6524" i="1"/>
  <c r="W6523" i="1"/>
  <c r="W6519" i="1"/>
  <c r="W6518" i="1"/>
  <c r="W6517" i="1"/>
  <c r="W6516" i="1"/>
  <c r="W6515" i="1"/>
  <c r="W6514" i="1"/>
  <c r="W6513" i="1"/>
  <c r="W6512" i="1"/>
  <c r="W6511" i="1"/>
  <c r="W6510" i="1"/>
  <c r="W6509" i="1"/>
  <c r="W6505" i="1"/>
  <c r="W6504" i="1"/>
  <c r="W6503" i="1"/>
  <c r="W6502" i="1"/>
  <c r="W6501" i="1"/>
  <c r="W6496" i="1"/>
  <c r="W6495" i="1"/>
  <c r="W6494" i="1"/>
  <c r="W6493" i="1"/>
  <c r="W6492" i="1"/>
  <c r="W6491" i="1"/>
  <c r="W6490" i="1"/>
  <c r="W6489" i="1"/>
  <c r="W6488" i="1"/>
  <c r="W6478" i="1"/>
  <c r="W6477" i="1"/>
  <c r="W6476" i="1"/>
  <c r="W6454" i="1"/>
  <c r="W6453" i="1"/>
  <c r="W6452" i="1"/>
  <c r="W6446" i="1"/>
  <c r="W6445" i="1"/>
  <c r="W6444" i="1"/>
  <c r="W6443" i="1"/>
  <c r="W6442" i="1"/>
  <c r="W6441" i="1"/>
  <c r="W6440" i="1"/>
  <c r="W6439" i="1"/>
  <c r="W6428" i="1"/>
  <c r="W6427" i="1"/>
  <c r="W6426" i="1"/>
  <c r="W6425" i="1"/>
  <c r="W6424" i="1"/>
  <c r="W6413" i="1"/>
  <c r="W6412" i="1"/>
  <c r="W6411" i="1"/>
  <c r="W6410" i="1"/>
  <c r="W6409" i="1"/>
  <c r="W6403" i="1"/>
  <c r="W6402" i="1"/>
  <c r="W6401" i="1"/>
  <c r="W6400" i="1"/>
  <c r="W6399" i="1"/>
  <c r="W6393" i="1"/>
  <c r="W6392" i="1"/>
  <c r="W6391" i="1"/>
  <c r="W6390" i="1"/>
  <c r="W6389" i="1"/>
  <c r="W6387" i="1"/>
  <c r="W6386" i="1"/>
  <c r="W6384" i="1"/>
  <c r="W6383" i="1"/>
  <c r="W6381" i="1"/>
  <c r="W6380" i="1"/>
  <c r="W6375" i="1"/>
  <c r="W6373" i="1"/>
  <c r="W6372" i="1"/>
  <c r="W6371" i="1"/>
  <c r="W6370" i="1"/>
  <c r="W6369" i="1"/>
  <c r="W6368" i="1"/>
  <c r="W6367" i="1"/>
  <c r="W6366" i="1"/>
  <c r="W6365" i="1"/>
  <c r="W6364" i="1"/>
  <c r="W6363" i="1"/>
  <c r="W6359" i="1"/>
  <c r="W6358" i="1"/>
  <c r="W6356" i="1"/>
  <c r="W6349" i="1"/>
  <c r="W6348" i="1"/>
  <c r="W6347" i="1"/>
  <c r="W6346" i="1"/>
  <c r="W6345" i="1"/>
  <c r="W6344" i="1"/>
  <c r="W6342" i="1"/>
  <c r="W6333" i="1"/>
  <c r="W6332" i="1"/>
  <c r="W6331" i="1"/>
  <c r="W6330" i="1"/>
  <c r="W6329" i="1"/>
  <c r="W6328" i="1"/>
  <c r="W6327" i="1"/>
  <c r="W6326" i="1"/>
  <c r="W6320" i="1"/>
  <c r="W6319" i="1"/>
  <c r="W6318" i="1"/>
  <c r="W6315" i="1"/>
  <c r="W6314" i="1"/>
  <c r="W6313" i="1"/>
  <c r="W6312" i="1"/>
  <c r="W6311" i="1"/>
  <c r="W6310" i="1"/>
  <c r="W6308" i="1"/>
  <c r="W6307" i="1"/>
  <c r="W6306" i="1"/>
  <c r="W6299" i="1"/>
  <c r="W6298" i="1"/>
  <c r="W6297" i="1"/>
  <c r="W6295" i="1"/>
  <c r="W6294" i="1"/>
  <c r="W6293" i="1"/>
  <c r="W6292" i="1"/>
  <c r="W6291" i="1"/>
  <c r="W6288" i="1"/>
  <c r="W6287" i="1"/>
  <c r="W6286" i="1"/>
  <c r="W6285" i="1"/>
  <c r="W6284" i="1"/>
  <c r="W6283" i="1"/>
  <c r="W6282" i="1"/>
  <c r="W6281" i="1"/>
  <c r="W6275" i="1"/>
  <c r="W6274" i="1"/>
  <c r="W6273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6" i="1"/>
  <c r="W6255" i="1"/>
  <c r="W6254" i="1"/>
  <c r="W6243" i="1"/>
  <c r="W6242" i="1"/>
  <c r="W6239" i="1"/>
  <c r="W6236" i="1"/>
  <c r="W6235" i="1"/>
  <c r="W6231" i="1"/>
  <c r="W6229" i="1"/>
  <c r="W6228" i="1"/>
  <c r="W6227" i="1"/>
  <c r="W6226" i="1"/>
  <c r="W6223" i="1"/>
  <c r="W6222" i="1"/>
  <c r="W6221" i="1"/>
  <c r="W6220" i="1"/>
  <c r="W6219" i="1"/>
  <c r="W6218" i="1"/>
  <c r="W6217" i="1"/>
  <c r="W6216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5" i="1"/>
  <c r="W6134" i="1"/>
  <c r="W6133" i="1"/>
  <c r="W6132" i="1"/>
  <c r="W6131" i="1"/>
  <c r="W6130" i="1"/>
  <c r="W6129" i="1"/>
  <c r="W6128" i="1"/>
  <c r="W6127" i="1"/>
  <c r="W6126" i="1"/>
  <c r="W6125" i="1"/>
  <c r="W6121" i="1"/>
  <c r="W6120" i="1"/>
  <c r="W6119" i="1"/>
  <c r="W6113" i="1"/>
  <c r="W6112" i="1"/>
  <c r="W6108" i="1"/>
  <c r="W6107" i="1"/>
  <c r="W6106" i="1"/>
  <c r="W6105" i="1"/>
  <c r="W6104" i="1"/>
  <c r="W6102" i="1"/>
  <c r="W6103" i="1"/>
  <c r="W6100" i="1"/>
  <c r="W6099" i="1"/>
  <c r="W6098" i="1"/>
  <c r="W6070" i="1"/>
  <c r="W6069" i="1"/>
  <c r="W6066" i="1"/>
  <c r="W6065" i="1"/>
  <c r="W6064" i="1"/>
  <c r="W6063" i="1"/>
  <c r="W6062" i="1"/>
  <c r="W6057" i="1"/>
  <c r="W6056" i="1"/>
  <c r="W6055" i="1"/>
  <c r="W6054" i="1"/>
  <c r="W6053" i="1"/>
  <c r="W6052" i="1"/>
  <c r="W6050" i="1"/>
  <c r="W6049" i="1"/>
  <c r="W6048" i="1"/>
  <c r="W6047" i="1"/>
  <c r="W6041" i="1"/>
  <c r="W6040" i="1"/>
  <c r="W6038" i="1"/>
  <c r="W6035" i="1"/>
  <c r="W6034" i="1"/>
  <c r="W6033" i="1"/>
  <c r="W6032" i="1"/>
  <c r="W6031" i="1"/>
  <c r="W6027" i="1"/>
  <c r="W6024" i="1"/>
  <c r="W6023" i="1"/>
  <c r="W6022" i="1"/>
  <c r="W6021" i="1"/>
  <c r="W6020" i="1"/>
  <c r="W6018" i="1"/>
  <c r="W6017" i="1"/>
  <c r="W6016" i="1"/>
  <c r="W6015" i="1"/>
  <c r="W6014" i="1"/>
  <c r="W6011" i="1"/>
  <c r="W6010" i="1"/>
  <c r="W6009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74" i="1"/>
  <c r="W5973" i="1"/>
  <c r="W5968" i="1"/>
  <c r="W5967" i="1"/>
  <c r="W5966" i="1"/>
  <c r="W5965" i="1"/>
  <c r="W5964" i="1"/>
  <c r="W5960" i="1"/>
  <c r="W5950" i="1"/>
  <c r="W5945" i="1"/>
  <c r="W5943" i="1"/>
  <c r="W5939" i="1"/>
  <c r="W5936" i="1"/>
  <c r="W5935" i="1"/>
  <c r="W5934" i="1"/>
  <c r="W5923" i="1"/>
  <c r="W5922" i="1"/>
  <c r="W5919" i="1"/>
  <c r="W5918" i="1"/>
  <c r="W5917" i="1"/>
  <c r="W5904" i="1"/>
  <c r="W5903" i="1"/>
  <c r="W5900" i="1"/>
  <c r="W5899" i="1"/>
  <c r="W5898" i="1"/>
  <c r="W5897" i="1"/>
  <c r="W5896" i="1"/>
  <c r="W5892" i="1"/>
  <c r="W5891" i="1"/>
  <c r="W5890" i="1"/>
  <c r="W5889" i="1"/>
  <c r="W5888" i="1"/>
  <c r="W5887" i="1"/>
  <c r="W5886" i="1"/>
  <c r="W5885" i="1"/>
  <c r="W5884" i="1"/>
  <c r="W5883" i="1"/>
  <c r="W5881" i="1"/>
  <c r="W5878" i="1"/>
  <c r="W5877" i="1"/>
  <c r="W5876" i="1"/>
  <c r="W5869" i="1"/>
  <c r="W5868" i="1"/>
  <c r="W5867" i="1"/>
  <c r="W5866" i="1"/>
  <c r="W5864" i="1"/>
  <c r="W5859" i="1"/>
  <c r="W5854" i="1"/>
  <c r="W5852" i="1"/>
  <c r="W5845" i="1"/>
  <c r="W5844" i="1"/>
  <c r="W5843" i="1"/>
  <c r="W5842" i="1"/>
  <c r="W5841" i="1"/>
  <c r="W5838" i="1"/>
  <c r="W5837" i="1"/>
  <c r="W5836" i="1"/>
  <c r="W5833" i="1"/>
  <c r="W5832" i="1"/>
  <c r="W5827" i="1"/>
  <c r="W5826" i="1"/>
  <c r="W5825" i="1"/>
  <c r="W5824" i="1"/>
  <c r="W5823" i="1"/>
  <c r="W5822" i="1"/>
  <c r="W5818" i="1"/>
  <c r="W5816" i="1"/>
  <c r="W5814" i="1"/>
  <c r="W5810" i="1"/>
  <c r="W5809" i="1"/>
  <c r="W5807" i="1"/>
  <c r="W5805" i="1"/>
  <c r="W5804" i="1"/>
  <c r="W5802" i="1"/>
  <c r="W5800" i="1"/>
  <c r="W5799" i="1"/>
  <c r="W5794" i="1"/>
  <c r="W5793" i="1"/>
  <c r="W5792" i="1"/>
  <c r="W5790" i="1"/>
  <c r="W5788" i="1"/>
  <c r="W5786" i="1"/>
  <c r="W5779" i="1"/>
  <c r="W5778" i="1"/>
  <c r="W5777" i="1"/>
  <c r="W5776" i="1"/>
  <c r="W5775" i="1"/>
  <c r="W5774" i="1"/>
  <c r="W5769" i="1"/>
  <c r="W5768" i="1"/>
  <c r="W5765" i="1"/>
  <c r="W5764" i="1"/>
  <c r="W5758" i="1"/>
  <c r="W5757" i="1"/>
  <c r="W5755" i="1"/>
  <c r="W5754" i="1"/>
  <c r="W5753" i="1"/>
  <c r="W5747" i="1"/>
  <c r="W5746" i="1"/>
  <c r="W5745" i="1"/>
  <c r="W5744" i="1"/>
  <c r="W5742" i="1"/>
  <c r="W5741" i="1"/>
  <c r="W5737" i="1"/>
  <c r="W5735" i="1"/>
  <c r="W5732" i="1"/>
  <c r="W5731" i="1"/>
  <c r="W5730" i="1"/>
  <c r="W5729" i="1"/>
  <c r="W5728" i="1"/>
  <c r="W5727" i="1"/>
  <c r="W5726" i="1"/>
  <c r="W5725" i="1"/>
  <c r="W5724" i="1"/>
  <c r="W5723" i="1"/>
  <c r="W5720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698" i="1"/>
  <c r="W5697" i="1"/>
  <c r="W5696" i="1"/>
  <c r="W5685" i="1"/>
  <c r="W5684" i="1"/>
  <c r="W5682" i="1"/>
  <c r="W5681" i="1"/>
  <c r="W5679" i="1"/>
  <c r="W5678" i="1"/>
  <c r="W5677" i="1"/>
  <c r="W5676" i="1"/>
  <c r="W5675" i="1"/>
  <c r="W5674" i="1"/>
  <c r="W5673" i="1"/>
  <c r="W5671" i="1"/>
  <c r="W5668" i="1"/>
  <c r="W5667" i="1"/>
  <c r="W5666" i="1"/>
  <c r="W5660" i="1"/>
  <c r="W5652" i="1"/>
  <c r="W5650" i="1"/>
  <c r="W5648" i="1"/>
  <c r="W5647" i="1"/>
  <c r="W5645" i="1"/>
  <c r="W5644" i="1"/>
  <c r="W5643" i="1"/>
  <c r="W5642" i="1"/>
  <c r="W5641" i="1"/>
  <c r="W5640" i="1"/>
  <c r="W5639" i="1"/>
  <c r="W5638" i="1"/>
  <c r="W5628" i="1"/>
  <c r="W5627" i="1"/>
  <c r="W5626" i="1"/>
  <c r="W5625" i="1"/>
  <c r="W5624" i="1"/>
  <c r="W5621" i="1"/>
  <c r="W5620" i="1"/>
  <c r="W5619" i="1"/>
  <c r="W5618" i="1"/>
  <c r="W5616" i="1"/>
  <c r="W5615" i="1"/>
  <c r="W5610" i="1"/>
  <c r="W5603" i="1"/>
  <c r="W5602" i="1"/>
  <c r="W5600" i="1"/>
  <c r="W5599" i="1"/>
  <c r="W5598" i="1"/>
  <c r="W5595" i="1"/>
  <c r="W5593" i="1"/>
  <c r="W5592" i="1"/>
  <c r="W5591" i="1"/>
  <c r="W5588" i="1"/>
  <c r="W5584" i="1"/>
  <c r="W5583" i="1"/>
  <c r="W5580" i="1"/>
  <c r="W5579" i="1"/>
  <c r="W5578" i="1"/>
  <c r="W5577" i="1"/>
  <c r="W5576" i="1"/>
  <c r="W5575" i="1"/>
  <c r="W5574" i="1"/>
  <c r="W5573" i="1"/>
  <c r="W5572" i="1"/>
  <c r="W5571" i="1"/>
  <c r="W5568" i="1"/>
  <c r="W5566" i="1"/>
  <c r="W5564" i="1"/>
  <c r="W5562" i="1"/>
  <c r="W5558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488" i="1"/>
  <c r="W5487" i="1"/>
  <c r="W5486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67" i="1"/>
  <c r="W5466" i="1"/>
  <c r="W5465" i="1"/>
  <c r="W5458" i="1"/>
  <c r="W5457" i="1"/>
  <c r="W5456" i="1"/>
  <c r="W5450" i="1"/>
  <c r="W5449" i="1"/>
  <c r="W5448" i="1"/>
  <c r="W5427" i="1"/>
  <c r="W5426" i="1"/>
  <c r="W5425" i="1"/>
  <c r="W5424" i="1"/>
  <c r="W5423" i="1"/>
  <c r="W5422" i="1"/>
  <c r="W5421" i="1"/>
  <c r="W5420" i="1"/>
  <c r="W5413" i="1"/>
  <c r="W5412" i="1"/>
  <c r="W5403" i="1"/>
  <c r="W5402" i="1"/>
  <c r="W5397" i="1"/>
  <c r="W5396" i="1"/>
  <c r="W5395" i="1"/>
  <c r="W5389" i="1"/>
  <c r="W5388" i="1"/>
  <c r="W5387" i="1"/>
  <c r="W5386" i="1"/>
  <c r="W5383" i="1"/>
  <c r="W5382" i="1"/>
  <c r="W5381" i="1"/>
  <c r="W5380" i="1"/>
  <c r="W5347" i="1"/>
  <c r="W5346" i="1"/>
  <c r="W5345" i="1"/>
  <c r="W5343" i="1"/>
  <c r="W5339" i="1"/>
  <c r="W5338" i="1"/>
  <c r="W5337" i="1"/>
  <c r="W5336" i="1"/>
  <c r="W5335" i="1"/>
  <c r="W5332" i="1"/>
  <c r="W5331" i="1"/>
  <c r="W5330" i="1"/>
  <c r="W5329" i="1"/>
  <c r="W5328" i="1"/>
  <c r="W5326" i="1"/>
  <c r="W5321" i="1"/>
  <c r="W5316" i="1"/>
  <c r="W5315" i="1"/>
  <c r="W5314" i="1"/>
  <c r="W5313" i="1"/>
  <c r="W5312" i="1"/>
  <c r="W5310" i="1"/>
  <c r="W5309" i="1"/>
  <c r="W5306" i="1"/>
  <c r="W5304" i="1"/>
  <c r="W5303" i="1"/>
  <c r="W5302" i="1"/>
  <c r="W5301" i="1"/>
  <c r="W5300" i="1"/>
  <c r="W5299" i="1"/>
  <c r="W5298" i="1"/>
  <c r="W5297" i="1"/>
  <c r="W5296" i="1"/>
  <c r="W5295" i="1"/>
  <c r="W5293" i="1"/>
  <c r="W5292" i="1"/>
  <c r="W5291" i="1"/>
  <c r="W5290" i="1"/>
  <c r="W5289" i="1"/>
  <c r="W5286" i="1"/>
  <c r="W5284" i="1"/>
  <c r="W5283" i="1"/>
  <c r="W5282" i="1"/>
  <c r="W5247" i="1"/>
  <c r="W5246" i="1"/>
  <c r="W5245" i="1"/>
  <c r="W5244" i="1"/>
  <c r="W5243" i="1"/>
  <c r="W5242" i="1"/>
  <c r="W5239" i="1"/>
  <c r="W5235" i="1"/>
  <c r="W5234" i="1"/>
  <c r="W5233" i="1"/>
  <c r="W5232" i="1"/>
  <c r="W5231" i="1"/>
  <c r="W5230" i="1"/>
  <c r="W5225" i="1"/>
  <c r="W5224" i="1"/>
  <c r="W5223" i="1"/>
  <c r="W5222" i="1"/>
  <c r="W5221" i="1"/>
  <c r="W5220" i="1"/>
  <c r="W5219" i="1"/>
  <c r="W5217" i="1"/>
  <c r="W5216" i="1"/>
  <c r="W5215" i="1"/>
  <c r="W5203" i="1"/>
  <c r="W5202" i="1"/>
  <c r="W5201" i="1"/>
  <c r="W5200" i="1"/>
  <c r="W5191" i="1"/>
  <c r="W5190" i="1"/>
  <c r="W5189" i="1"/>
  <c r="W5188" i="1"/>
  <c r="W5187" i="1"/>
  <c r="W5185" i="1"/>
  <c r="W5184" i="1"/>
  <c r="W5181" i="1"/>
  <c r="W5180" i="1"/>
  <c r="W5176" i="1"/>
  <c r="W5171" i="1"/>
  <c r="W5165" i="1"/>
  <c r="W5164" i="1"/>
  <c r="W5159" i="1"/>
  <c r="W5155" i="1"/>
  <c r="W5149" i="1"/>
  <c r="W5147" i="1"/>
  <c r="W5139" i="1"/>
  <c r="W5138" i="1"/>
  <c r="W5137" i="1"/>
  <c r="W5136" i="1"/>
  <c r="W5135" i="1"/>
  <c r="W5133" i="1"/>
  <c r="W5132" i="1"/>
  <c r="W5131" i="1"/>
  <c r="W5116" i="1"/>
  <c r="W5115" i="1"/>
  <c r="W5114" i="1"/>
  <c r="W5111" i="1"/>
  <c r="W5110" i="1"/>
  <c r="W5109" i="1"/>
  <c r="W5108" i="1"/>
  <c r="W5107" i="1"/>
  <c r="W5103" i="1"/>
  <c r="W5101" i="1"/>
  <c r="W5091" i="1"/>
  <c r="W5089" i="1"/>
  <c r="W5084" i="1"/>
  <c r="W5083" i="1"/>
  <c r="W5082" i="1"/>
  <c r="W5081" i="1"/>
  <c r="W5080" i="1"/>
  <c r="W5078" i="1"/>
  <c r="W5077" i="1"/>
  <c r="W5076" i="1"/>
  <c r="W5075" i="1"/>
  <c r="W5074" i="1"/>
  <c r="W5073" i="1"/>
  <c r="W5068" i="1"/>
  <c r="W5063" i="1"/>
  <c r="W5062" i="1"/>
  <c r="W5061" i="1"/>
  <c r="W5060" i="1"/>
  <c r="W5059" i="1"/>
  <c r="W5058" i="1"/>
  <c r="W5055" i="1"/>
  <c r="W5051" i="1"/>
  <c r="W5049" i="1"/>
  <c r="W5048" i="1"/>
  <c r="W5046" i="1"/>
  <c r="W5045" i="1"/>
  <c r="W5044" i="1"/>
  <c r="W5043" i="1"/>
  <c r="W5042" i="1"/>
  <c r="W5040" i="1"/>
  <c r="W5038" i="1"/>
  <c r="W5037" i="1"/>
  <c r="W5036" i="1"/>
  <c r="W5035" i="1"/>
  <c r="W5034" i="1"/>
  <c r="W5032" i="1"/>
  <c r="W5030" i="1"/>
  <c r="W5029" i="1"/>
  <c r="W5026" i="1"/>
  <c r="W5025" i="1"/>
  <c r="W5024" i="1"/>
  <c r="W5023" i="1"/>
  <c r="W5022" i="1"/>
  <c r="W5021" i="1"/>
  <c r="W5018" i="1"/>
  <c r="W5017" i="1"/>
  <c r="W5016" i="1"/>
  <c r="W5015" i="1"/>
  <c r="W5014" i="1"/>
  <c r="W5011" i="1"/>
  <c r="W5008" i="1"/>
  <c r="W5006" i="1"/>
  <c r="W5003" i="1"/>
  <c r="W5002" i="1"/>
  <c r="W5001" i="1"/>
  <c r="W4993" i="1"/>
  <c r="W4992" i="1"/>
  <c r="W4991" i="1"/>
  <c r="W4990" i="1"/>
  <c r="W4989" i="1"/>
  <c r="W4987" i="1"/>
  <c r="W4985" i="1"/>
  <c r="W4984" i="1"/>
  <c r="W4983" i="1"/>
  <c r="W4982" i="1"/>
  <c r="W4980" i="1"/>
  <c r="W4978" i="1"/>
  <c r="W4973" i="1"/>
  <c r="W4971" i="1"/>
  <c r="W4970" i="1"/>
  <c r="W4969" i="1"/>
  <c r="W4968" i="1"/>
  <c r="W4967" i="1"/>
  <c r="W4966" i="1"/>
  <c r="W4965" i="1"/>
  <c r="W4964" i="1"/>
  <c r="W4963" i="1"/>
  <c r="W4956" i="1"/>
  <c r="W4955" i="1"/>
  <c r="W4953" i="1"/>
  <c r="W4952" i="1"/>
  <c r="W4951" i="1"/>
  <c r="W4950" i="1"/>
  <c r="W4949" i="1"/>
  <c r="W4947" i="1"/>
  <c r="W4946" i="1"/>
  <c r="W4945" i="1"/>
  <c r="W4944" i="1"/>
  <c r="W4943" i="1"/>
  <c r="W4932" i="1"/>
  <c r="W4931" i="1"/>
  <c r="W4930" i="1"/>
  <c r="W4929" i="1"/>
  <c r="W4926" i="1"/>
  <c r="W4925" i="1"/>
  <c r="W4924" i="1"/>
  <c r="W4923" i="1"/>
  <c r="W4922" i="1"/>
  <c r="W4919" i="1"/>
  <c r="W4918" i="1"/>
  <c r="W4917" i="1"/>
  <c r="W4916" i="1"/>
  <c r="W4915" i="1"/>
  <c r="W4913" i="1"/>
  <c r="W4912" i="1"/>
  <c r="W4911" i="1"/>
  <c r="W4910" i="1"/>
  <c r="W4904" i="1"/>
  <c r="W4903" i="1"/>
  <c r="W4901" i="1"/>
  <c r="W4884" i="1"/>
  <c r="W4883" i="1"/>
  <c r="W4882" i="1"/>
  <c r="W4881" i="1"/>
  <c r="W4880" i="1"/>
  <c r="W4879" i="1"/>
  <c r="W4878" i="1"/>
  <c r="W4877" i="1"/>
  <c r="W4875" i="1"/>
  <c r="W4874" i="1"/>
  <c r="W4873" i="1"/>
  <c r="W4872" i="1"/>
  <c r="W4871" i="1"/>
  <c r="W4870" i="1"/>
  <c r="W4869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8" i="1"/>
  <c r="W4827" i="1"/>
  <c r="W4826" i="1"/>
  <c r="W4823" i="1"/>
  <c r="W4822" i="1"/>
  <c r="W4821" i="1"/>
  <c r="W4820" i="1"/>
  <c r="W4819" i="1"/>
  <c r="W4812" i="1"/>
  <c r="W4811" i="1"/>
  <c r="W4807" i="1"/>
  <c r="W4805" i="1"/>
  <c r="W4804" i="1"/>
  <c r="W4797" i="1"/>
  <c r="W4796" i="1"/>
  <c r="W4792" i="1"/>
  <c r="W4791" i="1"/>
  <c r="W4788" i="1"/>
  <c r="W4787" i="1"/>
  <c r="W4786" i="1"/>
  <c r="W4783" i="1"/>
  <c r="W4782" i="1"/>
  <c r="W4781" i="1"/>
  <c r="W4780" i="1"/>
  <c r="W4779" i="1"/>
  <c r="W4778" i="1"/>
  <c r="W4774" i="1"/>
  <c r="W4773" i="1"/>
  <c r="W4770" i="1"/>
  <c r="W4768" i="1"/>
  <c r="W4764" i="1"/>
  <c r="W4761" i="1"/>
  <c r="W4759" i="1"/>
  <c r="W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29" i="1"/>
  <c r="W4728" i="1"/>
  <c r="W4727" i="1"/>
  <c r="W4726" i="1"/>
  <c r="W4724" i="1"/>
  <c r="W4723" i="1"/>
  <c r="W4722" i="1"/>
  <c r="W4721" i="1"/>
  <c r="W4720" i="1"/>
  <c r="W4719" i="1"/>
  <c r="W4718" i="1"/>
  <c r="W4717" i="1"/>
  <c r="W4716" i="1"/>
  <c r="W4715" i="1"/>
  <c r="W4714" i="1"/>
  <c r="W4711" i="1"/>
  <c r="W4710" i="1"/>
  <c r="W4709" i="1"/>
  <c r="W4708" i="1"/>
  <c r="W4707" i="1"/>
  <c r="W4702" i="1"/>
  <c r="W4701" i="1"/>
  <c r="W4700" i="1"/>
  <c r="W4699" i="1"/>
  <c r="W4698" i="1"/>
  <c r="W4697" i="1"/>
  <c r="W4696" i="1"/>
  <c r="W4695" i="1"/>
  <c r="W4694" i="1"/>
  <c r="W4693" i="1"/>
  <c r="W4687" i="1"/>
  <c r="W4686" i="1"/>
  <c r="W4685" i="1"/>
  <c r="W4678" i="1"/>
  <c r="W4677" i="1"/>
  <c r="W4676" i="1"/>
  <c r="W4675" i="1"/>
  <c r="W4674" i="1"/>
  <c r="W4673" i="1"/>
  <c r="W4672" i="1"/>
  <c r="W4671" i="1"/>
  <c r="W4669" i="1"/>
  <c r="W4665" i="1"/>
  <c r="W4664" i="1"/>
  <c r="W4663" i="1"/>
  <c r="W4662" i="1"/>
  <c r="W4661" i="1"/>
  <c r="W4660" i="1"/>
  <c r="W4659" i="1"/>
  <c r="W4655" i="1"/>
  <c r="W4654" i="1"/>
  <c r="W4653" i="1"/>
  <c r="W4645" i="1"/>
  <c r="W4644" i="1"/>
  <c r="W4636" i="1"/>
  <c r="W4635" i="1"/>
  <c r="W4634" i="1"/>
  <c r="W4633" i="1"/>
  <c r="W4632" i="1"/>
  <c r="W4629" i="1"/>
  <c r="W4627" i="1"/>
  <c r="W4624" i="1"/>
  <c r="W4623" i="1"/>
  <c r="W4622" i="1"/>
  <c r="W4621" i="1"/>
  <c r="W4619" i="1"/>
  <c r="W4617" i="1"/>
  <c r="W4616" i="1"/>
  <c r="W4614" i="1"/>
  <c r="W4613" i="1"/>
  <c r="W4605" i="1"/>
  <c r="W4603" i="1"/>
  <c r="W4602" i="1"/>
  <c r="W4601" i="1"/>
  <c r="W4600" i="1"/>
  <c r="W4599" i="1"/>
  <c r="W4598" i="1"/>
  <c r="W4597" i="1"/>
  <c r="W4595" i="1"/>
  <c r="W4594" i="1"/>
  <c r="W4593" i="1"/>
  <c r="W4592" i="1"/>
  <c r="W4591" i="1"/>
  <c r="W4590" i="1"/>
  <c r="W4589" i="1"/>
  <c r="W4587" i="1"/>
  <c r="W4586" i="1"/>
  <c r="W4585" i="1"/>
  <c r="W4584" i="1"/>
  <c r="W4583" i="1"/>
  <c r="W4582" i="1"/>
  <c r="W4581" i="1"/>
  <c r="W4580" i="1"/>
  <c r="W4579" i="1"/>
  <c r="W4578" i="1"/>
  <c r="W4577" i="1"/>
  <c r="W4576" i="1"/>
  <c r="W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3" i="1"/>
  <c r="W4392" i="1"/>
  <c r="W4390" i="1"/>
  <c r="W4389" i="1"/>
  <c r="W4388" i="1"/>
  <c r="W4387" i="1"/>
  <c r="W4386" i="1"/>
  <c r="W4385" i="1"/>
  <c r="W4382" i="1"/>
  <c r="W4380" i="1"/>
  <c r="W4379" i="1"/>
  <c r="W4378" i="1"/>
  <c r="W4367" i="1"/>
  <c r="W4366" i="1"/>
  <c r="W4364" i="1"/>
  <c r="W4363" i="1"/>
  <c r="W4362" i="1"/>
  <c r="W4333" i="1"/>
  <c r="W4332" i="1"/>
  <c r="W4331" i="1"/>
  <c r="W4330" i="1"/>
  <c r="W4329" i="1"/>
  <c r="W4320" i="1"/>
  <c r="W4319" i="1"/>
  <c r="W4318" i="1"/>
  <c r="W4315" i="1"/>
  <c r="W4312" i="1"/>
  <c r="W4310" i="1"/>
  <c r="W4309" i="1"/>
  <c r="W4308" i="1"/>
  <c r="W4307" i="1"/>
  <c r="W4306" i="1"/>
  <c r="W4304" i="1"/>
  <c r="W4303" i="1"/>
  <c r="W4302" i="1"/>
  <c r="W4296" i="1"/>
  <c r="W4295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68" i="1"/>
  <c r="W4267" i="1"/>
  <c r="W4266" i="1"/>
  <c r="W4265" i="1"/>
  <c r="W4264" i="1"/>
  <c r="W4262" i="1"/>
  <c r="W4261" i="1"/>
  <c r="W4260" i="1"/>
  <c r="W4259" i="1"/>
  <c r="W4258" i="1"/>
  <c r="W4257" i="1"/>
  <c r="W4256" i="1"/>
  <c r="W4255" i="1"/>
  <c r="W4254" i="1"/>
  <c r="W4253" i="1"/>
  <c r="W4252" i="1"/>
  <c r="W4249" i="1"/>
  <c r="W4248" i="1"/>
  <c r="W4245" i="1"/>
  <c r="W4244" i="1"/>
  <c r="W4243" i="1"/>
  <c r="W4233" i="1"/>
  <c r="W4232" i="1"/>
  <c r="W4228" i="1"/>
  <c r="W4222" i="1"/>
  <c r="W4221" i="1"/>
  <c r="W4220" i="1"/>
  <c r="W4219" i="1"/>
  <c r="W4216" i="1"/>
  <c r="W4212" i="1"/>
  <c r="W4210" i="1"/>
  <c r="W4205" i="1"/>
  <c r="W4203" i="1"/>
  <c r="W4202" i="1"/>
  <c r="W4198" i="1"/>
  <c r="W4197" i="1"/>
  <c r="W4196" i="1"/>
  <c r="W4187" i="1"/>
  <c r="W4186" i="1"/>
  <c r="W4185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5" i="1"/>
  <c r="W4154" i="1"/>
  <c r="W4153" i="1"/>
  <c r="W4145" i="1"/>
  <c r="W4144" i="1"/>
  <c r="W4143" i="1"/>
  <c r="W4140" i="1"/>
  <c r="W4139" i="1"/>
  <c r="W4138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19" i="1"/>
  <c r="W4118" i="1"/>
  <c r="W4117" i="1"/>
  <c r="W4111" i="1"/>
  <c r="W4110" i="1"/>
  <c r="W4106" i="1"/>
  <c r="W4105" i="1"/>
  <c r="W4104" i="1"/>
  <c r="W4103" i="1"/>
  <c r="W4102" i="1"/>
  <c r="W4101" i="1"/>
  <c r="W4100" i="1"/>
  <c r="W4097" i="1"/>
  <c r="W4094" i="1"/>
  <c r="W4092" i="1"/>
  <c r="W4091" i="1"/>
  <c r="W4090" i="1"/>
  <c r="W4089" i="1"/>
  <c r="W4088" i="1"/>
  <c r="W4086" i="1"/>
  <c r="W4085" i="1"/>
  <c r="W4084" i="1"/>
  <c r="W4082" i="1"/>
  <c r="W4081" i="1"/>
  <c r="W4080" i="1"/>
  <c r="W4079" i="1"/>
  <c r="W4078" i="1"/>
  <c r="W4077" i="1"/>
  <c r="W4072" i="1"/>
  <c r="W4070" i="1"/>
  <c r="W4068" i="1"/>
  <c r="W4067" i="1"/>
  <c r="W4065" i="1"/>
  <c r="W4063" i="1"/>
  <c r="W4061" i="1"/>
  <c r="W4054" i="1"/>
  <c r="W4047" i="1"/>
  <c r="W4046" i="1"/>
  <c r="W4045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00" i="1"/>
  <c r="W3999" i="1"/>
  <c r="W3986" i="1"/>
  <c r="W3985" i="1"/>
  <c r="W3984" i="1"/>
  <c r="W3983" i="1"/>
  <c r="W3982" i="1"/>
  <c r="W3981" i="1"/>
  <c r="W3980" i="1"/>
  <c r="W3979" i="1"/>
  <c r="W3978" i="1"/>
  <c r="W3976" i="1"/>
  <c r="W3971" i="1"/>
  <c r="W3970" i="1"/>
  <c r="W3968" i="1"/>
  <c r="W3967" i="1"/>
  <c r="W3965" i="1"/>
  <c r="W3964" i="1"/>
  <c r="W3963" i="1"/>
  <c r="W3959" i="1"/>
  <c r="W3957" i="1"/>
  <c r="W3955" i="1"/>
  <c r="W3951" i="1"/>
  <c r="W3950" i="1"/>
  <c r="W3949" i="1"/>
  <c r="W3941" i="1"/>
  <c r="W3940" i="1"/>
  <c r="W3939" i="1"/>
  <c r="W3938" i="1"/>
  <c r="W3937" i="1"/>
  <c r="W3935" i="1"/>
  <c r="W3934" i="1"/>
  <c r="W3933" i="1"/>
  <c r="W3932" i="1"/>
  <c r="W3929" i="1"/>
  <c r="W3926" i="1"/>
  <c r="W3922" i="1"/>
  <c r="W3921" i="1"/>
  <c r="W3920" i="1"/>
  <c r="W3919" i="1"/>
  <c r="W3918" i="1"/>
  <c r="W3915" i="1"/>
  <c r="W3912" i="1"/>
  <c r="W3911" i="1"/>
  <c r="W3910" i="1"/>
  <c r="W3904" i="1"/>
  <c r="W3903" i="1"/>
  <c r="W3902" i="1"/>
  <c r="W3901" i="1"/>
  <c r="W3900" i="1"/>
  <c r="W3891" i="1"/>
  <c r="W3886" i="1"/>
  <c r="W3885" i="1"/>
  <c r="W3884" i="1"/>
  <c r="W3878" i="1"/>
  <c r="W3877" i="1"/>
  <c r="W3874" i="1"/>
  <c r="W3873" i="1"/>
  <c r="W3872" i="1"/>
  <c r="W3864" i="1"/>
  <c r="W3863" i="1"/>
  <c r="W3862" i="1"/>
  <c r="W3861" i="1"/>
  <c r="W3860" i="1"/>
  <c r="W3859" i="1"/>
  <c r="W3858" i="1"/>
  <c r="W3857" i="1"/>
  <c r="W3855" i="1"/>
  <c r="W3853" i="1"/>
  <c r="W3851" i="1"/>
  <c r="W3850" i="1"/>
  <c r="W3849" i="1"/>
  <c r="W3848" i="1"/>
  <c r="W3847" i="1"/>
  <c r="W3844" i="1"/>
  <c r="W3843" i="1"/>
  <c r="W3841" i="1"/>
  <c r="W3839" i="1"/>
  <c r="W3838" i="1"/>
  <c r="W3837" i="1"/>
  <c r="W3836" i="1"/>
  <c r="W3835" i="1"/>
  <c r="W3833" i="1"/>
  <c r="W3832" i="1"/>
  <c r="W3831" i="1"/>
  <c r="W3830" i="1"/>
  <c r="W3829" i="1"/>
  <c r="W3827" i="1"/>
  <c r="W3826" i="1"/>
  <c r="W3825" i="1"/>
  <c r="W3814" i="1"/>
  <c r="W3813" i="1"/>
  <c r="W3805" i="1"/>
  <c r="W3795" i="1"/>
  <c r="W3794" i="1"/>
  <c r="W3793" i="1"/>
  <c r="W3790" i="1"/>
  <c r="W3789" i="1"/>
  <c r="W3788" i="1"/>
  <c r="W3782" i="1"/>
  <c r="W3781" i="1"/>
  <c r="W3779" i="1"/>
  <c r="W3776" i="1"/>
  <c r="W3773" i="1"/>
  <c r="W3772" i="1"/>
  <c r="W3771" i="1"/>
  <c r="W3755" i="1"/>
  <c r="W3754" i="1"/>
  <c r="W3753" i="1"/>
  <c r="W3748" i="1"/>
  <c r="W3746" i="1"/>
  <c r="W3745" i="1"/>
  <c r="W3742" i="1"/>
  <c r="W3737" i="1"/>
  <c r="W3736" i="1"/>
  <c r="W3735" i="1"/>
  <c r="W3734" i="1"/>
  <c r="W3733" i="1"/>
  <c r="W3732" i="1"/>
  <c r="W3724" i="1"/>
  <c r="W3723" i="1"/>
  <c r="W3722" i="1"/>
  <c r="W3721" i="1"/>
  <c r="W3720" i="1"/>
  <c r="W3719" i="1"/>
  <c r="W3714" i="1"/>
  <c r="W3713" i="1"/>
  <c r="W3712" i="1"/>
  <c r="W3706" i="1"/>
  <c r="W3705" i="1"/>
  <c r="W3702" i="1"/>
  <c r="W3696" i="1"/>
  <c r="W3695" i="1"/>
  <c r="W3689" i="1"/>
  <c r="W3688" i="1"/>
  <c r="W3686" i="1"/>
  <c r="W3685" i="1"/>
  <c r="W3684" i="1"/>
  <c r="W3677" i="1"/>
  <c r="W3676" i="1"/>
  <c r="W3674" i="1"/>
  <c r="W3673" i="1"/>
  <c r="W3672" i="1"/>
  <c r="W3671" i="1"/>
  <c r="W3670" i="1"/>
  <c r="W3669" i="1"/>
  <c r="W3667" i="1"/>
  <c r="W3663" i="1"/>
  <c r="W3662" i="1"/>
  <c r="W3661" i="1"/>
  <c r="W3655" i="1"/>
  <c r="W3654" i="1"/>
  <c r="W3653" i="1"/>
  <c r="W3648" i="1"/>
  <c r="W3647" i="1"/>
  <c r="W3646" i="1"/>
  <c r="W3645" i="1"/>
  <c r="W3644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2" i="1"/>
  <c r="W3511" i="1"/>
  <c r="W3510" i="1"/>
  <c r="W3509" i="1"/>
  <c r="W3508" i="1"/>
  <c r="W3507" i="1"/>
  <c r="W3506" i="1"/>
  <c r="W3505" i="1"/>
  <c r="W3504" i="1"/>
  <c r="W3503" i="1"/>
  <c r="W3502" i="1"/>
  <c r="W3499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6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395" i="1"/>
  <c r="W3394" i="1"/>
  <c r="W3393" i="1"/>
  <c r="W3391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7" i="1"/>
  <c r="W2706" i="1"/>
  <c r="W2705" i="1"/>
  <c r="W2704" i="1"/>
  <c r="W2703" i="1"/>
  <c r="W2702" i="1"/>
  <c r="W2700" i="1"/>
  <c r="W2698" i="1"/>
  <c r="W2697" i="1"/>
  <c r="W2696" i="1"/>
  <c r="W2695" i="1"/>
  <c r="W2694" i="1"/>
  <c r="W2692" i="1"/>
  <c r="W2690" i="1"/>
  <c r="W2685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3" i="1"/>
  <c r="W2592" i="1"/>
  <c r="W2591" i="1"/>
  <c r="W2590" i="1"/>
  <c r="W2589" i="1"/>
  <c r="W2588" i="1"/>
  <c r="W2587" i="1"/>
  <c r="W2586" i="1"/>
  <c r="W2585" i="1"/>
  <c r="W2584" i="1"/>
  <c r="W2583" i="1"/>
  <c r="W2582" i="1"/>
  <c r="W2581" i="1"/>
  <c r="W2580" i="1"/>
  <c r="W2579" i="1"/>
  <c r="W2578" i="1"/>
  <c r="W2577" i="1"/>
  <c r="W2576" i="1"/>
  <c r="W2575" i="1"/>
  <c r="W2574" i="1"/>
  <c r="W2573" i="1"/>
  <c r="W2572" i="1"/>
  <c r="W2571" i="1"/>
  <c r="W2570" i="1"/>
  <c r="W2569" i="1"/>
  <c r="W2568" i="1"/>
  <c r="W2567" i="1"/>
  <c r="W2566" i="1"/>
  <c r="W2565" i="1"/>
  <c r="W2564" i="1"/>
  <c r="W2563" i="1"/>
  <c r="W2562" i="1"/>
  <c r="W2561" i="1"/>
  <c r="W2560" i="1"/>
  <c r="W2559" i="1"/>
  <c r="W2558" i="1"/>
  <c r="W2557" i="1"/>
  <c r="W2556" i="1"/>
  <c r="W2555" i="1"/>
  <c r="W2554" i="1"/>
  <c r="W2553" i="1"/>
  <c r="W2552" i="1"/>
  <c r="W2551" i="1"/>
  <c r="W2550" i="1"/>
  <c r="W2549" i="1"/>
  <c r="W2548" i="1"/>
  <c r="W2547" i="1"/>
  <c r="W2546" i="1"/>
  <c r="W2545" i="1"/>
  <c r="W2544" i="1"/>
  <c r="W2543" i="1"/>
  <c r="W2542" i="1"/>
  <c r="W2541" i="1"/>
  <c r="W2540" i="1"/>
  <c r="W2539" i="1"/>
  <c r="W2538" i="1"/>
  <c r="W2537" i="1"/>
  <c r="W2536" i="1"/>
  <c r="W2535" i="1"/>
  <c r="W2534" i="1"/>
  <c r="W2533" i="1"/>
  <c r="W2532" i="1"/>
  <c r="W2531" i="1"/>
  <c r="W2530" i="1"/>
  <c r="W2529" i="1"/>
  <c r="W2528" i="1"/>
  <c r="W2527" i="1"/>
  <c r="W2526" i="1"/>
  <c r="W2525" i="1"/>
  <c r="W2524" i="1"/>
  <c r="W2523" i="1"/>
  <c r="W2522" i="1"/>
  <c r="W2521" i="1"/>
  <c r="W2520" i="1"/>
  <c r="W2519" i="1"/>
  <c r="W2518" i="1"/>
  <c r="W2517" i="1"/>
  <c r="W2516" i="1"/>
  <c r="W2515" i="1"/>
  <c r="W2514" i="1"/>
  <c r="W2513" i="1"/>
  <c r="W2512" i="1"/>
  <c r="W2511" i="1"/>
  <c r="W2510" i="1"/>
  <c r="W2509" i="1"/>
  <c r="W2508" i="1"/>
  <c r="W2507" i="1"/>
  <c r="W2506" i="1"/>
  <c r="W2505" i="1"/>
  <c r="W2504" i="1"/>
  <c r="W2503" i="1"/>
  <c r="W2502" i="1"/>
  <c r="W2501" i="1"/>
  <c r="W2500" i="1"/>
  <c r="W2499" i="1"/>
  <c r="W2498" i="1"/>
  <c r="W2497" i="1"/>
  <c r="W2496" i="1"/>
  <c r="W2495" i="1"/>
  <c r="W2494" i="1"/>
  <c r="W2493" i="1"/>
  <c r="W2492" i="1"/>
  <c r="W2491" i="1"/>
  <c r="W2490" i="1"/>
  <c r="W2489" i="1"/>
  <c r="W2488" i="1"/>
  <c r="W2487" i="1"/>
  <c r="W2486" i="1"/>
  <c r="W2485" i="1"/>
  <c r="W2484" i="1"/>
  <c r="W2483" i="1"/>
  <c r="W2482" i="1"/>
  <c r="W2481" i="1"/>
  <c r="W2480" i="1"/>
  <c r="W2479" i="1"/>
  <c r="W2478" i="1"/>
  <c r="W2477" i="1"/>
  <c r="W2476" i="1"/>
  <c r="W2475" i="1"/>
  <c r="W2474" i="1"/>
  <c r="W2473" i="1"/>
  <c r="W2472" i="1"/>
  <c r="W2471" i="1"/>
  <c r="W2470" i="1"/>
  <c r="W2469" i="1"/>
  <c r="W2468" i="1"/>
  <c r="W2467" i="1"/>
  <c r="W2466" i="1"/>
  <c r="W2465" i="1"/>
  <c r="W2464" i="1"/>
  <c r="W2463" i="1"/>
  <c r="W2462" i="1"/>
  <c r="W2461" i="1"/>
  <c r="W2460" i="1"/>
  <c r="W2459" i="1"/>
  <c r="W2458" i="1"/>
  <c r="W2457" i="1"/>
  <c r="W2456" i="1"/>
  <c r="W2455" i="1"/>
  <c r="W2454" i="1"/>
  <c r="W2453" i="1"/>
  <c r="W2452" i="1"/>
  <c r="W2451" i="1"/>
  <c r="W2450" i="1"/>
  <c r="W2449" i="1"/>
  <c r="W2448" i="1"/>
  <c r="W2447" i="1"/>
  <c r="W2446" i="1"/>
  <c r="W2445" i="1"/>
  <c r="W2444" i="1"/>
  <c r="W2443" i="1"/>
  <c r="W2442" i="1"/>
  <c r="W2441" i="1"/>
  <c r="W2440" i="1"/>
  <c r="W2439" i="1"/>
  <c r="W2438" i="1"/>
  <c r="W2437" i="1"/>
  <c r="W2436" i="1"/>
  <c r="W2435" i="1"/>
  <c r="W2434" i="1"/>
  <c r="W2433" i="1"/>
  <c r="W2432" i="1"/>
  <c r="W2431" i="1"/>
  <c r="W2430" i="1"/>
  <c r="W2429" i="1"/>
  <c r="W2428" i="1"/>
  <c r="W2427" i="1"/>
  <c r="W2426" i="1"/>
  <c r="W2425" i="1"/>
  <c r="W2424" i="1"/>
  <c r="W2423" i="1"/>
  <c r="W2422" i="1"/>
  <c r="W2421" i="1"/>
  <c r="W2420" i="1"/>
  <c r="W2419" i="1"/>
  <c r="W2418" i="1"/>
  <c r="W2417" i="1"/>
  <c r="W2416" i="1"/>
  <c r="W2415" i="1"/>
  <c r="W2414" i="1"/>
  <c r="W2413" i="1"/>
  <c r="W2412" i="1"/>
  <c r="W2411" i="1"/>
  <c r="W2410" i="1"/>
  <c r="W2409" i="1"/>
  <c r="W2408" i="1"/>
  <c r="W2407" i="1"/>
  <c r="W2406" i="1"/>
  <c r="W2405" i="1"/>
  <c r="W2404" i="1"/>
  <c r="W2403" i="1"/>
  <c r="W2402" i="1"/>
  <c r="W2401" i="1"/>
  <c r="W2398" i="1"/>
  <c r="W2397" i="1"/>
  <c r="W2396" i="1"/>
  <c r="W2395" i="1"/>
  <c r="W2394" i="1"/>
  <c r="W2393" i="1"/>
  <c r="W2392" i="1"/>
  <c r="W2391" i="1"/>
  <c r="W2390" i="1"/>
  <c r="W2389" i="1"/>
  <c r="W2388" i="1"/>
  <c r="W2387" i="1"/>
  <c r="W2386" i="1"/>
  <c r="W2385" i="1"/>
  <c r="W2384" i="1"/>
  <c r="W2383" i="1"/>
  <c r="W2382" i="1"/>
  <c r="W2381" i="1"/>
  <c r="W2380" i="1"/>
  <c r="W2379" i="1"/>
  <c r="W2378" i="1"/>
  <c r="W2377" i="1"/>
  <c r="W2376" i="1"/>
  <c r="W2375" i="1"/>
  <c r="W2374" i="1"/>
  <c r="W2373" i="1"/>
  <c r="W2372" i="1"/>
  <c r="W2371" i="1"/>
  <c r="W2370" i="1"/>
  <c r="W2369" i="1"/>
  <c r="W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4" i="1"/>
  <c r="W2353" i="1"/>
  <c r="W2352" i="1"/>
  <c r="W2351" i="1"/>
  <c r="W2350" i="1"/>
  <c r="W2349" i="1"/>
  <c r="W2348" i="1"/>
  <c r="W2347" i="1"/>
  <c r="W2346" i="1"/>
  <c r="W2345" i="1"/>
  <c r="W2344" i="1"/>
  <c r="W2343" i="1"/>
  <c r="W2342" i="1"/>
  <c r="W2341" i="1"/>
  <c r="W2340" i="1"/>
  <c r="W2339" i="1"/>
  <c r="W2338" i="1"/>
  <c r="W2337" i="1"/>
  <c r="W2336" i="1"/>
  <c r="W2335" i="1"/>
  <c r="W2334" i="1"/>
  <c r="W2333" i="1"/>
  <c r="W2332" i="1"/>
  <c r="W2331" i="1"/>
  <c r="W2324" i="1"/>
  <c r="W2323" i="1"/>
  <c r="W2320" i="1"/>
  <c r="W2315" i="1"/>
  <c r="W2314" i="1"/>
  <c r="W2310" i="1"/>
  <c r="W2309" i="1"/>
  <c r="W2308" i="1"/>
  <c r="W2307" i="1"/>
  <c r="W2306" i="1"/>
  <c r="W2304" i="1"/>
  <c r="W2303" i="1"/>
  <c r="W2302" i="1"/>
  <c r="W2301" i="1"/>
  <c r="W2300" i="1"/>
  <c r="W2298" i="1"/>
  <c r="W2297" i="1"/>
  <c r="W2296" i="1"/>
  <c r="W2295" i="1"/>
  <c r="W2294" i="1"/>
  <c r="W2293" i="1"/>
  <c r="W2292" i="1"/>
  <c r="W2291" i="1"/>
  <c r="W2290" i="1"/>
  <c r="W2289" i="1"/>
  <c r="W2278" i="1"/>
  <c r="W2277" i="1"/>
  <c r="W2276" i="1"/>
  <c r="W2275" i="1"/>
  <c r="W2272" i="1"/>
  <c r="W2271" i="1"/>
  <c r="W2270" i="1"/>
  <c r="W2269" i="1"/>
  <c r="W2268" i="1"/>
  <c r="W2265" i="1"/>
  <c r="W2261" i="1"/>
  <c r="W2258" i="1"/>
  <c r="W2257" i="1"/>
  <c r="W2256" i="1"/>
  <c r="W2255" i="1"/>
  <c r="W2254" i="1"/>
  <c r="W2252" i="1"/>
  <c r="W2251" i="1"/>
  <c r="W2250" i="1"/>
  <c r="W2249" i="1"/>
  <c r="W2248" i="1"/>
  <c r="W2243" i="1"/>
  <c r="W2242" i="1"/>
  <c r="W2241" i="1"/>
  <c r="W2240" i="1"/>
  <c r="W2239" i="1"/>
  <c r="W2238" i="1"/>
  <c r="W2235" i="1"/>
  <c r="W2234" i="1"/>
  <c r="W2233" i="1"/>
  <c r="W2232" i="1"/>
  <c r="W2231" i="1"/>
  <c r="W2230" i="1"/>
  <c r="W2229" i="1"/>
  <c r="W2228" i="1"/>
  <c r="W2227" i="1"/>
  <c r="W2226" i="1"/>
  <c r="W2225" i="1"/>
  <c r="W2224" i="1"/>
  <c r="W2223" i="1"/>
  <c r="W2222" i="1"/>
  <c r="W2221" i="1"/>
  <c r="W2220" i="1"/>
  <c r="W2219" i="1"/>
  <c r="W2217" i="1"/>
  <c r="W2216" i="1"/>
  <c r="W2215" i="1"/>
  <c r="W2214" i="1"/>
  <c r="W2213" i="1"/>
  <c r="W2212" i="1"/>
  <c r="W2211" i="1"/>
  <c r="W2210" i="1"/>
  <c r="W2209" i="1"/>
  <c r="W2208" i="1"/>
  <c r="W2205" i="1"/>
  <c r="W2204" i="1"/>
  <c r="W2203" i="1"/>
  <c r="W2197" i="1"/>
  <c r="W2196" i="1"/>
  <c r="W2193" i="1"/>
  <c r="W2192" i="1"/>
  <c r="W2191" i="1"/>
  <c r="W2190" i="1"/>
  <c r="W2189" i="1"/>
  <c r="W2188" i="1"/>
  <c r="W2187" i="1"/>
  <c r="W2186" i="1"/>
  <c r="W2180" i="1"/>
  <c r="W2179" i="1"/>
  <c r="W2176" i="1"/>
  <c r="W2170" i="1"/>
  <c r="W2169" i="1"/>
  <c r="W2168" i="1"/>
  <c r="W2167" i="1"/>
  <c r="W2166" i="1"/>
  <c r="W2162" i="1"/>
  <c r="W2159" i="1"/>
  <c r="W2158" i="1"/>
  <c r="W2157" i="1"/>
  <c r="W2156" i="1"/>
  <c r="W2155" i="1"/>
  <c r="W2154" i="1"/>
  <c r="W2153" i="1"/>
  <c r="W2146" i="1"/>
  <c r="W2145" i="1"/>
  <c r="W2144" i="1"/>
  <c r="W2143" i="1"/>
  <c r="W2142" i="1"/>
  <c r="W2141" i="1"/>
  <c r="W2138" i="1"/>
  <c r="W2137" i="1"/>
  <c r="W2135" i="1"/>
  <c r="W2134" i="1"/>
  <c r="W2131" i="1"/>
  <c r="W2130" i="1"/>
  <c r="W2129" i="1"/>
  <c r="W2128" i="1"/>
  <c r="W2127" i="1"/>
  <c r="W2126" i="1"/>
  <c r="W2125" i="1"/>
  <c r="W2124" i="1"/>
  <c r="W2123" i="1"/>
  <c r="W2122" i="1"/>
  <c r="W2119" i="1"/>
  <c r="W2118" i="1"/>
  <c r="W2117" i="1"/>
  <c r="W2111" i="1"/>
  <c r="W2110" i="1"/>
  <c r="W2109" i="1"/>
  <c r="W2108" i="1"/>
  <c r="W2107" i="1"/>
  <c r="W2106" i="1"/>
  <c r="W2103" i="1"/>
  <c r="W2102" i="1"/>
  <c r="W2095" i="1"/>
  <c r="W2089" i="1"/>
  <c r="W2088" i="1"/>
  <c r="W2087" i="1"/>
  <c r="W2075" i="1"/>
  <c r="W2074" i="1"/>
  <c r="W2073" i="1"/>
  <c r="W2070" i="1"/>
  <c r="W2069" i="1"/>
  <c r="W2068" i="1"/>
  <c r="W2034" i="1"/>
  <c r="W2033" i="1"/>
  <c r="W2029" i="1"/>
  <c r="W2027" i="1"/>
  <c r="W2026" i="1"/>
  <c r="W2025" i="1"/>
  <c r="W2024" i="1"/>
  <c r="W2023" i="1"/>
  <c r="W2021" i="1"/>
  <c r="W2019" i="1"/>
  <c r="W2015" i="1"/>
  <c r="W2014" i="1"/>
  <c r="W2013" i="1"/>
  <c r="W2012" i="1"/>
  <c r="W2011" i="1"/>
  <c r="W2007" i="1"/>
  <c r="W2006" i="1"/>
  <c r="W2005" i="1"/>
  <c r="W2004" i="1"/>
  <c r="W2002" i="1"/>
  <c r="W2001" i="1"/>
  <c r="W2000" i="1"/>
  <c r="W1989" i="1"/>
  <c r="W1988" i="1"/>
  <c r="W1987" i="1"/>
  <c r="W1986" i="1"/>
  <c r="W1985" i="1"/>
  <c r="W1979" i="1"/>
  <c r="W1978" i="1"/>
  <c r="W1977" i="1"/>
  <c r="W1972" i="1"/>
  <c r="W1969" i="1"/>
  <c r="W1968" i="1"/>
  <c r="W1967" i="1"/>
  <c r="W1966" i="1"/>
  <c r="W1965" i="1"/>
  <c r="W1964" i="1"/>
  <c r="W1963" i="1"/>
  <c r="W1962" i="1"/>
  <c r="W1956" i="1"/>
  <c r="W1955" i="1"/>
  <c r="W1953" i="1"/>
  <c r="W1948" i="1"/>
  <c r="W1945" i="1"/>
  <c r="W1943" i="1"/>
  <c r="W1937" i="1"/>
  <c r="W1932" i="1"/>
  <c r="W1929" i="1"/>
  <c r="W1928" i="1"/>
  <c r="W1925" i="1"/>
  <c r="W1923" i="1"/>
  <c r="W1920" i="1"/>
  <c r="W1919" i="1"/>
  <c r="W1918" i="1"/>
  <c r="W1917" i="1"/>
  <c r="W1916" i="1"/>
  <c r="W1915" i="1"/>
  <c r="W1914" i="1"/>
  <c r="W1913" i="1"/>
  <c r="W1896" i="1"/>
  <c r="W1895" i="1"/>
  <c r="W1894" i="1"/>
  <c r="W1893" i="1"/>
  <c r="W1892" i="1"/>
  <c r="W1891" i="1"/>
  <c r="W1890" i="1"/>
  <c r="W1889" i="1"/>
  <c r="W1888" i="1"/>
  <c r="W1882" i="1"/>
  <c r="W1881" i="1"/>
  <c r="W1879" i="1"/>
  <c r="W1877" i="1"/>
  <c r="W1876" i="1"/>
  <c r="W1875" i="1"/>
  <c r="W1874" i="1"/>
  <c r="W1873" i="1"/>
  <c r="W1870" i="1"/>
  <c r="W1867" i="1"/>
  <c r="W1866" i="1"/>
  <c r="W1863" i="1"/>
  <c r="W1860" i="1"/>
  <c r="W1857" i="1"/>
  <c r="W1856" i="1"/>
  <c r="W1855" i="1"/>
  <c r="W1854" i="1"/>
  <c r="W1853" i="1"/>
  <c r="W1842" i="1"/>
  <c r="W1841" i="1"/>
  <c r="W184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5" i="1"/>
  <c r="W1814" i="1"/>
  <c r="W1813" i="1"/>
  <c r="W1805" i="1"/>
  <c r="W1804" i="1"/>
  <c r="W1803" i="1"/>
  <c r="W1799" i="1"/>
  <c r="W1797" i="1"/>
  <c r="W1796" i="1"/>
  <c r="W1795" i="1"/>
  <c r="W1794" i="1"/>
  <c r="W1793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69" i="1"/>
  <c r="W1768" i="1"/>
  <c r="W1765" i="1"/>
  <c r="W1764" i="1"/>
  <c r="W1762" i="1"/>
  <c r="W1755" i="1"/>
  <c r="W1752" i="1"/>
  <c r="W1751" i="1"/>
  <c r="W1750" i="1"/>
  <c r="W1743" i="1"/>
  <c r="W1742" i="1"/>
  <c r="W1741" i="1"/>
  <c r="W1740" i="1"/>
  <c r="W1739" i="1"/>
  <c r="W1735" i="1"/>
  <c r="W1734" i="1"/>
  <c r="W1733" i="1"/>
  <c r="W1726" i="1"/>
  <c r="W1725" i="1"/>
  <c r="W1724" i="1"/>
  <c r="W1722" i="1"/>
  <c r="W1720" i="1"/>
  <c r="W1719" i="1"/>
  <c r="W1718" i="1"/>
  <c r="W1717" i="1"/>
  <c r="W1716" i="1"/>
  <c r="W1715" i="1"/>
  <c r="W1714" i="1"/>
  <c r="W1713" i="1"/>
  <c r="W1706" i="1"/>
  <c r="W1705" i="1"/>
  <c r="W1704" i="1"/>
  <c r="W1703" i="1"/>
  <c r="W1701" i="1"/>
  <c r="W1700" i="1"/>
  <c r="W1699" i="1"/>
  <c r="W1698" i="1"/>
  <c r="W1697" i="1"/>
  <c r="W1694" i="1"/>
  <c r="W1692" i="1"/>
  <c r="W1691" i="1"/>
  <c r="W1685" i="1"/>
  <c r="W1684" i="1"/>
  <c r="W1680" i="1"/>
  <c r="W1679" i="1"/>
  <c r="W1678" i="1"/>
  <c r="W1671" i="1"/>
  <c r="W1670" i="1"/>
  <c r="W1667" i="1"/>
  <c r="W1665" i="1"/>
  <c r="W1664" i="1"/>
  <c r="W1663" i="1"/>
  <c r="W1662" i="1"/>
  <c r="W1661" i="1"/>
  <c r="W1660" i="1"/>
  <c r="W1659" i="1"/>
  <c r="W1654" i="1"/>
  <c r="W1651" i="1"/>
  <c r="W1650" i="1"/>
  <c r="W1648" i="1"/>
  <c r="W1644" i="1"/>
  <c r="W1642" i="1"/>
  <c r="W1640" i="1"/>
  <c r="W1639" i="1"/>
  <c r="W1633" i="1"/>
  <c r="W1632" i="1"/>
  <c r="W1630" i="1"/>
  <c r="W1628" i="1"/>
  <c r="W1623" i="1"/>
  <c r="W1622" i="1"/>
  <c r="W1621" i="1"/>
  <c r="W1620" i="1"/>
  <c r="W1619" i="1"/>
  <c r="W1618" i="1"/>
  <c r="W1617" i="1"/>
  <c r="W1616" i="1"/>
  <c r="W1615" i="1"/>
  <c r="W1614" i="1"/>
  <c r="W1611" i="1"/>
  <c r="W1608" i="1"/>
  <c r="W1606" i="1"/>
  <c r="W1605" i="1"/>
  <c r="W1604" i="1"/>
  <c r="W1603" i="1"/>
  <c r="W1602" i="1"/>
  <c r="W1601" i="1"/>
  <c r="W1599" i="1"/>
  <c r="W1598" i="1"/>
  <c r="W1597" i="1"/>
  <c r="W1596" i="1"/>
  <c r="W1582" i="1"/>
  <c r="W1581" i="1"/>
  <c r="W1580" i="1"/>
  <c r="W1579" i="1"/>
  <c r="W1578" i="1"/>
  <c r="W1577" i="1"/>
  <c r="W1576" i="1"/>
  <c r="W1573" i="1"/>
  <c r="W1572" i="1"/>
  <c r="W1571" i="1"/>
  <c r="W1541" i="1"/>
  <c r="W1540" i="1"/>
  <c r="W1538" i="1"/>
  <c r="W1537" i="1"/>
  <c r="W1532" i="1"/>
  <c r="W1531" i="1"/>
  <c r="W1530" i="1"/>
  <c r="W1529" i="1"/>
  <c r="W1528" i="1"/>
  <c r="W1526" i="1"/>
  <c r="W1525" i="1"/>
  <c r="W1524" i="1"/>
  <c r="W1523" i="1"/>
  <c r="W1522" i="1"/>
  <c r="W1521" i="1"/>
  <c r="W1520" i="1"/>
  <c r="W1519" i="1"/>
  <c r="W1511" i="1"/>
  <c r="W1510" i="1"/>
  <c r="W1509" i="1"/>
  <c r="W1506" i="1"/>
  <c r="W1500" i="1"/>
  <c r="W1499" i="1"/>
  <c r="W1498" i="1"/>
  <c r="W1497" i="1"/>
  <c r="W1496" i="1"/>
  <c r="W1489" i="1"/>
  <c r="W1488" i="1"/>
  <c r="W1487" i="1"/>
  <c r="W1486" i="1"/>
  <c r="W1485" i="1"/>
  <c r="W1460" i="1"/>
  <c r="W1459" i="1"/>
  <c r="W1454" i="1"/>
  <c r="W1453" i="1"/>
  <c r="W1452" i="1"/>
  <c r="W1451" i="1"/>
  <c r="W1450" i="1"/>
  <c r="W1449" i="1"/>
  <c r="W1448" i="1"/>
  <c r="W1447" i="1"/>
  <c r="W1438" i="1"/>
  <c r="W1437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0" i="1"/>
  <c r="W1419" i="1"/>
  <c r="W1418" i="1"/>
  <c r="W1405" i="1"/>
  <c r="W1404" i="1"/>
  <c r="W1402" i="1"/>
  <c r="W1401" i="1"/>
  <c r="W1400" i="1"/>
  <c r="W1399" i="1"/>
  <c r="W1398" i="1"/>
  <c r="W1396" i="1"/>
  <c r="W1395" i="1"/>
  <c r="W1390" i="1"/>
  <c r="W1389" i="1"/>
  <c r="W1386" i="1"/>
  <c r="W1385" i="1"/>
  <c r="W1384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0" i="1"/>
  <c r="W1359" i="1"/>
  <c r="W1358" i="1"/>
  <c r="W1351" i="1"/>
  <c r="W1350" i="1"/>
  <c r="W1349" i="1"/>
  <c r="W1344" i="1"/>
  <c r="W1343" i="1"/>
  <c r="W1341" i="1"/>
  <c r="W1340" i="1"/>
  <c r="W1339" i="1"/>
  <c r="W1338" i="1"/>
  <c r="W1337" i="1"/>
  <c r="W1331" i="1"/>
  <c r="W1330" i="1"/>
  <c r="W1329" i="1"/>
  <c r="W1328" i="1"/>
  <c r="W1327" i="1"/>
  <c r="W1325" i="1"/>
  <c r="W1323" i="1"/>
  <c r="W1322" i="1"/>
  <c r="W1317" i="1"/>
  <c r="W1314" i="1"/>
  <c r="W1313" i="1"/>
  <c r="W1312" i="1"/>
  <c r="W1304" i="1"/>
  <c r="W1303" i="1"/>
  <c r="W1302" i="1"/>
  <c r="W1299" i="1"/>
  <c r="W1296" i="1"/>
  <c r="W1295" i="1"/>
  <c r="W1294" i="1"/>
  <c r="W1293" i="1"/>
  <c r="W1292" i="1"/>
  <c r="W1291" i="1"/>
  <c r="W1289" i="1"/>
  <c r="W1288" i="1"/>
  <c r="W1287" i="1"/>
  <c r="W1286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6" i="1"/>
  <c r="W1235" i="1"/>
  <c r="W1234" i="1"/>
  <c r="W1233" i="1"/>
  <c r="W1232" i="1"/>
  <c r="W1231" i="1"/>
  <c r="W1230" i="1"/>
  <c r="W1229" i="1"/>
  <c r="W1228" i="1"/>
  <c r="W1227" i="1"/>
  <c r="W1223" i="1"/>
  <c r="W1222" i="1"/>
  <c r="W1221" i="1"/>
  <c r="W1215" i="1"/>
  <c r="W1214" i="1"/>
  <c r="W1212" i="1"/>
  <c r="W1211" i="1"/>
  <c r="W1210" i="1"/>
  <c r="W1204" i="1"/>
  <c r="W1203" i="1"/>
  <c r="W1202" i="1"/>
  <c r="W1201" i="1"/>
  <c r="W1200" i="1"/>
  <c r="W1172" i="1"/>
  <c r="W1171" i="1"/>
  <c r="W1168" i="1"/>
  <c r="W1167" i="1"/>
  <c r="W1166" i="1"/>
  <c r="W1165" i="1"/>
  <c r="W1164" i="1"/>
  <c r="W1163" i="1"/>
  <c r="W1162" i="1"/>
  <c r="W1161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83" i="1"/>
  <c r="W982" i="1"/>
  <c r="W981" i="1"/>
  <c r="W980" i="1"/>
  <c r="W979" i="1"/>
  <c r="W993" i="1"/>
  <c r="W992" i="1"/>
  <c r="W991" i="1"/>
  <c r="W990" i="1"/>
  <c r="W989" i="1"/>
  <c r="W978" i="1"/>
  <c r="W977" i="1"/>
  <c r="W976" i="1"/>
  <c r="W975" i="1"/>
  <c r="W974" i="1"/>
  <c r="W973" i="1"/>
  <c r="W972" i="1"/>
  <c r="W970" i="1"/>
  <c r="W969" i="1"/>
  <c r="W968" i="1"/>
  <c r="W960" i="1"/>
  <c r="W959" i="1"/>
  <c r="W958" i="1"/>
  <c r="W956" i="1"/>
  <c r="W955" i="1"/>
  <c r="W954" i="1"/>
  <c r="W953" i="1"/>
  <c r="W914" i="1"/>
  <c r="W913" i="1"/>
  <c r="W912" i="1"/>
  <c r="W910" i="1"/>
  <c r="W906" i="1"/>
  <c r="W905" i="1"/>
  <c r="W904" i="1"/>
  <c r="W898" i="1"/>
  <c r="W897" i="1"/>
  <c r="W896" i="1"/>
  <c r="W895" i="1"/>
  <c r="W892" i="1"/>
  <c r="W891" i="1"/>
  <c r="W890" i="1"/>
  <c r="W873" i="1"/>
  <c r="W872" i="1"/>
  <c r="W871" i="1"/>
  <c r="W870" i="1"/>
  <c r="W869" i="1"/>
  <c r="W864" i="1"/>
  <c r="W863" i="1"/>
  <c r="W862" i="1"/>
  <c r="W861" i="1"/>
  <c r="W860" i="1"/>
  <c r="W857" i="1"/>
  <c r="W854" i="1"/>
  <c r="W852" i="1"/>
  <c r="W849" i="1"/>
  <c r="W843" i="1"/>
  <c r="W842" i="1"/>
  <c r="W841" i="1"/>
  <c r="W840" i="1"/>
  <c r="W839" i="1"/>
  <c r="W838" i="1"/>
  <c r="W837" i="1"/>
  <c r="W836" i="1"/>
  <c r="W835" i="1"/>
  <c r="W834" i="1"/>
  <c r="W833" i="1"/>
  <c r="W828" i="1"/>
  <c r="W827" i="1"/>
  <c r="W826" i="1"/>
  <c r="W825" i="1"/>
  <c r="W824" i="1"/>
  <c r="W822" i="1"/>
  <c r="W821" i="1"/>
  <c r="W820" i="1"/>
  <c r="W819" i="1"/>
  <c r="W818" i="1"/>
  <c r="W814" i="1"/>
  <c r="W811" i="1"/>
  <c r="W808" i="1"/>
  <c r="W803" i="1"/>
  <c r="W798" i="1"/>
  <c r="W797" i="1"/>
  <c r="W796" i="1"/>
  <c r="W795" i="1"/>
  <c r="W794" i="1"/>
  <c r="W792" i="1"/>
  <c r="W791" i="1"/>
  <c r="W790" i="1"/>
  <c r="W782" i="1"/>
  <c r="W781" i="1"/>
  <c r="W778" i="1"/>
  <c r="W775" i="1"/>
  <c r="W774" i="1"/>
  <c r="W772" i="1"/>
  <c r="W771" i="1"/>
  <c r="W765" i="1"/>
  <c r="W764" i="1"/>
  <c r="W763" i="1"/>
  <c r="W762" i="1"/>
  <c r="W759" i="1"/>
  <c r="W756" i="1"/>
  <c r="W754" i="1"/>
  <c r="W753" i="1"/>
  <c r="W752" i="1"/>
  <c r="W751" i="1"/>
  <c r="W750" i="1"/>
  <c r="W749" i="1"/>
  <c r="W746" i="1"/>
  <c r="W744" i="1"/>
  <c r="W742" i="1"/>
  <c r="W740" i="1"/>
  <c r="W739" i="1"/>
  <c r="W738" i="1"/>
  <c r="W737" i="1"/>
  <c r="W736" i="1"/>
  <c r="W735" i="1"/>
  <c r="W734" i="1"/>
  <c r="W733" i="1"/>
  <c r="W725" i="1"/>
  <c r="W724" i="1"/>
  <c r="W723" i="1"/>
  <c r="W720" i="1"/>
  <c r="W719" i="1"/>
  <c r="W717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7" i="1"/>
  <c r="W686" i="1"/>
  <c r="W685" i="1"/>
  <c r="W684" i="1"/>
  <c r="W683" i="1"/>
  <c r="W682" i="1"/>
  <c r="W679" i="1"/>
  <c r="W678" i="1"/>
  <c r="W677" i="1"/>
  <c r="W676" i="1"/>
  <c r="W675" i="1"/>
  <c r="W674" i="1"/>
  <c r="W665" i="1"/>
  <c r="W654" i="1"/>
  <c r="W653" i="1"/>
  <c r="W652" i="1"/>
  <c r="W646" i="1"/>
  <c r="W645" i="1"/>
  <c r="W644" i="1"/>
  <c r="W643" i="1"/>
  <c r="W642" i="1"/>
  <c r="W641" i="1"/>
  <c r="W640" i="1"/>
  <c r="W639" i="1"/>
  <c r="W638" i="1"/>
  <c r="W637" i="1"/>
  <c r="W636" i="1"/>
  <c r="W630" i="1"/>
  <c r="W629" i="1"/>
  <c r="W628" i="1"/>
  <c r="W627" i="1"/>
  <c r="W626" i="1"/>
  <c r="W625" i="1"/>
  <c r="W624" i="1"/>
  <c r="W623" i="1"/>
  <c r="W618" i="1"/>
  <c r="W617" i="1"/>
  <c r="W615" i="1"/>
  <c r="W614" i="1"/>
  <c r="W613" i="1"/>
  <c r="W612" i="1"/>
  <c r="W611" i="1"/>
  <c r="W610" i="1"/>
  <c r="W609" i="1"/>
  <c r="W608" i="1"/>
  <c r="W607" i="1"/>
  <c r="W600" i="1"/>
  <c r="W599" i="1"/>
  <c r="W593" i="1"/>
  <c r="W592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5" i="1"/>
  <c r="W574" i="1"/>
  <c r="W573" i="1"/>
  <c r="W561" i="1"/>
  <c r="W560" i="1"/>
  <c r="W559" i="1"/>
  <c r="W556" i="1"/>
  <c r="W555" i="1"/>
  <c r="W554" i="1"/>
  <c r="W553" i="1"/>
  <c r="W552" i="1"/>
  <c r="W550" i="1"/>
  <c r="W546" i="1"/>
  <c r="W543" i="1"/>
  <c r="W542" i="1"/>
  <c r="W541" i="1"/>
  <c r="W540" i="1"/>
  <c r="W538" i="1"/>
  <c r="W537" i="1"/>
  <c r="W536" i="1"/>
  <c r="W500" i="1"/>
  <c r="W499" i="1"/>
  <c r="W497" i="1"/>
  <c r="W496" i="1"/>
  <c r="W494" i="1"/>
  <c r="W490" i="1"/>
  <c r="W489" i="1"/>
  <c r="W488" i="1"/>
  <c r="W487" i="1"/>
  <c r="W486" i="1"/>
  <c r="W485" i="1"/>
  <c r="W484" i="1"/>
  <c r="W483" i="1"/>
  <c r="W482" i="1"/>
  <c r="W481" i="1"/>
  <c r="W480" i="1"/>
  <c r="W477" i="1"/>
  <c r="W476" i="1"/>
  <c r="W475" i="1"/>
  <c r="W474" i="1"/>
  <c r="W473" i="1"/>
  <c r="W472" i="1"/>
  <c r="W469" i="1"/>
  <c r="W468" i="1"/>
  <c r="W467" i="1"/>
  <c r="W466" i="1"/>
  <c r="W465" i="1"/>
  <c r="W459" i="1"/>
  <c r="W458" i="1"/>
  <c r="W457" i="1"/>
  <c r="W451" i="1"/>
  <c r="W450" i="1"/>
  <c r="W449" i="1"/>
  <c r="W448" i="1"/>
  <c r="W447" i="1"/>
  <c r="W441" i="1"/>
  <c r="W440" i="1"/>
  <c r="W437" i="1"/>
  <c r="W435" i="1"/>
  <c r="W434" i="1"/>
  <c r="W433" i="1"/>
  <c r="W432" i="1"/>
  <c r="W429" i="1"/>
  <c r="W428" i="1"/>
  <c r="W427" i="1"/>
  <c r="W426" i="1"/>
  <c r="W425" i="1"/>
  <c r="W424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398" i="1"/>
  <c r="W397" i="1"/>
  <c r="W396" i="1"/>
  <c r="W395" i="1"/>
  <c r="W394" i="1"/>
  <c r="W388" i="1"/>
  <c r="W387" i="1"/>
  <c r="W378" i="1"/>
  <c r="W377" i="1"/>
  <c r="W376" i="1"/>
  <c r="W375" i="1"/>
  <c r="W374" i="1"/>
  <c r="W373" i="1"/>
  <c r="W372" i="1"/>
  <c r="W369" i="1"/>
  <c r="W368" i="1"/>
  <c r="W367" i="1"/>
  <c r="W366" i="1"/>
  <c r="W364" i="1"/>
  <c r="W362" i="1"/>
  <c r="W361" i="1"/>
  <c r="W360" i="1"/>
  <c r="W359" i="1"/>
  <c r="W358" i="1"/>
  <c r="W357" i="1"/>
  <c r="W355" i="1"/>
  <c r="W349" i="1"/>
  <c r="W348" i="1"/>
  <c r="W347" i="1"/>
  <c r="W346" i="1"/>
  <c r="W345" i="1"/>
  <c r="W344" i="1"/>
  <c r="W343" i="1"/>
  <c r="W342" i="1"/>
  <c r="W336" i="1"/>
  <c r="W335" i="1"/>
  <c r="W333" i="1"/>
  <c r="W332" i="1"/>
  <c r="W331" i="1"/>
  <c r="W329" i="1"/>
  <c r="W328" i="1"/>
  <c r="W327" i="1"/>
  <c r="W325" i="1"/>
  <c r="W324" i="1"/>
  <c r="W322" i="1"/>
  <c r="W318" i="1"/>
  <c r="W317" i="1"/>
  <c r="W316" i="1"/>
  <c r="W315" i="1"/>
  <c r="W314" i="1"/>
  <c r="W313" i="1"/>
  <c r="W312" i="1"/>
  <c r="W311" i="1"/>
  <c r="W310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4" i="1"/>
  <c r="W283" i="1"/>
  <c r="W282" i="1"/>
  <c r="W281" i="1"/>
  <c r="W279" i="1"/>
  <c r="W278" i="1"/>
  <c r="W276" i="1"/>
  <c r="W275" i="1"/>
  <c r="W274" i="1"/>
  <c r="W273" i="1"/>
  <c r="W271" i="1"/>
  <c r="W270" i="1"/>
  <c r="W269" i="1"/>
  <c r="W268" i="1"/>
  <c r="W267" i="1"/>
  <c r="W266" i="1"/>
  <c r="W265" i="1"/>
  <c r="W251" i="1"/>
  <c r="W250" i="1"/>
  <c r="W249" i="1"/>
  <c r="W248" i="1"/>
  <c r="W247" i="1"/>
  <c r="W246" i="1"/>
  <c r="W245" i="1"/>
  <c r="W241" i="1"/>
  <c r="W240" i="1"/>
  <c r="W239" i="1"/>
  <c r="W238" i="1"/>
  <c r="W237" i="1"/>
  <c r="W236" i="1"/>
  <c r="W235" i="1"/>
  <c r="W234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0" i="1"/>
  <c r="W149" i="1"/>
  <c r="W148" i="1"/>
  <c r="W147" i="1"/>
  <c r="W146" i="1"/>
  <c r="W142" i="1"/>
  <c r="W141" i="1"/>
  <c r="W140" i="1"/>
  <c r="W134" i="1"/>
  <c r="W133" i="1"/>
  <c r="W131" i="1"/>
  <c r="W127" i="1"/>
  <c r="W125" i="1"/>
  <c r="W122" i="1"/>
  <c r="W121" i="1"/>
  <c r="W120" i="1"/>
  <c r="W119" i="1"/>
  <c r="W118" i="1"/>
  <c r="W116" i="1"/>
  <c r="W115" i="1"/>
  <c r="W109" i="1"/>
  <c r="W108" i="1"/>
  <c r="W107" i="1"/>
  <c r="W105" i="1"/>
  <c r="W104" i="1"/>
  <c r="W103" i="1"/>
  <c r="W102" i="1"/>
  <c r="W101" i="1"/>
  <c r="W100" i="1"/>
  <c r="W98" i="1"/>
  <c r="W93" i="1"/>
  <c r="W92" i="1"/>
  <c r="W91" i="1"/>
  <c r="W90" i="1"/>
  <c r="W89" i="1"/>
  <c r="W88" i="1"/>
  <c r="W86" i="1"/>
  <c r="W85" i="1"/>
  <c r="W84" i="1"/>
  <c r="W83" i="1"/>
  <c r="W82" i="1"/>
  <c r="W75" i="1"/>
  <c r="W74" i="1"/>
  <c r="W73" i="1"/>
  <c r="W67" i="1"/>
  <c r="W66" i="1"/>
  <c r="W62" i="1"/>
  <c r="W61" i="1"/>
  <c r="W60" i="1"/>
  <c r="W59" i="1"/>
  <c r="W58" i="1"/>
  <c r="W56" i="1"/>
  <c r="W53" i="1"/>
  <c r="W52" i="1"/>
  <c r="W51" i="1"/>
  <c r="W49" i="1"/>
  <c r="W39" i="1"/>
  <c r="W38" i="1"/>
  <c r="W33" i="1"/>
  <c r="W32" i="1"/>
  <c r="W31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U6779" i="1"/>
  <c r="U6776" i="1"/>
  <c r="U6772" i="1"/>
  <c r="U6771" i="1"/>
  <c r="U6770" i="1"/>
  <c r="U6752" i="1"/>
  <c r="U6751" i="1"/>
  <c r="U6750" i="1"/>
  <c r="U6749" i="1"/>
  <c r="U6746" i="1"/>
  <c r="U6740" i="1"/>
  <c r="U6739" i="1"/>
  <c r="U6738" i="1"/>
  <c r="U6737" i="1"/>
  <c r="U6736" i="1"/>
  <c r="U6735" i="1"/>
  <c r="U6734" i="1"/>
  <c r="U6733" i="1"/>
  <c r="U6727" i="1"/>
  <c r="U6726" i="1"/>
  <c r="U6724" i="1"/>
  <c r="U6720" i="1"/>
  <c r="U6719" i="1"/>
  <c r="U6716" i="1"/>
  <c r="U6715" i="1"/>
  <c r="U6714" i="1"/>
  <c r="U6707" i="1"/>
  <c r="U6706" i="1"/>
  <c r="U6702" i="1"/>
  <c r="U6701" i="1"/>
  <c r="U6700" i="1"/>
  <c r="U6699" i="1"/>
  <c r="U6698" i="1"/>
  <c r="U6697" i="1"/>
  <c r="U6696" i="1"/>
  <c r="U6694" i="1"/>
  <c r="U6693" i="1"/>
  <c r="U6692" i="1"/>
  <c r="U6691" i="1"/>
  <c r="U6690" i="1"/>
  <c r="U6689" i="1"/>
  <c r="U6688" i="1"/>
  <c r="U6687" i="1"/>
  <c r="U6686" i="1"/>
  <c r="U6685" i="1"/>
  <c r="U6684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7" i="1"/>
  <c r="U6666" i="1"/>
  <c r="U6665" i="1"/>
  <c r="U6658" i="1"/>
  <c r="U6657" i="1"/>
  <c r="U6656" i="1"/>
  <c r="U6655" i="1"/>
  <c r="U6653" i="1"/>
  <c r="U6652" i="1"/>
  <c r="U6651" i="1"/>
  <c r="U6637" i="1"/>
  <c r="U6636" i="1"/>
  <c r="U6635" i="1"/>
  <c r="U6634" i="1"/>
  <c r="U6633" i="1"/>
  <c r="U6632" i="1"/>
  <c r="U6631" i="1"/>
  <c r="U6630" i="1"/>
  <c r="U6628" i="1"/>
  <c r="U6627" i="1"/>
  <c r="U6626" i="1"/>
  <c r="U6620" i="1"/>
  <c r="U6619" i="1"/>
  <c r="U6618" i="1"/>
  <c r="U6615" i="1"/>
  <c r="U6612" i="1"/>
  <c r="U6611" i="1"/>
  <c r="U6610" i="1"/>
  <c r="U6603" i="1"/>
  <c r="U6602" i="1"/>
  <c r="U6601" i="1"/>
  <c r="U6600" i="1"/>
  <c r="U6599" i="1"/>
  <c r="U6585" i="1"/>
  <c r="U6584" i="1"/>
  <c r="U6574" i="1"/>
  <c r="U6573" i="1"/>
  <c r="U6572" i="1"/>
  <c r="U6571" i="1"/>
  <c r="U6570" i="1"/>
  <c r="U6564" i="1"/>
  <c r="U6563" i="1"/>
  <c r="U6562" i="1"/>
  <c r="U6561" i="1"/>
  <c r="U6560" i="1"/>
  <c r="U6557" i="1"/>
  <c r="U6556" i="1"/>
  <c r="U6555" i="1"/>
  <c r="U6554" i="1"/>
  <c r="U6553" i="1"/>
  <c r="U6549" i="1"/>
  <c r="U6548" i="1"/>
  <c r="U6547" i="1"/>
  <c r="U6546" i="1"/>
  <c r="U6545" i="1"/>
  <c r="U6544" i="1"/>
  <c r="U6540" i="1"/>
  <c r="U6539" i="1"/>
  <c r="U6538" i="1"/>
  <c r="U6537" i="1"/>
  <c r="U6536" i="1"/>
  <c r="U6532" i="1"/>
  <c r="U6531" i="1"/>
  <c r="U6530" i="1"/>
  <c r="U6529" i="1"/>
  <c r="U6528" i="1"/>
  <c r="U6527" i="1"/>
  <c r="U6526" i="1"/>
  <c r="U6525" i="1"/>
  <c r="U6524" i="1"/>
  <c r="U6523" i="1"/>
  <c r="U6519" i="1"/>
  <c r="U6518" i="1"/>
  <c r="U6517" i="1"/>
  <c r="U6516" i="1"/>
  <c r="U6515" i="1"/>
  <c r="U6514" i="1"/>
  <c r="U6513" i="1"/>
  <c r="U6512" i="1"/>
  <c r="U6511" i="1"/>
  <c r="U6510" i="1"/>
  <c r="U6509" i="1"/>
  <c r="U6505" i="1"/>
  <c r="U6504" i="1"/>
  <c r="U6503" i="1"/>
  <c r="U6502" i="1"/>
  <c r="U6501" i="1"/>
  <c r="U6496" i="1"/>
  <c r="U6495" i="1"/>
  <c r="U6494" i="1"/>
  <c r="U6493" i="1"/>
  <c r="U6492" i="1"/>
  <c r="U6491" i="1"/>
  <c r="U6490" i="1"/>
  <c r="U6489" i="1"/>
  <c r="U6488" i="1"/>
  <c r="U6478" i="1"/>
  <c r="U6477" i="1"/>
  <c r="U6476" i="1"/>
  <c r="U6454" i="1"/>
  <c r="U6453" i="1"/>
  <c r="U6452" i="1"/>
  <c r="U6446" i="1"/>
  <c r="U6445" i="1"/>
  <c r="U6444" i="1"/>
  <c r="U6443" i="1"/>
  <c r="U6442" i="1"/>
  <c r="U6441" i="1"/>
  <c r="U6440" i="1"/>
  <c r="U6439" i="1"/>
  <c r="U6428" i="1"/>
  <c r="U6427" i="1"/>
  <c r="U6426" i="1"/>
  <c r="U6425" i="1"/>
  <c r="U6424" i="1"/>
  <c r="U6413" i="1"/>
  <c r="U6412" i="1"/>
  <c r="U6411" i="1"/>
  <c r="U6410" i="1"/>
  <c r="U6409" i="1"/>
  <c r="U6403" i="1"/>
  <c r="U6402" i="1"/>
  <c r="U6401" i="1"/>
  <c r="U6400" i="1"/>
  <c r="U6399" i="1"/>
  <c r="U6393" i="1"/>
  <c r="U6392" i="1"/>
  <c r="U6391" i="1"/>
  <c r="U6390" i="1"/>
  <c r="U6389" i="1"/>
  <c r="U6387" i="1"/>
  <c r="U6386" i="1"/>
  <c r="U6384" i="1"/>
  <c r="U6383" i="1"/>
  <c r="U6381" i="1"/>
  <c r="U6380" i="1"/>
  <c r="U6375" i="1"/>
  <c r="U6373" i="1"/>
  <c r="U6372" i="1"/>
  <c r="U6371" i="1"/>
  <c r="U6370" i="1"/>
  <c r="U6369" i="1"/>
  <c r="U6368" i="1"/>
  <c r="U6367" i="1"/>
  <c r="U6366" i="1"/>
  <c r="U6365" i="1"/>
  <c r="U6364" i="1"/>
  <c r="U6363" i="1"/>
  <c r="U6359" i="1"/>
  <c r="U6358" i="1"/>
  <c r="U6356" i="1"/>
  <c r="U6349" i="1"/>
  <c r="U6348" i="1"/>
  <c r="U6347" i="1"/>
  <c r="U6346" i="1"/>
  <c r="U6345" i="1"/>
  <c r="U6344" i="1"/>
  <c r="U6342" i="1"/>
  <c r="U6333" i="1"/>
  <c r="U6332" i="1"/>
  <c r="U6331" i="1"/>
  <c r="U6330" i="1"/>
  <c r="U6329" i="1"/>
  <c r="U6328" i="1"/>
  <c r="U6327" i="1"/>
  <c r="U6326" i="1"/>
  <c r="U6320" i="1"/>
  <c r="U6319" i="1"/>
  <c r="U6318" i="1"/>
  <c r="U6315" i="1"/>
  <c r="U6314" i="1"/>
  <c r="U6313" i="1"/>
  <c r="U6312" i="1"/>
  <c r="U6311" i="1"/>
  <c r="U6310" i="1"/>
  <c r="U6308" i="1"/>
  <c r="U6307" i="1"/>
  <c r="U6306" i="1"/>
  <c r="U6299" i="1"/>
  <c r="U6298" i="1"/>
  <c r="U6297" i="1"/>
  <c r="U6295" i="1"/>
  <c r="U6294" i="1"/>
  <c r="U6293" i="1"/>
  <c r="U6292" i="1"/>
  <c r="U6291" i="1"/>
  <c r="U6288" i="1"/>
  <c r="U6287" i="1"/>
  <c r="U6286" i="1"/>
  <c r="U6285" i="1"/>
  <c r="U6284" i="1"/>
  <c r="U6283" i="1"/>
  <c r="U6282" i="1"/>
  <c r="U6281" i="1"/>
  <c r="U6275" i="1"/>
  <c r="U6274" i="1"/>
  <c r="U6273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6" i="1"/>
  <c r="U6255" i="1"/>
  <c r="U6254" i="1"/>
  <c r="U6243" i="1"/>
  <c r="U6242" i="1"/>
  <c r="U6239" i="1"/>
  <c r="U6236" i="1"/>
  <c r="U6235" i="1"/>
  <c r="U6231" i="1"/>
  <c r="U6229" i="1"/>
  <c r="U6228" i="1"/>
  <c r="U6227" i="1"/>
  <c r="U6226" i="1"/>
  <c r="U6223" i="1"/>
  <c r="U6222" i="1"/>
  <c r="U6221" i="1"/>
  <c r="U6220" i="1"/>
  <c r="U6219" i="1"/>
  <c r="U6218" i="1"/>
  <c r="U6217" i="1"/>
  <c r="U6216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5" i="1"/>
  <c r="U6134" i="1"/>
  <c r="U6133" i="1"/>
  <c r="U6132" i="1"/>
  <c r="U6131" i="1"/>
  <c r="U6130" i="1"/>
  <c r="U6129" i="1"/>
  <c r="U6128" i="1"/>
  <c r="U6127" i="1"/>
  <c r="U6126" i="1"/>
  <c r="U6125" i="1"/>
  <c r="U6121" i="1"/>
  <c r="U6120" i="1"/>
  <c r="U6119" i="1"/>
  <c r="U6113" i="1"/>
  <c r="U6112" i="1"/>
  <c r="U6108" i="1"/>
  <c r="U6107" i="1"/>
  <c r="U6106" i="1"/>
  <c r="U6105" i="1"/>
  <c r="U6104" i="1"/>
  <c r="U6102" i="1"/>
  <c r="U6103" i="1"/>
  <c r="U6100" i="1"/>
  <c r="U6099" i="1"/>
  <c r="U6098" i="1"/>
  <c r="U6070" i="1"/>
  <c r="U6069" i="1"/>
  <c r="U6066" i="1"/>
  <c r="U6065" i="1"/>
  <c r="U6064" i="1"/>
  <c r="U6063" i="1"/>
  <c r="U6062" i="1"/>
  <c r="U6057" i="1"/>
  <c r="U6056" i="1"/>
  <c r="U6055" i="1"/>
  <c r="U6054" i="1"/>
  <c r="U6053" i="1"/>
  <c r="U6052" i="1"/>
  <c r="U6050" i="1"/>
  <c r="U6049" i="1"/>
  <c r="U6048" i="1"/>
  <c r="U6047" i="1"/>
  <c r="U6041" i="1"/>
  <c r="U6040" i="1"/>
  <c r="U6038" i="1"/>
  <c r="U6035" i="1"/>
  <c r="U6034" i="1"/>
  <c r="U6033" i="1"/>
  <c r="U6032" i="1"/>
  <c r="U6031" i="1"/>
  <c r="U6027" i="1"/>
  <c r="U6024" i="1"/>
  <c r="U6023" i="1"/>
  <c r="U6022" i="1"/>
  <c r="U6021" i="1"/>
  <c r="U6020" i="1"/>
  <c r="U6018" i="1"/>
  <c r="U6017" i="1"/>
  <c r="U6016" i="1"/>
  <c r="U6015" i="1"/>
  <c r="U6014" i="1"/>
  <c r="U6011" i="1"/>
  <c r="U6010" i="1"/>
  <c r="U6009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74" i="1"/>
  <c r="U5973" i="1"/>
  <c r="U5968" i="1"/>
  <c r="U5967" i="1"/>
  <c r="U5966" i="1"/>
  <c r="U5965" i="1"/>
  <c r="U5964" i="1"/>
  <c r="U5960" i="1"/>
  <c r="U5950" i="1"/>
  <c r="U5945" i="1"/>
  <c r="U5943" i="1"/>
  <c r="U5939" i="1"/>
  <c r="U5936" i="1"/>
  <c r="U5935" i="1"/>
  <c r="U5934" i="1"/>
  <c r="U5923" i="1"/>
  <c r="U5922" i="1"/>
  <c r="U5919" i="1"/>
  <c r="U5918" i="1"/>
  <c r="U5917" i="1"/>
  <c r="U5904" i="1"/>
  <c r="U5903" i="1"/>
  <c r="U5900" i="1"/>
  <c r="U5899" i="1"/>
  <c r="U5898" i="1"/>
  <c r="U5897" i="1"/>
  <c r="U5896" i="1"/>
  <c r="U5892" i="1"/>
  <c r="U5891" i="1"/>
  <c r="U5890" i="1"/>
  <c r="U5889" i="1"/>
  <c r="U5888" i="1"/>
  <c r="U5887" i="1"/>
  <c r="U5886" i="1"/>
  <c r="U5885" i="1"/>
  <c r="U5884" i="1"/>
  <c r="U5883" i="1"/>
  <c r="U5881" i="1"/>
  <c r="U5878" i="1"/>
  <c r="U5877" i="1"/>
  <c r="U5876" i="1"/>
  <c r="U5869" i="1"/>
  <c r="U5868" i="1"/>
  <c r="U5867" i="1"/>
  <c r="U5866" i="1"/>
  <c r="U5864" i="1"/>
  <c r="U5859" i="1"/>
  <c r="U5854" i="1"/>
  <c r="U5852" i="1"/>
  <c r="U5845" i="1"/>
  <c r="U5844" i="1"/>
  <c r="U5843" i="1"/>
  <c r="U5842" i="1"/>
  <c r="U5841" i="1"/>
  <c r="U5838" i="1"/>
  <c r="U5837" i="1"/>
  <c r="U5836" i="1"/>
  <c r="U5833" i="1"/>
  <c r="U5832" i="1"/>
  <c r="U5827" i="1"/>
  <c r="U5826" i="1"/>
  <c r="U5825" i="1"/>
  <c r="U5824" i="1"/>
  <c r="U5823" i="1"/>
  <c r="U5822" i="1"/>
  <c r="U5818" i="1"/>
  <c r="U5816" i="1"/>
  <c r="U5814" i="1"/>
  <c r="U5810" i="1"/>
  <c r="U5809" i="1"/>
  <c r="U5807" i="1"/>
  <c r="U5805" i="1"/>
  <c r="U5804" i="1"/>
  <c r="U5802" i="1"/>
  <c r="U5800" i="1"/>
  <c r="U5799" i="1"/>
  <c r="U5794" i="1"/>
  <c r="U5793" i="1"/>
  <c r="U5792" i="1"/>
  <c r="U5790" i="1"/>
  <c r="U5788" i="1"/>
  <c r="U5786" i="1"/>
  <c r="U5779" i="1"/>
  <c r="U5778" i="1"/>
  <c r="U5777" i="1"/>
  <c r="U5776" i="1"/>
  <c r="U5775" i="1"/>
  <c r="U5774" i="1"/>
  <c r="U5769" i="1"/>
  <c r="U5768" i="1"/>
  <c r="U5765" i="1"/>
  <c r="U5764" i="1"/>
  <c r="U5758" i="1"/>
  <c r="U5757" i="1"/>
  <c r="U5755" i="1"/>
  <c r="U5754" i="1"/>
  <c r="U5753" i="1"/>
  <c r="U5747" i="1"/>
  <c r="U5746" i="1"/>
  <c r="U5745" i="1"/>
  <c r="U5744" i="1"/>
  <c r="U5742" i="1"/>
  <c r="U5741" i="1"/>
  <c r="U5737" i="1"/>
  <c r="U5735" i="1"/>
  <c r="U5732" i="1"/>
  <c r="U5731" i="1"/>
  <c r="U5730" i="1"/>
  <c r="U5729" i="1"/>
  <c r="U5728" i="1"/>
  <c r="U5727" i="1"/>
  <c r="U5726" i="1"/>
  <c r="U5725" i="1"/>
  <c r="U5724" i="1"/>
  <c r="U5723" i="1"/>
  <c r="U5720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698" i="1"/>
  <c r="U5697" i="1"/>
  <c r="U5696" i="1"/>
  <c r="U5685" i="1"/>
  <c r="U5684" i="1"/>
  <c r="U5682" i="1"/>
  <c r="U5681" i="1"/>
  <c r="U5679" i="1"/>
  <c r="U5678" i="1"/>
  <c r="U5677" i="1"/>
  <c r="U5676" i="1"/>
  <c r="U5675" i="1"/>
  <c r="U5674" i="1"/>
  <c r="U5673" i="1"/>
  <c r="U5671" i="1"/>
  <c r="U5668" i="1"/>
  <c r="U5667" i="1"/>
  <c r="U5666" i="1"/>
  <c r="U5660" i="1"/>
  <c r="U5652" i="1"/>
  <c r="U5650" i="1"/>
  <c r="U5648" i="1"/>
  <c r="U5647" i="1"/>
  <c r="U5645" i="1"/>
  <c r="U5644" i="1"/>
  <c r="U5643" i="1"/>
  <c r="U5642" i="1"/>
  <c r="U5641" i="1"/>
  <c r="U5640" i="1"/>
  <c r="U5639" i="1"/>
  <c r="U5638" i="1"/>
  <c r="U5628" i="1"/>
  <c r="U5627" i="1"/>
  <c r="U5626" i="1"/>
  <c r="U5625" i="1"/>
  <c r="U5624" i="1"/>
  <c r="U5621" i="1"/>
  <c r="U5620" i="1"/>
  <c r="U5619" i="1"/>
  <c r="U5618" i="1"/>
  <c r="U5616" i="1"/>
  <c r="U5615" i="1"/>
  <c r="U5610" i="1"/>
  <c r="U5603" i="1"/>
  <c r="U5602" i="1"/>
  <c r="U5600" i="1"/>
  <c r="U5599" i="1"/>
  <c r="U5598" i="1"/>
  <c r="U5595" i="1"/>
  <c r="U5593" i="1"/>
  <c r="U5592" i="1"/>
  <c r="U5591" i="1"/>
  <c r="U5588" i="1"/>
  <c r="U5584" i="1"/>
  <c r="U5583" i="1"/>
  <c r="U5580" i="1"/>
  <c r="U5579" i="1"/>
  <c r="U5578" i="1"/>
  <c r="U5577" i="1"/>
  <c r="U5576" i="1"/>
  <c r="U5575" i="1"/>
  <c r="U5574" i="1"/>
  <c r="U5573" i="1"/>
  <c r="U5572" i="1"/>
  <c r="U5571" i="1"/>
  <c r="U5568" i="1"/>
  <c r="U5566" i="1"/>
  <c r="U5564" i="1"/>
  <c r="U5562" i="1"/>
  <c r="U5558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488" i="1"/>
  <c r="U5487" i="1"/>
  <c r="U5486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67" i="1"/>
  <c r="U5466" i="1"/>
  <c r="U5465" i="1"/>
  <c r="U5458" i="1"/>
  <c r="U5457" i="1"/>
  <c r="U5456" i="1"/>
  <c r="U5450" i="1"/>
  <c r="U5449" i="1"/>
  <c r="U5448" i="1"/>
  <c r="U5427" i="1"/>
  <c r="U5426" i="1"/>
  <c r="U5425" i="1"/>
  <c r="U5424" i="1"/>
  <c r="U5423" i="1"/>
  <c r="U5422" i="1"/>
  <c r="U5421" i="1"/>
  <c r="U5420" i="1"/>
  <c r="U5413" i="1"/>
  <c r="U5412" i="1"/>
  <c r="U5403" i="1"/>
  <c r="U5402" i="1"/>
  <c r="U5397" i="1"/>
  <c r="U5396" i="1"/>
  <c r="U5395" i="1"/>
  <c r="U5389" i="1"/>
  <c r="U5388" i="1"/>
  <c r="U5387" i="1"/>
  <c r="U5386" i="1"/>
  <c r="U5383" i="1"/>
  <c r="U5382" i="1"/>
  <c r="U5381" i="1"/>
  <c r="U5380" i="1"/>
  <c r="U5347" i="1"/>
  <c r="U5346" i="1"/>
  <c r="U5345" i="1"/>
  <c r="U5343" i="1"/>
  <c r="U5339" i="1"/>
  <c r="U5338" i="1"/>
  <c r="U5337" i="1"/>
  <c r="U5336" i="1"/>
  <c r="U5335" i="1"/>
  <c r="U5332" i="1"/>
  <c r="U5331" i="1"/>
  <c r="U5330" i="1"/>
  <c r="U5329" i="1"/>
  <c r="U5328" i="1"/>
  <c r="U5326" i="1"/>
  <c r="U5321" i="1"/>
  <c r="U5316" i="1"/>
  <c r="U5315" i="1"/>
  <c r="U5314" i="1"/>
  <c r="U5313" i="1"/>
  <c r="U5312" i="1"/>
  <c r="U5310" i="1"/>
  <c r="U5309" i="1"/>
  <c r="U5306" i="1"/>
  <c r="U5304" i="1"/>
  <c r="U5303" i="1"/>
  <c r="U5302" i="1"/>
  <c r="U5301" i="1"/>
  <c r="U5300" i="1"/>
  <c r="U5299" i="1"/>
  <c r="U5298" i="1"/>
  <c r="U5297" i="1"/>
  <c r="U5296" i="1"/>
  <c r="U5295" i="1"/>
  <c r="U5293" i="1"/>
  <c r="U5292" i="1"/>
  <c r="U5291" i="1"/>
  <c r="U5290" i="1"/>
  <c r="U5289" i="1"/>
  <c r="U5286" i="1"/>
  <c r="U5284" i="1"/>
  <c r="U5283" i="1"/>
  <c r="U5282" i="1"/>
  <c r="U5247" i="1"/>
  <c r="U5246" i="1"/>
  <c r="U5245" i="1"/>
  <c r="U5244" i="1"/>
  <c r="U5243" i="1"/>
  <c r="U5242" i="1"/>
  <c r="U5239" i="1"/>
  <c r="U5235" i="1"/>
  <c r="U5234" i="1"/>
  <c r="U5233" i="1"/>
  <c r="U5232" i="1"/>
  <c r="U5231" i="1"/>
  <c r="U5230" i="1"/>
  <c r="U5225" i="1"/>
  <c r="U5224" i="1"/>
  <c r="U5223" i="1"/>
  <c r="U5222" i="1"/>
  <c r="U5221" i="1"/>
  <c r="U5220" i="1"/>
  <c r="U5219" i="1"/>
  <c r="U5217" i="1"/>
  <c r="U5216" i="1"/>
  <c r="U5215" i="1"/>
  <c r="U5203" i="1"/>
  <c r="U5202" i="1"/>
  <c r="U5201" i="1"/>
  <c r="U5200" i="1"/>
  <c r="U5191" i="1"/>
  <c r="U5190" i="1"/>
  <c r="U5189" i="1"/>
  <c r="U5188" i="1"/>
  <c r="U5187" i="1"/>
  <c r="U5185" i="1"/>
  <c r="U5184" i="1"/>
  <c r="U5181" i="1"/>
  <c r="U5180" i="1"/>
  <c r="U5176" i="1"/>
  <c r="U5171" i="1"/>
  <c r="U5165" i="1"/>
  <c r="U5164" i="1"/>
  <c r="U5159" i="1"/>
  <c r="U5155" i="1"/>
  <c r="U5149" i="1"/>
  <c r="U5147" i="1"/>
  <c r="U5139" i="1"/>
  <c r="U5138" i="1"/>
  <c r="U5137" i="1"/>
  <c r="U5136" i="1"/>
  <c r="U5135" i="1"/>
  <c r="U5133" i="1"/>
  <c r="U5132" i="1"/>
  <c r="U5131" i="1"/>
  <c r="U5116" i="1"/>
  <c r="U5115" i="1"/>
  <c r="U5114" i="1"/>
  <c r="U5111" i="1"/>
  <c r="U5110" i="1"/>
  <c r="U5109" i="1"/>
  <c r="U5108" i="1"/>
  <c r="U5107" i="1"/>
  <c r="U5103" i="1"/>
  <c r="U5101" i="1"/>
  <c r="U5091" i="1"/>
  <c r="U5089" i="1"/>
  <c r="U5084" i="1"/>
  <c r="U5083" i="1"/>
  <c r="U5082" i="1"/>
  <c r="U5081" i="1"/>
  <c r="U5080" i="1"/>
  <c r="U5078" i="1"/>
  <c r="U5077" i="1"/>
  <c r="U5076" i="1"/>
  <c r="U5075" i="1"/>
  <c r="U5074" i="1"/>
  <c r="U5073" i="1"/>
  <c r="U5068" i="1"/>
  <c r="U5063" i="1"/>
  <c r="U5062" i="1"/>
  <c r="U5061" i="1"/>
  <c r="U5060" i="1"/>
  <c r="U5059" i="1"/>
  <c r="U5058" i="1"/>
  <c r="U5055" i="1"/>
  <c r="U5051" i="1"/>
  <c r="U5049" i="1"/>
  <c r="U5048" i="1"/>
  <c r="U5046" i="1"/>
  <c r="U5045" i="1"/>
  <c r="U5044" i="1"/>
  <c r="U5043" i="1"/>
  <c r="U5042" i="1"/>
  <c r="U5040" i="1"/>
  <c r="U5038" i="1"/>
  <c r="U5037" i="1"/>
  <c r="U5036" i="1"/>
  <c r="U5035" i="1"/>
  <c r="U5034" i="1"/>
  <c r="U5032" i="1"/>
  <c r="U5030" i="1"/>
  <c r="U5029" i="1"/>
  <c r="U5026" i="1"/>
  <c r="U5025" i="1"/>
  <c r="U5024" i="1"/>
  <c r="U5023" i="1"/>
  <c r="U5022" i="1"/>
  <c r="U5021" i="1"/>
  <c r="U5018" i="1"/>
  <c r="U5017" i="1"/>
  <c r="U5016" i="1"/>
  <c r="U5015" i="1"/>
  <c r="U5014" i="1"/>
  <c r="U5011" i="1"/>
  <c r="U5008" i="1"/>
  <c r="U5006" i="1"/>
  <c r="U5003" i="1"/>
  <c r="U5002" i="1"/>
  <c r="U5001" i="1"/>
  <c r="U4993" i="1"/>
  <c r="U4992" i="1"/>
  <c r="U4991" i="1"/>
  <c r="U4990" i="1"/>
  <c r="U4989" i="1"/>
  <c r="U4987" i="1"/>
  <c r="U4985" i="1"/>
  <c r="U4984" i="1"/>
  <c r="U4983" i="1"/>
  <c r="U4982" i="1"/>
  <c r="U4980" i="1"/>
  <c r="U4978" i="1"/>
  <c r="U4973" i="1"/>
  <c r="U4971" i="1"/>
  <c r="U4970" i="1"/>
  <c r="U4969" i="1"/>
  <c r="U4968" i="1"/>
  <c r="U4967" i="1"/>
  <c r="U4966" i="1"/>
  <c r="U4965" i="1"/>
  <c r="U4964" i="1"/>
  <c r="U4963" i="1"/>
  <c r="U4956" i="1"/>
  <c r="U4955" i="1"/>
  <c r="U4953" i="1"/>
  <c r="U4952" i="1"/>
  <c r="U4951" i="1"/>
  <c r="U4950" i="1"/>
  <c r="U4949" i="1"/>
  <c r="U4947" i="1"/>
  <c r="U4946" i="1"/>
  <c r="U4945" i="1"/>
  <c r="U4944" i="1"/>
  <c r="U4943" i="1"/>
  <c r="U4932" i="1"/>
  <c r="U4931" i="1"/>
  <c r="U4930" i="1"/>
  <c r="U4929" i="1"/>
  <c r="U4926" i="1"/>
  <c r="U4925" i="1"/>
  <c r="U4924" i="1"/>
  <c r="U4923" i="1"/>
  <c r="U4922" i="1"/>
  <c r="U4919" i="1"/>
  <c r="U4918" i="1"/>
  <c r="U4917" i="1"/>
  <c r="U4916" i="1"/>
  <c r="U4915" i="1"/>
  <c r="U4913" i="1"/>
  <c r="U4912" i="1"/>
  <c r="U4911" i="1"/>
  <c r="U4910" i="1"/>
  <c r="U4904" i="1"/>
  <c r="U4903" i="1"/>
  <c r="U4901" i="1"/>
  <c r="U4884" i="1"/>
  <c r="U4883" i="1"/>
  <c r="U4882" i="1"/>
  <c r="U4881" i="1"/>
  <c r="U4880" i="1"/>
  <c r="U4879" i="1"/>
  <c r="U4878" i="1"/>
  <c r="U4877" i="1"/>
  <c r="U4875" i="1"/>
  <c r="U4874" i="1"/>
  <c r="U4873" i="1"/>
  <c r="U4872" i="1"/>
  <c r="U4871" i="1"/>
  <c r="U4870" i="1"/>
  <c r="U4869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3" i="1"/>
  <c r="U4822" i="1"/>
  <c r="U4821" i="1"/>
  <c r="U4820" i="1"/>
  <c r="U4819" i="1"/>
  <c r="U4812" i="1"/>
  <c r="U4811" i="1"/>
  <c r="U4807" i="1"/>
  <c r="U4805" i="1"/>
  <c r="U4804" i="1"/>
  <c r="U4797" i="1"/>
  <c r="U4796" i="1"/>
  <c r="U4792" i="1"/>
  <c r="U4791" i="1"/>
  <c r="U4788" i="1"/>
  <c r="U4787" i="1"/>
  <c r="U4786" i="1"/>
  <c r="U4783" i="1"/>
  <c r="U4782" i="1"/>
  <c r="U4781" i="1"/>
  <c r="U4780" i="1"/>
  <c r="U4779" i="1"/>
  <c r="U4778" i="1"/>
  <c r="U4774" i="1"/>
  <c r="U4773" i="1"/>
  <c r="U4770" i="1"/>
  <c r="U4768" i="1"/>
  <c r="U4764" i="1"/>
  <c r="U4761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29" i="1"/>
  <c r="U4728" i="1"/>
  <c r="U4727" i="1"/>
  <c r="U4726" i="1"/>
  <c r="U4724" i="1"/>
  <c r="U4723" i="1"/>
  <c r="U4722" i="1"/>
  <c r="U4721" i="1"/>
  <c r="U4720" i="1"/>
  <c r="U4719" i="1"/>
  <c r="U4718" i="1"/>
  <c r="U4717" i="1"/>
  <c r="U4716" i="1"/>
  <c r="U4715" i="1"/>
  <c r="U4714" i="1"/>
  <c r="U4711" i="1"/>
  <c r="U4710" i="1"/>
  <c r="U4709" i="1"/>
  <c r="U4708" i="1"/>
  <c r="U4707" i="1"/>
  <c r="U4702" i="1"/>
  <c r="U4701" i="1"/>
  <c r="U4700" i="1"/>
  <c r="U4699" i="1"/>
  <c r="U4698" i="1"/>
  <c r="U4697" i="1"/>
  <c r="U4696" i="1"/>
  <c r="U4695" i="1"/>
  <c r="U4694" i="1"/>
  <c r="U4693" i="1"/>
  <c r="U4687" i="1"/>
  <c r="U4686" i="1"/>
  <c r="U4685" i="1"/>
  <c r="U4678" i="1"/>
  <c r="U4677" i="1"/>
  <c r="U4676" i="1"/>
  <c r="U4675" i="1"/>
  <c r="U4674" i="1"/>
  <c r="U4673" i="1"/>
  <c r="U4672" i="1"/>
  <c r="U4671" i="1"/>
  <c r="U4669" i="1"/>
  <c r="U4665" i="1"/>
  <c r="U4664" i="1"/>
  <c r="U4663" i="1"/>
  <c r="U4662" i="1"/>
  <c r="U4661" i="1"/>
  <c r="U4660" i="1"/>
  <c r="U4659" i="1"/>
  <c r="U4655" i="1"/>
  <c r="U4654" i="1"/>
  <c r="U4653" i="1"/>
  <c r="U4645" i="1"/>
  <c r="U4644" i="1"/>
  <c r="U4636" i="1"/>
  <c r="U4635" i="1"/>
  <c r="U4634" i="1"/>
  <c r="U4633" i="1"/>
  <c r="U4632" i="1"/>
  <c r="U4629" i="1"/>
  <c r="U4627" i="1"/>
  <c r="U4624" i="1"/>
  <c r="U4623" i="1"/>
  <c r="U4622" i="1"/>
  <c r="U4621" i="1"/>
  <c r="U4619" i="1"/>
  <c r="U4617" i="1"/>
  <c r="U4616" i="1"/>
  <c r="U4614" i="1"/>
  <c r="U4613" i="1"/>
  <c r="U4605" i="1"/>
  <c r="U4603" i="1"/>
  <c r="U4602" i="1"/>
  <c r="U4601" i="1"/>
  <c r="U4600" i="1"/>
  <c r="U4599" i="1"/>
  <c r="U4598" i="1"/>
  <c r="U4597" i="1"/>
  <c r="U4595" i="1"/>
  <c r="U4594" i="1"/>
  <c r="U4593" i="1"/>
  <c r="U4592" i="1"/>
  <c r="U4591" i="1"/>
  <c r="U4590" i="1"/>
  <c r="U4589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3" i="1"/>
  <c r="U4392" i="1"/>
  <c r="U4390" i="1"/>
  <c r="U4389" i="1"/>
  <c r="U4388" i="1"/>
  <c r="U4387" i="1"/>
  <c r="U4386" i="1"/>
  <c r="U4385" i="1"/>
  <c r="U4382" i="1"/>
  <c r="U4380" i="1"/>
  <c r="U4379" i="1"/>
  <c r="U4378" i="1"/>
  <c r="U4367" i="1"/>
  <c r="U4366" i="1"/>
  <c r="U4364" i="1"/>
  <c r="U4363" i="1"/>
  <c r="U4362" i="1"/>
  <c r="U4333" i="1"/>
  <c r="U4332" i="1"/>
  <c r="U4331" i="1"/>
  <c r="U4330" i="1"/>
  <c r="U4329" i="1"/>
  <c r="U4320" i="1"/>
  <c r="U4319" i="1"/>
  <c r="U4318" i="1"/>
  <c r="U4315" i="1"/>
  <c r="U4312" i="1"/>
  <c r="U4310" i="1"/>
  <c r="U4309" i="1"/>
  <c r="U4308" i="1"/>
  <c r="U4307" i="1"/>
  <c r="U4306" i="1"/>
  <c r="U4304" i="1"/>
  <c r="U4303" i="1"/>
  <c r="U4302" i="1"/>
  <c r="U4296" i="1"/>
  <c r="U4295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68" i="1"/>
  <c r="U4267" i="1"/>
  <c r="U4266" i="1"/>
  <c r="U4265" i="1"/>
  <c r="U4264" i="1"/>
  <c r="U4262" i="1"/>
  <c r="U4261" i="1"/>
  <c r="U4260" i="1"/>
  <c r="U4259" i="1"/>
  <c r="U4258" i="1"/>
  <c r="U4257" i="1"/>
  <c r="U4256" i="1"/>
  <c r="U4255" i="1"/>
  <c r="U4254" i="1"/>
  <c r="U4253" i="1"/>
  <c r="U4252" i="1"/>
  <c r="U4249" i="1"/>
  <c r="U4248" i="1"/>
  <c r="U4245" i="1"/>
  <c r="U4244" i="1"/>
  <c r="U4243" i="1"/>
  <c r="U4233" i="1"/>
  <c r="U4232" i="1"/>
  <c r="U4228" i="1"/>
  <c r="U4222" i="1"/>
  <c r="U4221" i="1"/>
  <c r="U4220" i="1"/>
  <c r="U4219" i="1"/>
  <c r="U4216" i="1"/>
  <c r="U4212" i="1"/>
  <c r="U4210" i="1"/>
  <c r="U4205" i="1"/>
  <c r="U4203" i="1"/>
  <c r="U4202" i="1"/>
  <c r="U4198" i="1"/>
  <c r="U4197" i="1"/>
  <c r="U4196" i="1"/>
  <c r="U4187" i="1"/>
  <c r="U4186" i="1"/>
  <c r="U4185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5" i="1"/>
  <c r="U4154" i="1"/>
  <c r="U4153" i="1"/>
  <c r="U4145" i="1"/>
  <c r="U4144" i="1"/>
  <c r="U4143" i="1"/>
  <c r="U4140" i="1"/>
  <c r="U4139" i="1"/>
  <c r="U4138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19" i="1"/>
  <c r="U4118" i="1"/>
  <c r="U4117" i="1"/>
  <c r="U4111" i="1"/>
  <c r="U4110" i="1"/>
  <c r="U4106" i="1"/>
  <c r="U4105" i="1"/>
  <c r="U4104" i="1"/>
  <c r="U4103" i="1"/>
  <c r="U4102" i="1"/>
  <c r="U4101" i="1"/>
  <c r="U4100" i="1"/>
  <c r="U4097" i="1"/>
  <c r="U4094" i="1"/>
  <c r="U4092" i="1"/>
  <c r="U4091" i="1"/>
  <c r="U4090" i="1"/>
  <c r="U4089" i="1"/>
  <c r="U4088" i="1"/>
  <c r="U4086" i="1"/>
  <c r="U4085" i="1"/>
  <c r="U4084" i="1"/>
  <c r="U4082" i="1"/>
  <c r="U4081" i="1"/>
  <c r="U4080" i="1"/>
  <c r="U4079" i="1"/>
  <c r="U4078" i="1"/>
  <c r="U4077" i="1"/>
  <c r="U4072" i="1"/>
  <c r="U4070" i="1"/>
  <c r="U4068" i="1"/>
  <c r="U4067" i="1"/>
  <c r="U4065" i="1"/>
  <c r="U4063" i="1"/>
  <c r="U4061" i="1"/>
  <c r="U4054" i="1"/>
  <c r="U4047" i="1"/>
  <c r="U4046" i="1"/>
  <c r="U4045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00" i="1"/>
  <c r="U3999" i="1"/>
  <c r="U3986" i="1"/>
  <c r="U3985" i="1"/>
  <c r="U3984" i="1"/>
  <c r="U3983" i="1"/>
  <c r="U3982" i="1"/>
  <c r="U3981" i="1"/>
  <c r="U3980" i="1"/>
  <c r="U3979" i="1"/>
  <c r="U3978" i="1"/>
  <c r="U3976" i="1"/>
  <c r="U3971" i="1"/>
  <c r="U3970" i="1"/>
  <c r="U3968" i="1"/>
  <c r="U3967" i="1"/>
  <c r="U3965" i="1"/>
  <c r="U3964" i="1"/>
  <c r="U3963" i="1"/>
  <c r="U3959" i="1"/>
  <c r="U3957" i="1"/>
  <c r="U3955" i="1"/>
  <c r="U3951" i="1"/>
  <c r="U3950" i="1"/>
  <c r="U3949" i="1"/>
  <c r="U3941" i="1"/>
  <c r="U3940" i="1"/>
  <c r="U3939" i="1"/>
  <c r="U3938" i="1"/>
  <c r="U3937" i="1"/>
  <c r="U3935" i="1"/>
  <c r="U3934" i="1"/>
  <c r="U3933" i="1"/>
  <c r="U3932" i="1"/>
  <c r="U3929" i="1"/>
  <c r="U3926" i="1"/>
  <c r="U3922" i="1"/>
  <c r="U3921" i="1"/>
  <c r="U3920" i="1"/>
  <c r="U3919" i="1"/>
  <c r="U3918" i="1"/>
  <c r="U3915" i="1"/>
  <c r="U3912" i="1"/>
  <c r="U3911" i="1"/>
  <c r="U3910" i="1"/>
  <c r="U3904" i="1"/>
  <c r="U3903" i="1"/>
  <c r="U3902" i="1"/>
  <c r="U3901" i="1"/>
  <c r="U3900" i="1"/>
  <c r="U3891" i="1"/>
  <c r="U3886" i="1"/>
  <c r="U3885" i="1"/>
  <c r="U3884" i="1"/>
  <c r="U3878" i="1"/>
  <c r="U3877" i="1"/>
  <c r="U3874" i="1"/>
  <c r="U3873" i="1"/>
  <c r="U3872" i="1"/>
  <c r="U3864" i="1"/>
  <c r="U3863" i="1"/>
  <c r="U3862" i="1"/>
  <c r="U3861" i="1"/>
  <c r="U3860" i="1"/>
  <c r="U3859" i="1"/>
  <c r="U3858" i="1"/>
  <c r="U3857" i="1"/>
  <c r="U3855" i="1"/>
  <c r="U3853" i="1"/>
  <c r="U3851" i="1"/>
  <c r="U3850" i="1"/>
  <c r="U3849" i="1"/>
  <c r="U3848" i="1"/>
  <c r="U3847" i="1"/>
  <c r="U3844" i="1"/>
  <c r="U3843" i="1"/>
  <c r="U3841" i="1"/>
  <c r="U3839" i="1"/>
  <c r="U3838" i="1"/>
  <c r="U3837" i="1"/>
  <c r="U3836" i="1"/>
  <c r="U3835" i="1"/>
  <c r="U3833" i="1"/>
  <c r="U3832" i="1"/>
  <c r="U3831" i="1"/>
  <c r="U3830" i="1"/>
  <c r="U3829" i="1"/>
  <c r="U3827" i="1"/>
  <c r="U3826" i="1"/>
  <c r="U3825" i="1"/>
  <c r="U3814" i="1"/>
  <c r="U3813" i="1"/>
  <c r="U3805" i="1"/>
  <c r="U3795" i="1"/>
  <c r="U3794" i="1"/>
  <c r="U3793" i="1"/>
  <c r="U3790" i="1"/>
  <c r="U3789" i="1"/>
  <c r="U3788" i="1"/>
  <c r="U3782" i="1"/>
  <c r="U3781" i="1"/>
  <c r="U3779" i="1"/>
  <c r="U3776" i="1"/>
  <c r="U3773" i="1"/>
  <c r="U3772" i="1"/>
  <c r="U3771" i="1"/>
  <c r="U3755" i="1"/>
  <c r="U3754" i="1"/>
  <c r="U3753" i="1"/>
  <c r="U3748" i="1"/>
  <c r="U3746" i="1"/>
  <c r="U3745" i="1"/>
  <c r="U3742" i="1"/>
  <c r="U3737" i="1"/>
  <c r="U3736" i="1"/>
  <c r="U3735" i="1"/>
  <c r="U3734" i="1"/>
  <c r="U3733" i="1"/>
  <c r="U3732" i="1"/>
  <c r="U3724" i="1"/>
  <c r="U3723" i="1"/>
  <c r="U3722" i="1"/>
  <c r="U3721" i="1"/>
  <c r="U3720" i="1"/>
  <c r="U3719" i="1"/>
  <c r="U3714" i="1"/>
  <c r="U3713" i="1"/>
  <c r="U3712" i="1"/>
  <c r="U3706" i="1"/>
  <c r="U3705" i="1"/>
  <c r="U3702" i="1"/>
  <c r="U3696" i="1"/>
  <c r="U3695" i="1"/>
  <c r="U3689" i="1"/>
  <c r="U3688" i="1"/>
  <c r="U3686" i="1"/>
  <c r="U3685" i="1"/>
  <c r="U3684" i="1"/>
  <c r="U3677" i="1"/>
  <c r="U3676" i="1"/>
  <c r="U3674" i="1"/>
  <c r="U3673" i="1"/>
  <c r="U3672" i="1"/>
  <c r="U3671" i="1"/>
  <c r="U3670" i="1"/>
  <c r="U3669" i="1"/>
  <c r="U3667" i="1"/>
  <c r="U3663" i="1"/>
  <c r="U3662" i="1"/>
  <c r="U3661" i="1"/>
  <c r="U3655" i="1"/>
  <c r="U3654" i="1"/>
  <c r="U3653" i="1"/>
  <c r="U3648" i="1"/>
  <c r="U3647" i="1"/>
  <c r="U3646" i="1"/>
  <c r="U3645" i="1"/>
  <c r="U3644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2" i="1"/>
  <c r="U3511" i="1"/>
  <c r="U3510" i="1"/>
  <c r="U3509" i="1"/>
  <c r="U3508" i="1"/>
  <c r="U3507" i="1"/>
  <c r="U3506" i="1"/>
  <c r="U3505" i="1"/>
  <c r="U3504" i="1"/>
  <c r="U3503" i="1"/>
  <c r="U3502" i="1"/>
  <c r="U3499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6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395" i="1"/>
  <c r="U3394" i="1"/>
  <c r="U3393" i="1"/>
  <c r="U3391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7" i="1"/>
  <c r="U2706" i="1"/>
  <c r="U2705" i="1"/>
  <c r="U2704" i="1"/>
  <c r="U2703" i="1"/>
  <c r="U2702" i="1"/>
  <c r="U2700" i="1"/>
  <c r="U2698" i="1"/>
  <c r="U2697" i="1"/>
  <c r="U2696" i="1"/>
  <c r="U2695" i="1"/>
  <c r="U2694" i="1"/>
  <c r="U2692" i="1"/>
  <c r="U2690" i="1"/>
  <c r="U2685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24" i="1"/>
  <c r="U2323" i="1"/>
  <c r="U2320" i="1"/>
  <c r="U2315" i="1"/>
  <c r="U2314" i="1"/>
  <c r="U2310" i="1"/>
  <c r="U2309" i="1"/>
  <c r="U2308" i="1"/>
  <c r="U2307" i="1"/>
  <c r="U2306" i="1"/>
  <c r="U2304" i="1"/>
  <c r="U2303" i="1"/>
  <c r="U2302" i="1"/>
  <c r="U2301" i="1"/>
  <c r="U2300" i="1"/>
  <c r="U2298" i="1"/>
  <c r="U2297" i="1"/>
  <c r="U2296" i="1"/>
  <c r="U2295" i="1"/>
  <c r="U2294" i="1"/>
  <c r="U2293" i="1"/>
  <c r="U2292" i="1"/>
  <c r="U2291" i="1"/>
  <c r="U2290" i="1"/>
  <c r="U2289" i="1"/>
  <c r="U2278" i="1"/>
  <c r="U2277" i="1"/>
  <c r="U2276" i="1"/>
  <c r="U2275" i="1"/>
  <c r="U2272" i="1"/>
  <c r="U2271" i="1"/>
  <c r="U2270" i="1"/>
  <c r="U2269" i="1"/>
  <c r="U2268" i="1"/>
  <c r="U2265" i="1"/>
  <c r="U2261" i="1"/>
  <c r="U2258" i="1"/>
  <c r="U2257" i="1"/>
  <c r="U2256" i="1"/>
  <c r="U2255" i="1"/>
  <c r="U2254" i="1"/>
  <c r="U2252" i="1"/>
  <c r="U2251" i="1"/>
  <c r="U2250" i="1"/>
  <c r="U2249" i="1"/>
  <c r="U2248" i="1"/>
  <c r="U2243" i="1"/>
  <c r="U2242" i="1"/>
  <c r="U2241" i="1"/>
  <c r="U2240" i="1"/>
  <c r="U2239" i="1"/>
  <c r="U2238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7" i="1"/>
  <c r="U2216" i="1"/>
  <c r="U2215" i="1"/>
  <c r="U2214" i="1"/>
  <c r="U2213" i="1"/>
  <c r="U2212" i="1"/>
  <c r="U2211" i="1"/>
  <c r="U2210" i="1"/>
  <c r="U2209" i="1"/>
  <c r="U2208" i="1"/>
  <c r="U2205" i="1"/>
  <c r="U2204" i="1"/>
  <c r="U2203" i="1"/>
  <c r="U2197" i="1"/>
  <c r="U2196" i="1"/>
  <c r="U2193" i="1"/>
  <c r="U2192" i="1"/>
  <c r="U2191" i="1"/>
  <c r="U2190" i="1"/>
  <c r="U2189" i="1"/>
  <c r="U2188" i="1"/>
  <c r="U2187" i="1"/>
  <c r="U2186" i="1"/>
  <c r="U2180" i="1"/>
  <c r="U2179" i="1"/>
  <c r="U2176" i="1"/>
  <c r="U2170" i="1"/>
  <c r="U2169" i="1"/>
  <c r="U2168" i="1"/>
  <c r="U2167" i="1"/>
  <c r="U2166" i="1"/>
  <c r="U2162" i="1"/>
  <c r="U2159" i="1"/>
  <c r="U2158" i="1"/>
  <c r="U2157" i="1"/>
  <c r="U2156" i="1"/>
  <c r="U2155" i="1"/>
  <c r="U2154" i="1"/>
  <c r="U2153" i="1"/>
  <c r="U2146" i="1"/>
  <c r="U2145" i="1"/>
  <c r="U2144" i="1"/>
  <c r="U2143" i="1"/>
  <c r="U2142" i="1"/>
  <c r="U2141" i="1"/>
  <c r="U2138" i="1"/>
  <c r="U2137" i="1"/>
  <c r="U2135" i="1"/>
  <c r="U2134" i="1"/>
  <c r="U2131" i="1"/>
  <c r="U2130" i="1"/>
  <c r="U2129" i="1"/>
  <c r="U2128" i="1"/>
  <c r="U2127" i="1"/>
  <c r="U2126" i="1"/>
  <c r="U2125" i="1"/>
  <c r="U2124" i="1"/>
  <c r="U2123" i="1"/>
  <c r="U2122" i="1"/>
  <c r="U2119" i="1"/>
  <c r="U2118" i="1"/>
  <c r="U2117" i="1"/>
  <c r="U2111" i="1"/>
  <c r="U2110" i="1"/>
  <c r="U2109" i="1"/>
  <c r="U2108" i="1"/>
  <c r="U2107" i="1"/>
  <c r="U2106" i="1"/>
  <c r="U2103" i="1"/>
  <c r="U2102" i="1"/>
  <c r="U2095" i="1"/>
  <c r="U2089" i="1"/>
  <c r="U2088" i="1"/>
  <c r="U2087" i="1"/>
  <c r="U2075" i="1"/>
  <c r="U2074" i="1"/>
  <c r="U2073" i="1"/>
  <c r="U2070" i="1"/>
  <c r="U2069" i="1"/>
  <c r="U2068" i="1"/>
  <c r="U2034" i="1"/>
  <c r="U2033" i="1"/>
  <c r="U2029" i="1"/>
  <c r="U2027" i="1"/>
  <c r="U2026" i="1"/>
  <c r="U2025" i="1"/>
  <c r="U2024" i="1"/>
  <c r="U2023" i="1"/>
  <c r="U2021" i="1"/>
  <c r="U2019" i="1"/>
  <c r="U2015" i="1"/>
  <c r="U2014" i="1"/>
  <c r="U2013" i="1"/>
  <c r="U2012" i="1"/>
  <c r="U2011" i="1"/>
  <c r="U2007" i="1"/>
  <c r="U2006" i="1"/>
  <c r="U2005" i="1"/>
  <c r="U2004" i="1"/>
  <c r="U2002" i="1"/>
  <c r="U2001" i="1"/>
  <c r="U2000" i="1"/>
  <c r="U1989" i="1"/>
  <c r="U1988" i="1"/>
  <c r="U1987" i="1"/>
  <c r="U1986" i="1"/>
  <c r="U1985" i="1"/>
  <c r="U1979" i="1"/>
  <c r="U1978" i="1"/>
  <c r="U1977" i="1"/>
  <c r="U1972" i="1"/>
  <c r="U1969" i="1"/>
  <c r="U1968" i="1"/>
  <c r="U1967" i="1"/>
  <c r="U1966" i="1"/>
  <c r="U1965" i="1"/>
  <c r="U1964" i="1"/>
  <c r="U1963" i="1"/>
  <c r="U1962" i="1"/>
  <c r="U1956" i="1"/>
  <c r="U1955" i="1"/>
  <c r="U1953" i="1"/>
  <c r="U1948" i="1"/>
  <c r="U1945" i="1"/>
  <c r="U1943" i="1"/>
  <c r="U1937" i="1"/>
  <c r="U1932" i="1"/>
  <c r="U1929" i="1"/>
  <c r="U1928" i="1"/>
  <c r="U1925" i="1"/>
  <c r="U1923" i="1"/>
  <c r="U1920" i="1"/>
  <c r="U1919" i="1"/>
  <c r="U1918" i="1"/>
  <c r="U1917" i="1"/>
  <c r="U1916" i="1"/>
  <c r="U1915" i="1"/>
  <c r="U1914" i="1"/>
  <c r="U1913" i="1"/>
  <c r="U1896" i="1"/>
  <c r="U1895" i="1"/>
  <c r="U1894" i="1"/>
  <c r="U1893" i="1"/>
  <c r="U1892" i="1"/>
  <c r="U1891" i="1"/>
  <c r="U1890" i="1"/>
  <c r="U1889" i="1"/>
  <c r="U1888" i="1"/>
  <c r="U1882" i="1"/>
  <c r="U1881" i="1"/>
  <c r="U1879" i="1"/>
  <c r="U1877" i="1"/>
  <c r="U1876" i="1"/>
  <c r="U1875" i="1"/>
  <c r="U1874" i="1"/>
  <c r="U1873" i="1"/>
  <c r="U1870" i="1"/>
  <c r="U1867" i="1"/>
  <c r="U1866" i="1"/>
  <c r="U1863" i="1"/>
  <c r="U1860" i="1"/>
  <c r="U1857" i="1"/>
  <c r="U1856" i="1"/>
  <c r="U1855" i="1"/>
  <c r="U1854" i="1"/>
  <c r="U1853" i="1"/>
  <c r="U1842" i="1"/>
  <c r="U1841" i="1"/>
  <c r="U184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5" i="1"/>
  <c r="U1814" i="1"/>
  <c r="U1813" i="1"/>
  <c r="U1805" i="1"/>
  <c r="U1804" i="1"/>
  <c r="U1803" i="1"/>
  <c r="U1799" i="1"/>
  <c r="U1797" i="1"/>
  <c r="U1796" i="1"/>
  <c r="U1795" i="1"/>
  <c r="U1794" i="1"/>
  <c r="U1793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69" i="1"/>
  <c r="U1768" i="1"/>
  <c r="U1765" i="1"/>
  <c r="U1764" i="1"/>
  <c r="U1762" i="1"/>
  <c r="U1755" i="1"/>
  <c r="U1752" i="1"/>
  <c r="U1751" i="1"/>
  <c r="U1750" i="1"/>
  <c r="U1743" i="1"/>
  <c r="U1742" i="1"/>
  <c r="U1741" i="1"/>
  <c r="U1740" i="1"/>
  <c r="U1739" i="1"/>
  <c r="U1735" i="1"/>
  <c r="U1734" i="1"/>
  <c r="U1733" i="1"/>
  <c r="U1726" i="1"/>
  <c r="U1725" i="1"/>
  <c r="U1724" i="1"/>
  <c r="U1722" i="1"/>
  <c r="U1720" i="1"/>
  <c r="U1719" i="1"/>
  <c r="U1718" i="1"/>
  <c r="U1717" i="1"/>
  <c r="U1716" i="1"/>
  <c r="U1715" i="1"/>
  <c r="U1714" i="1"/>
  <c r="U1713" i="1"/>
  <c r="U1706" i="1"/>
  <c r="U1705" i="1"/>
  <c r="U1704" i="1"/>
  <c r="U1703" i="1"/>
  <c r="U1701" i="1"/>
  <c r="U1700" i="1"/>
  <c r="U1699" i="1"/>
  <c r="U1698" i="1"/>
  <c r="U1697" i="1"/>
  <c r="U1694" i="1"/>
  <c r="U1692" i="1"/>
  <c r="U1691" i="1"/>
  <c r="U1685" i="1"/>
  <c r="U1684" i="1"/>
  <c r="U1680" i="1"/>
  <c r="U1679" i="1"/>
  <c r="U1678" i="1"/>
  <c r="U1671" i="1"/>
  <c r="U1670" i="1"/>
  <c r="U1667" i="1"/>
  <c r="U1665" i="1"/>
  <c r="U1664" i="1"/>
  <c r="U1663" i="1"/>
  <c r="U1662" i="1"/>
  <c r="U1661" i="1"/>
  <c r="U1660" i="1"/>
  <c r="U1659" i="1"/>
  <c r="U1654" i="1"/>
  <c r="U1651" i="1"/>
  <c r="U1650" i="1"/>
  <c r="U1648" i="1"/>
  <c r="U1644" i="1"/>
  <c r="U1642" i="1"/>
  <c r="U1640" i="1"/>
  <c r="U1639" i="1"/>
  <c r="U1633" i="1"/>
  <c r="U1632" i="1"/>
  <c r="U1630" i="1"/>
  <c r="U1628" i="1"/>
  <c r="U1623" i="1"/>
  <c r="U1622" i="1"/>
  <c r="U1621" i="1"/>
  <c r="U1620" i="1"/>
  <c r="U1619" i="1"/>
  <c r="U1618" i="1"/>
  <c r="U1617" i="1"/>
  <c r="U1616" i="1"/>
  <c r="U1615" i="1"/>
  <c r="U1614" i="1"/>
  <c r="U1611" i="1"/>
  <c r="U1608" i="1"/>
  <c r="U1606" i="1"/>
  <c r="U1605" i="1"/>
  <c r="U1604" i="1"/>
  <c r="U1603" i="1"/>
  <c r="U1602" i="1"/>
  <c r="U1601" i="1"/>
  <c r="U1599" i="1"/>
  <c r="U1598" i="1"/>
  <c r="U1597" i="1"/>
  <c r="U1596" i="1"/>
  <c r="U1582" i="1"/>
  <c r="U1581" i="1"/>
  <c r="U1580" i="1"/>
  <c r="U1579" i="1"/>
  <c r="U1578" i="1"/>
  <c r="U1577" i="1"/>
  <c r="U1576" i="1"/>
  <c r="U1573" i="1"/>
  <c r="U1572" i="1"/>
  <c r="U1571" i="1"/>
  <c r="U1541" i="1"/>
  <c r="U1540" i="1"/>
  <c r="U1538" i="1"/>
  <c r="U1537" i="1"/>
  <c r="U1532" i="1"/>
  <c r="U1531" i="1"/>
  <c r="U1530" i="1"/>
  <c r="U1529" i="1"/>
  <c r="U1528" i="1"/>
  <c r="U1526" i="1"/>
  <c r="U1525" i="1"/>
  <c r="U1524" i="1"/>
  <c r="U1523" i="1"/>
  <c r="U1522" i="1"/>
  <c r="U1521" i="1"/>
  <c r="U1520" i="1"/>
  <c r="U1519" i="1"/>
  <c r="U1511" i="1"/>
  <c r="U1510" i="1"/>
  <c r="U1509" i="1"/>
  <c r="U1506" i="1"/>
  <c r="U1500" i="1"/>
  <c r="U1499" i="1"/>
  <c r="U1498" i="1"/>
  <c r="U1497" i="1"/>
  <c r="U1496" i="1"/>
  <c r="U1489" i="1"/>
  <c r="U1488" i="1"/>
  <c r="U1487" i="1"/>
  <c r="U1486" i="1"/>
  <c r="U1485" i="1"/>
  <c r="U1460" i="1"/>
  <c r="U1459" i="1"/>
  <c r="U1454" i="1"/>
  <c r="U1453" i="1"/>
  <c r="U1452" i="1"/>
  <c r="U1451" i="1"/>
  <c r="U1450" i="1"/>
  <c r="U1449" i="1"/>
  <c r="U1448" i="1"/>
  <c r="U1447" i="1"/>
  <c r="U1438" i="1"/>
  <c r="U1437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0" i="1"/>
  <c r="U1419" i="1"/>
  <c r="U1418" i="1"/>
  <c r="U1405" i="1"/>
  <c r="U1404" i="1"/>
  <c r="U1402" i="1"/>
  <c r="U1401" i="1"/>
  <c r="U1400" i="1"/>
  <c r="U1399" i="1"/>
  <c r="U1398" i="1"/>
  <c r="U1396" i="1"/>
  <c r="U1395" i="1"/>
  <c r="U1390" i="1"/>
  <c r="U1389" i="1"/>
  <c r="U1386" i="1"/>
  <c r="U1385" i="1"/>
  <c r="U1384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0" i="1"/>
  <c r="U1359" i="1"/>
  <c r="U1358" i="1"/>
  <c r="U1351" i="1"/>
  <c r="U1350" i="1"/>
  <c r="U1349" i="1"/>
  <c r="U1344" i="1"/>
  <c r="U1343" i="1"/>
  <c r="U1341" i="1"/>
  <c r="U1340" i="1"/>
  <c r="U1339" i="1"/>
  <c r="U1338" i="1"/>
  <c r="U1337" i="1"/>
  <c r="U1331" i="1"/>
  <c r="U1330" i="1"/>
  <c r="U1329" i="1"/>
  <c r="U1328" i="1"/>
  <c r="U1327" i="1"/>
  <c r="U1325" i="1"/>
  <c r="U1323" i="1"/>
  <c r="U1322" i="1"/>
  <c r="U1317" i="1"/>
  <c r="U1314" i="1"/>
  <c r="U1313" i="1"/>
  <c r="U1312" i="1"/>
  <c r="U1304" i="1"/>
  <c r="U1303" i="1"/>
  <c r="U1302" i="1"/>
  <c r="U1299" i="1"/>
  <c r="U1296" i="1"/>
  <c r="U1295" i="1"/>
  <c r="U1294" i="1"/>
  <c r="U1293" i="1"/>
  <c r="U1292" i="1"/>
  <c r="U1291" i="1"/>
  <c r="U1289" i="1"/>
  <c r="U1288" i="1"/>
  <c r="U1287" i="1"/>
  <c r="U1286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6" i="1"/>
  <c r="U1235" i="1"/>
  <c r="U1234" i="1"/>
  <c r="U1233" i="1"/>
  <c r="U1232" i="1"/>
  <c r="U1231" i="1"/>
  <c r="U1230" i="1"/>
  <c r="U1229" i="1"/>
  <c r="U1228" i="1"/>
  <c r="U1227" i="1"/>
  <c r="U1223" i="1"/>
  <c r="U1222" i="1"/>
  <c r="U1221" i="1"/>
  <c r="U1215" i="1"/>
  <c r="U1214" i="1"/>
  <c r="U1212" i="1"/>
  <c r="U1211" i="1"/>
  <c r="U1210" i="1"/>
  <c r="U1204" i="1"/>
  <c r="U1203" i="1"/>
  <c r="U1202" i="1"/>
  <c r="U1201" i="1"/>
  <c r="U1200" i="1"/>
  <c r="U1172" i="1"/>
  <c r="U1171" i="1"/>
  <c r="U1168" i="1"/>
  <c r="U1167" i="1"/>
  <c r="U1166" i="1"/>
  <c r="U1165" i="1"/>
  <c r="U1164" i="1"/>
  <c r="U1163" i="1"/>
  <c r="U1162" i="1"/>
  <c r="U1161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83" i="1"/>
  <c r="U982" i="1"/>
  <c r="U981" i="1"/>
  <c r="U980" i="1"/>
  <c r="U979" i="1"/>
  <c r="U993" i="1"/>
  <c r="U992" i="1"/>
  <c r="U991" i="1"/>
  <c r="U990" i="1"/>
  <c r="U989" i="1"/>
  <c r="U978" i="1"/>
  <c r="U977" i="1"/>
  <c r="U976" i="1"/>
  <c r="U975" i="1"/>
  <c r="U974" i="1"/>
  <c r="U973" i="1"/>
  <c r="U972" i="1"/>
  <c r="U970" i="1"/>
  <c r="U969" i="1"/>
  <c r="U968" i="1"/>
  <c r="U960" i="1"/>
  <c r="U959" i="1"/>
  <c r="U958" i="1"/>
  <c r="U956" i="1"/>
  <c r="U955" i="1"/>
  <c r="U954" i="1"/>
  <c r="U953" i="1"/>
  <c r="U914" i="1"/>
  <c r="U913" i="1"/>
  <c r="U912" i="1"/>
  <c r="U910" i="1"/>
  <c r="U906" i="1"/>
  <c r="U905" i="1"/>
  <c r="U904" i="1"/>
  <c r="U898" i="1"/>
  <c r="U897" i="1"/>
  <c r="U896" i="1"/>
  <c r="U895" i="1"/>
  <c r="U892" i="1"/>
  <c r="U891" i="1"/>
  <c r="U890" i="1"/>
  <c r="U873" i="1"/>
  <c r="U872" i="1"/>
  <c r="U871" i="1"/>
  <c r="U870" i="1"/>
  <c r="U869" i="1"/>
  <c r="U864" i="1"/>
  <c r="U863" i="1"/>
  <c r="U862" i="1"/>
  <c r="U861" i="1"/>
  <c r="U860" i="1"/>
  <c r="U857" i="1"/>
  <c r="U854" i="1"/>
  <c r="U852" i="1"/>
  <c r="U849" i="1"/>
  <c r="U843" i="1"/>
  <c r="U842" i="1"/>
  <c r="U841" i="1"/>
  <c r="U840" i="1"/>
  <c r="U839" i="1"/>
  <c r="U838" i="1"/>
  <c r="U837" i="1"/>
  <c r="U836" i="1"/>
  <c r="U835" i="1"/>
  <c r="U834" i="1"/>
  <c r="U833" i="1"/>
  <c r="U828" i="1"/>
  <c r="U827" i="1"/>
  <c r="U826" i="1"/>
  <c r="U825" i="1"/>
  <c r="U824" i="1"/>
  <c r="U822" i="1"/>
  <c r="U821" i="1"/>
  <c r="U820" i="1"/>
  <c r="U819" i="1"/>
  <c r="U818" i="1"/>
  <c r="U814" i="1"/>
  <c r="U811" i="1"/>
  <c r="U808" i="1"/>
  <c r="U803" i="1"/>
  <c r="U798" i="1"/>
  <c r="U797" i="1"/>
  <c r="U796" i="1"/>
  <c r="U795" i="1"/>
  <c r="U794" i="1"/>
  <c r="U792" i="1"/>
  <c r="U791" i="1"/>
  <c r="U790" i="1"/>
  <c r="U782" i="1"/>
  <c r="U781" i="1"/>
  <c r="U778" i="1"/>
  <c r="U775" i="1"/>
  <c r="U774" i="1"/>
  <c r="U772" i="1"/>
  <c r="U771" i="1"/>
  <c r="U765" i="1"/>
  <c r="U764" i="1"/>
  <c r="U763" i="1"/>
  <c r="U762" i="1"/>
  <c r="U759" i="1"/>
  <c r="U756" i="1"/>
  <c r="U754" i="1"/>
  <c r="U753" i="1"/>
  <c r="U752" i="1"/>
  <c r="U751" i="1"/>
  <c r="U750" i="1"/>
  <c r="U749" i="1"/>
  <c r="U746" i="1"/>
  <c r="U744" i="1"/>
  <c r="U742" i="1"/>
  <c r="U740" i="1"/>
  <c r="U739" i="1"/>
  <c r="U738" i="1"/>
  <c r="U737" i="1"/>
  <c r="U736" i="1"/>
  <c r="U735" i="1"/>
  <c r="U734" i="1"/>
  <c r="U733" i="1"/>
  <c r="U725" i="1"/>
  <c r="U724" i="1"/>
  <c r="U723" i="1"/>
  <c r="U720" i="1"/>
  <c r="U719" i="1"/>
  <c r="U717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7" i="1"/>
  <c r="U686" i="1"/>
  <c r="U685" i="1"/>
  <c r="U684" i="1"/>
  <c r="U683" i="1"/>
  <c r="U682" i="1"/>
  <c r="U679" i="1"/>
  <c r="U678" i="1"/>
  <c r="U677" i="1"/>
  <c r="U676" i="1"/>
  <c r="U675" i="1"/>
  <c r="U674" i="1"/>
  <c r="U665" i="1"/>
  <c r="U654" i="1"/>
  <c r="U653" i="1"/>
  <c r="U652" i="1"/>
  <c r="U646" i="1"/>
  <c r="U645" i="1"/>
  <c r="U644" i="1"/>
  <c r="U643" i="1"/>
  <c r="U642" i="1"/>
  <c r="U641" i="1"/>
  <c r="U640" i="1"/>
  <c r="U639" i="1"/>
  <c r="U638" i="1"/>
  <c r="U637" i="1"/>
  <c r="U636" i="1"/>
  <c r="U630" i="1"/>
  <c r="U629" i="1"/>
  <c r="U628" i="1"/>
  <c r="U627" i="1"/>
  <c r="U626" i="1"/>
  <c r="U625" i="1"/>
  <c r="U624" i="1"/>
  <c r="U623" i="1"/>
  <c r="U618" i="1"/>
  <c r="U617" i="1"/>
  <c r="U615" i="1"/>
  <c r="U614" i="1"/>
  <c r="U613" i="1"/>
  <c r="U612" i="1"/>
  <c r="U611" i="1"/>
  <c r="U610" i="1"/>
  <c r="U609" i="1"/>
  <c r="U608" i="1"/>
  <c r="U607" i="1"/>
  <c r="U600" i="1"/>
  <c r="U599" i="1"/>
  <c r="U593" i="1"/>
  <c r="U592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5" i="1"/>
  <c r="U574" i="1"/>
  <c r="U573" i="1"/>
  <c r="U561" i="1"/>
  <c r="U560" i="1"/>
  <c r="U559" i="1"/>
  <c r="U556" i="1"/>
  <c r="U555" i="1"/>
  <c r="U554" i="1"/>
  <c r="U553" i="1"/>
  <c r="U552" i="1"/>
  <c r="U550" i="1"/>
  <c r="U546" i="1"/>
  <c r="U543" i="1"/>
  <c r="U542" i="1"/>
  <c r="U541" i="1"/>
  <c r="U540" i="1"/>
  <c r="U538" i="1"/>
  <c r="U537" i="1"/>
  <c r="U536" i="1"/>
  <c r="U500" i="1"/>
  <c r="U499" i="1"/>
  <c r="U497" i="1"/>
  <c r="U496" i="1"/>
  <c r="U494" i="1"/>
  <c r="U490" i="1"/>
  <c r="U489" i="1"/>
  <c r="U488" i="1"/>
  <c r="U487" i="1"/>
  <c r="U486" i="1"/>
  <c r="U485" i="1"/>
  <c r="U484" i="1"/>
  <c r="U483" i="1"/>
  <c r="U482" i="1"/>
  <c r="U481" i="1"/>
  <c r="U480" i="1"/>
  <c r="U477" i="1"/>
  <c r="U476" i="1"/>
  <c r="U475" i="1"/>
  <c r="U474" i="1"/>
  <c r="U473" i="1"/>
  <c r="U472" i="1"/>
  <c r="U469" i="1"/>
  <c r="U468" i="1"/>
  <c r="U467" i="1"/>
  <c r="U466" i="1"/>
  <c r="U465" i="1"/>
  <c r="U459" i="1"/>
  <c r="U458" i="1"/>
  <c r="U457" i="1"/>
  <c r="U451" i="1"/>
  <c r="U450" i="1"/>
  <c r="U449" i="1"/>
  <c r="U448" i="1"/>
  <c r="U447" i="1"/>
  <c r="U441" i="1"/>
  <c r="U440" i="1"/>
  <c r="U437" i="1"/>
  <c r="U435" i="1"/>
  <c r="U434" i="1"/>
  <c r="U433" i="1"/>
  <c r="U432" i="1"/>
  <c r="U429" i="1"/>
  <c r="U428" i="1"/>
  <c r="U427" i="1"/>
  <c r="U426" i="1"/>
  <c r="U425" i="1"/>
  <c r="U424" i="1"/>
  <c r="U421" i="1"/>
  <c r="U420" i="1"/>
  <c r="U419" i="1"/>
  <c r="U418" i="1"/>
  <c r="U417" i="1"/>
  <c r="U416" i="1"/>
  <c r="U415" i="1"/>
  <c r="U414" i="1"/>
  <c r="U413" i="1"/>
  <c r="U412" i="1"/>
  <c r="U411" i="1"/>
  <c r="U404" i="1"/>
  <c r="U403" i="1"/>
  <c r="U402" i="1"/>
  <c r="U401" i="1"/>
  <c r="U398" i="1"/>
  <c r="U397" i="1"/>
  <c r="U396" i="1"/>
  <c r="U395" i="1"/>
  <c r="U394" i="1"/>
  <c r="U388" i="1"/>
  <c r="U387" i="1"/>
  <c r="U378" i="1"/>
  <c r="U377" i="1"/>
  <c r="U376" i="1"/>
  <c r="U375" i="1"/>
  <c r="U374" i="1"/>
  <c r="U373" i="1"/>
  <c r="U372" i="1"/>
  <c r="U369" i="1"/>
  <c r="U368" i="1"/>
  <c r="U367" i="1"/>
  <c r="U366" i="1"/>
  <c r="U364" i="1"/>
  <c r="U362" i="1"/>
  <c r="U361" i="1"/>
  <c r="U360" i="1"/>
  <c r="U359" i="1"/>
  <c r="U358" i="1"/>
  <c r="U357" i="1"/>
  <c r="U355" i="1"/>
  <c r="U349" i="1"/>
  <c r="U348" i="1"/>
  <c r="U347" i="1"/>
  <c r="U346" i="1"/>
  <c r="U345" i="1"/>
  <c r="U344" i="1"/>
  <c r="U343" i="1"/>
  <c r="U342" i="1"/>
  <c r="U336" i="1"/>
  <c r="U335" i="1"/>
  <c r="U333" i="1"/>
  <c r="U332" i="1"/>
  <c r="U331" i="1"/>
  <c r="U329" i="1"/>
  <c r="U328" i="1"/>
  <c r="U327" i="1"/>
  <c r="U325" i="1"/>
  <c r="U324" i="1"/>
  <c r="U322" i="1"/>
  <c r="U318" i="1"/>
  <c r="U317" i="1"/>
  <c r="U316" i="1"/>
  <c r="U315" i="1"/>
  <c r="U314" i="1"/>
  <c r="U313" i="1"/>
  <c r="U312" i="1"/>
  <c r="U311" i="1"/>
  <c r="U310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4" i="1"/>
  <c r="U283" i="1"/>
  <c r="U282" i="1"/>
  <c r="U281" i="1"/>
  <c r="U279" i="1"/>
  <c r="U278" i="1"/>
  <c r="U276" i="1"/>
  <c r="U275" i="1"/>
  <c r="U274" i="1"/>
  <c r="U273" i="1"/>
  <c r="U271" i="1"/>
  <c r="U270" i="1"/>
  <c r="U269" i="1"/>
  <c r="U268" i="1"/>
  <c r="U267" i="1"/>
  <c r="U266" i="1"/>
  <c r="U265" i="1"/>
  <c r="U251" i="1"/>
  <c r="U250" i="1"/>
  <c r="U249" i="1"/>
  <c r="U248" i="1"/>
  <c r="U247" i="1"/>
  <c r="U246" i="1"/>
  <c r="U245" i="1"/>
  <c r="U241" i="1"/>
  <c r="U240" i="1"/>
  <c r="U239" i="1"/>
  <c r="U238" i="1"/>
  <c r="U237" i="1"/>
  <c r="U236" i="1"/>
  <c r="U235" i="1"/>
  <c r="U234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0" i="1"/>
  <c r="U149" i="1"/>
  <c r="U148" i="1"/>
  <c r="U147" i="1"/>
  <c r="U146" i="1"/>
  <c r="U142" i="1"/>
  <c r="U141" i="1"/>
  <c r="U140" i="1"/>
  <c r="U134" i="1"/>
  <c r="U133" i="1"/>
  <c r="U131" i="1"/>
  <c r="U127" i="1"/>
  <c r="U125" i="1"/>
  <c r="U122" i="1"/>
  <c r="U121" i="1"/>
  <c r="U120" i="1"/>
  <c r="U119" i="1"/>
  <c r="U118" i="1"/>
  <c r="U116" i="1"/>
  <c r="U115" i="1"/>
  <c r="U109" i="1"/>
  <c r="U108" i="1"/>
  <c r="U107" i="1"/>
  <c r="U105" i="1"/>
  <c r="U104" i="1"/>
  <c r="U103" i="1"/>
  <c r="U102" i="1"/>
  <c r="U101" i="1"/>
  <c r="U100" i="1"/>
  <c r="U98" i="1"/>
  <c r="U93" i="1"/>
  <c r="U92" i="1"/>
  <c r="U91" i="1"/>
  <c r="U90" i="1"/>
  <c r="U89" i="1"/>
  <c r="U88" i="1"/>
  <c r="U86" i="1"/>
  <c r="U85" i="1"/>
  <c r="U84" i="1"/>
  <c r="U83" i="1"/>
  <c r="U82" i="1"/>
  <c r="U75" i="1"/>
  <c r="U74" i="1"/>
  <c r="U73" i="1"/>
  <c r="U67" i="1"/>
  <c r="U66" i="1"/>
  <c r="U62" i="1"/>
  <c r="U61" i="1"/>
  <c r="U60" i="1"/>
  <c r="U59" i="1"/>
  <c r="U58" i="1"/>
  <c r="U56" i="1"/>
  <c r="U53" i="1"/>
  <c r="U52" i="1"/>
  <c r="U51" i="1"/>
  <c r="U49" i="1"/>
  <c r="U39" i="1"/>
  <c r="U38" i="1"/>
  <c r="U33" i="1"/>
  <c r="U32" i="1"/>
  <c r="U31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V6779" i="1"/>
  <c r="V6771" i="1"/>
  <c r="V6770" i="1"/>
  <c r="V6752" i="1"/>
  <c r="V6751" i="1"/>
  <c r="V6739" i="1"/>
  <c r="V6738" i="1"/>
  <c r="V6737" i="1"/>
  <c r="V6736" i="1"/>
  <c r="V6734" i="1"/>
  <c r="V6733" i="1"/>
  <c r="V6727" i="1"/>
  <c r="V6726" i="1"/>
  <c r="V6715" i="1"/>
  <c r="V6714" i="1"/>
  <c r="V6707" i="1"/>
  <c r="V6706" i="1"/>
  <c r="V6701" i="1"/>
  <c r="V6700" i="1"/>
  <c r="V6699" i="1"/>
  <c r="V6698" i="1"/>
  <c r="V6693" i="1"/>
  <c r="V6692" i="1"/>
  <c r="V6691" i="1"/>
  <c r="V6690" i="1"/>
  <c r="V6672" i="1"/>
  <c r="V6671" i="1"/>
  <c r="V6670" i="1"/>
  <c r="V6669" i="1"/>
  <c r="V6666" i="1"/>
  <c r="V6665" i="1"/>
  <c r="V6658" i="1"/>
  <c r="V6657" i="1"/>
  <c r="V6652" i="1"/>
  <c r="V6651" i="1"/>
  <c r="V6637" i="1"/>
  <c r="V6636" i="1"/>
  <c r="V6634" i="1"/>
  <c r="V6633" i="1"/>
  <c r="V6632" i="1"/>
  <c r="V6631" i="1"/>
  <c r="V6627" i="1"/>
  <c r="V6626" i="1"/>
  <c r="V6620" i="1"/>
  <c r="V6619" i="1"/>
  <c r="V6611" i="1"/>
  <c r="V6610" i="1"/>
  <c r="V6603" i="1"/>
  <c r="V6602" i="1"/>
  <c r="V6600" i="1"/>
  <c r="V6599" i="1"/>
  <c r="V6585" i="1"/>
  <c r="V6584" i="1"/>
  <c r="V6573" i="1"/>
  <c r="V6572" i="1"/>
  <c r="V6571" i="1"/>
  <c r="V6570" i="1"/>
  <c r="V6563" i="1"/>
  <c r="V6562" i="1"/>
  <c r="V6561" i="1"/>
  <c r="V6560" i="1"/>
  <c r="V6556" i="1"/>
  <c r="V6555" i="1"/>
  <c r="V6554" i="1"/>
  <c r="V6553" i="1"/>
  <c r="V6548" i="1"/>
  <c r="V6547" i="1"/>
  <c r="V6546" i="1"/>
  <c r="V6545" i="1"/>
  <c r="V6539" i="1"/>
  <c r="V6538" i="1"/>
  <c r="V6537" i="1"/>
  <c r="V6536" i="1"/>
  <c r="V6531" i="1"/>
  <c r="V6530" i="1"/>
  <c r="V6529" i="1"/>
  <c r="V6528" i="1"/>
  <c r="V6518" i="1"/>
  <c r="V6517" i="1"/>
  <c r="V6516" i="1"/>
  <c r="V6515" i="1"/>
  <c r="V6513" i="1"/>
  <c r="V6512" i="1"/>
  <c r="V6511" i="1"/>
  <c r="V6510" i="1"/>
  <c r="V6504" i="1"/>
  <c r="V6503" i="1"/>
  <c r="V6502" i="1"/>
  <c r="V6501" i="1"/>
  <c r="V6492" i="1"/>
  <c r="V6491" i="1"/>
  <c r="V6490" i="1"/>
  <c r="V6489" i="1"/>
  <c r="V6477" i="1"/>
  <c r="V6476" i="1"/>
  <c r="V6454" i="1"/>
  <c r="V6453" i="1"/>
  <c r="V6445" i="1"/>
  <c r="V6444" i="1"/>
  <c r="V6443" i="1"/>
  <c r="V6442" i="1"/>
  <c r="V6440" i="1"/>
  <c r="V6439" i="1"/>
  <c r="V6428" i="1"/>
  <c r="V6427" i="1"/>
  <c r="V6425" i="1"/>
  <c r="V6424" i="1"/>
  <c r="V6413" i="1"/>
  <c r="V6412" i="1"/>
  <c r="V6410" i="1"/>
  <c r="V6409" i="1"/>
  <c r="V6403" i="1"/>
  <c r="V6402" i="1"/>
  <c r="V6400" i="1"/>
  <c r="V6399" i="1"/>
  <c r="V6393" i="1"/>
  <c r="V6392" i="1"/>
  <c r="V6372" i="1"/>
  <c r="V6371" i="1"/>
  <c r="V6370" i="1"/>
  <c r="V6369" i="1"/>
  <c r="V6367" i="1"/>
  <c r="V6366" i="1"/>
  <c r="V6365" i="1"/>
  <c r="V6364" i="1"/>
  <c r="V6348" i="1"/>
  <c r="V6347" i="1"/>
  <c r="V6346" i="1"/>
  <c r="V6345" i="1"/>
  <c r="V6332" i="1"/>
  <c r="V6331" i="1"/>
  <c r="V6330" i="1"/>
  <c r="V6329" i="1"/>
  <c r="V6327" i="1"/>
  <c r="V6326" i="1"/>
  <c r="V6320" i="1"/>
  <c r="V6319" i="1"/>
  <c r="V6313" i="1"/>
  <c r="V6312" i="1"/>
  <c r="V6311" i="1"/>
  <c r="V6310" i="1"/>
  <c r="V6307" i="1"/>
  <c r="V6306" i="1"/>
  <c r="V6299" i="1"/>
  <c r="V6298" i="1"/>
  <c r="V6294" i="1"/>
  <c r="V6293" i="1"/>
  <c r="V6292" i="1"/>
  <c r="V6291" i="1"/>
  <c r="V6287" i="1"/>
  <c r="V6286" i="1"/>
  <c r="V6285" i="1"/>
  <c r="V6284" i="1"/>
  <c r="V6282" i="1"/>
  <c r="V6281" i="1"/>
  <c r="V6275" i="1"/>
  <c r="V6274" i="1"/>
  <c r="V6269" i="1"/>
  <c r="V6268" i="1"/>
  <c r="V6267" i="1"/>
  <c r="V6266" i="1"/>
  <c r="V6255" i="1"/>
  <c r="V6254" i="1"/>
  <c r="V6243" i="1"/>
  <c r="V6242" i="1"/>
  <c r="V6222" i="1"/>
  <c r="V6221" i="1"/>
  <c r="V6220" i="1"/>
  <c r="V6219" i="1"/>
  <c r="V6217" i="1"/>
  <c r="V6216" i="1"/>
  <c r="V6210" i="1"/>
  <c r="V6209" i="1"/>
  <c r="V6207" i="1"/>
  <c r="V6206" i="1"/>
  <c r="V6205" i="1"/>
  <c r="V6204" i="1"/>
  <c r="V6128" i="1"/>
  <c r="V6127" i="1"/>
  <c r="V6126" i="1"/>
  <c r="V6125" i="1"/>
  <c r="V6120" i="1"/>
  <c r="V6119" i="1"/>
  <c r="V6113" i="1"/>
  <c r="V6112" i="1"/>
  <c r="V6107" i="1"/>
  <c r="V6106" i="1"/>
  <c r="V6105" i="1"/>
  <c r="V6104" i="1"/>
  <c r="V6099" i="1"/>
  <c r="V6098" i="1"/>
  <c r="V6070" i="1"/>
  <c r="V6069" i="1"/>
  <c r="V6065" i="1"/>
  <c r="V6064" i="1"/>
  <c r="V6063" i="1"/>
  <c r="V6062" i="1"/>
  <c r="V6056" i="1"/>
  <c r="V6055" i="1"/>
  <c r="V6054" i="1"/>
  <c r="V6053" i="1"/>
  <c r="V6048" i="1"/>
  <c r="V6047" i="1"/>
  <c r="V6041" i="1"/>
  <c r="V6040" i="1"/>
  <c r="V6034" i="1"/>
  <c r="V6033" i="1"/>
  <c r="V6032" i="1"/>
  <c r="V6031" i="1"/>
  <c r="V6023" i="1"/>
  <c r="V6022" i="1"/>
  <c r="V6021" i="1"/>
  <c r="V6020" i="1"/>
  <c r="V6017" i="1"/>
  <c r="V6016" i="1"/>
  <c r="V6015" i="1"/>
  <c r="V6014" i="1"/>
  <c r="V6010" i="1"/>
  <c r="V6009" i="1"/>
  <c r="V6003" i="1"/>
  <c r="V6002" i="1"/>
  <c r="V6000" i="1"/>
  <c r="V5999" i="1"/>
  <c r="V5998" i="1"/>
  <c r="V5997" i="1"/>
  <c r="V5994" i="1"/>
  <c r="V5993" i="1"/>
  <c r="V5992" i="1"/>
  <c r="V5991" i="1"/>
  <c r="V5989" i="1"/>
  <c r="V5988" i="1"/>
  <c r="V5974" i="1"/>
  <c r="V5973" i="1"/>
  <c r="V5967" i="1"/>
  <c r="V5966" i="1"/>
  <c r="V5965" i="1"/>
  <c r="V5964" i="1"/>
  <c r="V5935" i="1"/>
  <c r="V5934" i="1"/>
  <c r="V5923" i="1"/>
  <c r="V5922" i="1"/>
  <c r="V5918" i="1"/>
  <c r="V5917" i="1"/>
  <c r="V5904" i="1"/>
  <c r="V5903" i="1"/>
  <c r="V5899" i="1"/>
  <c r="V5898" i="1"/>
  <c r="V5897" i="1"/>
  <c r="V5896" i="1"/>
  <c r="V5891" i="1"/>
  <c r="V5890" i="1"/>
  <c r="V5889" i="1"/>
  <c r="V5888" i="1"/>
  <c r="V5886" i="1"/>
  <c r="V5885" i="1"/>
  <c r="V5884" i="1"/>
  <c r="V5883" i="1"/>
  <c r="V5877" i="1"/>
  <c r="V5876" i="1"/>
  <c r="V5869" i="1"/>
  <c r="V5868" i="1"/>
  <c r="V5825" i="1"/>
  <c r="V5824" i="1"/>
  <c r="V5823" i="1"/>
  <c r="V5822" i="1"/>
  <c r="V5778" i="1"/>
  <c r="V5777" i="1"/>
  <c r="V5776" i="1"/>
  <c r="V5775" i="1"/>
  <c r="V5765" i="1"/>
  <c r="V5764" i="1"/>
  <c r="V5758" i="1"/>
  <c r="V5757" i="1"/>
  <c r="V5754" i="1"/>
  <c r="V5753" i="1"/>
  <c r="V5747" i="1"/>
  <c r="V5746" i="1"/>
  <c r="V5731" i="1"/>
  <c r="V5730" i="1"/>
  <c r="V5729" i="1"/>
  <c r="V5728" i="1"/>
  <c r="V5726" i="1"/>
  <c r="V5725" i="1"/>
  <c r="V5724" i="1"/>
  <c r="V5723" i="1"/>
  <c r="V5715" i="1"/>
  <c r="V5714" i="1"/>
  <c r="V5713" i="1"/>
  <c r="V5712" i="1"/>
  <c r="V5697" i="1"/>
  <c r="V5696" i="1"/>
  <c r="V5685" i="1"/>
  <c r="V5684" i="1"/>
  <c r="V5677" i="1"/>
  <c r="V5676" i="1"/>
  <c r="V5675" i="1"/>
  <c r="V5674" i="1"/>
  <c r="V5642" i="1"/>
  <c r="V5641" i="1"/>
  <c r="V5640" i="1"/>
  <c r="V5639" i="1"/>
  <c r="V5627" i="1"/>
  <c r="V5626" i="1"/>
  <c r="V5625" i="1"/>
  <c r="V5624" i="1"/>
  <c r="V5579" i="1"/>
  <c r="V5578" i="1"/>
  <c r="V5577" i="1"/>
  <c r="V5576" i="1"/>
  <c r="V5519" i="1"/>
  <c r="V5518" i="1"/>
  <c r="V5517" i="1"/>
  <c r="V5516" i="1"/>
  <c r="V5514" i="1"/>
  <c r="V5513" i="1"/>
  <c r="V5488" i="1"/>
  <c r="V5487" i="1"/>
  <c r="V5466" i="1"/>
  <c r="V5465" i="1"/>
  <c r="V5458" i="1"/>
  <c r="V5457" i="1"/>
  <c r="V5449" i="1"/>
  <c r="V5448" i="1"/>
  <c r="V5427" i="1"/>
  <c r="V5426" i="1"/>
  <c r="V5421" i="1"/>
  <c r="V5420" i="1"/>
  <c r="V5413" i="1"/>
  <c r="V5412" i="1"/>
  <c r="V5396" i="1"/>
  <c r="V5395" i="1"/>
  <c r="V5389" i="1"/>
  <c r="V5388" i="1"/>
  <c r="V5381" i="1"/>
  <c r="V5380" i="1"/>
  <c r="V5347" i="1"/>
  <c r="V5346" i="1"/>
  <c r="V5338" i="1"/>
  <c r="V5337" i="1"/>
  <c r="V5336" i="1"/>
  <c r="V5335" i="1"/>
  <c r="V5331" i="1"/>
  <c r="V5330" i="1"/>
  <c r="V5329" i="1"/>
  <c r="V5328" i="1"/>
  <c r="V5315" i="1"/>
  <c r="V5314" i="1"/>
  <c r="V5313" i="1"/>
  <c r="V5312" i="1"/>
  <c r="V5303" i="1"/>
  <c r="V5302" i="1"/>
  <c r="V5301" i="1"/>
  <c r="V5300" i="1"/>
  <c r="V5298" i="1"/>
  <c r="V5297" i="1"/>
  <c r="V5296" i="1"/>
  <c r="V5295" i="1"/>
  <c r="V5292" i="1"/>
  <c r="V5291" i="1"/>
  <c r="V5290" i="1"/>
  <c r="V5289" i="1"/>
  <c r="V5283" i="1"/>
  <c r="V5282" i="1"/>
  <c r="V5247" i="1"/>
  <c r="V5246" i="1"/>
  <c r="V5234" i="1"/>
  <c r="V5233" i="1"/>
  <c r="V5232" i="1"/>
  <c r="V5231" i="1"/>
  <c r="V5222" i="1"/>
  <c r="V5221" i="1"/>
  <c r="V5220" i="1"/>
  <c r="V5219" i="1"/>
  <c r="V5216" i="1"/>
  <c r="V5215" i="1"/>
  <c r="V5203" i="1"/>
  <c r="V5202" i="1"/>
  <c r="V5190" i="1"/>
  <c r="V5189" i="1"/>
  <c r="V5188" i="1"/>
  <c r="V5187" i="1"/>
  <c r="V5138" i="1"/>
  <c r="V5137" i="1"/>
  <c r="V5136" i="1"/>
  <c r="V5135" i="1"/>
  <c r="V5132" i="1"/>
  <c r="V5131" i="1"/>
  <c r="V5116" i="1"/>
  <c r="V5115" i="1"/>
  <c r="V5083" i="1"/>
  <c r="V5082" i="1"/>
  <c r="V5081" i="1"/>
  <c r="V5080" i="1"/>
  <c r="V5077" i="1"/>
  <c r="V5076" i="1"/>
  <c r="V5075" i="1"/>
  <c r="V5074" i="1"/>
  <c r="V5062" i="1"/>
  <c r="V5061" i="1"/>
  <c r="V5060" i="1"/>
  <c r="V5059" i="1"/>
  <c r="V5045" i="1"/>
  <c r="V5044" i="1"/>
  <c r="V5043" i="1"/>
  <c r="V5042" i="1"/>
  <c r="V5035" i="1"/>
  <c r="V5024" i="1"/>
  <c r="V5023" i="1"/>
  <c r="V5022" i="1"/>
  <c r="V5021" i="1"/>
  <c r="V5017" i="1"/>
  <c r="V5016" i="1"/>
  <c r="V5015" i="1"/>
  <c r="V5014" i="1"/>
  <c r="V4992" i="1"/>
  <c r="V4991" i="1"/>
  <c r="V4990" i="1"/>
  <c r="V4989" i="1"/>
  <c r="V4969" i="1"/>
  <c r="V4968" i="1"/>
  <c r="V4967" i="1"/>
  <c r="V4966" i="1"/>
  <c r="V4964" i="1"/>
  <c r="V4963" i="1"/>
  <c r="V4956" i="1"/>
  <c r="V4955" i="1"/>
  <c r="V4952" i="1"/>
  <c r="V4951" i="1"/>
  <c r="V4950" i="1"/>
  <c r="V4949" i="1"/>
  <c r="V4944" i="1"/>
  <c r="V4943" i="1"/>
  <c r="V4932" i="1"/>
  <c r="V4931" i="1"/>
  <c r="V4925" i="1"/>
  <c r="V4924" i="1"/>
  <c r="V4923" i="1"/>
  <c r="V4922" i="1"/>
  <c r="V4918" i="1"/>
  <c r="V4917" i="1"/>
  <c r="V4916" i="1"/>
  <c r="V4915" i="1"/>
  <c r="V4911" i="1"/>
  <c r="V4910" i="1"/>
  <c r="V4904" i="1"/>
  <c r="V4903" i="1"/>
  <c r="V4829" i="1"/>
  <c r="V4828" i="1"/>
  <c r="V4827" i="1"/>
  <c r="V4826" i="1"/>
  <c r="V4822" i="1"/>
  <c r="V4821" i="1"/>
  <c r="V4820" i="1"/>
  <c r="V4819" i="1"/>
  <c r="V4782" i="1"/>
  <c r="V4781" i="1"/>
  <c r="V4780" i="1"/>
  <c r="V4779" i="1"/>
  <c r="V4758" i="1"/>
  <c r="V4757" i="1"/>
  <c r="V4756" i="1"/>
  <c r="V4755" i="1"/>
  <c r="V4710" i="1"/>
  <c r="V4709" i="1"/>
  <c r="V4708" i="1"/>
  <c r="V4707" i="1"/>
  <c r="V4701" i="1"/>
  <c r="V4700" i="1"/>
  <c r="V4699" i="1"/>
  <c r="V4698" i="1"/>
  <c r="V4696" i="1"/>
  <c r="V4695" i="1"/>
  <c r="V4694" i="1"/>
  <c r="V4693" i="1"/>
  <c r="V4686" i="1"/>
  <c r="V4685" i="1"/>
  <c r="V4678" i="1"/>
  <c r="V4677" i="1"/>
  <c r="V4674" i="1"/>
  <c r="V4673" i="1"/>
  <c r="V4672" i="1"/>
  <c r="V4671" i="1"/>
  <c r="V4664" i="1"/>
  <c r="V4663" i="1"/>
  <c r="V4662" i="1"/>
  <c r="V4661" i="1"/>
  <c r="V4654" i="1"/>
  <c r="V4653" i="1"/>
  <c r="V4645" i="1"/>
  <c r="V4644" i="1"/>
  <c r="V4635" i="1"/>
  <c r="V4634" i="1"/>
  <c r="V4633" i="1"/>
  <c r="V4632" i="1"/>
  <c r="V4601" i="1"/>
  <c r="V4600" i="1"/>
  <c r="V4599" i="1"/>
  <c r="V4598" i="1"/>
  <c r="V4571" i="1"/>
  <c r="V4441" i="1"/>
  <c r="V4440" i="1"/>
  <c r="V4439" i="1"/>
  <c r="V4438" i="1"/>
  <c r="V4436" i="1"/>
  <c r="V4435" i="1"/>
  <c r="V4414" i="1"/>
  <c r="V4413" i="1"/>
  <c r="V4405" i="1"/>
  <c r="V4404" i="1"/>
  <c r="V4403" i="1"/>
  <c r="V4402" i="1"/>
  <c r="V4400" i="1"/>
  <c r="V4399" i="1"/>
  <c r="V4393" i="1"/>
  <c r="V4392" i="1"/>
  <c r="V4388" i="1"/>
  <c r="V4387" i="1"/>
  <c r="V4386" i="1"/>
  <c r="V4385" i="1"/>
  <c r="V4379" i="1"/>
  <c r="V4378" i="1"/>
  <c r="V4367" i="1"/>
  <c r="V4366" i="1"/>
  <c r="V4363" i="1"/>
  <c r="V4362" i="1"/>
  <c r="V4333" i="1"/>
  <c r="V4332" i="1"/>
  <c r="V4330" i="1"/>
  <c r="V4329" i="1"/>
  <c r="V4320" i="1"/>
  <c r="V4319" i="1"/>
  <c r="V4309" i="1"/>
  <c r="V4308" i="1"/>
  <c r="V4307" i="1"/>
  <c r="V4306" i="1"/>
  <c r="V4303" i="1"/>
  <c r="V4302" i="1"/>
  <c r="V4296" i="1"/>
  <c r="V4295" i="1"/>
  <c r="V4267" i="1"/>
  <c r="V4266" i="1"/>
  <c r="V4265" i="1"/>
  <c r="V4264" i="1"/>
  <c r="V4261" i="1"/>
  <c r="V4260" i="1"/>
  <c r="V4259" i="1"/>
  <c r="V4258" i="1"/>
  <c r="V4256" i="1"/>
  <c r="V4255" i="1"/>
  <c r="V4254" i="1"/>
  <c r="V4253" i="1"/>
  <c r="V4244" i="1"/>
  <c r="V4243" i="1"/>
  <c r="V4233" i="1"/>
  <c r="V4232" i="1"/>
  <c r="V4197" i="1"/>
  <c r="V4196" i="1"/>
  <c r="V4187" i="1"/>
  <c r="V4186" i="1"/>
  <c r="V4154" i="1"/>
  <c r="V4153" i="1"/>
  <c r="V4145" i="1"/>
  <c r="V4144" i="1"/>
  <c r="V4118" i="1"/>
  <c r="V4117" i="1"/>
  <c r="V4111" i="1"/>
  <c r="V4110" i="1"/>
  <c r="V4091" i="1"/>
  <c r="V4090" i="1"/>
  <c r="V4089" i="1"/>
  <c r="V4088" i="1"/>
  <c r="V4081" i="1"/>
  <c r="V4080" i="1"/>
  <c r="V4079" i="1"/>
  <c r="V4078" i="1"/>
  <c r="V4046" i="1"/>
  <c r="V4045" i="1"/>
  <c r="V4039" i="1"/>
  <c r="V4038" i="1"/>
  <c r="V4025" i="1"/>
  <c r="V4024" i="1"/>
  <c r="V4000" i="1"/>
  <c r="V3999" i="1"/>
  <c r="V3950" i="1"/>
  <c r="V3949" i="1"/>
  <c r="V3941" i="1"/>
  <c r="V3940" i="1"/>
  <c r="V3911" i="1"/>
  <c r="V3910" i="1"/>
  <c r="V3904" i="1"/>
  <c r="V3903" i="1"/>
  <c r="V3885" i="1"/>
  <c r="V3884" i="1"/>
  <c r="V3878" i="1"/>
  <c r="V3877" i="1"/>
  <c r="V3873" i="1"/>
  <c r="V3872" i="1"/>
  <c r="V3864" i="1"/>
  <c r="V3863" i="1"/>
  <c r="V3861" i="1"/>
  <c r="V3860" i="1"/>
  <c r="V3859" i="1"/>
  <c r="V3858" i="1"/>
  <c r="V3850" i="1"/>
  <c r="V3849" i="1"/>
  <c r="V3848" i="1"/>
  <c r="V3847" i="1"/>
  <c r="V3838" i="1"/>
  <c r="V3837" i="1"/>
  <c r="V3836" i="1"/>
  <c r="V3835" i="1"/>
  <c r="V3832" i="1"/>
  <c r="V3831" i="1"/>
  <c r="V3830" i="1"/>
  <c r="V3829" i="1"/>
  <c r="V3826" i="1"/>
  <c r="V3825" i="1"/>
  <c r="V3814" i="1"/>
  <c r="V3813" i="1"/>
  <c r="V3789" i="1"/>
  <c r="V3788" i="1"/>
  <c r="V3782" i="1"/>
  <c r="V3781" i="1"/>
  <c r="V3772" i="1"/>
  <c r="V3771" i="1"/>
  <c r="V3755" i="1"/>
  <c r="V3754" i="1"/>
  <c r="V3736" i="1"/>
  <c r="V3735" i="1"/>
  <c r="V3734" i="1"/>
  <c r="V3733" i="1"/>
  <c r="V3723" i="1"/>
  <c r="V3722" i="1"/>
  <c r="V3721" i="1"/>
  <c r="V3720" i="1"/>
  <c r="V3713" i="1"/>
  <c r="V3712" i="1"/>
  <c r="V3706" i="1"/>
  <c r="V3705" i="1"/>
  <c r="V3696" i="1"/>
  <c r="V3695" i="1"/>
  <c r="V3689" i="1"/>
  <c r="V3688" i="1"/>
  <c r="V3685" i="1"/>
  <c r="V3684" i="1"/>
  <c r="V3677" i="1"/>
  <c r="V3676" i="1"/>
  <c r="V3673" i="1"/>
  <c r="V3672" i="1"/>
  <c r="V3671" i="1"/>
  <c r="V3670" i="1"/>
  <c r="V3662" i="1"/>
  <c r="V3661" i="1"/>
  <c r="V3655" i="1"/>
  <c r="V3654" i="1"/>
  <c r="V3647" i="1"/>
  <c r="V3646" i="1"/>
  <c r="V3645" i="1"/>
  <c r="V3644" i="1"/>
  <c r="V3636" i="1"/>
  <c r="V3635" i="1"/>
  <c r="V3634" i="1"/>
  <c r="V3633" i="1"/>
  <c r="V3404" i="1"/>
  <c r="V3403" i="1"/>
  <c r="V3402" i="1"/>
  <c r="V3401" i="1"/>
  <c r="V3226" i="1"/>
  <c r="V3225" i="1"/>
  <c r="V3224" i="1"/>
  <c r="V3223" i="1"/>
  <c r="V3203" i="1"/>
  <c r="V3127" i="1"/>
  <c r="V3126" i="1"/>
  <c r="V3125" i="1"/>
  <c r="V3124" i="1"/>
  <c r="V3065" i="1"/>
  <c r="V3064" i="1"/>
  <c r="V3063" i="1"/>
  <c r="V3062" i="1"/>
  <c r="V3059" i="1"/>
  <c r="V3058" i="1"/>
  <c r="V3057" i="1"/>
  <c r="V3056" i="1"/>
  <c r="V2879" i="1"/>
  <c r="V2878" i="1"/>
  <c r="V2877" i="1"/>
  <c r="V2876" i="1"/>
  <c r="V2706" i="1"/>
  <c r="V2705" i="1"/>
  <c r="V2704" i="1"/>
  <c r="V2703" i="1"/>
  <c r="V2596" i="1"/>
  <c r="V2595" i="1"/>
  <c r="V2594" i="1"/>
  <c r="V2593" i="1"/>
  <c r="V2397" i="1"/>
  <c r="V2396" i="1"/>
  <c r="V2395" i="1"/>
  <c r="V2394" i="1"/>
  <c r="V2332" i="1"/>
  <c r="V2331" i="1"/>
  <c r="V2324" i="1"/>
  <c r="V2323" i="1"/>
  <c r="V2309" i="1"/>
  <c r="V2308" i="1"/>
  <c r="V2307" i="1"/>
  <c r="V2306" i="1"/>
  <c r="V2303" i="1"/>
  <c r="V2302" i="1"/>
  <c r="V2301" i="1"/>
  <c r="V2300" i="1"/>
  <c r="V2293" i="1"/>
  <c r="V2292" i="1"/>
  <c r="V2291" i="1"/>
  <c r="V2290" i="1"/>
  <c r="V2278" i="1"/>
  <c r="V2277" i="1"/>
  <c r="V2276" i="1"/>
  <c r="V2275" i="1"/>
  <c r="V2271" i="1"/>
  <c r="V2270" i="1"/>
  <c r="V2269" i="1"/>
  <c r="V2268" i="1"/>
  <c r="V2257" i="1"/>
  <c r="V2256" i="1"/>
  <c r="V2255" i="1"/>
  <c r="V2254" i="1"/>
  <c r="V2251" i="1"/>
  <c r="V2250" i="1"/>
  <c r="V2249" i="1"/>
  <c r="V2248" i="1"/>
  <c r="V2241" i="1"/>
  <c r="V2240" i="1"/>
  <c r="V2239" i="1"/>
  <c r="V2238" i="1"/>
  <c r="V2234" i="1"/>
  <c r="V2233" i="1"/>
  <c r="V2232" i="1"/>
  <c r="V2231" i="1"/>
  <c r="V2211" i="1"/>
  <c r="V2210" i="1"/>
  <c r="V2209" i="1"/>
  <c r="V2208" i="1"/>
  <c r="V2204" i="1"/>
  <c r="V2203" i="1"/>
  <c r="V2197" i="1"/>
  <c r="V2196" i="1"/>
  <c r="V2192" i="1"/>
  <c r="V2191" i="1"/>
  <c r="V2190" i="1"/>
  <c r="V2189" i="1"/>
  <c r="V2187" i="1"/>
  <c r="V2186" i="1"/>
  <c r="V2180" i="1"/>
  <c r="V2179" i="1"/>
  <c r="V2169" i="1"/>
  <c r="V2168" i="1"/>
  <c r="V2167" i="1"/>
  <c r="V2166" i="1"/>
  <c r="V2156" i="1"/>
  <c r="V2155" i="1"/>
  <c r="V2154" i="1"/>
  <c r="V2153" i="1"/>
  <c r="V2145" i="1"/>
  <c r="V2144" i="1"/>
  <c r="V2143" i="1"/>
  <c r="V2142" i="1"/>
  <c r="V2130" i="1"/>
  <c r="V2129" i="1"/>
  <c r="V2128" i="1"/>
  <c r="V2127" i="1"/>
  <c r="V2125" i="1"/>
  <c r="V2124" i="1"/>
  <c r="V2123" i="1"/>
  <c r="V2122" i="1"/>
  <c r="V2118" i="1"/>
  <c r="V2117" i="1"/>
  <c r="V2111" i="1"/>
  <c r="V2110" i="1"/>
  <c r="V2088" i="1"/>
  <c r="V2087" i="1"/>
  <c r="V2075" i="1"/>
  <c r="V2074" i="1"/>
  <c r="V2069" i="1"/>
  <c r="V2068" i="1"/>
  <c r="V2034" i="1"/>
  <c r="V2033" i="1"/>
  <c r="V2014" i="1"/>
  <c r="V2013" i="1"/>
  <c r="V2012" i="1"/>
  <c r="V2011" i="1"/>
  <c r="V2001" i="1"/>
  <c r="V2000" i="1"/>
  <c r="V1989" i="1"/>
  <c r="V1988" i="1"/>
  <c r="V1986" i="1"/>
  <c r="V1985" i="1"/>
  <c r="V1979" i="1"/>
  <c r="V1978" i="1"/>
  <c r="V1968" i="1"/>
  <c r="V1967" i="1"/>
  <c r="V1966" i="1"/>
  <c r="V1965" i="1"/>
  <c r="V1963" i="1"/>
  <c r="V1962" i="1"/>
  <c r="V1956" i="1"/>
  <c r="V1955" i="1"/>
  <c r="V1919" i="1"/>
  <c r="V1918" i="1"/>
  <c r="V1917" i="1"/>
  <c r="V1916" i="1"/>
  <c r="V1914" i="1"/>
  <c r="V1913" i="1"/>
  <c r="V1896" i="1"/>
  <c r="V1895" i="1"/>
  <c r="V1889" i="1"/>
  <c r="V1888" i="1"/>
  <c r="V1882" i="1"/>
  <c r="V1881" i="1"/>
  <c r="V1876" i="1"/>
  <c r="V1875" i="1"/>
  <c r="V1874" i="1"/>
  <c r="V1873" i="1"/>
  <c r="V1856" i="1"/>
  <c r="V1855" i="1"/>
  <c r="V1854" i="1"/>
  <c r="V1853" i="1"/>
  <c r="V1841" i="1"/>
  <c r="V1840" i="1"/>
  <c r="V1829" i="1"/>
  <c r="V1828" i="1"/>
  <c r="V1826" i="1"/>
  <c r="V1825" i="1"/>
  <c r="V1824" i="1"/>
  <c r="V1823" i="1"/>
  <c r="V1821" i="1"/>
  <c r="V1820" i="1"/>
  <c r="V1819" i="1"/>
  <c r="V1818" i="1"/>
  <c r="V1814" i="1"/>
  <c r="V1813" i="1"/>
  <c r="V1805" i="1"/>
  <c r="V1804" i="1"/>
  <c r="V1788" i="1"/>
  <c r="V1787" i="1"/>
  <c r="V1786" i="1"/>
  <c r="V1785" i="1"/>
  <c r="V1783" i="1"/>
  <c r="V1782" i="1"/>
  <c r="V1781" i="1"/>
  <c r="V1780" i="1"/>
  <c r="V1778" i="1"/>
  <c r="V1777" i="1"/>
  <c r="V1769" i="1"/>
  <c r="V1768" i="1"/>
  <c r="V1751" i="1"/>
  <c r="V1750" i="1"/>
  <c r="V1743" i="1"/>
  <c r="V1742" i="1"/>
  <c r="V1734" i="1"/>
  <c r="V1733" i="1"/>
  <c r="V1726" i="1"/>
  <c r="V1725" i="1"/>
  <c r="V1719" i="1"/>
  <c r="V1718" i="1"/>
  <c r="V1717" i="1"/>
  <c r="V1716" i="1"/>
  <c r="V1714" i="1"/>
  <c r="V1713" i="1"/>
  <c r="V1706" i="1"/>
  <c r="V1705" i="1"/>
  <c r="V1700" i="1"/>
  <c r="V1699" i="1"/>
  <c r="V1698" i="1"/>
  <c r="V1697" i="1"/>
  <c r="V1692" i="1"/>
  <c r="V1691" i="1"/>
  <c r="V1685" i="1"/>
  <c r="V1684" i="1"/>
  <c r="V1679" i="1"/>
  <c r="V1678" i="1"/>
  <c r="V1671" i="1"/>
  <c r="V1670" i="1"/>
  <c r="V1622" i="1"/>
  <c r="V1621" i="1"/>
  <c r="V1620" i="1"/>
  <c r="V1619" i="1"/>
  <c r="V1617" i="1"/>
  <c r="V1616" i="1"/>
  <c r="V1615" i="1"/>
  <c r="V1614" i="1"/>
  <c r="V1597" i="1"/>
  <c r="V1596" i="1"/>
  <c r="V1582" i="1"/>
  <c r="V1581" i="1"/>
  <c r="V1579" i="1"/>
  <c r="V1578" i="1"/>
  <c r="V1577" i="1"/>
  <c r="V1576" i="1"/>
  <c r="V1572" i="1"/>
  <c r="V1571" i="1"/>
  <c r="V1541" i="1"/>
  <c r="V1540" i="1"/>
  <c r="V1531" i="1"/>
  <c r="V1530" i="1"/>
  <c r="V1529" i="1"/>
  <c r="V1528" i="1"/>
  <c r="V1525" i="1"/>
  <c r="V1524" i="1"/>
  <c r="V1523" i="1"/>
  <c r="V1522" i="1"/>
  <c r="V1520" i="1"/>
  <c r="V1519" i="1"/>
  <c r="V1511" i="1"/>
  <c r="V1510" i="1"/>
  <c r="V1497" i="1"/>
  <c r="V1496" i="1"/>
  <c r="V1489" i="1"/>
  <c r="V1488" i="1"/>
  <c r="V1486" i="1"/>
  <c r="V1485" i="1"/>
  <c r="V1460" i="1"/>
  <c r="V1459" i="1"/>
  <c r="V1453" i="1"/>
  <c r="V1452" i="1"/>
  <c r="V1451" i="1"/>
  <c r="V1450" i="1"/>
  <c r="V1448" i="1"/>
  <c r="V1447" i="1"/>
  <c r="V1438" i="1"/>
  <c r="V1437" i="1"/>
  <c r="V1432" i="1"/>
  <c r="V1431" i="1"/>
  <c r="V1430" i="1"/>
  <c r="V1429" i="1"/>
  <c r="V1427" i="1"/>
  <c r="V1426" i="1"/>
  <c r="V1425" i="1"/>
  <c r="V1424" i="1"/>
  <c r="V1401" i="1"/>
  <c r="V1400" i="1"/>
  <c r="V1399" i="1"/>
  <c r="V1398" i="1"/>
  <c r="V1395" i="1"/>
  <c r="V1390" i="1"/>
  <c r="V1389" i="1"/>
  <c r="V1385" i="1"/>
  <c r="V1384" i="1"/>
  <c r="V1378" i="1"/>
  <c r="V1377" i="1"/>
  <c r="V1359" i="1"/>
  <c r="V1358" i="1"/>
  <c r="V1351" i="1"/>
  <c r="V1350" i="1"/>
  <c r="V1340" i="1"/>
  <c r="V1339" i="1"/>
  <c r="V1338" i="1"/>
  <c r="V1337" i="1"/>
  <c r="V1330" i="1"/>
  <c r="V1329" i="1"/>
  <c r="V1328" i="1"/>
  <c r="V1327" i="1"/>
  <c r="V1313" i="1"/>
  <c r="V1312" i="1"/>
  <c r="V1304" i="1"/>
  <c r="V1303" i="1"/>
  <c r="V1295" i="1"/>
  <c r="V1294" i="1"/>
  <c r="V1293" i="1"/>
  <c r="V1292" i="1"/>
  <c r="V1287" i="1"/>
  <c r="V1286" i="1"/>
  <c r="V1270" i="1"/>
  <c r="V1269" i="1"/>
  <c r="V1242" i="1"/>
  <c r="V1241" i="1"/>
  <c r="V1240" i="1"/>
  <c r="V1239" i="1"/>
  <c r="V1235" i="1"/>
  <c r="V1234" i="1"/>
  <c r="V1233" i="1"/>
  <c r="V1232" i="1"/>
  <c r="V1230" i="1"/>
  <c r="V1229" i="1"/>
  <c r="V1228" i="1"/>
  <c r="V1227" i="1"/>
  <c r="V1222" i="1"/>
  <c r="V1221" i="1"/>
  <c r="V1215" i="1"/>
  <c r="V1214" i="1"/>
  <c r="V1211" i="1"/>
  <c r="V1210" i="1"/>
  <c r="V1204" i="1"/>
  <c r="V1203" i="1"/>
  <c r="V1201" i="1"/>
  <c r="V1200" i="1"/>
  <c r="V1172" i="1"/>
  <c r="V1171" i="1"/>
  <c r="V1167" i="1"/>
  <c r="V1166" i="1"/>
  <c r="V1165" i="1"/>
  <c r="V1164" i="1"/>
  <c r="V1162" i="1"/>
  <c r="V1161" i="1"/>
  <c r="V1139" i="1"/>
  <c r="V1138" i="1"/>
  <c r="V995" i="1"/>
  <c r="V994" i="1"/>
  <c r="V983" i="1"/>
  <c r="V982" i="1"/>
  <c r="V980" i="1"/>
  <c r="V979" i="1"/>
  <c r="V993" i="1"/>
  <c r="V992" i="1"/>
  <c r="V990" i="1"/>
  <c r="V989" i="1"/>
  <c r="V978" i="1"/>
  <c r="V977" i="1"/>
  <c r="V975" i="1"/>
  <c r="V974" i="1"/>
  <c r="V973" i="1"/>
  <c r="V972" i="1"/>
  <c r="V969" i="1"/>
  <c r="V968" i="1"/>
  <c r="V960" i="1"/>
  <c r="V959" i="1"/>
  <c r="V954" i="1"/>
  <c r="V953" i="1"/>
  <c r="V914" i="1"/>
  <c r="V913" i="1"/>
  <c r="V905" i="1"/>
  <c r="V904" i="1"/>
  <c r="V898" i="1"/>
  <c r="V897" i="1"/>
  <c r="V873" i="1"/>
  <c r="V872" i="1"/>
  <c r="V871" i="1"/>
  <c r="V870" i="1"/>
  <c r="V863" i="1"/>
  <c r="V862" i="1"/>
  <c r="V861" i="1"/>
  <c r="V860" i="1"/>
  <c r="V837" i="1"/>
  <c r="V836" i="1"/>
  <c r="V835" i="1"/>
  <c r="V834" i="1"/>
  <c r="V827" i="1"/>
  <c r="V826" i="1"/>
  <c r="V825" i="1"/>
  <c r="V824" i="1"/>
  <c r="V821" i="1"/>
  <c r="V820" i="1"/>
  <c r="V819" i="1"/>
  <c r="V818" i="1"/>
  <c r="V797" i="1"/>
  <c r="V796" i="1"/>
  <c r="V795" i="1"/>
  <c r="V794" i="1"/>
  <c r="V791" i="1"/>
  <c r="V790" i="1"/>
  <c r="V782" i="1"/>
  <c r="V781" i="1"/>
  <c r="V753" i="1"/>
  <c r="V752" i="1"/>
  <c r="V751" i="1"/>
  <c r="V750" i="1"/>
  <c r="V739" i="1"/>
  <c r="V738" i="1"/>
  <c r="V737" i="1"/>
  <c r="V736" i="1"/>
  <c r="V734" i="1"/>
  <c r="V733" i="1"/>
  <c r="V725" i="1"/>
  <c r="V724" i="1"/>
  <c r="V714" i="1"/>
  <c r="V713" i="1"/>
  <c r="V712" i="1"/>
  <c r="V711" i="1"/>
  <c r="V707" i="1"/>
  <c r="V706" i="1"/>
  <c r="V705" i="1"/>
  <c r="V704" i="1"/>
  <c r="V702" i="1"/>
  <c r="V701" i="1"/>
  <c r="V700" i="1"/>
  <c r="V699" i="1"/>
  <c r="V685" i="1"/>
  <c r="V684" i="1"/>
  <c r="V683" i="1"/>
  <c r="V682" i="1"/>
  <c r="V678" i="1"/>
  <c r="V677" i="1"/>
  <c r="V676" i="1"/>
  <c r="V675" i="1"/>
  <c r="V674" i="1"/>
  <c r="V653" i="1"/>
  <c r="V652" i="1"/>
  <c r="V646" i="1"/>
  <c r="V645" i="1"/>
  <c r="V642" i="1"/>
  <c r="V641" i="1"/>
  <c r="V640" i="1"/>
  <c r="V639" i="1"/>
  <c r="V637" i="1"/>
  <c r="V636" i="1"/>
  <c r="V630" i="1"/>
  <c r="V629" i="1"/>
  <c r="V627" i="1"/>
  <c r="V626" i="1"/>
  <c r="V625" i="1"/>
  <c r="V624" i="1"/>
  <c r="V614" i="1"/>
  <c r="V613" i="1"/>
  <c r="V612" i="1"/>
  <c r="V611" i="1"/>
  <c r="V608" i="1"/>
  <c r="V607" i="1"/>
  <c r="V600" i="1"/>
  <c r="V599" i="1"/>
  <c r="V580" i="1"/>
  <c r="V579" i="1"/>
  <c r="V578" i="1"/>
  <c r="V577" i="1"/>
  <c r="V574" i="1"/>
  <c r="V573" i="1"/>
  <c r="V561" i="1"/>
  <c r="V560" i="1"/>
  <c r="V555" i="1"/>
  <c r="V554" i="1"/>
  <c r="V553" i="1"/>
  <c r="V552" i="1"/>
  <c r="V543" i="1"/>
  <c r="V542" i="1"/>
  <c r="V541" i="1"/>
  <c r="V540" i="1"/>
  <c r="V537" i="1"/>
  <c r="V536" i="1"/>
  <c r="V500" i="1"/>
  <c r="V499" i="1"/>
  <c r="V489" i="1"/>
  <c r="V488" i="1"/>
  <c r="V487" i="1"/>
  <c r="V486" i="1"/>
  <c r="V483" i="1"/>
  <c r="V482" i="1"/>
  <c r="V481" i="1"/>
  <c r="V480" i="1"/>
  <c r="V475" i="1"/>
  <c r="V474" i="1"/>
  <c r="V473" i="1"/>
  <c r="V472" i="1"/>
  <c r="V468" i="1"/>
  <c r="V467" i="1"/>
  <c r="V466" i="1"/>
  <c r="V465" i="1"/>
  <c r="V458" i="1"/>
  <c r="V457" i="1"/>
  <c r="V451" i="1"/>
  <c r="V450" i="1"/>
  <c r="V448" i="1"/>
  <c r="V447" i="1"/>
  <c r="V441" i="1"/>
  <c r="V440" i="1"/>
  <c r="V435" i="1"/>
  <c r="V434" i="1"/>
  <c r="V433" i="1"/>
  <c r="V432" i="1"/>
  <c r="V428" i="1"/>
  <c r="V427" i="1"/>
  <c r="V426" i="1"/>
  <c r="V425" i="1"/>
  <c r="V420" i="1"/>
  <c r="V419" i="1"/>
  <c r="V418" i="1"/>
  <c r="V417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395" i="1"/>
  <c r="V394" i="1"/>
  <c r="V388" i="1"/>
  <c r="V387" i="1"/>
  <c r="V348" i="1"/>
  <c r="V347" i="1"/>
  <c r="V346" i="1"/>
  <c r="V345" i="1"/>
  <c r="V343" i="1"/>
  <c r="V342" i="1"/>
  <c r="V336" i="1"/>
  <c r="V335" i="1"/>
  <c r="V316" i="1"/>
  <c r="V315" i="1"/>
  <c r="V314" i="1"/>
  <c r="V313" i="1"/>
  <c r="V311" i="1"/>
  <c r="V310" i="1"/>
  <c r="V302" i="1"/>
  <c r="V301" i="1"/>
  <c r="V299" i="1"/>
  <c r="V298" i="1"/>
  <c r="V297" i="1"/>
  <c r="V296" i="1"/>
  <c r="V294" i="1"/>
  <c r="V293" i="1"/>
  <c r="V292" i="1"/>
  <c r="V291" i="1"/>
  <c r="V271" i="1"/>
  <c r="V270" i="1"/>
  <c r="V269" i="1"/>
  <c r="V268" i="1"/>
  <c r="V266" i="1"/>
  <c r="V265" i="1"/>
  <c r="V251" i="1"/>
  <c r="V250" i="1"/>
  <c r="V248" i="1"/>
  <c r="V247" i="1"/>
  <c r="V246" i="1"/>
  <c r="V245" i="1"/>
  <c r="V240" i="1"/>
  <c r="V239" i="1"/>
  <c r="V238" i="1"/>
  <c r="V237" i="1"/>
  <c r="V149" i="1"/>
  <c r="V148" i="1"/>
  <c r="V147" i="1"/>
  <c r="V146" i="1"/>
  <c r="V141" i="1"/>
  <c r="V140" i="1"/>
  <c r="V134" i="1"/>
  <c r="V133" i="1"/>
  <c r="V121" i="1"/>
  <c r="V120" i="1"/>
  <c r="V119" i="1"/>
  <c r="V118" i="1"/>
  <c r="V115" i="1"/>
  <c r="V109" i="1"/>
  <c r="V108" i="1"/>
  <c r="V107" i="1"/>
  <c r="V92" i="1"/>
  <c r="V91" i="1"/>
  <c r="V90" i="1"/>
  <c r="V89" i="1"/>
  <c r="V85" i="1"/>
  <c r="V84" i="1"/>
  <c r="V83" i="1"/>
  <c r="V82" i="1"/>
  <c r="V74" i="1"/>
  <c r="V73" i="1"/>
  <c r="V67" i="1"/>
  <c r="V66" i="1"/>
  <c r="V61" i="1"/>
  <c r="V60" i="1"/>
  <c r="V59" i="1"/>
  <c r="V58" i="1"/>
  <c r="V32" i="1"/>
  <c r="V31" i="1"/>
  <c r="V25" i="1"/>
  <c r="V24" i="1"/>
  <c r="V23" i="1"/>
  <c r="V22" i="1"/>
  <c r="V20" i="1"/>
  <c r="V19" i="1"/>
  <c r="V18" i="1"/>
  <c r="V17" i="1"/>
  <c r="V16" i="1"/>
  <c r="V15" i="1"/>
  <c r="V14" i="1"/>
  <c r="V13" i="1"/>
  <c r="V6" i="1"/>
  <c r="P6618" i="1"/>
  <c r="B6618" i="1" s="1"/>
  <c r="L6618" i="1"/>
  <c r="I6380" i="1"/>
  <c r="P6380" i="1"/>
  <c r="B6380" i="1" s="1"/>
  <c r="P5804" i="1"/>
  <c r="B5804" i="1" s="1"/>
  <c r="L5804" i="1"/>
  <c r="P5744" i="1"/>
  <c r="B5744" i="1" s="1"/>
  <c r="L5744" i="1"/>
  <c r="P103" i="1"/>
  <c r="B103" i="1" s="1"/>
  <c r="L103" i="1"/>
  <c r="L4128" i="1"/>
  <c r="P4128" i="1"/>
  <c r="B4128" i="1" s="1"/>
  <c r="P2261" i="1"/>
  <c r="B2261" i="1" s="1"/>
  <c r="L2261" i="1"/>
  <c r="P1972" i="1"/>
  <c r="B1972" i="1" s="1"/>
  <c r="L1972" i="1"/>
  <c r="P1948" i="1"/>
  <c r="B1948" i="1" s="1"/>
  <c r="L1948" i="1"/>
  <c r="P4185" i="1"/>
  <c r="B4185" i="1" s="1"/>
  <c r="L4185" i="1"/>
  <c r="P5867" i="1"/>
  <c r="B5867" i="1" s="1"/>
  <c r="L5867" i="1"/>
  <c r="P3982" i="1"/>
  <c r="B3982" i="1" s="1"/>
  <c r="I3982" i="1"/>
  <c r="L3982" i="1" s="1"/>
  <c r="M6554" i="1"/>
  <c r="K6554" i="1"/>
  <c r="I6554" i="1"/>
  <c r="N6553" i="1"/>
  <c r="P6549" i="1"/>
  <c r="B6549" i="1" s="1"/>
  <c r="L6549" i="1"/>
  <c r="H6554" i="1"/>
  <c r="N6548" i="1"/>
  <c r="N6547" i="1"/>
  <c r="P857" i="1"/>
  <c r="B857" i="1" s="1"/>
  <c r="L857" i="1"/>
  <c r="M5992" i="1"/>
  <c r="K5992" i="1"/>
  <c r="I5992" i="1"/>
  <c r="H5992" i="1"/>
  <c r="N5991" i="1"/>
  <c r="P5990" i="1"/>
  <c r="B5990" i="1" s="1"/>
  <c r="L5990" i="1"/>
  <c r="N5989" i="1"/>
  <c r="N5988" i="1"/>
  <c r="P5720" i="1"/>
  <c r="B5720" i="1" s="1"/>
  <c r="L5720" i="1"/>
  <c r="P3918" i="1"/>
  <c r="B3918" i="1" s="1"/>
  <c r="L3918" i="1"/>
  <c r="P5558" i="1"/>
  <c r="B5558" i="1" s="1"/>
  <c r="L5558" i="1"/>
  <c r="P1644" i="1"/>
  <c r="B1644" i="1" s="1"/>
  <c r="L1644" i="1"/>
  <c r="P355" i="1"/>
  <c r="B355" i="1" s="1"/>
  <c r="L355" i="1"/>
  <c r="P4659" i="1"/>
  <c r="B4659" i="1" s="1"/>
  <c r="L4659" i="1"/>
  <c r="P6384" i="1"/>
  <c r="B6384" i="1" s="1"/>
  <c r="L6384" i="1"/>
  <c r="L5564" i="1"/>
  <c r="P5564" i="1"/>
  <c r="B5564" i="1" s="1"/>
  <c r="P328" i="1"/>
  <c r="B328" i="1" s="1"/>
  <c r="L328" i="1"/>
  <c r="P1537" i="1"/>
  <c r="B1537" i="1" s="1"/>
  <c r="L1537" i="1"/>
  <c r="P4614" i="1"/>
  <c r="B4614" i="1" s="1"/>
  <c r="L4614" i="1"/>
  <c r="P6297" i="1"/>
  <c r="B6297" i="1" s="1"/>
  <c r="L6297" i="1"/>
  <c r="L5816" i="1"/>
  <c r="P5816" i="1"/>
  <c r="B5816" i="1" s="1"/>
  <c r="M1338" i="1"/>
  <c r="K1338" i="1"/>
  <c r="I1338" i="1"/>
  <c r="H1338" i="1"/>
  <c r="N1337" i="1"/>
  <c r="P1331" i="1"/>
  <c r="B1331" i="1" s="1"/>
  <c r="L1331" i="1"/>
  <c r="N1330" i="1"/>
  <c r="N1329" i="1"/>
  <c r="M2255" i="1"/>
  <c r="K2255" i="1"/>
  <c r="I2255" i="1"/>
  <c r="H2255" i="1"/>
  <c r="N2254" i="1"/>
  <c r="P2252" i="1"/>
  <c r="B2252" i="1" s="1"/>
  <c r="L2252" i="1"/>
  <c r="N2251" i="1"/>
  <c r="N2250" i="1"/>
  <c r="P329" i="1"/>
  <c r="B329" i="1" s="1"/>
  <c r="L329" i="1"/>
  <c r="I2005" i="1"/>
  <c r="I2012" i="1" s="1"/>
  <c r="P2005" i="1"/>
  <c r="B2005" i="1" s="1"/>
  <c r="I1663" i="1"/>
  <c r="L1663" i="1" s="1"/>
  <c r="P1663" i="1"/>
  <c r="B1663" i="1" s="1"/>
  <c r="P5575" i="1"/>
  <c r="B5575" i="1" s="1"/>
  <c r="L5575" i="1"/>
  <c r="P709" i="1"/>
  <c r="B709" i="1" s="1"/>
  <c r="L709" i="1"/>
  <c r="P5996" i="1"/>
  <c r="B5996" i="1" s="1"/>
  <c r="L5996" i="1"/>
  <c r="K898" i="1"/>
  <c r="H895" i="1"/>
  <c r="H898" i="1" s="1"/>
  <c r="P895" i="1"/>
  <c r="B895" i="1" s="1"/>
  <c r="P6495" i="1"/>
  <c r="B6495" i="1" s="1"/>
  <c r="L6495" i="1"/>
  <c r="L7" i="1"/>
  <c r="P956" i="1"/>
  <c r="B956" i="1" s="1"/>
  <c r="L956" i="1"/>
  <c r="P424" i="1"/>
  <c r="B424" i="1" s="1"/>
  <c r="L424" i="1"/>
  <c r="I3985" i="1"/>
  <c r="P3985" i="1"/>
  <c r="B3985" i="1" s="1"/>
  <c r="P4067" i="1"/>
  <c r="B4067" i="1" s="1"/>
  <c r="L4067" i="1"/>
  <c r="M3645" i="1"/>
  <c r="K3645" i="1"/>
  <c r="H3645" i="1"/>
  <c r="N3644" i="1"/>
  <c r="P3637" i="1"/>
  <c r="B3637" i="1" s="1"/>
  <c r="L3637" i="1"/>
  <c r="N3636" i="1"/>
  <c r="N3635" i="1"/>
  <c r="I3645" i="1"/>
  <c r="L3795" i="1"/>
  <c r="P3795" i="1"/>
  <c r="B3795" i="1" s="1"/>
  <c r="P4768" i="1"/>
  <c r="B4768" i="1" s="1"/>
  <c r="L4768" i="1"/>
  <c r="P2217" i="1"/>
  <c r="B2217" i="1" s="1"/>
  <c r="L2217" i="1"/>
  <c r="P131" i="1"/>
  <c r="B131" i="1" s="1"/>
  <c r="L131" i="1"/>
  <c r="M4916" i="1"/>
  <c r="H4916" i="1"/>
  <c r="N4915" i="1"/>
  <c r="P4913" i="1"/>
  <c r="B4913" i="1" s="1"/>
  <c r="I4913" i="1"/>
  <c r="P4912" i="1"/>
  <c r="B4912" i="1" s="1"/>
  <c r="L4912" i="1"/>
  <c r="N4911" i="1"/>
  <c r="N4910" i="1"/>
  <c r="L1632" i="1"/>
  <c r="P1632" i="1"/>
  <c r="B1632" i="1" s="1"/>
  <c r="M993" i="1"/>
  <c r="K993" i="1"/>
  <c r="I993" i="1"/>
  <c r="H993" i="1"/>
  <c r="N992" i="1"/>
  <c r="P991" i="1"/>
  <c r="B991" i="1" s="1"/>
  <c r="L991" i="1"/>
  <c r="N990" i="1"/>
  <c r="N989" i="1"/>
  <c r="P5666" i="1"/>
  <c r="B5666" i="1" s="1"/>
  <c r="L5666" i="1"/>
  <c r="P3742" i="1"/>
  <c r="B3742" i="1" s="1"/>
  <c r="L3742" i="1"/>
  <c r="P4222" i="1"/>
  <c r="B4222" i="1" s="1"/>
  <c r="L4222" i="1"/>
  <c r="P3805" i="1"/>
  <c r="B3805" i="1" s="1"/>
  <c r="P56" i="1"/>
  <c r="B56" i="1" s="1"/>
  <c r="L56" i="1"/>
  <c r="L5011" i="1"/>
  <c r="P5011" i="1"/>
  <c r="B5011" i="1" s="1"/>
  <c r="I5040" i="1"/>
  <c r="P5040" i="1"/>
  <c r="B5040" i="1" s="1"/>
  <c r="L75" i="1"/>
  <c r="M67" i="1"/>
  <c r="K67" i="1"/>
  <c r="I67" i="1"/>
  <c r="H67" i="1"/>
  <c r="N66" i="1"/>
  <c r="P62" i="1"/>
  <c r="B62" i="1" s="1"/>
  <c r="L62" i="1"/>
  <c r="N61" i="1"/>
  <c r="N60" i="1"/>
  <c r="P3793" i="1"/>
  <c r="B3793" i="1" s="1"/>
  <c r="L3793" i="1"/>
  <c r="H1664" i="1"/>
  <c r="L1664" i="1" s="1"/>
  <c r="P1664" i="1"/>
  <c r="B1664" i="1" s="1"/>
  <c r="L1765" i="1"/>
  <c r="P1764" i="1"/>
  <c r="B1764" i="1" s="1"/>
  <c r="I1764" i="1"/>
  <c r="L127" i="1"/>
  <c r="P127" i="1"/>
  <c r="B127" i="1" s="1"/>
  <c r="P4676" i="1"/>
  <c r="B4676" i="1" s="1"/>
  <c r="L4676" i="1"/>
  <c r="H772" i="1"/>
  <c r="P104" i="1"/>
  <c r="B104" i="1" s="1"/>
  <c r="L104" i="1"/>
  <c r="P3983" i="1"/>
  <c r="B3983" i="1" s="1"/>
  <c r="L3983" i="1"/>
  <c r="M1854" i="1"/>
  <c r="K1854" i="1"/>
  <c r="I1854" i="1"/>
  <c r="H1854" i="1"/>
  <c r="N1853" i="1"/>
  <c r="P1842" i="1"/>
  <c r="B1842" i="1" s="1"/>
  <c r="L1842" i="1"/>
  <c r="N1841" i="1"/>
  <c r="N1840" i="1"/>
  <c r="P811" i="1"/>
  <c r="B811" i="1" s="1"/>
  <c r="L811" i="1"/>
  <c r="P1608" i="1"/>
  <c r="B1608" i="1" s="1"/>
  <c r="L1608" i="1"/>
  <c r="P772" i="1"/>
  <c r="B772" i="1" s="1"/>
  <c r="H4390" i="1"/>
  <c r="L4390" i="1" s="1"/>
  <c r="P4390" i="1"/>
  <c r="B4390" i="1" s="1"/>
  <c r="H4304" i="1"/>
  <c r="M4307" i="1"/>
  <c r="I4307" i="1"/>
  <c r="N4306" i="1"/>
  <c r="P4304" i="1"/>
  <c r="B4304" i="1" s="1"/>
  <c r="K4307" i="1"/>
  <c r="N4303" i="1"/>
  <c r="N4302" i="1"/>
  <c r="H1665" i="1"/>
  <c r="L1665" i="1" s="1"/>
  <c r="P1665" i="1"/>
  <c r="B1665" i="1" s="1"/>
  <c r="P2243" i="1"/>
  <c r="B2243" i="1" s="1"/>
  <c r="L2243" i="1"/>
  <c r="H5742" i="1"/>
  <c r="P5742" i="1"/>
  <c r="B5742" i="1" s="1"/>
  <c r="M1829" i="1"/>
  <c r="K1829" i="1"/>
  <c r="I1829" i="1"/>
  <c r="H1829" i="1"/>
  <c r="N1828" i="1"/>
  <c r="P1827" i="1"/>
  <c r="B1827" i="1" s="1"/>
  <c r="L1827" i="1"/>
  <c r="N1826" i="1"/>
  <c r="N1825" i="1"/>
  <c r="P4097" i="1"/>
  <c r="B4097" i="1" s="1"/>
  <c r="L4097" i="1"/>
  <c r="L1662" i="1"/>
  <c r="P1662" i="1"/>
  <c r="B1662" i="1" s="1"/>
  <c r="P5644" i="1"/>
  <c r="B5644" i="1" s="1"/>
  <c r="L5644" i="1"/>
  <c r="P4884" i="1"/>
  <c r="B4884" i="1" s="1"/>
  <c r="L4884" i="1"/>
  <c r="P494" i="1"/>
  <c r="B494" i="1" s="1"/>
  <c r="I494" i="1"/>
  <c r="L494" i="1" s="1"/>
  <c r="M6537" i="1"/>
  <c r="K6537" i="1"/>
  <c r="I6537" i="1"/>
  <c r="N6536" i="1"/>
  <c r="P6532" i="1"/>
  <c r="B6532" i="1" s="1"/>
  <c r="L6532" i="1"/>
  <c r="H6537" i="1"/>
  <c r="N6531" i="1"/>
  <c r="N6530" i="1"/>
  <c r="P357" i="1"/>
  <c r="B357" i="1" s="1"/>
  <c r="L357" i="1"/>
  <c r="L582" i="1"/>
  <c r="P582" i="1"/>
  <c r="B582" i="1" s="1"/>
  <c r="P4126" i="1"/>
  <c r="B4126" i="1" s="1"/>
  <c r="L4126" i="1"/>
  <c r="P3794" i="1"/>
  <c r="B3794" i="1" s="1"/>
  <c r="M3814" i="1"/>
  <c r="H3814" i="1"/>
  <c r="N3813" i="1"/>
  <c r="P3790" i="1"/>
  <c r="B3790" i="1" s="1"/>
  <c r="L3790" i="1"/>
  <c r="N3789" i="1"/>
  <c r="N3788" i="1"/>
  <c r="P5383" i="1"/>
  <c r="B5383" i="1" s="1"/>
  <c r="L5383" i="1"/>
  <c r="I3986" i="1"/>
  <c r="P3986" i="1"/>
  <c r="B3986" i="1" s="1"/>
  <c r="H4871" i="1"/>
  <c r="L4871" i="1" s="1"/>
  <c r="P4871" i="1"/>
  <c r="B4871" i="1" s="1"/>
  <c r="H4873" i="1"/>
  <c r="L4873" i="1" s="1"/>
  <c r="P4873" i="1"/>
  <c r="B4873" i="1" s="1"/>
  <c r="H6390" i="1"/>
  <c r="P6390" i="1"/>
  <c r="B6390" i="1" s="1"/>
  <c r="P322" i="1"/>
  <c r="B322" i="1" s="1"/>
  <c r="L322" i="1"/>
  <c r="L6344" i="1"/>
  <c r="P6342" i="1"/>
  <c r="B6342" i="1" s="1"/>
  <c r="L6342" i="1"/>
  <c r="N6342" i="1" s="1"/>
  <c r="P6344" i="1"/>
  <c r="B6344" i="1" s="1"/>
  <c r="P6720" i="1"/>
  <c r="B6720" i="1" s="1"/>
  <c r="L6720" i="1"/>
  <c r="H1650" i="1"/>
  <c r="L1650" i="1" s="1"/>
  <c r="P1650" i="1"/>
  <c r="B1650" i="1" s="1"/>
  <c r="H1498" i="1"/>
  <c r="H1511" i="1" s="1"/>
  <c r="P1499" i="1"/>
  <c r="B1499" i="1" s="1"/>
  <c r="L1499" i="1"/>
  <c r="P318" i="1"/>
  <c r="B318" i="1" s="1"/>
  <c r="L318" i="1"/>
  <c r="L3391" i="1"/>
  <c r="P3391" i="1"/>
  <c r="B3391" i="1" s="1"/>
  <c r="L1932" i="1"/>
  <c r="P1932" i="1"/>
  <c r="B1932" i="1" s="1"/>
  <c r="I51" i="1"/>
  <c r="I59" i="1" s="1"/>
  <c r="H51" i="1"/>
  <c r="K59" i="1"/>
  <c r="P51" i="1"/>
  <c r="B51" i="1" s="1"/>
  <c r="P3857" i="1"/>
  <c r="B3857" i="1" s="1"/>
  <c r="L3857" i="1"/>
  <c r="M6637" i="1"/>
  <c r="K6637" i="1"/>
  <c r="I6637" i="1"/>
  <c r="H6637" i="1"/>
  <c r="N6636" i="1"/>
  <c r="P6635" i="1"/>
  <c r="B6635" i="1" s="1"/>
  <c r="L6635" i="1"/>
  <c r="N6634" i="1"/>
  <c r="N6633" i="1"/>
  <c r="H4883" i="1"/>
  <c r="L4883" i="1" s="1"/>
  <c r="P4883" i="1"/>
  <c r="B4883" i="1" s="1"/>
  <c r="K4333" i="1"/>
  <c r="M4333" i="1"/>
  <c r="I4333" i="1"/>
  <c r="H4333" i="1"/>
  <c r="N4332" i="1"/>
  <c r="P4331" i="1"/>
  <c r="B4331" i="1" s="1"/>
  <c r="N4330" i="1"/>
  <c r="N4329" i="1"/>
  <c r="P5068" i="1"/>
  <c r="B5068" i="1" s="1"/>
  <c r="L5068" i="1"/>
  <c r="P5945" i="1"/>
  <c r="B5945" i="1" s="1"/>
  <c r="L5945" i="1"/>
  <c r="M297" i="1"/>
  <c r="K297" i="1"/>
  <c r="I297" i="1"/>
  <c r="H297" i="1"/>
  <c r="N296" i="1"/>
  <c r="P295" i="1"/>
  <c r="B295" i="1" s="1"/>
  <c r="L295" i="1"/>
  <c r="N294" i="1"/>
  <c r="N293" i="1"/>
  <c r="L5620" i="1"/>
  <c r="P5620" i="1"/>
  <c r="B5620" i="1" s="1"/>
  <c r="L369" i="1"/>
  <c r="L368" i="1"/>
  <c r="L367" i="1"/>
  <c r="P369" i="1"/>
  <c r="B369" i="1" s="1"/>
  <c r="P368" i="1"/>
  <c r="B368" i="1" s="1"/>
  <c r="P367" i="1"/>
  <c r="B367" i="1" s="1"/>
  <c r="P6749" i="1"/>
  <c r="B6749" i="1" s="1"/>
  <c r="L6749" i="1"/>
  <c r="P4205" i="1"/>
  <c r="B4205" i="1" s="1"/>
  <c r="L4205" i="1"/>
  <c r="L4134" i="1"/>
  <c r="L373" i="1"/>
  <c r="H3938" i="1"/>
  <c r="L3938" i="1" s="1"/>
  <c r="P3937" i="1"/>
  <c r="B3937" i="1" s="1"/>
  <c r="L3937" i="1"/>
  <c r="P3938" i="1"/>
  <c r="B3938" i="1" s="1"/>
  <c r="P3939" i="1"/>
  <c r="B3939" i="1" s="1"/>
  <c r="L3939" i="1"/>
  <c r="H3981" i="1"/>
  <c r="L3981" i="1" s="1"/>
  <c r="P3981" i="1"/>
  <c r="B3981" i="1" s="1"/>
  <c r="P372" i="1"/>
  <c r="B372" i="1" s="1"/>
  <c r="L372" i="1"/>
  <c r="P373" i="1"/>
  <c r="B373" i="1" s="1"/>
  <c r="P374" i="1"/>
  <c r="B374" i="1" s="1"/>
  <c r="L374" i="1"/>
  <c r="P375" i="1"/>
  <c r="B375" i="1" s="1"/>
  <c r="L375" i="1"/>
  <c r="P4929" i="1"/>
  <c r="B4929" i="1" s="1"/>
  <c r="L4929" i="1"/>
  <c r="P4930" i="1"/>
  <c r="B4930" i="1" s="1"/>
  <c r="L4930" i="1"/>
  <c r="P6273" i="1"/>
  <c r="B6273" i="1" s="1"/>
  <c r="P5008" i="1"/>
  <c r="B5008" i="1" s="1"/>
  <c r="P1765" i="1"/>
  <c r="B1765" i="1" s="1"/>
  <c r="K1390" i="1"/>
  <c r="I1386" i="1"/>
  <c r="I1390" i="1" s="1"/>
  <c r="M1390" i="1"/>
  <c r="H1390" i="1"/>
  <c r="N1389" i="1"/>
  <c r="P1386" i="1"/>
  <c r="B1386" i="1" s="1"/>
  <c r="N1385" i="1"/>
  <c r="I5006" i="1"/>
  <c r="L5006" i="1" s="1"/>
  <c r="P5006" i="1"/>
  <c r="B5006" i="1" s="1"/>
  <c r="I5574" i="1"/>
  <c r="L5574" i="1" s="1"/>
  <c r="P5573" i="1"/>
  <c r="B5573" i="1" s="1"/>
  <c r="L5573" i="1"/>
  <c r="P5574" i="1"/>
  <c r="B5574" i="1" s="1"/>
  <c r="L3932" i="1"/>
  <c r="P3933" i="1"/>
  <c r="B3933" i="1" s="1"/>
  <c r="L3933" i="1"/>
  <c r="P3932" i="1"/>
  <c r="B3932" i="1" s="1"/>
  <c r="P4973" i="1"/>
  <c r="B4973" i="1" s="1"/>
  <c r="L4973" i="1"/>
  <c r="L6270" i="1"/>
  <c r="P6271" i="1"/>
  <c r="B6271" i="1" s="1"/>
  <c r="L6271" i="1"/>
  <c r="I5003" i="1"/>
  <c r="P5003" i="1"/>
  <c r="B5003" i="1" s="1"/>
  <c r="P477" i="1"/>
  <c r="B477" i="1" s="1"/>
  <c r="L477" i="1"/>
  <c r="L5310" i="1"/>
  <c r="P5310" i="1"/>
  <c r="B5310" i="1" s="1"/>
  <c r="L5618" i="1"/>
  <c r="P5618" i="1"/>
  <c r="B5618" i="1" s="1"/>
  <c r="L3929" i="1"/>
  <c r="P3929" i="1"/>
  <c r="B3929" i="1" s="1"/>
  <c r="L1661" i="1"/>
  <c r="P1661" i="1"/>
  <c r="B1661" i="1" s="1"/>
  <c r="L5745" i="1"/>
  <c r="P5745" i="1"/>
  <c r="B5745" i="1" s="1"/>
  <c r="M5220" i="1"/>
  <c r="K5220" i="1"/>
  <c r="I5220" i="1"/>
  <c r="H5220" i="1"/>
  <c r="N5219" i="1"/>
  <c r="P5217" i="1"/>
  <c r="B5217" i="1" s="1"/>
  <c r="L5217" i="1"/>
  <c r="N5216" i="1"/>
  <c r="N5215" i="1"/>
  <c r="L1660" i="1"/>
  <c r="P1660" i="1"/>
  <c r="B1660" i="1" s="1"/>
  <c r="L5002" i="1"/>
  <c r="P5002" i="1"/>
  <c r="B5002" i="1" s="1"/>
  <c r="L3395" i="1"/>
  <c r="P3395" i="1"/>
  <c r="B3395" i="1" s="1"/>
  <c r="L2004" i="1"/>
  <c r="P2004" i="1"/>
  <c r="B2004" i="1" s="1"/>
  <c r="L364" i="1"/>
  <c r="P364" i="1"/>
  <c r="B364" i="1" s="1"/>
  <c r="I1762" i="1"/>
  <c r="P1762" i="1"/>
  <c r="B1762" i="1" s="1"/>
  <c r="P5038" i="1"/>
  <c r="B5038" i="1" s="1"/>
  <c r="L5038" i="1"/>
  <c r="I5037" i="1"/>
  <c r="P5037" i="1"/>
  <c r="B5037" i="1" s="1"/>
  <c r="P814" i="1"/>
  <c r="B814" i="1" s="1"/>
  <c r="L5571" i="1"/>
  <c r="P5571" i="1"/>
  <c r="B5571" i="1" s="1"/>
  <c r="H5001" i="1"/>
  <c r="H5015" i="1" s="1"/>
  <c r="P5001" i="1"/>
  <c r="B5001" i="1" s="1"/>
  <c r="L5403" i="1"/>
  <c r="P5403" i="1"/>
  <c r="B5403" i="1" s="1"/>
  <c r="L5036" i="1"/>
  <c r="P5036" i="1"/>
  <c r="B5036" i="1" s="1"/>
  <c r="M5296" i="1"/>
  <c r="I5296" i="1"/>
  <c r="H5296" i="1"/>
  <c r="N5295" i="1"/>
  <c r="P5293" i="1"/>
  <c r="B5293" i="1" s="1"/>
  <c r="N5292" i="1"/>
  <c r="N5291" i="1"/>
  <c r="L362" i="1"/>
  <c r="P362" i="1"/>
  <c r="B362" i="1" s="1"/>
  <c r="P4228" i="1"/>
  <c r="B4228" i="1" s="1"/>
  <c r="L4228" i="1"/>
  <c r="I361" i="1"/>
  <c r="L361" i="1" s="1"/>
  <c r="P361" i="1"/>
  <c r="B361" i="1" s="1"/>
  <c r="L5616" i="1"/>
  <c r="P5616" i="1"/>
  <c r="B5616" i="1" s="1"/>
  <c r="I282" i="1"/>
  <c r="L282" i="1" s="1"/>
  <c r="P282" i="1"/>
  <c r="B282" i="1" s="1"/>
  <c r="L4104" i="1"/>
  <c r="P4104" i="1"/>
  <c r="B4104" i="1" s="1"/>
  <c r="L281" i="1"/>
  <c r="P281" i="1"/>
  <c r="B281" i="1" s="1"/>
  <c r="P5668" i="1"/>
  <c r="B5668" i="1" s="1"/>
  <c r="L5668" i="1"/>
  <c r="H587" i="1"/>
  <c r="P587" i="1"/>
  <c r="B587" i="1" s="1"/>
  <c r="K4932" i="1"/>
  <c r="M4932" i="1"/>
  <c r="H4932" i="1"/>
  <c r="N4931" i="1"/>
  <c r="I4932" i="1"/>
  <c r="P4926" i="1"/>
  <c r="B4926" i="1" s="1"/>
  <c r="N4925" i="1"/>
  <c r="N4924" i="1"/>
  <c r="L3394" i="1"/>
  <c r="P3394" i="1"/>
  <c r="B3394" i="1" s="1"/>
  <c r="M451" i="1"/>
  <c r="K451" i="1"/>
  <c r="I451" i="1"/>
  <c r="H451" i="1"/>
  <c r="N450" i="1"/>
  <c r="P449" i="1"/>
  <c r="B449" i="1" s="1"/>
  <c r="L449" i="1"/>
  <c r="N448" i="1"/>
  <c r="N447" i="1"/>
  <c r="P890" i="1"/>
  <c r="B890" i="1" s="1"/>
  <c r="L890" i="1"/>
  <c r="I5402" i="1"/>
  <c r="I5413" i="1" s="1"/>
  <c r="P5402" i="1"/>
  <c r="B5402" i="1" s="1"/>
  <c r="L5397" i="1"/>
  <c r="M5413" i="1"/>
  <c r="H5413" i="1"/>
  <c r="N5412" i="1"/>
  <c r="P5397" i="1"/>
  <c r="B5397" i="1" s="1"/>
  <c r="N5396" i="1"/>
  <c r="N5395" i="1"/>
  <c r="L2002" i="1"/>
  <c r="P2006" i="1"/>
  <c r="B2006" i="1" s="1"/>
  <c r="L2006" i="1"/>
  <c r="L4881" i="1"/>
  <c r="P4881" i="1"/>
  <c r="B4881" i="1" s="1"/>
  <c r="P358" i="1"/>
  <c r="B358" i="1" s="1"/>
  <c r="L358" i="1"/>
  <c r="P359" i="1"/>
  <c r="B359" i="1" s="1"/>
  <c r="I359" i="1"/>
  <c r="L359" i="1" s="1"/>
  <c r="L833" i="1"/>
  <c r="P833" i="1"/>
  <c r="B833" i="1" s="1"/>
  <c r="L5673" i="1"/>
  <c r="P5673" i="1"/>
  <c r="B5673" i="1" s="1"/>
  <c r="P2138" i="1"/>
  <c r="B2138" i="1" s="1"/>
  <c r="L2138" i="1"/>
  <c r="I5034" i="1"/>
  <c r="L5034" i="1" s="1"/>
  <c r="P5034" i="1"/>
  <c r="B5034" i="1" s="1"/>
  <c r="I5568" i="1"/>
  <c r="L5568" i="1" s="1"/>
  <c r="P5568" i="1"/>
  <c r="B5568" i="1" s="1"/>
  <c r="P4103" i="1"/>
  <c r="B4103" i="1" s="1"/>
  <c r="L276" i="1"/>
  <c r="P276" i="1"/>
  <c r="B276" i="1" s="1"/>
  <c r="P5681" i="1"/>
  <c r="B5681" i="1" s="1"/>
  <c r="L5185" i="1"/>
  <c r="P5185" i="1"/>
  <c r="B5185" i="1" s="1"/>
  <c r="P5866" i="1"/>
  <c r="B5866" i="1" s="1"/>
  <c r="L3372" i="1"/>
  <c r="I3935" i="1"/>
  <c r="P3935" i="1"/>
  <c r="B3935" i="1" s="1"/>
  <c r="P3934" i="1"/>
  <c r="B3934" i="1" s="1"/>
  <c r="I366" i="1"/>
  <c r="P366" i="1"/>
  <c r="B366" i="1" s="1"/>
  <c r="H3984" i="1"/>
  <c r="P3984" i="1"/>
  <c r="B3984" i="1" s="1"/>
  <c r="I283" i="1"/>
  <c r="P283" i="1"/>
  <c r="B283" i="1" s="1"/>
  <c r="I284" i="1"/>
  <c r="L284" i="1" s="1"/>
  <c r="P284" i="1"/>
  <c r="B284" i="1" s="1"/>
  <c r="P5593" i="1"/>
  <c r="B5593" i="1" s="1"/>
  <c r="L5593" i="1"/>
  <c r="M6707" i="1"/>
  <c r="K6707" i="1"/>
  <c r="I6707" i="1"/>
  <c r="H6707" i="1"/>
  <c r="N6706" i="1"/>
  <c r="P6702" i="1"/>
  <c r="B6702" i="1" s="1"/>
  <c r="L6702" i="1"/>
  <c r="N6701" i="1"/>
  <c r="N6700" i="1"/>
  <c r="I3653" i="1"/>
  <c r="P3653" i="1"/>
  <c r="B3653" i="1" s="1"/>
  <c r="P6488" i="1"/>
  <c r="B6488" i="1" s="1"/>
  <c r="L6488" i="1"/>
  <c r="K4923" i="1"/>
  <c r="I4923" i="1"/>
  <c r="M4923" i="1"/>
  <c r="H4923" i="1"/>
  <c r="N4922" i="1"/>
  <c r="P4919" i="1"/>
  <c r="B4919" i="1" s="1"/>
  <c r="N4918" i="1"/>
  <c r="N4917" i="1"/>
  <c r="L4919" i="1"/>
  <c r="H6389" i="1"/>
  <c r="L6389" i="1" s="1"/>
  <c r="P6389" i="1"/>
  <c r="B6389" i="1" s="1"/>
  <c r="P5306" i="1"/>
  <c r="B5306" i="1" s="1"/>
  <c r="I5306" i="1"/>
  <c r="I5313" i="1" s="1"/>
  <c r="H5306" i="1"/>
  <c r="I3926" i="1"/>
  <c r="P3926" i="1"/>
  <c r="B3926" i="1" s="1"/>
  <c r="P3745" i="1"/>
  <c r="B3745" i="1" s="1"/>
  <c r="L3745" i="1"/>
  <c r="I497" i="1"/>
  <c r="L497" i="1" s="1"/>
  <c r="P497" i="1"/>
  <c r="B497" i="1" s="1"/>
  <c r="P3915" i="1"/>
  <c r="B3915" i="1" s="1"/>
  <c r="L3915" i="1"/>
  <c r="I2222" i="1"/>
  <c r="H2222" i="1"/>
  <c r="P6696" i="1"/>
  <c r="B6696" i="1" s="1"/>
  <c r="L6696" i="1"/>
  <c r="P2222" i="1"/>
  <c r="B2222" i="1" s="1"/>
  <c r="L6387" i="1"/>
  <c r="P6387" i="1"/>
  <c r="B6387" i="1" s="1"/>
  <c r="I3979" i="1"/>
  <c r="L3979" i="1" s="1"/>
  <c r="P3979" i="1"/>
  <c r="B3979" i="1" s="1"/>
  <c r="I4138" i="1"/>
  <c r="P4138" i="1"/>
  <c r="B4138" i="1" s="1"/>
  <c r="I4135" i="1"/>
  <c r="L4135" i="1" s="1"/>
  <c r="P4135" i="1"/>
  <c r="B4135" i="1" s="1"/>
  <c r="L2220" i="1"/>
  <c r="P2220" i="1"/>
  <c r="B2220" i="1" s="1"/>
  <c r="P5603" i="1"/>
  <c r="B5603" i="1" s="1"/>
  <c r="L5603" i="1"/>
  <c r="M4265" i="1"/>
  <c r="K4265" i="1"/>
  <c r="I4265" i="1"/>
  <c r="H4265" i="1"/>
  <c r="N4264" i="1"/>
  <c r="P4262" i="1"/>
  <c r="B4262" i="1" s="1"/>
  <c r="L4262" i="1"/>
  <c r="N4261" i="1"/>
  <c r="N4260" i="1"/>
  <c r="K1270" i="1"/>
  <c r="I3393" i="1"/>
  <c r="L3393" i="1" s="1"/>
  <c r="P3393" i="1"/>
  <c r="B3393" i="1" s="1"/>
  <c r="L2272" i="1"/>
  <c r="M2276" i="1"/>
  <c r="K2276" i="1"/>
  <c r="I2276" i="1"/>
  <c r="N2275" i="1"/>
  <c r="P2272" i="1"/>
  <c r="B2272" i="1" s="1"/>
  <c r="N2271" i="1"/>
  <c r="N2270" i="1"/>
  <c r="H1894" i="1"/>
  <c r="H1896" i="1" s="1"/>
  <c r="P1894" i="1"/>
  <c r="B1894" i="1" s="1"/>
  <c r="L6386" i="1"/>
  <c r="P6386" i="1"/>
  <c r="B6386" i="1" s="1"/>
  <c r="I4848" i="1"/>
  <c r="L4848" i="1" s="1"/>
  <c r="P4848" i="1"/>
  <c r="B4848" i="1" s="1"/>
  <c r="L4131" i="1"/>
  <c r="P665" i="1"/>
  <c r="B665" i="1" s="1"/>
  <c r="L665" i="1"/>
  <c r="L4119" i="1"/>
  <c r="P4122" i="1"/>
  <c r="B4122" i="1" s="1"/>
  <c r="L4122" i="1"/>
  <c r="P496" i="1"/>
  <c r="B496" i="1" s="1"/>
  <c r="L496" i="1"/>
  <c r="L333" i="1"/>
  <c r="P333" i="1"/>
  <c r="B333" i="1" s="1"/>
  <c r="P4407" i="1"/>
  <c r="B4407" i="1" s="1"/>
  <c r="L4407" i="1"/>
  <c r="L6557" i="1"/>
  <c r="M6561" i="1"/>
  <c r="K6561" i="1"/>
  <c r="I6561" i="1"/>
  <c r="N6560" i="1"/>
  <c r="P6557" i="1"/>
  <c r="B6557" i="1" s="1"/>
  <c r="N6556" i="1"/>
  <c r="N6555" i="1"/>
  <c r="P763" i="1"/>
  <c r="B763" i="1" s="1"/>
  <c r="L763" i="1"/>
  <c r="L3732" i="1"/>
  <c r="P3732" i="1"/>
  <c r="B3732" i="1" s="1"/>
  <c r="L1891" i="1"/>
  <c r="P1891" i="1"/>
  <c r="B1891" i="1" s="1"/>
  <c r="H588" i="1"/>
  <c r="I581" i="1"/>
  <c r="L581" i="1" s="1"/>
  <c r="P2215" i="1"/>
  <c r="B2215" i="1" s="1"/>
  <c r="L2215" i="1"/>
  <c r="L278" i="1"/>
  <c r="P278" i="1"/>
  <c r="B278" i="1" s="1"/>
  <c r="I5566" i="1"/>
  <c r="P5566" i="1"/>
  <c r="B5566" i="1" s="1"/>
  <c r="P6383" i="1"/>
  <c r="B6383" i="1" s="1"/>
  <c r="L6383" i="1"/>
  <c r="I274" i="1"/>
  <c r="P274" i="1"/>
  <c r="B274" i="1" s="1"/>
  <c r="P2213" i="1"/>
  <c r="B2213" i="1" s="1"/>
  <c r="L2213" i="1"/>
  <c r="P1343" i="1"/>
  <c r="B1343" i="1" s="1"/>
  <c r="L1343" i="1"/>
  <c r="L5073" i="1"/>
  <c r="P5073" i="1"/>
  <c r="B5073" i="1" s="1"/>
  <c r="P869" i="1"/>
  <c r="B869" i="1" s="1"/>
  <c r="L869" i="1"/>
  <c r="H273" i="1"/>
  <c r="H292" i="1" s="1"/>
  <c r="P273" i="1"/>
  <c r="B273" i="1" s="1"/>
  <c r="L4629" i="1"/>
  <c r="P4629" i="1"/>
  <c r="B4629" i="1" s="1"/>
  <c r="L1648" i="1"/>
  <c r="P1648" i="1"/>
  <c r="B1648" i="1" s="1"/>
  <c r="P5836" i="1"/>
  <c r="B5836" i="1" s="1"/>
  <c r="L5836" i="1"/>
  <c r="L4252" i="1"/>
  <c r="P4252" i="1"/>
  <c r="B4252" i="1" s="1"/>
  <c r="H1618" i="1"/>
  <c r="L1618" i="1" s="1"/>
  <c r="M1620" i="1"/>
  <c r="K1620" i="1"/>
  <c r="I1620" i="1"/>
  <c r="N1619" i="1"/>
  <c r="P1618" i="1"/>
  <c r="B1618" i="1" s="1"/>
  <c r="N1617" i="1"/>
  <c r="N1616" i="1"/>
  <c r="M3655" i="1"/>
  <c r="K3655" i="1"/>
  <c r="N3654" i="1"/>
  <c r="P3648" i="1"/>
  <c r="B3648" i="1" s="1"/>
  <c r="N3647" i="1"/>
  <c r="N3646" i="1"/>
  <c r="P1793" i="1"/>
  <c r="B1793" i="1" s="1"/>
  <c r="L1793" i="1"/>
  <c r="P125" i="1"/>
  <c r="B125" i="1" s="1"/>
  <c r="L125" i="1"/>
  <c r="L4869" i="1"/>
  <c r="L5184" i="1"/>
  <c r="P5181" i="1"/>
  <c r="B5181" i="1" s="1"/>
  <c r="L5181" i="1"/>
  <c r="P4094" i="1"/>
  <c r="B4094" i="1" s="1"/>
  <c r="L4094" i="1"/>
  <c r="H3980" i="1"/>
  <c r="L3980" i="1" s="1"/>
  <c r="P3980" i="1"/>
  <c r="B3980" i="1" s="1"/>
  <c r="M6292" i="1"/>
  <c r="I6292" i="1"/>
  <c r="H6292" i="1"/>
  <c r="N6291" i="1"/>
  <c r="P6288" i="1"/>
  <c r="B6288" i="1" s="1"/>
  <c r="N6287" i="1"/>
  <c r="N6286" i="1"/>
  <c r="L5671" i="1"/>
  <c r="P5671" i="1"/>
  <c r="B5671" i="1" s="1"/>
  <c r="H1987" i="1"/>
  <c r="H1989" i="1" s="1"/>
  <c r="M1989" i="1"/>
  <c r="I1989" i="1"/>
  <c r="N1988" i="1"/>
  <c r="P1987" i="1"/>
  <c r="B1987" i="1" s="1"/>
  <c r="K1989" i="1"/>
  <c r="N1986" i="1"/>
  <c r="N1985" i="1"/>
  <c r="P5645" i="1"/>
  <c r="B5645" i="1" s="1"/>
  <c r="L5645" i="1"/>
  <c r="H5610" i="1"/>
  <c r="L5610" i="1" s="1"/>
  <c r="P5610" i="1"/>
  <c r="B5610" i="1" s="1"/>
  <c r="I4123" i="1"/>
  <c r="M5729" i="1"/>
  <c r="K5729" i="1"/>
  <c r="I5729" i="1"/>
  <c r="H5729" i="1"/>
  <c r="N5728" i="1"/>
  <c r="P5727" i="1"/>
  <c r="B5727" i="1" s="1"/>
  <c r="L5727" i="1"/>
  <c r="N5726" i="1"/>
  <c r="N5725" i="1"/>
  <c r="P5827" i="1"/>
  <c r="B5827" i="1" s="1"/>
  <c r="L5827" i="1"/>
  <c r="I541" i="1"/>
  <c r="M500" i="1"/>
  <c r="H500" i="1"/>
  <c r="N499" i="1"/>
  <c r="P490" i="1"/>
  <c r="B490" i="1" s="1"/>
  <c r="L490" i="1"/>
  <c r="N489" i="1"/>
  <c r="N488" i="1"/>
  <c r="P4123" i="1"/>
  <c r="B4123" i="1" s="1"/>
  <c r="L3702" i="1"/>
  <c r="L5755" i="1"/>
  <c r="L1102" i="1"/>
  <c r="L12" i="1"/>
  <c r="P550" i="1"/>
  <c r="B550" i="1" s="1"/>
  <c r="L550" i="1"/>
  <c r="M3677" i="1"/>
  <c r="I3677" i="1"/>
  <c r="H3677" i="1"/>
  <c r="N3676" i="1"/>
  <c r="P3674" i="1"/>
  <c r="B3674" i="1" s="1"/>
  <c r="K3677" i="1"/>
  <c r="N3673" i="1"/>
  <c r="N3672" i="1"/>
  <c r="L3674" i="1"/>
  <c r="M3830" i="1"/>
  <c r="K3830" i="1"/>
  <c r="I3830" i="1"/>
  <c r="H3830" i="1"/>
  <c r="N3829" i="1"/>
  <c r="P3827" i="1"/>
  <c r="B3827" i="1" s="1"/>
  <c r="L3827" i="1"/>
  <c r="N3826" i="1"/>
  <c r="N3825" i="1"/>
  <c r="M6285" i="1"/>
  <c r="K6285" i="1"/>
  <c r="I6285" i="1"/>
  <c r="H6285" i="1"/>
  <c r="N6284" i="1"/>
  <c r="P6283" i="1"/>
  <c r="B6283" i="1" s="1"/>
  <c r="L6283" i="1"/>
  <c r="N6282" i="1"/>
  <c r="N6281" i="1"/>
  <c r="L697" i="1"/>
  <c r="P697" i="1"/>
  <c r="B697" i="1" s="1"/>
  <c r="M825" i="1"/>
  <c r="K825" i="1"/>
  <c r="I825" i="1"/>
  <c r="H825" i="1"/>
  <c r="N824" i="1"/>
  <c r="P822" i="1"/>
  <c r="B822" i="1" s="1"/>
  <c r="L822" i="1"/>
  <c r="N821" i="1"/>
  <c r="N820" i="1"/>
  <c r="P5701" i="1"/>
  <c r="B5701" i="1" s="1"/>
  <c r="L5701" i="1"/>
  <c r="P5841" i="1"/>
  <c r="B5841" i="1" s="1"/>
  <c r="L5841" i="1"/>
  <c r="L105" i="1"/>
  <c r="P105" i="1"/>
  <c r="B105" i="1" s="1"/>
  <c r="P2598" i="1"/>
  <c r="B2598" i="1" s="1"/>
  <c r="L2598" i="1"/>
  <c r="P3900" i="1"/>
  <c r="B3900" i="1" s="1"/>
  <c r="L3900" i="1"/>
  <c r="P3460" i="1"/>
  <c r="B3460" i="1" s="1"/>
  <c r="L3460" i="1"/>
  <c r="M6490" i="1"/>
  <c r="K6490" i="1"/>
  <c r="I6490" i="1"/>
  <c r="H6490" i="1"/>
  <c r="N6489" i="1"/>
  <c r="P6478" i="1"/>
  <c r="B6478" i="1" s="1"/>
  <c r="L6478" i="1"/>
  <c r="N6477" i="1"/>
  <c r="N6476" i="1"/>
  <c r="P5471" i="1"/>
  <c r="B5471" i="1" s="1"/>
  <c r="L5471" i="1"/>
  <c r="P5786" i="1"/>
  <c r="B5786" i="1" s="1"/>
  <c r="L5786" i="1"/>
  <c r="P5650" i="1"/>
  <c r="B5650" i="1" s="1"/>
  <c r="L5650" i="1"/>
  <c r="P4312" i="1"/>
  <c r="B4312" i="1" s="1"/>
  <c r="L4312" i="1"/>
  <c r="P843" i="1"/>
  <c r="B843" i="1" s="1"/>
  <c r="L843" i="1"/>
  <c r="M4699" i="1"/>
  <c r="K4699" i="1"/>
  <c r="I4699" i="1"/>
  <c r="H4699" i="1"/>
  <c r="N4698" i="1"/>
  <c r="P4697" i="1"/>
  <c r="B4697" i="1" s="1"/>
  <c r="L4697" i="1"/>
  <c r="N4696" i="1"/>
  <c r="N4695" i="1"/>
  <c r="M251" i="1"/>
  <c r="K251" i="1"/>
  <c r="I251" i="1"/>
  <c r="H251" i="1"/>
  <c r="N250" i="1"/>
  <c r="P249" i="1"/>
  <c r="B249" i="1" s="1"/>
  <c r="L249" i="1"/>
  <c r="N248" i="1"/>
  <c r="N247" i="1"/>
  <c r="M737" i="1"/>
  <c r="K737" i="1"/>
  <c r="I737" i="1"/>
  <c r="H737" i="1"/>
  <c r="N736" i="1"/>
  <c r="P735" i="1"/>
  <c r="B735" i="1" s="1"/>
  <c r="L735" i="1"/>
  <c r="N734" i="1"/>
  <c r="N733" i="1"/>
  <c r="P3855" i="1"/>
  <c r="B3855" i="1" s="1"/>
  <c r="L3855" i="1"/>
  <c r="P1722" i="1"/>
  <c r="B1722" i="1" s="1"/>
  <c r="L1722" i="1"/>
  <c r="P6130" i="1"/>
  <c r="B6130" i="1" s="1"/>
  <c r="L6130" i="1"/>
  <c r="M5998" i="1"/>
  <c r="K5998" i="1"/>
  <c r="I5998" i="1"/>
  <c r="H5998" i="1"/>
  <c r="N5997" i="1"/>
  <c r="P5995" i="1"/>
  <c r="B5995" i="1" s="1"/>
  <c r="L5995" i="1"/>
  <c r="N5994" i="1"/>
  <c r="N5993" i="1"/>
  <c r="P3702" i="1"/>
  <c r="B3702" i="1" s="1"/>
  <c r="P3964" i="1"/>
  <c r="B3964" i="1" s="1"/>
  <c r="L3964" i="1"/>
  <c r="M6113" i="1"/>
  <c r="K6113" i="1"/>
  <c r="I6113" i="1"/>
  <c r="H6113" i="1"/>
  <c r="N6112" i="1"/>
  <c r="P6108" i="1"/>
  <c r="B6108" i="1" s="1"/>
  <c r="L6108" i="1"/>
  <c r="N6107" i="1"/>
  <c r="N6106" i="1"/>
  <c r="P6315" i="1"/>
  <c r="B6315" i="1" s="1"/>
  <c r="L6315" i="1"/>
  <c r="P5939" i="1"/>
  <c r="B5939" i="1" s="1"/>
  <c r="L5939" i="1"/>
  <c r="M5022" i="1"/>
  <c r="K5022" i="1"/>
  <c r="I5022" i="1"/>
  <c r="H5022" i="1"/>
  <c r="N5021" i="1"/>
  <c r="P5018" i="1"/>
  <c r="B5018" i="1" s="1"/>
  <c r="L5018" i="1"/>
  <c r="N5017" i="1"/>
  <c r="N5016" i="1"/>
  <c r="P235" i="1"/>
  <c r="B235" i="1" s="1"/>
  <c r="L235" i="1"/>
  <c r="P88" i="1"/>
  <c r="B88" i="1" s="1"/>
  <c r="L88" i="1"/>
  <c r="L2509" i="1"/>
  <c r="P4603" i="1"/>
  <c r="B4603" i="1" s="1"/>
  <c r="L4603" i="1"/>
  <c r="L5716" i="1"/>
  <c r="L5089" i="1"/>
  <c r="P5089" i="1"/>
  <c r="B5089" i="1" s="1"/>
  <c r="P6719" i="1"/>
  <c r="B6719" i="1" s="1"/>
  <c r="L6719" i="1"/>
  <c r="P6318" i="1"/>
  <c r="B6318" i="1" s="1"/>
  <c r="L6318" i="1"/>
  <c r="P2158" i="1"/>
  <c r="B2158" i="1" s="1"/>
  <c r="L2158" i="1"/>
  <c r="M1460" i="1"/>
  <c r="K1460" i="1"/>
  <c r="I1460" i="1"/>
  <c r="H1460" i="1"/>
  <c r="N1459" i="1"/>
  <c r="P1454" i="1"/>
  <c r="B1454" i="1" s="1"/>
  <c r="L1454" i="1"/>
  <c r="N1453" i="1"/>
  <c r="N1452" i="1"/>
  <c r="P6697" i="1"/>
  <c r="B6697" i="1" s="1"/>
  <c r="L6697" i="1"/>
  <c r="P5950" i="1"/>
  <c r="B5950" i="1" s="1"/>
  <c r="L5950" i="1"/>
  <c r="P2683" i="1"/>
  <c r="B2683" i="1" s="1"/>
  <c r="L2683" i="1"/>
  <c r="M1240" i="1"/>
  <c r="K1240" i="1"/>
  <c r="I1240" i="1"/>
  <c r="H1240" i="1"/>
  <c r="N1239" i="1"/>
  <c r="P1236" i="1"/>
  <c r="B1236" i="1" s="1"/>
  <c r="L1236" i="1"/>
  <c r="N1235" i="1"/>
  <c r="N1234" i="1"/>
  <c r="P4054" i="1"/>
  <c r="B4054" i="1" s="1"/>
  <c r="L4054" i="1"/>
  <c r="M2239" i="1"/>
  <c r="K2239" i="1"/>
  <c r="I2239" i="1"/>
  <c r="H2239" i="1"/>
  <c r="N2238" i="1"/>
  <c r="P2235" i="1"/>
  <c r="B2235" i="1" s="1"/>
  <c r="L2235" i="1"/>
  <c r="N2234" i="1"/>
  <c r="N2233" i="1"/>
  <c r="P6356" i="1"/>
  <c r="B6356" i="1" s="1"/>
  <c r="L6356" i="1"/>
  <c r="M5904" i="1"/>
  <c r="K5904" i="1"/>
  <c r="I5904" i="1"/>
  <c r="H5904" i="1"/>
  <c r="N5903" i="1"/>
  <c r="P5900" i="1"/>
  <c r="B5900" i="1" s="1"/>
  <c r="L5900" i="1"/>
  <c r="N5899" i="1"/>
  <c r="N5898" i="1"/>
  <c r="P4786" i="1"/>
  <c r="B4786" i="1" s="1"/>
  <c r="L4786" i="1"/>
  <c r="P5326" i="1"/>
  <c r="B5326" i="1" s="1"/>
  <c r="L5326" i="1"/>
  <c r="M983" i="1"/>
  <c r="K983" i="1"/>
  <c r="I983" i="1"/>
  <c r="H983" i="1"/>
  <c r="N982" i="1"/>
  <c r="P981" i="1"/>
  <c r="B981" i="1" s="1"/>
  <c r="L981" i="1"/>
  <c r="N980" i="1"/>
  <c r="N979" i="1"/>
  <c r="P5386" i="1"/>
  <c r="B5386" i="1" s="1"/>
  <c r="L5386" i="1"/>
  <c r="M5336" i="1"/>
  <c r="K5336" i="1"/>
  <c r="I5336" i="1"/>
  <c r="H5336" i="1"/>
  <c r="N5335" i="1"/>
  <c r="P5332" i="1"/>
  <c r="B5332" i="1" s="1"/>
  <c r="L5332" i="1"/>
  <c r="N5331" i="1"/>
  <c r="N5330" i="1"/>
  <c r="P6038" i="1"/>
  <c r="B6038" i="1" s="1"/>
  <c r="L6038" i="1"/>
  <c r="P5107" i="1"/>
  <c r="B5107" i="1" s="1"/>
  <c r="L5107" i="1"/>
  <c r="P6239" i="1"/>
  <c r="B6239" i="1" s="1"/>
  <c r="L6239" i="1"/>
  <c r="L2304" i="1"/>
  <c r="M2307" i="1"/>
  <c r="K2307" i="1"/>
  <c r="H2307" i="1"/>
  <c r="N2306" i="1"/>
  <c r="P2304" i="1"/>
  <c r="B2304" i="1" s="1"/>
  <c r="N2303" i="1"/>
  <c r="N2302" i="1"/>
  <c r="P4408" i="1"/>
  <c r="B4408" i="1" s="1"/>
  <c r="L4408" i="1"/>
  <c r="M433" i="1"/>
  <c r="K433" i="1"/>
  <c r="I433" i="1"/>
  <c r="H433" i="1"/>
  <c r="N432" i="1"/>
  <c r="P429" i="1"/>
  <c r="B429" i="1" s="1"/>
  <c r="L429" i="1"/>
  <c r="N428" i="1"/>
  <c r="N427" i="1"/>
  <c r="P1863" i="1"/>
  <c r="B1863" i="1" s="1"/>
  <c r="L1863" i="1"/>
  <c r="P6050" i="1"/>
  <c r="B6050" i="1" s="1"/>
  <c r="L6050" i="1"/>
  <c r="M6003" i="1"/>
  <c r="K6003" i="1"/>
  <c r="I6003" i="1"/>
  <c r="H6003" i="1"/>
  <c r="N6002" i="1"/>
  <c r="P6001" i="1"/>
  <c r="B6001" i="1" s="1"/>
  <c r="L6001" i="1"/>
  <c r="N6000" i="1"/>
  <c r="N5999" i="1"/>
  <c r="P2690" i="1"/>
  <c r="B2690" i="1" s="1"/>
  <c r="L2690" i="1"/>
  <c r="P5838" i="1"/>
  <c r="B5838" i="1" s="1"/>
  <c r="L5838" i="1"/>
  <c r="P2095" i="1"/>
  <c r="B2095" i="1" s="1"/>
  <c r="L2095" i="1"/>
  <c r="M1717" i="1"/>
  <c r="K1717" i="1"/>
  <c r="I1717" i="1"/>
  <c r="H1717" i="1"/>
  <c r="N1716" i="1"/>
  <c r="P1715" i="1"/>
  <c r="B1715" i="1" s="1"/>
  <c r="L1715" i="1"/>
  <c r="N1714" i="1"/>
  <c r="N1713" i="1"/>
  <c r="L1291" i="1"/>
  <c r="P1291" i="1"/>
  <c r="B1291" i="1" s="1"/>
  <c r="P1817" i="1"/>
  <c r="B1817" i="1" s="1"/>
  <c r="L1817" i="1"/>
  <c r="P5472" i="1"/>
  <c r="B5472" i="1" s="1"/>
  <c r="L5472" i="1"/>
  <c r="P485" i="1"/>
  <c r="B485" i="1" s="1"/>
  <c r="L485" i="1"/>
  <c r="P1923" i="1"/>
  <c r="B1923" i="1" s="1"/>
  <c r="L1923" i="1"/>
  <c r="P1724" i="1"/>
  <c r="B1724" i="1" s="1"/>
  <c r="L1724" i="1"/>
  <c r="P4315" i="1"/>
  <c r="B4315" i="1" s="1"/>
  <c r="L4315" i="1"/>
  <c r="P1860" i="1"/>
  <c r="B1860" i="1" s="1"/>
  <c r="L1860" i="1"/>
  <c r="P5647" i="1"/>
  <c r="B5647" i="1" s="1"/>
  <c r="L5647" i="1"/>
  <c r="M5724" i="1"/>
  <c r="K5724" i="1"/>
  <c r="I5724" i="1"/>
  <c r="H5724" i="1"/>
  <c r="N5723" i="1"/>
  <c r="P5716" i="1"/>
  <c r="B5716" i="1" s="1"/>
  <c r="N5715" i="1"/>
  <c r="N5714" i="1"/>
  <c r="M1215" i="1"/>
  <c r="K1215" i="1"/>
  <c r="I1215" i="1"/>
  <c r="H1215" i="1"/>
  <c r="N1214" i="1"/>
  <c r="P1212" i="1"/>
  <c r="B1212" i="1" s="1"/>
  <c r="L1212" i="1"/>
  <c r="N1211" i="1"/>
  <c r="N1210" i="1"/>
  <c r="P6226" i="1"/>
  <c r="B6226" i="1" s="1"/>
  <c r="L6226" i="1"/>
  <c r="P2070" i="1"/>
  <c r="B2070" i="1" s="1"/>
  <c r="L2070" i="1"/>
  <c r="P3853" i="1"/>
  <c r="B3853" i="1" s="1"/>
  <c r="L3853" i="1"/>
  <c r="M1489" i="1"/>
  <c r="K1489" i="1"/>
  <c r="I1489" i="1"/>
  <c r="H1489" i="1"/>
  <c r="N1488" i="1"/>
  <c r="P1487" i="1"/>
  <c r="B1487" i="1" s="1"/>
  <c r="L1487" i="1"/>
  <c r="N1486" i="1"/>
  <c r="N1485" i="1"/>
  <c r="P1803" i="1"/>
  <c r="B1803" i="1" s="1"/>
  <c r="L1803" i="1"/>
  <c r="P102" i="1"/>
  <c r="B102" i="1" s="1"/>
  <c r="L102" i="1"/>
  <c r="P4382" i="1"/>
  <c r="B4382" i="1" s="1"/>
  <c r="L4382" i="1"/>
  <c r="P5309" i="1"/>
  <c r="B5309" i="1" s="1"/>
  <c r="L5309" i="1"/>
  <c r="P6494" i="1"/>
  <c r="B6494" i="1" s="1"/>
  <c r="L6494" i="1"/>
  <c r="P4774" i="1"/>
  <c r="B4774" i="1" s="1"/>
  <c r="L4774" i="1"/>
  <c r="M1228" i="1"/>
  <c r="K1228" i="1"/>
  <c r="I1228" i="1"/>
  <c r="H1228" i="1"/>
  <c r="N1227" i="1"/>
  <c r="P1223" i="1"/>
  <c r="B1223" i="1" s="1"/>
  <c r="L1223" i="1"/>
  <c r="N1222" i="1"/>
  <c r="N1221" i="1"/>
  <c r="P4072" i="1"/>
  <c r="B4072" i="1" s="1"/>
  <c r="L4072" i="1"/>
  <c r="L5562" i="1"/>
  <c r="P5562" i="1"/>
  <c r="B5562" i="1" s="1"/>
  <c r="L4807" i="1"/>
  <c r="P4807" i="1"/>
  <c r="B4807" i="1" s="1"/>
  <c r="L3779" i="1"/>
  <c r="P3779" i="1"/>
  <c r="B3779" i="1" s="1"/>
  <c r="M5974" i="1"/>
  <c r="K5974" i="1"/>
  <c r="I5974" i="1"/>
  <c r="H5974" i="1"/>
  <c r="N5973" i="1"/>
  <c r="P5968" i="1"/>
  <c r="B5968" i="1" s="1"/>
  <c r="L5968" i="1"/>
  <c r="N5967" i="1"/>
  <c r="N5966" i="1"/>
  <c r="P3959" i="1"/>
  <c r="B3959" i="1" s="1"/>
  <c r="L3959" i="1"/>
  <c r="M3734" i="1"/>
  <c r="I3734" i="1"/>
  <c r="H3734" i="1"/>
  <c r="N3733" i="1"/>
  <c r="P3724" i="1"/>
  <c r="B3724" i="1" s="1"/>
  <c r="N3723" i="1"/>
  <c r="N3722" i="1"/>
  <c r="P2108" i="1"/>
  <c r="B2108" i="1" s="1"/>
  <c r="L2108" i="1"/>
  <c r="P5960" i="1"/>
  <c r="B5960" i="1" s="1"/>
  <c r="L5960" i="1"/>
  <c r="P6375" i="1"/>
  <c r="B6375" i="1" s="1"/>
  <c r="L6375" i="1"/>
  <c r="P1795" i="1"/>
  <c r="B1795" i="1" s="1"/>
  <c r="L1795" i="1"/>
  <c r="L4622" i="1"/>
  <c r="P4622" i="1"/>
  <c r="B4622" i="1" s="1"/>
  <c r="I5678" i="1"/>
  <c r="I5685" i="1" s="1"/>
  <c r="P5679" i="1"/>
  <c r="B5679" i="1" s="1"/>
  <c r="L5679" i="1"/>
  <c r="P12" i="1"/>
  <c r="B12" i="1" s="1"/>
  <c r="P4660" i="1"/>
  <c r="B4660" i="1" s="1"/>
  <c r="L4660" i="1"/>
  <c r="P4084" i="1"/>
  <c r="B4084" i="1" s="1"/>
  <c r="L4084" i="1"/>
  <c r="P2103" i="1"/>
  <c r="B2103" i="1" s="1"/>
  <c r="L2103" i="1"/>
  <c r="P101" i="1"/>
  <c r="B101" i="1" s="1"/>
  <c r="L101" i="1"/>
  <c r="P4971" i="1"/>
  <c r="B4971" i="1" s="1"/>
  <c r="L4971" i="1"/>
  <c r="P5176" i="1"/>
  <c r="B5176" i="1" s="1"/>
  <c r="L5176" i="1"/>
  <c r="P1509" i="1"/>
  <c r="B1509" i="1" s="1"/>
  <c r="L1509" i="1"/>
  <c r="M871" i="1"/>
  <c r="I871" i="1"/>
  <c r="H871" i="1"/>
  <c r="N870" i="1"/>
  <c r="P864" i="1"/>
  <c r="B864" i="1" s="1"/>
  <c r="N863" i="1"/>
  <c r="N862" i="1"/>
  <c r="P1434" i="1"/>
  <c r="B1434" i="1" s="1"/>
  <c r="L1434" i="1"/>
  <c r="P4982" i="1"/>
  <c r="B4982" i="1" s="1"/>
  <c r="L4982" i="1"/>
  <c r="P1755" i="1"/>
  <c r="B1755" i="1" s="1"/>
  <c r="L1755" i="1"/>
  <c r="P742" i="1"/>
  <c r="B742" i="1" s="1"/>
  <c r="L742" i="1"/>
  <c r="P6027" i="1"/>
  <c r="B6027" i="1" s="1"/>
  <c r="L6027" i="1"/>
  <c r="P6630" i="1"/>
  <c r="B6630" i="1" s="1"/>
  <c r="L6630" i="1"/>
  <c r="L6526" i="1"/>
  <c r="P6526" i="1"/>
  <c r="B6526" i="1" s="1"/>
  <c r="M4645" i="1"/>
  <c r="K4645" i="1"/>
  <c r="I4645" i="1"/>
  <c r="H4645" i="1"/>
  <c r="N4644" i="1"/>
  <c r="P4636" i="1"/>
  <c r="B4636" i="1" s="1"/>
  <c r="L4636" i="1"/>
  <c r="N4635" i="1"/>
  <c r="N4634" i="1"/>
  <c r="P4773" i="1"/>
  <c r="B4773" i="1" s="1"/>
  <c r="L4773" i="1"/>
  <c r="P4216" i="1"/>
  <c r="B4216" i="1" s="1"/>
  <c r="L4216" i="1"/>
  <c r="P5343" i="1"/>
  <c r="B5343" i="1" s="1"/>
  <c r="L5343" i="1"/>
  <c r="P2297" i="1"/>
  <c r="B2297" i="1" s="1"/>
  <c r="L2297" i="1"/>
  <c r="P6391" i="1"/>
  <c r="B6391" i="1" s="1"/>
  <c r="L6391" i="1"/>
  <c r="P762" i="1"/>
  <c r="B762" i="1" s="1"/>
  <c r="L762" i="1"/>
  <c r="P896" i="1"/>
  <c r="B896" i="1" s="1"/>
  <c r="L896" i="1"/>
  <c r="I1667" i="1"/>
  <c r="P1667" i="1"/>
  <c r="B1667" i="1" s="1"/>
  <c r="P5660" i="1"/>
  <c r="B5660" i="1" s="1"/>
  <c r="L5660" i="1"/>
  <c r="M6428" i="1"/>
  <c r="K6428" i="1"/>
  <c r="I6428" i="1"/>
  <c r="H6428" i="1"/>
  <c r="N6427" i="1"/>
  <c r="P6426" i="1"/>
  <c r="B6426" i="1" s="1"/>
  <c r="L6426" i="1"/>
  <c r="N6425" i="1"/>
  <c r="N6424" i="1"/>
  <c r="P2658" i="1"/>
  <c r="B2658" i="1" s="1"/>
  <c r="L2658" i="1"/>
  <c r="P5345" i="1"/>
  <c r="B5345" i="1" s="1"/>
  <c r="L5345" i="1"/>
  <c r="L6675" i="1"/>
  <c r="P4978" i="1"/>
  <c r="B4978" i="1" s="1"/>
  <c r="L4978" i="1"/>
  <c r="P5854" i="1"/>
  <c r="B5854" i="1" s="1"/>
  <c r="L5854" i="1"/>
  <c r="P717" i="1"/>
  <c r="B717" i="1" s="1"/>
  <c r="L717" i="1"/>
  <c r="M5347" i="1"/>
  <c r="K5347" i="1"/>
  <c r="I5347" i="1"/>
  <c r="H5347" i="1"/>
  <c r="N5346" i="1"/>
  <c r="P5339" i="1"/>
  <c r="B5339" i="1" s="1"/>
  <c r="L5339" i="1"/>
  <c r="N5338" i="1"/>
  <c r="N5337" i="1"/>
  <c r="P4623" i="1"/>
  <c r="B4623" i="1" s="1"/>
  <c r="L4623" i="1"/>
  <c r="P4616" i="1"/>
  <c r="B4616" i="1" s="1"/>
  <c r="L4616" i="1"/>
  <c r="M1577" i="1"/>
  <c r="K1577" i="1"/>
  <c r="I1577" i="1"/>
  <c r="H1577" i="1"/>
  <c r="N1576" i="1"/>
  <c r="P1573" i="1"/>
  <c r="B1573" i="1" s="1"/>
  <c r="L1573" i="1"/>
  <c r="N1572" i="1"/>
  <c r="N1571" i="1"/>
  <c r="M6126" i="1"/>
  <c r="K6126" i="1"/>
  <c r="I6126" i="1"/>
  <c r="H6126" i="1"/>
  <c r="N6125" i="1"/>
  <c r="P6121" i="1"/>
  <c r="B6121" i="1" s="1"/>
  <c r="L6121" i="1"/>
  <c r="N6120" i="1"/>
  <c r="N6119" i="1"/>
  <c r="P4946" i="1"/>
  <c r="B4946" i="1" s="1"/>
  <c r="L4946" i="1"/>
  <c r="P1797" i="1"/>
  <c r="B1797" i="1" s="1"/>
  <c r="L1797" i="1"/>
  <c r="M4403" i="1"/>
  <c r="K4403" i="1"/>
  <c r="I4403" i="1"/>
  <c r="H4403" i="1"/>
  <c r="N4402" i="1"/>
  <c r="P4401" i="1"/>
  <c r="B4401" i="1" s="1"/>
  <c r="L4401" i="1"/>
  <c r="N4400" i="1"/>
  <c r="N4399" i="1"/>
  <c r="P4621" i="1"/>
  <c r="B4621" i="1" s="1"/>
  <c r="L4621" i="1"/>
  <c r="L290" i="1"/>
  <c r="P290" i="1"/>
  <c r="B290" i="1" s="1"/>
  <c r="P22" i="1"/>
  <c r="B22" i="1" s="1"/>
  <c r="L22" i="1"/>
  <c r="P21" i="1"/>
  <c r="B21" i="1" s="1"/>
  <c r="L21" i="1"/>
  <c r="P5768" i="1"/>
  <c r="B5768" i="1" s="1"/>
  <c r="L5768" i="1"/>
  <c r="M302" i="1"/>
  <c r="K302" i="1"/>
  <c r="I302" i="1"/>
  <c r="H302" i="1"/>
  <c r="N301" i="1"/>
  <c r="P300" i="1"/>
  <c r="B300" i="1" s="1"/>
  <c r="L300" i="1"/>
  <c r="N299" i="1"/>
  <c r="N298" i="1"/>
  <c r="P1928" i="1"/>
  <c r="B1928" i="1" s="1"/>
  <c r="L1928" i="1"/>
  <c r="K2123" i="1"/>
  <c r="M2123" i="1"/>
  <c r="I2123" i="1"/>
  <c r="H2123" i="1"/>
  <c r="N2122" i="1"/>
  <c r="P2119" i="1"/>
  <c r="B2119" i="1" s="1"/>
  <c r="N2118" i="1"/>
  <c r="N2117" i="1"/>
  <c r="P327" i="1"/>
  <c r="B327" i="1" s="1"/>
  <c r="L327" i="1"/>
  <c r="I331" i="1"/>
  <c r="I336" i="1" s="1"/>
  <c r="P331" i="1"/>
  <c r="B331" i="1" s="1"/>
  <c r="P1796" i="1"/>
  <c r="B1796" i="1" s="1"/>
  <c r="L1796" i="1"/>
  <c r="L5541" i="1"/>
  <c r="M6032" i="1"/>
  <c r="K6032" i="1"/>
  <c r="I6032" i="1"/>
  <c r="H6032" i="1"/>
  <c r="N6031" i="1"/>
  <c r="P6024" i="1"/>
  <c r="B6024" i="1" s="1"/>
  <c r="L6024" i="1"/>
  <c r="N6023" i="1"/>
  <c r="N6022" i="1"/>
  <c r="P1538" i="1"/>
  <c r="B1538" i="1" s="1"/>
  <c r="K1541" i="1"/>
  <c r="P4061" i="1"/>
  <c r="B4061" i="1" s="1"/>
  <c r="L4061" i="1"/>
  <c r="P5245" i="1"/>
  <c r="B5245" i="1" s="1"/>
  <c r="L5245" i="1"/>
  <c r="P6363" i="1"/>
  <c r="B6363" i="1" s="1"/>
  <c r="L6363" i="1"/>
  <c r="L5619" i="1"/>
  <c r="M630" i="1"/>
  <c r="K630" i="1"/>
  <c r="I630" i="1"/>
  <c r="H630" i="1"/>
  <c r="N629" i="1"/>
  <c r="P628" i="1"/>
  <c r="B628" i="1" s="1"/>
  <c r="L628" i="1"/>
  <c r="N627" i="1"/>
  <c r="N626" i="1"/>
  <c r="P5619" i="1"/>
  <c r="B5619" i="1" s="1"/>
  <c r="P4882" i="1"/>
  <c r="B4882" i="1" s="1"/>
  <c r="P4077" i="1"/>
  <c r="B4077" i="1" s="1"/>
  <c r="L4077" i="1"/>
  <c r="M5758" i="1"/>
  <c r="K5758" i="1"/>
  <c r="I5758" i="1"/>
  <c r="H5758" i="1"/>
  <c r="N5757" i="1"/>
  <c r="P5755" i="1"/>
  <c r="B5755" i="1" s="1"/>
  <c r="N5754" i="1"/>
  <c r="N5753" i="1"/>
  <c r="M4386" i="1"/>
  <c r="K4386" i="1"/>
  <c r="I4386" i="1"/>
  <c r="H4386" i="1"/>
  <c r="N4385" i="1"/>
  <c r="P4380" i="1"/>
  <c r="B4380" i="1" s="1"/>
  <c r="L4380" i="1"/>
  <c r="N4379" i="1"/>
  <c r="N4378" i="1"/>
  <c r="L592" i="1"/>
  <c r="P592" i="1"/>
  <c r="B592" i="1" s="1"/>
  <c r="L589" i="1"/>
  <c r="P589" i="1"/>
  <c r="B589" i="1" s="1"/>
  <c r="P5648" i="1"/>
  <c r="B5648" i="1" s="1"/>
  <c r="L5648" i="1"/>
  <c r="P2685" i="1"/>
  <c r="B2685" i="1" s="1"/>
  <c r="L2685" i="1"/>
  <c r="H1659" i="1"/>
  <c r="P1659" i="1"/>
  <c r="B1659" i="1" s="1"/>
  <c r="P6746" i="1"/>
  <c r="B6746" i="1" s="1"/>
  <c r="L6746" i="1"/>
  <c r="P723" i="1"/>
  <c r="B723" i="1" s="1"/>
  <c r="L723" i="1"/>
  <c r="P4065" i="1"/>
  <c r="B4065" i="1" s="1"/>
  <c r="L4065" i="1"/>
  <c r="P5147" i="1"/>
  <c r="B5147" i="1" s="1"/>
  <c r="L5147" i="1"/>
  <c r="P2107" i="1"/>
  <c r="B2107" i="1" s="1"/>
  <c r="L2107" i="1"/>
  <c r="P5788" i="1"/>
  <c r="B5788" i="1" s="1"/>
  <c r="L5788" i="1"/>
  <c r="I279" i="1"/>
  <c r="L279" i="1" s="1"/>
  <c r="P279" i="1"/>
  <c r="B279" i="1" s="1"/>
  <c r="P397" i="1"/>
  <c r="B397" i="1" s="1"/>
  <c r="L397" i="1"/>
  <c r="P398" i="1"/>
  <c r="B398" i="1" s="1"/>
  <c r="L398" i="1"/>
  <c r="M402" i="1"/>
  <c r="K402" i="1"/>
  <c r="I402" i="1"/>
  <c r="H402" i="1"/>
  <c r="N401" i="1"/>
  <c r="P396" i="1"/>
  <c r="B396" i="1" s="1"/>
  <c r="L396" i="1"/>
  <c r="N395" i="1"/>
  <c r="N394" i="1"/>
  <c r="P6381" i="1"/>
  <c r="B6381" i="1" s="1"/>
  <c r="L6381" i="1"/>
  <c r="P6615" i="1"/>
  <c r="B6615" i="1" s="1"/>
  <c r="L6615" i="1"/>
  <c r="P3496" i="1"/>
  <c r="B3496" i="1" s="1"/>
  <c r="L3496" i="1"/>
  <c r="M481" i="1"/>
  <c r="I481" i="1"/>
  <c r="H481" i="1"/>
  <c r="N480" i="1"/>
  <c r="P476" i="1"/>
  <c r="B476" i="1" s="1"/>
  <c r="L476" i="1"/>
  <c r="N475" i="1"/>
  <c r="N474" i="1"/>
  <c r="I2228" i="1"/>
  <c r="P2230" i="1"/>
  <c r="B2230" i="1" s="1"/>
  <c r="L2230" i="1"/>
  <c r="P2228" i="1"/>
  <c r="B2228" i="1" s="1"/>
  <c r="M269" i="1"/>
  <c r="K269" i="1"/>
  <c r="I269" i="1"/>
  <c r="H269" i="1"/>
  <c r="N268" i="1"/>
  <c r="P267" i="1"/>
  <c r="B267" i="1" s="1"/>
  <c r="L267" i="1"/>
  <c r="N266" i="1"/>
  <c r="N265" i="1"/>
  <c r="P4770" i="1"/>
  <c r="B4770" i="1" s="1"/>
  <c r="L4770" i="1"/>
  <c r="P2141" i="1"/>
  <c r="B2141" i="1" s="1"/>
  <c r="L2141" i="1"/>
  <c r="P1642" i="1"/>
  <c r="B1642" i="1" s="1"/>
  <c r="L1642" i="1"/>
  <c r="M487" i="1"/>
  <c r="K487" i="1"/>
  <c r="I487" i="1"/>
  <c r="H487" i="1"/>
  <c r="N486" i="1"/>
  <c r="P484" i="1"/>
  <c r="B484" i="1" s="1"/>
  <c r="L484" i="1"/>
  <c r="N483" i="1"/>
  <c r="N482" i="1"/>
  <c r="M5081" i="1"/>
  <c r="K5081" i="1"/>
  <c r="I5081" i="1"/>
  <c r="H5081" i="1"/>
  <c r="N5080" i="1"/>
  <c r="P5078" i="1"/>
  <c r="B5078" i="1" s="1"/>
  <c r="L5078" i="1"/>
  <c r="N5077" i="1"/>
  <c r="N5076" i="1"/>
  <c r="P2023" i="1"/>
  <c r="B2023" i="1" s="1"/>
  <c r="L2023" i="1"/>
  <c r="P5048" i="1"/>
  <c r="B5048" i="1" s="1"/>
  <c r="L5048" i="1"/>
  <c r="P4220" i="1"/>
  <c r="B4220" i="1" s="1"/>
  <c r="L4220" i="1"/>
  <c r="M1541" i="1"/>
  <c r="I1541" i="1"/>
  <c r="H1541" i="1"/>
  <c r="N1540" i="1"/>
  <c r="P1532" i="1"/>
  <c r="B1532" i="1" s="1"/>
  <c r="N1531" i="1"/>
  <c r="N1530" i="1"/>
  <c r="L1532" i="1"/>
  <c r="P4462" i="1"/>
  <c r="B4462" i="1" s="1"/>
  <c r="L4462" i="1"/>
  <c r="P5667" i="1"/>
  <c r="B5667" i="1" s="1"/>
  <c r="L5667" i="1"/>
  <c r="P2314" i="1"/>
  <c r="B2314" i="1" s="1"/>
  <c r="L2314" i="1"/>
  <c r="P5171" i="1"/>
  <c r="B5171" i="1" s="1"/>
  <c r="L5171" i="1"/>
  <c r="P360" i="1"/>
  <c r="B360" i="1" s="1"/>
  <c r="I360" i="1"/>
  <c r="L360" i="1" s="1"/>
  <c r="P5800" i="1"/>
  <c r="B5800" i="1" s="1"/>
  <c r="L5800" i="1"/>
  <c r="P4804" i="1"/>
  <c r="B4804" i="1" s="1"/>
  <c r="L4804" i="1"/>
  <c r="P5807" i="1"/>
  <c r="B5807" i="1" s="1"/>
  <c r="L5807" i="1"/>
  <c r="P5055" i="1"/>
  <c r="B5055" i="1" s="1"/>
  <c r="L5055" i="1"/>
  <c r="P1289" i="1"/>
  <c r="B1289" i="1" s="1"/>
  <c r="L1289" i="1"/>
  <c r="P6103" i="1"/>
  <c r="B6103" i="1" s="1"/>
  <c r="L6103" i="1"/>
  <c r="M4367" i="1"/>
  <c r="K4367" i="1"/>
  <c r="I4367" i="1"/>
  <c r="H4367" i="1"/>
  <c r="N4366" i="1"/>
  <c r="P4364" i="1"/>
  <c r="B4364" i="1" s="1"/>
  <c r="L4364" i="1"/>
  <c r="N4364" i="1" s="1"/>
  <c r="N4363" i="1"/>
  <c r="N4362" i="1"/>
  <c r="P4605" i="1"/>
  <c r="B4605" i="1" s="1"/>
  <c r="L4605" i="1"/>
  <c r="P5051" i="1"/>
  <c r="B5051" i="1" s="1"/>
  <c r="L5051" i="1"/>
  <c r="P5845" i="1"/>
  <c r="B5845" i="1" s="1"/>
  <c r="L5845" i="1"/>
  <c r="P1604" i="1"/>
  <c r="B1604" i="1" s="1"/>
  <c r="L1604" i="1"/>
  <c r="P6359" i="1"/>
  <c r="B6359" i="1" s="1"/>
  <c r="L6359" i="1"/>
  <c r="P842" i="1"/>
  <c r="B842" i="1" s="1"/>
  <c r="L842" i="1"/>
  <c r="P1603" i="1"/>
  <c r="B1603" i="1" s="1"/>
  <c r="L1603" i="1"/>
  <c r="P3844" i="1"/>
  <c r="B3844" i="1" s="1"/>
  <c r="L3844" i="1"/>
  <c r="P5159" i="1"/>
  <c r="B5159" i="1" s="1"/>
  <c r="L5159" i="1"/>
  <c r="P4792" i="1"/>
  <c r="B4792" i="1" s="1"/>
  <c r="L4792" i="1"/>
  <c r="P5792" i="1"/>
  <c r="B5792" i="1" s="1"/>
  <c r="L5792" i="1"/>
  <c r="P5844" i="1"/>
  <c r="B5844" i="1" s="1"/>
  <c r="L5844" i="1"/>
  <c r="P6358" i="1"/>
  <c r="B6358" i="1" s="1"/>
  <c r="L6358" i="1"/>
  <c r="P5843" i="1"/>
  <c r="B5843" i="1" s="1"/>
  <c r="L5843" i="1"/>
  <c r="P39" i="1"/>
  <c r="B39" i="1" s="1"/>
  <c r="L39" i="1"/>
  <c r="P840" i="1"/>
  <c r="B840" i="1" s="1"/>
  <c r="L840" i="1"/>
  <c r="P38" i="1"/>
  <c r="B38" i="1" s="1"/>
  <c r="L38" i="1"/>
  <c r="P4788" i="1"/>
  <c r="B4788" i="1" s="1"/>
  <c r="L4788" i="1"/>
  <c r="P720" i="1"/>
  <c r="B720" i="1" s="1"/>
  <c r="L720" i="1"/>
  <c r="P839" i="1"/>
  <c r="B839" i="1" s="1"/>
  <c r="L839" i="1"/>
  <c r="P1599" i="1"/>
  <c r="B1599" i="1" s="1"/>
  <c r="L1599" i="1"/>
  <c r="P3841" i="1"/>
  <c r="B3841" i="1" s="1"/>
  <c r="L3841" i="1"/>
  <c r="P5155" i="1"/>
  <c r="B5155" i="1" s="1"/>
  <c r="L5155" i="1"/>
  <c r="P5842" i="1"/>
  <c r="B5842" i="1" s="1"/>
  <c r="L5842" i="1"/>
  <c r="P719" i="1"/>
  <c r="B719" i="1" s="1"/>
  <c r="L719" i="1"/>
  <c r="P5790" i="1"/>
  <c r="B5790" i="1" s="1"/>
  <c r="L5790" i="1"/>
  <c r="P5878" i="1"/>
  <c r="B5878" i="1" s="1"/>
  <c r="L5878" i="1"/>
  <c r="P5184" i="1"/>
  <c r="B5184" i="1" s="1"/>
  <c r="P1977" i="1"/>
  <c r="B1977" i="1" s="1"/>
  <c r="L1977" i="1"/>
  <c r="P5793" i="1"/>
  <c r="B5793" i="1" s="1"/>
  <c r="L5793" i="1"/>
  <c r="I20" i="1"/>
  <c r="P20" i="1"/>
  <c r="B20" i="1" s="1"/>
  <c r="M1172" i="1"/>
  <c r="K1172" i="1"/>
  <c r="I1172" i="1"/>
  <c r="H1172" i="1"/>
  <c r="N1171" i="1"/>
  <c r="P1168" i="1"/>
  <c r="B1168" i="1" s="1"/>
  <c r="L1168" i="1"/>
  <c r="N1167" i="1"/>
  <c r="N1166" i="1"/>
  <c r="M6311" i="1"/>
  <c r="K6311" i="1"/>
  <c r="I6311" i="1"/>
  <c r="H6311" i="1"/>
  <c r="N6310" i="1"/>
  <c r="P6308" i="1"/>
  <c r="B6308" i="1" s="1"/>
  <c r="L6308" i="1"/>
  <c r="N6307" i="1"/>
  <c r="N6306" i="1"/>
  <c r="M1726" i="1"/>
  <c r="K1726" i="1"/>
  <c r="I1726" i="1"/>
  <c r="H1726" i="1"/>
  <c r="N1725" i="1"/>
  <c r="P1720" i="1"/>
  <c r="B1720" i="1" s="1"/>
  <c r="L1720" i="1"/>
  <c r="N1719" i="1"/>
  <c r="N1718" i="1"/>
  <c r="P6724" i="1"/>
  <c r="B6724" i="1" s="1"/>
  <c r="L6724" i="1"/>
  <c r="P1605" i="1"/>
  <c r="B1605" i="1" s="1"/>
  <c r="L1605" i="1"/>
  <c r="K2197" i="1"/>
  <c r="M2197" i="1"/>
  <c r="I2197" i="1"/>
  <c r="H2197" i="1"/>
  <c r="N2196" i="1"/>
  <c r="P2193" i="1"/>
  <c r="B2193" i="1" s="1"/>
  <c r="N2192" i="1"/>
  <c r="N2191" i="1"/>
  <c r="L1964" i="1"/>
  <c r="P100" i="1"/>
  <c r="B100" i="1" s="1"/>
  <c r="L100" i="1"/>
  <c r="P1945" i="1"/>
  <c r="B1945" i="1" s="1"/>
  <c r="L1945" i="1"/>
  <c r="P749" i="1"/>
  <c r="B749" i="1" s="1"/>
  <c r="L749" i="1"/>
  <c r="P4100" i="1"/>
  <c r="B4100" i="1" s="1"/>
  <c r="L4100" i="1"/>
  <c r="M4827" i="1"/>
  <c r="K4827" i="1"/>
  <c r="I4827" i="1"/>
  <c r="H4827" i="1"/>
  <c r="N4826" i="1"/>
  <c r="P4823" i="1"/>
  <c r="B4823" i="1" s="1"/>
  <c r="L4823" i="1"/>
  <c r="N4822" i="1"/>
  <c r="N4821" i="1"/>
  <c r="P2137" i="1"/>
  <c r="B2137" i="1" s="1"/>
  <c r="L2137" i="1"/>
  <c r="M4079" i="1"/>
  <c r="I4079" i="1"/>
  <c r="H4079" i="1"/>
  <c r="P4047" i="1"/>
  <c r="B4047" i="1" s="1"/>
  <c r="L4047" i="1"/>
  <c r="P588" i="1"/>
  <c r="B588" i="1" s="1"/>
  <c r="P2007" i="1"/>
  <c r="B2007" i="1" s="1"/>
  <c r="L2007" i="1"/>
  <c r="M2012" i="1"/>
  <c r="H2012" i="1"/>
  <c r="N2011" i="1"/>
  <c r="P2002" i="1"/>
  <c r="B2002" i="1" s="1"/>
  <c r="N2001" i="1"/>
  <c r="N2000" i="1"/>
  <c r="L1302" i="1"/>
  <c r="P1302" i="1"/>
  <c r="B1302" i="1" s="1"/>
  <c r="M835" i="1"/>
  <c r="I835" i="1"/>
  <c r="H835" i="1"/>
  <c r="N834" i="1"/>
  <c r="P828" i="1"/>
  <c r="B828" i="1" s="1"/>
  <c r="L828" i="1"/>
  <c r="N827" i="1"/>
  <c r="N826" i="1"/>
  <c r="M3721" i="1"/>
  <c r="K3721" i="1"/>
  <c r="I3721" i="1"/>
  <c r="H3721" i="1"/>
  <c r="P5230" i="1"/>
  <c r="B5230" i="1" s="1"/>
  <c r="L5230" i="1"/>
  <c r="I771" i="1"/>
  <c r="H771" i="1"/>
  <c r="P771" i="1"/>
  <c r="B771" i="1" s="1"/>
  <c r="P6655" i="1"/>
  <c r="B6655" i="1" s="1"/>
  <c r="L6655" i="1"/>
  <c r="P5321" i="1"/>
  <c r="B5321" i="1" s="1"/>
  <c r="L5321" i="1"/>
  <c r="M5301" i="1"/>
  <c r="K5301" i="1"/>
  <c r="I5301" i="1"/>
  <c r="H5301" i="1"/>
  <c r="N5300" i="1"/>
  <c r="P5299" i="1"/>
  <c r="B5299" i="1" s="1"/>
  <c r="L5299" i="1"/>
  <c r="N5298" i="1"/>
  <c r="N5297" i="1"/>
  <c r="P5583" i="1"/>
  <c r="B5583" i="1" s="1"/>
  <c r="L5583" i="1"/>
  <c r="P19" i="1"/>
  <c r="B19" i="1" s="1"/>
  <c r="L19" i="1"/>
  <c r="P18" i="1"/>
  <c r="B18" i="1" s="1"/>
  <c r="L18" i="1"/>
  <c r="P4068" i="1"/>
  <c r="B4068" i="1" s="1"/>
  <c r="L4068" i="1"/>
  <c r="P2296" i="1"/>
  <c r="B2296" i="1" s="1"/>
  <c r="L2296" i="1"/>
  <c r="P416" i="1"/>
  <c r="B416" i="1" s="1"/>
  <c r="L416" i="1"/>
  <c r="P617" i="1"/>
  <c r="B617" i="1" s="1"/>
  <c r="L617" i="1"/>
  <c r="P5592" i="1"/>
  <c r="B5592" i="1" s="1"/>
  <c r="L5592" i="1"/>
  <c r="L5572" i="1"/>
  <c r="P5572" i="1"/>
  <c r="B5572" i="1" s="1"/>
  <c r="P4778" i="1"/>
  <c r="B4778" i="1" s="1"/>
  <c r="L4778" i="1"/>
  <c r="P2265" i="1"/>
  <c r="B2265" i="1" s="1"/>
  <c r="L2265" i="1"/>
  <c r="M795" i="1"/>
  <c r="K795" i="1"/>
  <c r="I795" i="1"/>
  <c r="H795" i="1"/>
  <c r="N794" i="1"/>
  <c r="P792" i="1"/>
  <c r="B792" i="1" s="1"/>
  <c r="L792" i="1"/>
  <c r="N791" i="1"/>
  <c r="N790" i="1"/>
  <c r="P2102" i="1"/>
  <c r="B2102" i="1" s="1"/>
  <c r="L2102" i="1"/>
  <c r="P4210" i="1"/>
  <c r="B4210" i="1" s="1"/>
  <c r="L4210" i="1"/>
  <c r="P4624" i="1"/>
  <c r="B4624" i="1" s="1"/>
  <c r="L4624" i="1"/>
  <c r="P808" i="1"/>
  <c r="B808" i="1" s="1"/>
  <c r="L808" i="1"/>
  <c r="L17" i="1"/>
  <c r="L16" i="1"/>
  <c r="P17" i="1"/>
  <c r="B17" i="1" s="1"/>
  <c r="P16" i="1"/>
  <c r="B16" i="1" s="1"/>
  <c r="P3921" i="1"/>
  <c r="B3921" i="1" s="1"/>
  <c r="L3921" i="1"/>
  <c r="P1870" i="1"/>
  <c r="B1870" i="1" s="1"/>
  <c r="L1870" i="1"/>
  <c r="M6299" i="1"/>
  <c r="K6299" i="1"/>
  <c r="I6299" i="1"/>
  <c r="H6299" i="1"/>
  <c r="N6298" i="1"/>
  <c r="P6295" i="1"/>
  <c r="B6295" i="1" s="1"/>
  <c r="L6295" i="1"/>
  <c r="N6294" i="1"/>
  <c r="N6293" i="1"/>
  <c r="M5136" i="1"/>
  <c r="K5136" i="1"/>
  <c r="I5136" i="1"/>
  <c r="H5136" i="1"/>
  <c r="N5135" i="1"/>
  <c r="P5133" i="1"/>
  <c r="B5133" i="1" s="1"/>
  <c r="L5133" i="1"/>
  <c r="N5132" i="1"/>
  <c r="N5131" i="1"/>
  <c r="N5137" i="1"/>
  <c r="N5138" i="1"/>
  <c r="L5139" i="1"/>
  <c r="P5139" i="1"/>
  <c r="B5139" i="1" s="1"/>
  <c r="L5149" i="1"/>
  <c r="P5149" i="1"/>
  <c r="B5149" i="1" s="1"/>
  <c r="L5164" i="1"/>
  <c r="P5164" i="1"/>
  <c r="B5164" i="1" s="1"/>
  <c r="P1419" i="1"/>
  <c r="B1419" i="1" s="1"/>
  <c r="L1419" i="1"/>
  <c r="M2190" i="1"/>
  <c r="K2190" i="1"/>
  <c r="I2190" i="1"/>
  <c r="H2190" i="1"/>
  <c r="N2189" i="1"/>
  <c r="P2188" i="1"/>
  <c r="B2188" i="1" s="1"/>
  <c r="L2188" i="1"/>
  <c r="N2187" i="1"/>
  <c r="N2186" i="1"/>
  <c r="M5015" i="1"/>
  <c r="N5014" i="1"/>
  <c r="P4993" i="1"/>
  <c r="B4993" i="1" s="1"/>
  <c r="L4993" i="1"/>
  <c r="N4992" i="1"/>
  <c r="N4991" i="1"/>
  <c r="M4259" i="1"/>
  <c r="K4259" i="1"/>
  <c r="I4259" i="1"/>
  <c r="H4259" i="1"/>
  <c r="N4258" i="1"/>
  <c r="P4257" i="1"/>
  <c r="B4257" i="1" s="1"/>
  <c r="L4257" i="1"/>
  <c r="N4256" i="1"/>
  <c r="N4255" i="1"/>
  <c r="M700" i="1"/>
  <c r="I700" i="1"/>
  <c r="H700" i="1"/>
  <c r="N699" i="1"/>
  <c r="P686" i="1"/>
  <c r="B686" i="1" s="1"/>
  <c r="L686" i="1"/>
  <c r="N685" i="1"/>
  <c r="N684" i="1"/>
  <c r="P4070" i="1"/>
  <c r="B4070" i="1" s="1"/>
  <c r="L4070" i="1"/>
  <c r="M1430" i="1"/>
  <c r="K1430" i="1"/>
  <c r="I1430" i="1"/>
  <c r="H1430" i="1"/>
  <c r="N1429" i="1"/>
  <c r="P1428" i="1"/>
  <c r="B1428" i="1" s="1"/>
  <c r="L1428" i="1"/>
  <c r="N1427" i="1"/>
  <c r="N1426" i="1"/>
  <c r="P1323" i="1"/>
  <c r="B1323" i="1" s="1"/>
  <c r="L1323" i="1"/>
  <c r="P4212" i="1"/>
  <c r="B4212" i="1" s="1"/>
  <c r="L4212" i="1"/>
  <c r="P8" i="1"/>
  <c r="B8" i="1" s="1"/>
  <c r="L8" i="1"/>
  <c r="P14" i="1"/>
  <c r="B14" i="1" s="1"/>
  <c r="L14" i="1"/>
  <c r="I13" i="1"/>
  <c r="P13" i="1"/>
  <c r="B13" i="1" s="1"/>
  <c r="I15" i="1"/>
  <c r="L15" i="1" s="1"/>
  <c r="P15" i="1"/>
  <c r="B15" i="1" s="1"/>
  <c r="P5035" i="1"/>
  <c r="B5035" i="1" s="1"/>
  <c r="L5035" i="1"/>
  <c r="P583" i="1"/>
  <c r="B583" i="1" s="1"/>
  <c r="L583" i="1"/>
  <c r="P593" i="1"/>
  <c r="B593" i="1" s="1"/>
  <c r="L593" i="1"/>
  <c r="P4812" i="1"/>
  <c r="B4812" i="1" s="1"/>
  <c r="L4812" i="1"/>
  <c r="P3843" i="1"/>
  <c r="B3843" i="1" s="1"/>
  <c r="L3843" i="1"/>
  <c r="M1781" i="1"/>
  <c r="K1781" i="1"/>
  <c r="I1781" i="1"/>
  <c r="H1781" i="1"/>
  <c r="N1780" i="1"/>
  <c r="P1779" i="1"/>
  <c r="B1779" i="1" s="1"/>
  <c r="L1779" i="1"/>
  <c r="N1778" i="1"/>
  <c r="N1777" i="1"/>
  <c r="P2134" i="1"/>
  <c r="B2134" i="1" s="1"/>
  <c r="L2134" i="1"/>
  <c r="P5638" i="1"/>
  <c r="B5638" i="1" s="1"/>
  <c r="L5638" i="1"/>
  <c r="M675" i="1"/>
  <c r="K675" i="1"/>
  <c r="I675" i="1"/>
  <c r="H675" i="1"/>
  <c r="N674" i="1"/>
  <c r="P654" i="1"/>
  <c r="B654" i="1" s="1"/>
  <c r="L654" i="1"/>
  <c r="N653" i="1"/>
  <c r="N652" i="1"/>
  <c r="P2106" i="1"/>
  <c r="B2106" i="1" s="1"/>
  <c r="L2106" i="1"/>
  <c r="P4124" i="1"/>
  <c r="B4124" i="1" s="1"/>
  <c r="L4124" i="1"/>
  <c r="P5852" i="1"/>
  <c r="B5852" i="1" s="1"/>
  <c r="L5852" i="1"/>
  <c r="M1966" i="1"/>
  <c r="I1966" i="1"/>
  <c r="H1966" i="1"/>
  <c r="N1965" i="1"/>
  <c r="P1964" i="1"/>
  <c r="B1964" i="1" s="1"/>
  <c r="N1963" i="1"/>
  <c r="N1962" i="1"/>
  <c r="P1602" i="1"/>
  <c r="B1602" i="1" s="1"/>
  <c r="L1602" i="1"/>
  <c r="P5741" i="1"/>
  <c r="B5741" i="1" s="1"/>
  <c r="L5741" i="1"/>
  <c r="P4219" i="1"/>
  <c r="B4219" i="1" s="1"/>
  <c r="L4219" i="1"/>
  <c r="P1943" i="1"/>
  <c r="B1943" i="1" s="1"/>
  <c r="L1943" i="1"/>
  <c r="P5286" i="1"/>
  <c r="B5286" i="1" s="1"/>
  <c r="L5286" i="1"/>
  <c r="P2176" i="1"/>
  <c r="B2176" i="1" s="1"/>
  <c r="L2176" i="1"/>
  <c r="P6052" i="1"/>
  <c r="B6052" i="1" s="1"/>
  <c r="L6052" i="1"/>
  <c r="P4669" i="1"/>
  <c r="B4669" i="1" s="1"/>
  <c r="L4669" i="1"/>
  <c r="P5810" i="1"/>
  <c r="B5810" i="1" s="1"/>
  <c r="L5810" i="1"/>
  <c r="P5769" i="1"/>
  <c r="B5769" i="1" s="1"/>
  <c r="L5769" i="1"/>
  <c r="P49" i="1"/>
  <c r="B49" i="1" s="1"/>
  <c r="L49" i="1"/>
  <c r="P4248" i="1"/>
  <c r="B4248" i="1" s="1"/>
  <c r="L4248" i="1"/>
  <c r="P2025" i="1"/>
  <c r="B2025" i="1" s="1"/>
  <c r="L2025" i="1"/>
  <c r="P5110" i="1"/>
  <c r="B5110" i="1" s="1"/>
  <c r="L5110" i="1"/>
  <c r="N440" i="1"/>
  <c r="P437" i="1"/>
  <c r="B437" i="1" s="1"/>
  <c r="L437" i="1"/>
  <c r="N435" i="1"/>
  <c r="N434" i="1"/>
  <c r="P2024" i="1"/>
  <c r="B2024" i="1" s="1"/>
  <c r="L2024" i="1"/>
  <c r="P5774" i="1"/>
  <c r="B5774" i="1" s="1"/>
  <c r="L5774" i="1"/>
  <c r="P5108" i="1"/>
  <c r="B5108" i="1" s="1"/>
  <c r="L5108" i="1"/>
  <c r="P1405" i="1"/>
  <c r="B1405" i="1" s="1"/>
  <c r="L1405" i="1"/>
  <c r="P2019" i="1"/>
  <c r="B2019" i="1" s="1"/>
  <c r="L2019" i="1"/>
  <c r="P2320" i="1"/>
  <c r="B2320" i="1" s="1"/>
  <c r="L2320" i="1"/>
  <c r="P5103" i="1"/>
  <c r="B5103" i="1" s="1"/>
  <c r="L5103" i="1"/>
  <c r="P1704" i="1"/>
  <c r="B1704" i="1" s="1"/>
  <c r="L1704" i="1"/>
  <c r="P1867" i="1"/>
  <c r="B1867" i="1" s="1"/>
  <c r="L1867" i="1"/>
  <c r="P1703" i="1"/>
  <c r="B1703" i="1" s="1"/>
  <c r="L1703" i="1"/>
  <c r="P2159" i="1"/>
  <c r="B2159" i="1" s="1"/>
  <c r="L2159" i="1"/>
  <c r="M1706" i="1"/>
  <c r="K1706" i="1"/>
  <c r="I1706" i="1"/>
  <c r="H1706" i="1"/>
  <c r="N1705" i="1"/>
  <c r="P1701" i="1"/>
  <c r="B1701" i="1" s="1"/>
  <c r="L1701" i="1"/>
  <c r="N1700" i="1"/>
  <c r="N1699" i="1"/>
  <c r="M2291" i="1"/>
  <c r="K2291" i="1"/>
  <c r="I2291" i="1"/>
  <c r="H2291" i="1"/>
  <c r="N2290" i="1"/>
  <c r="P2289" i="1"/>
  <c r="B2289" i="1" s="1"/>
  <c r="L2289" i="1"/>
  <c r="N2278" i="1"/>
  <c r="N2277" i="1"/>
  <c r="M2249" i="1"/>
  <c r="K2249" i="1"/>
  <c r="I2249" i="1"/>
  <c r="H2249" i="1"/>
  <c r="N2248" i="1"/>
  <c r="P2242" i="1"/>
  <c r="B2242" i="1" s="1"/>
  <c r="L2242" i="1"/>
  <c r="N2241" i="1"/>
  <c r="N2240" i="1"/>
  <c r="P6235" i="1"/>
  <c r="B6235" i="1" s="1"/>
  <c r="L6235" i="1"/>
  <c r="P644" i="1"/>
  <c r="B644" i="1" s="1"/>
  <c r="L644" i="1"/>
  <c r="P5242" i="1"/>
  <c r="B5242" i="1" s="1"/>
  <c r="L5242" i="1"/>
  <c r="P5735" i="1"/>
  <c r="B5735" i="1" s="1"/>
  <c r="L5735" i="1"/>
  <c r="P5239" i="1"/>
  <c r="B5239" i="1" s="1"/>
  <c r="L5239" i="1"/>
  <c r="P4119" i="1"/>
  <c r="B4119" i="1" s="1"/>
  <c r="P5114" i="1"/>
  <c r="B5114" i="1" s="1"/>
  <c r="L5114" i="1"/>
  <c r="L3776" i="1"/>
  <c r="P3776" i="1"/>
  <c r="B3776" i="1" s="1"/>
  <c r="M2180" i="1"/>
  <c r="K2180" i="1"/>
  <c r="I2180" i="1"/>
  <c r="H2180" i="1"/>
  <c r="N2179" i="1"/>
  <c r="P2170" i="1"/>
  <c r="B2170" i="1" s="1"/>
  <c r="L2170" i="1"/>
  <c r="N2169" i="1"/>
  <c r="N2168" i="1"/>
  <c r="M1233" i="1"/>
  <c r="K1233" i="1"/>
  <c r="I1233" i="1"/>
  <c r="H1233" i="1"/>
  <c r="N1232" i="1"/>
  <c r="P1231" i="1"/>
  <c r="B1231" i="1" s="1"/>
  <c r="L1231" i="1"/>
  <c r="N1230" i="1"/>
  <c r="N1229" i="1"/>
  <c r="L1633" i="1"/>
  <c r="P1633" i="1"/>
  <c r="B1633" i="1" s="1"/>
  <c r="P891" i="1"/>
  <c r="B891" i="1" s="1"/>
  <c r="L891" i="1"/>
  <c r="P5794" i="1"/>
  <c r="B5794" i="1" s="1"/>
  <c r="L5794" i="1"/>
  <c r="P52" i="1"/>
  <c r="B52" i="1" s="1"/>
  <c r="L52" i="1"/>
  <c r="P3968" i="1"/>
  <c r="B3968" i="1" s="1"/>
  <c r="L3968" i="1"/>
  <c r="M6021" i="1"/>
  <c r="K6021" i="1"/>
  <c r="I6021" i="1"/>
  <c r="H6021" i="1"/>
  <c r="N6020" i="1"/>
  <c r="P6018" i="1"/>
  <c r="B6018" i="1" s="1"/>
  <c r="L6018" i="1"/>
  <c r="N6017" i="1"/>
  <c r="N6016" i="1"/>
  <c r="M1399" i="1"/>
  <c r="K1399" i="1"/>
  <c r="I1399" i="1"/>
  <c r="H1399" i="1"/>
  <c r="N1398" i="1"/>
  <c r="P1396" i="1"/>
  <c r="B1396" i="1" s="1"/>
  <c r="L1396" i="1"/>
  <c r="N1395" i="1"/>
  <c r="N1384" i="1"/>
  <c r="P6527" i="1"/>
  <c r="B6527" i="1" s="1"/>
  <c r="L6527" i="1"/>
  <c r="P756" i="1"/>
  <c r="B756" i="1" s="1"/>
  <c r="L756" i="1"/>
  <c r="P2135" i="1"/>
  <c r="B2135" i="1" s="1"/>
  <c r="L2135" i="1"/>
  <c r="P5802" i="1"/>
  <c r="B5802" i="1" s="1"/>
  <c r="L5802" i="1"/>
  <c r="L4901" i="1"/>
  <c r="P4901" i="1"/>
  <c r="B4901" i="1" s="1"/>
  <c r="P5588" i="1"/>
  <c r="B5588" i="1" s="1"/>
  <c r="L5588" i="1"/>
  <c r="P5615" i="1"/>
  <c r="B5615" i="1" s="1"/>
  <c r="L5615" i="1"/>
  <c r="P3971" i="1"/>
  <c r="B3971" i="1" s="1"/>
  <c r="L3971" i="1"/>
  <c r="P5682" i="1"/>
  <c r="B5682" i="1" s="1"/>
  <c r="L5682" i="1"/>
  <c r="P53" i="1"/>
  <c r="B53" i="1" s="1"/>
  <c r="H53" i="1"/>
  <c r="L53" i="1" s="1"/>
  <c r="M5685" i="1"/>
  <c r="H5685" i="1"/>
  <c r="N5684" i="1"/>
  <c r="P5678" i="1"/>
  <c r="B5678" i="1" s="1"/>
  <c r="N5677" i="1"/>
  <c r="N5676" i="1"/>
  <c r="P5809" i="1"/>
  <c r="B5809" i="1" s="1"/>
  <c r="L5809" i="1"/>
  <c r="P1404" i="1"/>
  <c r="B1404" i="1" s="1"/>
  <c r="L1404" i="1"/>
  <c r="P1506" i="1"/>
  <c r="B1506" i="1" s="1"/>
  <c r="L1506" i="1"/>
  <c r="P5224" i="1"/>
  <c r="B5224" i="1" s="1"/>
  <c r="L5224" i="1"/>
  <c r="M6063" i="1"/>
  <c r="K6063" i="1"/>
  <c r="I6063" i="1"/>
  <c r="H6063" i="1"/>
  <c r="N6062" i="1"/>
  <c r="P6057" i="1"/>
  <c r="B6057" i="1" s="1"/>
  <c r="L6057" i="1"/>
  <c r="N6056" i="1"/>
  <c r="N6055" i="1"/>
  <c r="I5833" i="1"/>
  <c r="L5833" i="1" s="1"/>
  <c r="P5833" i="1"/>
  <c r="B5833" i="1" s="1"/>
  <c r="P1325" i="1"/>
  <c r="B1325" i="1" s="1"/>
  <c r="L1325" i="1"/>
  <c r="P5200" i="1"/>
  <c r="B5200" i="1" s="1"/>
  <c r="L5200" i="1"/>
  <c r="M6041" i="1"/>
  <c r="K6041" i="1"/>
  <c r="I6041" i="1"/>
  <c r="H6041" i="1"/>
  <c r="N6040" i="1"/>
  <c r="P6035" i="1"/>
  <c r="B6035" i="1" s="1"/>
  <c r="L6035" i="1"/>
  <c r="N6034" i="1"/>
  <c r="N6033" i="1"/>
  <c r="P2162" i="1"/>
  <c r="B2162" i="1" s="1"/>
  <c r="L2162" i="1"/>
  <c r="M1769" i="1"/>
  <c r="H1769" i="1"/>
  <c r="N1768" i="1"/>
  <c r="P1752" i="1"/>
  <c r="B1752" i="1" s="1"/>
  <c r="L1752" i="1"/>
  <c r="N1751" i="1"/>
  <c r="N1750" i="1"/>
  <c r="P1418" i="1"/>
  <c r="B1418" i="1" s="1"/>
  <c r="L1418" i="1"/>
  <c r="P4761" i="1"/>
  <c r="B4761" i="1" s="1"/>
  <c r="L4761" i="1"/>
  <c r="P5225" i="1"/>
  <c r="B5225" i="1" s="1"/>
  <c r="L5225" i="1"/>
  <c r="P3957" i="1"/>
  <c r="B3957" i="1" s="1"/>
  <c r="L3957" i="1"/>
  <c r="M1293" i="1"/>
  <c r="I1293" i="1"/>
  <c r="H1293" i="1"/>
  <c r="N1292" i="1"/>
  <c r="P1288" i="1"/>
  <c r="B1288" i="1" s="1"/>
  <c r="L1288" i="1"/>
  <c r="N1287" i="1"/>
  <c r="N1286" i="1"/>
  <c r="M5232" i="1"/>
  <c r="K5232" i="1"/>
  <c r="I5232" i="1"/>
  <c r="H5232" i="1"/>
  <c r="N5231" i="1"/>
  <c r="P5223" i="1"/>
  <c r="B5223" i="1" s="1"/>
  <c r="L5223" i="1"/>
  <c r="N5222" i="1"/>
  <c r="N5221" i="1"/>
  <c r="P5165" i="1"/>
  <c r="B5165" i="1" s="1"/>
  <c r="L5165" i="1"/>
  <c r="P1299" i="1"/>
  <c r="B1299" i="1" s="1"/>
  <c r="L1299" i="1"/>
  <c r="P5058" i="1"/>
  <c r="B5058" i="1" s="1"/>
  <c r="L5058" i="1"/>
  <c r="P5243" i="1"/>
  <c r="B5243" i="1" s="1"/>
  <c r="L5243" i="1"/>
  <c r="P1606" i="1"/>
  <c r="B1606" i="1" s="1"/>
  <c r="L1606" i="1"/>
  <c r="P2029" i="1"/>
  <c r="B2029" i="1" s="1"/>
  <c r="L2029" i="1"/>
  <c r="P2205" i="1"/>
  <c r="B2205" i="1" s="1"/>
  <c r="M2209" i="1"/>
  <c r="K2209" i="1"/>
  <c r="I2209" i="1"/>
  <c r="H2209" i="1"/>
  <c r="N2208" i="1"/>
  <c r="L2205" i="1"/>
  <c r="N2204" i="1"/>
  <c r="N2203" i="1"/>
  <c r="M1304" i="1"/>
  <c r="I1304" i="1"/>
  <c r="H1304" i="1"/>
  <c r="N1303" i="1"/>
  <c r="P1296" i="1"/>
  <c r="B1296" i="1" s="1"/>
  <c r="L1296" i="1"/>
  <c r="N1295" i="1"/>
  <c r="N1294" i="1"/>
  <c r="P764" i="1"/>
  <c r="B764" i="1" s="1"/>
  <c r="L764" i="1"/>
  <c r="P6452" i="1"/>
  <c r="B6452" i="1" s="1"/>
  <c r="M5923" i="1"/>
  <c r="K5923" i="1"/>
  <c r="I5923" i="1"/>
  <c r="H5923" i="1"/>
  <c r="N5922" i="1"/>
  <c r="P5919" i="1"/>
  <c r="B5919" i="1" s="1"/>
  <c r="L5919" i="1"/>
  <c r="N5918" i="1"/>
  <c r="N5917" i="1"/>
  <c r="P6236" i="1"/>
  <c r="B6236" i="1" s="1"/>
  <c r="L6236" i="1"/>
  <c r="K3689" i="1"/>
  <c r="I3689" i="1"/>
  <c r="P1344" i="1"/>
  <c r="B1344" i="1" s="1"/>
  <c r="L1344" i="1"/>
  <c r="P6259" i="1"/>
  <c r="B6259" i="1" s="1"/>
  <c r="L6259" i="1"/>
  <c r="P6496" i="1"/>
  <c r="B6496" i="1" s="1"/>
  <c r="L6496" i="1"/>
  <c r="M1529" i="1"/>
  <c r="K1529" i="1"/>
  <c r="I1529" i="1"/>
  <c r="H1529" i="1"/>
  <c r="N1528" i="1"/>
  <c r="P1526" i="1"/>
  <c r="B1526" i="1" s="1"/>
  <c r="L1526" i="1"/>
  <c r="N1525" i="1"/>
  <c r="N1524" i="1"/>
  <c r="M978" i="1"/>
  <c r="K978" i="1"/>
  <c r="I978" i="1"/>
  <c r="H978" i="1"/>
  <c r="N977" i="1"/>
  <c r="P976" i="1"/>
  <c r="B976" i="1" s="1"/>
  <c r="L976" i="1"/>
  <c r="N975" i="1"/>
  <c r="N974" i="1"/>
  <c r="P2700" i="1"/>
  <c r="B2700" i="1" s="1"/>
  <c r="L2700" i="1"/>
  <c r="M1165" i="1"/>
  <c r="K1165" i="1"/>
  <c r="I1165" i="1"/>
  <c r="H1165" i="1"/>
  <c r="N1164" i="1"/>
  <c r="P1163" i="1"/>
  <c r="B1163" i="1" s="1"/>
  <c r="L1163" i="1"/>
  <c r="N1162" i="1"/>
  <c r="N1161" i="1"/>
  <c r="P744" i="1"/>
  <c r="B744" i="1" s="1"/>
  <c r="L744" i="1"/>
  <c r="M4672" i="1"/>
  <c r="K4672" i="1"/>
  <c r="I4672" i="1"/>
  <c r="H4672" i="1"/>
  <c r="N4671" i="1"/>
  <c r="P4665" i="1"/>
  <c r="B4665" i="1" s="1"/>
  <c r="L4665" i="1"/>
  <c r="N4664" i="1"/>
  <c r="N4663" i="1"/>
  <c r="P2315" i="1"/>
  <c r="B2315" i="1" s="1"/>
  <c r="L2315" i="1"/>
  <c r="M3689" i="1"/>
  <c r="H3689" i="1"/>
  <c r="N3688" i="1"/>
  <c r="P3686" i="1"/>
  <c r="B3686" i="1" s="1"/>
  <c r="N3685" i="1"/>
  <c r="N3684" i="1"/>
  <c r="I4987" i="1"/>
  <c r="P4987" i="1"/>
  <c r="B4987" i="1" s="1"/>
  <c r="P1317" i="1"/>
  <c r="B1317" i="1" s="1"/>
  <c r="L1317" i="1"/>
  <c r="P5473" i="1"/>
  <c r="B5473" i="1" s="1"/>
  <c r="L5473" i="1"/>
  <c r="M4662" i="1"/>
  <c r="K4662" i="1"/>
  <c r="I4662" i="1"/>
  <c r="H4662" i="1"/>
  <c r="N4661" i="1"/>
  <c r="P4655" i="1"/>
  <c r="B4655" i="1" s="1"/>
  <c r="L4655" i="1"/>
  <c r="N4654" i="1"/>
  <c r="N4653" i="1"/>
  <c r="M90" i="1"/>
  <c r="K90" i="1"/>
  <c r="I90" i="1"/>
  <c r="H90" i="1"/>
  <c r="N89" i="1"/>
  <c r="P86" i="1"/>
  <c r="B86" i="1" s="1"/>
  <c r="L86" i="1"/>
  <c r="N85" i="1"/>
  <c r="N84" i="1"/>
  <c r="M4708" i="1"/>
  <c r="K4708" i="1"/>
  <c r="I4708" i="1"/>
  <c r="H4708" i="1"/>
  <c r="N4707" i="1"/>
  <c r="P4702" i="1"/>
  <c r="B4702" i="1" s="1"/>
  <c r="L4702" i="1"/>
  <c r="N4701" i="1"/>
  <c r="N4700" i="1"/>
  <c r="P5091" i="1"/>
  <c r="B5091" i="1" s="1"/>
  <c r="L5091" i="1"/>
  <c r="M2154" i="1"/>
  <c r="K2154" i="1"/>
  <c r="I2154" i="1"/>
  <c r="H2154" i="1"/>
  <c r="N2153" i="1"/>
  <c r="P2146" i="1"/>
  <c r="B2146" i="1" s="1"/>
  <c r="L2146" i="1"/>
  <c r="N2145" i="1"/>
  <c r="N2144" i="1"/>
  <c r="M3878" i="1"/>
  <c r="K3878" i="1"/>
  <c r="I3878" i="1"/>
  <c r="H3878" i="1"/>
  <c r="N3877" i="1"/>
  <c r="P3874" i="1"/>
  <c r="B3874" i="1" s="1"/>
  <c r="L3874" i="1"/>
  <c r="N3873" i="1"/>
  <c r="N3872" i="1"/>
  <c r="P3061" i="1"/>
  <c r="B3061" i="1" s="1"/>
  <c r="L3061" i="1"/>
  <c r="M6220" i="1"/>
  <c r="K6220" i="1"/>
  <c r="I6220" i="1"/>
  <c r="H6220" i="1"/>
  <c r="N6219" i="1"/>
  <c r="P6218" i="1"/>
  <c r="B6218" i="1" s="1"/>
  <c r="L6218" i="1"/>
  <c r="N6217" i="1"/>
  <c r="N6216" i="1"/>
  <c r="M6413" i="1"/>
  <c r="K6413" i="1"/>
  <c r="I6413" i="1"/>
  <c r="H6413" i="1"/>
  <c r="N6412" i="1"/>
  <c r="P6411" i="1"/>
  <c r="B6411" i="1" s="1"/>
  <c r="L6411" i="1"/>
  <c r="N6410" i="1"/>
  <c r="N6409" i="1"/>
  <c r="P2695" i="1"/>
  <c r="B2695" i="1" s="1"/>
  <c r="L2695" i="1"/>
  <c r="M2128" i="1"/>
  <c r="K2128" i="1"/>
  <c r="I2128" i="1"/>
  <c r="H2128" i="1"/>
  <c r="N2127" i="1"/>
  <c r="P2126" i="1"/>
  <c r="B2126" i="1" s="1"/>
  <c r="L2126" i="1"/>
  <c r="N2125" i="1"/>
  <c r="N2124" i="1"/>
  <c r="P5101" i="1"/>
  <c r="B5101" i="1" s="1"/>
  <c r="L5101" i="1"/>
  <c r="P1435" i="1"/>
  <c r="B1435" i="1" s="1"/>
  <c r="L1435" i="1"/>
  <c r="P803" i="1"/>
  <c r="B803" i="1" s="1"/>
  <c r="L803" i="1"/>
  <c r="P3667" i="1"/>
  <c r="B3667" i="1" s="1"/>
  <c r="L3667" i="1"/>
  <c r="L6523" i="1"/>
  <c r="P6523" i="1"/>
  <c r="B6523" i="1" s="1"/>
  <c r="P3748" i="1"/>
  <c r="B3748" i="1" s="1"/>
  <c r="L3748" i="1"/>
  <c r="P892" i="1"/>
  <c r="B892" i="1" s="1"/>
  <c r="L892" i="1"/>
  <c r="I2221" i="1"/>
  <c r="H2221" i="1"/>
  <c r="P2221" i="1"/>
  <c r="B2221" i="1" s="1"/>
  <c r="N291" i="1"/>
  <c r="P275" i="1"/>
  <c r="B275" i="1" s="1"/>
  <c r="L275" i="1"/>
  <c r="N271" i="1"/>
  <c r="N270" i="1"/>
  <c r="P5737" i="1"/>
  <c r="B5737" i="1" s="1"/>
  <c r="L5737" i="1"/>
  <c r="P4318" i="1"/>
  <c r="B4318" i="1" s="1"/>
  <c r="L4318" i="1"/>
  <c r="P376" i="1"/>
  <c r="B376" i="1" s="1"/>
  <c r="H376" i="1"/>
  <c r="P5621" i="1"/>
  <c r="B5621" i="1" s="1"/>
  <c r="L5621" i="1"/>
  <c r="P5387" i="1"/>
  <c r="B5387" i="1" s="1"/>
  <c r="L5387" i="1"/>
  <c r="P1892" i="1"/>
  <c r="B1892" i="1" s="1"/>
  <c r="L1892" i="1"/>
  <c r="M4320" i="1"/>
  <c r="K4320" i="1"/>
  <c r="I4320" i="1"/>
  <c r="H4320" i="1"/>
  <c r="N4319" i="1"/>
  <c r="P4310" i="1"/>
  <c r="B4310" i="1" s="1"/>
  <c r="L4310" i="1"/>
  <c r="N4309" i="1"/>
  <c r="N4308" i="1"/>
  <c r="P5799" i="1"/>
  <c r="B5799" i="1" s="1"/>
  <c r="L5799" i="1"/>
  <c r="M6585" i="1"/>
  <c r="K6585" i="1"/>
  <c r="I6585" i="1"/>
  <c r="H6585" i="1"/>
  <c r="N6584" i="1"/>
  <c r="P6574" i="1"/>
  <c r="B6574" i="1" s="1"/>
  <c r="L6574" i="1"/>
  <c r="N6573" i="1"/>
  <c r="N6572" i="1"/>
  <c r="P4202" i="1"/>
  <c r="B4202" i="1" s="1"/>
  <c r="L4202" i="1"/>
  <c r="P98" i="1"/>
  <c r="B98" i="1" s="1"/>
  <c r="L98" i="1"/>
  <c r="P5832" i="1"/>
  <c r="B5832" i="1" s="1"/>
  <c r="L5832" i="1"/>
  <c r="M3706" i="1"/>
  <c r="I3706" i="1"/>
  <c r="H3706" i="1"/>
  <c r="N3705" i="1"/>
  <c r="N3696" i="1"/>
  <c r="N3695" i="1"/>
  <c r="P5049" i="1"/>
  <c r="B5049" i="1" s="1"/>
  <c r="L5049" i="1"/>
  <c r="P1322" i="1"/>
  <c r="B1322" i="1" s="1"/>
  <c r="L1322" i="1"/>
  <c r="M1204" i="1"/>
  <c r="K1204" i="1"/>
  <c r="I1204" i="1"/>
  <c r="H1204" i="1"/>
  <c r="N1203" i="1"/>
  <c r="P1202" i="1"/>
  <c r="B1202" i="1" s="1"/>
  <c r="L1202" i="1"/>
  <c r="N1201" i="1"/>
  <c r="N1200" i="1"/>
  <c r="P5244" i="1"/>
  <c r="B5244" i="1" s="1"/>
  <c r="L5244" i="1"/>
  <c r="P6229" i="1"/>
  <c r="B6229" i="1" s="1"/>
  <c r="L6229" i="1"/>
  <c r="P6102" i="1"/>
  <c r="B6102" i="1" s="1"/>
  <c r="L6102" i="1"/>
  <c r="P4787" i="1"/>
  <c r="B4787" i="1" s="1"/>
  <c r="L4787" i="1"/>
  <c r="M6330" i="1"/>
  <c r="K6330" i="1"/>
  <c r="I6330" i="1"/>
  <c r="H6330" i="1"/>
  <c r="N6329" i="1"/>
  <c r="P6328" i="1"/>
  <c r="B6328" i="1" s="1"/>
  <c r="L6328" i="1"/>
  <c r="N6327" i="1"/>
  <c r="N6326" i="1"/>
  <c r="P5201" i="1"/>
  <c r="B5201" i="1" s="1"/>
  <c r="L5201" i="1"/>
  <c r="P4791" i="1"/>
  <c r="B4791" i="1" s="1"/>
  <c r="L4791" i="1"/>
  <c r="P610" i="1"/>
  <c r="B610" i="1" s="1"/>
  <c r="L610" i="1"/>
  <c r="M147" i="1"/>
  <c r="K147" i="1"/>
  <c r="I147" i="1"/>
  <c r="H147" i="1"/>
  <c r="N146" i="1"/>
  <c r="P142" i="1"/>
  <c r="B142" i="1" s="1"/>
  <c r="L142" i="1"/>
  <c r="N141" i="1"/>
  <c r="N140" i="1"/>
  <c r="M1819" i="1"/>
  <c r="K1819" i="1"/>
  <c r="I1819" i="1"/>
  <c r="H1819" i="1"/>
  <c r="N1818" i="1"/>
  <c r="P1815" i="1"/>
  <c r="B1815" i="1" s="1"/>
  <c r="L1815" i="1"/>
  <c r="N1814" i="1"/>
  <c r="N1813" i="1"/>
  <c r="M4678" i="1"/>
  <c r="K4678" i="1"/>
  <c r="I4678" i="1"/>
  <c r="H4678" i="1"/>
  <c r="N4677" i="1"/>
  <c r="P4675" i="1"/>
  <c r="B4675" i="1" s="1"/>
  <c r="L4675" i="1"/>
  <c r="N4674" i="1"/>
  <c r="N4673" i="1"/>
  <c r="M6070" i="1"/>
  <c r="I6070" i="1"/>
  <c r="H6070" i="1"/>
  <c r="N6069" i="1"/>
  <c r="P6066" i="1"/>
  <c r="B6066" i="1" s="1"/>
  <c r="L6066" i="1"/>
  <c r="N6065" i="1"/>
  <c r="N6064" i="1"/>
  <c r="P3669" i="1"/>
  <c r="B3669" i="1" s="1"/>
  <c r="P5837" i="1"/>
  <c r="B5837" i="1" s="1"/>
  <c r="L5837" i="1"/>
  <c r="P4203" i="1"/>
  <c r="B4203" i="1" s="1"/>
  <c r="L4203" i="1"/>
  <c r="P3477" i="1"/>
  <c r="B3477" i="1" s="1"/>
  <c r="L3477" i="1"/>
  <c r="P2021" i="1"/>
  <c r="B2021" i="1" s="1"/>
  <c r="L2021" i="1"/>
  <c r="P4409" i="1"/>
  <c r="B4409" i="1" s="1"/>
  <c r="I4409" i="1"/>
  <c r="P5456" i="1"/>
  <c r="B5456" i="1" s="1"/>
  <c r="L5456" i="1"/>
  <c r="M5290" i="1"/>
  <c r="K5290" i="1"/>
  <c r="I5290" i="1"/>
  <c r="H5290" i="1"/>
  <c r="N5289" i="1"/>
  <c r="P5284" i="1"/>
  <c r="B5284" i="1" s="1"/>
  <c r="L5284" i="1"/>
  <c r="N5283" i="1"/>
  <c r="N5282" i="1"/>
  <c r="M6454" i="1"/>
  <c r="I6454" i="1"/>
  <c r="H6454" i="1"/>
  <c r="N6453" i="1"/>
  <c r="P6446" i="1"/>
  <c r="B6446" i="1" s="1"/>
  <c r="L6446" i="1"/>
  <c r="N6445" i="1"/>
  <c r="N6444" i="1"/>
  <c r="M2167" i="1"/>
  <c r="K2167" i="1"/>
  <c r="I2167" i="1"/>
  <c r="H2167" i="1"/>
  <c r="N2166" i="1"/>
  <c r="P2157" i="1"/>
  <c r="B2157" i="1" s="1"/>
  <c r="L2157" i="1"/>
  <c r="N2156" i="1"/>
  <c r="N2155" i="1"/>
  <c r="P559" i="1"/>
  <c r="B559" i="1" s="1"/>
  <c r="L559" i="1"/>
  <c r="M2075" i="1"/>
  <c r="I2075" i="1"/>
  <c r="H2075" i="1"/>
  <c r="N2074" i="1"/>
  <c r="P2073" i="1"/>
  <c r="B2073" i="1" s="1"/>
  <c r="K2075" i="1"/>
  <c r="N2069" i="1"/>
  <c r="N2068" i="1"/>
  <c r="P2295" i="1"/>
  <c r="B2295" i="1" s="1"/>
  <c r="I2295" i="1"/>
  <c r="L2073" i="1"/>
  <c r="P3502" i="1"/>
  <c r="B3502" i="1" s="1"/>
  <c r="L3502" i="1"/>
  <c r="P1349" i="1"/>
  <c r="B1349" i="1" s="1"/>
  <c r="L1349" i="1"/>
  <c r="P3719" i="1"/>
  <c r="B3719" i="1" s="1"/>
  <c r="L3719" i="1"/>
  <c r="P4085" i="1"/>
  <c r="B4085" i="1" s="1"/>
  <c r="L4085" i="1"/>
  <c r="P4086" i="1"/>
  <c r="B4086" i="1" s="1"/>
  <c r="L4086" i="1"/>
  <c r="P5109" i="1"/>
  <c r="B5109" i="1" s="1"/>
  <c r="L5109" i="1"/>
  <c r="M6443" i="1"/>
  <c r="K6443" i="1"/>
  <c r="I6443" i="1"/>
  <c r="H6443" i="1"/>
  <c r="N6442" i="1"/>
  <c r="P6441" i="1"/>
  <c r="B6441" i="1" s="1"/>
  <c r="L6441" i="1"/>
  <c r="N6440" i="1"/>
  <c r="N6439" i="1"/>
  <c r="N636" i="1"/>
  <c r="N637" i="1"/>
  <c r="L638" i="1"/>
  <c r="P638" i="1"/>
  <c r="B638" i="1" s="1"/>
  <c r="N639" i="1"/>
  <c r="H640" i="1"/>
  <c r="I640" i="1"/>
  <c r="K640" i="1"/>
  <c r="M640" i="1"/>
  <c r="M5060" i="1"/>
  <c r="K5060" i="1"/>
  <c r="I5060" i="1"/>
  <c r="H5060" i="1"/>
  <c r="N5059" i="1"/>
  <c r="P5046" i="1"/>
  <c r="B5046" i="1" s="1"/>
  <c r="L5046" i="1"/>
  <c r="N5045" i="1"/>
  <c r="N5044" i="1"/>
  <c r="N676" i="1"/>
  <c r="M646" i="1"/>
  <c r="K646" i="1"/>
  <c r="I646" i="1"/>
  <c r="H646" i="1"/>
  <c r="N645" i="1"/>
  <c r="P643" i="1"/>
  <c r="B643" i="1" s="1"/>
  <c r="L643" i="1"/>
  <c r="N642" i="1"/>
  <c r="N641" i="1"/>
  <c r="P759" i="1"/>
  <c r="B759" i="1" s="1"/>
  <c r="L759" i="1"/>
  <c r="P5584" i="1"/>
  <c r="B5584" i="1" s="1"/>
  <c r="L5584" i="1"/>
  <c r="M6737" i="1"/>
  <c r="K6737" i="1"/>
  <c r="I6737" i="1"/>
  <c r="H6737" i="1"/>
  <c r="N6736" i="1"/>
  <c r="P6735" i="1"/>
  <c r="B6735" i="1" s="1"/>
  <c r="L6735" i="1"/>
  <c r="N6734" i="1"/>
  <c r="N6733" i="1"/>
  <c r="M2324" i="1"/>
  <c r="K2324" i="1"/>
  <c r="I2324" i="1"/>
  <c r="H2324" i="1"/>
  <c r="N2323" i="1"/>
  <c r="P2310" i="1"/>
  <c r="B2310" i="1" s="1"/>
  <c r="L2310" i="1"/>
  <c r="N2309" i="1"/>
  <c r="N2308" i="1"/>
  <c r="P4221" i="1"/>
  <c r="B4221" i="1" s="1"/>
  <c r="L4221" i="1"/>
  <c r="P6750" i="1"/>
  <c r="B6750" i="1" s="1"/>
  <c r="L6750" i="1"/>
  <c r="P710" i="1"/>
  <c r="B710" i="1" s="1"/>
  <c r="L710" i="1"/>
  <c r="M6370" i="1"/>
  <c r="K6370" i="1"/>
  <c r="I6370" i="1"/>
  <c r="H6370" i="1"/>
  <c r="N6369" i="1"/>
  <c r="P6368" i="1"/>
  <c r="B6368" i="1" s="1"/>
  <c r="L6368" i="1"/>
  <c r="L6370" i="1" s="1"/>
  <c r="N6367" i="1"/>
  <c r="N6366" i="1"/>
  <c r="P3493" i="1"/>
  <c r="B3493" i="1" s="1"/>
  <c r="L3493" i="1"/>
  <c r="M473" i="1"/>
  <c r="K473" i="1"/>
  <c r="I473" i="1"/>
  <c r="H473" i="1"/>
  <c r="N472" i="1"/>
  <c r="P469" i="1"/>
  <c r="B469" i="1" s="1"/>
  <c r="L469" i="1"/>
  <c r="N468" i="1"/>
  <c r="N467" i="1"/>
  <c r="M4956" i="1"/>
  <c r="K4956" i="1"/>
  <c r="I4956" i="1"/>
  <c r="H4956" i="1"/>
  <c r="N4955" i="1"/>
  <c r="P4953" i="1"/>
  <c r="B4953" i="1" s="1"/>
  <c r="L4953" i="1"/>
  <c r="N4952" i="1"/>
  <c r="N4951" i="1"/>
  <c r="M466" i="1"/>
  <c r="K466" i="1"/>
  <c r="I466" i="1"/>
  <c r="H466" i="1"/>
  <c r="N465" i="1"/>
  <c r="P459" i="1"/>
  <c r="B459" i="1" s="1"/>
  <c r="L459" i="1"/>
  <c r="N458" i="1"/>
  <c r="N457" i="1"/>
  <c r="P4101" i="1"/>
  <c r="B4101" i="1" s="1"/>
  <c r="L4101" i="1"/>
  <c r="M3864" i="1"/>
  <c r="K3864" i="1"/>
  <c r="I3864" i="1"/>
  <c r="H3864" i="1"/>
  <c r="N3863" i="1"/>
  <c r="P3862" i="1"/>
  <c r="B3862" i="1" s="1"/>
  <c r="L3862" i="1"/>
  <c r="N3861" i="1"/>
  <c r="N3860" i="1"/>
  <c r="M6365" i="1"/>
  <c r="K6365" i="1"/>
  <c r="I6365" i="1"/>
  <c r="H6365" i="1"/>
  <c r="N6364" i="1"/>
  <c r="P6349" i="1"/>
  <c r="B6349" i="1" s="1"/>
  <c r="L6349" i="1"/>
  <c r="N6348" i="1"/>
  <c r="N6347" i="1"/>
  <c r="P1866" i="1"/>
  <c r="B1866" i="1" s="1"/>
  <c r="L1866" i="1"/>
  <c r="P2698" i="1"/>
  <c r="B2698" i="1" s="1"/>
  <c r="L2698" i="1"/>
  <c r="M6516" i="1"/>
  <c r="K6516" i="1"/>
  <c r="I6516" i="1"/>
  <c r="H6516" i="1"/>
  <c r="N6515" i="1"/>
  <c r="P6514" i="1"/>
  <c r="B6514" i="1" s="1"/>
  <c r="L6514" i="1"/>
  <c r="N6513" i="1"/>
  <c r="N6512" i="1"/>
  <c r="M819" i="1"/>
  <c r="I819" i="1"/>
  <c r="H819" i="1"/>
  <c r="N818" i="1"/>
  <c r="P798" i="1"/>
  <c r="B798" i="1" s="1"/>
  <c r="L798" i="1"/>
  <c r="S798" i="1" s="1"/>
  <c r="N797" i="1"/>
  <c r="N796" i="1"/>
  <c r="M5458" i="1"/>
  <c r="K5458" i="1"/>
  <c r="I5458" i="1"/>
  <c r="H5458" i="1"/>
  <c r="N5457" i="1"/>
  <c r="P5450" i="1"/>
  <c r="B5450" i="1" s="1"/>
  <c r="L5450" i="1"/>
  <c r="N5449" i="1"/>
  <c r="N5448" i="1"/>
  <c r="M5329" i="1"/>
  <c r="K5329" i="1"/>
  <c r="I5329" i="1"/>
  <c r="H5329" i="1"/>
  <c r="N5328" i="1"/>
  <c r="P5316" i="1"/>
  <c r="B5316" i="1" s="1"/>
  <c r="L5316" i="1"/>
  <c r="N5315" i="1"/>
  <c r="N5314" i="1"/>
  <c r="M6210" i="1"/>
  <c r="K6210" i="1"/>
  <c r="I6210" i="1"/>
  <c r="H6210" i="1"/>
  <c r="N6209" i="1"/>
  <c r="P6208" i="1"/>
  <c r="B6208" i="1" s="1"/>
  <c r="L6208" i="1"/>
  <c r="N6207" i="1"/>
  <c r="N6206" i="1"/>
  <c r="M5776" i="1"/>
  <c r="K5776" i="1"/>
  <c r="I5776" i="1"/>
  <c r="H5776" i="1"/>
  <c r="N5775" i="1"/>
  <c r="N5765" i="1"/>
  <c r="N5764" i="1"/>
  <c r="M6105" i="1"/>
  <c r="K6105" i="1"/>
  <c r="I6105" i="1"/>
  <c r="H6105" i="1"/>
  <c r="N6104" i="1"/>
  <c r="P6100" i="1"/>
  <c r="B6100" i="1" s="1"/>
  <c r="L6100" i="1"/>
  <c r="N6099" i="1"/>
  <c r="N6098" i="1"/>
  <c r="M5747" i="1"/>
  <c r="I5747" i="1"/>
  <c r="N5746" i="1"/>
  <c r="P5732" i="1"/>
  <c r="B5732" i="1" s="1"/>
  <c r="L5732" i="1"/>
  <c r="N5731" i="1"/>
  <c r="N5730" i="1"/>
  <c r="M578" i="1"/>
  <c r="K578" i="1"/>
  <c r="I578" i="1"/>
  <c r="H578" i="1"/>
  <c r="N577" i="1"/>
  <c r="P575" i="1"/>
  <c r="B575" i="1" s="1"/>
  <c r="L575" i="1"/>
  <c r="N574" i="1"/>
  <c r="N573" i="1"/>
  <c r="M134" i="1"/>
  <c r="I134" i="1"/>
  <c r="H134" i="1"/>
  <c r="N133" i="1"/>
  <c r="P122" i="1"/>
  <c r="B122" i="1" s="1"/>
  <c r="L122" i="1"/>
  <c r="N121" i="1"/>
  <c r="N120" i="1"/>
  <c r="L4132" i="1"/>
  <c r="P4132" i="1"/>
  <c r="B4132" i="1" s="1"/>
  <c r="P4805" i="1"/>
  <c r="B4805" i="1" s="1"/>
  <c r="L4805" i="1"/>
  <c r="P1601" i="1"/>
  <c r="B1601" i="1" s="1"/>
  <c r="L1601" i="1"/>
  <c r="P585" i="1"/>
  <c r="B585" i="1" s="1"/>
  <c r="L585" i="1"/>
  <c r="L584" i="1"/>
  <c r="P584" i="1"/>
  <c r="B584" i="1" s="1"/>
  <c r="P586" i="1"/>
  <c r="B586" i="1" s="1"/>
  <c r="L586" i="1"/>
  <c r="I4129" i="1"/>
  <c r="L4129" i="1" s="1"/>
  <c r="P4131" i="1"/>
  <c r="B4131" i="1" s="1"/>
  <c r="P4130" i="1"/>
  <c r="B4130" i="1" s="1"/>
  <c r="L4130" i="1"/>
  <c r="P4129" i="1"/>
  <c r="B4129" i="1" s="1"/>
  <c r="P1953" i="1"/>
  <c r="B1953" i="1" s="1"/>
  <c r="L1953" i="1"/>
  <c r="L5180" i="1"/>
  <c r="P5180" i="1"/>
  <c r="B5180" i="1" s="1"/>
  <c r="P3976" i="1"/>
  <c r="B3976" i="1" s="1"/>
  <c r="L3976" i="1"/>
  <c r="P1628" i="1"/>
  <c r="B1628" i="1" s="1"/>
  <c r="L1628" i="1"/>
  <c r="P4797" i="1"/>
  <c r="B4797" i="1" s="1"/>
  <c r="L4797" i="1"/>
  <c r="M418" i="1"/>
  <c r="K418" i="1"/>
  <c r="I418" i="1"/>
  <c r="H418" i="1"/>
  <c r="N417" i="1"/>
  <c r="P415" i="1"/>
  <c r="B415" i="1" s="1"/>
  <c r="L415" i="1"/>
  <c r="N414" i="1"/>
  <c r="N413" i="1"/>
  <c r="P3919" i="1"/>
  <c r="B3919" i="1" s="1"/>
  <c r="L3919" i="1"/>
  <c r="P3920" i="1"/>
  <c r="B3920" i="1" s="1"/>
  <c r="L3920" i="1"/>
  <c r="M612" i="1"/>
  <c r="K612" i="1"/>
  <c r="I612" i="1"/>
  <c r="H612" i="1"/>
  <c r="N611" i="1"/>
  <c r="P609" i="1"/>
  <c r="B609" i="1" s="1"/>
  <c r="L609" i="1"/>
  <c r="N608" i="1"/>
  <c r="N607" i="1"/>
  <c r="P6509" i="1"/>
  <c r="B6509" i="1" s="1"/>
  <c r="L6509" i="1"/>
  <c r="P4249" i="1"/>
  <c r="B4249" i="1" s="1"/>
  <c r="L4249" i="1"/>
  <c r="P4613" i="1"/>
  <c r="B4613" i="1" s="1"/>
  <c r="L4613" i="1"/>
  <c r="P1925" i="1"/>
  <c r="B1925" i="1" s="1"/>
  <c r="L1925" i="1"/>
  <c r="P6227" i="1"/>
  <c r="B6227" i="1" s="1"/>
  <c r="L6227" i="1"/>
  <c r="P1739" i="1"/>
  <c r="B1739" i="1" s="1"/>
  <c r="L1739" i="1"/>
  <c r="P234" i="1"/>
  <c r="B234" i="1" s="1"/>
  <c r="L234" i="1"/>
  <c r="P5030" i="1"/>
  <c r="B5030" i="1" s="1"/>
  <c r="L5030" i="1"/>
  <c r="M119" i="1"/>
  <c r="K119" i="1"/>
  <c r="I119" i="1"/>
  <c r="H119" i="1"/>
  <c r="N118" i="1"/>
  <c r="P116" i="1"/>
  <c r="B116" i="1" s="1"/>
  <c r="L116" i="1"/>
  <c r="N115" i="1"/>
  <c r="N109" i="1"/>
  <c r="P3901" i="1"/>
  <c r="B3901" i="1" s="1"/>
  <c r="L3901" i="1"/>
  <c r="M6054" i="1"/>
  <c r="K6054" i="1"/>
  <c r="I6054" i="1"/>
  <c r="H6054" i="1"/>
  <c r="N6053" i="1"/>
  <c r="P6049" i="1"/>
  <c r="B6049" i="1" s="1"/>
  <c r="L6049" i="1"/>
  <c r="N6048" i="1"/>
  <c r="N6047" i="1"/>
  <c r="M1328" i="1"/>
  <c r="K1328" i="1"/>
  <c r="I1328" i="1"/>
  <c r="H1328" i="1"/>
  <c r="N1327" i="1"/>
  <c r="P1314" i="1"/>
  <c r="B1314" i="1" s="1"/>
  <c r="L1314" i="1"/>
  <c r="N1313" i="1"/>
  <c r="N1312" i="1"/>
  <c r="P6228" i="1"/>
  <c r="B6228" i="1" s="1"/>
  <c r="L6228" i="1"/>
  <c r="M6752" i="1"/>
  <c r="K6752" i="1"/>
  <c r="I6752" i="1"/>
  <c r="H6752" i="1"/>
  <c r="N6751" i="1"/>
  <c r="P6740" i="1"/>
  <c r="B6740" i="1" s="1"/>
  <c r="L6740" i="1"/>
  <c r="N6739" i="1"/>
  <c r="N6738" i="1"/>
  <c r="M1956" i="1"/>
  <c r="K1956" i="1"/>
  <c r="I1956" i="1"/>
  <c r="H1956" i="1"/>
  <c r="P1920" i="1"/>
  <c r="B1920" i="1" s="1"/>
  <c r="L1920" i="1"/>
  <c r="P841" i="1"/>
  <c r="B841" i="1" s="1"/>
  <c r="L841" i="1"/>
  <c r="P838" i="1"/>
  <c r="B838" i="1" s="1"/>
  <c r="L838" i="1"/>
  <c r="P1611" i="1"/>
  <c r="B1611" i="1" s="1"/>
  <c r="L1611" i="1"/>
  <c r="M5203" i="1"/>
  <c r="K5203" i="1"/>
  <c r="I5203" i="1"/>
  <c r="H5203" i="1"/>
  <c r="N5202" i="1"/>
  <c r="P5191" i="1"/>
  <c r="B5191" i="1" s="1"/>
  <c r="L5191" i="1"/>
  <c r="N5190" i="1"/>
  <c r="N5189" i="1"/>
  <c r="P912" i="1"/>
  <c r="B912" i="1" s="1"/>
  <c r="L912" i="1"/>
  <c r="P958" i="1"/>
  <c r="B958" i="1" s="1"/>
  <c r="L958" i="1"/>
  <c r="P1741" i="1"/>
  <c r="B1741" i="1" s="1"/>
  <c r="L1741" i="1"/>
  <c r="P5111" i="1"/>
  <c r="B5111" i="1" s="1"/>
  <c r="L5111" i="1"/>
  <c r="P324" i="1"/>
  <c r="B324" i="1" s="1"/>
  <c r="L324" i="1"/>
  <c r="P2027" i="1"/>
  <c r="B2027" i="1" s="1"/>
  <c r="L2027" i="1"/>
  <c r="M6015" i="1"/>
  <c r="K6015" i="1"/>
  <c r="I6015" i="1"/>
  <c r="H6015" i="1"/>
  <c r="N6014" i="1"/>
  <c r="P6011" i="1"/>
  <c r="B6011" i="1" s="1"/>
  <c r="L6011" i="1"/>
  <c r="N6010" i="1"/>
  <c r="N6009" i="1"/>
  <c r="M1615" i="1"/>
  <c r="K1615" i="1"/>
  <c r="I1615" i="1"/>
  <c r="H1615" i="1"/>
  <c r="N1614" i="1"/>
  <c r="P1598" i="1"/>
  <c r="B1598" i="1" s="1"/>
  <c r="L1598" i="1"/>
  <c r="N1597" i="1"/>
  <c r="N1596" i="1"/>
  <c r="M1438" i="1"/>
  <c r="K1438" i="1"/>
  <c r="I1438" i="1"/>
  <c r="H1438" i="1"/>
  <c r="N1437" i="1"/>
  <c r="P1433" i="1"/>
  <c r="B1433" i="1" s="1"/>
  <c r="L1433" i="1"/>
  <c r="N1432" i="1"/>
  <c r="N1431" i="1"/>
  <c r="P3746" i="1"/>
  <c r="B3746" i="1" s="1"/>
  <c r="L3746" i="1"/>
  <c r="P1740" i="1"/>
  <c r="B1740" i="1" s="1"/>
  <c r="L1740" i="1"/>
  <c r="M4694" i="1"/>
  <c r="K4694" i="1"/>
  <c r="I4694" i="1"/>
  <c r="H4694" i="1"/>
  <c r="N4693" i="1"/>
  <c r="P4687" i="1"/>
  <c r="B4687" i="1" s="1"/>
  <c r="L4687" i="1"/>
  <c r="N4686" i="1"/>
  <c r="N4685" i="1"/>
  <c r="P4764" i="1"/>
  <c r="B4764" i="1" s="1"/>
  <c r="L4764" i="1"/>
  <c r="P1420" i="1"/>
  <c r="B1420" i="1" s="1"/>
  <c r="L1420" i="1"/>
  <c r="P5805" i="1"/>
  <c r="B5805" i="1" s="1"/>
  <c r="L5805" i="1"/>
  <c r="M2143" i="1"/>
  <c r="I2143" i="1"/>
  <c r="H2143" i="1"/>
  <c r="N2142" i="1"/>
  <c r="P2131" i="1"/>
  <c r="B2131" i="1" s="1"/>
  <c r="N2130" i="1"/>
  <c r="N2129" i="1"/>
  <c r="N3720" i="1"/>
  <c r="P3714" i="1"/>
  <c r="B3714" i="1" s="1"/>
  <c r="L3714" i="1"/>
  <c r="N3713" i="1"/>
  <c r="N3712" i="1"/>
  <c r="M5247" i="1"/>
  <c r="K5247" i="1"/>
  <c r="I5247" i="1"/>
  <c r="H5247" i="1"/>
  <c r="N5246" i="1"/>
  <c r="P5235" i="1"/>
  <c r="B5235" i="1" s="1"/>
  <c r="L5235" i="1"/>
  <c r="N5234" i="1"/>
  <c r="N5233" i="1"/>
  <c r="M83" i="1"/>
  <c r="K83" i="1"/>
  <c r="I83" i="1"/>
  <c r="H83" i="1"/>
  <c r="N82" i="1"/>
  <c r="P75" i="1"/>
  <c r="B75" i="1" s="1"/>
  <c r="N74" i="1"/>
  <c r="N73" i="1"/>
  <c r="M4089" i="1"/>
  <c r="K4089" i="1"/>
  <c r="I4089" i="1"/>
  <c r="H4089" i="1"/>
  <c r="N4088" i="1"/>
  <c r="P4082" i="1"/>
  <c r="B4082" i="1" s="1"/>
  <c r="L4082" i="1"/>
  <c r="N4081" i="1"/>
  <c r="N4080" i="1"/>
  <c r="P4983" i="1"/>
  <c r="B4983" i="1" s="1"/>
  <c r="L4983" i="1"/>
  <c r="M541" i="1"/>
  <c r="K541" i="1"/>
  <c r="N540" i="1"/>
  <c r="P538" i="1"/>
  <c r="B538" i="1" s="1"/>
  <c r="N537" i="1"/>
  <c r="N536" i="1"/>
  <c r="P3753" i="1"/>
  <c r="B3753" i="1" s="1"/>
  <c r="L3753" i="1"/>
  <c r="M3782" i="1"/>
  <c r="I3782" i="1"/>
  <c r="H3782" i="1"/>
  <c r="N3781" i="1"/>
  <c r="P3773" i="1"/>
  <c r="B3773" i="1" s="1"/>
  <c r="N3772" i="1"/>
  <c r="N3771" i="1"/>
  <c r="M1824" i="1"/>
  <c r="K1824" i="1"/>
  <c r="I1824" i="1"/>
  <c r="H1824" i="1"/>
  <c r="N1823" i="1"/>
  <c r="P1822" i="1"/>
  <c r="B1822" i="1" s="1"/>
  <c r="L1822" i="1"/>
  <c r="N1821" i="1"/>
  <c r="N1820" i="1"/>
  <c r="M5889" i="1"/>
  <c r="K5889" i="1"/>
  <c r="I5889" i="1"/>
  <c r="H5889" i="1"/>
  <c r="N5888" i="1"/>
  <c r="P5887" i="1"/>
  <c r="B5887" i="1" s="1"/>
  <c r="L5887" i="1"/>
  <c r="N5886" i="1"/>
  <c r="N5885" i="1"/>
  <c r="P2692" i="1"/>
  <c r="B2692" i="1" s="1"/>
  <c r="L2692" i="1"/>
  <c r="P590" i="1"/>
  <c r="B590" i="1" s="1"/>
  <c r="L590" i="1"/>
  <c r="M1451" i="1"/>
  <c r="K1451" i="1"/>
  <c r="I1451" i="1"/>
  <c r="H1451" i="1"/>
  <c r="N1450" i="1"/>
  <c r="P1449" i="1"/>
  <c r="B1449" i="1" s="1"/>
  <c r="L1449" i="1"/>
  <c r="N1448" i="1"/>
  <c r="N1447" i="1"/>
  <c r="P618" i="1"/>
  <c r="B618" i="1" s="1"/>
  <c r="L618" i="1"/>
  <c r="P23" i="1"/>
  <c r="B23" i="1" s="1"/>
  <c r="L23" i="1"/>
  <c r="M6620" i="1"/>
  <c r="K6620" i="1"/>
  <c r="I6620" i="1"/>
  <c r="H6620" i="1"/>
  <c r="N6619" i="1"/>
  <c r="P6612" i="1"/>
  <c r="B6612" i="1" s="1"/>
  <c r="L6612" i="1"/>
  <c r="N6611" i="1"/>
  <c r="N6610" i="1"/>
  <c r="P4106" i="1"/>
  <c r="B4106" i="1" s="1"/>
  <c r="L4106" i="1"/>
  <c r="P4105" i="1"/>
  <c r="B4105" i="1" s="1"/>
  <c r="L4105" i="1"/>
  <c r="P4102" i="1"/>
  <c r="B4102" i="1" s="1"/>
  <c r="L4102" i="1"/>
  <c r="M4111" i="1"/>
  <c r="I4111" i="1"/>
  <c r="H4111" i="1"/>
  <c r="N4110" i="1"/>
  <c r="P4092" i="1"/>
  <c r="B4092" i="1" s="1"/>
  <c r="L4092" i="1"/>
  <c r="N4091" i="1"/>
  <c r="N4090" i="1"/>
  <c r="N552" i="1"/>
  <c r="P546" i="1"/>
  <c r="B546" i="1" s="1"/>
  <c r="L546" i="1"/>
  <c r="N543" i="1"/>
  <c r="N542" i="1"/>
  <c r="M3755" i="1"/>
  <c r="K3755" i="1"/>
  <c r="I3755" i="1"/>
  <c r="H3755" i="1"/>
  <c r="N3754" i="1"/>
  <c r="P3737" i="1"/>
  <c r="B3737" i="1" s="1"/>
  <c r="L3737" i="1"/>
  <c r="N3736" i="1"/>
  <c r="N3735" i="1"/>
  <c r="M1743" i="1"/>
  <c r="K1743" i="1"/>
  <c r="I1743" i="1"/>
  <c r="H1743" i="1"/>
  <c r="N1742" i="1"/>
  <c r="P1735" i="1"/>
  <c r="B1735" i="1" s="1"/>
  <c r="L1735" i="1"/>
  <c r="N1734" i="1"/>
  <c r="N1733" i="1"/>
  <c r="N4078" i="1"/>
  <c r="P4063" i="1"/>
  <c r="B4063" i="1" s="1"/>
  <c r="L4063" i="1"/>
  <c r="N4046" i="1"/>
  <c r="N4045" i="1"/>
  <c r="M246" i="1"/>
  <c r="K246" i="1"/>
  <c r="I246" i="1"/>
  <c r="H246" i="1"/>
  <c r="N245" i="1"/>
  <c r="P241" i="1"/>
  <c r="B241" i="1" s="1"/>
  <c r="L241" i="1"/>
  <c r="N240" i="1"/>
  <c r="N239" i="1"/>
  <c r="M5640" i="1"/>
  <c r="K5640" i="1"/>
  <c r="I5640" i="1"/>
  <c r="H5640" i="1"/>
  <c r="N5639" i="1"/>
  <c r="P5628" i="1"/>
  <c r="B5628" i="1" s="1"/>
  <c r="L5628" i="1"/>
  <c r="N5627" i="1"/>
  <c r="N5626" i="1"/>
  <c r="P3891" i="1"/>
  <c r="B3891" i="1" s="1"/>
  <c r="L3891" i="1"/>
  <c r="H4980" i="1"/>
  <c r="L4980" i="1" s="1"/>
  <c r="P4980" i="1"/>
  <c r="B4980" i="1" s="1"/>
  <c r="M705" i="1"/>
  <c r="K705" i="1"/>
  <c r="I705" i="1"/>
  <c r="H705" i="1"/>
  <c r="N704" i="1"/>
  <c r="P703" i="1"/>
  <c r="B703" i="1" s="1"/>
  <c r="L703" i="1"/>
  <c r="N702" i="1"/>
  <c r="N701" i="1"/>
  <c r="P325" i="1"/>
  <c r="B325" i="1" s="1"/>
  <c r="L325" i="1"/>
  <c r="P332" i="1"/>
  <c r="B332" i="1" s="1"/>
  <c r="L332" i="1"/>
  <c r="P5943" i="1"/>
  <c r="B5943" i="1" s="1"/>
  <c r="L5943" i="1"/>
  <c r="P6656" i="1"/>
  <c r="B6656" i="1" s="1"/>
  <c r="L6656" i="1"/>
  <c r="M6727" i="1"/>
  <c r="K6727" i="1"/>
  <c r="I6727" i="1"/>
  <c r="H6727" i="1"/>
  <c r="N6726" i="1"/>
  <c r="P6716" i="1"/>
  <c r="B6716" i="1" s="1"/>
  <c r="L6716" i="1"/>
  <c r="N6715" i="1"/>
  <c r="N6714" i="1"/>
  <c r="M4967" i="1"/>
  <c r="K4967" i="1"/>
  <c r="H4967" i="1"/>
  <c r="N4966" i="1"/>
  <c r="P4965" i="1"/>
  <c r="B4965" i="1" s="1"/>
  <c r="L4965" i="1"/>
  <c r="I4967" i="1"/>
  <c r="N4964" i="1"/>
  <c r="N4963" i="1"/>
  <c r="M336" i="1"/>
  <c r="H336" i="1"/>
  <c r="N335" i="1"/>
  <c r="P317" i="1"/>
  <c r="B317" i="1" s="1"/>
  <c r="L317" i="1"/>
  <c r="N316" i="1"/>
  <c r="N315" i="1"/>
  <c r="P6231" i="1"/>
  <c r="B6231" i="1" s="1"/>
  <c r="L6231" i="1"/>
  <c r="M426" i="1"/>
  <c r="K426" i="1"/>
  <c r="I426" i="1"/>
  <c r="H426" i="1"/>
  <c r="N425" i="1"/>
  <c r="P421" i="1"/>
  <c r="B421" i="1" s="1"/>
  <c r="L421" i="1"/>
  <c r="N420" i="1"/>
  <c r="N419" i="1"/>
  <c r="P1937" i="1"/>
  <c r="B1937" i="1" s="1"/>
  <c r="L1937" i="1"/>
  <c r="M1786" i="1"/>
  <c r="K1786" i="1"/>
  <c r="I1786" i="1"/>
  <c r="H1786" i="1"/>
  <c r="N1785" i="1"/>
  <c r="P1784" i="1"/>
  <c r="B1784" i="1" s="1"/>
  <c r="L1784" i="1"/>
  <c r="N1783" i="1"/>
  <c r="N1782" i="1"/>
  <c r="M3063" i="1"/>
  <c r="K3063" i="1"/>
  <c r="I3063" i="1"/>
  <c r="H3063" i="1"/>
  <c r="N3062" i="1"/>
  <c r="P3060" i="1"/>
  <c r="B3060" i="1" s="1"/>
  <c r="L3060" i="1"/>
  <c r="N3059" i="1"/>
  <c r="N3058" i="1"/>
  <c r="P4796" i="1"/>
  <c r="B4796" i="1" s="1"/>
  <c r="L4796" i="1"/>
  <c r="M683" i="1"/>
  <c r="K683" i="1"/>
  <c r="I683" i="1"/>
  <c r="H683" i="1"/>
  <c r="N682" i="1"/>
  <c r="P679" i="1"/>
  <c r="B679" i="1" s="1"/>
  <c r="L679" i="1"/>
  <c r="N678" i="1"/>
  <c r="N677" i="1"/>
  <c r="M3836" i="1"/>
  <c r="K3836" i="1"/>
  <c r="I3836" i="1"/>
  <c r="H3836" i="1"/>
  <c r="N3835" i="1"/>
  <c r="P3833" i="1"/>
  <c r="B3833" i="1" s="1"/>
  <c r="L3833" i="1"/>
  <c r="N3832" i="1"/>
  <c r="N3831" i="1"/>
  <c r="P3902" i="1"/>
  <c r="B3902" i="1" s="1"/>
  <c r="L3902" i="1"/>
  <c r="P3955" i="1"/>
  <c r="B3955" i="1" s="1"/>
  <c r="L3955" i="1"/>
  <c r="M1523" i="1"/>
  <c r="K1523" i="1"/>
  <c r="I1523" i="1"/>
  <c r="H1523" i="1"/>
  <c r="N1522" i="1"/>
  <c r="P1521" i="1"/>
  <c r="B1521" i="1" s="1"/>
  <c r="L1521" i="1"/>
  <c r="N1520" i="1"/>
  <c r="N1519" i="1"/>
  <c r="M3904" i="1"/>
  <c r="K3904" i="1"/>
  <c r="I3904" i="1"/>
  <c r="H3904" i="1"/>
  <c r="N3903" i="1"/>
  <c r="P3886" i="1"/>
  <c r="B3886" i="1" s="1"/>
  <c r="L3886" i="1"/>
  <c r="N3885" i="1"/>
  <c r="N3884" i="1"/>
  <c r="M973" i="1"/>
  <c r="K973" i="1"/>
  <c r="I973" i="1"/>
  <c r="H973" i="1"/>
  <c r="N972" i="1"/>
  <c r="P970" i="1"/>
  <c r="B970" i="1" s="1"/>
  <c r="L970" i="1"/>
  <c r="N969" i="1"/>
  <c r="N968" i="1"/>
  <c r="P3452" i="1"/>
  <c r="B3452" i="1" s="1"/>
  <c r="L3452" i="1"/>
  <c r="M5517" i="1"/>
  <c r="K5517" i="1"/>
  <c r="I5517" i="1"/>
  <c r="H5517" i="1"/>
  <c r="N5516" i="1"/>
  <c r="P5515" i="1"/>
  <c r="B5515" i="1" s="1"/>
  <c r="L5515" i="1"/>
  <c r="N5514" i="1"/>
  <c r="N5513" i="1"/>
  <c r="M561" i="1"/>
  <c r="K561" i="1"/>
  <c r="I561" i="1"/>
  <c r="H561" i="1"/>
  <c r="N560" i="1"/>
  <c r="P556" i="1"/>
  <c r="B556" i="1" s="1"/>
  <c r="L556" i="1"/>
  <c r="N555" i="1"/>
  <c r="N554" i="1"/>
  <c r="M6502" i="1"/>
  <c r="K6502" i="1"/>
  <c r="I6502" i="1"/>
  <c r="H6502" i="1"/>
  <c r="N6501" i="1"/>
  <c r="P6493" i="1"/>
  <c r="B6493" i="1" s="1"/>
  <c r="L6493" i="1"/>
  <c r="N6492" i="1"/>
  <c r="N6491" i="1"/>
  <c r="M314" i="1"/>
  <c r="K314" i="1"/>
  <c r="I314" i="1"/>
  <c r="H314" i="1"/>
  <c r="N313" i="1"/>
  <c r="P312" i="1"/>
  <c r="B312" i="1" s="1"/>
  <c r="L312" i="1"/>
  <c r="N311" i="1"/>
  <c r="N310" i="1"/>
  <c r="M712" i="1"/>
  <c r="K712" i="1"/>
  <c r="I712" i="1"/>
  <c r="H712" i="1"/>
  <c r="N711" i="1"/>
  <c r="P708" i="1"/>
  <c r="B708" i="1" s="1"/>
  <c r="L708" i="1"/>
  <c r="N707" i="1"/>
  <c r="N706" i="1"/>
  <c r="M3859" i="1"/>
  <c r="K3859" i="1"/>
  <c r="I3859" i="1"/>
  <c r="H3859" i="1"/>
  <c r="N3858" i="1"/>
  <c r="P3851" i="1"/>
  <c r="B3851" i="1" s="1"/>
  <c r="L3851" i="1"/>
  <c r="N3850" i="1"/>
  <c r="N3849" i="1"/>
  <c r="P5026" i="1"/>
  <c r="B5026" i="1" s="1"/>
  <c r="L5026" i="1"/>
  <c r="P5029" i="1"/>
  <c r="B5029" i="1" s="1"/>
  <c r="L5029" i="1"/>
  <c r="P5652" i="1"/>
  <c r="B5652" i="1" s="1"/>
  <c r="L5652" i="1"/>
  <c r="M5675" i="1"/>
  <c r="I5675" i="1"/>
  <c r="H5675" i="1"/>
  <c r="N5674" i="1"/>
  <c r="P5643" i="1"/>
  <c r="B5643" i="1" s="1"/>
  <c r="L5643" i="1"/>
  <c r="N5642" i="1"/>
  <c r="N5641" i="1"/>
  <c r="L1654" i="1"/>
  <c r="P1654" i="1"/>
  <c r="B1654" i="1" s="1"/>
  <c r="M6699" i="1"/>
  <c r="K6699" i="1"/>
  <c r="I6699" i="1"/>
  <c r="H6699" i="1"/>
  <c r="N6698" i="1"/>
  <c r="P6694" i="1"/>
  <c r="B6694" i="1" s="1"/>
  <c r="L6694" i="1"/>
  <c r="N6693" i="1"/>
  <c r="N6692" i="1"/>
  <c r="N897" i="1"/>
  <c r="N873" i="1"/>
  <c r="N872" i="1"/>
  <c r="P2298" i="1"/>
  <c r="B2298" i="1" s="1"/>
  <c r="L2298" i="1"/>
  <c r="I775" i="1"/>
  <c r="H774" i="1"/>
  <c r="P775" i="1"/>
  <c r="B775" i="1" s="1"/>
  <c r="P774" i="1"/>
  <c r="B774" i="1" s="1"/>
  <c r="P3978" i="1"/>
  <c r="B3978" i="1" s="1"/>
  <c r="I4984" i="1"/>
  <c r="P4985" i="1"/>
  <c r="B4985" i="1" s="1"/>
  <c r="L4985" i="1"/>
  <c r="L5595" i="1"/>
  <c r="L6519" i="1"/>
  <c r="L3032" i="1"/>
  <c r="H1270" i="1"/>
  <c r="M6670" i="1"/>
  <c r="K6670" i="1"/>
  <c r="I6670" i="1"/>
  <c r="H6670" i="1"/>
  <c r="N6669" i="1"/>
  <c r="P6667" i="1"/>
  <c r="B6667" i="1" s="1"/>
  <c r="L6667" i="1"/>
  <c r="N6666" i="1"/>
  <c r="N6665" i="1"/>
  <c r="M6571" i="1"/>
  <c r="K6571" i="1"/>
  <c r="I6571" i="1"/>
  <c r="H6571" i="1"/>
  <c r="N6570" i="1"/>
  <c r="P6564" i="1"/>
  <c r="B6564" i="1" s="1"/>
  <c r="L6564" i="1"/>
  <c r="S6564" i="1" s="1"/>
  <c r="N6563" i="1"/>
  <c r="N6562" i="1"/>
  <c r="L1651" i="1"/>
  <c r="P1651" i="1"/>
  <c r="B1651" i="1" s="1"/>
  <c r="M5897" i="1"/>
  <c r="K5897" i="1"/>
  <c r="I5897" i="1"/>
  <c r="H5897" i="1"/>
  <c r="N5896" i="1"/>
  <c r="P5892" i="1"/>
  <c r="B5892" i="1" s="1"/>
  <c r="L5892" i="1"/>
  <c r="N5891" i="1"/>
  <c r="N5890" i="1"/>
  <c r="P6525" i="1"/>
  <c r="B6525" i="1" s="1"/>
  <c r="L6525" i="1"/>
  <c r="P1630" i="1"/>
  <c r="B1630" i="1" s="1"/>
  <c r="L1630" i="1"/>
  <c r="P2109" i="1"/>
  <c r="B2109" i="1" s="1"/>
  <c r="L2109" i="1"/>
  <c r="M5884" i="1"/>
  <c r="K5884" i="1"/>
  <c r="I5884" i="1"/>
  <c r="H5884" i="1"/>
  <c r="N5883" i="1"/>
  <c r="P5881" i="1"/>
  <c r="B5881" i="1" s="1"/>
  <c r="L5881" i="1"/>
  <c r="N5877" i="1"/>
  <c r="N5876" i="1"/>
  <c r="M4990" i="1"/>
  <c r="P4970" i="1"/>
  <c r="B4970" i="1" s="1"/>
  <c r="L4970" i="1"/>
  <c r="P9" i="1"/>
  <c r="B9" i="1" s="1"/>
  <c r="H9" i="1"/>
  <c r="P2214" i="1"/>
  <c r="B2214" i="1" s="1"/>
  <c r="L2214" i="1"/>
  <c r="P5595" i="1"/>
  <c r="B5595" i="1" s="1"/>
  <c r="M5389" i="1"/>
  <c r="K5389" i="1"/>
  <c r="I5389" i="1"/>
  <c r="H5389" i="1"/>
  <c r="N5388" i="1"/>
  <c r="P5382" i="1"/>
  <c r="B5382" i="1" s="1"/>
  <c r="L5382" i="1"/>
  <c r="N5381" i="1"/>
  <c r="N5380" i="1"/>
  <c r="M725" i="1"/>
  <c r="K725" i="1"/>
  <c r="I725" i="1"/>
  <c r="H725" i="1"/>
  <c r="N724" i="1"/>
  <c r="P715" i="1"/>
  <c r="B715" i="1" s="1"/>
  <c r="L715" i="1"/>
  <c r="N714" i="1"/>
  <c r="N713" i="1"/>
  <c r="M6603" i="1"/>
  <c r="K6603" i="1"/>
  <c r="I6603" i="1"/>
  <c r="H6603" i="1"/>
  <c r="N6602" i="1"/>
  <c r="P6601" i="1"/>
  <c r="B6601" i="1" s="1"/>
  <c r="L6601" i="1"/>
  <c r="N6600" i="1"/>
  <c r="N6599" i="1"/>
  <c r="N4989" i="1"/>
  <c r="P4984" i="1"/>
  <c r="B4984" i="1" s="1"/>
  <c r="N4969" i="1"/>
  <c r="N4968" i="1"/>
  <c r="P3922" i="1"/>
  <c r="B3922" i="1" s="1"/>
  <c r="L3922" i="1"/>
  <c r="M1685" i="1"/>
  <c r="K1685" i="1"/>
  <c r="I1685" i="1"/>
  <c r="H1685" i="1"/>
  <c r="N1684" i="1"/>
  <c r="P1680" i="1"/>
  <c r="B1680" i="1" s="1"/>
  <c r="L1680" i="1"/>
  <c r="N1679" i="1"/>
  <c r="N1678" i="1"/>
  <c r="P3967" i="1"/>
  <c r="B3967" i="1" s="1"/>
  <c r="L3967" i="1"/>
  <c r="P852" i="1"/>
  <c r="B852" i="1" s="1"/>
  <c r="L852" i="1"/>
  <c r="M3941" i="1"/>
  <c r="N3940" i="1"/>
  <c r="P3912" i="1"/>
  <c r="B3912" i="1" s="1"/>
  <c r="L3912" i="1"/>
  <c r="N3911" i="1"/>
  <c r="N3910" i="1"/>
  <c r="M600" i="1"/>
  <c r="N599" i="1"/>
  <c r="P581" i="1"/>
  <c r="B581" i="1" s="1"/>
  <c r="N580" i="1"/>
  <c r="N579" i="1"/>
  <c r="P5598" i="1"/>
  <c r="B5598" i="1" s="1"/>
  <c r="L5598" i="1"/>
  <c r="P623" i="1"/>
  <c r="B623" i="1" s="1"/>
  <c r="P5859" i="1"/>
  <c r="B5859" i="1" s="1"/>
  <c r="L5859" i="1"/>
  <c r="M1425" i="1"/>
  <c r="K1425" i="1"/>
  <c r="I1425" i="1"/>
  <c r="H1425" i="1"/>
  <c r="N1424" i="1"/>
  <c r="P1402" i="1"/>
  <c r="B1402" i="1" s="1"/>
  <c r="L1402" i="1"/>
  <c r="N1401" i="1"/>
  <c r="N1400" i="1"/>
  <c r="L4602" i="1"/>
  <c r="L4617" i="1"/>
  <c r="P4617" i="1"/>
  <c r="B4617" i="1" s="1"/>
  <c r="P4293" i="1"/>
  <c r="B4293" i="1" s="1"/>
  <c r="L4293" i="1"/>
  <c r="M1917" i="1"/>
  <c r="K1917" i="1"/>
  <c r="I1917" i="1"/>
  <c r="H1917" i="1"/>
  <c r="N1916" i="1"/>
  <c r="P1915" i="1"/>
  <c r="B1915" i="1" s="1"/>
  <c r="L1915" i="1"/>
  <c r="N1914" i="1"/>
  <c r="N1913" i="1"/>
  <c r="M5313" i="1"/>
  <c r="N5312" i="1"/>
  <c r="P5304" i="1"/>
  <c r="B5304" i="1" s="1"/>
  <c r="N5303" i="1"/>
  <c r="N5302" i="1"/>
  <c r="M6320" i="1"/>
  <c r="K6320" i="1"/>
  <c r="I6320" i="1"/>
  <c r="H6320" i="1"/>
  <c r="N6319" i="1"/>
  <c r="P6314" i="1"/>
  <c r="B6314" i="1" s="1"/>
  <c r="L6314" i="1"/>
  <c r="N6313" i="1"/>
  <c r="N6312" i="1"/>
  <c r="I2229" i="1"/>
  <c r="P2229" i="1"/>
  <c r="B2229" i="1" s="1"/>
  <c r="P1640" i="1"/>
  <c r="B1640" i="1" s="1"/>
  <c r="L1640" i="1"/>
  <c r="M6658" i="1"/>
  <c r="K6658" i="1"/>
  <c r="I6658" i="1"/>
  <c r="H6658" i="1"/>
  <c r="N6657" i="1"/>
  <c r="P6653" i="1"/>
  <c r="B6653" i="1" s="1"/>
  <c r="L6653" i="1"/>
  <c r="N6652" i="1"/>
  <c r="N6651" i="1"/>
  <c r="P4619" i="1"/>
  <c r="B4619" i="1" s="1"/>
  <c r="L4619" i="1"/>
  <c r="M4393" i="1"/>
  <c r="K4393" i="1"/>
  <c r="I4393" i="1"/>
  <c r="N4392" i="1"/>
  <c r="P4389" i="1"/>
  <c r="B4389" i="1" s="1"/>
  <c r="L4389" i="1"/>
  <c r="N4388" i="1"/>
  <c r="N4387" i="1"/>
  <c r="M1582" i="1"/>
  <c r="K1582" i="1"/>
  <c r="I1582" i="1"/>
  <c r="H1582" i="1"/>
  <c r="N1581" i="1"/>
  <c r="P1580" i="1"/>
  <c r="B1580" i="1" s="1"/>
  <c r="L1580" i="1"/>
  <c r="N1579" i="1"/>
  <c r="N1578" i="1"/>
  <c r="M5869" i="1"/>
  <c r="H5869" i="1"/>
  <c r="P5779" i="1"/>
  <c r="B5779" i="1" s="1"/>
  <c r="L5779" i="1"/>
  <c r="P5600" i="1"/>
  <c r="B5600" i="1" s="1"/>
  <c r="L5600" i="1"/>
  <c r="M4233" i="1"/>
  <c r="K4233" i="1"/>
  <c r="I4233" i="1"/>
  <c r="H4233" i="1"/>
  <c r="N4232" i="1"/>
  <c r="P4198" i="1"/>
  <c r="B4198" i="1" s="1"/>
  <c r="L4198" i="1"/>
  <c r="N4197" i="1"/>
  <c r="N4196" i="1"/>
  <c r="M6393" i="1"/>
  <c r="N6392" i="1"/>
  <c r="P6373" i="1"/>
  <c r="B6373" i="1" s="1"/>
  <c r="L6373" i="1"/>
  <c r="N6372" i="1"/>
  <c r="N6371" i="1"/>
  <c r="P5814" i="1"/>
  <c r="B5814" i="1" s="1"/>
  <c r="L5814" i="1"/>
  <c r="M59" i="1"/>
  <c r="N58" i="1"/>
  <c r="P33" i="1"/>
  <c r="B33" i="1" s="1"/>
  <c r="L33" i="1"/>
  <c r="N32" i="1"/>
  <c r="N31" i="1"/>
  <c r="P4127" i="1"/>
  <c r="B4127" i="1" s="1"/>
  <c r="P1890" i="1"/>
  <c r="B1890" i="1" s="1"/>
  <c r="P5032" i="1"/>
  <c r="B5032" i="1" s="1"/>
  <c r="L5032" i="1"/>
  <c r="P2026" i="1"/>
  <c r="B2026" i="1" s="1"/>
  <c r="L2026" i="1"/>
  <c r="M6511" i="1"/>
  <c r="I6511" i="1"/>
  <c r="H6511" i="1"/>
  <c r="N6510" i="1"/>
  <c r="P6505" i="1"/>
  <c r="B6505" i="1" s="1"/>
  <c r="K6511" i="1"/>
  <c r="N6504" i="1"/>
  <c r="N6503" i="1"/>
  <c r="L6505" i="1"/>
  <c r="P5602" i="1"/>
  <c r="B5602" i="1" s="1"/>
  <c r="L5602" i="1"/>
  <c r="M108" i="1"/>
  <c r="I108" i="1"/>
  <c r="H108" i="1"/>
  <c r="N107" i="1"/>
  <c r="P93" i="1"/>
  <c r="B93" i="1" s="1"/>
  <c r="L93" i="1"/>
  <c r="N92" i="1"/>
  <c r="N91" i="1"/>
  <c r="P3963" i="1"/>
  <c r="B3963" i="1" s="1"/>
  <c r="L3963" i="1"/>
  <c r="L1879" i="1"/>
  <c r="L1877" i="1"/>
  <c r="P1879" i="1"/>
  <c r="B1879" i="1" s="1"/>
  <c r="M1882" i="1"/>
  <c r="I1882" i="1"/>
  <c r="H1882" i="1"/>
  <c r="N1881" i="1"/>
  <c r="P1877" i="1"/>
  <c r="B1877" i="1" s="1"/>
  <c r="N1876" i="1"/>
  <c r="N1875" i="1"/>
  <c r="P5591" i="1"/>
  <c r="B5591" i="1" s="1"/>
  <c r="L5591" i="1"/>
  <c r="P778" i="1"/>
  <c r="B778" i="1" s="1"/>
  <c r="L778" i="1"/>
  <c r="M4439" i="1"/>
  <c r="H4439" i="1"/>
  <c r="N4438" i="1"/>
  <c r="K4439" i="1"/>
  <c r="P4437" i="1"/>
  <c r="B4437" i="1" s="1"/>
  <c r="I4439" i="1"/>
  <c r="N4436" i="1"/>
  <c r="N4435" i="1"/>
  <c r="L4437" i="1"/>
  <c r="P5818" i="1"/>
  <c r="B5818" i="1" s="1"/>
  <c r="M4780" i="1"/>
  <c r="K4780" i="1"/>
  <c r="I4780" i="1"/>
  <c r="H4780" i="1"/>
  <c r="N4779" i="1"/>
  <c r="P4759" i="1"/>
  <c r="B4759" i="1" s="1"/>
  <c r="L4759" i="1"/>
  <c r="N4758" i="1"/>
  <c r="N4757" i="1"/>
  <c r="M1979" i="1"/>
  <c r="K1979" i="1"/>
  <c r="I1979" i="1"/>
  <c r="H1979" i="1"/>
  <c r="N1978" i="1"/>
  <c r="P1969" i="1"/>
  <c r="B1969" i="1" s="1"/>
  <c r="L1969" i="1"/>
  <c r="N1968" i="1"/>
  <c r="N1967" i="1"/>
  <c r="L4133" i="1"/>
  <c r="P4133" i="1"/>
  <c r="B4133" i="1" s="1"/>
  <c r="M2269" i="1"/>
  <c r="K2269" i="1"/>
  <c r="I2269" i="1"/>
  <c r="H2269" i="1"/>
  <c r="N2268" i="1"/>
  <c r="P2258" i="1"/>
  <c r="B2258" i="1" s="1"/>
  <c r="L2258" i="1"/>
  <c r="N2257" i="1"/>
  <c r="N2256" i="1"/>
  <c r="P5599" i="1"/>
  <c r="B5599" i="1" s="1"/>
  <c r="L5599" i="1"/>
  <c r="M4254" i="1"/>
  <c r="I4254" i="1"/>
  <c r="H4254" i="1"/>
  <c r="N4253" i="1"/>
  <c r="P4245" i="1"/>
  <c r="B4245" i="1" s="1"/>
  <c r="L4245" i="1"/>
  <c r="N4244" i="1"/>
  <c r="N4243" i="1"/>
  <c r="M346" i="1"/>
  <c r="I346" i="1"/>
  <c r="N345" i="1"/>
  <c r="P344" i="1"/>
  <c r="B344" i="1" s="1"/>
  <c r="K346" i="1"/>
  <c r="N343" i="1"/>
  <c r="N342" i="1"/>
  <c r="L344" i="1"/>
  <c r="H346" i="1"/>
  <c r="N5868" i="1"/>
  <c r="P5864" i="1"/>
  <c r="B5864" i="1" s="1"/>
  <c r="L5864" i="1"/>
  <c r="N5825" i="1"/>
  <c r="N5824" i="1"/>
  <c r="M5965" i="1"/>
  <c r="K5965" i="1"/>
  <c r="I5965" i="1"/>
  <c r="H5965" i="1"/>
  <c r="N5964" i="1"/>
  <c r="P5936" i="1"/>
  <c r="B5936" i="1" s="1"/>
  <c r="L5936" i="1"/>
  <c r="N5935" i="1"/>
  <c r="N5934" i="1"/>
  <c r="M2111" i="1"/>
  <c r="K2111" i="1"/>
  <c r="I2111" i="1"/>
  <c r="H2111" i="1"/>
  <c r="N2110" i="1"/>
  <c r="P2089" i="1"/>
  <c r="B2089" i="1" s="1"/>
  <c r="L2089" i="1"/>
  <c r="N2088" i="1"/>
  <c r="N2087" i="1"/>
  <c r="L5556" i="1"/>
  <c r="P5556" i="1"/>
  <c r="B5556" i="1" s="1"/>
  <c r="P11" i="1"/>
  <c r="B11" i="1" s="1"/>
  <c r="L11" i="1"/>
  <c r="P10" i="1"/>
  <c r="B10" i="1" s="1"/>
  <c r="L10" i="1"/>
  <c r="N149" i="1"/>
  <c r="N148" i="1"/>
  <c r="M25" i="1"/>
  <c r="N24" i="1"/>
  <c r="P7" i="1"/>
  <c r="B7" i="1" s="1"/>
  <c r="H377" i="1"/>
  <c r="H378" i="1"/>
  <c r="L378" i="1" s="1"/>
  <c r="M388" i="1"/>
  <c r="P349" i="1"/>
  <c r="B349" i="1" s="1"/>
  <c r="P378" i="1"/>
  <c r="B378" i="1" s="1"/>
  <c r="N387" i="1"/>
  <c r="P377" i="1"/>
  <c r="B377" i="1" s="1"/>
  <c r="N348" i="1"/>
  <c r="N347" i="1"/>
  <c r="L349" i="1"/>
  <c r="M1351" i="1"/>
  <c r="K1351" i="1"/>
  <c r="I1351" i="1"/>
  <c r="H1351" i="1"/>
  <c r="N1350" i="1"/>
  <c r="P1341" i="1"/>
  <c r="B1341" i="1" s="1"/>
  <c r="L1341" i="1"/>
  <c r="N1340" i="1"/>
  <c r="N1339" i="1"/>
  <c r="P1639" i="1"/>
  <c r="B1639" i="1" s="1"/>
  <c r="L1639" i="1"/>
  <c r="P4627" i="1"/>
  <c r="B4627" i="1" s="1"/>
  <c r="L4627" i="1"/>
  <c r="P4134" i="1"/>
  <c r="B4134" i="1" s="1"/>
  <c r="M1698" i="1"/>
  <c r="K1698" i="1"/>
  <c r="I1698" i="1"/>
  <c r="H1698" i="1"/>
  <c r="N1697" i="1"/>
  <c r="P1694" i="1"/>
  <c r="B1694" i="1" s="1"/>
  <c r="L1694" i="1"/>
  <c r="N1692" i="1"/>
  <c r="N1691" i="1"/>
  <c r="M2232" i="1"/>
  <c r="P2212" i="1"/>
  <c r="B2212" i="1" s="1"/>
  <c r="L2212" i="1"/>
  <c r="M1671" i="1"/>
  <c r="N1670" i="1"/>
  <c r="P1623" i="1"/>
  <c r="B1623" i="1" s="1"/>
  <c r="N1622" i="1"/>
  <c r="N1621" i="1"/>
  <c r="M5116" i="1"/>
  <c r="K5116" i="1"/>
  <c r="I5116" i="1"/>
  <c r="H5116" i="1"/>
  <c r="N5115" i="1"/>
  <c r="P5084" i="1"/>
  <c r="B5084" i="1" s="1"/>
  <c r="L5084" i="1"/>
  <c r="N5083" i="1"/>
  <c r="N5082" i="1"/>
  <c r="P4143" i="1"/>
  <c r="B4143" i="1" s="1"/>
  <c r="L4143" i="1"/>
  <c r="P4139" i="1"/>
  <c r="B4139" i="1" s="1"/>
  <c r="L4139" i="1"/>
  <c r="P4140" i="1"/>
  <c r="B4140" i="1" s="1"/>
  <c r="L4140" i="1"/>
  <c r="L2224" i="1"/>
  <c r="L2223" i="1"/>
  <c r="P2224" i="1"/>
  <c r="B2224" i="1" s="1"/>
  <c r="P2223" i="1"/>
  <c r="B2223" i="1" s="1"/>
  <c r="M4633" i="1"/>
  <c r="I4633" i="1"/>
  <c r="H4633" i="1"/>
  <c r="N4632" i="1"/>
  <c r="P4602" i="1"/>
  <c r="B4602" i="1" s="1"/>
  <c r="N4601" i="1"/>
  <c r="N4600" i="1"/>
  <c r="M2034" i="1"/>
  <c r="K2034" i="1"/>
  <c r="I2034" i="1"/>
  <c r="H2034" i="1"/>
  <c r="N2033" i="1"/>
  <c r="P2015" i="1"/>
  <c r="B2015" i="1" s="1"/>
  <c r="L2015" i="1"/>
  <c r="N2014" i="1"/>
  <c r="N2013" i="1"/>
  <c r="M1874" i="1"/>
  <c r="K1874" i="1"/>
  <c r="I1874" i="1"/>
  <c r="H1874" i="1"/>
  <c r="N1873" i="1"/>
  <c r="P1857" i="1"/>
  <c r="B1857" i="1" s="1"/>
  <c r="L1857" i="1"/>
  <c r="N1856" i="1"/>
  <c r="N1855" i="1"/>
  <c r="M2301" i="1"/>
  <c r="K2301" i="1"/>
  <c r="H2301" i="1"/>
  <c r="N2300" i="1"/>
  <c r="P2294" i="1"/>
  <c r="B2294" i="1" s="1"/>
  <c r="N2293" i="1"/>
  <c r="N2292" i="1"/>
  <c r="L2294" i="1"/>
  <c r="P4811" i="1"/>
  <c r="B4811" i="1" s="1"/>
  <c r="L4811" i="1"/>
  <c r="P854" i="1"/>
  <c r="B854" i="1" s="1"/>
  <c r="L854" i="1"/>
  <c r="M6275" i="1"/>
  <c r="I6275" i="1"/>
  <c r="H6275" i="1"/>
  <c r="N6274" i="1"/>
  <c r="P6270" i="1"/>
  <c r="B6270" i="1" s="1"/>
  <c r="N6269" i="1"/>
  <c r="N6268" i="1"/>
  <c r="M5823" i="1"/>
  <c r="I5823" i="1"/>
  <c r="H5823" i="1"/>
  <c r="N5822" i="1"/>
  <c r="P5826" i="1"/>
  <c r="B5826" i="1" s="1"/>
  <c r="L5826" i="1"/>
  <c r="N5778" i="1"/>
  <c r="N5777" i="1"/>
  <c r="P849" i="1"/>
  <c r="B849" i="1" s="1"/>
  <c r="L849" i="1"/>
  <c r="L2216" i="1"/>
  <c r="P2219" i="1"/>
  <c r="B2219" i="1" s="1"/>
  <c r="L2219" i="1"/>
  <c r="P2225" i="1"/>
  <c r="B2225" i="1" s="1"/>
  <c r="L2225" i="1"/>
  <c r="M861" i="1"/>
  <c r="K861" i="1"/>
  <c r="I861" i="1"/>
  <c r="H861" i="1"/>
  <c r="N860" i="1"/>
  <c r="N837" i="1"/>
  <c r="N836" i="1"/>
  <c r="M4820" i="1"/>
  <c r="I4820" i="1"/>
  <c r="H4820" i="1"/>
  <c r="N4819" i="1"/>
  <c r="P4783" i="1"/>
  <c r="B4783" i="1" s="1"/>
  <c r="L4783" i="1"/>
  <c r="N4782" i="1"/>
  <c r="N4781" i="1"/>
  <c r="L1893" i="1"/>
  <c r="P1893" i="1"/>
  <c r="B1893" i="1" s="1"/>
  <c r="M1896" i="1"/>
  <c r="I1896" i="1"/>
  <c r="N1895" i="1"/>
  <c r="N1889" i="1"/>
  <c r="N1888" i="1"/>
  <c r="P765" i="1"/>
  <c r="B765" i="1" s="1"/>
  <c r="L765" i="1"/>
  <c r="P4947" i="1"/>
  <c r="B4947" i="1" s="1"/>
  <c r="L4947" i="1"/>
  <c r="M4950" i="1"/>
  <c r="K4950" i="1"/>
  <c r="I4950" i="1"/>
  <c r="H4950" i="1"/>
  <c r="N4949" i="1"/>
  <c r="P4945" i="1"/>
  <c r="B4945" i="1" s="1"/>
  <c r="L4945" i="1"/>
  <c r="N4944" i="1"/>
  <c r="N4943" i="1"/>
  <c r="P746" i="1"/>
  <c r="B746" i="1" s="1"/>
  <c r="L746" i="1"/>
  <c r="P1264" i="1"/>
  <c r="B1264" i="1" s="1"/>
  <c r="L1264" i="1"/>
  <c r="P1262" i="1"/>
  <c r="B1262" i="1" s="1"/>
  <c r="L1262" i="1"/>
  <c r="P1265" i="1"/>
  <c r="B1265" i="1" s="1"/>
  <c r="L1265" i="1"/>
  <c r="P2227" i="1"/>
  <c r="B2227" i="1" s="1"/>
  <c r="L2227" i="1"/>
  <c r="P2226" i="1"/>
  <c r="B2226" i="1" s="1"/>
  <c r="L2226" i="1"/>
  <c r="N2231" i="1"/>
  <c r="P2216" i="1"/>
  <c r="B2216" i="1" s="1"/>
  <c r="N2211" i="1"/>
  <c r="N2210" i="1"/>
  <c r="P1261" i="1"/>
  <c r="B1261" i="1" s="1"/>
  <c r="L1261" i="1"/>
  <c r="P1260" i="1"/>
  <c r="B1260" i="1" s="1"/>
  <c r="L1260" i="1"/>
  <c r="P1251" i="1"/>
  <c r="B1251" i="1" s="1"/>
  <c r="L1251" i="1"/>
  <c r="P1253" i="1"/>
  <c r="B1253" i="1" s="1"/>
  <c r="L1253" i="1"/>
  <c r="P1255" i="1"/>
  <c r="B1255" i="1" s="1"/>
  <c r="L1255" i="1"/>
  <c r="P1254" i="1"/>
  <c r="B1254" i="1" s="1"/>
  <c r="L1254" i="1"/>
  <c r="P1250" i="1"/>
  <c r="B1250" i="1" s="1"/>
  <c r="L1250" i="1"/>
  <c r="P1245" i="1"/>
  <c r="B1245" i="1" s="1"/>
  <c r="L1245" i="1"/>
  <c r="P1244" i="1"/>
  <c r="B1244" i="1" s="1"/>
  <c r="L1244" i="1"/>
  <c r="P1249" i="1"/>
  <c r="B1249" i="1" s="1"/>
  <c r="L1249" i="1"/>
  <c r="P1259" i="1"/>
  <c r="B1259" i="1" s="1"/>
  <c r="L1259" i="1"/>
  <c r="P1243" i="1"/>
  <c r="B1243" i="1" s="1"/>
  <c r="P1252" i="1"/>
  <c r="B1252" i="1" s="1"/>
  <c r="L1252" i="1"/>
  <c r="P1263" i="1"/>
  <c r="B1263" i="1" s="1"/>
  <c r="L1263" i="1"/>
  <c r="P1268" i="1"/>
  <c r="B1268" i="1" s="1"/>
  <c r="L1268" i="1"/>
  <c r="P1267" i="1"/>
  <c r="B1267" i="1" s="1"/>
  <c r="L1267" i="1"/>
  <c r="I1246" i="1"/>
  <c r="P1248" i="1"/>
  <c r="B1248" i="1" s="1"/>
  <c r="L1248" i="1"/>
  <c r="P1247" i="1"/>
  <c r="B1247" i="1" s="1"/>
  <c r="L1247" i="1"/>
  <c r="P1266" i="1"/>
  <c r="B1266" i="1" s="1"/>
  <c r="L1266" i="1"/>
  <c r="P1256" i="1"/>
  <c r="B1256" i="1" s="1"/>
  <c r="L1256" i="1"/>
  <c r="P1258" i="1"/>
  <c r="B1258" i="1" s="1"/>
  <c r="L1258" i="1"/>
  <c r="N1269" i="1"/>
  <c r="P1257" i="1"/>
  <c r="B1257" i="1" s="1"/>
  <c r="L1257" i="1"/>
  <c r="M1270" i="1"/>
  <c r="P1246" i="1"/>
  <c r="B1246" i="1" s="1"/>
  <c r="N1242" i="1"/>
  <c r="N1241" i="1"/>
  <c r="M3671" i="1"/>
  <c r="I3671" i="1"/>
  <c r="H3671" i="1"/>
  <c r="N3670" i="1"/>
  <c r="P3663" i="1"/>
  <c r="B3663" i="1" s="1"/>
  <c r="L3663" i="1"/>
  <c r="N3662" i="1"/>
  <c r="N3661" i="1"/>
  <c r="P1500" i="1"/>
  <c r="B1500" i="1" s="1"/>
  <c r="L1500" i="1"/>
  <c r="M6403" i="1"/>
  <c r="K6403" i="1"/>
  <c r="I6403" i="1"/>
  <c r="H6403" i="1"/>
  <c r="N6402" i="1"/>
  <c r="P6401" i="1"/>
  <c r="B6401" i="1" s="1"/>
  <c r="L6401" i="1"/>
  <c r="N6400" i="1"/>
  <c r="N6399" i="1"/>
  <c r="L6682" i="1"/>
  <c r="L6688" i="1"/>
  <c r="L6686" i="1"/>
  <c r="L6679" i="1"/>
  <c r="P6688" i="1"/>
  <c r="B6688" i="1" s="1"/>
  <c r="P6686" i="1"/>
  <c r="B6686" i="1" s="1"/>
  <c r="P6689" i="1"/>
  <c r="B6689" i="1" s="1"/>
  <c r="L6689" i="1"/>
  <c r="P6678" i="1"/>
  <c r="B6678" i="1" s="1"/>
  <c r="L6678" i="1"/>
  <c r="P6681" i="1"/>
  <c r="B6681" i="1" s="1"/>
  <c r="L6681" i="1"/>
  <c r="P6676" i="1"/>
  <c r="B6676" i="1" s="1"/>
  <c r="L6676" i="1"/>
  <c r="P6682" i="1"/>
  <c r="B6682" i="1" s="1"/>
  <c r="P6674" i="1"/>
  <c r="B6674" i="1" s="1"/>
  <c r="L6674" i="1"/>
  <c r="P6675" i="1"/>
  <c r="B6675" i="1" s="1"/>
  <c r="P6677" i="1"/>
  <c r="B6677" i="1" s="1"/>
  <c r="L6677" i="1"/>
  <c r="P6684" i="1"/>
  <c r="B6684" i="1" s="1"/>
  <c r="L6684" i="1"/>
  <c r="P6680" i="1"/>
  <c r="B6680" i="1" s="1"/>
  <c r="L6680" i="1"/>
  <c r="P6679" i="1"/>
  <c r="B6679" i="1" s="1"/>
  <c r="P6685" i="1"/>
  <c r="B6685" i="1" s="1"/>
  <c r="L6685" i="1"/>
  <c r="L5422" i="1"/>
  <c r="P6524" i="1"/>
  <c r="B6524" i="1" s="1"/>
  <c r="L5425" i="1"/>
  <c r="P5425" i="1"/>
  <c r="B5425" i="1" s="1"/>
  <c r="P5424" i="1"/>
  <c r="B5424" i="1" s="1"/>
  <c r="L5424" i="1"/>
  <c r="P5423" i="1"/>
  <c r="B5423" i="1" s="1"/>
  <c r="L5423" i="1"/>
  <c r="P4410" i="1"/>
  <c r="B4410" i="1" s="1"/>
  <c r="P4411" i="1"/>
  <c r="B4411" i="1" s="1"/>
  <c r="L4411" i="1"/>
  <c r="L4412" i="1"/>
  <c r="M4414" i="1"/>
  <c r="H4414" i="1"/>
  <c r="N4413" i="1"/>
  <c r="P4412" i="1"/>
  <c r="B4412" i="1" s="1"/>
  <c r="P4406" i="1"/>
  <c r="B4406" i="1" s="1"/>
  <c r="L4406" i="1"/>
  <c r="N4405" i="1"/>
  <c r="N4404" i="1"/>
  <c r="M914" i="1"/>
  <c r="K914" i="1"/>
  <c r="I914" i="1"/>
  <c r="M6546" i="1"/>
  <c r="K6546" i="1"/>
  <c r="I6546" i="1"/>
  <c r="H6546" i="1"/>
  <c r="H914" i="1"/>
  <c r="P906" i="1"/>
  <c r="B906" i="1" s="1"/>
  <c r="L906" i="1"/>
  <c r="L6687" i="1"/>
  <c r="P6687" i="1"/>
  <c r="B6687" i="1" s="1"/>
  <c r="N1955" i="1"/>
  <c r="P1929" i="1"/>
  <c r="B1929" i="1" s="1"/>
  <c r="L1929" i="1"/>
  <c r="N1919" i="1"/>
  <c r="N1918" i="1"/>
  <c r="P6540" i="1"/>
  <c r="B6540" i="1" s="1"/>
  <c r="L6540" i="1"/>
  <c r="N6545" i="1"/>
  <c r="P6544" i="1"/>
  <c r="B6544" i="1" s="1"/>
  <c r="L6544" i="1"/>
  <c r="N6539" i="1"/>
  <c r="N6538" i="1"/>
  <c r="M751" i="1"/>
  <c r="I751" i="1"/>
  <c r="H751" i="1"/>
  <c r="N750" i="1"/>
  <c r="P740" i="1"/>
  <c r="B740" i="1" s="1"/>
  <c r="N739" i="1"/>
  <c r="N738" i="1"/>
  <c r="L740" i="1"/>
  <c r="N913" i="1"/>
  <c r="P910" i="1"/>
  <c r="B910" i="1" s="1"/>
  <c r="L910" i="1"/>
  <c r="N905" i="1"/>
  <c r="N904" i="1"/>
  <c r="K6632" i="1"/>
  <c r="M6529" i="1"/>
  <c r="I6529" i="1"/>
  <c r="H6529" i="1"/>
  <c r="N6528" i="1"/>
  <c r="P6519" i="1"/>
  <c r="B6519" i="1" s="1"/>
  <c r="N6518" i="1"/>
  <c r="N6517" i="1"/>
  <c r="M6632" i="1"/>
  <c r="I6632" i="1"/>
  <c r="H6632" i="1"/>
  <c r="N6631" i="1"/>
  <c r="P6628" i="1"/>
  <c r="B6628" i="1" s="1"/>
  <c r="N6627" i="1"/>
  <c r="N6626" i="1"/>
  <c r="M5188" i="1"/>
  <c r="I5188" i="1"/>
  <c r="H5188" i="1"/>
  <c r="N5187" i="1"/>
  <c r="M782" i="1"/>
  <c r="N781" i="1"/>
  <c r="P754" i="1"/>
  <c r="B754" i="1" s="1"/>
  <c r="L754" i="1"/>
  <c r="N753" i="1"/>
  <c r="N752" i="1"/>
  <c r="M6346" i="1"/>
  <c r="I6346" i="1"/>
  <c r="H6346" i="1"/>
  <c r="N6345" i="1"/>
  <c r="P6333" i="1"/>
  <c r="B6333" i="1" s="1"/>
  <c r="L6333" i="1"/>
  <c r="N6332" i="1"/>
  <c r="N6331" i="1"/>
  <c r="L4289" i="1"/>
  <c r="P4289" i="1"/>
  <c r="B4289" i="1" s="1"/>
  <c r="P4179" i="1"/>
  <c r="B4179" i="1" s="1"/>
  <c r="L4179" i="1"/>
  <c r="P4178" i="1"/>
  <c r="B4178" i="1" s="1"/>
  <c r="L4178" i="1"/>
  <c r="P4177" i="1"/>
  <c r="B4177" i="1" s="1"/>
  <c r="L4177" i="1"/>
  <c r="P4176" i="1"/>
  <c r="B4176" i="1" s="1"/>
  <c r="L4176" i="1"/>
  <c r="P4175" i="1"/>
  <c r="B4175" i="1" s="1"/>
  <c r="L4175" i="1"/>
  <c r="P4174" i="1"/>
  <c r="B4174" i="1" s="1"/>
  <c r="L4174" i="1"/>
  <c r="P4173" i="1"/>
  <c r="B4173" i="1" s="1"/>
  <c r="L4173" i="1"/>
  <c r="P4172" i="1"/>
  <c r="B4172" i="1" s="1"/>
  <c r="L4172" i="1"/>
  <c r="P4171" i="1"/>
  <c r="B4171" i="1" s="1"/>
  <c r="L4171" i="1"/>
  <c r="P4170" i="1"/>
  <c r="B4170" i="1" s="1"/>
  <c r="L4170" i="1"/>
  <c r="P4169" i="1"/>
  <c r="B4169" i="1" s="1"/>
  <c r="L4169" i="1"/>
  <c r="P4168" i="1"/>
  <c r="B4168" i="1" s="1"/>
  <c r="L4168" i="1"/>
  <c r="P4167" i="1"/>
  <c r="B4167" i="1" s="1"/>
  <c r="L4167" i="1"/>
  <c r="P4166" i="1"/>
  <c r="B4166" i="1" s="1"/>
  <c r="L4166" i="1"/>
  <c r="P4165" i="1"/>
  <c r="B4165" i="1" s="1"/>
  <c r="L4165" i="1"/>
  <c r="P4164" i="1"/>
  <c r="B4164" i="1" s="1"/>
  <c r="L4164" i="1"/>
  <c r="P4163" i="1"/>
  <c r="B4163" i="1" s="1"/>
  <c r="L4163" i="1"/>
  <c r="P4162" i="1"/>
  <c r="B4162" i="1" s="1"/>
  <c r="L4162" i="1"/>
  <c r="P4161" i="1"/>
  <c r="B4161" i="1" s="1"/>
  <c r="L4161" i="1"/>
  <c r="P4160" i="1"/>
  <c r="B4160" i="1" s="1"/>
  <c r="L4160" i="1"/>
  <c r="P4159" i="1"/>
  <c r="B4159" i="1" s="1"/>
  <c r="L4159" i="1"/>
  <c r="P4158" i="1"/>
  <c r="B4158" i="1" s="1"/>
  <c r="L4158" i="1"/>
  <c r="P4157" i="1"/>
  <c r="B4157" i="1" s="1"/>
  <c r="L4157" i="1"/>
  <c r="M4145" i="1"/>
  <c r="H4145" i="1"/>
  <c r="N4144" i="1"/>
  <c r="P4125" i="1"/>
  <c r="B4125" i="1" s="1"/>
  <c r="L4125" i="1"/>
  <c r="N4118" i="1"/>
  <c r="N4117" i="1"/>
  <c r="P4292" i="1"/>
  <c r="B4292" i="1" s="1"/>
  <c r="L4292" i="1"/>
  <c r="P4291" i="1"/>
  <c r="B4291" i="1" s="1"/>
  <c r="L4291" i="1"/>
  <c r="P4290" i="1"/>
  <c r="B4290" i="1" s="1"/>
  <c r="L4290" i="1"/>
  <c r="P4288" i="1"/>
  <c r="B4288" i="1" s="1"/>
  <c r="L4288" i="1"/>
  <c r="P4287" i="1"/>
  <c r="B4287" i="1" s="1"/>
  <c r="L4287" i="1"/>
  <c r="P4286" i="1"/>
  <c r="B4286" i="1" s="1"/>
  <c r="L4286" i="1"/>
  <c r="P4285" i="1"/>
  <c r="B4285" i="1" s="1"/>
  <c r="L4285" i="1"/>
  <c r="P4284" i="1"/>
  <c r="B4284" i="1" s="1"/>
  <c r="L4284" i="1"/>
  <c r="P4283" i="1"/>
  <c r="B4283" i="1" s="1"/>
  <c r="L4283" i="1"/>
  <c r="P4282" i="1"/>
  <c r="B4282" i="1" s="1"/>
  <c r="L4282" i="1"/>
  <c r="P4281" i="1"/>
  <c r="B4281" i="1" s="1"/>
  <c r="P4280" i="1"/>
  <c r="B4280" i="1" s="1"/>
  <c r="L4280" i="1"/>
  <c r="P4279" i="1"/>
  <c r="B4279" i="1" s="1"/>
  <c r="L4279" i="1"/>
  <c r="S4279" i="1" s="1"/>
  <c r="P4278" i="1"/>
  <c r="B4278" i="1" s="1"/>
  <c r="L4278" i="1"/>
  <c r="P4277" i="1"/>
  <c r="B4277" i="1" s="1"/>
  <c r="L4277" i="1"/>
  <c r="P4276" i="1"/>
  <c r="B4276" i="1" s="1"/>
  <c r="L4276" i="1"/>
  <c r="P4275" i="1"/>
  <c r="B4275" i="1" s="1"/>
  <c r="L4275" i="1"/>
  <c r="P4274" i="1"/>
  <c r="B4274" i="1" s="1"/>
  <c r="L4274" i="1"/>
  <c r="P4273" i="1"/>
  <c r="B4273" i="1" s="1"/>
  <c r="L4273" i="1"/>
  <c r="P4272" i="1"/>
  <c r="B4272" i="1" s="1"/>
  <c r="L4272" i="1"/>
  <c r="P4271" i="1"/>
  <c r="B4271" i="1" s="1"/>
  <c r="L4271" i="1"/>
  <c r="M4296" i="1"/>
  <c r="I4296" i="1"/>
  <c r="H4296" i="1"/>
  <c r="N4295" i="1"/>
  <c r="P4268" i="1"/>
  <c r="B4268" i="1" s="1"/>
  <c r="L4268" i="1"/>
  <c r="N4267" i="1"/>
  <c r="N4266" i="1"/>
  <c r="M4039" i="1"/>
  <c r="K4039" i="1"/>
  <c r="I4039" i="1"/>
  <c r="H4039" i="1"/>
  <c r="N4038" i="1"/>
  <c r="P4037" i="1"/>
  <c r="B4037" i="1" s="1"/>
  <c r="L4037" i="1"/>
  <c r="P4036" i="1"/>
  <c r="B4036" i="1" s="1"/>
  <c r="L4036" i="1"/>
  <c r="P4035" i="1"/>
  <c r="B4035" i="1" s="1"/>
  <c r="L4035" i="1"/>
  <c r="P4034" i="1"/>
  <c r="B4034" i="1" s="1"/>
  <c r="L4034" i="1"/>
  <c r="P4033" i="1"/>
  <c r="B4033" i="1" s="1"/>
  <c r="L4033" i="1"/>
  <c r="P4032" i="1"/>
  <c r="B4032" i="1" s="1"/>
  <c r="L4032" i="1"/>
  <c r="P4031" i="1"/>
  <c r="B4031" i="1" s="1"/>
  <c r="L4031" i="1"/>
  <c r="P4030" i="1"/>
  <c r="B4030" i="1" s="1"/>
  <c r="L4030" i="1"/>
  <c r="P4029" i="1"/>
  <c r="B4029" i="1" s="1"/>
  <c r="L4029" i="1"/>
  <c r="P4028" i="1"/>
  <c r="B4028" i="1" s="1"/>
  <c r="L4028" i="1"/>
  <c r="P4027" i="1"/>
  <c r="B4027" i="1" s="1"/>
  <c r="L4027" i="1"/>
  <c r="P4026" i="1"/>
  <c r="B4026" i="1" s="1"/>
  <c r="L4026" i="1"/>
  <c r="N4025" i="1"/>
  <c r="N4024" i="1"/>
  <c r="P4595" i="1"/>
  <c r="B4595" i="1" s="1"/>
  <c r="L4595" i="1"/>
  <c r="P4594" i="1"/>
  <c r="B4594" i="1" s="1"/>
  <c r="L4594" i="1"/>
  <c r="P4593" i="1"/>
  <c r="B4593" i="1" s="1"/>
  <c r="L4593" i="1"/>
  <c r="P4591" i="1"/>
  <c r="B4591" i="1" s="1"/>
  <c r="L4591" i="1"/>
  <c r="P4590" i="1"/>
  <c r="B4590" i="1" s="1"/>
  <c r="L4590" i="1"/>
  <c r="P4589" i="1"/>
  <c r="B4589" i="1" s="1"/>
  <c r="L4589" i="1"/>
  <c r="P4586" i="1"/>
  <c r="B4586" i="1" s="1"/>
  <c r="L4586" i="1"/>
  <c r="P4585" i="1"/>
  <c r="B4585" i="1" s="1"/>
  <c r="L4585" i="1"/>
  <c r="P4584" i="1"/>
  <c r="B4584" i="1" s="1"/>
  <c r="L4584" i="1"/>
  <c r="P4583" i="1"/>
  <c r="B4583" i="1" s="1"/>
  <c r="L4583" i="1"/>
  <c r="P4582" i="1"/>
  <c r="B4582" i="1" s="1"/>
  <c r="L4582" i="1"/>
  <c r="P4581" i="1"/>
  <c r="B4581" i="1" s="1"/>
  <c r="L4581" i="1"/>
  <c r="P4580" i="1"/>
  <c r="B4580" i="1" s="1"/>
  <c r="L4580" i="1"/>
  <c r="P4597" i="1"/>
  <c r="B4597" i="1" s="1"/>
  <c r="L4597" i="1"/>
  <c r="P4592" i="1"/>
  <c r="B4592" i="1" s="1"/>
  <c r="L4592" i="1"/>
  <c r="P4587" i="1"/>
  <c r="B4587" i="1" s="1"/>
  <c r="L4587" i="1"/>
  <c r="P4579" i="1"/>
  <c r="B4579" i="1" s="1"/>
  <c r="L4579" i="1"/>
  <c r="P4578" i="1"/>
  <c r="B4578" i="1" s="1"/>
  <c r="L4578" i="1"/>
  <c r="P4577" i="1"/>
  <c r="B4577" i="1" s="1"/>
  <c r="L4577" i="1"/>
  <c r="P4576" i="1"/>
  <c r="B4576" i="1" s="1"/>
  <c r="L4576" i="1"/>
  <c r="P4574" i="1"/>
  <c r="B4574" i="1" s="1"/>
  <c r="L4574" i="1"/>
  <c r="P4573" i="1"/>
  <c r="B4573" i="1" s="1"/>
  <c r="L4573" i="1"/>
  <c r="P4572" i="1"/>
  <c r="B4572" i="1" s="1"/>
  <c r="L4572" i="1"/>
  <c r="P4571" i="1"/>
  <c r="B4571" i="1" s="1"/>
  <c r="N4571" i="1"/>
  <c r="P4570" i="1"/>
  <c r="B4570" i="1" s="1"/>
  <c r="L4570" i="1"/>
  <c r="P4569" i="1"/>
  <c r="B4569" i="1" s="1"/>
  <c r="L4569" i="1"/>
  <c r="P4568" i="1"/>
  <c r="B4568" i="1" s="1"/>
  <c r="L4568" i="1"/>
  <c r="P4567" i="1"/>
  <c r="B4567" i="1" s="1"/>
  <c r="L4567" i="1"/>
  <c r="P4563" i="1"/>
  <c r="B4563" i="1" s="1"/>
  <c r="L4563" i="1"/>
  <c r="P4562" i="1"/>
  <c r="B4562" i="1" s="1"/>
  <c r="L4562" i="1"/>
  <c r="P4561" i="1"/>
  <c r="B4561" i="1" s="1"/>
  <c r="L4561" i="1"/>
  <c r="P4565" i="1"/>
  <c r="B4565" i="1" s="1"/>
  <c r="L4565" i="1"/>
  <c r="P4560" i="1"/>
  <c r="B4560" i="1" s="1"/>
  <c r="L4560" i="1"/>
  <c r="P4559" i="1"/>
  <c r="B4559" i="1" s="1"/>
  <c r="L4559" i="1"/>
  <c r="P4558" i="1"/>
  <c r="B4558" i="1" s="1"/>
  <c r="L4558" i="1"/>
  <c r="P4556" i="1"/>
  <c r="B4556" i="1" s="1"/>
  <c r="L4556" i="1"/>
  <c r="P4555" i="1"/>
  <c r="B4555" i="1" s="1"/>
  <c r="L4555" i="1"/>
  <c r="P4554" i="1"/>
  <c r="B4554" i="1" s="1"/>
  <c r="L4554" i="1"/>
  <c r="P4553" i="1"/>
  <c r="B4553" i="1" s="1"/>
  <c r="L4553" i="1"/>
  <c r="P4552" i="1"/>
  <c r="B4552" i="1" s="1"/>
  <c r="L4552" i="1"/>
  <c r="P4551" i="1"/>
  <c r="B4551" i="1" s="1"/>
  <c r="L4551" i="1"/>
  <c r="P4550" i="1"/>
  <c r="B4550" i="1" s="1"/>
  <c r="L4550" i="1"/>
  <c r="P4549" i="1"/>
  <c r="B4549" i="1" s="1"/>
  <c r="L4549" i="1"/>
  <c r="P4566" i="1"/>
  <c r="B4566" i="1" s="1"/>
  <c r="L4566" i="1"/>
  <c r="P4548" i="1"/>
  <c r="B4548" i="1" s="1"/>
  <c r="L4548" i="1"/>
  <c r="P4547" i="1"/>
  <c r="B4547" i="1" s="1"/>
  <c r="L4547" i="1"/>
  <c r="P4546" i="1"/>
  <c r="B4546" i="1" s="1"/>
  <c r="L4546" i="1"/>
  <c r="P4545" i="1"/>
  <c r="B4545" i="1" s="1"/>
  <c r="L4545" i="1"/>
  <c r="P4544" i="1"/>
  <c r="B4544" i="1" s="1"/>
  <c r="L4544" i="1"/>
  <c r="P4543" i="1"/>
  <c r="B4543" i="1" s="1"/>
  <c r="L4543" i="1"/>
  <c r="P4542" i="1"/>
  <c r="B4542" i="1" s="1"/>
  <c r="L4542" i="1"/>
  <c r="P4541" i="1"/>
  <c r="B4541" i="1" s="1"/>
  <c r="L4541" i="1"/>
  <c r="P4540" i="1"/>
  <c r="B4540" i="1" s="1"/>
  <c r="L4540" i="1"/>
  <c r="P4539" i="1"/>
  <c r="B4539" i="1" s="1"/>
  <c r="L4539" i="1"/>
  <c r="P4538" i="1"/>
  <c r="B4538" i="1" s="1"/>
  <c r="L4538" i="1"/>
  <c r="P4537" i="1"/>
  <c r="B4537" i="1" s="1"/>
  <c r="L4537" i="1"/>
  <c r="P4536" i="1"/>
  <c r="B4536" i="1" s="1"/>
  <c r="L4536" i="1"/>
  <c r="P4535" i="1"/>
  <c r="B4535" i="1" s="1"/>
  <c r="L4535" i="1"/>
  <c r="P4534" i="1"/>
  <c r="B4534" i="1" s="1"/>
  <c r="L4534" i="1"/>
  <c r="P4533" i="1"/>
  <c r="B4533" i="1" s="1"/>
  <c r="L4533" i="1"/>
  <c r="P4532" i="1"/>
  <c r="B4532" i="1" s="1"/>
  <c r="L4532" i="1"/>
  <c r="P4531" i="1"/>
  <c r="B4531" i="1" s="1"/>
  <c r="L4531" i="1"/>
  <c r="P4530" i="1"/>
  <c r="B4530" i="1" s="1"/>
  <c r="L4530" i="1"/>
  <c r="P4529" i="1"/>
  <c r="B4529" i="1" s="1"/>
  <c r="L4529" i="1"/>
  <c r="P4528" i="1"/>
  <c r="B4528" i="1" s="1"/>
  <c r="L4528" i="1"/>
  <c r="P4527" i="1"/>
  <c r="B4527" i="1" s="1"/>
  <c r="L4527" i="1"/>
  <c r="P4526" i="1"/>
  <c r="B4526" i="1" s="1"/>
  <c r="L4526" i="1"/>
  <c r="P4525" i="1"/>
  <c r="B4525" i="1" s="1"/>
  <c r="L4525" i="1"/>
  <c r="P4524" i="1"/>
  <c r="B4524" i="1" s="1"/>
  <c r="L4524" i="1"/>
  <c r="P4523" i="1"/>
  <c r="B4523" i="1" s="1"/>
  <c r="L4523" i="1"/>
  <c r="P4519" i="1"/>
  <c r="B4519" i="1" s="1"/>
  <c r="L4519" i="1"/>
  <c r="P4518" i="1"/>
  <c r="B4518" i="1" s="1"/>
  <c r="L4518" i="1"/>
  <c r="P4517" i="1"/>
  <c r="B4517" i="1" s="1"/>
  <c r="L4517" i="1"/>
  <c r="P4516" i="1"/>
  <c r="B4516" i="1" s="1"/>
  <c r="L4516" i="1"/>
  <c r="P4515" i="1"/>
  <c r="B4515" i="1" s="1"/>
  <c r="L4515" i="1"/>
  <c r="P4514" i="1"/>
  <c r="B4514" i="1" s="1"/>
  <c r="L4514" i="1"/>
  <c r="P4513" i="1"/>
  <c r="B4513" i="1" s="1"/>
  <c r="L4513" i="1"/>
  <c r="P4512" i="1"/>
  <c r="B4512" i="1" s="1"/>
  <c r="L4512" i="1"/>
  <c r="P4522" i="1"/>
  <c r="B4522" i="1" s="1"/>
  <c r="L4522" i="1"/>
  <c r="P4521" i="1"/>
  <c r="B4521" i="1" s="1"/>
  <c r="L4521" i="1"/>
  <c r="P4520" i="1"/>
  <c r="B4520" i="1" s="1"/>
  <c r="L4520" i="1"/>
  <c r="P4511" i="1"/>
  <c r="B4511" i="1" s="1"/>
  <c r="L4511" i="1"/>
  <c r="P4510" i="1"/>
  <c r="B4510" i="1" s="1"/>
  <c r="L4510" i="1"/>
  <c r="P4509" i="1"/>
  <c r="B4509" i="1" s="1"/>
  <c r="L4509" i="1"/>
  <c r="P4508" i="1"/>
  <c r="B4508" i="1" s="1"/>
  <c r="L4508" i="1"/>
  <c r="P4507" i="1"/>
  <c r="B4507" i="1" s="1"/>
  <c r="L4507" i="1"/>
  <c r="P4506" i="1"/>
  <c r="B4506" i="1" s="1"/>
  <c r="L4506" i="1"/>
  <c r="P4505" i="1"/>
  <c r="B4505" i="1" s="1"/>
  <c r="L4505" i="1"/>
  <c r="P4504" i="1"/>
  <c r="B4504" i="1" s="1"/>
  <c r="L4504" i="1"/>
  <c r="P4503" i="1"/>
  <c r="B4503" i="1" s="1"/>
  <c r="L4503" i="1"/>
  <c r="P4502" i="1"/>
  <c r="B4502" i="1" s="1"/>
  <c r="L4502" i="1"/>
  <c r="P4501" i="1"/>
  <c r="B4501" i="1" s="1"/>
  <c r="L4501" i="1"/>
  <c r="P4500" i="1"/>
  <c r="B4500" i="1" s="1"/>
  <c r="L4500" i="1"/>
  <c r="P4499" i="1"/>
  <c r="B4499" i="1" s="1"/>
  <c r="L4499" i="1"/>
  <c r="P4493" i="1"/>
  <c r="B4493" i="1" s="1"/>
  <c r="L4493" i="1"/>
  <c r="P4489" i="1"/>
  <c r="B4489" i="1" s="1"/>
  <c r="L4489" i="1"/>
  <c r="P4498" i="1"/>
  <c r="B4498" i="1" s="1"/>
  <c r="L4498" i="1"/>
  <c r="P4497" i="1"/>
  <c r="B4497" i="1" s="1"/>
  <c r="L4497" i="1"/>
  <c r="P4496" i="1"/>
  <c r="B4496" i="1" s="1"/>
  <c r="L4496" i="1"/>
  <c r="P4495" i="1"/>
  <c r="B4495" i="1" s="1"/>
  <c r="L4495" i="1"/>
  <c r="P4494" i="1"/>
  <c r="B4494" i="1" s="1"/>
  <c r="L4494" i="1"/>
  <c r="P4492" i="1"/>
  <c r="B4492" i="1" s="1"/>
  <c r="L4492" i="1"/>
  <c r="P4491" i="1"/>
  <c r="B4491" i="1" s="1"/>
  <c r="L4491" i="1"/>
  <c r="P4490" i="1"/>
  <c r="B4490" i="1" s="1"/>
  <c r="L4490" i="1"/>
  <c r="P4488" i="1"/>
  <c r="B4488" i="1" s="1"/>
  <c r="L4488" i="1"/>
  <c r="P4487" i="1"/>
  <c r="B4487" i="1" s="1"/>
  <c r="L4487" i="1"/>
  <c r="P4486" i="1"/>
  <c r="B4486" i="1" s="1"/>
  <c r="L4486" i="1"/>
  <c r="P4479" i="1"/>
  <c r="B4479" i="1" s="1"/>
  <c r="L4479" i="1"/>
  <c r="P4478" i="1"/>
  <c r="B4478" i="1" s="1"/>
  <c r="L4478" i="1"/>
  <c r="P4477" i="1"/>
  <c r="B4477" i="1" s="1"/>
  <c r="L4477" i="1"/>
  <c r="P4476" i="1"/>
  <c r="B4476" i="1" s="1"/>
  <c r="L4476" i="1"/>
  <c r="P4475" i="1"/>
  <c r="B4475" i="1" s="1"/>
  <c r="L4475" i="1"/>
  <c r="P4482" i="1"/>
  <c r="B4482" i="1" s="1"/>
  <c r="L4482" i="1"/>
  <c r="P4480" i="1"/>
  <c r="B4480" i="1" s="1"/>
  <c r="L4480" i="1"/>
  <c r="P4474" i="1"/>
  <c r="B4474" i="1" s="1"/>
  <c r="L4474" i="1"/>
  <c r="P4473" i="1"/>
  <c r="B4473" i="1" s="1"/>
  <c r="L4473" i="1"/>
  <c r="P4472" i="1"/>
  <c r="B4472" i="1" s="1"/>
  <c r="L4472" i="1"/>
  <c r="P4485" i="1"/>
  <c r="B4485" i="1" s="1"/>
  <c r="L4485" i="1"/>
  <c r="P4484" i="1"/>
  <c r="B4484" i="1" s="1"/>
  <c r="L4484" i="1"/>
  <c r="P4483" i="1"/>
  <c r="B4483" i="1" s="1"/>
  <c r="L4483" i="1"/>
  <c r="P4471" i="1"/>
  <c r="B4471" i="1" s="1"/>
  <c r="L4471" i="1"/>
  <c r="P4470" i="1"/>
  <c r="B4470" i="1" s="1"/>
  <c r="L4470" i="1"/>
  <c r="P4469" i="1"/>
  <c r="B4469" i="1" s="1"/>
  <c r="L4469" i="1"/>
  <c r="P4468" i="1"/>
  <c r="B4468" i="1" s="1"/>
  <c r="L4468" i="1"/>
  <c r="P4467" i="1"/>
  <c r="B4467" i="1" s="1"/>
  <c r="L4467" i="1"/>
  <c r="P4466" i="1"/>
  <c r="B4466" i="1" s="1"/>
  <c r="L4466" i="1"/>
  <c r="P4465" i="1"/>
  <c r="B4465" i="1" s="1"/>
  <c r="L4465" i="1"/>
  <c r="P4464" i="1"/>
  <c r="B4464" i="1" s="1"/>
  <c r="L4464" i="1"/>
  <c r="P4463" i="1"/>
  <c r="B4463" i="1" s="1"/>
  <c r="L4463" i="1"/>
  <c r="L2875" i="1"/>
  <c r="L2874" i="1"/>
  <c r="P2875" i="1"/>
  <c r="B2875" i="1" s="1"/>
  <c r="P2874" i="1"/>
  <c r="B2874" i="1" s="1"/>
  <c r="P2873" i="1"/>
  <c r="B2873" i="1" s="1"/>
  <c r="L2873" i="1"/>
  <c r="P2872" i="1"/>
  <c r="B2872" i="1" s="1"/>
  <c r="L2872" i="1"/>
  <c r="P2871" i="1"/>
  <c r="B2871" i="1" s="1"/>
  <c r="L2871" i="1"/>
  <c r="P2870" i="1"/>
  <c r="B2870" i="1" s="1"/>
  <c r="L2870" i="1"/>
  <c r="P2869" i="1"/>
  <c r="B2869" i="1" s="1"/>
  <c r="L2869" i="1"/>
  <c r="P2868" i="1"/>
  <c r="B2868" i="1" s="1"/>
  <c r="L2868" i="1"/>
  <c r="P2867" i="1"/>
  <c r="B2867" i="1" s="1"/>
  <c r="L2867" i="1"/>
  <c r="P2866" i="1"/>
  <c r="B2866" i="1" s="1"/>
  <c r="L2866" i="1"/>
  <c r="P2865" i="1"/>
  <c r="B2865" i="1" s="1"/>
  <c r="L2865" i="1"/>
  <c r="P2864" i="1"/>
  <c r="B2864" i="1" s="1"/>
  <c r="L2864" i="1"/>
  <c r="P2863" i="1"/>
  <c r="B2863" i="1" s="1"/>
  <c r="L2863" i="1"/>
  <c r="P2862" i="1"/>
  <c r="B2862" i="1" s="1"/>
  <c r="L2862" i="1"/>
  <c r="P2860" i="1"/>
  <c r="B2860" i="1" s="1"/>
  <c r="L2860" i="1"/>
  <c r="P2859" i="1"/>
  <c r="B2859" i="1" s="1"/>
  <c r="L2859" i="1"/>
  <c r="P2858" i="1"/>
  <c r="B2858" i="1" s="1"/>
  <c r="L2858" i="1"/>
  <c r="P2857" i="1"/>
  <c r="B2857" i="1" s="1"/>
  <c r="L2857" i="1"/>
  <c r="P2856" i="1"/>
  <c r="B2856" i="1" s="1"/>
  <c r="L2856" i="1"/>
  <c r="P2854" i="1"/>
  <c r="B2854" i="1" s="1"/>
  <c r="L2854" i="1"/>
  <c r="P2851" i="1"/>
  <c r="B2851" i="1" s="1"/>
  <c r="L2851" i="1"/>
  <c r="P2850" i="1"/>
  <c r="B2850" i="1" s="1"/>
  <c r="L2850" i="1"/>
  <c r="P2849" i="1"/>
  <c r="B2849" i="1" s="1"/>
  <c r="L2849" i="1"/>
  <c r="P2848" i="1"/>
  <c r="B2848" i="1" s="1"/>
  <c r="L2848" i="1"/>
  <c r="P2847" i="1"/>
  <c r="B2847" i="1" s="1"/>
  <c r="L2847" i="1"/>
  <c r="P2855" i="1"/>
  <c r="B2855" i="1" s="1"/>
  <c r="L2855" i="1"/>
  <c r="P2853" i="1"/>
  <c r="B2853" i="1" s="1"/>
  <c r="L2853" i="1"/>
  <c r="P2852" i="1"/>
  <c r="B2852" i="1" s="1"/>
  <c r="L2852" i="1"/>
  <c r="P2846" i="1"/>
  <c r="B2846" i="1" s="1"/>
  <c r="L2846" i="1"/>
  <c r="P2845" i="1"/>
  <c r="B2845" i="1" s="1"/>
  <c r="L2845" i="1"/>
  <c r="P2844" i="1"/>
  <c r="B2844" i="1" s="1"/>
  <c r="L2844" i="1"/>
  <c r="P2843" i="1"/>
  <c r="B2843" i="1" s="1"/>
  <c r="L2843" i="1"/>
  <c r="P2842" i="1"/>
  <c r="B2842" i="1" s="1"/>
  <c r="L2842" i="1"/>
  <c r="P2841" i="1"/>
  <c r="B2841" i="1" s="1"/>
  <c r="L2841" i="1"/>
  <c r="P2840" i="1"/>
  <c r="B2840" i="1" s="1"/>
  <c r="L2840" i="1"/>
  <c r="P2839" i="1"/>
  <c r="B2839" i="1" s="1"/>
  <c r="L2839" i="1"/>
  <c r="P2838" i="1"/>
  <c r="B2838" i="1" s="1"/>
  <c r="L2838" i="1"/>
  <c r="P2837" i="1"/>
  <c r="B2837" i="1" s="1"/>
  <c r="L2837" i="1"/>
  <c r="P2835" i="1"/>
  <c r="B2835" i="1" s="1"/>
  <c r="L2835" i="1"/>
  <c r="P2831" i="1"/>
  <c r="B2831" i="1" s="1"/>
  <c r="L2831" i="1"/>
  <c r="P2830" i="1"/>
  <c r="B2830" i="1" s="1"/>
  <c r="L2830" i="1"/>
  <c r="P2829" i="1"/>
  <c r="B2829" i="1" s="1"/>
  <c r="L2829" i="1"/>
  <c r="P2828" i="1"/>
  <c r="B2828" i="1" s="1"/>
  <c r="L2828" i="1"/>
  <c r="P2827" i="1"/>
  <c r="B2827" i="1" s="1"/>
  <c r="L2827" i="1"/>
  <c r="P2826" i="1"/>
  <c r="B2826" i="1" s="1"/>
  <c r="L2826" i="1"/>
  <c r="P2823" i="1"/>
  <c r="B2823" i="1" s="1"/>
  <c r="L2823" i="1"/>
  <c r="P2822" i="1"/>
  <c r="B2822" i="1" s="1"/>
  <c r="L2822" i="1"/>
  <c r="P2821" i="1"/>
  <c r="B2821" i="1" s="1"/>
  <c r="L2821" i="1"/>
  <c r="P2820" i="1"/>
  <c r="B2820" i="1" s="1"/>
  <c r="L2820" i="1"/>
  <c r="P2833" i="1"/>
  <c r="B2833" i="1" s="1"/>
  <c r="L2833" i="1"/>
  <c r="P2832" i="1"/>
  <c r="B2832" i="1" s="1"/>
  <c r="L2832" i="1"/>
  <c r="P2825" i="1"/>
  <c r="B2825" i="1" s="1"/>
  <c r="L2825" i="1"/>
  <c r="P2824" i="1"/>
  <c r="B2824" i="1" s="1"/>
  <c r="L2824" i="1"/>
  <c r="P2836" i="1"/>
  <c r="B2836" i="1" s="1"/>
  <c r="L2836" i="1"/>
  <c r="P2834" i="1"/>
  <c r="B2834" i="1" s="1"/>
  <c r="L2834" i="1"/>
  <c r="P2819" i="1"/>
  <c r="B2819" i="1" s="1"/>
  <c r="L2819" i="1"/>
  <c r="P2818" i="1"/>
  <c r="B2818" i="1" s="1"/>
  <c r="L2818" i="1"/>
  <c r="P2817" i="1"/>
  <c r="B2817" i="1" s="1"/>
  <c r="L2817" i="1"/>
  <c r="P2816" i="1"/>
  <c r="B2816" i="1" s="1"/>
  <c r="L2816" i="1"/>
  <c r="P2815" i="1"/>
  <c r="B2815" i="1" s="1"/>
  <c r="L2815" i="1"/>
  <c r="P2814" i="1"/>
  <c r="B2814" i="1" s="1"/>
  <c r="L2814" i="1"/>
  <c r="P2813" i="1"/>
  <c r="B2813" i="1" s="1"/>
  <c r="L2813" i="1"/>
  <c r="P2811" i="1"/>
  <c r="B2811" i="1" s="1"/>
  <c r="L2811" i="1"/>
  <c r="P2808" i="1"/>
  <c r="B2808" i="1" s="1"/>
  <c r="L2808" i="1"/>
  <c r="P2807" i="1"/>
  <c r="B2807" i="1" s="1"/>
  <c r="L2807" i="1"/>
  <c r="P2806" i="1"/>
  <c r="B2806" i="1" s="1"/>
  <c r="L2806" i="1"/>
  <c r="P2805" i="1"/>
  <c r="B2805" i="1" s="1"/>
  <c r="L2805" i="1"/>
  <c r="P2804" i="1"/>
  <c r="B2804" i="1" s="1"/>
  <c r="L2804" i="1"/>
  <c r="P2803" i="1"/>
  <c r="B2803" i="1" s="1"/>
  <c r="L2803" i="1"/>
  <c r="P2812" i="1"/>
  <c r="B2812" i="1" s="1"/>
  <c r="L2812" i="1"/>
  <c r="P2810" i="1"/>
  <c r="B2810" i="1" s="1"/>
  <c r="L2810" i="1"/>
  <c r="P2809" i="1"/>
  <c r="B2809" i="1" s="1"/>
  <c r="L2809" i="1"/>
  <c r="P2802" i="1"/>
  <c r="B2802" i="1" s="1"/>
  <c r="L2802" i="1"/>
  <c r="P2801" i="1"/>
  <c r="B2801" i="1" s="1"/>
  <c r="L2801" i="1"/>
  <c r="P2800" i="1"/>
  <c r="B2800" i="1" s="1"/>
  <c r="L2800" i="1"/>
  <c r="P2799" i="1"/>
  <c r="B2799" i="1" s="1"/>
  <c r="L2799" i="1"/>
  <c r="P2798" i="1"/>
  <c r="B2798" i="1" s="1"/>
  <c r="L2798" i="1"/>
  <c r="P2797" i="1"/>
  <c r="B2797" i="1" s="1"/>
  <c r="L2797" i="1"/>
  <c r="P2796" i="1"/>
  <c r="B2796" i="1" s="1"/>
  <c r="L2796" i="1"/>
  <c r="P2795" i="1"/>
  <c r="B2795" i="1" s="1"/>
  <c r="L2795" i="1"/>
  <c r="P2794" i="1"/>
  <c r="B2794" i="1" s="1"/>
  <c r="L2794" i="1"/>
  <c r="P2793" i="1"/>
  <c r="B2793" i="1" s="1"/>
  <c r="L2793" i="1"/>
  <c r="P4878" i="1"/>
  <c r="B4878" i="1" s="1"/>
  <c r="L4878" i="1"/>
  <c r="P4877" i="1"/>
  <c r="B4877" i="1" s="1"/>
  <c r="L4877" i="1"/>
  <c r="P4875" i="1"/>
  <c r="B4875" i="1" s="1"/>
  <c r="L4875" i="1"/>
  <c r="P4874" i="1"/>
  <c r="B4874" i="1" s="1"/>
  <c r="L4874" i="1"/>
  <c r="P4872" i="1"/>
  <c r="B4872" i="1" s="1"/>
  <c r="L4872" i="1"/>
  <c r="P4869" i="1"/>
  <c r="B4869" i="1" s="1"/>
  <c r="P4866" i="1"/>
  <c r="B4866" i="1" s="1"/>
  <c r="L4866" i="1"/>
  <c r="P4865" i="1"/>
  <c r="B4865" i="1" s="1"/>
  <c r="L4865" i="1"/>
  <c r="P4864" i="1"/>
  <c r="B4864" i="1" s="1"/>
  <c r="L4864" i="1"/>
  <c r="P4863" i="1"/>
  <c r="B4863" i="1" s="1"/>
  <c r="L4863" i="1"/>
  <c r="P4862" i="1"/>
  <c r="B4862" i="1" s="1"/>
  <c r="L4862" i="1"/>
  <c r="P4861" i="1"/>
  <c r="B4861" i="1" s="1"/>
  <c r="L4861" i="1"/>
  <c r="P4880" i="1"/>
  <c r="B4880" i="1" s="1"/>
  <c r="L4880" i="1"/>
  <c r="P4879" i="1"/>
  <c r="B4879" i="1" s="1"/>
  <c r="L4879" i="1"/>
  <c r="P4870" i="1"/>
  <c r="B4870" i="1" s="1"/>
  <c r="L4870" i="1"/>
  <c r="P4867" i="1"/>
  <c r="B4867" i="1" s="1"/>
  <c r="L4867" i="1"/>
  <c r="P4860" i="1"/>
  <c r="B4860" i="1" s="1"/>
  <c r="L4860" i="1"/>
  <c r="P4859" i="1"/>
  <c r="B4859" i="1" s="1"/>
  <c r="L4859" i="1"/>
  <c r="P4858" i="1"/>
  <c r="B4858" i="1" s="1"/>
  <c r="L4858" i="1"/>
  <c r="P4857" i="1"/>
  <c r="B4857" i="1" s="1"/>
  <c r="L4857" i="1"/>
  <c r="P4856" i="1"/>
  <c r="B4856" i="1" s="1"/>
  <c r="L4856" i="1"/>
  <c r="P4855" i="1"/>
  <c r="B4855" i="1" s="1"/>
  <c r="L4855" i="1"/>
  <c r="P4854" i="1"/>
  <c r="B4854" i="1" s="1"/>
  <c r="L4854" i="1"/>
  <c r="P4853" i="1"/>
  <c r="B4853" i="1" s="1"/>
  <c r="L4853" i="1"/>
  <c r="P4852" i="1"/>
  <c r="B4852" i="1" s="1"/>
  <c r="L4852" i="1"/>
  <c r="P4851" i="1"/>
  <c r="B4851" i="1" s="1"/>
  <c r="L4851" i="1"/>
  <c r="P4850" i="1"/>
  <c r="B4850" i="1" s="1"/>
  <c r="L4850" i="1"/>
  <c r="P4849" i="1"/>
  <c r="B4849" i="1" s="1"/>
  <c r="L4849" i="1"/>
  <c r="P4847" i="1"/>
  <c r="B4847" i="1" s="1"/>
  <c r="L4847" i="1"/>
  <c r="P4461" i="1"/>
  <c r="B4461" i="1" s="1"/>
  <c r="L4461" i="1"/>
  <c r="P4460" i="1"/>
  <c r="B4460" i="1" s="1"/>
  <c r="L4460" i="1"/>
  <c r="P4459" i="1"/>
  <c r="B4459" i="1" s="1"/>
  <c r="L4459" i="1"/>
  <c r="P4458" i="1"/>
  <c r="B4458" i="1" s="1"/>
  <c r="L4458" i="1"/>
  <c r="P4842" i="1"/>
  <c r="B4842" i="1" s="1"/>
  <c r="L4842" i="1"/>
  <c r="P4846" i="1"/>
  <c r="B4846" i="1" s="1"/>
  <c r="L4846" i="1"/>
  <c r="P4845" i="1"/>
  <c r="B4845" i="1" s="1"/>
  <c r="L4845" i="1"/>
  <c r="P4844" i="1"/>
  <c r="B4844" i="1" s="1"/>
  <c r="L4844" i="1"/>
  <c r="P4843" i="1"/>
  <c r="B4843" i="1" s="1"/>
  <c r="L4843" i="1"/>
  <c r="P4841" i="1"/>
  <c r="B4841" i="1" s="1"/>
  <c r="L4841" i="1"/>
  <c r="P4840" i="1"/>
  <c r="B4840" i="1" s="1"/>
  <c r="L4840" i="1"/>
  <c r="P4839" i="1"/>
  <c r="B4839" i="1" s="1"/>
  <c r="L4839" i="1"/>
  <c r="P4838" i="1"/>
  <c r="B4838" i="1" s="1"/>
  <c r="L4838" i="1"/>
  <c r="P4837" i="1"/>
  <c r="B4837" i="1" s="1"/>
  <c r="L4837" i="1"/>
  <c r="P4836" i="1"/>
  <c r="B4836" i="1" s="1"/>
  <c r="L4836" i="1"/>
  <c r="M960" i="1"/>
  <c r="K960" i="1"/>
  <c r="I960" i="1"/>
  <c r="H960" i="1"/>
  <c r="N959" i="1"/>
  <c r="P955" i="1"/>
  <c r="B955" i="1" s="1"/>
  <c r="N955" i="1"/>
  <c r="N954" i="1"/>
  <c r="N953" i="1"/>
  <c r="M4599" i="1"/>
  <c r="K4599" i="1"/>
  <c r="I4599" i="1"/>
  <c r="H4599" i="1"/>
  <c r="N4598" i="1"/>
  <c r="P4564" i="1"/>
  <c r="B4564" i="1" s="1"/>
  <c r="L4564" i="1"/>
  <c r="P4457" i="1"/>
  <c r="B4457" i="1" s="1"/>
  <c r="L4457" i="1"/>
  <c r="P4456" i="1"/>
  <c r="B4456" i="1" s="1"/>
  <c r="L4456" i="1"/>
  <c r="P4455" i="1"/>
  <c r="B4455" i="1" s="1"/>
  <c r="L4455" i="1"/>
  <c r="P4454" i="1"/>
  <c r="B4454" i="1" s="1"/>
  <c r="L4454" i="1"/>
  <c r="P4453" i="1"/>
  <c r="B4453" i="1" s="1"/>
  <c r="L4453" i="1"/>
  <c r="P4452" i="1"/>
  <c r="B4452" i="1" s="1"/>
  <c r="L4452" i="1"/>
  <c r="P4451" i="1"/>
  <c r="B4451" i="1" s="1"/>
  <c r="L4451" i="1"/>
  <c r="P4450" i="1"/>
  <c r="B4450" i="1" s="1"/>
  <c r="L4450" i="1"/>
  <c r="P4449" i="1"/>
  <c r="B4449" i="1" s="1"/>
  <c r="L4449" i="1"/>
  <c r="P4448" i="1"/>
  <c r="B4448" i="1" s="1"/>
  <c r="L4448" i="1"/>
  <c r="P4447" i="1"/>
  <c r="B4447" i="1" s="1"/>
  <c r="L4447" i="1"/>
  <c r="P4446" i="1"/>
  <c r="B4446" i="1" s="1"/>
  <c r="L4446" i="1"/>
  <c r="P4445" i="1"/>
  <c r="B4445" i="1" s="1"/>
  <c r="L4445" i="1"/>
  <c r="P4444" i="1"/>
  <c r="B4444" i="1" s="1"/>
  <c r="L4444" i="1"/>
  <c r="P4443" i="1"/>
  <c r="B4443" i="1" s="1"/>
  <c r="L4443" i="1"/>
  <c r="P4442" i="1"/>
  <c r="B4442" i="1" s="1"/>
  <c r="L4442" i="1"/>
  <c r="M4904" i="1"/>
  <c r="P4835" i="1"/>
  <c r="B4835" i="1" s="1"/>
  <c r="L4835" i="1"/>
  <c r="P4834" i="1"/>
  <c r="B4834" i="1" s="1"/>
  <c r="L4834" i="1"/>
  <c r="P4833" i="1"/>
  <c r="B4833" i="1" s="1"/>
  <c r="L4833" i="1"/>
  <c r="P4832" i="1"/>
  <c r="B4832" i="1" s="1"/>
  <c r="L4832" i="1"/>
  <c r="P4831" i="1"/>
  <c r="B4831" i="1" s="1"/>
  <c r="L4831" i="1"/>
  <c r="N4903" i="1"/>
  <c r="P4830" i="1"/>
  <c r="B4830" i="1" s="1"/>
  <c r="L4830" i="1"/>
  <c r="N4829" i="1"/>
  <c r="N4828" i="1"/>
  <c r="M6691" i="1"/>
  <c r="I6691" i="1"/>
  <c r="H6691" i="1"/>
  <c r="N6690" i="1"/>
  <c r="P6673" i="1"/>
  <c r="B6673" i="1" s="1"/>
  <c r="L6673" i="1"/>
  <c r="N6672" i="1"/>
  <c r="N6671" i="1"/>
  <c r="P1799" i="1"/>
  <c r="B1799" i="1" s="1"/>
  <c r="L1799" i="1"/>
  <c r="P3045" i="1"/>
  <c r="B3045" i="1" s="1"/>
  <c r="L3045" i="1"/>
  <c r="P3044" i="1"/>
  <c r="B3044" i="1" s="1"/>
  <c r="L3044" i="1"/>
  <c r="P3043" i="1"/>
  <c r="B3043" i="1" s="1"/>
  <c r="L3043" i="1"/>
  <c r="P3042" i="1"/>
  <c r="B3042" i="1" s="1"/>
  <c r="L3042" i="1"/>
  <c r="P3054" i="1"/>
  <c r="B3054" i="1" s="1"/>
  <c r="L3054" i="1"/>
  <c r="P3053" i="1"/>
  <c r="B3053" i="1" s="1"/>
  <c r="L3053" i="1"/>
  <c r="P3052" i="1"/>
  <c r="B3052" i="1" s="1"/>
  <c r="L3052" i="1"/>
  <c r="P3051" i="1"/>
  <c r="B3051" i="1" s="1"/>
  <c r="L3051" i="1"/>
  <c r="P3050" i="1"/>
  <c r="B3050" i="1" s="1"/>
  <c r="L3050" i="1"/>
  <c r="P3049" i="1"/>
  <c r="B3049" i="1" s="1"/>
  <c r="L3049" i="1"/>
  <c r="P3048" i="1"/>
  <c r="B3048" i="1" s="1"/>
  <c r="L3048" i="1"/>
  <c r="P3047" i="1"/>
  <c r="B3047" i="1" s="1"/>
  <c r="L3047" i="1"/>
  <c r="P3046" i="1"/>
  <c r="B3046" i="1" s="1"/>
  <c r="L3046" i="1"/>
  <c r="P3041" i="1"/>
  <c r="B3041" i="1" s="1"/>
  <c r="L3041" i="1"/>
  <c r="P3040" i="1"/>
  <c r="B3040" i="1" s="1"/>
  <c r="L3040" i="1"/>
  <c r="P3039" i="1"/>
  <c r="B3039" i="1" s="1"/>
  <c r="L3039" i="1"/>
  <c r="P3038" i="1"/>
  <c r="B3038" i="1" s="1"/>
  <c r="L3038" i="1"/>
  <c r="P3037" i="1"/>
  <c r="B3037" i="1" s="1"/>
  <c r="L3037" i="1"/>
  <c r="P3036" i="1"/>
  <c r="B3036" i="1" s="1"/>
  <c r="L3036" i="1"/>
  <c r="P3035" i="1"/>
  <c r="B3035" i="1" s="1"/>
  <c r="L3035" i="1"/>
  <c r="P3034" i="1"/>
  <c r="B3034" i="1" s="1"/>
  <c r="L3034" i="1"/>
  <c r="P3033" i="1"/>
  <c r="B3033" i="1" s="1"/>
  <c r="L3033" i="1"/>
  <c r="P3032" i="1"/>
  <c r="B3032" i="1" s="1"/>
  <c r="P3031" i="1"/>
  <c r="B3031" i="1" s="1"/>
  <c r="L3031" i="1"/>
  <c r="P3030" i="1"/>
  <c r="B3030" i="1" s="1"/>
  <c r="L3030" i="1"/>
  <c r="P3029" i="1"/>
  <c r="B3029" i="1" s="1"/>
  <c r="L3029" i="1"/>
  <c r="P3028" i="1"/>
  <c r="B3028" i="1" s="1"/>
  <c r="L3028" i="1"/>
  <c r="P3027" i="1"/>
  <c r="B3027" i="1" s="1"/>
  <c r="L3027" i="1"/>
  <c r="P3026" i="1"/>
  <c r="B3026" i="1" s="1"/>
  <c r="L3026" i="1"/>
  <c r="P3025" i="1"/>
  <c r="B3025" i="1" s="1"/>
  <c r="L3025" i="1"/>
  <c r="P3024" i="1"/>
  <c r="B3024" i="1" s="1"/>
  <c r="L3024" i="1"/>
  <c r="P3023" i="1"/>
  <c r="B3023" i="1" s="1"/>
  <c r="L3023" i="1"/>
  <c r="P3022" i="1"/>
  <c r="B3022" i="1" s="1"/>
  <c r="L3022" i="1"/>
  <c r="P3021" i="1"/>
  <c r="B3021" i="1" s="1"/>
  <c r="L3021" i="1"/>
  <c r="P3020" i="1"/>
  <c r="B3020" i="1" s="1"/>
  <c r="L3020" i="1"/>
  <c r="P3019" i="1"/>
  <c r="B3019" i="1" s="1"/>
  <c r="L3019" i="1"/>
  <c r="P3018" i="1"/>
  <c r="B3018" i="1" s="1"/>
  <c r="L3018" i="1"/>
  <c r="P3017" i="1"/>
  <c r="B3017" i="1" s="1"/>
  <c r="L3017" i="1"/>
  <c r="P3016" i="1"/>
  <c r="B3016" i="1" s="1"/>
  <c r="L3016" i="1"/>
  <c r="P3015" i="1"/>
  <c r="B3015" i="1" s="1"/>
  <c r="L3015" i="1"/>
  <c r="P3008" i="1"/>
  <c r="B3008" i="1" s="1"/>
  <c r="L3008" i="1"/>
  <c r="P3007" i="1"/>
  <c r="B3007" i="1" s="1"/>
  <c r="L3007" i="1"/>
  <c r="P3006" i="1"/>
  <c r="B3006" i="1" s="1"/>
  <c r="L3006" i="1"/>
  <c r="P3005" i="1"/>
  <c r="B3005" i="1" s="1"/>
  <c r="L3005" i="1"/>
  <c r="P3004" i="1"/>
  <c r="B3004" i="1" s="1"/>
  <c r="L3004" i="1"/>
  <c r="P3014" i="1"/>
  <c r="B3014" i="1" s="1"/>
  <c r="L3014" i="1"/>
  <c r="P3013" i="1"/>
  <c r="B3013" i="1" s="1"/>
  <c r="L3013" i="1"/>
  <c r="P3012" i="1"/>
  <c r="B3012" i="1" s="1"/>
  <c r="L3012" i="1"/>
  <c r="P3011" i="1"/>
  <c r="B3011" i="1" s="1"/>
  <c r="L3011" i="1"/>
  <c r="P3010" i="1"/>
  <c r="B3010" i="1" s="1"/>
  <c r="L3010" i="1"/>
  <c r="P3009" i="1"/>
  <c r="B3009" i="1" s="1"/>
  <c r="L3009" i="1"/>
  <c r="P3003" i="1"/>
  <c r="B3003" i="1" s="1"/>
  <c r="L3003" i="1"/>
  <c r="P3002" i="1"/>
  <c r="B3002" i="1" s="1"/>
  <c r="L3002" i="1"/>
  <c r="P3001" i="1"/>
  <c r="B3001" i="1" s="1"/>
  <c r="L3001" i="1"/>
  <c r="P3000" i="1"/>
  <c r="B3000" i="1" s="1"/>
  <c r="L3000" i="1"/>
  <c r="P2999" i="1"/>
  <c r="B2999" i="1" s="1"/>
  <c r="L2999" i="1"/>
  <c r="P2998" i="1"/>
  <c r="B2998" i="1" s="1"/>
  <c r="L2998" i="1"/>
  <c r="P2997" i="1"/>
  <c r="B2997" i="1" s="1"/>
  <c r="L2997" i="1"/>
  <c r="P2996" i="1"/>
  <c r="B2996" i="1" s="1"/>
  <c r="L2996" i="1"/>
  <c r="P2995" i="1"/>
  <c r="B2995" i="1" s="1"/>
  <c r="L2995" i="1"/>
  <c r="P2994" i="1"/>
  <c r="B2994" i="1" s="1"/>
  <c r="L2994" i="1"/>
  <c r="P2993" i="1"/>
  <c r="B2993" i="1" s="1"/>
  <c r="L2993" i="1"/>
  <c r="P2992" i="1"/>
  <c r="B2992" i="1" s="1"/>
  <c r="L2992" i="1"/>
  <c r="P2991" i="1"/>
  <c r="B2991" i="1" s="1"/>
  <c r="L2991" i="1"/>
  <c r="P2990" i="1"/>
  <c r="B2990" i="1" s="1"/>
  <c r="L2990" i="1"/>
  <c r="P2989" i="1"/>
  <c r="B2989" i="1" s="1"/>
  <c r="L2989" i="1"/>
  <c r="L2971" i="1"/>
  <c r="P2971" i="1"/>
  <c r="B2971" i="1" s="1"/>
  <c r="L2972" i="1"/>
  <c r="P2972" i="1"/>
  <c r="B2972" i="1" s="1"/>
  <c r="L2973" i="1"/>
  <c r="P2973" i="1"/>
  <c r="B2973" i="1" s="1"/>
  <c r="L2974" i="1"/>
  <c r="P2974" i="1"/>
  <c r="B2974" i="1" s="1"/>
  <c r="L2975" i="1"/>
  <c r="P2975" i="1"/>
  <c r="B2975" i="1" s="1"/>
  <c r="L2976" i="1"/>
  <c r="P2976" i="1"/>
  <c r="B2976" i="1" s="1"/>
  <c r="L2977" i="1"/>
  <c r="P2977" i="1"/>
  <c r="B2977" i="1" s="1"/>
  <c r="L2978" i="1"/>
  <c r="P2978" i="1"/>
  <c r="B2978" i="1" s="1"/>
  <c r="L2979" i="1"/>
  <c r="P2979" i="1"/>
  <c r="B2979" i="1" s="1"/>
  <c r="L2980" i="1"/>
  <c r="P2980" i="1"/>
  <c r="B2980" i="1" s="1"/>
  <c r="L2981" i="1"/>
  <c r="P2981" i="1"/>
  <c r="B2981" i="1" s="1"/>
  <c r="L2982" i="1"/>
  <c r="P2982" i="1"/>
  <c r="B2982" i="1" s="1"/>
  <c r="L2983" i="1"/>
  <c r="P2983" i="1"/>
  <c r="B2983" i="1" s="1"/>
  <c r="L2984" i="1"/>
  <c r="P2984" i="1"/>
  <c r="B2984" i="1" s="1"/>
  <c r="L2985" i="1"/>
  <c r="P2985" i="1"/>
  <c r="B2985" i="1" s="1"/>
  <c r="L2986" i="1"/>
  <c r="P2986" i="1"/>
  <c r="B2986" i="1" s="1"/>
  <c r="L2987" i="1"/>
  <c r="P2987" i="1"/>
  <c r="B2987" i="1" s="1"/>
  <c r="L2988" i="1"/>
  <c r="P2988" i="1"/>
  <c r="B2988" i="1" s="1"/>
  <c r="M412" i="1"/>
  <c r="K412" i="1"/>
  <c r="I412" i="1"/>
  <c r="H412" i="1"/>
  <c r="M625" i="1"/>
  <c r="I625" i="1"/>
  <c r="H625" i="1"/>
  <c r="N614" i="1"/>
  <c r="N613" i="1"/>
  <c r="N411" i="1"/>
  <c r="P410" i="1"/>
  <c r="B410" i="1" s="1"/>
  <c r="L410" i="1"/>
  <c r="P2970" i="1"/>
  <c r="B2970" i="1" s="1"/>
  <c r="L2970" i="1"/>
  <c r="P2969" i="1"/>
  <c r="B2969" i="1" s="1"/>
  <c r="L2969" i="1"/>
  <c r="P2968" i="1"/>
  <c r="B2968" i="1" s="1"/>
  <c r="L2968" i="1"/>
  <c r="P2967" i="1"/>
  <c r="B2967" i="1" s="1"/>
  <c r="L2967" i="1"/>
  <c r="P2966" i="1"/>
  <c r="B2966" i="1" s="1"/>
  <c r="L2966" i="1"/>
  <c r="P2965" i="1"/>
  <c r="B2965" i="1" s="1"/>
  <c r="L2965" i="1"/>
  <c r="P2964" i="1"/>
  <c r="B2964" i="1" s="1"/>
  <c r="L2964" i="1"/>
  <c r="P2963" i="1"/>
  <c r="B2963" i="1" s="1"/>
  <c r="L2963" i="1"/>
  <c r="P2962" i="1"/>
  <c r="B2962" i="1" s="1"/>
  <c r="L2962" i="1"/>
  <c r="P2961" i="1"/>
  <c r="B2961" i="1" s="1"/>
  <c r="L2961" i="1"/>
  <c r="P2960" i="1"/>
  <c r="B2960" i="1" s="1"/>
  <c r="L2960" i="1"/>
  <c r="P2959" i="1"/>
  <c r="B2959" i="1" s="1"/>
  <c r="L2959" i="1"/>
  <c r="P2958" i="1"/>
  <c r="B2958" i="1" s="1"/>
  <c r="L2958" i="1"/>
  <c r="P2957" i="1"/>
  <c r="B2957" i="1" s="1"/>
  <c r="L2957" i="1"/>
  <c r="P2956" i="1"/>
  <c r="B2956" i="1" s="1"/>
  <c r="L2956" i="1"/>
  <c r="P2955" i="1"/>
  <c r="B2955" i="1" s="1"/>
  <c r="L2955" i="1"/>
  <c r="P2954" i="1"/>
  <c r="B2954" i="1" s="1"/>
  <c r="L2954" i="1"/>
  <c r="P2953" i="1"/>
  <c r="B2953" i="1" s="1"/>
  <c r="L2953" i="1"/>
  <c r="P2951" i="1"/>
  <c r="B2951" i="1" s="1"/>
  <c r="L2951" i="1"/>
  <c r="P2950" i="1"/>
  <c r="B2950" i="1" s="1"/>
  <c r="L2950" i="1"/>
  <c r="P2949" i="1"/>
  <c r="B2949" i="1" s="1"/>
  <c r="L2949" i="1"/>
  <c r="P2948" i="1"/>
  <c r="B2948" i="1" s="1"/>
  <c r="L2948" i="1"/>
  <c r="P2947" i="1"/>
  <c r="B2947" i="1" s="1"/>
  <c r="L2947" i="1"/>
  <c r="P2946" i="1"/>
  <c r="B2946" i="1" s="1"/>
  <c r="L2946" i="1"/>
  <c r="P2945" i="1"/>
  <c r="B2945" i="1" s="1"/>
  <c r="L2945" i="1"/>
  <c r="P2944" i="1"/>
  <c r="B2944" i="1" s="1"/>
  <c r="L2944" i="1"/>
  <c r="P2943" i="1"/>
  <c r="B2943" i="1" s="1"/>
  <c r="L2943" i="1"/>
  <c r="P2942" i="1"/>
  <c r="B2942" i="1" s="1"/>
  <c r="L2942" i="1"/>
  <c r="P2941" i="1"/>
  <c r="B2941" i="1" s="1"/>
  <c r="L2941" i="1"/>
  <c r="P2940" i="1"/>
  <c r="B2940" i="1" s="1"/>
  <c r="L2940" i="1"/>
  <c r="P2938" i="1"/>
  <c r="B2938" i="1" s="1"/>
  <c r="L2938" i="1"/>
  <c r="L6776" i="1"/>
  <c r="L6772" i="1"/>
  <c r="P2935" i="1"/>
  <c r="B2935" i="1" s="1"/>
  <c r="L2935" i="1"/>
  <c r="P2934" i="1"/>
  <c r="B2934" i="1" s="1"/>
  <c r="L2934" i="1"/>
  <c r="P2933" i="1"/>
  <c r="B2933" i="1" s="1"/>
  <c r="L2933" i="1"/>
  <c r="P2932" i="1"/>
  <c r="B2932" i="1" s="1"/>
  <c r="L2932" i="1"/>
  <c r="P2931" i="1"/>
  <c r="B2931" i="1" s="1"/>
  <c r="L2931" i="1"/>
  <c r="P2930" i="1"/>
  <c r="B2930" i="1" s="1"/>
  <c r="L2930" i="1"/>
  <c r="P2929" i="1"/>
  <c r="B2929" i="1" s="1"/>
  <c r="L2929" i="1"/>
  <c r="P2928" i="1"/>
  <c r="B2928" i="1" s="1"/>
  <c r="L2928" i="1"/>
  <c r="P2939" i="1"/>
  <c r="B2939" i="1" s="1"/>
  <c r="L2939" i="1"/>
  <c r="P2937" i="1"/>
  <c r="B2937" i="1" s="1"/>
  <c r="L2937" i="1"/>
  <c r="P2936" i="1"/>
  <c r="B2936" i="1" s="1"/>
  <c r="L2936" i="1"/>
  <c r="P2927" i="1"/>
  <c r="B2927" i="1" s="1"/>
  <c r="L2927" i="1"/>
  <c r="P2926" i="1"/>
  <c r="B2926" i="1" s="1"/>
  <c r="L2926" i="1"/>
  <c r="P2925" i="1"/>
  <c r="B2925" i="1" s="1"/>
  <c r="L2925" i="1"/>
  <c r="P2924" i="1"/>
  <c r="B2924" i="1" s="1"/>
  <c r="L2924" i="1"/>
  <c r="P2923" i="1"/>
  <c r="B2923" i="1" s="1"/>
  <c r="L2923" i="1"/>
  <c r="P2922" i="1"/>
  <c r="B2922" i="1" s="1"/>
  <c r="L2922" i="1"/>
  <c r="P2921" i="1"/>
  <c r="B2921" i="1" s="1"/>
  <c r="L2921" i="1"/>
  <c r="P2920" i="1"/>
  <c r="B2920" i="1" s="1"/>
  <c r="L2920" i="1"/>
  <c r="P2919" i="1"/>
  <c r="B2919" i="1" s="1"/>
  <c r="L2919" i="1"/>
  <c r="P2918" i="1"/>
  <c r="B2918" i="1" s="1"/>
  <c r="L2918" i="1"/>
  <c r="P2917" i="1"/>
  <c r="B2917" i="1" s="1"/>
  <c r="L2917" i="1"/>
  <c r="P2916" i="1"/>
  <c r="B2916" i="1" s="1"/>
  <c r="L2916" i="1"/>
  <c r="P2915" i="1"/>
  <c r="B2915" i="1" s="1"/>
  <c r="L2915" i="1"/>
  <c r="P2914" i="1"/>
  <c r="B2914" i="1" s="1"/>
  <c r="L2914" i="1"/>
  <c r="P2913" i="1"/>
  <c r="B2913" i="1" s="1"/>
  <c r="L2913" i="1"/>
  <c r="P2912" i="1"/>
  <c r="B2912" i="1" s="1"/>
  <c r="L2912" i="1"/>
  <c r="P2911" i="1"/>
  <c r="B2911" i="1" s="1"/>
  <c r="L2911" i="1"/>
  <c r="P2910" i="1"/>
  <c r="B2910" i="1" s="1"/>
  <c r="L2910" i="1"/>
  <c r="P2909" i="1"/>
  <c r="B2909" i="1" s="1"/>
  <c r="L2909" i="1"/>
  <c r="P2908" i="1"/>
  <c r="B2908" i="1" s="1"/>
  <c r="L2908" i="1"/>
  <c r="P2907" i="1"/>
  <c r="B2907" i="1" s="1"/>
  <c r="L2907" i="1"/>
  <c r="P2906" i="1"/>
  <c r="B2906" i="1" s="1"/>
  <c r="L2906" i="1"/>
  <c r="P2905" i="1"/>
  <c r="B2905" i="1" s="1"/>
  <c r="L2905" i="1"/>
  <c r="P2904" i="1"/>
  <c r="B2904" i="1" s="1"/>
  <c r="L2904" i="1"/>
  <c r="P2903" i="1"/>
  <c r="B2903" i="1" s="1"/>
  <c r="L2903" i="1"/>
  <c r="P2902" i="1"/>
  <c r="B2902" i="1" s="1"/>
  <c r="L2902" i="1"/>
  <c r="P2901" i="1"/>
  <c r="B2901" i="1" s="1"/>
  <c r="L2901" i="1"/>
  <c r="P2900" i="1"/>
  <c r="B2900" i="1" s="1"/>
  <c r="L2900" i="1"/>
  <c r="P2899" i="1"/>
  <c r="B2899" i="1" s="1"/>
  <c r="L2899" i="1"/>
  <c r="P2898" i="1"/>
  <c r="B2898" i="1" s="1"/>
  <c r="L2898" i="1"/>
  <c r="P2897" i="1"/>
  <c r="B2897" i="1" s="1"/>
  <c r="L2897" i="1"/>
  <c r="P2896" i="1"/>
  <c r="B2896" i="1" s="1"/>
  <c r="L2896" i="1"/>
  <c r="P2895" i="1"/>
  <c r="B2895" i="1" s="1"/>
  <c r="L2895" i="1"/>
  <c r="P2894" i="1"/>
  <c r="B2894" i="1" s="1"/>
  <c r="L2894" i="1"/>
  <c r="P2893" i="1"/>
  <c r="B2893" i="1" s="1"/>
  <c r="L2893" i="1"/>
  <c r="P2892" i="1"/>
  <c r="B2892" i="1" s="1"/>
  <c r="L2892" i="1"/>
  <c r="P2891" i="1"/>
  <c r="B2891" i="1" s="1"/>
  <c r="L2891" i="1"/>
  <c r="P2890" i="1"/>
  <c r="B2890" i="1" s="1"/>
  <c r="L2890" i="1"/>
  <c r="P2889" i="1"/>
  <c r="B2889" i="1" s="1"/>
  <c r="L2889" i="1"/>
  <c r="P2888" i="1"/>
  <c r="B2888" i="1" s="1"/>
  <c r="L2888" i="1"/>
  <c r="P2887" i="1"/>
  <c r="B2887" i="1" s="1"/>
  <c r="L2887" i="1"/>
  <c r="M3057" i="1"/>
  <c r="K3057" i="1"/>
  <c r="I3057" i="1"/>
  <c r="H3057" i="1"/>
  <c r="P2886" i="1"/>
  <c r="B2886" i="1" s="1"/>
  <c r="L2886" i="1"/>
  <c r="P2885" i="1"/>
  <c r="B2885" i="1" s="1"/>
  <c r="L2885" i="1"/>
  <c r="P2884" i="1"/>
  <c r="B2884" i="1" s="1"/>
  <c r="L2884" i="1"/>
  <c r="P2883" i="1"/>
  <c r="B2883" i="1" s="1"/>
  <c r="L2883" i="1"/>
  <c r="P2882" i="1"/>
  <c r="B2882" i="1" s="1"/>
  <c r="L2882" i="1"/>
  <c r="P2881" i="1"/>
  <c r="B2881" i="1" s="1"/>
  <c r="L2881" i="1"/>
  <c r="P2880" i="1"/>
  <c r="B2880" i="1" s="1"/>
  <c r="L2880" i="1"/>
  <c r="P6776" i="1"/>
  <c r="B6776" i="1" s="1"/>
  <c r="M6780" i="1"/>
  <c r="K6780" i="1"/>
  <c r="I6780" i="1"/>
  <c r="H6780" i="1"/>
  <c r="N6779" i="1"/>
  <c r="P6772" i="1"/>
  <c r="B6772" i="1" s="1"/>
  <c r="N6771" i="1"/>
  <c r="N6770" i="1"/>
  <c r="P1794" i="1"/>
  <c r="B1794" i="1" s="1"/>
  <c r="L1794" i="1"/>
  <c r="M5625" i="1"/>
  <c r="I5625" i="1"/>
  <c r="N5624" i="1"/>
  <c r="P5580" i="1"/>
  <c r="B5580" i="1" s="1"/>
  <c r="L5580" i="1"/>
  <c r="N5579" i="1"/>
  <c r="N5578" i="1"/>
  <c r="M1805" i="1"/>
  <c r="K1805" i="1"/>
  <c r="I1805" i="1"/>
  <c r="H1805" i="1"/>
  <c r="N1804" i="1"/>
  <c r="P1789" i="1"/>
  <c r="B1789" i="1" s="1"/>
  <c r="L1789" i="1"/>
  <c r="N1788" i="1"/>
  <c r="N1787" i="1"/>
  <c r="P3389" i="1"/>
  <c r="B3389" i="1" s="1"/>
  <c r="L3389" i="1"/>
  <c r="P3388" i="1"/>
  <c r="B3388" i="1" s="1"/>
  <c r="L3388" i="1"/>
  <c r="P3387" i="1"/>
  <c r="B3387" i="1" s="1"/>
  <c r="L3387" i="1"/>
  <c r="P3386" i="1"/>
  <c r="B3386" i="1" s="1"/>
  <c r="L3386" i="1"/>
  <c r="P3382" i="1"/>
  <c r="B3382" i="1" s="1"/>
  <c r="L3382" i="1"/>
  <c r="P3381" i="1"/>
  <c r="B3381" i="1" s="1"/>
  <c r="L3381" i="1"/>
  <c r="P3380" i="1"/>
  <c r="B3380" i="1" s="1"/>
  <c r="L3380" i="1"/>
  <c r="P3379" i="1"/>
  <c r="B3379" i="1" s="1"/>
  <c r="L3379" i="1"/>
  <c r="P3378" i="1"/>
  <c r="B3378" i="1" s="1"/>
  <c r="L3378" i="1"/>
  <c r="P3377" i="1"/>
  <c r="B3377" i="1" s="1"/>
  <c r="L3377" i="1"/>
  <c r="P3376" i="1"/>
  <c r="B3376" i="1" s="1"/>
  <c r="L3376" i="1"/>
  <c r="P3385" i="1"/>
  <c r="B3385" i="1" s="1"/>
  <c r="L3385" i="1"/>
  <c r="P3384" i="1"/>
  <c r="B3384" i="1" s="1"/>
  <c r="L3384" i="1"/>
  <c r="P3383" i="1"/>
  <c r="B3383" i="1" s="1"/>
  <c r="L3383" i="1"/>
  <c r="P3375" i="1"/>
  <c r="B3375" i="1" s="1"/>
  <c r="L3375" i="1"/>
  <c r="P3374" i="1"/>
  <c r="B3374" i="1" s="1"/>
  <c r="L3374" i="1"/>
  <c r="P3373" i="1"/>
  <c r="B3373" i="1" s="1"/>
  <c r="L3373" i="1"/>
  <c r="P3372" i="1"/>
  <c r="B3372" i="1" s="1"/>
  <c r="P3371" i="1"/>
  <c r="B3371" i="1" s="1"/>
  <c r="L3371" i="1"/>
  <c r="P3370" i="1"/>
  <c r="B3370" i="1" s="1"/>
  <c r="L3370" i="1"/>
  <c r="P3369" i="1"/>
  <c r="B3369" i="1" s="1"/>
  <c r="L3369" i="1"/>
  <c r="P3368" i="1"/>
  <c r="B3368" i="1" s="1"/>
  <c r="L3368" i="1"/>
  <c r="P3367" i="1"/>
  <c r="B3367" i="1" s="1"/>
  <c r="L3367" i="1"/>
  <c r="P3366" i="1"/>
  <c r="B3366" i="1" s="1"/>
  <c r="L3366" i="1"/>
  <c r="P3365" i="1"/>
  <c r="B3365" i="1" s="1"/>
  <c r="L3365" i="1"/>
  <c r="P3364" i="1"/>
  <c r="B3364" i="1" s="1"/>
  <c r="L3364" i="1"/>
  <c r="P3363" i="1"/>
  <c r="B3363" i="1" s="1"/>
  <c r="L3363" i="1"/>
  <c r="P3362" i="1"/>
  <c r="B3362" i="1" s="1"/>
  <c r="L3362" i="1"/>
  <c r="P3361" i="1"/>
  <c r="B3361" i="1" s="1"/>
  <c r="L3361" i="1"/>
  <c r="P3360" i="1"/>
  <c r="B3360" i="1" s="1"/>
  <c r="L3360" i="1"/>
  <c r="P3356" i="1"/>
  <c r="B3356" i="1" s="1"/>
  <c r="L3356" i="1"/>
  <c r="P3355" i="1"/>
  <c r="B3355" i="1" s="1"/>
  <c r="L3355" i="1"/>
  <c r="P3354" i="1"/>
  <c r="B3354" i="1" s="1"/>
  <c r="L3354" i="1"/>
  <c r="P3353" i="1"/>
  <c r="B3353" i="1" s="1"/>
  <c r="L3353" i="1"/>
  <c r="P3352" i="1"/>
  <c r="B3352" i="1" s="1"/>
  <c r="L3352" i="1"/>
  <c r="P3351" i="1"/>
  <c r="B3351" i="1" s="1"/>
  <c r="L3351" i="1"/>
  <c r="P3350" i="1"/>
  <c r="B3350" i="1" s="1"/>
  <c r="L3350" i="1"/>
  <c r="P3359" i="1"/>
  <c r="B3359" i="1" s="1"/>
  <c r="L3359" i="1"/>
  <c r="P3358" i="1"/>
  <c r="B3358" i="1" s="1"/>
  <c r="L3358" i="1"/>
  <c r="P3357" i="1"/>
  <c r="B3357" i="1" s="1"/>
  <c r="L3357" i="1"/>
  <c r="P3349" i="1"/>
  <c r="B3349" i="1" s="1"/>
  <c r="L3349" i="1"/>
  <c r="P3348" i="1"/>
  <c r="B3348" i="1" s="1"/>
  <c r="L3348" i="1"/>
  <c r="P3347" i="1"/>
  <c r="B3347" i="1" s="1"/>
  <c r="L3347" i="1"/>
  <c r="P3346" i="1"/>
  <c r="B3346" i="1" s="1"/>
  <c r="L3346" i="1"/>
  <c r="P3345" i="1"/>
  <c r="B3345" i="1" s="1"/>
  <c r="L3345" i="1"/>
  <c r="P3344" i="1"/>
  <c r="B3344" i="1" s="1"/>
  <c r="L3344" i="1"/>
  <c r="P3343" i="1"/>
  <c r="B3343" i="1" s="1"/>
  <c r="L3343" i="1"/>
  <c r="P3338" i="1"/>
  <c r="B3338" i="1" s="1"/>
  <c r="L3338" i="1"/>
  <c r="P3337" i="1"/>
  <c r="B3337" i="1" s="1"/>
  <c r="L3337" i="1"/>
  <c r="P3336" i="1"/>
  <c r="B3336" i="1" s="1"/>
  <c r="L3336" i="1"/>
  <c r="P3335" i="1"/>
  <c r="B3335" i="1" s="1"/>
  <c r="L3335" i="1"/>
  <c r="P3342" i="1"/>
  <c r="B3342" i="1" s="1"/>
  <c r="L3342" i="1"/>
  <c r="P3341" i="1"/>
  <c r="B3341" i="1" s="1"/>
  <c r="L3341" i="1"/>
  <c r="P3340" i="1"/>
  <c r="B3340" i="1" s="1"/>
  <c r="L3340" i="1"/>
  <c r="P3339" i="1"/>
  <c r="B3339" i="1" s="1"/>
  <c r="L3339" i="1"/>
  <c r="P3334" i="1"/>
  <c r="B3334" i="1" s="1"/>
  <c r="L3334" i="1"/>
  <c r="P3333" i="1"/>
  <c r="B3333" i="1" s="1"/>
  <c r="L3333" i="1"/>
  <c r="P3332" i="1"/>
  <c r="B3332" i="1" s="1"/>
  <c r="L3332" i="1"/>
  <c r="P3331" i="1"/>
  <c r="B3331" i="1" s="1"/>
  <c r="L3331" i="1"/>
  <c r="P3330" i="1"/>
  <c r="B3330" i="1" s="1"/>
  <c r="L3330" i="1"/>
  <c r="P3329" i="1"/>
  <c r="B3329" i="1" s="1"/>
  <c r="L3329" i="1"/>
  <c r="P3328" i="1"/>
  <c r="B3328" i="1" s="1"/>
  <c r="L3328" i="1"/>
  <c r="P3327" i="1"/>
  <c r="B3327" i="1" s="1"/>
  <c r="L3327" i="1"/>
  <c r="P3326" i="1"/>
  <c r="B3326" i="1" s="1"/>
  <c r="L3326" i="1"/>
  <c r="P3325" i="1"/>
  <c r="B3325" i="1" s="1"/>
  <c r="L3325" i="1"/>
  <c r="P3324" i="1"/>
  <c r="B3324" i="1" s="1"/>
  <c r="L3324" i="1"/>
  <c r="P3323" i="1"/>
  <c r="B3323" i="1" s="1"/>
  <c r="L3323" i="1"/>
  <c r="P3322" i="1"/>
  <c r="B3322" i="1" s="1"/>
  <c r="L3322" i="1"/>
  <c r="P3321" i="1"/>
  <c r="B3321" i="1" s="1"/>
  <c r="L3321" i="1"/>
  <c r="P3320" i="1"/>
  <c r="B3320" i="1" s="1"/>
  <c r="L3320" i="1"/>
  <c r="P3319" i="1"/>
  <c r="B3319" i="1" s="1"/>
  <c r="L3319" i="1"/>
  <c r="P3318" i="1"/>
  <c r="B3318" i="1" s="1"/>
  <c r="L3318" i="1"/>
  <c r="P3317" i="1"/>
  <c r="B3317" i="1" s="1"/>
  <c r="L3317" i="1"/>
  <c r="P3316" i="1"/>
  <c r="B3316" i="1" s="1"/>
  <c r="L3316" i="1"/>
  <c r="C2" i="4"/>
  <c r="D2" i="4" s="1"/>
  <c r="E2" i="4" s="1"/>
  <c r="F2" i="4" s="1"/>
  <c r="G2" i="4" s="1"/>
  <c r="H2" i="4" s="1"/>
  <c r="I2" i="4" s="1"/>
  <c r="J2" i="4" s="1"/>
  <c r="K2" i="4" s="1"/>
  <c r="L2" i="4" s="1"/>
  <c r="M2" i="4" s="1"/>
  <c r="N2" i="4" s="1"/>
  <c r="O2" i="4" s="1"/>
  <c r="P2" i="4" s="1"/>
  <c r="Q2" i="4" s="1"/>
  <c r="B36" i="2"/>
  <c r="L150" i="1"/>
  <c r="P150" i="1"/>
  <c r="B150" i="1" s="1"/>
  <c r="L152" i="1"/>
  <c r="P152" i="1"/>
  <c r="B152" i="1" s="1"/>
  <c r="L153" i="1"/>
  <c r="P153" i="1"/>
  <c r="B153" i="1" s="1"/>
  <c r="L154" i="1"/>
  <c r="P154" i="1"/>
  <c r="B154" i="1" s="1"/>
  <c r="L155" i="1"/>
  <c r="P155" i="1"/>
  <c r="B155" i="1" s="1"/>
  <c r="L156" i="1"/>
  <c r="P156" i="1"/>
  <c r="B156" i="1" s="1"/>
  <c r="L157" i="1"/>
  <c r="P157" i="1"/>
  <c r="B157" i="1" s="1"/>
  <c r="L158" i="1"/>
  <c r="P158" i="1"/>
  <c r="B158" i="1" s="1"/>
  <c r="L159" i="1"/>
  <c r="P159" i="1"/>
  <c r="B159" i="1" s="1"/>
  <c r="L160" i="1"/>
  <c r="P160" i="1"/>
  <c r="B160" i="1" s="1"/>
  <c r="L161" i="1"/>
  <c r="P161" i="1"/>
  <c r="B161" i="1" s="1"/>
  <c r="L162" i="1"/>
  <c r="P162" i="1"/>
  <c r="B162" i="1" s="1"/>
  <c r="L163" i="1"/>
  <c r="P163" i="1"/>
  <c r="B163" i="1" s="1"/>
  <c r="L164" i="1"/>
  <c r="P164" i="1"/>
  <c r="B164" i="1" s="1"/>
  <c r="L165" i="1"/>
  <c r="P165" i="1"/>
  <c r="B165" i="1" s="1"/>
  <c r="L166" i="1"/>
  <c r="P166" i="1"/>
  <c r="B166" i="1" s="1"/>
  <c r="L167" i="1"/>
  <c r="P167" i="1"/>
  <c r="B167" i="1" s="1"/>
  <c r="L168" i="1"/>
  <c r="P168" i="1"/>
  <c r="B168" i="1" s="1"/>
  <c r="L169" i="1"/>
  <c r="P169" i="1"/>
  <c r="B169" i="1" s="1"/>
  <c r="L170" i="1"/>
  <c r="P170" i="1"/>
  <c r="B170" i="1" s="1"/>
  <c r="L171" i="1"/>
  <c r="P171" i="1"/>
  <c r="B171" i="1" s="1"/>
  <c r="L172" i="1"/>
  <c r="P172" i="1"/>
  <c r="B172" i="1" s="1"/>
  <c r="L173" i="1"/>
  <c r="P173" i="1"/>
  <c r="B173" i="1" s="1"/>
  <c r="L174" i="1"/>
  <c r="P174" i="1"/>
  <c r="B174" i="1" s="1"/>
  <c r="L175" i="1"/>
  <c r="P175" i="1"/>
  <c r="B175" i="1" s="1"/>
  <c r="L176" i="1"/>
  <c r="P176" i="1"/>
  <c r="B176" i="1" s="1"/>
  <c r="L177" i="1"/>
  <c r="P177" i="1"/>
  <c r="B177" i="1" s="1"/>
  <c r="L178" i="1"/>
  <c r="P178" i="1"/>
  <c r="B178" i="1" s="1"/>
  <c r="L179" i="1"/>
  <c r="P179" i="1"/>
  <c r="B179" i="1" s="1"/>
  <c r="L180" i="1"/>
  <c r="P180" i="1"/>
  <c r="B180" i="1" s="1"/>
  <c r="L181" i="1"/>
  <c r="P181" i="1"/>
  <c r="B181" i="1" s="1"/>
  <c r="L182" i="1"/>
  <c r="P182" i="1"/>
  <c r="B182" i="1" s="1"/>
  <c r="L183" i="1"/>
  <c r="P183" i="1"/>
  <c r="B183" i="1" s="1"/>
  <c r="L184" i="1"/>
  <c r="P184" i="1"/>
  <c r="B184" i="1" s="1"/>
  <c r="L185" i="1"/>
  <c r="P185" i="1"/>
  <c r="B185" i="1" s="1"/>
  <c r="L186" i="1"/>
  <c r="P186" i="1"/>
  <c r="B186" i="1" s="1"/>
  <c r="L187" i="1"/>
  <c r="P187" i="1"/>
  <c r="B187" i="1" s="1"/>
  <c r="L188" i="1"/>
  <c r="P188" i="1"/>
  <c r="B188" i="1" s="1"/>
  <c r="L189" i="1"/>
  <c r="P189" i="1"/>
  <c r="B189" i="1" s="1"/>
  <c r="L190" i="1"/>
  <c r="P190" i="1"/>
  <c r="B190" i="1" s="1"/>
  <c r="L191" i="1"/>
  <c r="P191" i="1"/>
  <c r="B191" i="1" s="1"/>
  <c r="L192" i="1"/>
  <c r="P192" i="1"/>
  <c r="B192" i="1" s="1"/>
  <c r="L193" i="1"/>
  <c r="P193" i="1"/>
  <c r="B193" i="1" s="1"/>
  <c r="L194" i="1"/>
  <c r="P194" i="1"/>
  <c r="B194" i="1" s="1"/>
  <c r="L195" i="1"/>
  <c r="P195" i="1"/>
  <c r="B195" i="1" s="1"/>
  <c r="L196" i="1"/>
  <c r="P196" i="1"/>
  <c r="B196" i="1" s="1"/>
  <c r="L197" i="1"/>
  <c r="P197" i="1"/>
  <c r="B197" i="1" s="1"/>
  <c r="L198" i="1"/>
  <c r="P198" i="1"/>
  <c r="B198" i="1" s="1"/>
  <c r="L199" i="1"/>
  <c r="P199" i="1"/>
  <c r="B199" i="1" s="1"/>
  <c r="L200" i="1"/>
  <c r="P200" i="1"/>
  <c r="B200" i="1" s="1"/>
  <c r="L201" i="1"/>
  <c r="P201" i="1"/>
  <c r="B201" i="1" s="1"/>
  <c r="L202" i="1"/>
  <c r="P202" i="1"/>
  <c r="B202" i="1" s="1"/>
  <c r="L203" i="1"/>
  <c r="P203" i="1"/>
  <c r="B203" i="1" s="1"/>
  <c r="L204" i="1"/>
  <c r="P204" i="1"/>
  <c r="B204" i="1" s="1"/>
  <c r="L205" i="1"/>
  <c r="P205" i="1"/>
  <c r="B205" i="1" s="1"/>
  <c r="L206" i="1"/>
  <c r="P206" i="1"/>
  <c r="B206" i="1" s="1"/>
  <c r="L207" i="1"/>
  <c r="P207" i="1"/>
  <c r="B207" i="1" s="1"/>
  <c r="L208" i="1"/>
  <c r="P208" i="1"/>
  <c r="B208" i="1" s="1"/>
  <c r="L209" i="1"/>
  <c r="P209" i="1"/>
  <c r="B209" i="1" s="1"/>
  <c r="L210" i="1"/>
  <c r="P210" i="1"/>
  <c r="B210" i="1" s="1"/>
  <c r="L211" i="1"/>
  <c r="P211" i="1"/>
  <c r="B211" i="1" s="1"/>
  <c r="L212" i="1"/>
  <c r="P212" i="1"/>
  <c r="B212" i="1" s="1"/>
  <c r="L213" i="1"/>
  <c r="P213" i="1"/>
  <c r="B213" i="1" s="1"/>
  <c r="L214" i="1"/>
  <c r="P214" i="1"/>
  <c r="B214" i="1" s="1"/>
  <c r="L215" i="1"/>
  <c r="P215" i="1"/>
  <c r="B215" i="1" s="1"/>
  <c r="L216" i="1"/>
  <c r="P216" i="1"/>
  <c r="B216" i="1" s="1"/>
  <c r="L217" i="1"/>
  <c r="P217" i="1"/>
  <c r="B217" i="1" s="1"/>
  <c r="L218" i="1"/>
  <c r="P218" i="1"/>
  <c r="B218" i="1" s="1"/>
  <c r="L219" i="1"/>
  <c r="P219" i="1"/>
  <c r="B219" i="1" s="1"/>
  <c r="L220" i="1"/>
  <c r="P220" i="1"/>
  <c r="B220" i="1" s="1"/>
  <c r="L221" i="1"/>
  <c r="P221" i="1"/>
  <c r="B221" i="1" s="1"/>
  <c r="L222" i="1"/>
  <c r="P222" i="1"/>
  <c r="B222" i="1" s="1"/>
  <c r="L223" i="1"/>
  <c r="P223" i="1"/>
  <c r="B223" i="1" s="1"/>
  <c r="L224" i="1"/>
  <c r="P224" i="1"/>
  <c r="B224" i="1" s="1"/>
  <c r="L225" i="1"/>
  <c r="P225" i="1"/>
  <c r="B225" i="1" s="1"/>
  <c r="L226" i="1"/>
  <c r="P226" i="1"/>
  <c r="B226" i="1" s="1"/>
  <c r="L227" i="1"/>
  <c r="P227" i="1"/>
  <c r="B227" i="1" s="1"/>
  <c r="L228" i="1"/>
  <c r="P228" i="1"/>
  <c r="B228" i="1" s="1"/>
  <c r="L229" i="1"/>
  <c r="P229" i="1"/>
  <c r="B229" i="1" s="1"/>
  <c r="L230" i="1"/>
  <c r="P230" i="1"/>
  <c r="B230" i="1" s="1"/>
  <c r="L231" i="1"/>
  <c r="P231" i="1"/>
  <c r="B231" i="1" s="1"/>
  <c r="L232" i="1"/>
  <c r="P232" i="1"/>
  <c r="B232" i="1" s="1"/>
  <c r="L236" i="1"/>
  <c r="P236" i="1"/>
  <c r="B236" i="1" s="1"/>
  <c r="N237" i="1"/>
  <c r="H238" i="1"/>
  <c r="I238" i="1"/>
  <c r="K238" i="1"/>
  <c r="M238" i="1"/>
  <c r="N403" i="1"/>
  <c r="N404" i="1"/>
  <c r="L405" i="1"/>
  <c r="P405" i="1"/>
  <c r="B405" i="1" s="1"/>
  <c r="L406" i="1"/>
  <c r="P406" i="1"/>
  <c r="B406" i="1" s="1"/>
  <c r="L407" i="1"/>
  <c r="P407" i="1"/>
  <c r="B407" i="1" s="1"/>
  <c r="L408" i="1"/>
  <c r="P408" i="1"/>
  <c r="B408" i="1" s="1"/>
  <c r="L409" i="1"/>
  <c r="P409" i="1"/>
  <c r="B409" i="1" s="1"/>
  <c r="L615" i="1"/>
  <c r="P615" i="1"/>
  <c r="B615" i="1" s="1"/>
  <c r="N624" i="1"/>
  <c r="N994" i="1"/>
  <c r="N995" i="1"/>
  <c r="L996" i="1"/>
  <c r="P996" i="1"/>
  <c r="B996" i="1" s="1"/>
  <c r="L997" i="1"/>
  <c r="P997" i="1"/>
  <c r="B997" i="1" s="1"/>
  <c r="L998" i="1"/>
  <c r="P998" i="1"/>
  <c r="B998" i="1" s="1"/>
  <c r="L999" i="1"/>
  <c r="P999" i="1"/>
  <c r="B999" i="1" s="1"/>
  <c r="L1000" i="1"/>
  <c r="P1000" i="1"/>
  <c r="B1000" i="1" s="1"/>
  <c r="L1001" i="1"/>
  <c r="P1001" i="1"/>
  <c r="B1001" i="1" s="1"/>
  <c r="L1002" i="1"/>
  <c r="P1002" i="1"/>
  <c r="B1002" i="1" s="1"/>
  <c r="L1003" i="1"/>
  <c r="P1003" i="1"/>
  <c r="B1003" i="1" s="1"/>
  <c r="L1004" i="1"/>
  <c r="P1004" i="1"/>
  <c r="B1004" i="1" s="1"/>
  <c r="L1005" i="1"/>
  <c r="P1005" i="1"/>
  <c r="B1005" i="1" s="1"/>
  <c r="L1006" i="1"/>
  <c r="P1006" i="1"/>
  <c r="B1006" i="1" s="1"/>
  <c r="L1007" i="1"/>
  <c r="P1007" i="1"/>
  <c r="B1007" i="1" s="1"/>
  <c r="L1008" i="1"/>
  <c r="P1008" i="1"/>
  <c r="B1008" i="1" s="1"/>
  <c r="L1009" i="1"/>
  <c r="P1009" i="1"/>
  <c r="B1009" i="1" s="1"/>
  <c r="L1010" i="1"/>
  <c r="P1010" i="1"/>
  <c r="B1010" i="1" s="1"/>
  <c r="L1011" i="1"/>
  <c r="P1011" i="1"/>
  <c r="B1011" i="1" s="1"/>
  <c r="L1012" i="1"/>
  <c r="P1012" i="1"/>
  <c r="B1012" i="1" s="1"/>
  <c r="L1013" i="1"/>
  <c r="P1013" i="1"/>
  <c r="B1013" i="1" s="1"/>
  <c r="L1014" i="1"/>
  <c r="P1014" i="1"/>
  <c r="B1014" i="1" s="1"/>
  <c r="L1015" i="1"/>
  <c r="P1015" i="1"/>
  <c r="B1015" i="1" s="1"/>
  <c r="L1016" i="1"/>
  <c r="P1016" i="1"/>
  <c r="B1016" i="1" s="1"/>
  <c r="L1017" i="1"/>
  <c r="P1017" i="1"/>
  <c r="B1017" i="1" s="1"/>
  <c r="L1018" i="1"/>
  <c r="P1018" i="1"/>
  <c r="B1018" i="1" s="1"/>
  <c r="L1019" i="1"/>
  <c r="P1019" i="1"/>
  <c r="B1019" i="1" s="1"/>
  <c r="L1020" i="1"/>
  <c r="P1020" i="1"/>
  <c r="B1020" i="1" s="1"/>
  <c r="L1021" i="1"/>
  <c r="P1021" i="1"/>
  <c r="B1021" i="1" s="1"/>
  <c r="L1022" i="1"/>
  <c r="P1022" i="1"/>
  <c r="B1022" i="1" s="1"/>
  <c r="L1023" i="1"/>
  <c r="P1023" i="1"/>
  <c r="B1023" i="1" s="1"/>
  <c r="L1024" i="1"/>
  <c r="P1024" i="1"/>
  <c r="B1024" i="1" s="1"/>
  <c r="L1025" i="1"/>
  <c r="P1025" i="1"/>
  <c r="B1025" i="1" s="1"/>
  <c r="L1026" i="1"/>
  <c r="P1026" i="1"/>
  <c r="B1026" i="1" s="1"/>
  <c r="L1027" i="1"/>
  <c r="P1027" i="1"/>
  <c r="B1027" i="1" s="1"/>
  <c r="L1028" i="1"/>
  <c r="P1028" i="1"/>
  <c r="B1028" i="1" s="1"/>
  <c r="L1029" i="1"/>
  <c r="P1029" i="1"/>
  <c r="B1029" i="1" s="1"/>
  <c r="L1030" i="1"/>
  <c r="P1030" i="1"/>
  <c r="B1030" i="1" s="1"/>
  <c r="L1031" i="1"/>
  <c r="P1031" i="1"/>
  <c r="B1031" i="1" s="1"/>
  <c r="L1032" i="1"/>
  <c r="P1032" i="1"/>
  <c r="B1032" i="1" s="1"/>
  <c r="L1033" i="1"/>
  <c r="P1033" i="1"/>
  <c r="B1033" i="1" s="1"/>
  <c r="L1034" i="1"/>
  <c r="P1034" i="1"/>
  <c r="B1034" i="1" s="1"/>
  <c r="L1035" i="1"/>
  <c r="P1035" i="1"/>
  <c r="B1035" i="1" s="1"/>
  <c r="L1036" i="1"/>
  <c r="P1036" i="1"/>
  <c r="B1036" i="1" s="1"/>
  <c r="L1037" i="1"/>
  <c r="P1037" i="1"/>
  <c r="B1037" i="1" s="1"/>
  <c r="L1038" i="1"/>
  <c r="P1038" i="1"/>
  <c r="B1038" i="1" s="1"/>
  <c r="L1039" i="1"/>
  <c r="P1039" i="1"/>
  <c r="B1039" i="1" s="1"/>
  <c r="L1040" i="1"/>
  <c r="P1040" i="1"/>
  <c r="B1040" i="1" s="1"/>
  <c r="L1041" i="1"/>
  <c r="P1041" i="1"/>
  <c r="B1041" i="1" s="1"/>
  <c r="L1042" i="1"/>
  <c r="P1042" i="1"/>
  <c r="B1042" i="1" s="1"/>
  <c r="L1043" i="1"/>
  <c r="P1043" i="1"/>
  <c r="B1043" i="1" s="1"/>
  <c r="L1044" i="1"/>
  <c r="P1044" i="1"/>
  <c r="B1044" i="1" s="1"/>
  <c r="L1045" i="1"/>
  <c r="P1045" i="1"/>
  <c r="B1045" i="1" s="1"/>
  <c r="L1046" i="1"/>
  <c r="P1046" i="1"/>
  <c r="B1046" i="1" s="1"/>
  <c r="L1047" i="1"/>
  <c r="P1047" i="1"/>
  <c r="B1047" i="1" s="1"/>
  <c r="L1048" i="1"/>
  <c r="P1048" i="1"/>
  <c r="B1048" i="1" s="1"/>
  <c r="L1049" i="1"/>
  <c r="P1049" i="1"/>
  <c r="B1049" i="1" s="1"/>
  <c r="L1050" i="1"/>
  <c r="P1050" i="1"/>
  <c r="B1050" i="1" s="1"/>
  <c r="L1051" i="1"/>
  <c r="P1051" i="1"/>
  <c r="B1051" i="1" s="1"/>
  <c r="L1052" i="1"/>
  <c r="P1052" i="1"/>
  <c r="B1052" i="1" s="1"/>
  <c r="L1053" i="1"/>
  <c r="P1053" i="1"/>
  <c r="B1053" i="1" s="1"/>
  <c r="L1054" i="1"/>
  <c r="P1054" i="1"/>
  <c r="B1054" i="1" s="1"/>
  <c r="L1055" i="1"/>
  <c r="P1055" i="1"/>
  <c r="B1055" i="1" s="1"/>
  <c r="L1056" i="1"/>
  <c r="P1056" i="1"/>
  <c r="B1056" i="1" s="1"/>
  <c r="L1057" i="1"/>
  <c r="P1057" i="1"/>
  <c r="B1057" i="1" s="1"/>
  <c r="L1058" i="1"/>
  <c r="P1058" i="1"/>
  <c r="B1058" i="1" s="1"/>
  <c r="L1059" i="1"/>
  <c r="P1059" i="1"/>
  <c r="B1059" i="1" s="1"/>
  <c r="L1060" i="1"/>
  <c r="P1060" i="1"/>
  <c r="B1060" i="1" s="1"/>
  <c r="L1061" i="1"/>
  <c r="P1061" i="1"/>
  <c r="B1061" i="1" s="1"/>
  <c r="L1062" i="1"/>
  <c r="P1062" i="1"/>
  <c r="B1062" i="1" s="1"/>
  <c r="L1063" i="1"/>
  <c r="P1063" i="1"/>
  <c r="B1063" i="1" s="1"/>
  <c r="L1064" i="1"/>
  <c r="P1064" i="1"/>
  <c r="B1064" i="1" s="1"/>
  <c r="L1065" i="1"/>
  <c r="P1065" i="1"/>
  <c r="B1065" i="1" s="1"/>
  <c r="L1066" i="1"/>
  <c r="P1066" i="1"/>
  <c r="B1066" i="1" s="1"/>
  <c r="L1067" i="1"/>
  <c r="P1067" i="1"/>
  <c r="B1067" i="1" s="1"/>
  <c r="L1068" i="1"/>
  <c r="P1068" i="1"/>
  <c r="B1068" i="1" s="1"/>
  <c r="L1069" i="1"/>
  <c r="P1069" i="1"/>
  <c r="B1069" i="1" s="1"/>
  <c r="L1070" i="1"/>
  <c r="P1070" i="1"/>
  <c r="B1070" i="1" s="1"/>
  <c r="L1071" i="1"/>
  <c r="P1071" i="1"/>
  <c r="B1071" i="1" s="1"/>
  <c r="L1072" i="1"/>
  <c r="P1072" i="1"/>
  <c r="B1072" i="1" s="1"/>
  <c r="L1073" i="1"/>
  <c r="P1073" i="1"/>
  <c r="B1073" i="1" s="1"/>
  <c r="L1074" i="1"/>
  <c r="P1074" i="1"/>
  <c r="B1074" i="1" s="1"/>
  <c r="L1075" i="1"/>
  <c r="P1075" i="1"/>
  <c r="B1075" i="1" s="1"/>
  <c r="L1076" i="1"/>
  <c r="P1076" i="1"/>
  <c r="B1076" i="1" s="1"/>
  <c r="L1077" i="1"/>
  <c r="P1077" i="1"/>
  <c r="B1077" i="1" s="1"/>
  <c r="L1078" i="1"/>
  <c r="P1078" i="1"/>
  <c r="B1078" i="1" s="1"/>
  <c r="L1079" i="1"/>
  <c r="P1079" i="1"/>
  <c r="B1079" i="1" s="1"/>
  <c r="L1080" i="1"/>
  <c r="P1080" i="1"/>
  <c r="B1080" i="1" s="1"/>
  <c r="L1081" i="1"/>
  <c r="P1081" i="1"/>
  <c r="B1081" i="1" s="1"/>
  <c r="L1082" i="1"/>
  <c r="P1082" i="1"/>
  <c r="B1082" i="1" s="1"/>
  <c r="L1083" i="1"/>
  <c r="P1083" i="1"/>
  <c r="B1083" i="1" s="1"/>
  <c r="L1084" i="1"/>
  <c r="P1084" i="1"/>
  <c r="B1084" i="1" s="1"/>
  <c r="L1085" i="1"/>
  <c r="P1085" i="1"/>
  <c r="B1085" i="1" s="1"/>
  <c r="L1086" i="1"/>
  <c r="P1086" i="1"/>
  <c r="B1086" i="1" s="1"/>
  <c r="L1087" i="1"/>
  <c r="P1087" i="1"/>
  <c r="B1087" i="1" s="1"/>
  <c r="L1088" i="1"/>
  <c r="P1088" i="1"/>
  <c r="B1088" i="1" s="1"/>
  <c r="L1089" i="1"/>
  <c r="P1089" i="1"/>
  <c r="B1089" i="1" s="1"/>
  <c r="L1090" i="1"/>
  <c r="P1090" i="1"/>
  <c r="B1090" i="1" s="1"/>
  <c r="L1091" i="1"/>
  <c r="P1091" i="1"/>
  <c r="B1091" i="1" s="1"/>
  <c r="L1092" i="1"/>
  <c r="P1092" i="1"/>
  <c r="B1092" i="1" s="1"/>
  <c r="L1093" i="1"/>
  <c r="P1093" i="1"/>
  <c r="B1093" i="1" s="1"/>
  <c r="L1094" i="1"/>
  <c r="P1094" i="1"/>
  <c r="B1094" i="1" s="1"/>
  <c r="L1095" i="1"/>
  <c r="P1095" i="1"/>
  <c r="B1095" i="1" s="1"/>
  <c r="L1096" i="1"/>
  <c r="P1096" i="1"/>
  <c r="B1096" i="1" s="1"/>
  <c r="L1097" i="1"/>
  <c r="P1097" i="1"/>
  <c r="B1097" i="1" s="1"/>
  <c r="L1098" i="1"/>
  <c r="P1098" i="1"/>
  <c r="B1098" i="1" s="1"/>
  <c r="L1099" i="1"/>
  <c r="P1099" i="1"/>
  <c r="B1099" i="1" s="1"/>
  <c r="L1100" i="1"/>
  <c r="P1100" i="1"/>
  <c r="B1100" i="1" s="1"/>
  <c r="L1101" i="1"/>
  <c r="P1101" i="1"/>
  <c r="B1101" i="1" s="1"/>
  <c r="P1102" i="1"/>
  <c r="B1102" i="1" s="1"/>
  <c r="L1103" i="1"/>
  <c r="P1103" i="1"/>
  <c r="B1103" i="1" s="1"/>
  <c r="L1104" i="1"/>
  <c r="P1104" i="1"/>
  <c r="B1104" i="1" s="1"/>
  <c r="L1105" i="1"/>
  <c r="P1105" i="1"/>
  <c r="B1105" i="1" s="1"/>
  <c r="L1106" i="1"/>
  <c r="P1106" i="1"/>
  <c r="B1106" i="1" s="1"/>
  <c r="L1107" i="1"/>
  <c r="P1107" i="1"/>
  <c r="B1107" i="1" s="1"/>
  <c r="L1108" i="1"/>
  <c r="P1108" i="1"/>
  <c r="B1108" i="1" s="1"/>
  <c r="L1109" i="1"/>
  <c r="P1109" i="1"/>
  <c r="B1109" i="1" s="1"/>
  <c r="L1110" i="1"/>
  <c r="P1110" i="1"/>
  <c r="B1110" i="1" s="1"/>
  <c r="L1111" i="1"/>
  <c r="P1111" i="1"/>
  <c r="B1111" i="1" s="1"/>
  <c r="L1112" i="1"/>
  <c r="P1112" i="1"/>
  <c r="B1112" i="1" s="1"/>
  <c r="L1113" i="1"/>
  <c r="P1113" i="1"/>
  <c r="B1113" i="1" s="1"/>
  <c r="L1114" i="1"/>
  <c r="P1114" i="1"/>
  <c r="B1114" i="1" s="1"/>
  <c r="L1115" i="1"/>
  <c r="P1115" i="1"/>
  <c r="B1115" i="1" s="1"/>
  <c r="L1116" i="1"/>
  <c r="P1116" i="1"/>
  <c r="B1116" i="1" s="1"/>
  <c r="L1117" i="1"/>
  <c r="P1117" i="1"/>
  <c r="B1117" i="1" s="1"/>
  <c r="L1118" i="1"/>
  <c r="P1118" i="1"/>
  <c r="B1118" i="1" s="1"/>
  <c r="L1119" i="1"/>
  <c r="P1119" i="1"/>
  <c r="B1119" i="1" s="1"/>
  <c r="L1120" i="1"/>
  <c r="P1120" i="1"/>
  <c r="B1120" i="1" s="1"/>
  <c r="P1121" i="1"/>
  <c r="B1121" i="1" s="1"/>
  <c r="L1122" i="1"/>
  <c r="P1122" i="1"/>
  <c r="B1122" i="1" s="1"/>
  <c r="L1123" i="1"/>
  <c r="P1123" i="1"/>
  <c r="B1123" i="1" s="1"/>
  <c r="L1124" i="1"/>
  <c r="P1124" i="1"/>
  <c r="B1124" i="1" s="1"/>
  <c r="L1125" i="1"/>
  <c r="P1125" i="1"/>
  <c r="B1125" i="1" s="1"/>
  <c r="L1126" i="1"/>
  <c r="P1126" i="1"/>
  <c r="B1126" i="1" s="1"/>
  <c r="L1127" i="1"/>
  <c r="P1127" i="1"/>
  <c r="B1127" i="1" s="1"/>
  <c r="L1128" i="1"/>
  <c r="P1128" i="1"/>
  <c r="B1128" i="1" s="1"/>
  <c r="L1129" i="1"/>
  <c r="P1129" i="1"/>
  <c r="B1129" i="1" s="1"/>
  <c r="L1130" i="1"/>
  <c r="P1130" i="1"/>
  <c r="B1130" i="1" s="1"/>
  <c r="L1131" i="1"/>
  <c r="P1131" i="1"/>
  <c r="B1131" i="1" s="1"/>
  <c r="L1132" i="1"/>
  <c r="P1132" i="1"/>
  <c r="B1132" i="1" s="1"/>
  <c r="L1133" i="1"/>
  <c r="P1133" i="1"/>
  <c r="B1133" i="1" s="1"/>
  <c r="L1134" i="1"/>
  <c r="P1134" i="1"/>
  <c r="B1134" i="1" s="1"/>
  <c r="L1135" i="1"/>
  <c r="P1135" i="1"/>
  <c r="B1135" i="1" s="1"/>
  <c r="L1136" i="1"/>
  <c r="P1136" i="1"/>
  <c r="B1136" i="1" s="1"/>
  <c r="L1137" i="1"/>
  <c r="P1137" i="1"/>
  <c r="B1137" i="1" s="1"/>
  <c r="N1138" i="1"/>
  <c r="H1139" i="1"/>
  <c r="I1139" i="1"/>
  <c r="K1139" i="1"/>
  <c r="M1139" i="1"/>
  <c r="N1358" i="1"/>
  <c r="N1359" i="1"/>
  <c r="L1360" i="1"/>
  <c r="P1360" i="1"/>
  <c r="B1360" i="1" s="1"/>
  <c r="L1363" i="1"/>
  <c r="P1363" i="1"/>
  <c r="B1363" i="1" s="1"/>
  <c r="L1364" i="1"/>
  <c r="P1364" i="1"/>
  <c r="B1364" i="1" s="1"/>
  <c r="L1365" i="1"/>
  <c r="P1365" i="1"/>
  <c r="B1365" i="1" s="1"/>
  <c r="L1366" i="1"/>
  <c r="P1366" i="1"/>
  <c r="B1366" i="1" s="1"/>
  <c r="L1367" i="1"/>
  <c r="P1367" i="1"/>
  <c r="B1367" i="1" s="1"/>
  <c r="L1368" i="1"/>
  <c r="P1368" i="1"/>
  <c r="B1368" i="1" s="1"/>
  <c r="L1369" i="1"/>
  <c r="P1369" i="1"/>
  <c r="B1369" i="1" s="1"/>
  <c r="L1370" i="1"/>
  <c r="P1370" i="1"/>
  <c r="B1370" i="1" s="1"/>
  <c r="L1371" i="1"/>
  <c r="P1371" i="1"/>
  <c r="B1371" i="1" s="1"/>
  <c r="L1372" i="1"/>
  <c r="P1372" i="1"/>
  <c r="B1372" i="1" s="1"/>
  <c r="L1373" i="1"/>
  <c r="P1373" i="1"/>
  <c r="B1373" i="1" s="1"/>
  <c r="L1374" i="1"/>
  <c r="P1374" i="1"/>
  <c r="B1374" i="1" s="1"/>
  <c r="L1375" i="1"/>
  <c r="P1375" i="1"/>
  <c r="B1375" i="1" s="1"/>
  <c r="L1376" i="1"/>
  <c r="P1376" i="1"/>
  <c r="B1376" i="1" s="1"/>
  <c r="N1377" i="1"/>
  <c r="H1378" i="1"/>
  <c r="I1378" i="1"/>
  <c r="K1378" i="1"/>
  <c r="M1378" i="1"/>
  <c r="N1496" i="1"/>
  <c r="N1497" i="1"/>
  <c r="P1498" i="1"/>
  <c r="B1498" i="1" s="1"/>
  <c r="N1510" i="1"/>
  <c r="I1511" i="1"/>
  <c r="K1511" i="1"/>
  <c r="M1511" i="1"/>
  <c r="N2331" i="1"/>
  <c r="N2332" i="1"/>
  <c r="L2333" i="1"/>
  <c r="P2333" i="1"/>
  <c r="B2333" i="1" s="1"/>
  <c r="L2334" i="1"/>
  <c r="P2334" i="1"/>
  <c r="B2334" i="1" s="1"/>
  <c r="L2335" i="1"/>
  <c r="P2335" i="1"/>
  <c r="B2335" i="1" s="1"/>
  <c r="L2336" i="1"/>
  <c r="P2336" i="1"/>
  <c r="B2336" i="1" s="1"/>
  <c r="L2337" i="1"/>
  <c r="P2337" i="1"/>
  <c r="B2337" i="1" s="1"/>
  <c r="L2338" i="1"/>
  <c r="P2338" i="1"/>
  <c r="B2338" i="1" s="1"/>
  <c r="L2339" i="1"/>
  <c r="P2339" i="1"/>
  <c r="B2339" i="1" s="1"/>
  <c r="L2340" i="1"/>
  <c r="P2340" i="1"/>
  <c r="B2340" i="1" s="1"/>
  <c r="L2341" i="1"/>
  <c r="P2341" i="1"/>
  <c r="B2341" i="1" s="1"/>
  <c r="L2342" i="1"/>
  <c r="P2342" i="1"/>
  <c r="B2342" i="1" s="1"/>
  <c r="L2343" i="1"/>
  <c r="P2343" i="1"/>
  <c r="B2343" i="1" s="1"/>
  <c r="L2344" i="1"/>
  <c r="P2344" i="1"/>
  <c r="B2344" i="1" s="1"/>
  <c r="L2345" i="1"/>
  <c r="P2345" i="1"/>
  <c r="B2345" i="1" s="1"/>
  <c r="L2346" i="1"/>
  <c r="P2346" i="1"/>
  <c r="B2346" i="1" s="1"/>
  <c r="L2347" i="1"/>
  <c r="P2347" i="1"/>
  <c r="B2347" i="1" s="1"/>
  <c r="L2348" i="1"/>
  <c r="P2348" i="1"/>
  <c r="B2348" i="1" s="1"/>
  <c r="L2349" i="1"/>
  <c r="P2349" i="1"/>
  <c r="B2349" i="1" s="1"/>
  <c r="L2350" i="1"/>
  <c r="P2350" i="1"/>
  <c r="B2350" i="1" s="1"/>
  <c r="L2351" i="1"/>
  <c r="P2351" i="1"/>
  <c r="B2351" i="1" s="1"/>
  <c r="L2352" i="1"/>
  <c r="P2352" i="1"/>
  <c r="B2352" i="1" s="1"/>
  <c r="L2353" i="1"/>
  <c r="P2353" i="1"/>
  <c r="B2353" i="1" s="1"/>
  <c r="L2354" i="1"/>
  <c r="P2354" i="1"/>
  <c r="B2354" i="1" s="1"/>
  <c r="L2355" i="1"/>
  <c r="P2355" i="1"/>
  <c r="B2355" i="1" s="1"/>
  <c r="L2356" i="1"/>
  <c r="P2356" i="1"/>
  <c r="B2356" i="1" s="1"/>
  <c r="L2357" i="1"/>
  <c r="P2357" i="1"/>
  <c r="B2357" i="1" s="1"/>
  <c r="L2358" i="1"/>
  <c r="P2358" i="1"/>
  <c r="B2358" i="1" s="1"/>
  <c r="L2359" i="1"/>
  <c r="P2359" i="1"/>
  <c r="B2359" i="1" s="1"/>
  <c r="L2360" i="1"/>
  <c r="P2360" i="1"/>
  <c r="B2360" i="1" s="1"/>
  <c r="L2361" i="1"/>
  <c r="P2361" i="1"/>
  <c r="B2361" i="1" s="1"/>
  <c r="L2362" i="1"/>
  <c r="P2362" i="1"/>
  <c r="B2362" i="1" s="1"/>
  <c r="L2363" i="1"/>
  <c r="P2363" i="1"/>
  <c r="B2363" i="1" s="1"/>
  <c r="L2364" i="1"/>
  <c r="P2364" i="1"/>
  <c r="B2364" i="1" s="1"/>
  <c r="L2365" i="1"/>
  <c r="P2365" i="1"/>
  <c r="B2365" i="1" s="1"/>
  <c r="L2366" i="1"/>
  <c r="P2366" i="1"/>
  <c r="B2366" i="1" s="1"/>
  <c r="L2367" i="1"/>
  <c r="P2367" i="1"/>
  <c r="B2367" i="1" s="1"/>
  <c r="L2368" i="1"/>
  <c r="P2368" i="1"/>
  <c r="B2368" i="1" s="1"/>
  <c r="L2369" i="1"/>
  <c r="P2369" i="1"/>
  <c r="B2369" i="1" s="1"/>
  <c r="L2370" i="1"/>
  <c r="P2370" i="1"/>
  <c r="B2370" i="1" s="1"/>
  <c r="L2371" i="1"/>
  <c r="P2371" i="1"/>
  <c r="B2371" i="1" s="1"/>
  <c r="L2372" i="1"/>
  <c r="P2372" i="1"/>
  <c r="B2372" i="1" s="1"/>
  <c r="L2373" i="1"/>
  <c r="P2373" i="1"/>
  <c r="B2373" i="1" s="1"/>
  <c r="L2374" i="1"/>
  <c r="P2374" i="1"/>
  <c r="B2374" i="1" s="1"/>
  <c r="L2375" i="1"/>
  <c r="P2375" i="1"/>
  <c r="B2375" i="1" s="1"/>
  <c r="L2376" i="1"/>
  <c r="P2376" i="1"/>
  <c r="B2376" i="1" s="1"/>
  <c r="L2377" i="1"/>
  <c r="P2377" i="1"/>
  <c r="B2377" i="1" s="1"/>
  <c r="L2378" i="1"/>
  <c r="P2378" i="1"/>
  <c r="B2378" i="1" s="1"/>
  <c r="L2379" i="1"/>
  <c r="P2379" i="1"/>
  <c r="B2379" i="1" s="1"/>
  <c r="L2380" i="1"/>
  <c r="P2380" i="1"/>
  <c r="B2380" i="1" s="1"/>
  <c r="L2381" i="1"/>
  <c r="P2381" i="1"/>
  <c r="B2381" i="1" s="1"/>
  <c r="L2382" i="1"/>
  <c r="P2382" i="1"/>
  <c r="B2382" i="1" s="1"/>
  <c r="L2383" i="1"/>
  <c r="P2383" i="1"/>
  <c r="B2383" i="1" s="1"/>
  <c r="L2384" i="1"/>
  <c r="P2384" i="1"/>
  <c r="B2384" i="1" s="1"/>
  <c r="L2385" i="1"/>
  <c r="P2385" i="1"/>
  <c r="B2385" i="1" s="1"/>
  <c r="L2386" i="1"/>
  <c r="P2386" i="1"/>
  <c r="B2386" i="1" s="1"/>
  <c r="L2387" i="1"/>
  <c r="P2387" i="1"/>
  <c r="B2387" i="1" s="1"/>
  <c r="L2388" i="1"/>
  <c r="P2388" i="1"/>
  <c r="B2388" i="1" s="1"/>
  <c r="L2389" i="1"/>
  <c r="P2389" i="1"/>
  <c r="B2389" i="1" s="1"/>
  <c r="L2390" i="1"/>
  <c r="P2390" i="1"/>
  <c r="B2390" i="1" s="1"/>
  <c r="L2391" i="1"/>
  <c r="P2391" i="1"/>
  <c r="B2391" i="1" s="1"/>
  <c r="L2392" i="1"/>
  <c r="P2392" i="1"/>
  <c r="B2392" i="1" s="1"/>
  <c r="L2393" i="1"/>
  <c r="P2393" i="1"/>
  <c r="B2393" i="1" s="1"/>
  <c r="N2394" i="1"/>
  <c r="H2395" i="1"/>
  <c r="I2395" i="1"/>
  <c r="K2395" i="1"/>
  <c r="M2395" i="1"/>
  <c r="N2396" i="1"/>
  <c r="N2397" i="1"/>
  <c r="L2398" i="1"/>
  <c r="P2398" i="1"/>
  <c r="B2398" i="1" s="1"/>
  <c r="L2401" i="1"/>
  <c r="P2401" i="1"/>
  <c r="B2401" i="1" s="1"/>
  <c r="L2402" i="1"/>
  <c r="P2402" i="1"/>
  <c r="B2402" i="1" s="1"/>
  <c r="L2403" i="1"/>
  <c r="P2403" i="1"/>
  <c r="B2403" i="1" s="1"/>
  <c r="L2404" i="1"/>
  <c r="P2404" i="1"/>
  <c r="B2404" i="1" s="1"/>
  <c r="L2405" i="1"/>
  <c r="P2405" i="1"/>
  <c r="B2405" i="1" s="1"/>
  <c r="L2406" i="1"/>
  <c r="P2406" i="1"/>
  <c r="B2406" i="1" s="1"/>
  <c r="L2407" i="1"/>
  <c r="P2407" i="1"/>
  <c r="B2407" i="1" s="1"/>
  <c r="L2408" i="1"/>
  <c r="P2408" i="1"/>
  <c r="B2408" i="1" s="1"/>
  <c r="L2409" i="1"/>
  <c r="P2409" i="1"/>
  <c r="B2409" i="1" s="1"/>
  <c r="L2410" i="1"/>
  <c r="P2410" i="1"/>
  <c r="B2410" i="1" s="1"/>
  <c r="L2411" i="1"/>
  <c r="P2411" i="1"/>
  <c r="B2411" i="1" s="1"/>
  <c r="L2412" i="1"/>
  <c r="P2412" i="1"/>
  <c r="B2412" i="1" s="1"/>
  <c r="L2413" i="1"/>
  <c r="P2413" i="1"/>
  <c r="B2413" i="1" s="1"/>
  <c r="L2414" i="1"/>
  <c r="P2414" i="1"/>
  <c r="B2414" i="1" s="1"/>
  <c r="L2415" i="1"/>
  <c r="P2415" i="1"/>
  <c r="B2415" i="1" s="1"/>
  <c r="L2416" i="1"/>
  <c r="P2416" i="1"/>
  <c r="B2416" i="1" s="1"/>
  <c r="L2417" i="1"/>
  <c r="P2417" i="1"/>
  <c r="B2417" i="1" s="1"/>
  <c r="L2418" i="1"/>
  <c r="P2418" i="1"/>
  <c r="B2418" i="1" s="1"/>
  <c r="L2419" i="1"/>
  <c r="P2419" i="1"/>
  <c r="B2419" i="1" s="1"/>
  <c r="L2420" i="1"/>
  <c r="P2420" i="1"/>
  <c r="B2420" i="1" s="1"/>
  <c r="L2421" i="1"/>
  <c r="P2421" i="1"/>
  <c r="B2421" i="1" s="1"/>
  <c r="L2422" i="1"/>
  <c r="P2422" i="1"/>
  <c r="B2422" i="1" s="1"/>
  <c r="L2423" i="1"/>
  <c r="P2423" i="1"/>
  <c r="B2423" i="1" s="1"/>
  <c r="L2424" i="1"/>
  <c r="P2424" i="1"/>
  <c r="B2424" i="1" s="1"/>
  <c r="L2425" i="1"/>
  <c r="P2425" i="1"/>
  <c r="B2425" i="1" s="1"/>
  <c r="L2426" i="1"/>
  <c r="P2426" i="1"/>
  <c r="B2426" i="1" s="1"/>
  <c r="L2427" i="1"/>
  <c r="P2427" i="1"/>
  <c r="B2427" i="1" s="1"/>
  <c r="L2428" i="1"/>
  <c r="P2428" i="1"/>
  <c r="B2428" i="1" s="1"/>
  <c r="L2429" i="1"/>
  <c r="P2429" i="1"/>
  <c r="B2429" i="1" s="1"/>
  <c r="L2430" i="1"/>
  <c r="P2430" i="1"/>
  <c r="B2430" i="1" s="1"/>
  <c r="L2431" i="1"/>
  <c r="P2431" i="1"/>
  <c r="B2431" i="1" s="1"/>
  <c r="L2432" i="1"/>
  <c r="P2432" i="1"/>
  <c r="B2432" i="1" s="1"/>
  <c r="L2433" i="1"/>
  <c r="P2433" i="1"/>
  <c r="B2433" i="1" s="1"/>
  <c r="L2434" i="1"/>
  <c r="P2434" i="1"/>
  <c r="B2434" i="1" s="1"/>
  <c r="L2435" i="1"/>
  <c r="P2435" i="1"/>
  <c r="B2435" i="1" s="1"/>
  <c r="L2436" i="1"/>
  <c r="P2436" i="1"/>
  <c r="B2436" i="1" s="1"/>
  <c r="L2437" i="1"/>
  <c r="P2437" i="1"/>
  <c r="B2437" i="1" s="1"/>
  <c r="L2438" i="1"/>
  <c r="P2438" i="1"/>
  <c r="B2438" i="1" s="1"/>
  <c r="L2439" i="1"/>
  <c r="P2439" i="1"/>
  <c r="B2439" i="1" s="1"/>
  <c r="L2440" i="1"/>
  <c r="P2440" i="1"/>
  <c r="B2440" i="1" s="1"/>
  <c r="L2441" i="1"/>
  <c r="P2441" i="1"/>
  <c r="B2441" i="1" s="1"/>
  <c r="L2442" i="1"/>
  <c r="P2442" i="1"/>
  <c r="B2442" i="1" s="1"/>
  <c r="L2443" i="1"/>
  <c r="P2443" i="1"/>
  <c r="B2443" i="1" s="1"/>
  <c r="L2444" i="1"/>
  <c r="P2444" i="1"/>
  <c r="B2444" i="1" s="1"/>
  <c r="L2445" i="1"/>
  <c r="P2445" i="1"/>
  <c r="B2445" i="1" s="1"/>
  <c r="L2446" i="1"/>
  <c r="P2446" i="1"/>
  <c r="B2446" i="1" s="1"/>
  <c r="L2447" i="1"/>
  <c r="P2447" i="1"/>
  <c r="B2447" i="1" s="1"/>
  <c r="L2448" i="1"/>
  <c r="P2448" i="1"/>
  <c r="B2448" i="1" s="1"/>
  <c r="L2449" i="1"/>
  <c r="P2449" i="1"/>
  <c r="B2449" i="1" s="1"/>
  <c r="L2450" i="1"/>
  <c r="P2450" i="1"/>
  <c r="B2450" i="1" s="1"/>
  <c r="L2451" i="1"/>
  <c r="P2451" i="1"/>
  <c r="B2451" i="1" s="1"/>
  <c r="P2452" i="1"/>
  <c r="B2452" i="1" s="1"/>
  <c r="L2453" i="1"/>
  <c r="P2453" i="1"/>
  <c r="B2453" i="1" s="1"/>
  <c r="L2454" i="1"/>
  <c r="P2454" i="1"/>
  <c r="B2454" i="1" s="1"/>
  <c r="L2455" i="1"/>
  <c r="P2455" i="1"/>
  <c r="B2455" i="1" s="1"/>
  <c r="L2456" i="1"/>
  <c r="P2456" i="1"/>
  <c r="B2456" i="1" s="1"/>
  <c r="L2457" i="1"/>
  <c r="P2457" i="1"/>
  <c r="B2457" i="1" s="1"/>
  <c r="L2458" i="1"/>
  <c r="P2458" i="1"/>
  <c r="B2458" i="1" s="1"/>
  <c r="L2459" i="1"/>
  <c r="P2459" i="1"/>
  <c r="B2459" i="1" s="1"/>
  <c r="L2460" i="1"/>
  <c r="P2460" i="1"/>
  <c r="B2460" i="1" s="1"/>
  <c r="L2461" i="1"/>
  <c r="P2461" i="1"/>
  <c r="B2461" i="1" s="1"/>
  <c r="L2462" i="1"/>
  <c r="P2462" i="1"/>
  <c r="B2462" i="1" s="1"/>
  <c r="L2463" i="1"/>
  <c r="P2463" i="1"/>
  <c r="B2463" i="1" s="1"/>
  <c r="L2464" i="1"/>
  <c r="P2464" i="1"/>
  <c r="B2464" i="1" s="1"/>
  <c r="L2465" i="1"/>
  <c r="P2465" i="1"/>
  <c r="B2465" i="1" s="1"/>
  <c r="L2466" i="1"/>
  <c r="P2466" i="1"/>
  <c r="B2466" i="1" s="1"/>
  <c r="L2467" i="1"/>
  <c r="P2467" i="1"/>
  <c r="B2467" i="1" s="1"/>
  <c r="L2468" i="1"/>
  <c r="P2468" i="1"/>
  <c r="B2468" i="1" s="1"/>
  <c r="L2469" i="1"/>
  <c r="P2469" i="1"/>
  <c r="B2469" i="1" s="1"/>
  <c r="L2470" i="1"/>
  <c r="P2470" i="1"/>
  <c r="B2470" i="1" s="1"/>
  <c r="L2471" i="1"/>
  <c r="P2471" i="1"/>
  <c r="B2471" i="1" s="1"/>
  <c r="L2472" i="1"/>
  <c r="P2472" i="1"/>
  <c r="B2472" i="1" s="1"/>
  <c r="L2473" i="1"/>
  <c r="P2473" i="1"/>
  <c r="B2473" i="1" s="1"/>
  <c r="L2474" i="1"/>
  <c r="P2474" i="1"/>
  <c r="B2474" i="1" s="1"/>
  <c r="L2475" i="1"/>
  <c r="P2475" i="1"/>
  <c r="B2475" i="1" s="1"/>
  <c r="L2476" i="1"/>
  <c r="P2476" i="1"/>
  <c r="B2476" i="1" s="1"/>
  <c r="L2477" i="1"/>
  <c r="P2477" i="1"/>
  <c r="B2477" i="1" s="1"/>
  <c r="L2478" i="1"/>
  <c r="P2478" i="1"/>
  <c r="B2478" i="1" s="1"/>
  <c r="L2479" i="1"/>
  <c r="P2479" i="1"/>
  <c r="B2479" i="1" s="1"/>
  <c r="L2480" i="1"/>
  <c r="P2480" i="1"/>
  <c r="B2480" i="1" s="1"/>
  <c r="L2481" i="1"/>
  <c r="P2481" i="1"/>
  <c r="B2481" i="1" s="1"/>
  <c r="L2482" i="1"/>
  <c r="P2482" i="1"/>
  <c r="B2482" i="1" s="1"/>
  <c r="L2483" i="1"/>
  <c r="P2483" i="1"/>
  <c r="B2483" i="1" s="1"/>
  <c r="L2484" i="1"/>
  <c r="P2484" i="1"/>
  <c r="B2484" i="1" s="1"/>
  <c r="L2485" i="1"/>
  <c r="P2485" i="1"/>
  <c r="B2485" i="1" s="1"/>
  <c r="L2486" i="1"/>
  <c r="P2486" i="1"/>
  <c r="B2486" i="1" s="1"/>
  <c r="L2487" i="1"/>
  <c r="P2487" i="1"/>
  <c r="B2487" i="1" s="1"/>
  <c r="L2488" i="1"/>
  <c r="P2488" i="1"/>
  <c r="B2488" i="1" s="1"/>
  <c r="L2489" i="1"/>
  <c r="P2489" i="1"/>
  <c r="B2489" i="1" s="1"/>
  <c r="L2490" i="1"/>
  <c r="P2490" i="1"/>
  <c r="B2490" i="1" s="1"/>
  <c r="L2491" i="1"/>
  <c r="P2491" i="1"/>
  <c r="B2491" i="1" s="1"/>
  <c r="L2492" i="1"/>
  <c r="P2492" i="1"/>
  <c r="B2492" i="1" s="1"/>
  <c r="L2493" i="1"/>
  <c r="P2493" i="1"/>
  <c r="B2493" i="1" s="1"/>
  <c r="L2494" i="1"/>
  <c r="P2494" i="1"/>
  <c r="B2494" i="1" s="1"/>
  <c r="L2495" i="1"/>
  <c r="P2495" i="1"/>
  <c r="B2495" i="1" s="1"/>
  <c r="L2496" i="1"/>
  <c r="P2496" i="1"/>
  <c r="B2496" i="1" s="1"/>
  <c r="L2497" i="1"/>
  <c r="P2497" i="1"/>
  <c r="B2497" i="1" s="1"/>
  <c r="L2498" i="1"/>
  <c r="P2498" i="1"/>
  <c r="B2498" i="1" s="1"/>
  <c r="L2499" i="1"/>
  <c r="P2499" i="1"/>
  <c r="B2499" i="1" s="1"/>
  <c r="L2500" i="1"/>
  <c r="P2500" i="1"/>
  <c r="B2500" i="1" s="1"/>
  <c r="L2501" i="1"/>
  <c r="P2501" i="1"/>
  <c r="B2501" i="1" s="1"/>
  <c r="L2502" i="1"/>
  <c r="P2502" i="1"/>
  <c r="B2502" i="1" s="1"/>
  <c r="L2503" i="1"/>
  <c r="P2503" i="1"/>
  <c r="B2503" i="1" s="1"/>
  <c r="L2504" i="1"/>
  <c r="P2504" i="1"/>
  <c r="B2504" i="1" s="1"/>
  <c r="L2505" i="1"/>
  <c r="P2505" i="1"/>
  <c r="B2505" i="1" s="1"/>
  <c r="L2506" i="1"/>
  <c r="P2506" i="1"/>
  <c r="B2506" i="1" s="1"/>
  <c r="L2507" i="1"/>
  <c r="P2507" i="1"/>
  <c r="B2507" i="1" s="1"/>
  <c r="L2508" i="1"/>
  <c r="P2508" i="1"/>
  <c r="B2508" i="1" s="1"/>
  <c r="P2509" i="1"/>
  <c r="B2509" i="1" s="1"/>
  <c r="L2510" i="1"/>
  <c r="P2510" i="1"/>
  <c r="B2510" i="1" s="1"/>
  <c r="L2511" i="1"/>
  <c r="P2511" i="1"/>
  <c r="B2511" i="1" s="1"/>
  <c r="L2512" i="1"/>
  <c r="P2512" i="1"/>
  <c r="B2512" i="1" s="1"/>
  <c r="L2513" i="1"/>
  <c r="P2513" i="1"/>
  <c r="B2513" i="1" s="1"/>
  <c r="L2514" i="1"/>
  <c r="P2514" i="1"/>
  <c r="B2514" i="1" s="1"/>
  <c r="L2515" i="1"/>
  <c r="P2515" i="1"/>
  <c r="B2515" i="1" s="1"/>
  <c r="L2516" i="1"/>
  <c r="P2516" i="1"/>
  <c r="B2516" i="1" s="1"/>
  <c r="L2517" i="1"/>
  <c r="P2517" i="1"/>
  <c r="B2517" i="1" s="1"/>
  <c r="L2518" i="1"/>
  <c r="P2518" i="1"/>
  <c r="B2518" i="1" s="1"/>
  <c r="L2519" i="1"/>
  <c r="P2519" i="1"/>
  <c r="B2519" i="1" s="1"/>
  <c r="L2520" i="1"/>
  <c r="P2520" i="1"/>
  <c r="B2520" i="1" s="1"/>
  <c r="L2521" i="1"/>
  <c r="P2521" i="1"/>
  <c r="B2521" i="1" s="1"/>
  <c r="L2522" i="1"/>
  <c r="P2522" i="1"/>
  <c r="B2522" i="1" s="1"/>
  <c r="L2523" i="1"/>
  <c r="P2523" i="1"/>
  <c r="B2523" i="1" s="1"/>
  <c r="L2524" i="1"/>
  <c r="P2524" i="1"/>
  <c r="B2524" i="1" s="1"/>
  <c r="L2525" i="1"/>
  <c r="P2525" i="1"/>
  <c r="B2525" i="1" s="1"/>
  <c r="L2526" i="1"/>
  <c r="P2526" i="1"/>
  <c r="B2526" i="1" s="1"/>
  <c r="L2527" i="1"/>
  <c r="P2527" i="1"/>
  <c r="B2527" i="1" s="1"/>
  <c r="L2528" i="1"/>
  <c r="P2528" i="1"/>
  <c r="B2528" i="1" s="1"/>
  <c r="L2529" i="1"/>
  <c r="P2529" i="1"/>
  <c r="B2529" i="1" s="1"/>
  <c r="L2530" i="1"/>
  <c r="P2530" i="1"/>
  <c r="B2530" i="1" s="1"/>
  <c r="L2531" i="1"/>
  <c r="P2531" i="1"/>
  <c r="B2531" i="1" s="1"/>
  <c r="L2532" i="1"/>
  <c r="P2532" i="1"/>
  <c r="B2532" i="1" s="1"/>
  <c r="L2533" i="1"/>
  <c r="P2533" i="1"/>
  <c r="B2533" i="1" s="1"/>
  <c r="L2534" i="1"/>
  <c r="P2534" i="1"/>
  <c r="B2534" i="1" s="1"/>
  <c r="L2535" i="1"/>
  <c r="P2535" i="1"/>
  <c r="B2535" i="1" s="1"/>
  <c r="L2536" i="1"/>
  <c r="P2536" i="1"/>
  <c r="B2536" i="1" s="1"/>
  <c r="L2537" i="1"/>
  <c r="P2537" i="1"/>
  <c r="B2537" i="1" s="1"/>
  <c r="L2538" i="1"/>
  <c r="P2538" i="1"/>
  <c r="B2538" i="1" s="1"/>
  <c r="L2539" i="1"/>
  <c r="P2539" i="1"/>
  <c r="B2539" i="1" s="1"/>
  <c r="L2540" i="1"/>
  <c r="P2540" i="1"/>
  <c r="B2540" i="1" s="1"/>
  <c r="L2541" i="1"/>
  <c r="P2541" i="1"/>
  <c r="B2541" i="1" s="1"/>
  <c r="L2542" i="1"/>
  <c r="P2542" i="1"/>
  <c r="B2542" i="1" s="1"/>
  <c r="L2543" i="1"/>
  <c r="P2543" i="1"/>
  <c r="B2543" i="1" s="1"/>
  <c r="L2544" i="1"/>
  <c r="P2544" i="1"/>
  <c r="B2544" i="1" s="1"/>
  <c r="L2545" i="1"/>
  <c r="P2545" i="1"/>
  <c r="B2545" i="1" s="1"/>
  <c r="L2546" i="1"/>
  <c r="P2546" i="1"/>
  <c r="B2546" i="1" s="1"/>
  <c r="L2547" i="1"/>
  <c r="P2547" i="1"/>
  <c r="B2547" i="1" s="1"/>
  <c r="L2548" i="1"/>
  <c r="P2548" i="1"/>
  <c r="B2548" i="1" s="1"/>
  <c r="L2549" i="1"/>
  <c r="P2549" i="1"/>
  <c r="B2549" i="1" s="1"/>
  <c r="L2550" i="1"/>
  <c r="P2550" i="1"/>
  <c r="B2550" i="1" s="1"/>
  <c r="L2551" i="1"/>
  <c r="P2551" i="1"/>
  <c r="B2551" i="1" s="1"/>
  <c r="L2552" i="1"/>
  <c r="P2552" i="1"/>
  <c r="B2552" i="1" s="1"/>
  <c r="L2553" i="1"/>
  <c r="P2553" i="1"/>
  <c r="B2553" i="1" s="1"/>
  <c r="L2554" i="1"/>
  <c r="P2554" i="1"/>
  <c r="B2554" i="1" s="1"/>
  <c r="L2555" i="1"/>
  <c r="P2555" i="1"/>
  <c r="B2555" i="1" s="1"/>
  <c r="L2556" i="1"/>
  <c r="P2556" i="1"/>
  <c r="B2556" i="1" s="1"/>
  <c r="L2557" i="1"/>
  <c r="P2557" i="1"/>
  <c r="B2557" i="1" s="1"/>
  <c r="L2558" i="1"/>
  <c r="P2558" i="1"/>
  <c r="B2558" i="1" s="1"/>
  <c r="L2559" i="1"/>
  <c r="P2559" i="1"/>
  <c r="B2559" i="1" s="1"/>
  <c r="L2560" i="1"/>
  <c r="P2560" i="1"/>
  <c r="B2560" i="1" s="1"/>
  <c r="L2561" i="1"/>
  <c r="P2561" i="1"/>
  <c r="B2561" i="1" s="1"/>
  <c r="L2562" i="1"/>
  <c r="P2562" i="1"/>
  <c r="B2562" i="1" s="1"/>
  <c r="L2563" i="1"/>
  <c r="P2563" i="1"/>
  <c r="B2563" i="1" s="1"/>
  <c r="L2564" i="1"/>
  <c r="P2564" i="1"/>
  <c r="B2564" i="1" s="1"/>
  <c r="L2565" i="1"/>
  <c r="P2565" i="1"/>
  <c r="B2565" i="1" s="1"/>
  <c r="L2566" i="1"/>
  <c r="P2566" i="1"/>
  <c r="B2566" i="1" s="1"/>
  <c r="L2567" i="1"/>
  <c r="P2567" i="1"/>
  <c r="B2567" i="1" s="1"/>
  <c r="L2568" i="1"/>
  <c r="P2568" i="1"/>
  <c r="B2568" i="1" s="1"/>
  <c r="L2569" i="1"/>
  <c r="P2569" i="1"/>
  <c r="B2569" i="1" s="1"/>
  <c r="L2570" i="1"/>
  <c r="P2570" i="1"/>
  <c r="B2570" i="1" s="1"/>
  <c r="L2571" i="1"/>
  <c r="P2571" i="1"/>
  <c r="B2571" i="1" s="1"/>
  <c r="L2572" i="1"/>
  <c r="P2572" i="1"/>
  <c r="B2572" i="1" s="1"/>
  <c r="L2573" i="1"/>
  <c r="P2573" i="1"/>
  <c r="B2573" i="1" s="1"/>
  <c r="L2574" i="1"/>
  <c r="P2574" i="1"/>
  <c r="B2574" i="1" s="1"/>
  <c r="L2575" i="1"/>
  <c r="P2575" i="1"/>
  <c r="B2575" i="1" s="1"/>
  <c r="L2576" i="1"/>
  <c r="P2576" i="1"/>
  <c r="B2576" i="1" s="1"/>
  <c r="L2577" i="1"/>
  <c r="P2577" i="1"/>
  <c r="B2577" i="1" s="1"/>
  <c r="L2578" i="1"/>
  <c r="P2578" i="1"/>
  <c r="B2578" i="1" s="1"/>
  <c r="L2579" i="1"/>
  <c r="P2579" i="1"/>
  <c r="B2579" i="1" s="1"/>
  <c r="L2580" i="1"/>
  <c r="P2580" i="1"/>
  <c r="B2580" i="1" s="1"/>
  <c r="L2581" i="1"/>
  <c r="P2581" i="1"/>
  <c r="B2581" i="1" s="1"/>
  <c r="L2582" i="1"/>
  <c r="P2582" i="1"/>
  <c r="B2582" i="1" s="1"/>
  <c r="L2583" i="1"/>
  <c r="P2583" i="1"/>
  <c r="B2583" i="1" s="1"/>
  <c r="L2584" i="1"/>
  <c r="P2584" i="1"/>
  <c r="B2584" i="1" s="1"/>
  <c r="L2585" i="1"/>
  <c r="P2585" i="1"/>
  <c r="B2585" i="1" s="1"/>
  <c r="L2586" i="1"/>
  <c r="P2586" i="1"/>
  <c r="B2586" i="1" s="1"/>
  <c r="L2587" i="1"/>
  <c r="P2587" i="1"/>
  <c r="B2587" i="1" s="1"/>
  <c r="L2588" i="1"/>
  <c r="P2588" i="1"/>
  <c r="B2588" i="1" s="1"/>
  <c r="L2589" i="1"/>
  <c r="P2589" i="1"/>
  <c r="B2589" i="1" s="1"/>
  <c r="L2590" i="1"/>
  <c r="P2590" i="1"/>
  <c r="B2590" i="1" s="1"/>
  <c r="L2591" i="1"/>
  <c r="P2591" i="1"/>
  <c r="B2591" i="1" s="1"/>
  <c r="L2592" i="1"/>
  <c r="P2592" i="1"/>
  <c r="B2592" i="1" s="1"/>
  <c r="N2593" i="1"/>
  <c r="H2594" i="1"/>
  <c r="I2594" i="1"/>
  <c r="M2594" i="1"/>
  <c r="N2595" i="1"/>
  <c r="N2596" i="1"/>
  <c r="L2597" i="1"/>
  <c r="P2597" i="1"/>
  <c r="B2597" i="1" s="1"/>
  <c r="L2599" i="1"/>
  <c r="P2599" i="1"/>
  <c r="B2599" i="1" s="1"/>
  <c r="L2600" i="1"/>
  <c r="P2600" i="1"/>
  <c r="B2600" i="1" s="1"/>
  <c r="L2601" i="1"/>
  <c r="P2601" i="1"/>
  <c r="B2601" i="1" s="1"/>
  <c r="L2602" i="1"/>
  <c r="P2602" i="1"/>
  <c r="B2602" i="1" s="1"/>
  <c r="L2603" i="1"/>
  <c r="P2603" i="1"/>
  <c r="B2603" i="1" s="1"/>
  <c r="L2604" i="1"/>
  <c r="P2604" i="1"/>
  <c r="B2604" i="1" s="1"/>
  <c r="L2605" i="1"/>
  <c r="P2605" i="1"/>
  <c r="B2605" i="1" s="1"/>
  <c r="L2606" i="1"/>
  <c r="P2606" i="1"/>
  <c r="B2606" i="1" s="1"/>
  <c r="L2607" i="1"/>
  <c r="P2607" i="1"/>
  <c r="B2607" i="1" s="1"/>
  <c r="L2608" i="1"/>
  <c r="P2608" i="1"/>
  <c r="B2608" i="1" s="1"/>
  <c r="L2609" i="1"/>
  <c r="P2609" i="1"/>
  <c r="B2609" i="1" s="1"/>
  <c r="L2610" i="1"/>
  <c r="P2610" i="1"/>
  <c r="B2610" i="1" s="1"/>
  <c r="L2611" i="1"/>
  <c r="P2611" i="1"/>
  <c r="B2611" i="1" s="1"/>
  <c r="L2612" i="1"/>
  <c r="P2612" i="1"/>
  <c r="B2612" i="1" s="1"/>
  <c r="L2613" i="1"/>
  <c r="P2613" i="1"/>
  <c r="B2613" i="1" s="1"/>
  <c r="L2614" i="1"/>
  <c r="P2614" i="1"/>
  <c r="B2614" i="1" s="1"/>
  <c r="L2615" i="1"/>
  <c r="P2615" i="1"/>
  <c r="B2615" i="1" s="1"/>
  <c r="L2616" i="1"/>
  <c r="P2616" i="1"/>
  <c r="B2616" i="1" s="1"/>
  <c r="L2617" i="1"/>
  <c r="P2617" i="1"/>
  <c r="B2617" i="1" s="1"/>
  <c r="L2618" i="1"/>
  <c r="P2618" i="1"/>
  <c r="B2618" i="1" s="1"/>
  <c r="L2619" i="1"/>
  <c r="P2619" i="1"/>
  <c r="B2619" i="1" s="1"/>
  <c r="L2620" i="1"/>
  <c r="P2620" i="1"/>
  <c r="B2620" i="1" s="1"/>
  <c r="L2621" i="1"/>
  <c r="P2621" i="1"/>
  <c r="B2621" i="1" s="1"/>
  <c r="L2622" i="1"/>
  <c r="P2622" i="1"/>
  <c r="B2622" i="1" s="1"/>
  <c r="L2623" i="1"/>
  <c r="P2623" i="1"/>
  <c r="B2623" i="1" s="1"/>
  <c r="L2624" i="1"/>
  <c r="P2624" i="1"/>
  <c r="B2624" i="1" s="1"/>
  <c r="L2625" i="1"/>
  <c r="P2625" i="1"/>
  <c r="B2625" i="1" s="1"/>
  <c r="L2626" i="1"/>
  <c r="P2626" i="1"/>
  <c r="B2626" i="1" s="1"/>
  <c r="L2627" i="1"/>
  <c r="P2627" i="1"/>
  <c r="B2627" i="1" s="1"/>
  <c r="L2628" i="1"/>
  <c r="P2628" i="1"/>
  <c r="B2628" i="1" s="1"/>
  <c r="L2629" i="1"/>
  <c r="P2629" i="1"/>
  <c r="B2629" i="1" s="1"/>
  <c r="L2630" i="1"/>
  <c r="P2630" i="1"/>
  <c r="B2630" i="1" s="1"/>
  <c r="L2631" i="1"/>
  <c r="P2631" i="1"/>
  <c r="B2631" i="1" s="1"/>
  <c r="L2632" i="1"/>
  <c r="P2632" i="1"/>
  <c r="B2632" i="1" s="1"/>
  <c r="L2633" i="1"/>
  <c r="P2633" i="1"/>
  <c r="B2633" i="1" s="1"/>
  <c r="L2634" i="1"/>
  <c r="P2634" i="1"/>
  <c r="B2634" i="1" s="1"/>
  <c r="L2635" i="1"/>
  <c r="P2635" i="1"/>
  <c r="B2635" i="1" s="1"/>
  <c r="L2636" i="1"/>
  <c r="P2636" i="1"/>
  <c r="B2636" i="1" s="1"/>
  <c r="L2637" i="1"/>
  <c r="P2637" i="1"/>
  <c r="B2637" i="1" s="1"/>
  <c r="L2638" i="1"/>
  <c r="P2638" i="1"/>
  <c r="B2638" i="1" s="1"/>
  <c r="L2639" i="1"/>
  <c r="P2639" i="1"/>
  <c r="B2639" i="1" s="1"/>
  <c r="L2640" i="1"/>
  <c r="P2640" i="1"/>
  <c r="B2640" i="1" s="1"/>
  <c r="L2641" i="1"/>
  <c r="P2641" i="1"/>
  <c r="B2641" i="1" s="1"/>
  <c r="L2642" i="1"/>
  <c r="P2642" i="1"/>
  <c r="B2642" i="1" s="1"/>
  <c r="L2643" i="1"/>
  <c r="P2643" i="1"/>
  <c r="B2643" i="1" s="1"/>
  <c r="L2644" i="1"/>
  <c r="P2644" i="1"/>
  <c r="B2644" i="1" s="1"/>
  <c r="L2645" i="1"/>
  <c r="P2645" i="1"/>
  <c r="B2645" i="1" s="1"/>
  <c r="L2646" i="1"/>
  <c r="P2646" i="1"/>
  <c r="B2646" i="1" s="1"/>
  <c r="L2647" i="1"/>
  <c r="P2647" i="1"/>
  <c r="B2647" i="1" s="1"/>
  <c r="L2648" i="1"/>
  <c r="P2648" i="1"/>
  <c r="B2648" i="1" s="1"/>
  <c r="L2649" i="1"/>
  <c r="P2649" i="1"/>
  <c r="B2649" i="1" s="1"/>
  <c r="L2650" i="1"/>
  <c r="P2650" i="1"/>
  <c r="B2650" i="1" s="1"/>
  <c r="L2651" i="1"/>
  <c r="P2651" i="1"/>
  <c r="B2651" i="1" s="1"/>
  <c r="L2652" i="1"/>
  <c r="P2652" i="1"/>
  <c r="B2652" i="1" s="1"/>
  <c r="L2653" i="1"/>
  <c r="P2653" i="1"/>
  <c r="B2653" i="1" s="1"/>
  <c r="L2654" i="1"/>
  <c r="P2654" i="1"/>
  <c r="B2654" i="1" s="1"/>
  <c r="L2655" i="1"/>
  <c r="P2655" i="1"/>
  <c r="B2655" i="1" s="1"/>
  <c r="L2656" i="1"/>
  <c r="P2656" i="1"/>
  <c r="B2656" i="1" s="1"/>
  <c r="L2657" i="1"/>
  <c r="P2657" i="1"/>
  <c r="B2657" i="1" s="1"/>
  <c r="L2659" i="1"/>
  <c r="P2659" i="1"/>
  <c r="B2659" i="1" s="1"/>
  <c r="L2660" i="1"/>
  <c r="P2660" i="1"/>
  <c r="B2660" i="1" s="1"/>
  <c r="L2661" i="1"/>
  <c r="P2661" i="1"/>
  <c r="B2661" i="1" s="1"/>
  <c r="L2662" i="1"/>
  <c r="P2662" i="1"/>
  <c r="B2662" i="1" s="1"/>
  <c r="L2663" i="1"/>
  <c r="P2663" i="1"/>
  <c r="B2663" i="1" s="1"/>
  <c r="L2664" i="1"/>
  <c r="P2664" i="1"/>
  <c r="B2664" i="1" s="1"/>
  <c r="L2665" i="1"/>
  <c r="P2665" i="1"/>
  <c r="B2665" i="1" s="1"/>
  <c r="L2666" i="1"/>
  <c r="P2666" i="1"/>
  <c r="B2666" i="1" s="1"/>
  <c r="L2667" i="1"/>
  <c r="P2667" i="1"/>
  <c r="B2667" i="1" s="1"/>
  <c r="L2668" i="1"/>
  <c r="P2668" i="1"/>
  <c r="B2668" i="1" s="1"/>
  <c r="L2669" i="1"/>
  <c r="P2669" i="1"/>
  <c r="B2669" i="1" s="1"/>
  <c r="L2670" i="1"/>
  <c r="P2670" i="1"/>
  <c r="B2670" i="1" s="1"/>
  <c r="L2671" i="1"/>
  <c r="P2671" i="1"/>
  <c r="B2671" i="1" s="1"/>
  <c r="L2672" i="1"/>
  <c r="P2672" i="1"/>
  <c r="B2672" i="1" s="1"/>
  <c r="L2673" i="1"/>
  <c r="P2673" i="1"/>
  <c r="B2673" i="1" s="1"/>
  <c r="L2674" i="1"/>
  <c r="P2674" i="1"/>
  <c r="B2674" i="1" s="1"/>
  <c r="L2675" i="1"/>
  <c r="P2675" i="1"/>
  <c r="B2675" i="1" s="1"/>
  <c r="L2676" i="1"/>
  <c r="P2676" i="1"/>
  <c r="B2676" i="1" s="1"/>
  <c r="L2677" i="1"/>
  <c r="P2677" i="1"/>
  <c r="B2677" i="1" s="1"/>
  <c r="L2678" i="1"/>
  <c r="P2678" i="1"/>
  <c r="B2678" i="1" s="1"/>
  <c r="L2679" i="1"/>
  <c r="P2679" i="1"/>
  <c r="B2679" i="1" s="1"/>
  <c r="L2680" i="1"/>
  <c r="P2680" i="1"/>
  <c r="B2680" i="1" s="1"/>
  <c r="L2681" i="1"/>
  <c r="P2681" i="1"/>
  <c r="B2681" i="1" s="1"/>
  <c r="L2682" i="1"/>
  <c r="P2682" i="1"/>
  <c r="B2682" i="1" s="1"/>
  <c r="L2694" i="1"/>
  <c r="P2694" i="1"/>
  <c r="B2694" i="1" s="1"/>
  <c r="L2696" i="1"/>
  <c r="P2696" i="1"/>
  <c r="B2696" i="1" s="1"/>
  <c r="L2697" i="1"/>
  <c r="P2697" i="1"/>
  <c r="B2697" i="1" s="1"/>
  <c r="L2702" i="1"/>
  <c r="P2702" i="1"/>
  <c r="B2702" i="1" s="1"/>
  <c r="N2703" i="1"/>
  <c r="H2704" i="1"/>
  <c r="I2704" i="1"/>
  <c r="K2704" i="1"/>
  <c r="M2704" i="1"/>
  <c r="N2705" i="1"/>
  <c r="N2706" i="1"/>
  <c r="L2707" i="1"/>
  <c r="P2707" i="1"/>
  <c r="B2707" i="1" s="1"/>
  <c r="L2710" i="1"/>
  <c r="P2710" i="1"/>
  <c r="B2710" i="1" s="1"/>
  <c r="L2711" i="1"/>
  <c r="P2711" i="1"/>
  <c r="B2711" i="1" s="1"/>
  <c r="L2712" i="1"/>
  <c r="P2712" i="1"/>
  <c r="B2712" i="1" s="1"/>
  <c r="L2713" i="1"/>
  <c r="P2713" i="1"/>
  <c r="B2713" i="1" s="1"/>
  <c r="L2714" i="1"/>
  <c r="P2714" i="1"/>
  <c r="B2714" i="1" s="1"/>
  <c r="L2715" i="1"/>
  <c r="P2715" i="1"/>
  <c r="B2715" i="1" s="1"/>
  <c r="L2716" i="1"/>
  <c r="P2716" i="1"/>
  <c r="B2716" i="1" s="1"/>
  <c r="L2717" i="1"/>
  <c r="P2717" i="1"/>
  <c r="B2717" i="1" s="1"/>
  <c r="L2718" i="1"/>
  <c r="P2718" i="1"/>
  <c r="B2718" i="1" s="1"/>
  <c r="L2719" i="1"/>
  <c r="P2719" i="1"/>
  <c r="B2719" i="1" s="1"/>
  <c r="L2720" i="1"/>
  <c r="P2720" i="1"/>
  <c r="B2720" i="1" s="1"/>
  <c r="L2721" i="1"/>
  <c r="P2721" i="1"/>
  <c r="B2721" i="1" s="1"/>
  <c r="L2722" i="1"/>
  <c r="P2722" i="1"/>
  <c r="B2722" i="1" s="1"/>
  <c r="L2723" i="1"/>
  <c r="P2723" i="1"/>
  <c r="B2723" i="1" s="1"/>
  <c r="L2724" i="1"/>
  <c r="P2724" i="1"/>
  <c r="B2724" i="1" s="1"/>
  <c r="L2725" i="1"/>
  <c r="P2725" i="1"/>
  <c r="B2725" i="1" s="1"/>
  <c r="L2726" i="1"/>
  <c r="P2726" i="1"/>
  <c r="B2726" i="1" s="1"/>
  <c r="L2727" i="1"/>
  <c r="P2727" i="1"/>
  <c r="B2727" i="1" s="1"/>
  <c r="L2728" i="1"/>
  <c r="P2728" i="1"/>
  <c r="B2728" i="1" s="1"/>
  <c r="L2729" i="1"/>
  <c r="P2729" i="1"/>
  <c r="B2729" i="1" s="1"/>
  <c r="L2730" i="1"/>
  <c r="P2730" i="1"/>
  <c r="B2730" i="1" s="1"/>
  <c r="L2731" i="1"/>
  <c r="P2731" i="1"/>
  <c r="B2731" i="1" s="1"/>
  <c r="L2732" i="1"/>
  <c r="P2732" i="1"/>
  <c r="B2732" i="1" s="1"/>
  <c r="L2733" i="1"/>
  <c r="P2733" i="1"/>
  <c r="B2733" i="1" s="1"/>
  <c r="L2734" i="1"/>
  <c r="P2734" i="1"/>
  <c r="B2734" i="1" s="1"/>
  <c r="L2735" i="1"/>
  <c r="P2735" i="1"/>
  <c r="B2735" i="1" s="1"/>
  <c r="L2736" i="1"/>
  <c r="P2736" i="1"/>
  <c r="B2736" i="1" s="1"/>
  <c r="L2737" i="1"/>
  <c r="P2737" i="1"/>
  <c r="B2737" i="1" s="1"/>
  <c r="L2738" i="1"/>
  <c r="P2738" i="1"/>
  <c r="B2738" i="1" s="1"/>
  <c r="L2739" i="1"/>
  <c r="P2739" i="1"/>
  <c r="B2739" i="1" s="1"/>
  <c r="L2740" i="1"/>
  <c r="P2740" i="1"/>
  <c r="B2740" i="1" s="1"/>
  <c r="L2741" i="1"/>
  <c r="P2741" i="1"/>
  <c r="B2741" i="1" s="1"/>
  <c r="L2742" i="1"/>
  <c r="P2742" i="1"/>
  <c r="B2742" i="1" s="1"/>
  <c r="L2743" i="1"/>
  <c r="P2743" i="1"/>
  <c r="B2743" i="1" s="1"/>
  <c r="L2744" i="1"/>
  <c r="P2744" i="1"/>
  <c r="B2744" i="1" s="1"/>
  <c r="L2745" i="1"/>
  <c r="P2745" i="1"/>
  <c r="B2745" i="1" s="1"/>
  <c r="L2746" i="1"/>
  <c r="P2746" i="1"/>
  <c r="B2746" i="1" s="1"/>
  <c r="L2747" i="1"/>
  <c r="P2747" i="1"/>
  <c r="B2747" i="1" s="1"/>
  <c r="L2748" i="1"/>
  <c r="P2748" i="1"/>
  <c r="B2748" i="1" s="1"/>
  <c r="L2749" i="1"/>
  <c r="P2749" i="1"/>
  <c r="B2749" i="1" s="1"/>
  <c r="L2750" i="1"/>
  <c r="P2750" i="1"/>
  <c r="B2750" i="1" s="1"/>
  <c r="L2751" i="1"/>
  <c r="P2751" i="1"/>
  <c r="B2751" i="1" s="1"/>
  <c r="L2752" i="1"/>
  <c r="P2752" i="1"/>
  <c r="B2752" i="1" s="1"/>
  <c r="L2753" i="1"/>
  <c r="P2753" i="1"/>
  <c r="B2753" i="1" s="1"/>
  <c r="L2754" i="1"/>
  <c r="P2754" i="1"/>
  <c r="B2754" i="1" s="1"/>
  <c r="L2755" i="1"/>
  <c r="P2755" i="1"/>
  <c r="B2755" i="1" s="1"/>
  <c r="L2756" i="1"/>
  <c r="P2756" i="1"/>
  <c r="B2756" i="1" s="1"/>
  <c r="L2757" i="1"/>
  <c r="P2757" i="1"/>
  <c r="B2757" i="1" s="1"/>
  <c r="L2758" i="1"/>
  <c r="P2758" i="1"/>
  <c r="B2758" i="1" s="1"/>
  <c r="L2759" i="1"/>
  <c r="P2759" i="1"/>
  <c r="B2759" i="1" s="1"/>
  <c r="L2760" i="1"/>
  <c r="P2760" i="1"/>
  <c r="B2760" i="1" s="1"/>
  <c r="L2761" i="1"/>
  <c r="P2761" i="1"/>
  <c r="B2761" i="1" s="1"/>
  <c r="L2762" i="1"/>
  <c r="P2762" i="1"/>
  <c r="B2762" i="1" s="1"/>
  <c r="L2763" i="1"/>
  <c r="P2763" i="1"/>
  <c r="B2763" i="1" s="1"/>
  <c r="L2764" i="1"/>
  <c r="P2764" i="1"/>
  <c r="B2764" i="1" s="1"/>
  <c r="L2765" i="1"/>
  <c r="P2765" i="1"/>
  <c r="B2765" i="1" s="1"/>
  <c r="L2766" i="1"/>
  <c r="P2766" i="1"/>
  <c r="B2766" i="1" s="1"/>
  <c r="L2767" i="1"/>
  <c r="P2767" i="1"/>
  <c r="B2767" i="1" s="1"/>
  <c r="L2768" i="1"/>
  <c r="P2768" i="1"/>
  <c r="B2768" i="1" s="1"/>
  <c r="L2769" i="1"/>
  <c r="P2769" i="1"/>
  <c r="B2769" i="1" s="1"/>
  <c r="L2770" i="1"/>
  <c r="P2770" i="1"/>
  <c r="B2770" i="1" s="1"/>
  <c r="L2771" i="1"/>
  <c r="P2771" i="1"/>
  <c r="B2771" i="1" s="1"/>
  <c r="L2772" i="1"/>
  <c r="P2772" i="1"/>
  <c r="B2772" i="1" s="1"/>
  <c r="L2773" i="1"/>
  <c r="P2773" i="1"/>
  <c r="B2773" i="1" s="1"/>
  <c r="L2774" i="1"/>
  <c r="P2774" i="1"/>
  <c r="B2774" i="1" s="1"/>
  <c r="L2775" i="1"/>
  <c r="P2775" i="1"/>
  <c r="B2775" i="1" s="1"/>
  <c r="L2776" i="1"/>
  <c r="P2776" i="1"/>
  <c r="B2776" i="1" s="1"/>
  <c r="L2777" i="1"/>
  <c r="P2777" i="1"/>
  <c r="B2777" i="1" s="1"/>
  <c r="L2778" i="1"/>
  <c r="P2778" i="1"/>
  <c r="B2778" i="1" s="1"/>
  <c r="L2779" i="1"/>
  <c r="P2779" i="1"/>
  <c r="B2779" i="1" s="1"/>
  <c r="L2780" i="1"/>
  <c r="P2780" i="1"/>
  <c r="B2780" i="1" s="1"/>
  <c r="L2781" i="1"/>
  <c r="P2781" i="1"/>
  <c r="B2781" i="1" s="1"/>
  <c r="L2782" i="1"/>
  <c r="P2782" i="1"/>
  <c r="B2782" i="1" s="1"/>
  <c r="L2783" i="1"/>
  <c r="P2783" i="1"/>
  <c r="B2783" i="1" s="1"/>
  <c r="L2784" i="1"/>
  <c r="P2784" i="1"/>
  <c r="B2784" i="1" s="1"/>
  <c r="L2785" i="1"/>
  <c r="P2785" i="1"/>
  <c r="B2785" i="1" s="1"/>
  <c r="L2786" i="1"/>
  <c r="P2786" i="1"/>
  <c r="B2786" i="1" s="1"/>
  <c r="L2787" i="1"/>
  <c r="P2787" i="1"/>
  <c r="B2787" i="1" s="1"/>
  <c r="L2788" i="1"/>
  <c r="P2788" i="1"/>
  <c r="B2788" i="1" s="1"/>
  <c r="L2789" i="1"/>
  <c r="P2789" i="1"/>
  <c r="B2789" i="1" s="1"/>
  <c r="L2790" i="1"/>
  <c r="P2790" i="1"/>
  <c r="B2790" i="1" s="1"/>
  <c r="L2791" i="1"/>
  <c r="P2791" i="1"/>
  <c r="B2791" i="1" s="1"/>
  <c r="L2792" i="1"/>
  <c r="P2792" i="1"/>
  <c r="B2792" i="1" s="1"/>
  <c r="L2861" i="1"/>
  <c r="P2861" i="1"/>
  <c r="B2861" i="1" s="1"/>
  <c r="N2876" i="1"/>
  <c r="H2877" i="1"/>
  <c r="I2877" i="1"/>
  <c r="K2877" i="1"/>
  <c r="M2877" i="1"/>
  <c r="N2878" i="1"/>
  <c r="N2879" i="1"/>
  <c r="L2952" i="1"/>
  <c r="P2952" i="1"/>
  <c r="B2952" i="1" s="1"/>
  <c r="N3056" i="1"/>
  <c r="N3064" i="1"/>
  <c r="N3065" i="1"/>
  <c r="L3066" i="1"/>
  <c r="P3066" i="1"/>
  <c r="B3066" i="1" s="1"/>
  <c r="L3067" i="1"/>
  <c r="P3067" i="1"/>
  <c r="B3067" i="1" s="1"/>
  <c r="L3068" i="1"/>
  <c r="P3068" i="1"/>
  <c r="B3068" i="1" s="1"/>
  <c r="L3069" i="1"/>
  <c r="P3069" i="1"/>
  <c r="B3069" i="1" s="1"/>
  <c r="L3070" i="1"/>
  <c r="P3070" i="1"/>
  <c r="B3070" i="1" s="1"/>
  <c r="L3071" i="1"/>
  <c r="P3071" i="1"/>
  <c r="B3071" i="1" s="1"/>
  <c r="L3072" i="1"/>
  <c r="P3072" i="1"/>
  <c r="B3072" i="1" s="1"/>
  <c r="L3073" i="1"/>
  <c r="P3073" i="1"/>
  <c r="B3073" i="1" s="1"/>
  <c r="L3074" i="1"/>
  <c r="P3074" i="1"/>
  <c r="B3074" i="1" s="1"/>
  <c r="L3075" i="1"/>
  <c r="P3075" i="1"/>
  <c r="B3075" i="1" s="1"/>
  <c r="L3076" i="1"/>
  <c r="P3076" i="1"/>
  <c r="B3076" i="1" s="1"/>
  <c r="L3077" i="1"/>
  <c r="P3077" i="1"/>
  <c r="B3077" i="1" s="1"/>
  <c r="L3078" i="1"/>
  <c r="P3078" i="1"/>
  <c r="B3078" i="1" s="1"/>
  <c r="L3079" i="1"/>
  <c r="P3079" i="1"/>
  <c r="B3079" i="1" s="1"/>
  <c r="L3080" i="1"/>
  <c r="P3080" i="1"/>
  <c r="B3080" i="1" s="1"/>
  <c r="L3081" i="1"/>
  <c r="P3081" i="1"/>
  <c r="B3081" i="1" s="1"/>
  <c r="L3082" i="1"/>
  <c r="P3082" i="1"/>
  <c r="B3082" i="1" s="1"/>
  <c r="L3083" i="1"/>
  <c r="P3083" i="1"/>
  <c r="B3083" i="1" s="1"/>
  <c r="L3084" i="1"/>
  <c r="P3084" i="1"/>
  <c r="B3084" i="1" s="1"/>
  <c r="L3085" i="1"/>
  <c r="P3085" i="1"/>
  <c r="B3085" i="1" s="1"/>
  <c r="L3086" i="1"/>
  <c r="P3086" i="1"/>
  <c r="B3086" i="1" s="1"/>
  <c r="L3087" i="1"/>
  <c r="P3087" i="1"/>
  <c r="B3087" i="1" s="1"/>
  <c r="L3088" i="1"/>
  <c r="P3088" i="1"/>
  <c r="B3088" i="1" s="1"/>
  <c r="L3089" i="1"/>
  <c r="P3089" i="1"/>
  <c r="B3089" i="1" s="1"/>
  <c r="L3090" i="1"/>
  <c r="P3090" i="1"/>
  <c r="B3090" i="1" s="1"/>
  <c r="L3091" i="1"/>
  <c r="P3091" i="1"/>
  <c r="B3091" i="1" s="1"/>
  <c r="L3092" i="1"/>
  <c r="P3092" i="1"/>
  <c r="B3092" i="1" s="1"/>
  <c r="L3093" i="1"/>
  <c r="P3093" i="1"/>
  <c r="B3093" i="1" s="1"/>
  <c r="L3094" i="1"/>
  <c r="P3094" i="1"/>
  <c r="B3094" i="1" s="1"/>
  <c r="L3095" i="1"/>
  <c r="P3095" i="1"/>
  <c r="B3095" i="1" s="1"/>
  <c r="L3096" i="1"/>
  <c r="P3096" i="1"/>
  <c r="B3096" i="1" s="1"/>
  <c r="L3097" i="1"/>
  <c r="P3097" i="1"/>
  <c r="B3097" i="1" s="1"/>
  <c r="L3098" i="1"/>
  <c r="P3098" i="1"/>
  <c r="B3098" i="1" s="1"/>
  <c r="L3099" i="1"/>
  <c r="P3099" i="1"/>
  <c r="B3099" i="1" s="1"/>
  <c r="L3100" i="1"/>
  <c r="P3100" i="1"/>
  <c r="B3100" i="1" s="1"/>
  <c r="L3101" i="1"/>
  <c r="P3101" i="1"/>
  <c r="B3101" i="1" s="1"/>
  <c r="L3102" i="1"/>
  <c r="P3102" i="1"/>
  <c r="B3102" i="1" s="1"/>
  <c r="L3103" i="1"/>
  <c r="P3103" i="1"/>
  <c r="B3103" i="1" s="1"/>
  <c r="L3104" i="1"/>
  <c r="P3104" i="1"/>
  <c r="B3104" i="1" s="1"/>
  <c r="L3105" i="1"/>
  <c r="P3105" i="1"/>
  <c r="B3105" i="1" s="1"/>
  <c r="L3106" i="1"/>
  <c r="P3106" i="1"/>
  <c r="B3106" i="1" s="1"/>
  <c r="L3107" i="1"/>
  <c r="P3107" i="1"/>
  <c r="B3107" i="1" s="1"/>
  <c r="L3108" i="1"/>
  <c r="P3108" i="1"/>
  <c r="B3108" i="1" s="1"/>
  <c r="L3109" i="1"/>
  <c r="P3109" i="1"/>
  <c r="B3109" i="1" s="1"/>
  <c r="L3110" i="1"/>
  <c r="P3110" i="1"/>
  <c r="B3110" i="1" s="1"/>
  <c r="L3111" i="1"/>
  <c r="P3111" i="1"/>
  <c r="B3111" i="1" s="1"/>
  <c r="L3112" i="1"/>
  <c r="P3112" i="1"/>
  <c r="B3112" i="1" s="1"/>
  <c r="L3113" i="1"/>
  <c r="P3113" i="1"/>
  <c r="B3113" i="1" s="1"/>
  <c r="L3114" i="1"/>
  <c r="P3114" i="1"/>
  <c r="B3114" i="1" s="1"/>
  <c r="L3115" i="1"/>
  <c r="P3115" i="1"/>
  <c r="B3115" i="1" s="1"/>
  <c r="L3116" i="1"/>
  <c r="P3116" i="1"/>
  <c r="B3116" i="1" s="1"/>
  <c r="L3117" i="1"/>
  <c r="P3117" i="1"/>
  <c r="B3117" i="1" s="1"/>
  <c r="L3118" i="1"/>
  <c r="P3118" i="1"/>
  <c r="B3118" i="1" s="1"/>
  <c r="L3119" i="1"/>
  <c r="P3119" i="1"/>
  <c r="B3119" i="1" s="1"/>
  <c r="L3120" i="1"/>
  <c r="P3120" i="1"/>
  <c r="B3120" i="1" s="1"/>
  <c r="L3121" i="1"/>
  <c r="P3121" i="1"/>
  <c r="B3121" i="1" s="1"/>
  <c r="L3122" i="1"/>
  <c r="P3122" i="1"/>
  <c r="B3122" i="1" s="1"/>
  <c r="L3123" i="1"/>
  <c r="P3123" i="1"/>
  <c r="B3123" i="1" s="1"/>
  <c r="H3125" i="1"/>
  <c r="I3125" i="1"/>
  <c r="K3125" i="1"/>
  <c r="M3125" i="1"/>
  <c r="N3126" i="1"/>
  <c r="N3127" i="1"/>
  <c r="L3128" i="1"/>
  <c r="P3128" i="1"/>
  <c r="B3128" i="1" s="1"/>
  <c r="L3129" i="1"/>
  <c r="P3129" i="1"/>
  <c r="B3129" i="1" s="1"/>
  <c r="L3130" i="1"/>
  <c r="P3130" i="1"/>
  <c r="B3130" i="1" s="1"/>
  <c r="L3131" i="1"/>
  <c r="P3131" i="1"/>
  <c r="B3131" i="1" s="1"/>
  <c r="L3132" i="1"/>
  <c r="P3132" i="1"/>
  <c r="B3132" i="1" s="1"/>
  <c r="L3133" i="1"/>
  <c r="P3133" i="1"/>
  <c r="B3133" i="1" s="1"/>
  <c r="L3134" i="1"/>
  <c r="P3134" i="1"/>
  <c r="B3134" i="1" s="1"/>
  <c r="L3135" i="1"/>
  <c r="P3135" i="1"/>
  <c r="B3135" i="1" s="1"/>
  <c r="L3136" i="1"/>
  <c r="P3136" i="1"/>
  <c r="B3136" i="1" s="1"/>
  <c r="L3137" i="1"/>
  <c r="P3137" i="1"/>
  <c r="B3137" i="1" s="1"/>
  <c r="L3138" i="1"/>
  <c r="P3138" i="1"/>
  <c r="B3138" i="1" s="1"/>
  <c r="L3139" i="1"/>
  <c r="P3139" i="1"/>
  <c r="B3139" i="1" s="1"/>
  <c r="L3140" i="1"/>
  <c r="P3140" i="1"/>
  <c r="B3140" i="1" s="1"/>
  <c r="L3141" i="1"/>
  <c r="P3141" i="1"/>
  <c r="B3141" i="1" s="1"/>
  <c r="L3142" i="1"/>
  <c r="P3142" i="1"/>
  <c r="B3142" i="1" s="1"/>
  <c r="L3143" i="1"/>
  <c r="P3143" i="1"/>
  <c r="B3143" i="1" s="1"/>
  <c r="L3144" i="1"/>
  <c r="P3144" i="1"/>
  <c r="B3144" i="1" s="1"/>
  <c r="L3145" i="1"/>
  <c r="P3145" i="1"/>
  <c r="B3145" i="1" s="1"/>
  <c r="L3146" i="1"/>
  <c r="P3146" i="1"/>
  <c r="B3146" i="1" s="1"/>
  <c r="L3147" i="1"/>
  <c r="P3147" i="1"/>
  <c r="B3147" i="1" s="1"/>
  <c r="L3148" i="1"/>
  <c r="P3148" i="1"/>
  <c r="B3148" i="1" s="1"/>
  <c r="L3149" i="1"/>
  <c r="P3149" i="1"/>
  <c r="B3149" i="1" s="1"/>
  <c r="L3150" i="1"/>
  <c r="P3150" i="1"/>
  <c r="B3150" i="1" s="1"/>
  <c r="L3151" i="1"/>
  <c r="P3151" i="1"/>
  <c r="B3151" i="1" s="1"/>
  <c r="L3152" i="1"/>
  <c r="P3152" i="1"/>
  <c r="B3152" i="1" s="1"/>
  <c r="L3153" i="1"/>
  <c r="P3153" i="1"/>
  <c r="B3153" i="1" s="1"/>
  <c r="L3154" i="1"/>
  <c r="P3154" i="1"/>
  <c r="B3154" i="1" s="1"/>
  <c r="L3155" i="1"/>
  <c r="P3155" i="1"/>
  <c r="B3155" i="1" s="1"/>
  <c r="L3156" i="1"/>
  <c r="P3156" i="1"/>
  <c r="B3156" i="1" s="1"/>
  <c r="L3157" i="1"/>
  <c r="P3157" i="1"/>
  <c r="B3157" i="1" s="1"/>
  <c r="L3158" i="1"/>
  <c r="P3158" i="1"/>
  <c r="B3158" i="1" s="1"/>
  <c r="L3159" i="1"/>
  <c r="P3159" i="1"/>
  <c r="B3159" i="1" s="1"/>
  <c r="L3160" i="1"/>
  <c r="P3160" i="1"/>
  <c r="B3160" i="1" s="1"/>
  <c r="L3161" i="1"/>
  <c r="P3161" i="1"/>
  <c r="B3161" i="1" s="1"/>
  <c r="L3162" i="1"/>
  <c r="P3162" i="1"/>
  <c r="B3162" i="1" s="1"/>
  <c r="L3163" i="1"/>
  <c r="P3163" i="1"/>
  <c r="B3163" i="1" s="1"/>
  <c r="L3164" i="1"/>
  <c r="P3164" i="1"/>
  <c r="B3164" i="1" s="1"/>
  <c r="L3165" i="1"/>
  <c r="P3165" i="1"/>
  <c r="B3165" i="1" s="1"/>
  <c r="L3166" i="1"/>
  <c r="P3166" i="1"/>
  <c r="B3166" i="1" s="1"/>
  <c r="L3167" i="1"/>
  <c r="P3167" i="1"/>
  <c r="B3167" i="1" s="1"/>
  <c r="L3168" i="1"/>
  <c r="P3168" i="1"/>
  <c r="B3168" i="1" s="1"/>
  <c r="L3169" i="1"/>
  <c r="P3169" i="1"/>
  <c r="B3169" i="1" s="1"/>
  <c r="L3170" i="1"/>
  <c r="P3170" i="1"/>
  <c r="B3170" i="1" s="1"/>
  <c r="L3171" i="1"/>
  <c r="P3171" i="1"/>
  <c r="B3171" i="1" s="1"/>
  <c r="L3172" i="1"/>
  <c r="P3172" i="1"/>
  <c r="B3172" i="1" s="1"/>
  <c r="L3173" i="1"/>
  <c r="P3173" i="1"/>
  <c r="B3173" i="1" s="1"/>
  <c r="L3174" i="1"/>
  <c r="P3174" i="1"/>
  <c r="B3174" i="1" s="1"/>
  <c r="L3175" i="1"/>
  <c r="P3175" i="1"/>
  <c r="B3175" i="1" s="1"/>
  <c r="L3176" i="1"/>
  <c r="P3176" i="1"/>
  <c r="B3176" i="1" s="1"/>
  <c r="L3177" i="1"/>
  <c r="P3177" i="1"/>
  <c r="B3177" i="1" s="1"/>
  <c r="L3178" i="1"/>
  <c r="P3178" i="1"/>
  <c r="B3178" i="1" s="1"/>
  <c r="L3179" i="1"/>
  <c r="P3179" i="1"/>
  <c r="B3179" i="1" s="1"/>
  <c r="L3180" i="1"/>
  <c r="P3180" i="1"/>
  <c r="B3180" i="1" s="1"/>
  <c r="L3181" i="1"/>
  <c r="P3181" i="1"/>
  <c r="B3181" i="1" s="1"/>
  <c r="L3182" i="1"/>
  <c r="P3182" i="1"/>
  <c r="B3182" i="1" s="1"/>
  <c r="L3183" i="1"/>
  <c r="P3183" i="1"/>
  <c r="B3183" i="1" s="1"/>
  <c r="L3184" i="1"/>
  <c r="P3184" i="1"/>
  <c r="B3184" i="1" s="1"/>
  <c r="L3185" i="1"/>
  <c r="P3185" i="1"/>
  <c r="B3185" i="1" s="1"/>
  <c r="L3186" i="1"/>
  <c r="P3186" i="1"/>
  <c r="B3186" i="1" s="1"/>
  <c r="L3187" i="1"/>
  <c r="P3187" i="1"/>
  <c r="B3187" i="1" s="1"/>
  <c r="L3188" i="1"/>
  <c r="P3188" i="1"/>
  <c r="B3188" i="1" s="1"/>
  <c r="L3189" i="1"/>
  <c r="P3189" i="1"/>
  <c r="B3189" i="1" s="1"/>
  <c r="L3190" i="1"/>
  <c r="P3190" i="1"/>
  <c r="B3190" i="1" s="1"/>
  <c r="L3191" i="1"/>
  <c r="P3191" i="1"/>
  <c r="B3191" i="1" s="1"/>
  <c r="L3192" i="1"/>
  <c r="P3192" i="1"/>
  <c r="B3192" i="1" s="1"/>
  <c r="L3193" i="1"/>
  <c r="P3193" i="1"/>
  <c r="B3193" i="1" s="1"/>
  <c r="L3194" i="1"/>
  <c r="P3194" i="1"/>
  <c r="B3194" i="1" s="1"/>
  <c r="L3195" i="1"/>
  <c r="P3195" i="1"/>
  <c r="B3195" i="1" s="1"/>
  <c r="L3196" i="1"/>
  <c r="P3196" i="1"/>
  <c r="B3196" i="1" s="1"/>
  <c r="L3197" i="1"/>
  <c r="P3197" i="1"/>
  <c r="B3197" i="1" s="1"/>
  <c r="L3198" i="1"/>
  <c r="P3198" i="1"/>
  <c r="B3198" i="1" s="1"/>
  <c r="L3199" i="1"/>
  <c r="P3199" i="1"/>
  <c r="B3199" i="1" s="1"/>
  <c r="L3200" i="1"/>
  <c r="P3200" i="1"/>
  <c r="B3200" i="1" s="1"/>
  <c r="L3201" i="1"/>
  <c r="P3201" i="1"/>
  <c r="B3201" i="1" s="1"/>
  <c r="L3202" i="1"/>
  <c r="P3202" i="1"/>
  <c r="B3202" i="1" s="1"/>
  <c r="L3203" i="1"/>
  <c r="P3203" i="1"/>
  <c r="B3203" i="1" s="1"/>
  <c r="L3204" i="1"/>
  <c r="P3204" i="1"/>
  <c r="B3204" i="1" s="1"/>
  <c r="L3205" i="1"/>
  <c r="P3205" i="1"/>
  <c r="B3205" i="1" s="1"/>
  <c r="L3206" i="1"/>
  <c r="P3206" i="1"/>
  <c r="B3206" i="1" s="1"/>
  <c r="L3207" i="1"/>
  <c r="P3207" i="1"/>
  <c r="B3207" i="1" s="1"/>
  <c r="L3208" i="1"/>
  <c r="P3208" i="1"/>
  <c r="B3208" i="1" s="1"/>
  <c r="L3209" i="1"/>
  <c r="P3209" i="1"/>
  <c r="B3209" i="1" s="1"/>
  <c r="L3210" i="1"/>
  <c r="P3210" i="1"/>
  <c r="B3210" i="1" s="1"/>
  <c r="L3211" i="1"/>
  <c r="P3211" i="1"/>
  <c r="B3211" i="1" s="1"/>
  <c r="L3212" i="1"/>
  <c r="P3212" i="1"/>
  <c r="B3212" i="1" s="1"/>
  <c r="L3213" i="1"/>
  <c r="P3213" i="1"/>
  <c r="B3213" i="1" s="1"/>
  <c r="L3214" i="1"/>
  <c r="P3214" i="1"/>
  <c r="B3214" i="1" s="1"/>
  <c r="L3215" i="1"/>
  <c r="P3215" i="1"/>
  <c r="B3215" i="1" s="1"/>
  <c r="L3216" i="1"/>
  <c r="P3216" i="1"/>
  <c r="B3216" i="1" s="1"/>
  <c r="L3217" i="1"/>
  <c r="P3217" i="1"/>
  <c r="B3217" i="1" s="1"/>
  <c r="L3218" i="1"/>
  <c r="P3218" i="1"/>
  <c r="B3218" i="1" s="1"/>
  <c r="L3219" i="1"/>
  <c r="P3219" i="1"/>
  <c r="B3219" i="1" s="1"/>
  <c r="L3220" i="1"/>
  <c r="P3220" i="1"/>
  <c r="B3220" i="1" s="1"/>
  <c r="L3221" i="1"/>
  <c r="P3221" i="1"/>
  <c r="B3221" i="1" s="1"/>
  <c r="L3222" i="1"/>
  <c r="P3222" i="1"/>
  <c r="B3222" i="1" s="1"/>
  <c r="N3223" i="1"/>
  <c r="H3224" i="1"/>
  <c r="I3224" i="1"/>
  <c r="K3224" i="1"/>
  <c r="M3224" i="1"/>
  <c r="N3225" i="1"/>
  <c r="N3226" i="1"/>
  <c r="L3227" i="1"/>
  <c r="P3227" i="1"/>
  <c r="B3227" i="1" s="1"/>
  <c r="L3228" i="1"/>
  <c r="P3228" i="1"/>
  <c r="B3228" i="1" s="1"/>
  <c r="L3229" i="1"/>
  <c r="P3229" i="1"/>
  <c r="B3229" i="1" s="1"/>
  <c r="L3230" i="1"/>
  <c r="P3230" i="1"/>
  <c r="B3230" i="1" s="1"/>
  <c r="L3231" i="1"/>
  <c r="P3231" i="1"/>
  <c r="B3231" i="1" s="1"/>
  <c r="L3232" i="1"/>
  <c r="P3232" i="1"/>
  <c r="B3232" i="1" s="1"/>
  <c r="L3233" i="1"/>
  <c r="P3233" i="1"/>
  <c r="B3233" i="1" s="1"/>
  <c r="L3234" i="1"/>
  <c r="P3234" i="1"/>
  <c r="B3234" i="1" s="1"/>
  <c r="L3235" i="1"/>
  <c r="P3235" i="1"/>
  <c r="B3235" i="1" s="1"/>
  <c r="L3236" i="1"/>
  <c r="P3236" i="1"/>
  <c r="B3236" i="1" s="1"/>
  <c r="L3237" i="1"/>
  <c r="P3237" i="1"/>
  <c r="B3237" i="1" s="1"/>
  <c r="L3238" i="1"/>
  <c r="P3238" i="1"/>
  <c r="B3238" i="1" s="1"/>
  <c r="L3239" i="1"/>
  <c r="P3239" i="1"/>
  <c r="B3239" i="1" s="1"/>
  <c r="L3240" i="1"/>
  <c r="P3240" i="1"/>
  <c r="B3240" i="1" s="1"/>
  <c r="L3241" i="1"/>
  <c r="P3241" i="1"/>
  <c r="B3241" i="1" s="1"/>
  <c r="L3242" i="1"/>
  <c r="P3242" i="1"/>
  <c r="B3242" i="1" s="1"/>
  <c r="L3243" i="1"/>
  <c r="P3243" i="1"/>
  <c r="B3243" i="1" s="1"/>
  <c r="L3244" i="1"/>
  <c r="P3244" i="1"/>
  <c r="B3244" i="1" s="1"/>
  <c r="L3245" i="1"/>
  <c r="P3245" i="1"/>
  <c r="B3245" i="1" s="1"/>
  <c r="L3246" i="1"/>
  <c r="P3246" i="1"/>
  <c r="B3246" i="1" s="1"/>
  <c r="L3247" i="1"/>
  <c r="P3247" i="1"/>
  <c r="B3247" i="1" s="1"/>
  <c r="L3248" i="1"/>
  <c r="P3248" i="1"/>
  <c r="B3248" i="1" s="1"/>
  <c r="L3249" i="1"/>
  <c r="P3249" i="1"/>
  <c r="B3249" i="1" s="1"/>
  <c r="L3250" i="1"/>
  <c r="P3250" i="1"/>
  <c r="B3250" i="1" s="1"/>
  <c r="L3251" i="1"/>
  <c r="P3251" i="1"/>
  <c r="B3251" i="1" s="1"/>
  <c r="L3252" i="1"/>
  <c r="P3252" i="1"/>
  <c r="B3252" i="1" s="1"/>
  <c r="L3253" i="1"/>
  <c r="P3253" i="1"/>
  <c r="B3253" i="1" s="1"/>
  <c r="L3254" i="1"/>
  <c r="P3254" i="1"/>
  <c r="B3254" i="1" s="1"/>
  <c r="L3255" i="1"/>
  <c r="P3255" i="1"/>
  <c r="B3255" i="1" s="1"/>
  <c r="L3256" i="1"/>
  <c r="P3256" i="1"/>
  <c r="B3256" i="1" s="1"/>
  <c r="L3257" i="1"/>
  <c r="P3257" i="1"/>
  <c r="B3257" i="1" s="1"/>
  <c r="L3258" i="1"/>
  <c r="P3258" i="1"/>
  <c r="B3258" i="1" s="1"/>
  <c r="L3259" i="1"/>
  <c r="P3259" i="1"/>
  <c r="B3259" i="1" s="1"/>
  <c r="L3260" i="1"/>
  <c r="P3260" i="1"/>
  <c r="B3260" i="1" s="1"/>
  <c r="L3261" i="1"/>
  <c r="P3261" i="1"/>
  <c r="B3261" i="1" s="1"/>
  <c r="L3262" i="1"/>
  <c r="P3262" i="1"/>
  <c r="B3262" i="1" s="1"/>
  <c r="L3263" i="1"/>
  <c r="P3263" i="1"/>
  <c r="B3263" i="1" s="1"/>
  <c r="L3264" i="1"/>
  <c r="P3264" i="1"/>
  <c r="B3264" i="1" s="1"/>
  <c r="L3265" i="1"/>
  <c r="P3265" i="1"/>
  <c r="B3265" i="1" s="1"/>
  <c r="L3266" i="1"/>
  <c r="P3266" i="1"/>
  <c r="B3266" i="1" s="1"/>
  <c r="L3267" i="1"/>
  <c r="P3267" i="1"/>
  <c r="B3267" i="1" s="1"/>
  <c r="L3268" i="1"/>
  <c r="P3268" i="1"/>
  <c r="B3268" i="1" s="1"/>
  <c r="L3269" i="1"/>
  <c r="P3269" i="1"/>
  <c r="B3269" i="1" s="1"/>
  <c r="L3270" i="1"/>
  <c r="P3270" i="1"/>
  <c r="B3270" i="1" s="1"/>
  <c r="L3271" i="1"/>
  <c r="P3271" i="1"/>
  <c r="B3271" i="1" s="1"/>
  <c r="L3272" i="1"/>
  <c r="P3272" i="1"/>
  <c r="B3272" i="1" s="1"/>
  <c r="L3273" i="1"/>
  <c r="P3273" i="1"/>
  <c r="B3273" i="1" s="1"/>
  <c r="L3274" i="1"/>
  <c r="P3274" i="1"/>
  <c r="B3274" i="1" s="1"/>
  <c r="L3275" i="1"/>
  <c r="P3275" i="1"/>
  <c r="B3275" i="1" s="1"/>
  <c r="L3276" i="1"/>
  <c r="P3276" i="1"/>
  <c r="B3276" i="1" s="1"/>
  <c r="L3277" i="1"/>
  <c r="P3277" i="1"/>
  <c r="B3277" i="1" s="1"/>
  <c r="L3278" i="1"/>
  <c r="P3278" i="1"/>
  <c r="B3278" i="1" s="1"/>
  <c r="L3279" i="1"/>
  <c r="P3279" i="1"/>
  <c r="B3279" i="1" s="1"/>
  <c r="L3280" i="1"/>
  <c r="P3280" i="1"/>
  <c r="B3280" i="1" s="1"/>
  <c r="L3281" i="1"/>
  <c r="P3281" i="1"/>
  <c r="B3281" i="1" s="1"/>
  <c r="L3282" i="1"/>
  <c r="P3282" i="1"/>
  <c r="B3282" i="1" s="1"/>
  <c r="L3283" i="1"/>
  <c r="P3283" i="1"/>
  <c r="B3283" i="1" s="1"/>
  <c r="L3284" i="1"/>
  <c r="P3284" i="1"/>
  <c r="B3284" i="1" s="1"/>
  <c r="L3285" i="1"/>
  <c r="P3285" i="1"/>
  <c r="B3285" i="1" s="1"/>
  <c r="L3286" i="1"/>
  <c r="P3286" i="1"/>
  <c r="B3286" i="1" s="1"/>
  <c r="L3287" i="1"/>
  <c r="P3287" i="1"/>
  <c r="B3287" i="1" s="1"/>
  <c r="L3288" i="1"/>
  <c r="P3288" i="1"/>
  <c r="B3288" i="1" s="1"/>
  <c r="L3289" i="1"/>
  <c r="P3289" i="1"/>
  <c r="B3289" i="1" s="1"/>
  <c r="L3290" i="1"/>
  <c r="P3290" i="1"/>
  <c r="B3290" i="1" s="1"/>
  <c r="L3291" i="1"/>
  <c r="P3291" i="1"/>
  <c r="B3291" i="1" s="1"/>
  <c r="L3292" i="1"/>
  <c r="P3292" i="1"/>
  <c r="B3292" i="1" s="1"/>
  <c r="L3293" i="1"/>
  <c r="P3293" i="1"/>
  <c r="B3293" i="1" s="1"/>
  <c r="L3294" i="1"/>
  <c r="P3294" i="1"/>
  <c r="B3294" i="1" s="1"/>
  <c r="L3295" i="1"/>
  <c r="P3295" i="1"/>
  <c r="B3295" i="1" s="1"/>
  <c r="L3296" i="1"/>
  <c r="P3296" i="1"/>
  <c r="B3296" i="1" s="1"/>
  <c r="L3297" i="1"/>
  <c r="P3297" i="1"/>
  <c r="B3297" i="1" s="1"/>
  <c r="L3298" i="1"/>
  <c r="P3298" i="1"/>
  <c r="B3298" i="1" s="1"/>
  <c r="L3299" i="1"/>
  <c r="P3299" i="1"/>
  <c r="B3299" i="1" s="1"/>
  <c r="L3300" i="1"/>
  <c r="P3300" i="1"/>
  <c r="B3300" i="1" s="1"/>
  <c r="L3301" i="1"/>
  <c r="P3301" i="1"/>
  <c r="B3301" i="1" s="1"/>
  <c r="L3302" i="1"/>
  <c r="P3302" i="1"/>
  <c r="B3302" i="1" s="1"/>
  <c r="L3303" i="1"/>
  <c r="P3303" i="1"/>
  <c r="B3303" i="1" s="1"/>
  <c r="L3304" i="1"/>
  <c r="P3304" i="1"/>
  <c r="B3304" i="1" s="1"/>
  <c r="L3305" i="1"/>
  <c r="P3305" i="1"/>
  <c r="B3305" i="1" s="1"/>
  <c r="L3306" i="1"/>
  <c r="P3306" i="1"/>
  <c r="B3306" i="1" s="1"/>
  <c r="L3307" i="1"/>
  <c r="P3307" i="1"/>
  <c r="B3307" i="1" s="1"/>
  <c r="L3308" i="1"/>
  <c r="P3308" i="1"/>
  <c r="B3308" i="1" s="1"/>
  <c r="L3309" i="1"/>
  <c r="P3309" i="1"/>
  <c r="B3309" i="1" s="1"/>
  <c r="L3310" i="1"/>
  <c r="P3310" i="1"/>
  <c r="B3310" i="1" s="1"/>
  <c r="L3311" i="1"/>
  <c r="P3311" i="1"/>
  <c r="B3311" i="1" s="1"/>
  <c r="L3312" i="1"/>
  <c r="P3312" i="1"/>
  <c r="B3312" i="1" s="1"/>
  <c r="L3313" i="1"/>
  <c r="P3313" i="1"/>
  <c r="B3313" i="1" s="1"/>
  <c r="L3314" i="1"/>
  <c r="P3314" i="1"/>
  <c r="B3314" i="1" s="1"/>
  <c r="L3315" i="1"/>
  <c r="P3315" i="1"/>
  <c r="B3315" i="1" s="1"/>
  <c r="N3401" i="1"/>
  <c r="H3402" i="1"/>
  <c r="M3402" i="1"/>
  <c r="N3403" i="1"/>
  <c r="N3404" i="1"/>
  <c r="L3405" i="1"/>
  <c r="P3405" i="1"/>
  <c r="B3405" i="1" s="1"/>
  <c r="L3406" i="1"/>
  <c r="P3406" i="1"/>
  <c r="B3406" i="1" s="1"/>
  <c r="L3407" i="1"/>
  <c r="P3407" i="1"/>
  <c r="B3407" i="1" s="1"/>
  <c r="L3408" i="1"/>
  <c r="P3408" i="1"/>
  <c r="B3408" i="1" s="1"/>
  <c r="L3409" i="1"/>
  <c r="P3409" i="1"/>
  <c r="B3409" i="1" s="1"/>
  <c r="L3410" i="1"/>
  <c r="P3410" i="1"/>
  <c r="B3410" i="1" s="1"/>
  <c r="L3411" i="1"/>
  <c r="P3411" i="1"/>
  <c r="B3411" i="1" s="1"/>
  <c r="L3412" i="1"/>
  <c r="P3412" i="1"/>
  <c r="B3412" i="1" s="1"/>
  <c r="L3413" i="1"/>
  <c r="P3413" i="1"/>
  <c r="B3413" i="1" s="1"/>
  <c r="L3414" i="1"/>
  <c r="P3414" i="1"/>
  <c r="B3414" i="1" s="1"/>
  <c r="L3415" i="1"/>
  <c r="P3415" i="1"/>
  <c r="B3415" i="1" s="1"/>
  <c r="L3416" i="1"/>
  <c r="P3416" i="1"/>
  <c r="B3416" i="1" s="1"/>
  <c r="L3417" i="1"/>
  <c r="P3417" i="1"/>
  <c r="B3417" i="1" s="1"/>
  <c r="L3418" i="1"/>
  <c r="P3418" i="1"/>
  <c r="B3418" i="1" s="1"/>
  <c r="L3419" i="1"/>
  <c r="P3419" i="1"/>
  <c r="B3419" i="1" s="1"/>
  <c r="L3420" i="1"/>
  <c r="P3420" i="1"/>
  <c r="B3420" i="1" s="1"/>
  <c r="L3421" i="1"/>
  <c r="P3421" i="1"/>
  <c r="B3421" i="1" s="1"/>
  <c r="L3422" i="1"/>
  <c r="P3422" i="1"/>
  <c r="B3422" i="1" s="1"/>
  <c r="L3423" i="1"/>
  <c r="P3423" i="1"/>
  <c r="B3423" i="1" s="1"/>
  <c r="L3424" i="1"/>
  <c r="P3424" i="1"/>
  <c r="B3424" i="1" s="1"/>
  <c r="L3425" i="1"/>
  <c r="P3425" i="1"/>
  <c r="B3425" i="1" s="1"/>
  <c r="L3426" i="1"/>
  <c r="P3426" i="1"/>
  <c r="B3426" i="1" s="1"/>
  <c r="L3427" i="1"/>
  <c r="P3427" i="1"/>
  <c r="B3427" i="1" s="1"/>
  <c r="L3428" i="1"/>
  <c r="P3428" i="1"/>
  <c r="B3428" i="1" s="1"/>
  <c r="L3429" i="1"/>
  <c r="P3429" i="1"/>
  <c r="B3429" i="1" s="1"/>
  <c r="L3430" i="1"/>
  <c r="P3430" i="1"/>
  <c r="B3430" i="1" s="1"/>
  <c r="L3431" i="1"/>
  <c r="P3431" i="1"/>
  <c r="B3431" i="1" s="1"/>
  <c r="L3432" i="1"/>
  <c r="P3432" i="1"/>
  <c r="B3432" i="1" s="1"/>
  <c r="L3433" i="1"/>
  <c r="P3433" i="1"/>
  <c r="B3433" i="1" s="1"/>
  <c r="L3434" i="1"/>
  <c r="P3434" i="1"/>
  <c r="B3434" i="1" s="1"/>
  <c r="L3435" i="1"/>
  <c r="P3435" i="1"/>
  <c r="B3435" i="1" s="1"/>
  <c r="L3436" i="1"/>
  <c r="P3436" i="1"/>
  <c r="B3436" i="1" s="1"/>
  <c r="L3437" i="1"/>
  <c r="P3437" i="1"/>
  <c r="B3437" i="1" s="1"/>
  <c r="L3438" i="1"/>
  <c r="P3438" i="1"/>
  <c r="B3438" i="1" s="1"/>
  <c r="L3439" i="1"/>
  <c r="P3439" i="1"/>
  <c r="B3439" i="1" s="1"/>
  <c r="L3440" i="1"/>
  <c r="P3440" i="1"/>
  <c r="B3440" i="1" s="1"/>
  <c r="L3441" i="1"/>
  <c r="P3441" i="1"/>
  <c r="B3441" i="1" s="1"/>
  <c r="L3442" i="1"/>
  <c r="P3442" i="1"/>
  <c r="B3442" i="1" s="1"/>
  <c r="L3444" i="1"/>
  <c r="P3444" i="1"/>
  <c r="B3444" i="1" s="1"/>
  <c r="L3445" i="1"/>
  <c r="P3445" i="1"/>
  <c r="B3445" i="1" s="1"/>
  <c r="L3446" i="1"/>
  <c r="P3446" i="1"/>
  <c r="B3446" i="1" s="1"/>
  <c r="L3447" i="1"/>
  <c r="P3447" i="1"/>
  <c r="B3447" i="1" s="1"/>
  <c r="L3448" i="1"/>
  <c r="P3448" i="1"/>
  <c r="B3448" i="1" s="1"/>
  <c r="L3449" i="1"/>
  <c r="P3449" i="1"/>
  <c r="B3449" i="1" s="1"/>
  <c r="L3450" i="1"/>
  <c r="P3450" i="1"/>
  <c r="B3450" i="1" s="1"/>
  <c r="L3451" i="1"/>
  <c r="P3451" i="1"/>
  <c r="B3451" i="1" s="1"/>
  <c r="L3453" i="1"/>
  <c r="P3453" i="1"/>
  <c r="B3453" i="1" s="1"/>
  <c r="L3454" i="1"/>
  <c r="P3454" i="1"/>
  <c r="B3454" i="1" s="1"/>
  <c r="L3455" i="1"/>
  <c r="P3455" i="1"/>
  <c r="B3455" i="1" s="1"/>
  <c r="L3456" i="1"/>
  <c r="P3456" i="1"/>
  <c r="B3456" i="1" s="1"/>
  <c r="L3457" i="1"/>
  <c r="P3457" i="1"/>
  <c r="B3457" i="1" s="1"/>
  <c r="L3458" i="1"/>
  <c r="P3458" i="1"/>
  <c r="B3458" i="1" s="1"/>
  <c r="L3459" i="1"/>
  <c r="P3459" i="1"/>
  <c r="B3459" i="1" s="1"/>
  <c r="L3461" i="1"/>
  <c r="P3461" i="1"/>
  <c r="B3461" i="1" s="1"/>
  <c r="L3462" i="1"/>
  <c r="P3462" i="1"/>
  <c r="B3462" i="1" s="1"/>
  <c r="L3463" i="1"/>
  <c r="P3463" i="1"/>
  <c r="B3463" i="1" s="1"/>
  <c r="L3464" i="1"/>
  <c r="P3464" i="1"/>
  <c r="B3464" i="1" s="1"/>
  <c r="L3466" i="1"/>
  <c r="P3466" i="1"/>
  <c r="B3466" i="1" s="1"/>
  <c r="L3468" i="1"/>
  <c r="P3468" i="1"/>
  <c r="B3468" i="1" s="1"/>
  <c r="L3469" i="1"/>
  <c r="P3469" i="1"/>
  <c r="B3469" i="1" s="1"/>
  <c r="L3470" i="1"/>
  <c r="P3470" i="1"/>
  <c r="B3470" i="1" s="1"/>
  <c r="L3471" i="1"/>
  <c r="P3471" i="1"/>
  <c r="B3471" i="1" s="1"/>
  <c r="L3472" i="1"/>
  <c r="P3472" i="1"/>
  <c r="B3472" i="1" s="1"/>
  <c r="L3473" i="1"/>
  <c r="P3473" i="1"/>
  <c r="B3473" i="1" s="1"/>
  <c r="L3474" i="1"/>
  <c r="P3474" i="1"/>
  <c r="B3474" i="1" s="1"/>
  <c r="L3475" i="1"/>
  <c r="P3475" i="1"/>
  <c r="B3475" i="1" s="1"/>
  <c r="L3476" i="1"/>
  <c r="P3476" i="1"/>
  <c r="B3476" i="1" s="1"/>
  <c r="L3478" i="1"/>
  <c r="P3478" i="1"/>
  <c r="B3478" i="1" s="1"/>
  <c r="L3479" i="1"/>
  <c r="P3479" i="1"/>
  <c r="B3479" i="1" s="1"/>
  <c r="L3480" i="1"/>
  <c r="P3480" i="1"/>
  <c r="B3480" i="1" s="1"/>
  <c r="L3481" i="1"/>
  <c r="P3481" i="1"/>
  <c r="B3481" i="1" s="1"/>
  <c r="L3482" i="1"/>
  <c r="P3482" i="1"/>
  <c r="B3482" i="1" s="1"/>
  <c r="L3483" i="1"/>
  <c r="P3483" i="1"/>
  <c r="B3483" i="1" s="1"/>
  <c r="L3484" i="1"/>
  <c r="P3484" i="1"/>
  <c r="B3484" i="1" s="1"/>
  <c r="L3485" i="1"/>
  <c r="P3485" i="1"/>
  <c r="B3485" i="1" s="1"/>
  <c r="L3486" i="1"/>
  <c r="P3486" i="1"/>
  <c r="B3486" i="1" s="1"/>
  <c r="L3487" i="1"/>
  <c r="P3487" i="1"/>
  <c r="B3487" i="1" s="1"/>
  <c r="L3488" i="1"/>
  <c r="P3488" i="1"/>
  <c r="B3488" i="1" s="1"/>
  <c r="L3489" i="1"/>
  <c r="P3489" i="1"/>
  <c r="B3489" i="1" s="1"/>
  <c r="L3490" i="1"/>
  <c r="P3490" i="1"/>
  <c r="B3490" i="1" s="1"/>
  <c r="L3491" i="1"/>
  <c r="P3491" i="1"/>
  <c r="B3491" i="1" s="1"/>
  <c r="L3492" i="1"/>
  <c r="P3492" i="1"/>
  <c r="B3492" i="1" s="1"/>
  <c r="L3494" i="1"/>
  <c r="P3494" i="1"/>
  <c r="B3494" i="1" s="1"/>
  <c r="L3495" i="1"/>
  <c r="P3495" i="1"/>
  <c r="B3495" i="1" s="1"/>
  <c r="L3497" i="1"/>
  <c r="P3497" i="1"/>
  <c r="B3497" i="1" s="1"/>
  <c r="L3499" i="1"/>
  <c r="P3499" i="1"/>
  <c r="B3499" i="1" s="1"/>
  <c r="L3503" i="1"/>
  <c r="P3503" i="1"/>
  <c r="B3503" i="1" s="1"/>
  <c r="L3504" i="1"/>
  <c r="P3504" i="1"/>
  <c r="B3504" i="1" s="1"/>
  <c r="L3505" i="1"/>
  <c r="P3505" i="1"/>
  <c r="B3505" i="1" s="1"/>
  <c r="L3506" i="1"/>
  <c r="P3506" i="1"/>
  <c r="B3506" i="1" s="1"/>
  <c r="L3507" i="1"/>
  <c r="P3507" i="1"/>
  <c r="B3507" i="1" s="1"/>
  <c r="L3508" i="1"/>
  <c r="P3508" i="1"/>
  <c r="B3508" i="1" s="1"/>
  <c r="L3509" i="1"/>
  <c r="P3509" i="1"/>
  <c r="B3509" i="1" s="1"/>
  <c r="L3510" i="1"/>
  <c r="P3510" i="1"/>
  <c r="B3510" i="1" s="1"/>
  <c r="L3511" i="1"/>
  <c r="P3511" i="1"/>
  <c r="B3511" i="1" s="1"/>
  <c r="L3512" i="1"/>
  <c r="P3512" i="1"/>
  <c r="B3512" i="1" s="1"/>
  <c r="L3514" i="1"/>
  <c r="P3514" i="1"/>
  <c r="B3514" i="1" s="1"/>
  <c r="L3515" i="1"/>
  <c r="P3515" i="1"/>
  <c r="B3515" i="1" s="1"/>
  <c r="L3516" i="1"/>
  <c r="P3516" i="1"/>
  <c r="B3516" i="1" s="1"/>
  <c r="L3517" i="1"/>
  <c r="P3517" i="1"/>
  <c r="B3517" i="1" s="1"/>
  <c r="L3518" i="1"/>
  <c r="P3518" i="1"/>
  <c r="B3518" i="1" s="1"/>
  <c r="L3519" i="1"/>
  <c r="P3519" i="1"/>
  <c r="B3519" i="1" s="1"/>
  <c r="L3520" i="1"/>
  <c r="P3520" i="1"/>
  <c r="B3520" i="1" s="1"/>
  <c r="L3521" i="1"/>
  <c r="P3521" i="1"/>
  <c r="B3521" i="1" s="1"/>
  <c r="L3522" i="1"/>
  <c r="P3522" i="1"/>
  <c r="B3522" i="1" s="1"/>
  <c r="L3523" i="1"/>
  <c r="P3523" i="1"/>
  <c r="B3523" i="1" s="1"/>
  <c r="L3524" i="1"/>
  <c r="P3524" i="1"/>
  <c r="B3524" i="1" s="1"/>
  <c r="L3525" i="1"/>
  <c r="P3525" i="1"/>
  <c r="B3525" i="1" s="1"/>
  <c r="L3526" i="1"/>
  <c r="P3526" i="1"/>
  <c r="B3526" i="1" s="1"/>
  <c r="L3527" i="1"/>
  <c r="P3527" i="1"/>
  <c r="B3527" i="1" s="1"/>
  <c r="L3528" i="1"/>
  <c r="P3528" i="1"/>
  <c r="B3528" i="1" s="1"/>
  <c r="L3529" i="1"/>
  <c r="P3529" i="1"/>
  <c r="B3529" i="1" s="1"/>
  <c r="L3530" i="1"/>
  <c r="P3530" i="1"/>
  <c r="B3530" i="1" s="1"/>
  <c r="L3531" i="1"/>
  <c r="P3531" i="1"/>
  <c r="B3531" i="1" s="1"/>
  <c r="L3532" i="1"/>
  <c r="P3532" i="1"/>
  <c r="B3532" i="1" s="1"/>
  <c r="L3533" i="1"/>
  <c r="P3533" i="1"/>
  <c r="B3533" i="1" s="1"/>
  <c r="L3535" i="1"/>
  <c r="P3535" i="1"/>
  <c r="B3535" i="1" s="1"/>
  <c r="L3536" i="1"/>
  <c r="P3536" i="1"/>
  <c r="B3536" i="1" s="1"/>
  <c r="L3537" i="1"/>
  <c r="P3537" i="1"/>
  <c r="B3537" i="1" s="1"/>
  <c r="L3538" i="1"/>
  <c r="P3538" i="1"/>
  <c r="B3538" i="1" s="1"/>
  <c r="L3539" i="1"/>
  <c r="P3539" i="1"/>
  <c r="B3539" i="1" s="1"/>
  <c r="L3540" i="1"/>
  <c r="P3540" i="1"/>
  <c r="B3540" i="1" s="1"/>
  <c r="L3541" i="1"/>
  <c r="P3541" i="1"/>
  <c r="B3541" i="1" s="1"/>
  <c r="L3542" i="1"/>
  <c r="P3542" i="1"/>
  <c r="B3542" i="1" s="1"/>
  <c r="L3543" i="1"/>
  <c r="P3543" i="1"/>
  <c r="B3543" i="1" s="1"/>
  <c r="L3544" i="1"/>
  <c r="P3544" i="1"/>
  <c r="B3544" i="1" s="1"/>
  <c r="L3545" i="1"/>
  <c r="P3545" i="1"/>
  <c r="B3545" i="1" s="1"/>
  <c r="L3546" i="1"/>
  <c r="P3546" i="1"/>
  <c r="B3546" i="1" s="1"/>
  <c r="L3547" i="1"/>
  <c r="P3547" i="1"/>
  <c r="B3547" i="1" s="1"/>
  <c r="L3548" i="1"/>
  <c r="P3548" i="1"/>
  <c r="B3548" i="1" s="1"/>
  <c r="L3549" i="1"/>
  <c r="P3549" i="1"/>
  <c r="B3549" i="1" s="1"/>
  <c r="L3550" i="1"/>
  <c r="P3550" i="1"/>
  <c r="B3550" i="1" s="1"/>
  <c r="L3551" i="1"/>
  <c r="P3551" i="1"/>
  <c r="B3551" i="1" s="1"/>
  <c r="L3552" i="1"/>
  <c r="P3552" i="1"/>
  <c r="B3552" i="1" s="1"/>
  <c r="L3553" i="1"/>
  <c r="P3553" i="1"/>
  <c r="B3553" i="1" s="1"/>
  <c r="L3554" i="1"/>
  <c r="P3554" i="1"/>
  <c r="B3554" i="1" s="1"/>
  <c r="L3555" i="1"/>
  <c r="P3555" i="1"/>
  <c r="B3555" i="1" s="1"/>
  <c r="L3556" i="1"/>
  <c r="P3556" i="1"/>
  <c r="B3556" i="1" s="1"/>
  <c r="L3557" i="1"/>
  <c r="P3557" i="1"/>
  <c r="B3557" i="1" s="1"/>
  <c r="L3558" i="1"/>
  <c r="P3558" i="1"/>
  <c r="B3558" i="1" s="1"/>
  <c r="L3559" i="1"/>
  <c r="P3559" i="1"/>
  <c r="B3559" i="1" s="1"/>
  <c r="L3560" i="1"/>
  <c r="P3560" i="1"/>
  <c r="B3560" i="1" s="1"/>
  <c r="L3561" i="1"/>
  <c r="P3561" i="1"/>
  <c r="B3561" i="1" s="1"/>
  <c r="L3562" i="1"/>
  <c r="P3562" i="1"/>
  <c r="B3562" i="1" s="1"/>
  <c r="L3563" i="1"/>
  <c r="P3563" i="1"/>
  <c r="B3563" i="1" s="1"/>
  <c r="L3564" i="1"/>
  <c r="P3564" i="1"/>
  <c r="B3564" i="1" s="1"/>
  <c r="L3565" i="1"/>
  <c r="P3565" i="1"/>
  <c r="B3565" i="1" s="1"/>
  <c r="L3566" i="1"/>
  <c r="P3566" i="1"/>
  <c r="B3566" i="1" s="1"/>
  <c r="L3567" i="1"/>
  <c r="P3567" i="1"/>
  <c r="B3567" i="1" s="1"/>
  <c r="L3568" i="1"/>
  <c r="P3568" i="1"/>
  <c r="B3568" i="1" s="1"/>
  <c r="L3569" i="1"/>
  <c r="P3569" i="1"/>
  <c r="B3569" i="1" s="1"/>
  <c r="L3570" i="1"/>
  <c r="P3570" i="1"/>
  <c r="B3570" i="1" s="1"/>
  <c r="L3571" i="1"/>
  <c r="P3571" i="1"/>
  <c r="B3571" i="1" s="1"/>
  <c r="L3572" i="1"/>
  <c r="P3572" i="1"/>
  <c r="B3572" i="1" s="1"/>
  <c r="L3573" i="1"/>
  <c r="P3573" i="1"/>
  <c r="B3573" i="1" s="1"/>
  <c r="L3574" i="1"/>
  <c r="P3574" i="1"/>
  <c r="B3574" i="1" s="1"/>
  <c r="L3575" i="1"/>
  <c r="P3575" i="1"/>
  <c r="B3575" i="1" s="1"/>
  <c r="L3576" i="1"/>
  <c r="P3576" i="1"/>
  <c r="B3576" i="1" s="1"/>
  <c r="L3577" i="1"/>
  <c r="P3577" i="1"/>
  <c r="B3577" i="1" s="1"/>
  <c r="L3578" i="1"/>
  <c r="P3578" i="1"/>
  <c r="B3578" i="1" s="1"/>
  <c r="L3579" i="1"/>
  <c r="P3579" i="1"/>
  <c r="B3579" i="1" s="1"/>
  <c r="L3580" i="1"/>
  <c r="P3580" i="1"/>
  <c r="B3580" i="1" s="1"/>
  <c r="L3581" i="1"/>
  <c r="P3581" i="1"/>
  <c r="B3581" i="1" s="1"/>
  <c r="L3582" i="1"/>
  <c r="P3582" i="1"/>
  <c r="B3582" i="1" s="1"/>
  <c r="L3583" i="1"/>
  <c r="P3583" i="1"/>
  <c r="B3583" i="1" s="1"/>
  <c r="L3584" i="1"/>
  <c r="P3584" i="1"/>
  <c r="B3584" i="1" s="1"/>
  <c r="L3585" i="1"/>
  <c r="P3585" i="1"/>
  <c r="B3585" i="1" s="1"/>
  <c r="L3586" i="1"/>
  <c r="P3586" i="1"/>
  <c r="B3586" i="1" s="1"/>
  <c r="L3587" i="1"/>
  <c r="P3587" i="1"/>
  <c r="B3587" i="1" s="1"/>
  <c r="L3588" i="1"/>
  <c r="P3588" i="1"/>
  <c r="B3588" i="1" s="1"/>
  <c r="L3589" i="1"/>
  <c r="P3589" i="1"/>
  <c r="B3589" i="1" s="1"/>
  <c r="L3590" i="1"/>
  <c r="P3590" i="1"/>
  <c r="B3590" i="1" s="1"/>
  <c r="L3591" i="1"/>
  <c r="P3591" i="1"/>
  <c r="B3591" i="1" s="1"/>
  <c r="L3592" i="1"/>
  <c r="P3592" i="1"/>
  <c r="B3592" i="1" s="1"/>
  <c r="L3593" i="1"/>
  <c r="P3593" i="1"/>
  <c r="B3593" i="1" s="1"/>
  <c r="L3594" i="1"/>
  <c r="P3594" i="1"/>
  <c r="B3594" i="1" s="1"/>
  <c r="L3595" i="1"/>
  <c r="P3595" i="1"/>
  <c r="B3595" i="1" s="1"/>
  <c r="L3596" i="1"/>
  <c r="P3596" i="1"/>
  <c r="B3596" i="1" s="1"/>
  <c r="L3597" i="1"/>
  <c r="P3597" i="1"/>
  <c r="B3597" i="1" s="1"/>
  <c r="L3598" i="1"/>
  <c r="P3598" i="1"/>
  <c r="B3598" i="1" s="1"/>
  <c r="L3599" i="1"/>
  <c r="P3599" i="1"/>
  <c r="B3599" i="1" s="1"/>
  <c r="L3600" i="1"/>
  <c r="P3600" i="1"/>
  <c r="B3600" i="1" s="1"/>
  <c r="L3601" i="1"/>
  <c r="P3601" i="1"/>
  <c r="B3601" i="1" s="1"/>
  <c r="L3602" i="1"/>
  <c r="P3602" i="1"/>
  <c r="B3602" i="1" s="1"/>
  <c r="L3603" i="1"/>
  <c r="P3603" i="1"/>
  <c r="B3603" i="1" s="1"/>
  <c r="L3604" i="1"/>
  <c r="P3604" i="1"/>
  <c r="B3604" i="1" s="1"/>
  <c r="L3605" i="1"/>
  <c r="P3605" i="1"/>
  <c r="B3605" i="1" s="1"/>
  <c r="L3606" i="1"/>
  <c r="P3606" i="1"/>
  <c r="B3606" i="1" s="1"/>
  <c r="L3607" i="1"/>
  <c r="P3607" i="1"/>
  <c r="B3607" i="1" s="1"/>
  <c r="L3608" i="1"/>
  <c r="P3608" i="1"/>
  <c r="B3608" i="1" s="1"/>
  <c r="L3609" i="1"/>
  <c r="P3609" i="1"/>
  <c r="B3609" i="1" s="1"/>
  <c r="L3610" i="1"/>
  <c r="P3610" i="1"/>
  <c r="B3610" i="1" s="1"/>
  <c r="L3611" i="1"/>
  <c r="P3611" i="1"/>
  <c r="B3611" i="1" s="1"/>
  <c r="L3612" i="1"/>
  <c r="P3612" i="1"/>
  <c r="B3612" i="1" s="1"/>
  <c r="L3613" i="1"/>
  <c r="P3613" i="1"/>
  <c r="B3613" i="1" s="1"/>
  <c r="L3614" i="1"/>
  <c r="P3614" i="1"/>
  <c r="B3614" i="1" s="1"/>
  <c r="L3615" i="1"/>
  <c r="P3615" i="1"/>
  <c r="B3615" i="1" s="1"/>
  <c r="L3616" i="1"/>
  <c r="P3616" i="1"/>
  <c r="B3616" i="1" s="1"/>
  <c r="L3617" i="1"/>
  <c r="P3617" i="1"/>
  <c r="B3617" i="1" s="1"/>
  <c r="L3618" i="1"/>
  <c r="P3618" i="1"/>
  <c r="B3618" i="1" s="1"/>
  <c r="L3619" i="1"/>
  <c r="P3619" i="1"/>
  <c r="B3619" i="1" s="1"/>
  <c r="L3620" i="1"/>
  <c r="P3620" i="1"/>
  <c r="B3620" i="1" s="1"/>
  <c r="L3621" i="1"/>
  <c r="P3621" i="1"/>
  <c r="B3621" i="1" s="1"/>
  <c r="L3622" i="1"/>
  <c r="P3622" i="1"/>
  <c r="B3622" i="1" s="1"/>
  <c r="L3623" i="1"/>
  <c r="P3623" i="1"/>
  <c r="B3623" i="1" s="1"/>
  <c r="L3624" i="1"/>
  <c r="P3624" i="1"/>
  <c r="B3624" i="1" s="1"/>
  <c r="L3625" i="1"/>
  <c r="P3625" i="1"/>
  <c r="B3625" i="1" s="1"/>
  <c r="L3626" i="1"/>
  <c r="P3626" i="1"/>
  <c r="B3626" i="1" s="1"/>
  <c r="L3627" i="1"/>
  <c r="P3627" i="1"/>
  <c r="B3627" i="1" s="1"/>
  <c r="L3628" i="1"/>
  <c r="P3628" i="1"/>
  <c r="B3628" i="1" s="1"/>
  <c r="L3629" i="1"/>
  <c r="P3629" i="1"/>
  <c r="B3629" i="1" s="1"/>
  <c r="L3630" i="1"/>
  <c r="P3630" i="1"/>
  <c r="B3630" i="1" s="1"/>
  <c r="L3631" i="1"/>
  <c r="P3631" i="1"/>
  <c r="B3631" i="1" s="1"/>
  <c r="L3632" i="1"/>
  <c r="P3632" i="1"/>
  <c r="B3632" i="1" s="1"/>
  <c r="N3633" i="1"/>
  <c r="H3634" i="1"/>
  <c r="I3634" i="1"/>
  <c r="K3634" i="1"/>
  <c r="M3634" i="1"/>
  <c r="N3837" i="1"/>
  <c r="N3838" i="1"/>
  <c r="L3839" i="1"/>
  <c r="P3839" i="1"/>
  <c r="B3839" i="1" s="1"/>
  <c r="N3847" i="1"/>
  <c r="H3848" i="1"/>
  <c r="I3848" i="1"/>
  <c r="K3848" i="1"/>
  <c r="M3848" i="1"/>
  <c r="N3949" i="1"/>
  <c r="N3950" i="1"/>
  <c r="L3951" i="1"/>
  <c r="P3951" i="1"/>
  <c r="B3951" i="1" s="1"/>
  <c r="L3965" i="1"/>
  <c r="P3965" i="1"/>
  <c r="B3965" i="1" s="1"/>
  <c r="L3970" i="1"/>
  <c r="P3970" i="1"/>
  <c r="B3970" i="1" s="1"/>
  <c r="N3999" i="1"/>
  <c r="M4000" i="1"/>
  <c r="N4153" i="1"/>
  <c r="N4154" i="1"/>
  <c r="L4155" i="1"/>
  <c r="P4155" i="1"/>
  <c r="B4155" i="1" s="1"/>
  <c r="N4186" i="1"/>
  <c r="H4187" i="1"/>
  <c r="I4187" i="1"/>
  <c r="K4187" i="1"/>
  <c r="M4187" i="1"/>
  <c r="N4440" i="1"/>
  <c r="N4441" i="1"/>
  <c r="N4709" i="1"/>
  <c r="N4710" i="1"/>
  <c r="L4711" i="1"/>
  <c r="S4711" i="1" s="1"/>
  <c r="P4711" i="1"/>
  <c r="B4711" i="1" s="1"/>
  <c r="L4714" i="1"/>
  <c r="P4714" i="1"/>
  <c r="B4714" i="1" s="1"/>
  <c r="L4715" i="1"/>
  <c r="P4715" i="1"/>
  <c r="B4715" i="1" s="1"/>
  <c r="L4716" i="1"/>
  <c r="P4716" i="1"/>
  <c r="B4716" i="1" s="1"/>
  <c r="L4717" i="1"/>
  <c r="P4717" i="1"/>
  <c r="B4717" i="1" s="1"/>
  <c r="L4718" i="1"/>
  <c r="P4718" i="1"/>
  <c r="B4718" i="1" s="1"/>
  <c r="L4719" i="1"/>
  <c r="P4719" i="1"/>
  <c r="B4719" i="1" s="1"/>
  <c r="L4720" i="1"/>
  <c r="P4720" i="1"/>
  <c r="B4720" i="1" s="1"/>
  <c r="L4721" i="1"/>
  <c r="P4721" i="1"/>
  <c r="B4721" i="1" s="1"/>
  <c r="L4722" i="1"/>
  <c r="P4722" i="1"/>
  <c r="B4722" i="1" s="1"/>
  <c r="L4723" i="1"/>
  <c r="P4723" i="1"/>
  <c r="B4723" i="1" s="1"/>
  <c r="L4724" i="1"/>
  <c r="P4724" i="1"/>
  <c r="B4724" i="1" s="1"/>
  <c r="L4726" i="1"/>
  <c r="P4726" i="1"/>
  <c r="B4726" i="1" s="1"/>
  <c r="L4727" i="1"/>
  <c r="P4727" i="1"/>
  <c r="B4727" i="1" s="1"/>
  <c r="L4728" i="1"/>
  <c r="P4728" i="1"/>
  <c r="B4728" i="1" s="1"/>
  <c r="L4729" i="1"/>
  <c r="P4729" i="1"/>
  <c r="B4729" i="1" s="1"/>
  <c r="L4731" i="1"/>
  <c r="P4731" i="1"/>
  <c r="B4731" i="1" s="1"/>
  <c r="L4732" i="1"/>
  <c r="P4732" i="1"/>
  <c r="B4732" i="1" s="1"/>
  <c r="L4733" i="1"/>
  <c r="P4733" i="1"/>
  <c r="B4733" i="1" s="1"/>
  <c r="L4734" i="1"/>
  <c r="P4734" i="1"/>
  <c r="B4734" i="1" s="1"/>
  <c r="L4735" i="1"/>
  <c r="P4735" i="1"/>
  <c r="B4735" i="1" s="1"/>
  <c r="L4736" i="1"/>
  <c r="P4736" i="1"/>
  <c r="B4736" i="1" s="1"/>
  <c r="L4737" i="1"/>
  <c r="P4737" i="1"/>
  <c r="B4737" i="1" s="1"/>
  <c r="L4738" i="1"/>
  <c r="P4738" i="1"/>
  <c r="B4738" i="1" s="1"/>
  <c r="L4739" i="1"/>
  <c r="P4739" i="1"/>
  <c r="B4739" i="1" s="1"/>
  <c r="L4740" i="1"/>
  <c r="P4740" i="1"/>
  <c r="B4740" i="1" s="1"/>
  <c r="L4741" i="1"/>
  <c r="P4741" i="1"/>
  <c r="B4741" i="1" s="1"/>
  <c r="L4742" i="1"/>
  <c r="P4742" i="1"/>
  <c r="B4742" i="1" s="1"/>
  <c r="L4743" i="1"/>
  <c r="P4743" i="1"/>
  <c r="B4743" i="1" s="1"/>
  <c r="L4744" i="1"/>
  <c r="P4744" i="1"/>
  <c r="B4744" i="1" s="1"/>
  <c r="L4745" i="1"/>
  <c r="P4745" i="1"/>
  <c r="B4745" i="1" s="1"/>
  <c r="L4746" i="1"/>
  <c r="P4746" i="1"/>
  <c r="B4746" i="1" s="1"/>
  <c r="L4747" i="1"/>
  <c r="P4747" i="1"/>
  <c r="B4747" i="1" s="1"/>
  <c r="L4748" i="1"/>
  <c r="P4748" i="1"/>
  <c r="B4748" i="1" s="1"/>
  <c r="L4749" i="1"/>
  <c r="P4749" i="1"/>
  <c r="B4749" i="1" s="1"/>
  <c r="L4750" i="1"/>
  <c r="P4750" i="1"/>
  <c r="B4750" i="1" s="1"/>
  <c r="L4751" i="1"/>
  <c r="P4751" i="1"/>
  <c r="B4751" i="1" s="1"/>
  <c r="L4752" i="1"/>
  <c r="P4752" i="1"/>
  <c r="B4752" i="1" s="1"/>
  <c r="L4753" i="1"/>
  <c r="P4753" i="1"/>
  <c r="B4753" i="1" s="1"/>
  <c r="L4754" i="1"/>
  <c r="P4754" i="1"/>
  <c r="B4754" i="1" s="1"/>
  <c r="N4755" i="1"/>
  <c r="H4756" i="1"/>
  <c r="I4756" i="1"/>
  <c r="K4756" i="1"/>
  <c r="M4756" i="1"/>
  <c r="N5023" i="1"/>
  <c r="N5024" i="1"/>
  <c r="L5025" i="1"/>
  <c r="P5025" i="1"/>
  <c r="B5025" i="1" s="1"/>
  <c r="N5042" i="1"/>
  <c r="M5043" i="1"/>
  <c r="N5061" i="1"/>
  <c r="N5062" i="1"/>
  <c r="L5063" i="1"/>
  <c r="P5063" i="1"/>
  <c r="B5063" i="1" s="1"/>
  <c r="N5074" i="1"/>
  <c r="H5075" i="1"/>
  <c r="I5075" i="1"/>
  <c r="M5075" i="1"/>
  <c r="N5420" i="1"/>
  <c r="N5421" i="1"/>
  <c r="P5422" i="1"/>
  <c r="B5422" i="1" s="1"/>
  <c r="N5426" i="1"/>
  <c r="H5427" i="1"/>
  <c r="I5427" i="1"/>
  <c r="M5427" i="1"/>
  <c r="N5465" i="1"/>
  <c r="N5466" i="1"/>
  <c r="L5467" i="1"/>
  <c r="P5467" i="1"/>
  <c r="B5467" i="1" s="1"/>
  <c r="L5474" i="1"/>
  <c r="P5474" i="1"/>
  <c r="B5474" i="1" s="1"/>
  <c r="L5475" i="1"/>
  <c r="P5475" i="1"/>
  <c r="B5475" i="1" s="1"/>
  <c r="L5476" i="1"/>
  <c r="P5476" i="1"/>
  <c r="B5476" i="1" s="1"/>
  <c r="L5477" i="1"/>
  <c r="P5477" i="1"/>
  <c r="B5477" i="1" s="1"/>
  <c r="L5478" i="1"/>
  <c r="P5478" i="1"/>
  <c r="B5478" i="1" s="1"/>
  <c r="L5479" i="1"/>
  <c r="P5479" i="1"/>
  <c r="B5479" i="1" s="1"/>
  <c r="L5480" i="1"/>
  <c r="P5480" i="1"/>
  <c r="B5480" i="1" s="1"/>
  <c r="L5481" i="1"/>
  <c r="P5481" i="1"/>
  <c r="B5481" i="1" s="1"/>
  <c r="L5482" i="1"/>
  <c r="P5482" i="1"/>
  <c r="B5482" i="1" s="1"/>
  <c r="L5483" i="1"/>
  <c r="P5483" i="1"/>
  <c r="B5483" i="1" s="1"/>
  <c r="L5484" i="1"/>
  <c r="P5484" i="1"/>
  <c r="B5484" i="1" s="1"/>
  <c r="L5486" i="1"/>
  <c r="P5486" i="1"/>
  <c r="B5486" i="1" s="1"/>
  <c r="N5487" i="1"/>
  <c r="H5488" i="1"/>
  <c r="I5488" i="1"/>
  <c r="K5488" i="1"/>
  <c r="M5488" i="1"/>
  <c r="N5518" i="1"/>
  <c r="L5520" i="1"/>
  <c r="P5520" i="1"/>
  <c r="B5520" i="1" s="1"/>
  <c r="L5521" i="1"/>
  <c r="P5521" i="1"/>
  <c r="B5521" i="1" s="1"/>
  <c r="L5522" i="1"/>
  <c r="P5522" i="1"/>
  <c r="B5522" i="1" s="1"/>
  <c r="L5523" i="1"/>
  <c r="P5523" i="1"/>
  <c r="B5523" i="1" s="1"/>
  <c r="L5524" i="1"/>
  <c r="P5524" i="1"/>
  <c r="B5524" i="1" s="1"/>
  <c r="L5525" i="1"/>
  <c r="P5525" i="1"/>
  <c r="B5525" i="1" s="1"/>
  <c r="L5526" i="1"/>
  <c r="P5526" i="1"/>
  <c r="B5526" i="1" s="1"/>
  <c r="L5527" i="1"/>
  <c r="P5527" i="1"/>
  <c r="B5527" i="1" s="1"/>
  <c r="L5528" i="1"/>
  <c r="P5528" i="1"/>
  <c r="B5528" i="1" s="1"/>
  <c r="L5529" i="1"/>
  <c r="P5529" i="1"/>
  <c r="B5529" i="1" s="1"/>
  <c r="L5530" i="1"/>
  <c r="P5530" i="1"/>
  <c r="B5530" i="1" s="1"/>
  <c r="L5531" i="1"/>
  <c r="P5531" i="1"/>
  <c r="B5531" i="1" s="1"/>
  <c r="L5532" i="1"/>
  <c r="P5532" i="1"/>
  <c r="B5532" i="1" s="1"/>
  <c r="L5533" i="1"/>
  <c r="P5533" i="1"/>
  <c r="B5533" i="1" s="1"/>
  <c r="L5534" i="1"/>
  <c r="P5534" i="1"/>
  <c r="B5534" i="1" s="1"/>
  <c r="L5535" i="1"/>
  <c r="P5535" i="1"/>
  <c r="B5535" i="1" s="1"/>
  <c r="L5536" i="1"/>
  <c r="P5536" i="1"/>
  <c r="B5536" i="1" s="1"/>
  <c r="L5537" i="1"/>
  <c r="P5537" i="1"/>
  <c r="B5537" i="1" s="1"/>
  <c r="L5538" i="1"/>
  <c r="P5538" i="1"/>
  <c r="B5538" i="1" s="1"/>
  <c r="L5539" i="1"/>
  <c r="P5539" i="1"/>
  <c r="B5539" i="1" s="1"/>
  <c r="L5540" i="1"/>
  <c r="P5540" i="1"/>
  <c r="B5540" i="1" s="1"/>
  <c r="P5541" i="1"/>
  <c r="B5541" i="1" s="1"/>
  <c r="L5542" i="1"/>
  <c r="P5542" i="1"/>
  <c r="B5542" i="1" s="1"/>
  <c r="L5543" i="1"/>
  <c r="P5543" i="1"/>
  <c r="B5543" i="1" s="1"/>
  <c r="L5544" i="1"/>
  <c r="P5544" i="1"/>
  <c r="B5544" i="1" s="1"/>
  <c r="L5545" i="1"/>
  <c r="P5545" i="1"/>
  <c r="B5545" i="1" s="1"/>
  <c r="L5546" i="1"/>
  <c r="P5546" i="1"/>
  <c r="B5546" i="1" s="1"/>
  <c r="L5547" i="1"/>
  <c r="P5547" i="1"/>
  <c r="B5547" i="1" s="1"/>
  <c r="L5548" i="1"/>
  <c r="P5548" i="1"/>
  <c r="B5548" i="1" s="1"/>
  <c r="L5549" i="1"/>
  <c r="P5549" i="1"/>
  <c r="B5549" i="1" s="1"/>
  <c r="L5550" i="1"/>
  <c r="P5550" i="1"/>
  <c r="B5550" i="1" s="1"/>
  <c r="L5551" i="1"/>
  <c r="P5551" i="1"/>
  <c r="B5551" i="1" s="1"/>
  <c r="L5552" i="1"/>
  <c r="P5552" i="1"/>
  <c r="B5552" i="1" s="1"/>
  <c r="L5553" i="1"/>
  <c r="P5553" i="1"/>
  <c r="B5553" i="1" s="1"/>
  <c r="L5554" i="1"/>
  <c r="P5554" i="1"/>
  <c r="B5554" i="1" s="1"/>
  <c r="L5555" i="1"/>
  <c r="P5555" i="1"/>
  <c r="B5555" i="1" s="1"/>
  <c r="N5576" i="1"/>
  <c r="H5577" i="1"/>
  <c r="M5577" i="1"/>
  <c r="N5696" i="1"/>
  <c r="L5698" i="1"/>
  <c r="P5698" i="1"/>
  <c r="B5698" i="1" s="1"/>
  <c r="L5702" i="1"/>
  <c r="P5702" i="1"/>
  <c r="B5702" i="1" s="1"/>
  <c r="L5703" i="1"/>
  <c r="P5703" i="1"/>
  <c r="B5703" i="1" s="1"/>
  <c r="L5704" i="1"/>
  <c r="P5704" i="1"/>
  <c r="B5704" i="1" s="1"/>
  <c r="L5705" i="1"/>
  <c r="P5705" i="1"/>
  <c r="B5705" i="1" s="1"/>
  <c r="L5706" i="1"/>
  <c r="P5706" i="1"/>
  <c r="B5706" i="1" s="1"/>
  <c r="L5707" i="1"/>
  <c r="P5707" i="1"/>
  <c r="B5707" i="1" s="1"/>
  <c r="L5708" i="1"/>
  <c r="P5708" i="1"/>
  <c r="B5708" i="1" s="1"/>
  <c r="L5709" i="1"/>
  <c r="P5709" i="1"/>
  <c r="B5709" i="1" s="1"/>
  <c r="L5710" i="1"/>
  <c r="P5710" i="1"/>
  <c r="B5710" i="1" s="1"/>
  <c r="L5711" i="1"/>
  <c r="P5711" i="1"/>
  <c r="B5711" i="1" s="1"/>
  <c r="N5712" i="1"/>
  <c r="H5713" i="1"/>
  <c r="I5713" i="1"/>
  <c r="K5713" i="1"/>
  <c r="M5713" i="1"/>
  <c r="N6127" i="1"/>
  <c r="N6128" i="1"/>
  <c r="L6129" i="1"/>
  <c r="P6129" i="1"/>
  <c r="B6129" i="1" s="1"/>
  <c r="L6131" i="1"/>
  <c r="P6131" i="1"/>
  <c r="B6131" i="1" s="1"/>
  <c r="L6132" i="1"/>
  <c r="P6132" i="1"/>
  <c r="B6132" i="1" s="1"/>
  <c r="L6133" i="1"/>
  <c r="P6133" i="1"/>
  <c r="B6133" i="1" s="1"/>
  <c r="L6134" i="1"/>
  <c r="P6134" i="1"/>
  <c r="B6134" i="1" s="1"/>
  <c r="L6135" i="1"/>
  <c r="P6135" i="1"/>
  <c r="B6135" i="1" s="1"/>
  <c r="L6137" i="1"/>
  <c r="P6137" i="1"/>
  <c r="B6137" i="1" s="1"/>
  <c r="L6138" i="1"/>
  <c r="P6138" i="1"/>
  <c r="B6138" i="1" s="1"/>
  <c r="L6139" i="1"/>
  <c r="P6139" i="1"/>
  <c r="B6139" i="1" s="1"/>
  <c r="L6140" i="1"/>
  <c r="P6140" i="1"/>
  <c r="B6140" i="1" s="1"/>
  <c r="L6141" i="1"/>
  <c r="P6141" i="1"/>
  <c r="B6141" i="1" s="1"/>
  <c r="L6142" i="1"/>
  <c r="P6142" i="1"/>
  <c r="B6142" i="1" s="1"/>
  <c r="L6143" i="1"/>
  <c r="P6143" i="1"/>
  <c r="B6143" i="1" s="1"/>
  <c r="L6144" i="1"/>
  <c r="P6144" i="1"/>
  <c r="B6144" i="1" s="1"/>
  <c r="L6145" i="1"/>
  <c r="P6145" i="1"/>
  <c r="B6145" i="1" s="1"/>
  <c r="L6146" i="1"/>
  <c r="P6146" i="1"/>
  <c r="B6146" i="1" s="1"/>
  <c r="L6147" i="1"/>
  <c r="P6147" i="1"/>
  <c r="B6147" i="1" s="1"/>
  <c r="L6148" i="1"/>
  <c r="P6148" i="1"/>
  <c r="B6148" i="1" s="1"/>
  <c r="L6149" i="1"/>
  <c r="P6149" i="1"/>
  <c r="B6149" i="1" s="1"/>
  <c r="L6150" i="1"/>
  <c r="P6150" i="1"/>
  <c r="B6150" i="1" s="1"/>
  <c r="L6151" i="1"/>
  <c r="P6151" i="1"/>
  <c r="B6151" i="1" s="1"/>
  <c r="L6152" i="1"/>
  <c r="P6152" i="1"/>
  <c r="B6152" i="1" s="1"/>
  <c r="L6153" i="1"/>
  <c r="P6153" i="1"/>
  <c r="B6153" i="1" s="1"/>
  <c r="L6154" i="1"/>
  <c r="P6154" i="1"/>
  <c r="B6154" i="1" s="1"/>
  <c r="L6155" i="1"/>
  <c r="P6155" i="1"/>
  <c r="B6155" i="1" s="1"/>
  <c r="L6156" i="1"/>
  <c r="P6156" i="1"/>
  <c r="B6156" i="1" s="1"/>
  <c r="L6157" i="1"/>
  <c r="P6157" i="1"/>
  <c r="B6157" i="1" s="1"/>
  <c r="L6158" i="1"/>
  <c r="P6158" i="1"/>
  <c r="B6158" i="1" s="1"/>
  <c r="L6159" i="1"/>
  <c r="P6159" i="1"/>
  <c r="B6159" i="1" s="1"/>
  <c r="L6160" i="1"/>
  <c r="P6160" i="1"/>
  <c r="B6160" i="1" s="1"/>
  <c r="L6161" i="1"/>
  <c r="P6161" i="1"/>
  <c r="B6161" i="1" s="1"/>
  <c r="L6162" i="1"/>
  <c r="P6162" i="1"/>
  <c r="B6162" i="1" s="1"/>
  <c r="L6163" i="1"/>
  <c r="P6163" i="1"/>
  <c r="B6163" i="1" s="1"/>
  <c r="L6164" i="1"/>
  <c r="P6164" i="1"/>
  <c r="B6164" i="1" s="1"/>
  <c r="L6165" i="1"/>
  <c r="P6165" i="1"/>
  <c r="B6165" i="1" s="1"/>
  <c r="L6166" i="1"/>
  <c r="P6166" i="1"/>
  <c r="B6166" i="1" s="1"/>
  <c r="L6167" i="1"/>
  <c r="P6167" i="1"/>
  <c r="B6167" i="1" s="1"/>
  <c r="L6168" i="1"/>
  <c r="P6168" i="1"/>
  <c r="B6168" i="1" s="1"/>
  <c r="L6169" i="1"/>
  <c r="P6169" i="1"/>
  <c r="B6169" i="1" s="1"/>
  <c r="L6170" i="1"/>
  <c r="P6170" i="1"/>
  <c r="B6170" i="1" s="1"/>
  <c r="L6171" i="1"/>
  <c r="P6171" i="1"/>
  <c r="B6171" i="1" s="1"/>
  <c r="L6172" i="1"/>
  <c r="P6172" i="1"/>
  <c r="B6172" i="1" s="1"/>
  <c r="L6173" i="1"/>
  <c r="P6173" i="1"/>
  <c r="B6173" i="1" s="1"/>
  <c r="L6174" i="1"/>
  <c r="P6174" i="1"/>
  <c r="B6174" i="1" s="1"/>
  <c r="L6175" i="1"/>
  <c r="P6175" i="1"/>
  <c r="B6175" i="1" s="1"/>
  <c r="L6176" i="1"/>
  <c r="P6176" i="1"/>
  <c r="B6176" i="1" s="1"/>
  <c r="L6177" i="1"/>
  <c r="P6177" i="1"/>
  <c r="B6177" i="1" s="1"/>
  <c r="L6178" i="1"/>
  <c r="P6178" i="1"/>
  <c r="B6178" i="1" s="1"/>
  <c r="L6179" i="1"/>
  <c r="P6179" i="1"/>
  <c r="B6179" i="1" s="1"/>
  <c r="L6180" i="1"/>
  <c r="P6180" i="1"/>
  <c r="B6180" i="1" s="1"/>
  <c r="L6181" i="1"/>
  <c r="P6181" i="1"/>
  <c r="B6181" i="1" s="1"/>
  <c r="L6182" i="1"/>
  <c r="P6182" i="1"/>
  <c r="B6182" i="1" s="1"/>
  <c r="L6183" i="1"/>
  <c r="P6183" i="1"/>
  <c r="B6183" i="1" s="1"/>
  <c r="L6184" i="1"/>
  <c r="P6184" i="1"/>
  <c r="B6184" i="1" s="1"/>
  <c r="L6185" i="1"/>
  <c r="P6185" i="1"/>
  <c r="B6185" i="1" s="1"/>
  <c r="L6186" i="1"/>
  <c r="P6186" i="1"/>
  <c r="B6186" i="1" s="1"/>
  <c r="L6187" i="1"/>
  <c r="P6187" i="1"/>
  <c r="B6187" i="1" s="1"/>
  <c r="L6188" i="1"/>
  <c r="P6188" i="1"/>
  <c r="B6188" i="1" s="1"/>
  <c r="L6189" i="1"/>
  <c r="P6189" i="1"/>
  <c r="B6189" i="1" s="1"/>
  <c r="L6190" i="1"/>
  <c r="P6190" i="1"/>
  <c r="B6190" i="1" s="1"/>
  <c r="L6191" i="1"/>
  <c r="P6191" i="1"/>
  <c r="B6191" i="1" s="1"/>
  <c r="L6192" i="1"/>
  <c r="P6192" i="1"/>
  <c r="B6192" i="1" s="1"/>
  <c r="L6193" i="1"/>
  <c r="P6193" i="1"/>
  <c r="B6193" i="1" s="1"/>
  <c r="L6194" i="1"/>
  <c r="P6194" i="1"/>
  <c r="B6194" i="1" s="1"/>
  <c r="L6195" i="1"/>
  <c r="P6195" i="1"/>
  <c r="B6195" i="1" s="1"/>
  <c r="L6196" i="1"/>
  <c r="P6196" i="1"/>
  <c r="B6196" i="1" s="1"/>
  <c r="L6197" i="1"/>
  <c r="P6197" i="1"/>
  <c r="B6197" i="1" s="1"/>
  <c r="L6198" i="1"/>
  <c r="P6198" i="1"/>
  <c r="B6198" i="1" s="1"/>
  <c r="L6199" i="1"/>
  <c r="P6199" i="1"/>
  <c r="B6199" i="1" s="1"/>
  <c r="L6200" i="1"/>
  <c r="P6200" i="1"/>
  <c r="B6200" i="1" s="1"/>
  <c r="L6201" i="1"/>
  <c r="P6201" i="1"/>
  <c r="B6201" i="1" s="1"/>
  <c r="L6202" i="1"/>
  <c r="P6202" i="1"/>
  <c r="B6202" i="1" s="1"/>
  <c r="L6203" i="1"/>
  <c r="P6203" i="1"/>
  <c r="B6203" i="1" s="1"/>
  <c r="N6204" i="1"/>
  <c r="H6205" i="1"/>
  <c r="I6205" i="1"/>
  <c r="K6205" i="1"/>
  <c r="M6205" i="1"/>
  <c r="N6221" i="1"/>
  <c r="N6222" i="1"/>
  <c r="L6223" i="1"/>
  <c r="P6223" i="1"/>
  <c r="B6223" i="1" s="1"/>
  <c r="N6242" i="1"/>
  <c r="H6243" i="1"/>
  <c r="I6243" i="1"/>
  <c r="K6243" i="1"/>
  <c r="M6243" i="1"/>
  <c r="N6254" i="1"/>
  <c r="N6255" i="1"/>
  <c r="L6256" i="1"/>
  <c r="P6256" i="1"/>
  <c r="B6256" i="1" s="1"/>
  <c r="L6260" i="1"/>
  <c r="P6260" i="1"/>
  <c r="B6260" i="1" s="1"/>
  <c r="L6261" i="1"/>
  <c r="P6261" i="1"/>
  <c r="B6261" i="1" s="1"/>
  <c r="L6262" i="1"/>
  <c r="P6262" i="1"/>
  <c r="B6262" i="1" s="1"/>
  <c r="L6263" i="1"/>
  <c r="P6263" i="1"/>
  <c r="B6263" i="1" s="1"/>
  <c r="L6264" i="1"/>
  <c r="P6264" i="1"/>
  <c r="B6264" i="1" s="1"/>
  <c r="L6265" i="1"/>
  <c r="P6265" i="1"/>
  <c r="B6265" i="1" s="1"/>
  <c r="N6266" i="1"/>
  <c r="H6267" i="1"/>
  <c r="I6267" i="1"/>
  <c r="K6267" i="1"/>
  <c r="M6267" i="1"/>
  <c r="N6781" i="1"/>
  <c r="N4353" i="1"/>
  <c r="H541" i="1"/>
  <c r="K1304" i="1"/>
  <c r="V4353" i="1"/>
  <c r="K108" i="1"/>
  <c r="K1966" i="1"/>
  <c r="K6292" i="1"/>
  <c r="L6288" i="1"/>
  <c r="V1535" i="1"/>
  <c r="V1502" i="1"/>
  <c r="L864" i="1"/>
  <c r="N6582" i="1"/>
  <c r="K3734" i="1"/>
  <c r="L3724" i="1"/>
  <c r="N3827" i="1"/>
  <c r="L3686" i="1"/>
  <c r="L2119" i="1"/>
  <c r="L4926" i="1"/>
  <c r="N5307" i="1"/>
  <c r="V4986" i="1"/>
  <c r="N1559" i="1"/>
  <c r="V4610" i="1"/>
  <c r="V1559" i="1"/>
  <c r="V1837" i="1"/>
  <c r="N5946" i="1"/>
  <c r="N6376" i="1"/>
  <c r="L1565" i="1"/>
  <c r="L4355" i="1"/>
  <c r="V6582" i="1"/>
  <c r="L2131" i="1"/>
  <c r="V5701" i="1"/>
  <c r="H6561" i="1"/>
  <c r="V5867" i="1"/>
  <c r="N5218" i="1"/>
  <c r="V5218" i="1"/>
  <c r="N4986" i="1"/>
  <c r="V5405" i="1"/>
  <c r="V4230" i="1"/>
  <c r="N5561" i="1"/>
  <c r="N5405" i="1"/>
  <c r="N4230" i="1"/>
  <c r="N4610" i="1"/>
  <c r="R4718" i="1" l="1"/>
  <c r="S4718" i="1"/>
  <c r="R6264" i="1"/>
  <c r="S6264" i="1"/>
  <c r="R6139" i="1"/>
  <c r="S6139" i="1"/>
  <c r="S6262" i="1"/>
  <c r="R6262" i="1"/>
  <c r="R6203" i="1"/>
  <c r="S6203" i="1"/>
  <c r="R6185" i="1"/>
  <c r="S6185" i="1"/>
  <c r="R6167" i="1"/>
  <c r="S6167" i="1"/>
  <c r="R5536" i="1"/>
  <c r="S5536" i="1"/>
  <c r="R5524" i="1"/>
  <c r="S5524" i="1"/>
  <c r="R5481" i="1"/>
  <c r="S5481" i="1"/>
  <c r="R5475" i="1"/>
  <c r="S5475" i="1"/>
  <c r="R4753" i="1"/>
  <c r="S4753" i="1"/>
  <c r="R4735" i="1"/>
  <c r="S4735" i="1"/>
  <c r="R3313" i="1"/>
  <c r="S3313" i="1"/>
  <c r="R3307" i="1"/>
  <c r="S3307" i="1"/>
  <c r="R3301" i="1"/>
  <c r="S3301" i="1"/>
  <c r="R3295" i="1"/>
  <c r="S3295" i="1"/>
  <c r="R3289" i="1"/>
  <c r="S3289" i="1"/>
  <c r="R3283" i="1"/>
  <c r="S3283" i="1"/>
  <c r="R3277" i="1"/>
  <c r="S3277" i="1"/>
  <c r="R3271" i="1"/>
  <c r="S3271" i="1"/>
  <c r="R3265" i="1"/>
  <c r="S3265" i="1"/>
  <c r="R3259" i="1"/>
  <c r="S3259" i="1"/>
  <c r="R3253" i="1"/>
  <c r="S3253" i="1"/>
  <c r="R3247" i="1"/>
  <c r="S3247" i="1"/>
  <c r="R3241" i="1"/>
  <c r="S3241" i="1"/>
  <c r="R3235" i="1"/>
  <c r="S3235" i="1"/>
  <c r="R3229" i="1"/>
  <c r="S3229" i="1"/>
  <c r="R2697" i="1"/>
  <c r="S2697" i="1"/>
  <c r="S2679" i="1"/>
  <c r="R2679" i="1"/>
  <c r="S2673" i="1"/>
  <c r="R2673" i="1"/>
  <c r="S2667" i="1"/>
  <c r="R2667" i="1"/>
  <c r="S2661" i="1"/>
  <c r="R2661" i="1"/>
  <c r="R2654" i="1"/>
  <c r="S2654" i="1"/>
  <c r="R2648" i="1"/>
  <c r="S2648" i="1"/>
  <c r="R2642" i="1"/>
  <c r="S2642" i="1"/>
  <c r="R2636" i="1"/>
  <c r="S2636" i="1"/>
  <c r="R2630" i="1"/>
  <c r="S2630" i="1"/>
  <c r="R2624" i="1"/>
  <c r="S2624" i="1"/>
  <c r="R2618" i="1"/>
  <c r="S2618" i="1"/>
  <c r="R2612" i="1"/>
  <c r="S2612" i="1"/>
  <c r="R2606" i="1"/>
  <c r="S2606" i="1"/>
  <c r="R2600" i="1"/>
  <c r="S2600" i="1"/>
  <c r="R2592" i="1"/>
  <c r="S2592" i="1"/>
  <c r="R2586" i="1"/>
  <c r="S2586" i="1"/>
  <c r="R2580" i="1"/>
  <c r="S2580" i="1"/>
  <c r="R2574" i="1"/>
  <c r="S2574" i="1"/>
  <c r="R2568" i="1"/>
  <c r="S2568" i="1"/>
  <c r="R2562" i="1"/>
  <c r="S2562" i="1"/>
  <c r="R2556" i="1"/>
  <c r="S2556" i="1"/>
  <c r="R2550" i="1"/>
  <c r="S2550" i="1"/>
  <c r="R2544" i="1"/>
  <c r="S2544" i="1"/>
  <c r="R2538" i="1"/>
  <c r="S2538" i="1"/>
  <c r="R2532" i="1"/>
  <c r="S2532" i="1"/>
  <c r="R2526" i="1"/>
  <c r="S2526" i="1"/>
  <c r="R2520" i="1"/>
  <c r="S2520" i="1"/>
  <c r="R2514" i="1"/>
  <c r="S2514" i="1"/>
  <c r="R2447" i="1"/>
  <c r="S2447" i="1"/>
  <c r="R2441" i="1"/>
  <c r="S2441" i="1"/>
  <c r="R2435" i="1"/>
  <c r="S2435" i="1"/>
  <c r="R2429" i="1"/>
  <c r="S2429" i="1"/>
  <c r="R2423" i="1"/>
  <c r="S2423" i="1"/>
  <c r="R2417" i="1"/>
  <c r="S2417" i="1"/>
  <c r="R2411" i="1"/>
  <c r="S2411" i="1"/>
  <c r="R2405" i="1"/>
  <c r="S2405" i="1"/>
  <c r="R1137" i="1"/>
  <c r="S1137" i="1"/>
  <c r="R1131" i="1"/>
  <c r="S1131" i="1"/>
  <c r="R1125" i="1"/>
  <c r="S1125" i="1"/>
  <c r="R1100" i="1"/>
  <c r="S1100" i="1"/>
  <c r="R1094" i="1"/>
  <c r="S1094" i="1"/>
  <c r="R1088" i="1"/>
  <c r="S1088" i="1"/>
  <c r="R1082" i="1"/>
  <c r="S1082" i="1"/>
  <c r="R1076" i="1"/>
  <c r="S1076" i="1"/>
  <c r="R1070" i="1"/>
  <c r="S1070" i="1"/>
  <c r="R1064" i="1"/>
  <c r="S1064" i="1"/>
  <c r="R1058" i="1"/>
  <c r="S1058" i="1"/>
  <c r="R1052" i="1"/>
  <c r="S1052" i="1"/>
  <c r="R1046" i="1"/>
  <c r="S1046" i="1"/>
  <c r="R1040" i="1"/>
  <c r="S1040" i="1"/>
  <c r="R1034" i="1"/>
  <c r="S1034" i="1"/>
  <c r="R1028" i="1"/>
  <c r="S1028" i="1"/>
  <c r="R1022" i="1"/>
  <c r="S1022" i="1"/>
  <c r="R1016" i="1"/>
  <c r="S1016" i="1"/>
  <c r="R1010" i="1"/>
  <c r="S1010" i="1"/>
  <c r="R1004" i="1"/>
  <c r="S1004" i="1"/>
  <c r="R998" i="1"/>
  <c r="S998" i="1"/>
  <c r="R229" i="1"/>
  <c r="S229" i="1"/>
  <c r="R223" i="1"/>
  <c r="S223" i="1"/>
  <c r="R217" i="1"/>
  <c r="S217" i="1"/>
  <c r="R211" i="1"/>
  <c r="S211" i="1"/>
  <c r="R205" i="1"/>
  <c r="S205" i="1"/>
  <c r="R199" i="1"/>
  <c r="S199" i="1"/>
  <c r="R193" i="1"/>
  <c r="S193" i="1"/>
  <c r="R187" i="1"/>
  <c r="S187" i="1"/>
  <c r="R181" i="1"/>
  <c r="S181" i="1"/>
  <c r="R175" i="1"/>
  <c r="S175" i="1"/>
  <c r="R169" i="1"/>
  <c r="S169" i="1"/>
  <c r="R163" i="1"/>
  <c r="S163" i="1"/>
  <c r="R157" i="1"/>
  <c r="S157" i="1"/>
  <c r="R150" i="1"/>
  <c r="S150" i="1"/>
  <c r="R3375" i="1"/>
  <c r="S3375" i="1"/>
  <c r="R3378" i="1"/>
  <c r="S3378" i="1"/>
  <c r="R3387" i="1"/>
  <c r="S3387" i="1"/>
  <c r="R6776" i="1"/>
  <c r="S6776" i="1"/>
  <c r="R2984" i="1"/>
  <c r="S2984" i="1"/>
  <c r="R2978" i="1"/>
  <c r="S2978" i="1"/>
  <c r="R2972" i="1"/>
  <c r="S2972" i="1"/>
  <c r="R3036" i="1"/>
  <c r="S3036" i="1"/>
  <c r="R3046" i="1"/>
  <c r="S3046" i="1"/>
  <c r="R3052" i="1"/>
  <c r="S3052" i="1"/>
  <c r="R3045" i="1"/>
  <c r="S3045" i="1"/>
  <c r="R4446" i="1"/>
  <c r="S4446" i="1"/>
  <c r="R4452" i="1"/>
  <c r="S4452" i="1"/>
  <c r="R4564" i="1"/>
  <c r="S4564" i="1"/>
  <c r="R4840" i="1"/>
  <c r="S4840" i="1"/>
  <c r="R4842" i="1"/>
  <c r="S4842" i="1"/>
  <c r="R4849" i="1"/>
  <c r="S4849" i="1"/>
  <c r="R4855" i="1"/>
  <c r="S4855" i="1"/>
  <c r="R4867" i="1"/>
  <c r="S4867" i="1"/>
  <c r="R4863" i="1"/>
  <c r="S4863" i="1"/>
  <c r="R4271" i="1"/>
  <c r="S4271" i="1"/>
  <c r="R4277" i="1"/>
  <c r="S4277" i="1"/>
  <c r="R4157" i="1"/>
  <c r="S4157" i="1"/>
  <c r="R4163" i="1"/>
  <c r="S4163" i="1"/>
  <c r="R4169" i="1"/>
  <c r="S4169" i="1"/>
  <c r="R4175" i="1"/>
  <c r="S4175" i="1"/>
  <c r="S6544" i="1"/>
  <c r="R6544" i="1"/>
  <c r="R906" i="1"/>
  <c r="S906" i="1"/>
  <c r="R4406" i="1"/>
  <c r="S4406" i="1"/>
  <c r="R5424" i="1"/>
  <c r="S5424" i="1"/>
  <c r="R1268" i="1"/>
  <c r="S1268" i="1"/>
  <c r="R2216" i="1"/>
  <c r="S2216" i="1"/>
  <c r="R1694" i="1"/>
  <c r="S1694" i="1"/>
  <c r="R10" i="1"/>
  <c r="S10" i="1"/>
  <c r="R4198" i="1"/>
  <c r="S4198" i="1"/>
  <c r="R4389" i="1"/>
  <c r="S4389" i="1"/>
  <c r="S4602" i="1"/>
  <c r="R4602" i="1"/>
  <c r="R6564" i="1"/>
  <c r="R3851" i="1"/>
  <c r="S3851" i="1"/>
  <c r="R556" i="1"/>
  <c r="S556" i="1"/>
  <c r="R679" i="1"/>
  <c r="S679" i="1"/>
  <c r="R3891" i="1"/>
  <c r="S3891" i="1"/>
  <c r="R3737" i="1"/>
  <c r="S3737" i="1"/>
  <c r="R4106" i="1"/>
  <c r="S4106" i="1"/>
  <c r="R590" i="1"/>
  <c r="S590" i="1"/>
  <c r="R1611" i="1"/>
  <c r="S1611" i="1"/>
  <c r="R1925" i="1"/>
  <c r="S1925" i="1"/>
  <c r="R584" i="1"/>
  <c r="S584" i="1"/>
  <c r="R5316" i="1"/>
  <c r="S5316" i="1"/>
  <c r="R3862" i="1"/>
  <c r="S3862" i="1"/>
  <c r="R3493" i="1"/>
  <c r="S3493" i="1"/>
  <c r="R1349" i="1"/>
  <c r="S1349" i="1"/>
  <c r="R5284" i="1"/>
  <c r="S5284" i="1"/>
  <c r="R142" i="1"/>
  <c r="S142" i="1"/>
  <c r="S6102" i="1"/>
  <c r="R6102" i="1"/>
  <c r="R4655" i="1"/>
  <c r="S4655" i="1"/>
  <c r="R1299" i="1"/>
  <c r="S1299" i="1"/>
  <c r="R2162" i="1"/>
  <c r="S2162" i="1"/>
  <c r="R5588" i="1"/>
  <c r="S5588" i="1"/>
  <c r="R891" i="1"/>
  <c r="S891" i="1"/>
  <c r="S5114" i="1"/>
  <c r="R5114" i="1"/>
  <c r="R2289" i="1"/>
  <c r="S2289" i="1"/>
  <c r="R5103" i="1"/>
  <c r="S5103" i="1"/>
  <c r="R2024" i="1"/>
  <c r="S2024" i="1"/>
  <c r="S4812" i="1"/>
  <c r="R4812" i="1"/>
  <c r="R14" i="1"/>
  <c r="S14" i="1"/>
  <c r="R6295" i="1"/>
  <c r="S6295" i="1"/>
  <c r="R18" i="1"/>
  <c r="S18" i="1"/>
  <c r="R5790" i="1"/>
  <c r="S5790" i="1"/>
  <c r="R839" i="1"/>
  <c r="S839" i="1"/>
  <c r="R5843" i="1"/>
  <c r="S5843" i="1"/>
  <c r="R3844" i="1"/>
  <c r="S3844" i="1"/>
  <c r="R5051" i="1"/>
  <c r="S5051" i="1"/>
  <c r="R484" i="1"/>
  <c r="S484" i="1"/>
  <c r="R6615" i="1"/>
  <c r="S6615" i="1"/>
  <c r="R6363" i="1"/>
  <c r="S6363" i="1"/>
  <c r="R300" i="1"/>
  <c r="S300" i="1"/>
  <c r="S4616" i="1"/>
  <c r="R4616" i="1"/>
  <c r="R1434" i="1"/>
  <c r="S1434" i="1"/>
  <c r="R5679" i="1"/>
  <c r="S5679" i="1"/>
  <c r="R5968" i="1"/>
  <c r="S5968" i="1"/>
  <c r="R5562" i="1"/>
  <c r="S5562" i="1"/>
  <c r="R4774" i="1"/>
  <c r="S4774" i="1"/>
  <c r="R4315" i="1"/>
  <c r="S4315" i="1"/>
  <c r="R2304" i="1"/>
  <c r="S2304" i="1"/>
  <c r="R5089" i="1"/>
  <c r="S5089" i="1"/>
  <c r="R6108" i="1"/>
  <c r="S6108" i="1"/>
  <c r="R5995" i="1"/>
  <c r="S5995" i="1"/>
  <c r="R249" i="1"/>
  <c r="S249" i="1"/>
  <c r="S5471" i="1"/>
  <c r="R5471" i="1"/>
  <c r="R6283" i="1"/>
  <c r="S6283" i="1"/>
  <c r="R3732" i="1"/>
  <c r="S3732" i="1"/>
  <c r="R4848" i="1"/>
  <c r="S4848" i="1"/>
  <c r="R2272" i="1"/>
  <c r="S2272" i="1"/>
  <c r="R6387" i="1"/>
  <c r="S6387" i="1"/>
  <c r="R276" i="1"/>
  <c r="S276" i="1"/>
  <c r="R359" i="1"/>
  <c r="S359" i="1"/>
  <c r="R282" i="1"/>
  <c r="S282" i="1"/>
  <c r="R3395" i="1"/>
  <c r="S3395" i="1"/>
  <c r="R477" i="1"/>
  <c r="S477" i="1"/>
  <c r="R3932" i="1"/>
  <c r="S3932" i="1"/>
  <c r="S373" i="1"/>
  <c r="R373" i="1"/>
  <c r="R4883" i="1"/>
  <c r="S4883" i="1"/>
  <c r="R5644" i="1"/>
  <c r="S5644" i="1"/>
  <c r="R4768" i="1"/>
  <c r="S4768" i="1"/>
  <c r="R1415" i="1"/>
  <c r="S1415" i="1"/>
  <c r="R5179" i="1"/>
  <c r="S5179" i="1"/>
  <c r="R1930" i="1"/>
  <c r="S1930" i="1"/>
  <c r="R272" i="1"/>
  <c r="S272" i="1"/>
  <c r="R3894" i="1"/>
  <c r="S3894" i="1"/>
  <c r="R6081" i="1"/>
  <c r="S6081" i="1"/>
  <c r="S5240" i="1"/>
  <c r="R5240" i="1"/>
  <c r="R4229" i="1"/>
  <c r="S4229" i="1"/>
  <c r="R479" i="1"/>
  <c r="S479" i="1"/>
  <c r="R6234" i="1"/>
  <c r="S6234" i="1"/>
  <c r="R4620" i="1"/>
  <c r="S4620" i="1"/>
  <c r="R805" i="1"/>
  <c r="S805" i="1"/>
  <c r="R286" i="1"/>
  <c r="S286" i="1"/>
  <c r="R3881" i="1"/>
  <c r="S3881" i="1"/>
  <c r="R5970" i="1"/>
  <c r="S5970" i="1"/>
  <c r="R1736" i="1"/>
  <c r="S1736" i="1"/>
  <c r="R289" i="1"/>
  <c r="S289" i="1"/>
  <c r="R1456" i="1"/>
  <c r="S1456" i="1"/>
  <c r="R1190" i="1"/>
  <c r="S1190" i="1"/>
  <c r="R1666" i="1"/>
  <c r="S1666" i="1"/>
  <c r="R1702" i="1"/>
  <c r="S1702" i="1"/>
  <c r="R3907" i="1"/>
  <c r="S3907" i="1"/>
  <c r="R5072" i="1"/>
  <c r="S5072" i="1"/>
  <c r="R41" i="1"/>
  <c r="S41" i="1"/>
  <c r="R6360" i="1"/>
  <c r="S6360" i="1"/>
  <c r="R1643" i="1"/>
  <c r="S1643" i="1"/>
  <c r="R621" i="1"/>
  <c r="S621" i="1"/>
  <c r="R6194" i="1"/>
  <c r="S6194" i="1"/>
  <c r="R6170" i="1"/>
  <c r="S6170" i="1"/>
  <c r="R6140" i="1"/>
  <c r="S6140" i="1"/>
  <c r="R5539" i="1"/>
  <c r="S5539" i="1"/>
  <c r="S4744" i="1"/>
  <c r="R4744" i="1"/>
  <c r="S4732" i="1"/>
  <c r="R4732" i="1"/>
  <c r="R6169" i="1"/>
  <c r="S6169" i="1"/>
  <c r="S6132" i="1"/>
  <c r="R6132" i="1"/>
  <c r="R6197" i="1"/>
  <c r="S6197" i="1"/>
  <c r="R6191" i="1"/>
  <c r="S6191" i="1"/>
  <c r="R6179" i="1"/>
  <c r="S6179" i="1"/>
  <c r="R6173" i="1"/>
  <c r="S6173" i="1"/>
  <c r="R6161" i="1"/>
  <c r="S6161" i="1"/>
  <c r="R6155" i="1"/>
  <c r="S6155" i="1"/>
  <c r="R6149" i="1"/>
  <c r="S6149" i="1"/>
  <c r="R6143" i="1"/>
  <c r="S6143" i="1"/>
  <c r="R6137" i="1"/>
  <c r="S6137" i="1"/>
  <c r="R6129" i="1"/>
  <c r="S6129" i="1"/>
  <c r="R5530" i="1"/>
  <c r="S5530" i="1"/>
  <c r="R4747" i="1"/>
  <c r="S4747" i="1"/>
  <c r="R4741" i="1"/>
  <c r="S4741" i="1"/>
  <c r="R4728" i="1"/>
  <c r="S4728" i="1"/>
  <c r="R4721" i="1"/>
  <c r="S4721" i="1"/>
  <c r="R4715" i="1"/>
  <c r="S4715" i="1"/>
  <c r="S5709" i="1"/>
  <c r="R5709" i="1"/>
  <c r="R5703" i="1"/>
  <c r="S5703" i="1"/>
  <c r="R5554" i="1"/>
  <c r="S5554" i="1"/>
  <c r="R5548" i="1"/>
  <c r="S5548" i="1"/>
  <c r="R5542" i="1"/>
  <c r="S5542" i="1"/>
  <c r="R5025" i="1"/>
  <c r="S5025" i="1"/>
  <c r="R3951" i="1"/>
  <c r="S3951" i="1"/>
  <c r="R3629" i="1"/>
  <c r="S3629" i="1"/>
  <c r="R3623" i="1"/>
  <c r="S3623" i="1"/>
  <c r="R3617" i="1"/>
  <c r="S3617" i="1"/>
  <c r="R3611" i="1"/>
  <c r="S3611" i="1"/>
  <c r="R3605" i="1"/>
  <c r="S3605" i="1"/>
  <c r="R3599" i="1"/>
  <c r="S3599" i="1"/>
  <c r="R3593" i="1"/>
  <c r="S3593" i="1"/>
  <c r="R3587" i="1"/>
  <c r="S3587" i="1"/>
  <c r="R3581" i="1"/>
  <c r="S3581" i="1"/>
  <c r="R3575" i="1"/>
  <c r="S3575" i="1"/>
  <c r="R3569" i="1"/>
  <c r="S3569" i="1"/>
  <c r="R3563" i="1"/>
  <c r="S3563" i="1"/>
  <c r="R3557" i="1"/>
  <c r="S3557" i="1"/>
  <c r="R3551" i="1"/>
  <c r="S3551" i="1"/>
  <c r="R3545" i="1"/>
  <c r="S3545" i="1"/>
  <c r="R3539" i="1"/>
  <c r="S3539" i="1"/>
  <c r="R3532" i="1"/>
  <c r="S3532" i="1"/>
  <c r="R3526" i="1"/>
  <c r="S3526" i="1"/>
  <c r="R3520" i="1"/>
  <c r="S3520" i="1"/>
  <c r="R3514" i="1"/>
  <c r="S3514" i="1"/>
  <c r="R3507" i="1"/>
  <c r="S3507" i="1"/>
  <c r="R3497" i="1"/>
  <c r="S3497" i="1"/>
  <c r="R3489" i="1"/>
  <c r="S3489" i="1"/>
  <c r="R3483" i="1"/>
  <c r="S3483" i="1"/>
  <c r="R3476" i="1"/>
  <c r="S3476" i="1"/>
  <c r="R3470" i="1"/>
  <c r="S3470" i="1"/>
  <c r="R3462" i="1"/>
  <c r="S3462" i="1"/>
  <c r="R3455" i="1"/>
  <c r="S3455" i="1"/>
  <c r="R3448" i="1"/>
  <c r="S3448" i="1"/>
  <c r="R3441" i="1"/>
  <c r="S3441" i="1"/>
  <c r="R3435" i="1"/>
  <c r="S3435" i="1"/>
  <c r="R3429" i="1"/>
  <c r="S3429" i="1"/>
  <c r="R3423" i="1"/>
  <c r="S3423" i="1"/>
  <c r="R3417" i="1"/>
  <c r="S3417" i="1"/>
  <c r="R3411" i="1"/>
  <c r="S3411" i="1"/>
  <c r="R3405" i="1"/>
  <c r="S3405" i="1"/>
  <c r="R3222" i="1"/>
  <c r="S3222" i="1"/>
  <c r="R3216" i="1"/>
  <c r="S3216" i="1"/>
  <c r="R3210" i="1"/>
  <c r="S3210" i="1"/>
  <c r="R3204" i="1"/>
  <c r="S3204" i="1"/>
  <c r="R3198" i="1"/>
  <c r="S3198" i="1"/>
  <c r="R3192" i="1"/>
  <c r="S3192" i="1"/>
  <c r="R3186" i="1"/>
  <c r="S3186" i="1"/>
  <c r="R3180" i="1"/>
  <c r="S3180" i="1"/>
  <c r="R3174" i="1"/>
  <c r="S3174" i="1"/>
  <c r="R3168" i="1"/>
  <c r="S3168" i="1"/>
  <c r="R3162" i="1"/>
  <c r="S3162" i="1"/>
  <c r="R3156" i="1"/>
  <c r="S3156" i="1"/>
  <c r="R3150" i="1"/>
  <c r="S3150" i="1"/>
  <c r="R3144" i="1"/>
  <c r="S3144" i="1"/>
  <c r="R3138" i="1"/>
  <c r="S3138" i="1"/>
  <c r="R3132" i="1"/>
  <c r="S3132" i="1"/>
  <c r="R3119" i="1"/>
  <c r="S3119" i="1"/>
  <c r="R3113" i="1"/>
  <c r="S3113" i="1"/>
  <c r="S3107" i="1"/>
  <c r="R3107" i="1"/>
  <c r="R3101" i="1"/>
  <c r="S3101" i="1"/>
  <c r="R3095" i="1"/>
  <c r="S3095" i="1"/>
  <c r="R3089" i="1"/>
  <c r="S3089" i="1"/>
  <c r="R3083" i="1"/>
  <c r="S3083" i="1"/>
  <c r="R3077" i="1"/>
  <c r="S3077" i="1"/>
  <c r="R3071" i="1"/>
  <c r="S3071" i="1"/>
  <c r="R2861" i="1"/>
  <c r="S2861" i="1"/>
  <c r="S2787" i="1"/>
  <c r="R2787" i="1"/>
  <c r="S2781" i="1"/>
  <c r="R2781" i="1"/>
  <c r="S2775" i="1"/>
  <c r="R2775" i="1"/>
  <c r="S2769" i="1"/>
  <c r="R2769" i="1"/>
  <c r="S2763" i="1"/>
  <c r="R2763" i="1"/>
  <c r="S2757" i="1"/>
  <c r="R2757" i="1"/>
  <c r="S2751" i="1"/>
  <c r="R2751" i="1"/>
  <c r="S2745" i="1"/>
  <c r="R2745" i="1"/>
  <c r="S2739" i="1"/>
  <c r="R2739" i="1"/>
  <c r="S2733" i="1"/>
  <c r="R2733" i="1"/>
  <c r="S2727" i="1"/>
  <c r="R2727" i="1"/>
  <c r="S2721" i="1"/>
  <c r="R2721" i="1"/>
  <c r="S2715" i="1"/>
  <c r="R2715" i="1"/>
  <c r="R2707" i="1"/>
  <c r="S2707" i="1"/>
  <c r="S2507" i="1"/>
  <c r="R2507" i="1"/>
  <c r="S2501" i="1"/>
  <c r="R2501" i="1"/>
  <c r="S2495" i="1"/>
  <c r="R2495" i="1"/>
  <c r="S2489" i="1"/>
  <c r="R2489" i="1"/>
  <c r="S2483" i="1"/>
  <c r="R2483" i="1"/>
  <c r="S2477" i="1"/>
  <c r="R2477" i="1"/>
  <c r="S2471" i="1"/>
  <c r="R2471" i="1"/>
  <c r="R2465" i="1"/>
  <c r="S2465" i="1"/>
  <c r="R2459" i="1"/>
  <c r="S2459" i="1"/>
  <c r="R2453" i="1"/>
  <c r="S2453" i="1"/>
  <c r="S2390" i="1"/>
  <c r="R2390" i="1"/>
  <c r="S2384" i="1"/>
  <c r="R2384" i="1"/>
  <c r="S2378" i="1"/>
  <c r="R2378" i="1"/>
  <c r="S2372" i="1"/>
  <c r="R2372" i="1"/>
  <c r="S2366" i="1"/>
  <c r="R2366" i="1"/>
  <c r="S2360" i="1"/>
  <c r="R2360" i="1"/>
  <c r="S2354" i="1"/>
  <c r="R2354" i="1"/>
  <c r="S2348" i="1"/>
  <c r="R2348" i="1"/>
  <c r="S2342" i="1"/>
  <c r="R2342" i="1"/>
  <c r="S2336" i="1"/>
  <c r="R2336" i="1"/>
  <c r="R1375" i="1"/>
  <c r="S1375" i="1"/>
  <c r="R1369" i="1"/>
  <c r="S1369" i="1"/>
  <c r="R1363" i="1"/>
  <c r="S1363" i="1"/>
  <c r="R1118" i="1"/>
  <c r="S1118" i="1"/>
  <c r="R1112" i="1"/>
  <c r="S1112" i="1"/>
  <c r="R1106" i="1"/>
  <c r="S1106" i="1"/>
  <c r="R408" i="1"/>
  <c r="S408" i="1"/>
  <c r="R3321" i="1"/>
  <c r="S3321" i="1"/>
  <c r="R3327" i="1"/>
  <c r="S3327" i="1"/>
  <c r="R3333" i="1"/>
  <c r="S3333" i="1"/>
  <c r="R3335" i="1"/>
  <c r="S3335" i="1"/>
  <c r="R3345" i="1"/>
  <c r="S3345" i="1"/>
  <c r="R3358" i="1"/>
  <c r="S3358" i="1"/>
  <c r="R3354" i="1"/>
  <c r="S3354" i="1"/>
  <c r="R3363" i="1"/>
  <c r="S3363" i="1"/>
  <c r="R3369" i="1"/>
  <c r="S3369" i="1"/>
  <c r="R2882" i="1"/>
  <c r="S2882" i="1"/>
  <c r="R2892" i="1"/>
  <c r="S2892" i="1"/>
  <c r="R2898" i="1"/>
  <c r="S2898" i="1"/>
  <c r="R2904" i="1"/>
  <c r="S2904" i="1"/>
  <c r="R2910" i="1"/>
  <c r="S2910" i="1"/>
  <c r="R2916" i="1"/>
  <c r="S2916" i="1"/>
  <c r="R2922" i="1"/>
  <c r="S2922" i="1"/>
  <c r="R2936" i="1"/>
  <c r="S2936" i="1"/>
  <c r="R2931" i="1"/>
  <c r="S2931" i="1"/>
  <c r="R2938" i="1"/>
  <c r="S2938" i="1"/>
  <c r="R2945" i="1"/>
  <c r="S2945" i="1"/>
  <c r="R2951" i="1"/>
  <c r="S2951" i="1"/>
  <c r="R2958" i="1"/>
  <c r="S2958" i="1"/>
  <c r="R2964" i="1"/>
  <c r="S2964" i="1"/>
  <c r="R2970" i="1"/>
  <c r="S2970" i="1"/>
  <c r="R2994" i="1"/>
  <c r="S2994" i="1"/>
  <c r="R3000" i="1"/>
  <c r="S3000" i="1"/>
  <c r="R3011" i="1"/>
  <c r="S3011" i="1"/>
  <c r="R3006" i="1"/>
  <c r="S3006" i="1"/>
  <c r="R3018" i="1"/>
  <c r="S3018" i="1"/>
  <c r="R3024" i="1"/>
  <c r="S3024" i="1"/>
  <c r="R3030" i="1"/>
  <c r="S3030" i="1"/>
  <c r="R4835" i="1"/>
  <c r="S4835" i="1"/>
  <c r="R4875" i="1"/>
  <c r="S4875" i="1"/>
  <c r="R2796" i="1"/>
  <c r="S2796" i="1"/>
  <c r="R2802" i="1"/>
  <c r="S2802" i="1"/>
  <c r="S2805" i="1"/>
  <c r="R2805" i="1"/>
  <c r="R2814" i="1"/>
  <c r="S2814" i="1"/>
  <c r="R2834" i="1"/>
  <c r="S2834" i="1"/>
  <c r="R2820" i="1"/>
  <c r="S2820" i="1"/>
  <c r="R2828" i="1"/>
  <c r="S2828" i="1"/>
  <c r="R2838" i="1"/>
  <c r="S2838" i="1"/>
  <c r="R2844" i="1"/>
  <c r="S2844" i="1"/>
  <c r="S2847" i="1"/>
  <c r="R2847" i="1"/>
  <c r="R2856" i="1"/>
  <c r="S2856" i="1"/>
  <c r="R2863" i="1"/>
  <c r="S2863" i="1"/>
  <c r="R2869" i="1"/>
  <c r="S2869" i="1"/>
  <c r="R2874" i="1"/>
  <c r="S2874" i="1"/>
  <c r="R4468" i="1"/>
  <c r="S4468" i="1"/>
  <c r="R4485" i="1"/>
  <c r="S4485" i="1"/>
  <c r="R4475" i="1"/>
  <c r="S4475" i="1"/>
  <c r="R4487" i="1"/>
  <c r="S4487" i="1"/>
  <c r="R4495" i="1"/>
  <c r="S4495" i="1"/>
  <c r="R4499" i="1"/>
  <c r="S4499" i="1"/>
  <c r="R4505" i="1"/>
  <c r="S4505" i="1"/>
  <c r="R4511" i="1"/>
  <c r="S4511" i="1"/>
  <c r="S4514" i="1"/>
  <c r="R4514" i="1"/>
  <c r="R4523" i="1"/>
  <c r="S4523" i="1"/>
  <c r="R4529" i="1"/>
  <c r="S4529" i="1"/>
  <c r="R4535" i="1"/>
  <c r="S4535" i="1"/>
  <c r="R4541" i="1"/>
  <c r="S4541" i="1"/>
  <c r="R4547" i="1"/>
  <c r="S4547" i="1"/>
  <c r="R4552" i="1"/>
  <c r="S4552" i="1"/>
  <c r="R4559" i="1"/>
  <c r="S4559" i="1"/>
  <c r="R4567" i="1"/>
  <c r="S4567" i="1"/>
  <c r="R4573" i="1"/>
  <c r="S4573" i="1"/>
  <c r="R4587" i="1"/>
  <c r="S4587" i="1"/>
  <c r="R4583" i="1"/>
  <c r="S4583" i="1"/>
  <c r="R4591" i="1"/>
  <c r="S4591" i="1"/>
  <c r="R4027" i="1"/>
  <c r="S4027" i="1"/>
  <c r="R4033" i="1"/>
  <c r="S4033" i="1"/>
  <c r="R4284" i="1"/>
  <c r="S4284" i="1"/>
  <c r="R4291" i="1"/>
  <c r="S4291" i="1"/>
  <c r="R6677" i="1"/>
  <c r="S6677" i="1"/>
  <c r="R6689" i="1"/>
  <c r="S6689" i="1"/>
  <c r="R1256" i="1"/>
  <c r="S1256" i="1"/>
  <c r="R1245" i="1"/>
  <c r="S1245" i="1"/>
  <c r="R1260" i="1"/>
  <c r="S1260" i="1"/>
  <c r="R1265" i="1"/>
  <c r="S1265" i="1"/>
  <c r="R849" i="1"/>
  <c r="S849" i="1"/>
  <c r="R4139" i="1"/>
  <c r="S4139" i="1"/>
  <c r="R1969" i="1"/>
  <c r="S1969" i="1"/>
  <c r="R1915" i="1"/>
  <c r="S1915" i="1"/>
  <c r="R5598" i="1"/>
  <c r="S5598" i="1"/>
  <c r="R2214" i="1"/>
  <c r="S2214" i="1"/>
  <c r="R5892" i="1"/>
  <c r="S5892" i="1"/>
  <c r="S241" i="1"/>
  <c r="R241" i="1"/>
  <c r="S618" i="1"/>
  <c r="R618" i="1"/>
  <c r="S4983" i="1"/>
  <c r="R4983" i="1"/>
  <c r="R4687" i="1"/>
  <c r="S4687" i="1"/>
  <c r="R912" i="1"/>
  <c r="S912" i="1"/>
  <c r="R1314" i="1"/>
  <c r="S1314" i="1"/>
  <c r="S5180" i="1"/>
  <c r="R5180" i="1"/>
  <c r="R585" i="1"/>
  <c r="S585" i="1"/>
  <c r="R6750" i="1"/>
  <c r="S6750" i="1"/>
  <c r="R759" i="1"/>
  <c r="S759" i="1"/>
  <c r="R3477" i="1"/>
  <c r="S3477" i="1"/>
  <c r="R5832" i="1"/>
  <c r="S5832" i="1"/>
  <c r="R5737" i="1"/>
  <c r="S5737" i="1"/>
  <c r="R3748" i="1"/>
  <c r="S3748" i="1"/>
  <c r="R6496" i="1"/>
  <c r="S6496" i="1"/>
  <c r="R5919" i="1"/>
  <c r="S5919" i="1"/>
  <c r="R1296" i="1"/>
  <c r="S1296" i="1"/>
  <c r="R4761" i="1"/>
  <c r="S4761" i="1"/>
  <c r="R1325" i="1"/>
  <c r="S1325" i="1"/>
  <c r="R49" i="1"/>
  <c r="S49" i="1"/>
  <c r="R5286" i="1"/>
  <c r="S5286" i="1"/>
  <c r="R16" i="1"/>
  <c r="S16" i="1"/>
  <c r="R792" i="1"/>
  <c r="S792" i="1"/>
  <c r="R5572" i="1"/>
  <c r="S5572" i="1"/>
  <c r="R1302" i="1"/>
  <c r="S1302" i="1"/>
  <c r="R6103" i="1"/>
  <c r="S6103" i="1"/>
  <c r="R360" i="1"/>
  <c r="S360" i="1"/>
  <c r="R398" i="1"/>
  <c r="S398" i="1"/>
  <c r="R4065" i="1"/>
  <c r="S4065" i="1"/>
  <c r="R717" i="1"/>
  <c r="S717" i="1"/>
  <c r="R896" i="1"/>
  <c r="S896" i="1"/>
  <c r="R4773" i="1"/>
  <c r="S4773" i="1"/>
  <c r="R6526" i="1"/>
  <c r="S6526" i="1"/>
  <c r="S4971" i="1"/>
  <c r="R4971" i="1"/>
  <c r="R4072" i="1"/>
  <c r="S4072" i="1"/>
  <c r="S6226" i="1"/>
  <c r="R6226" i="1"/>
  <c r="R1291" i="1"/>
  <c r="S1291" i="1"/>
  <c r="R5838" i="1"/>
  <c r="S5838" i="1"/>
  <c r="R6239" i="1"/>
  <c r="S6239" i="1"/>
  <c r="R5716" i="1"/>
  <c r="S5716" i="1"/>
  <c r="R3900" i="1"/>
  <c r="S3900" i="1"/>
  <c r="R822" i="1"/>
  <c r="S822" i="1"/>
  <c r="S550" i="1"/>
  <c r="R550" i="1"/>
  <c r="R869" i="1"/>
  <c r="S869" i="1"/>
  <c r="R763" i="1"/>
  <c r="S763" i="1"/>
  <c r="R5603" i="1"/>
  <c r="S5603" i="1"/>
  <c r="R4134" i="1"/>
  <c r="S4134" i="1"/>
  <c r="R5620" i="1"/>
  <c r="S5620" i="1"/>
  <c r="R5068" i="1"/>
  <c r="S5068" i="1"/>
  <c r="R4912" i="1"/>
  <c r="S4912" i="1"/>
  <c r="R4067" i="1"/>
  <c r="S4067" i="1"/>
  <c r="R329" i="1"/>
  <c r="S329" i="1"/>
  <c r="R4614" i="1"/>
  <c r="S4614" i="1"/>
  <c r="S355" i="1"/>
  <c r="R355" i="1"/>
  <c r="R5990" i="1"/>
  <c r="S5990" i="1"/>
  <c r="R6549" i="1"/>
  <c r="S6549" i="1"/>
  <c r="R1948" i="1"/>
  <c r="S1948" i="1"/>
  <c r="R5804" i="1"/>
  <c r="S5804" i="1"/>
  <c r="S6773" i="1"/>
  <c r="R6773" i="1"/>
  <c r="R1767" i="1"/>
  <c r="S1767" i="1"/>
  <c r="R6068" i="1"/>
  <c r="S6068" i="1"/>
  <c r="R1693" i="1"/>
  <c r="R3749" i="1"/>
  <c r="S3749" i="1"/>
  <c r="R498" i="1"/>
  <c r="S498" i="1"/>
  <c r="R2064" i="1"/>
  <c r="S2064" i="1"/>
  <c r="R657" i="1"/>
  <c r="S657" i="1"/>
  <c r="R4156" i="1"/>
  <c r="S4156" i="1"/>
  <c r="R4066" i="1"/>
  <c r="S4066" i="1"/>
  <c r="R1864" i="1"/>
  <c r="S1864" i="1"/>
  <c r="R963" i="1"/>
  <c r="S963" i="1"/>
  <c r="R1905" i="1"/>
  <c r="S1905" i="1"/>
  <c r="R1458" i="1"/>
  <c r="S1458" i="1"/>
  <c r="R5195" i="1"/>
  <c r="S5195" i="1"/>
  <c r="R2078" i="1"/>
  <c r="S2078" i="1"/>
  <c r="R1185" i="1"/>
  <c r="S1185" i="1"/>
  <c r="S4630" i="1"/>
  <c r="R4630" i="1"/>
  <c r="R5559" i="1"/>
  <c r="S5559" i="1"/>
  <c r="R4184" i="1"/>
  <c r="S4184" i="1"/>
  <c r="R5455" i="1"/>
  <c r="S5455" i="1"/>
  <c r="R6199" i="1"/>
  <c r="S6199" i="1"/>
  <c r="R6190" i="1"/>
  <c r="S6190" i="1"/>
  <c r="R6166" i="1"/>
  <c r="S6166" i="1"/>
  <c r="R6142" i="1"/>
  <c r="S6142" i="1"/>
  <c r="R5535" i="1"/>
  <c r="S5535" i="1"/>
  <c r="R5529" i="1"/>
  <c r="S5529" i="1"/>
  <c r="R5523" i="1"/>
  <c r="S5523" i="1"/>
  <c r="R5480" i="1"/>
  <c r="S5480" i="1"/>
  <c r="R5474" i="1"/>
  <c r="S5474" i="1"/>
  <c r="R4752" i="1"/>
  <c r="S4752" i="1"/>
  <c r="R4746" i="1"/>
  <c r="S4746" i="1"/>
  <c r="R4740" i="1"/>
  <c r="S4740" i="1"/>
  <c r="R4734" i="1"/>
  <c r="S4734" i="1"/>
  <c r="R4727" i="1"/>
  <c r="S4727" i="1"/>
  <c r="S4720" i="1"/>
  <c r="R4720" i="1"/>
  <c r="S4714" i="1"/>
  <c r="R4714" i="1"/>
  <c r="R3312" i="1"/>
  <c r="S3312" i="1"/>
  <c r="R3306" i="1"/>
  <c r="S3306" i="1"/>
  <c r="R3300" i="1"/>
  <c r="S3300" i="1"/>
  <c r="R3294" i="1"/>
  <c r="S3294" i="1"/>
  <c r="R3288" i="1"/>
  <c r="S3288" i="1"/>
  <c r="R3282" i="1"/>
  <c r="S3282" i="1"/>
  <c r="R3276" i="1"/>
  <c r="S3276" i="1"/>
  <c r="R3270" i="1"/>
  <c r="S3270" i="1"/>
  <c r="R3264" i="1"/>
  <c r="S3264" i="1"/>
  <c r="R3258" i="1"/>
  <c r="S3258" i="1"/>
  <c r="R3252" i="1"/>
  <c r="S3252" i="1"/>
  <c r="R3246" i="1"/>
  <c r="S3246" i="1"/>
  <c r="R3240" i="1"/>
  <c r="S3240" i="1"/>
  <c r="R3234" i="1"/>
  <c r="S3234" i="1"/>
  <c r="R3228" i="1"/>
  <c r="S3228" i="1"/>
  <c r="R2696" i="1"/>
  <c r="S2696" i="1"/>
  <c r="R2678" i="1"/>
  <c r="S2678" i="1"/>
  <c r="R2672" i="1"/>
  <c r="S2672" i="1"/>
  <c r="R2666" i="1"/>
  <c r="S2666" i="1"/>
  <c r="R2660" i="1"/>
  <c r="S2660" i="1"/>
  <c r="R2653" i="1"/>
  <c r="S2653" i="1"/>
  <c r="R2647" i="1"/>
  <c r="S2647" i="1"/>
  <c r="R2641" i="1"/>
  <c r="S2641" i="1"/>
  <c r="R2635" i="1"/>
  <c r="S2635" i="1"/>
  <c r="R2629" i="1"/>
  <c r="S2629" i="1"/>
  <c r="R2623" i="1"/>
  <c r="S2623" i="1"/>
  <c r="R2617" i="1"/>
  <c r="S2617" i="1"/>
  <c r="R2611" i="1"/>
  <c r="S2611" i="1"/>
  <c r="R2605" i="1"/>
  <c r="S2605" i="1"/>
  <c r="R2599" i="1"/>
  <c r="S2599" i="1"/>
  <c r="S2591" i="1"/>
  <c r="R2591" i="1"/>
  <c r="S2585" i="1"/>
  <c r="R2585" i="1"/>
  <c r="S2579" i="1"/>
  <c r="R2579" i="1"/>
  <c r="S2573" i="1"/>
  <c r="R2573" i="1"/>
  <c r="S2567" i="1"/>
  <c r="R2567" i="1"/>
  <c r="S2561" i="1"/>
  <c r="R2561" i="1"/>
  <c r="S2555" i="1"/>
  <c r="R2555" i="1"/>
  <c r="S2549" i="1"/>
  <c r="R2549" i="1"/>
  <c r="S2543" i="1"/>
  <c r="R2543" i="1"/>
  <c r="S2537" i="1"/>
  <c r="R2537" i="1"/>
  <c r="S2531" i="1"/>
  <c r="R2531" i="1"/>
  <c r="S2525" i="1"/>
  <c r="R2525" i="1"/>
  <c r="S2519" i="1"/>
  <c r="R2519" i="1"/>
  <c r="S2513" i="1"/>
  <c r="R2513" i="1"/>
  <c r="R2446" i="1"/>
  <c r="S2446" i="1"/>
  <c r="R2440" i="1"/>
  <c r="S2440" i="1"/>
  <c r="R2434" i="1"/>
  <c r="S2434" i="1"/>
  <c r="R2428" i="1"/>
  <c r="S2428" i="1"/>
  <c r="R2422" i="1"/>
  <c r="S2422" i="1"/>
  <c r="R2416" i="1"/>
  <c r="S2416" i="1"/>
  <c r="R2410" i="1"/>
  <c r="S2410" i="1"/>
  <c r="R2404" i="1"/>
  <c r="S2404" i="1"/>
  <c r="R1136" i="1"/>
  <c r="S1136" i="1"/>
  <c r="R1130" i="1"/>
  <c r="S1130" i="1"/>
  <c r="R1124" i="1"/>
  <c r="S1124" i="1"/>
  <c r="R1099" i="1"/>
  <c r="S1099" i="1"/>
  <c r="R1093" i="1"/>
  <c r="S1093" i="1"/>
  <c r="R1087" i="1"/>
  <c r="S1087" i="1"/>
  <c r="R1081" i="1"/>
  <c r="S1081" i="1"/>
  <c r="R1075" i="1"/>
  <c r="S1075" i="1"/>
  <c r="R1069" i="1"/>
  <c r="S1069" i="1"/>
  <c r="R1063" i="1"/>
  <c r="S1063" i="1"/>
  <c r="R1057" i="1"/>
  <c r="S1057" i="1"/>
  <c r="R1051" i="1"/>
  <c r="S1051" i="1"/>
  <c r="R1045" i="1"/>
  <c r="S1045" i="1"/>
  <c r="R1039" i="1"/>
  <c r="S1039" i="1"/>
  <c r="R1033" i="1"/>
  <c r="S1033" i="1"/>
  <c r="R1027" i="1"/>
  <c r="S1027" i="1"/>
  <c r="R1021" i="1"/>
  <c r="S1021" i="1"/>
  <c r="R1015" i="1"/>
  <c r="S1015" i="1"/>
  <c r="R1009" i="1"/>
  <c r="S1009" i="1"/>
  <c r="R1003" i="1"/>
  <c r="S1003" i="1"/>
  <c r="R997" i="1"/>
  <c r="S997" i="1"/>
  <c r="R228" i="1"/>
  <c r="S228" i="1"/>
  <c r="R222" i="1"/>
  <c r="S222" i="1"/>
  <c r="R216" i="1"/>
  <c r="S216" i="1"/>
  <c r="R210" i="1"/>
  <c r="S210" i="1"/>
  <c r="R204" i="1"/>
  <c r="S204" i="1"/>
  <c r="R198" i="1"/>
  <c r="S198" i="1"/>
  <c r="R192" i="1"/>
  <c r="S192" i="1"/>
  <c r="R186" i="1"/>
  <c r="S186" i="1"/>
  <c r="R180" i="1"/>
  <c r="S180" i="1"/>
  <c r="R174" i="1"/>
  <c r="S174" i="1"/>
  <c r="R168" i="1"/>
  <c r="S168" i="1"/>
  <c r="R162" i="1"/>
  <c r="S162" i="1"/>
  <c r="R156" i="1"/>
  <c r="S156" i="1"/>
  <c r="R3383" i="1"/>
  <c r="S3383" i="1"/>
  <c r="R3379" i="1"/>
  <c r="S3379" i="1"/>
  <c r="R3388" i="1"/>
  <c r="S3388" i="1"/>
  <c r="S2983" i="1"/>
  <c r="R2983" i="1"/>
  <c r="S2977" i="1"/>
  <c r="R2977" i="1"/>
  <c r="S2971" i="1"/>
  <c r="R2971" i="1"/>
  <c r="S3037" i="1"/>
  <c r="R3037" i="1"/>
  <c r="S3047" i="1"/>
  <c r="R3047" i="1"/>
  <c r="S3053" i="1"/>
  <c r="R3053" i="1"/>
  <c r="R1799" i="1"/>
  <c r="S1799" i="1"/>
  <c r="R4830" i="1"/>
  <c r="S4830" i="1"/>
  <c r="R4447" i="1"/>
  <c r="S4447" i="1"/>
  <c r="R4453" i="1"/>
  <c r="S4453" i="1"/>
  <c r="R4841" i="1"/>
  <c r="S4841" i="1"/>
  <c r="R4458" i="1"/>
  <c r="S4458" i="1"/>
  <c r="S4850" i="1"/>
  <c r="R4850" i="1"/>
  <c r="S4856" i="1"/>
  <c r="R4856" i="1"/>
  <c r="R4870" i="1"/>
  <c r="S4870" i="1"/>
  <c r="R4864" i="1"/>
  <c r="S4864" i="1"/>
  <c r="R2875" i="1"/>
  <c r="S2875" i="1"/>
  <c r="R4272" i="1"/>
  <c r="S4272" i="1"/>
  <c r="R4278" i="1"/>
  <c r="S4278" i="1"/>
  <c r="R4158" i="1"/>
  <c r="S4158" i="1"/>
  <c r="R4164" i="1"/>
  <c r="S4164" i="1"/>
  <c r="R4170" i="1"/>
  <c r="S4170" i="1"/>
  <c r="R4176" i="1"/>
  <c r="S4176" i="1"/>
  <c r="R6333" i="1"/>
  <c r="S6333" i="1"/>
  <c r="R740" i="1"/>
  <c r="S740" i="1"/>
  <c r="R1263" i="1"/>
  <c r="S1263" i="1"/>
  <c r="R1341" i="1"/>
  <c r="S1341" i="1"/>
  <c r="R11" i="1"/>
  <c r="S11" i="1"/>
  <c r="R5864" i="1"/>
  <c r="S5864" i="1"/>
  <c r="R2258" i="1"/>
  <c r="S2258" i="1"/>
  <c r="R2026" i="1"/>
  <c r="S2026" i="1"/>
  <c r="R5814" i="1"/>
  <c r="S5814" i="1"/>
  <c r="R852" i="1"/>
  <c r="S852" i="1"/>
  <c r="R1521" i="1"/>
  <c r="S1521" i="1"/>
  <c r="R6231" i="1"/>
  <c r="S6231" i="1"/>
  <c r="R4965" i="1"/>
  <c r="S4965" i="1"/>
  <c r="R4092" i="1"/>
  <c r="S4092" i="1"/>
  <c r="S2692" i="1"/>
  <c r="R2692" i="1"/>
  <c r="R1433" i="1"/>
  <c r="S1433" i="1"/>
  <c r="R838" i="1"/>
  <c r="S838" i="1"/>
  <c r="R6740" i="1"/>
  <c r="S6740" i="1"/>
  <c r="R4613" i="1"/>
  <c r="S4613" i="1"/>
  <c r="R1953" i="1"/>
  <c r="S1953" i="1"/>
  <c r="S6514" i="1"/>
  <c r="R6514" i="1"/>
  <c r="R3502" i="1"/>
  <c r="S3502" i="1"/>
  <c r="R6229" i="1"/>
  <c r="S6229" i="1"/>
  <c r="R6411" i="1"/>
  <c r="S6411" i="1"/>
  <c r="R5091" i="1"/>
  <c r="S5091" i="1"/>
  <c r="R5165" i="1"/>
  <c r="S5165" i="1"/>
  <c r="S5224" i="1"/>
  <c r="R5224" i="1"/>
  <c r="R1396" i="1"/>
  <c r="S1396" i="1"/>
  <c r="R2320" i="1"/>
  <c r="S2320" i="1"/>
  <c r="S654" i="1"/>
  <c r="R654" i="1"/>
  <c r="R593" i="1"/>
  <c r="S593" i="1"/>
  <c r="R8" i="1"/>
  <c r="S8" i="1"/>
  <c r="S4993" i="1"/>
  <c r="R4993" i="1"/>
  <c r="R17" i="1"/>
  <c r="S17" i="1"/>
  <c r="R5592" i="1"/>
  <c r="S5592" i="1"/>
  <c r="R19" i="1"/>
  <c r="S19" i="1"/>
  <c r="R1720" i="1"/>
  <c r="S1720" i="1"/>
  <c r="R719" i="1"/>
  <c r="S719" i="1"/>
  <c r="R720" i="1"/>
  <c r="S720" i="1"/>
  <c r="R6358" i="1"/>
  <c r="S6358" i="1"/>
  <c r="R1603" i="1"/>
  <c r="S1603" i="1"/>
  <c r="R4605" i="1"/>
  <c r="S4605" i="1"/>
  <c r="R6381" i="1"/>
  <c r="S6381" i="1"/>
  <c r="R589" i="1"/>
  <c r="S589" i="1"/>
  <c r="R5245" i="1"/>
  <c r="S5245" i="1"/>
  <c r="R290" i="1"/>
  <c r="S290" i="1"/>
  <c r="R1797" i="1"/>
  <c r="S1797" i="1"/>
  <c r="S4623" i="1"/>
  <c r="R4623" i="1"/>
  <c r="S6426" i="1"/>
  <c r="R6426" i="1"/>
  <c r="R6630" i="1"/>
  <c r="S6630" i="1"/>
  <c r="S6494" i="1"/>
  <c r="R6494" i="1"/>
  <c r="R1487" i="1"/>
  <c r="S1487" i="1"/>
  <c r="R1724" i="1"/>
  <c r="S1724" i="1"/>
  <c r="R6050" i="1"/>
  <c r="S6050" i="1"/>
  <c r="R2683" i="1"/>
  <c r="S2683" i="1"/>
  <c r="R4603" i="1"/>
  <c r="S4603" i="1"/>
  <c r="R3980" i="1"/>
  <c r="S3980" i="1"/>
  <c r="R1618" i="1"/>
  <c r="S1618" i="1"/>
  <c r="R333" i="1"/>
  <c r="S333" i="1"/>
  <c r="S6386" i="1"/>
  <c r="R6386" i="1"/>
  <c r="R3393" i="1"/>
  <c r="S3393" i="1"/>
  <c r="S6696" i="1"/>
  <c r="R6696" i="1"/>
  <c r="R358" i="1"/>
  <c r="S358" i="1"/>
  <c r="R5616" i="1"/>
  <c r="S5616" i="1"/>
  <c r="R5002" i="1"/>
  <c r="S5002" i="1"/>
  <c r="S5573" i="1"/>
  <c r="R5573" i="1"/>
  <c r="R372" i="1"/>
  <c r="S372" i="1"/>
  <c r="R4205" i="1"/>
  <c r="S4205" i="1"/>
  <c r="R1650" i="1"/>
  <c r="S1650" i="1"/>
  <c r="R4873" i="1"/>
  <c r="S4873" i="1"/>
  <c r="R6532" i="1"/>
  <c r="S6532" i="1"/>
  <c r="R1842" i="1"/>
  <c r="S1842" i="1"/>
  <c r="R4676" i="1"/>
  <c r="S4676" i="1"/>
  <c r="R5011" i="1"/>
  <c r="S5011" i="1"/>
  <c r="R991" i="1"/>
  <c r="S991" i="1"/>
  <c r="R1331" i="1"/>
  <c r="S1331" i="1"/>
  <c r="R353" i="1"/>
  <c r="S353" i="1"/>
  <c r="R5304" i="1"/>
  <c r="S5304" i="1"/>
  <c r="R883" i="1"/>
  <c r="S883" i="1"/>
  <c r="R1763" i="1"/>
  <c r="S1763" i="1"/>
  <c r="S5957" i="1"/>
  <c r="R5957" i="1"/>
  <c r="R47" i="1"/>
  <c r="S47" i="1"/>
  <c r="R386" i="1"/>
  <c r="S386" i="1"/>
  <c r="R4775" i="1"/>
  <c r="S4775" i="1"/>
  <c r="R5663" i="1"/>
  <c r="S5663" i="1"/>
  <c r="R4190" i="1"/>
  <c r="S4190" i="1"/>
  <c r="R4227" i="1"/>
  <c r="S4227" i="1"/>
  <c r="R4810" i="1"/>
  <c r="S4810" i="1"/>
  <c r="R1849" i="1"/>
  <c r="S1849" i="1"/>
  <c r="R5227" i="1"/>
  <c r="S5227" i="1"/>
  <c r="R524" i="1"/>
  <c r="S524" i="1"/>
  <c r="R5979" i="1"/>
  <c r="S5979" i="1"/>
  <c r="R5228" i="1"/>
  <c r="S5228" i="1"/>
  <c r="R1297" i="1"/>
  <c r="S1297" i="1"/>
  <c r="R6452" i="1"/>
  <c r="S6452" i="1"/>
  <c r="R1226" i="1"/>
  <c r="S1226" i="1"/>
  <c r="S4750" i="1"/>
  <c r="R4750" i="1"/>
  <c r="R6184" i="1"/>
  <c r="S6184" i="1"/>
  <c r="R6160" i="1"/>
  <c r="S6160" i="1"/>
  <c r="R2131" i="1"/>
  <c r="S2131" i="1"/>
  <c r="R5708" i="1"/>
  <c r="S5708" i="1"/>
  <c r="R5702" i="1"/>
  <c r="S5702" i="1"/>
  <c r="R5553" i="1"/>
  <c r="S5553" i="1"/>
  <c r="R5547" i="1"/>
  <c r="S5547" i="1"/>
  <c r="R4155" i="1"/>
  <c r="S4155" i="1"/>
  <c r="R3628" i="1"/>
  <c r="S3628" i="1"/>
  <c r="R3622" i="1"/>
  <c r="S3622" i="1"/>
  <c r="R3616" i="1"/>
  <c r="S3616" i="1"/>
  <c r="R3610" i="1"/>
  <c r="S3610" i="1"/>
  <c r="R3604" i="1"/>
  <c r="S3604" i="1"/>
  <c r="R3598" i="1"/>
  <c r="S3598" i="1"/>
  <c r="R3592" i="1"/>
  <c r="S3592" i="1"/>
  <c r="R3586" i="1"/>
  <c r="S3586" i="1"/>
  <c r="R3580" i="1"/>
  <c r="S3580" i="1"/>
  <c r="R3574" i="1"/>
  <c r="S3574" i="1"/>
  <c r="R3568" i="1"/>
  <c r="S3568" i="1"/>
  <c r="R3562" i="1"/>
  <c r="S3562" i="1"/>
  <c r="R3556" i="1"/>
  <c r="S3556" i="1"/>
  <c r="R3550" i="1"/>
  <c r="S3550" i="1"/>
  <c r="R3544" i="1"/>
  <c r="S3544" i="1"/>
  <c r="R3538" i="1"/>
  <c r="S3538" i="1"/>
  <c r="R3531" i="1"/>
  <c r="S3531" i="1"/>
  <c r="R3525" i="1"/>
  <c r="S3525" i="1"/>
  <c r="R3519" i="1"/>
  <c r="S3519" i="1"/>
  <c r="R3512" i="1"/>
  <c r="S3512" i="1"/>
  <c r="R3506" i="1"/>
  <c r="S3506" i="1"/>
  <c r="R3495" i="1"/>
  <c r="S3495" i="1"/>
  <c r="R3488" i="1"/>
  <c r="S3488" i="1"/>
  <c r="R3482" i="1"/>
  <c r="S3482" i="1"/>
  <c r="R3475" i="1"/>
  <c r="S3475" i="1"/>
  <c r="R3469" i="1"/>
  <c r="S3469" i="1"/>
  <c r="R3461" i="1"/>
  <c r="S3461" i="1"/>
  <c r="R3454" i="1"/>
  <c r="S3454" i="1"/>
  <c r="R3447" i="1"/>
  <c r="S3447" i="1"/>
  <c r="R3440" i="1"/>
  <c r="S3440" i="1"/>
  <c r="R3434" i="1"/>
  <c r="S3434" i="1"/>
  <c r="R3428" i="1"/>
  <c r="S3428" i="1"/>
  <c r="R3422" i="1"/>
  <c r="S3422" i="1"/>
  <c r="R3416" i="1"/>
  <c r="S3416" i="1"/>
  <c r="R3410" i="1"/>
  <c r="S3410" i="1"/>
  <c r="R3221" i="1"/>
  <c r="S3221" i="1"/>
  <c r="R3215" i="1"/>
  <c r="S3215" i="1"/>
  <c r="R3209" i="1"/>
  <c r="S3209" i="1"/>
  <c r="R3203" i="1"/>
  <c r="S3203" i="1"/>
  <c r="S3197" i="1"/>
  <c r="R3197" i="1"/>
  <c r="S3191" i="1"/>
  <c r="R3191" i="1"/>
  <c r="S3185" i="1"/>
  <c r="R3185" i="1"/>
  <c r="S3179" i="1"/>
  <c r="R3179" i="1"/>
  <c r="S3173" i="1"/>
  <c r="R3173" i="1"/>
  <c r="S3167" i="1"/>
  <c r="R3167" i="1"/>
  <c r="S3161" i="1"/>
  <c r="R3161" i="1"/>
  <c r="S3155" i="1"/>
  <c r="R3155" i="1"/>
  <c r="S3149" i="1"/>
  <c r="R3149" i="1"/>
  <c r="S3143" i="1"/>
  <c r="R3143" i="1"/>
  <c r="S3137" i="1"/>
  <c r="R3137" i="1"/>
  <c r="S3131" i="1"/>
  <c r="R3131" i="1"/>
  <c r="S3118" i="1"/>
  <c r="R3118" i="1"/>
  <c r="S3112" i="1"/>
  <c r="R3112" i="1"/>
  <c r="S3106" i="1"/>
  <c r="R3106" i="1"/>
  <c r="S3100" i="1"/>
  <c r="R3100" i="1"/>
  <c r="S3094" i="1"/>
  <c r="R3094" i="1"/>
  <c r="S3088" i="1"/>
  <c r="R3088" i="1"/>
  <c r="S3082" i="1"/>
  <c r="R3082" i="1"/>
  <c r="S3076" i="1"/>
  <c r="R3076" i="1"/>
  <c r="S3070" i="1"/>
  <c r="R3070" i="1"/>
  <c r="R2792" i="1"/>
  <c r="S2792" i="1"/>
  <c r="R2786" i="1"/>
  <c r="S2786" i="1"/>
  <c r="R2780" i="1"/>
  <c r="S2780" i="1"/>
  <c r="R2774" i="1"/>
  <c r="S2774" i="1"/>
  <c r="R2768" i="1"/>
  <c r="S2768" i="1"/>
  <c r="R2762" i="1"/>
  <c r="S2762" i="1"/>
  <c r="R2756" i="1"/>
  <c r="S2756" i="1"/>
  <c r="R2750" i="1"/>
  <c r="S2750" i="1"/>
  <c r="R2744" i="1"/>
  <c r="S2744" i="1"/>
  <c r="R2738" i="1"/>
  <c r="S2738" i="1"/>
  <c r="R2732" i="1"/>
  <c r="S2732" i="1"/>
  <c r="R2726" i="1"/>
  <c r="S2726" i="1"/>
  <c r="R2720" i="1"/>
  <c r="S2720" i="1"/>
  <c r="R2714" i="1"/>
  <c r="S2714" i="1"/>
  <c r="R2506" i="1"/>
  <c r="S2506" i="1"/>
  <c r="R2500" i="1"/>
  <c r="S2500" i="1"/>
  <c r="R2494" i="1"/>
  <c r="S2494" i="1"/>
  <c r="R2488" i="1"/>
  <c r="S2488" i="1"/>
  <c r="R2482" i="1"/>
  <c r="S2482" i="1"/>
  <c r="R2476" i="1"/>
  <c r="S2476" i="1"/>
  <c r="R2470" i="1"/>
  <c r="S2470" i="1"/>
  <c r="R2464" i="1"/>
  <c r="S2464" i="1"/>
  <c r="R2458" i="1"/>
  <c r="S2458" i="1"/>
  <c r="R2389" i="1"/>
  <c r="S2389" i="1"/>
  <c r="R2383" i="1"/>
  <c r="S2383" i="1"/>
  <c r="R2377" i="1"/>
  <c r="S2377" i="1"/>
  <c r="R2371" i="1"/>
  <c r="S2371" i="1"/>
  <c r="R2365" i="1"/>
  <c r="S2365" i="1"/>
  <c r="R2359" i="1"/>
  <c r="S2359" i="1"/>
  <c r="R2353" i="1"/>
  <c r="S2353" i="1"/>
  <c r="R2347" i="1"/>
  <c r="S2347" i="1"/>
  <c r="R2341" i="1"/>
  <c r="S2341" i="1"/>
  <c r="R2335" i="1"/>
  <c r="S2335" i="1"/>
  <c r="R1374" i="1"/>
  <c r="S1374" i="1"/>
  <c r="R1368" i="1"/>
  <c r="S1368" i="1"/>
  <c r="R1360" i="1"/>
  <c r="S1360" i="1"/>
  <c r="R1117" i="1"/>
  <c r="S1117" i="1"/>
  <c r="R1111" i="1"/>
  <c r="S1111" i="1"/>
  <c r="R1105" i="1"/>
  <c r="S1105" i="1"/>
  <c r="R407" i="1"/>
  <c r="S407" i="1"/>
  <c r="R3316" i="1"/>
  <c r="S3316" i="1"/>
  <c r="R3322" i="1"/>
  <c r="S3322" i="1"/>
  <c r="R3328" i="1"/>
  <c r="S3328" i="1"/>
  <c r="R3334" i="1"/>
  <c r="S3334" i="1"/>
  <c r="R3336" i="1"/>
  <c r="S3336" i="1"/>
  <c r="R3346" i="1"/>
  <c r="S3346" i="1"/>
  <c r="R3359" i="1"/>
  <c r="S3359" i="1"/>
  <c r="R3355" i="1"/>
  <c r="S3355" i="1"/>
  <c r="R3364" i="1"/>
  <c r="S3364" i="1"/>
  <c r="R3370" i="1"/>
  <c r="S3370" i="1"/>
  <c r="R2883" i="1"/>
  <c r="S2883" i="1"/>
  <c r="S2887" i="1"/>
  <c r="R2887" i="1"/>
  <c r="S2893" i="1"/>
  <c r="R2893" i="1"/>
  <c r="S2899" i="1"/>
  <c r="R2899" i="1"/>
  <c r="S2905" i="1"/>
  <c r="R2905" i="1"/>
  <c r="S2911" i="1"/>
  <c r="R2911" i="1"/>
  <c r="S2917" i="1"/>
  <c r="R2917" i="1"/>
  <c r="S2923" i="1"/>
  <c r="R2923" i="1"/>
  <c r="S2937" i="1"/>
  <c r="R2937" i="1"/>
  <c r="R2932" i="1"/>
  <c r="S2932" i="1"/>
  <c r="R2940" i="1"/>
  <c r="S2940" i="1"/>
  <c r="R2946" i="1"/>
  <c r="S2946" i="1"/>
  <c r="S2953" i="1"/>
  <c r="R2953" i="1"/>
  <c r="S2959" i="1"/>
  <c r="R2959" i="1"/>
  <c r="S2965" i="1"/>
  <c r="R2965" i="1"/>
  <c r="R410" i="1"/>
  <c r="S410" i="1"/>
  <c r="S2989" i="1"/>
  <c r="R2989" i="1"/>
  <c r="S2995" i="1"/>
  <c r="R2995" i="1"/>
  <c r="S3001" i="1"/>
  <c r="R3001" i="1"/>
  <c r="R3012" i="1"/>
  <c r="S3012" i="1"/>
  <c r="S3007" i="1"/>
  <c r="R3007" i="1"/>
  <c r="S3019" i="1"/>
  <c r="R3019" i="1"/>
  <c r="S3025" i="1"/>
  <c r="R3025" i="1"/>
  <c r="S3031" i="1"/>
  <c r="R3031" i="1"/>
  <c r="R4877" i="1"/>
  <c r="S4877" i="1"/>
  <c r="R2797" i="1"/>
  <c r="S2797" i="1"/>
  <c r="R2809" i="1"/>
  <c r="S2809" i="1"/>
  <c r="R2806" i="1"/>
  <c r="S2806" i="1"/>
  <c r="R2815" i="1"/>
  <c r="S2815" i="1"/>
  <c r="R2836" i="1"/>
  <c r="S2836" i="1"/>
  <c r="R2821" i="1"/>
  <c r="S2821" i="1"/>
  <c r="S2829" i="1"/>
  <c r="R2829" i="1"/>
  <c r="R2839" i="1"/>
  <c r="S2839" i="1"/>
  <c r="R2845" i="1"/>
  <c r="S2845" i="1"/>
  <c r="R2848" i="1"/>
  <c r="S2848" i="1"/>
  <c r="R2857" i="1"/>
  <c r="S2857" i="1"/>
  <c r="R2864" i="1"/>
  <c r="S2864" i="1"/>
  <c r="R2870" i="1"/>
  <c r="S2870" i="1"/>
  <c r="R4463" i="1"/>
  <c r="S4463" i="1"/>
  <c r="R4469" i="1"/>
  <c r="S4469" i="1"/>
  <c r="S4472" i="1"/>
  <c r="R4472" i="1"/>
  <c r="R4476" i="1"/>
  <c r="S4476" i="1"/>
  <c r="R4488" i="1"/>
  <c r="S4488" i="1"/>
  <c r="S4496" i="1"/>
  <c r="R4496" i="1"/>
  <c r="R4500" i="1"/>
  <c r="S4500" i="1"/>
  <c r="R4506" i="1"/>
  <c r="S4506" i="1"/>
  <c r="S4520" i="1"/>
  <c r="R4520" i="1"/>
  <c r="R4515" i="1"/>
  <c r="S4515" i="1"/>
  <c r="R4524" i="1"/>
  <c r="S4524" i="1"/>
  <c r="R4530" i="1"/>
  <c r="S4530" i="1"/>
  <c r="R4536" i="1"/>
  <c r="S4536" i="1"/>
  <c r="R4542" i="1"/>
  <c r="S4542" i="1"/>
  <c r="R4548" i="1"/>
  <c r="S4548" i="1"/>
  <c r="R4553" i="1"/>
  <c r="S4553" i="1"/>
  <c r="R4560" i="1"/>
  <c r="S4560" i="1"/>
  <c r="S4568" i="1"/>
  <c r="R4568" i="1"/>
  <c r="S4574" i="1"/>
  <c r="R4574" i="1"/>
  <c r="S4592" i="1"/>
  <c r="R4592" i="1"/>
  <c r="R4584" i="1"/>
  <c r="S4584" i="1"/>
  <c r="R4593" i="1"/>
  <c r="S4593" i="1"/>
  <c r="R4028" i="1"/>
  <c r="S4028" i="1"/>
  <c r="R4034" i="1"/>
  <c r="S4034" i="1"/>
  <c r="R4285" i="1"/>
  <c r="S4285" i="1"/>
  <c r="R4292" i="1"/>
  <c r="S4292" i="1"/>
  <c r="R6540" i="1"/>
  <c r="S6540" i="1"/>
  <c r="R5425" i="1"/>
  <c r="S5425" i="1"/>
  <c r="R1266" i="1"/>
  <c r="S1266" i="1"/>
  <c r="R1250" i="1"/>
  <c r="S1250" i="1"/>
  <c r="R1261" i="1"/>
  <c r="S1261" i="1"/>
  <c r="R1262" i="1"/>
  <c r="S1262" i="1"/>
  <c r="R4143" i="1"/>
  <c r="S4143" i="1"/>
  <c r="R778" i="1"/>
  <c r="S778" i="1"/>
  <c r="R1877" i="1"/>
  <c r="S1877" i="1"/>
  <c r="R5602" i="1"/>
  <c r="S5602" i="1"/>
  <c r="R1580" i="1"/>
  <c r="S1580" i="1"/>
  <c r="R1402" i="1"/>
  <c r="S1402" i="1"/>
  <c r="R3922" i="1"/>
  <c r="S3922" i="1"/>
  <c r="R6493" i="1"/>
  <c r="S6493" i="1"/>
  <c r="R3833" i="1"/>
  <c r="S3833" i="1"/>
  <c r="R1937" i="1"/>
  <c r="S1937" i="1"/>
  <c r="S703" i="1"/>
  <c r="R703" i="1"/>
  <c r="R1735" i="1"/>
  <c r="S1735" i="1"/>
  <c r="R1822" i="1"/>
  <c r="S1822" i="1"/>
  <c r="R2027" i="1"/>
  <c r="S2027" i="1"/>
  <c r="R1601" i="1"/>
  <c r="S1601" i="1"/>
  <c r="S6208" i="1"/>
  <c r="R6208" i="1"/>
  <c r="R6349" i="1"/>
  <c r="S6349" i="1"/>
  <c r="R4221" i="1"/>
  <c r="S4221" i="1"/>
  <c r="R5046" i="1"/>
  <c r="S5046" i="1"/>
  <c r="R559" i="1"/>
  <c r="S559" i="1"/>
  <c r="R4203" i="1"/>
  <c r="S4203" i="1"/>
  <c r="R1815" i="1"/>
  <c r="S1815" i="1"/>
  <c r="R6328" i="1"/>
  <c r="S6328" i="1"/>
  <c r="R1322" i="1"/>
  <c r="S1322" i="1"/>
  <c r="R98" i="1"/>
  <c r="S98" i="1"/>
  <c r="R1892" i="1"/>
  <c r="S1892" i="1"/>
  <c r="R2126" i="1"/>
  <c r="S2126" i="1"/>
  <c r="R86" i="1"/>
  <c r="S86" i="1"/>
  <c r="R6259" i="1"/>
  <c r="S6259" i="1"/>
  <c r="R1288" i="1"/>
  <c r="S1288" i="1"/>
  <c r="R1418" i="1"/>
  <c r="S1418" i="1"/>
  <c r="S4901" i="1"/>
  <c r="R4901" i="1"/>
  <c r="R1633" i="1"/>
  <c r="S1633" i="1"/>
  <c r="R2170" i="1"/>
  <c r="S2170" i="1"/>
  <c r="R5239" i="1"/>
  <c r="S5239" i="1"/>
  <c r="R2242" i="1"/>
  <c r="S2242" i="1"/>
  <c r="R5769" i="1"/>
  <c r="S5769" i="1"/>
  <c r="R1943" i="1"/>
  <c r="S1943" i="1"/>
  <c r="R1779" i="1"/>
  <c r="S1779" i="1"/>
  <c r="R1419" i="1"/>
  <c r="S1419" i="1"/>
  <c r="R5133" i="1"/>
  <c r="S5133" i="1"/>
  <c r="S808" i="1"/>
  <c r="R808" i="1"/>
  <c r="S5321" i="1"/>
  <c r="R5321" i="1"/>
  <c r="R4100" i="1"/>
  <c r="S4100" i="1"/>
  <c r="R1289" i="1"/>
  <c r="S1289" i="1"/>
  <c r="R5171" i="1"/>
  <c r="S5171" i="1"/>
  <c r="R5078" i="1"/>
  <c r="S5078" i="1"/>
  <c r="R267" i="1"/>
  <c r="S267" i="1"/>
  <c r="R397" i="1"/>
  <c r="S397" i="1"/>
  <c r="R723" i="1"/>
  <c r="S723" i="1"/>
  <c r="R4621" i="1"/>
  <c r="S4621" i="1"/>
  <c r="R5854" i="1"/>
  <c r="S5854" i="1"/>
  <c r="R762" i="1"/>
  <c r="S762" i="1"/>
  <c r="R101" i="1"/>
  <c r="S101" i="1"/>
  <c r="R2690" i="1"/>
  <c r="S2690" i="1"/>
  <c r="R4408" i="1"/>
  <c r="S4408" i="1"/>
  <c r="R5107" i="1"/>
  <c r="S5107" i="1"/>
  <c r="R5326" i="1"/>
  <c r="S5326" i="1"/>
  <c r="R4054" i="1"/>
  <c r="S4054" i="1"/>
  <c r="R735" i="1"/>
  <c r="S735" i="1"/>
  <c r="R2598" i="1"/>
  <c r="S2598" i="1"/>
  <c r="R12" i="1"/>
  <c r="S12" i="1"/>
  <c r="R4094" i="1"/>
  <c r="S4094" i="1"/>
  <c r="R496" i="1"/>
  <c r="S496" i="1"/>
  <c r="R5568" i="1"/>
  <c r="S5568" i="1"/>
  <c r="R5397" i="1"/>
  <c r="S5397" i="1"/>
  <c r="S5038" i="1"/>
  <c r="R5038" i="1"/>
  <c r="R5745" i="1"/>
  <c r="S5745" i="1"/>
  <c r="R6635" i="1"/>
  <c r="S6635" i="1"/>
  <c r="S6720" i="1"/>
  <c r="R6720" i="1"/>
  <c r="R1662" i="1"/>
  <c r="S1662" i="1"/>
  <c r="R62" i="1"/>
  <c r="S62" i="1"/>
  <c r="R56" i="1"/>
  <c r="S56" i="1"/>
  <c r="R3795" i="1"/>
  <c r="S3795" i="1"/>
  <c r="S5996" i="1"/>
  <c r="R5996" i="1"/>
  <c r="R1537" i="1"/>
  <c r="S1537" i="1"/>
  <c r="R1644" i="1"/>
  <c r="S1644" i="1"/>
  <c r="R1972" i="1"/>
  <c r="S1972" i="1"/>
  <c r="R6225" i="1"/>
  <c r="S6225" i="1"/>
  <c r="R5946" i="1"/>
  <c r="S5946" i="1"/>
  <c r="R3775" i="1"/>
  <c r="S3775" i="1"/>
  <c r="R6376" i="1"/>
  <c r="S6376" i="1"/>
  <c r="R503" i="1"/>
  <c r="S503" i="1"/>
  <c r="S5817" i="1"/>
  <c r="R5817" i="1"/>
  <c r="R509" i="1"/>
  <c r="S509" i="1"/>
  <c r="S5561" i="1"/>
  <c r="R5561" i="1"/>
  <c r="R6079" i="1"/>
  <c r="S6079" i="1"/>
  <c r="R2218" i="1"/>
  <c r="S2218" i="1"/>
  <c r="R4137" i="1"/>
  <c r="S4137" i="1"/>
  <c r="R1631" i="1"/>
  <c r="S1631" i="1"/>
  <c r="R1625" i="1"/>
  <c r="S1625" i="1"/>
  <c r="S4868" i="1"/>
  <c r="R4868" i="1"/>
  <c r="R1158" i="1"/>
  <c r="S1158" i="1"/>
  <c r="R816" i="1"/>
  <c r="S816" i="1"/>
  <c r="R5606" i="1"/>
  <c r="S5606" i="1"/>
  <c r="R6473" i="1"/>
  <c r="S6473" i="1"/>
  <c r="R28" i="1"/>
  <c r="S28" i="1"/>
  <c r="R6767" i="1"/>
  <c r="S6767" i="1"/>
  <c r="R5959" i="1"/>
  <c r="S5959" i="1"/>
  <c r="R6061" i="1"/>
  <c r="S6061" i="1"/>
  <c r="R2207" i="1"/>
  <c r="S2207" i="1"/>
  <c r="R4201" i="1"/>
  <c r="S4201" i="1"/>
  <c r="R3801" i="1"/>
  <c r="S3801" i="1"/>
  <c r="R1801" i="1"/>
  <c r="R1878" i="1"/>
  <c r="S1878" i="1"/>
  <c r="R5163" i="1"/>
  <c r="S5163" i="1"/>
  <c r="R3924" i="1"/>
  <c r="S3924" i="1"/>
  <c r="R4358" i="1"/>
  <c r="S4358" i="1"/>
  <c r="R6182" i="1"/>
  <c r="S6182" i="1"/>
  <c r="R6157" i="1"/>
  <c r="S6157" i="1"/>
  <c r="R6288" i="1"/>
  <c r="S6288" i="1"/>
  <c r="R6261" i="1"/>
  <c r="S6261" i="1"/>
  <c r="R6196" i="1"/>
  <c r="S6196" i="1"/>
  <c r="R6178" i="1"/>
  <c r="S6178" i="1"/>
  <c r="R6172" i="1"/>
  <c r="S6172" i="1"/>
  <c r="R6154" i="1"/>
  <c r="S6154" i="1"/>
  <c r="R6148" i="1"/>
  <c r="S6148" i="1"/>
  <c r="R6135" i="1"/>
  <c r="S6135" i="1"/>
  <c r="R6223" i="1"/>
  <c r="S6223" i="1"/>
  <c r="R6189" i="1"/>
  <c r="S6189" i="1"/>
  <c r="R6177" i="1"/>
  <c r="S6177" i="1"/>
  <c r="R6165" i="1"/>
  <c r="S6165" i="1"/>
  <c r="R6153" i="1"/>
  <c r="S6153" i="1"/>
  <c r="R6141" i="1"/>
  <c r="S6141" i="1"/>
  <c r="R5534" i="1"/>
  <c r="S5534" i="1"/>
  <c r="R5486" i="1"/>
  <c r="S5486" i="1"/>
  <c r="R4739" i="1"/>
  <c r="S4739" i="1"/>
  <c r="R3311" i="1"/>
  <c r="S3311" i="1"/>
  <c r="R3305" i="1"/>
  <c r="S3305" i="1"/>
  <c r="R3299" i="1"/>
  <c r="S3299" i="1"/>
  <c r="R3293" i="1"/>
  <c r="S3293" i="1"/>
  <c r="R3287" i="1"/>
  <c r="S3287" i="1"/>
  <c r="R3281" i="1"/>
  <c r="S3281" i="1"/>
  <c r="R3275" i="1"/>
  <c r="S3275" i="1"/>
  <c r="R3269" i="1"/>
  <c r="S3269" i="1"/>
  <c r="R3263" i="1"/>
  <c r="S3263" i="1"/>
  <c r="R3257" i="1"/>
  <c r="S3257" i="1"/>
  <c r="R3251" i="1"/>
  <c r="S3251" i="1"/>
  <c r="R3245" i="1"/>
  <c r="S3245" i="1"/>
  <c r="R3239" i="1"/>
  <c r="S3239" i="1"/>
  <c r="R3233" i="1"/>
  <c r="S3233" i="1"/>
  <c r="R3227" i="1"/>
  <c r="S3227" i="1"/>
  <c r="R2952" i="1"/>
  <c r="S2952" i="1"/>
  <c r="R2694" i="1"/>
  <c r="S2694" i="1"/>
  <c r="R2677" i="1"/>
  <c r="S2677" i="1"/>
  <c r="R2671" i="1"/>
  <c r="S2671" i="1"/>
  <c r="R2665" i="1"/>
  <c r="S2665" i="1"/>
  <c r="R2659" i="1"/>
  <c r="S2659" i="1"/>
  <c r="R2652" i="1"/>
  <c r="S2652" i="1"/>
  <c r="R2646" i="1"/>
  <c r="S2646" i="1"/>
  <c r="R2640" i="1"/>
  <c r="S2640" i="1"/>
  <c r="R2634" i="1"/>
  <c r="S2634" i="1"/>
  <c r="R2628" i="1"/>
  <c r="S2628" i="1"/>
  <c r="R2622" i="1"/>
  <c r="S2622" i="1"/>
  <c r="R2616" i="1"/>
  <c r="S2616" i="1"/>
  <c r="R2610" i="1"/>
  <c r="S2610" i="1"/>
  <c r="R2604" i="1"/>
  <c r="S2604" i="1"/>
  <c r="R2597" i="1"/>
  <c r="S2597" i="1"/>
  <c r="R2590" i="1"/>
  <c r="S2590" i="1"/>
  <c r="R2584" i="1"/>
  <c r="S2584" i="1"/>
  <c r="R2578" i="1"/>
  <c r="S2578" i="1"/>
  <c r="R2572" i="1"/>
  <c r="S2572" i="1"/>
  <c r="R2566" i="1"/>
  <c r="S2566" i="1"/>
  <c r="R2560" i="1"/>
  <c r="S2560" i="1"/>
  <c r="R2554" i="1"/>
  <c r="S2554" i="1"/>
  <c r="R2548" i="1"/>
  <c r="S2548" i="1"/>
  <c r="R2542" i="1"/>
  <c r="S2542" i="1"/>
  <c r="R2536" i="1"/>
  <c r="S2536" i="1"/>
  <c r="R2530" i="1"/>
  <c r="S2530" i="1"/>
  <c r="R2524" i="1"/>
  <c r="S2524" i="1"/>
  <c r="R2518" i="1"/>
  <c r="S2518" i="1"/>
  <c r="R2512" i="1"/>
  <c r="S2512" i="1"/>
  <c r="R2451" i="1"/>
  <c r="S2451" i="1"/>
  <c r="R2445" i="1"/>
  <c r="S2445" i="1"/>
  <c r="R2439" i="1"/>
  <c r="S2439" i="1"/>
  <c r="R2433" i="1"/>
  <c r="S2433" i="1"/>
  <c r="R2427" i="1"/>
  <c r="S2427" i="1"/>
  <c r="R2421" i="1"/>
  <c r="S2421" i="1"/>
  <c r="R2415" i="1"/>
  <c r="S2415" i="1"/>
  <c r="R2409" i="1"/>
  <c r="S2409" i="1"/>
  <c r="R2403" i="1"/>
  <c r="S2403" i="1"/>
  <c r="R1135" i="1"/>
  <c r="S1135" i="1"/>
  <c r="R1129" i="1"/>
  <c r="S1129" i="1"/>
  <c r="R1123" i="1"/>
  <c r="S1123" i="1"/>
  <c r="R1098" i="1"/>
  <c r="S1098" i="1"/>
  <c r="R1092" i="1"/>
  <c r="S1092" i="1"/>
  <c r="R1086" i="1"/>
  <c r="S1086" i="1"/>
  <c r="R1080" i="1"/>
  <c r="S1080" i="1"/>
  <c r="R1074" i="1"/>
  <c r="S1074" i="1"/>
  <c r="R1068" i="1"/>
  <c r="S1068" i="1"/>
  <c r="R1062" i="1"/>
  <c r="S1062" i="1"/>
  <c r="R1056" i="1"/>
  <c r="S1056" i="1"/>
  <c r="R1050" i="1"/>
  <c r="S1050" i="1"/>
  <c r="R1044" i="1"/>
  <c r="S1044" i="1"/>
  <c r="R1038" i="1"/>
  <c r="S1038" i="1"/>
  <c r="R1032" i="1"/>
  <c r="S1032" i="1"/>
  <c r="R1026" i="1"/>
  <c r="S1026" i="1"/>
  <c r="R1020" i="1"/>
  <c r="S1020" i="1"/>
  <c r="R1014" i="1"/>
  <c r="S1014" i="1"/>
  <c r="R1008" i="1"/>
  <c r="S1008" i="1"/>
  <c r="R1002" i="1"/>
  <c r="S1002" i="1"/>
  <c r="R996" i="1"/>
  <c r="S996" i="1"/>
  <c r="R236" i="1"/>
  <c r="S236" i="1"/>
  <c r="R227" i="1"/>
  <c r="S227" i="1"/>
  <c r="R221" i="1"/>
  <c r="S221" i="1"/>
  <c r="R215" i="1"/>
  <c r="S215" i="1"/>
  <c r="R209" i="1"/>
  <c r="S209" i="1"/>
  <c r="R203" i="1"/>
  <c r="S203" i="1"/>
  <c r="R197" i="1"/>
  <c r="S197" i="1"/>
  <c r="R191" i="1"/>
  <c r="S191" i="1"/>
  <c r="R185" i="1"/>
  <c r="S185" i="1"/>
  <c r="R179" i="1"/>
  <c r="S179" i="1"/>
  <c r="R173" i="1"/>
  <c r="S173" i="1"/>
  <c r="R167" i="1"/>
  <c r="S167" i="1"/>
  <c r="R161" i="1"/>
  <c r="S161" i="1"/>
  <c r="R155" i="1"/>
  <c r="S155" i="1"/>
  <c r="R3384" i="1"/>
  <c r="S3384" i="1"/>
  <c r="R3380" i="1"/>
  <c r="S3380" i="1"/>
  <c r="R3389" i="1"/>
  <c r="S3389" i="1"/>
  <c r="R2988" i="1"/>
  <c r="S2988" i="1"/>
  <c r="R2982" i="1"/>
  <c r="S2982" i="1"/>
  <c r="R2976" i="1"/>
  <c r="S2976" i="1"/>
  <c r="S3038" i="1"/>
  <c r="R3038" i="1"/>
  <c r="R3048" i="1"/>
  <c r="S3048" i="1"/>
  <c r="R3054" i="1"/>
  <c r="S3054" i="1"/>
  <c r="S4442" i="1"/>
  <c r="R4442" i="1"/>
  <c r="S4448" i="1"/>
  <c r="R4448" i="1"/>
  <c r="S4454" i="1"/>
  <c r="R4454" i="1"/>
  <c r="R4836" i="1"/>
  <c r="S4836" i="1"/>
  <c r="R4843" i="1"/>
  <c r="S4843" i="1"/>
  <c r="R4459" i="1"/>
  <c r="S4459" i="1"/>
  <c r="R4851" i="1"/>
  <c r="S4851" i="1"/>
  <c r="R4857" i="1"/>
  <c r="S4857" i="1"/>
  <c r="R4879" i="1"/>
  <c r="S4879" i="1"/>
  <c r="R4865" i="1"/>
  <c r="S4865" i="1"/>
  <c r="R4273" i="1"/>
  <c r="S4273" i="1"/>
  <c r="R4279" i="1"/>
  <c r="R4159" i="1"/>
  <c r="S4159" i="1"/>
  <c r="R4165" i="1"/>
  <c r="S4165" i="1"/>
  <c r="R4171" i="1"/>
  <c r="S4171" i="1"/>
  <c r="R4177" i="1"/>
  <c r="S4177" i="1"/>
  <c r="S6674" i="1"/>
  <c r="R6674" i="1"/>
  <c r="R1252" i="1"/>
  <c r="S1252" i="1"/>
  <c r="R1893" i="1"/>
  <c r="S1893" i="1"/>
  <c r="R4245" i="1"/>
  <c r="S4245" i="1"/>
  <c r="R1879" i="1"/>
  <c r="S1879" i="1"/>
  <c r="S5032" i="1"/>
  <c r="R5032" i="1"/>
  <c r="R3967" i="1"/>
  <c r="S3967" i="1"/>
  <c r="R2298" i="1"/>
  <c r="S2298" i="1"/>
  <c r="R5652" i="1"/>
  <c r="S5652" i="1"/>
  <c r="R3452" i="1"/>
  <c r="S3452" i="1"/>
  <c r="R5628" i="1"/>
  <c r="S5628" i="1"/>
  <c r="S6612" i="1"/>
  <c r="R6612" i="1"/>
  <c r="R841" i="1"/>
  <c r="S841" i="1"/>
  <c r="R5030" i="1"/>
  <c r="S5030" i="1"/>
  <c r="R4249" i="1"/>
  <c r="S4249" i="1"/>
  <c r="R5732" i="1"/>
  <c r="S5732" i="1"/>
  <c r="R6368" i="1"/>
  <c r="S6368" i="1"/>
  <c r="R6735" i="1"/>
  <c r="S6735" i="1"/>
  <c r="R638" i="1"/>
  <c r="S638" i="1"/>
  <c r="R5109" i="1"/>
  <c r="S5109" i="1"/>
  <c r="R2073" i="1"/>
  <c r="S2073" i="1"/>
  <c r="R6446" i="1"/>
  <c r="S6446" i="1"/>
  <c r="R5244" i="1"/>
  <c r="S5244" i="1"/>
  <c r="S5799" i="1"/>
  <c r="R5799" i="1"/>
  <c r="R6523" i="1"/>
  <c r="S6523" i="1"/>
  <c r="R2029" i="1"/>
  <c r="S2029" i="1"/>
  <c r="R6035" i="1"/>
  <c r="S6035" i="1"/>
  <c r="S5833" i="1"/>
  <c r="R5833" i="1"/>
  <c r="R1506" i="1"/>
  <c r="S1506" i="1"/>
  <c r="R53" i="1"/>
  <c r="S53" i="1"/>
  <c r="R5802" i="1"/>
  <c r="S5802" i="1"/>
  <c r="R2159" i="1"/>
  <c r="S2159" i="1"/>
  <c r="R2019" i="1"/>
  <c r="S2019" i="1"/>
  <c r="S437" i="1"/>
  <c r="R437" i="1"/>
  <c r="R583" i="1"/>
  <c r="S583" i="1"/>
  <c r="R4212" i="1"/>
  <c r="S4212" i="1"/>
  <c r="R617" i="1"/>
  <c r="S617" i="1"/>
  <c r="S5583" i="1"/>
  <c r="R5583" i="1"/>
  <c r="R2137" i="1"/>
  <c r="S2137" i="1"/>
  <c r="R5842" i="1"/>
  <c r="S5842" i="1"/>
  <c r="S4788" i="1"/>
  <c r="R4788" i="1"/>
  <c r="R5844" i="1"/>
  <c r="S5844" i="1"/>
  <c r="R842" i="1"/>
  <c r="S842" i="1"/>
  <c r="R476" i="1"/>
  <c r="S476" i="1"/>
  <c r="R592" i="1"/>
  <c r="S592" i="1"/>
  <c r="S628" i="1"/>
  <c r="R628" i="1"/>
  <c r="R4061" i="1"/>
  <c r="S4061" i="1"/>
  <c r="R4946" i="1"/>
  <c r="S4946" i="1"/>
  <c r="R6027" i="1"/>
  <c r="S6027" i="1"/>
  <c r="R4622" i="1"/>
  <c r="S4622" i="1"/>
  <c r="R5309" i="1"/>
  <c r="S5309" i="1"/>
  <c r="R1923" i="1"/>
  <c r="S1923" i="1"/>
  <c r="R1715" i="1"/>
  <c r="S1715" i="1"/>
  <c r="R1863" i="1"/>
  <c r="S1863" i="1"/>
  <c r="R5386" i="1"/>
  <c r="S5386" i="1"/>
  <c r="R6356" i="1"/>
  <c r="S6356" i="1"/>
  <c r="R5950" i="1"/>
  <c r="S5950" i="1"/>
  <c r="R2509" i="1"/>
  <c r="S2509" i="1"/>
  <c r="R843" i="1"/>
  <c r="S843" i="1"/>
  <c r="R6478" i="1"/>
  <c r="S6478" i="1"/>
  <c r="R3674" i="1"/>
  <c r="S3674" i="1"/>
  <c r="R1102" i="1"/>
  <c r="S1102" i="1"/>
  <c r="S5827" i="1"/>
  <c r="R5827" i="1"/>
  <c r="R4252" i="1"/>
  <c r="S4252" i="1"/>
  <c r="R5073" i="1"/>
  <c r="S5073" i="1"/>
  <c r="R278" i="1"/>
  <c r="S278" i="1"/>
  <c r="R2220" i="1"/>
  <c r="S2220" i="1"/>
  <c r="R6488" i="1"/>
  <c r="S6488" i="1"/>
  <c r="S361" i="1"/>
  <c r="R361" i="1"/>
  <c r="R1660" i="1"/>
  <c r="S1660" i="1"/>
  <c r="R6271" i="1"/>
  <c r="S6271" i="1"/>
  <c r="R5574" i="1"/>
  <c r="S5574" i="1"/>
  <c r="R6749" i="1"/>
  <c r="S6749" i="1"/>
  <c r="R295" i="1"/>
  <c r="S295" i="1"/>
  <c r="R4871" i="1"/>
  <c r="S4871" i="1"/>
  <c r="R4097" i="1"/>
  <c r="S4097" i="1"/>
  <c r="R1508" i="1"/>
  <c r="S1508" i="1"/>
  <c r="R3650" i="1"/>
  <c r="S3650" i="1"/>
  <c r="R6485" i="1"/>
  <c r="S6485" i="1"/>
  <c r="R6551" i="1"/>
  <c r="S6551" i="1"/>
  <c r="R1585" i="1"/>
  <c r="S1585" i="1"/>
  <c r="R6309" i="1"/>
  <c r="S6309" i="1"/>
  <c r="R4642" i="1"/>
  <c r="S4642" i="1"/>
  <c r="R6550" i="1"/>
  <c r="S6550" i="1"/>
  <c r="R6483" i="1"/>
  <c r="S6483" i="1"/>
  <c r="R5594" i="1"/>
  <c r="S5594" i="1"/>
  <c r="R5971" i="1"/>
  <c r="S5971" i="1"/>
  <c r="R1336" i="1"/>
  <c r="S1336" i="1"/>
  <c r="R5977" i="1"/>
  <c r="S5977" i="1"/>
  <c r="R4048" i="1"/>
  <c r="S4048" i="1"/>
  <c r="R1417" i="1"/>
  <c r="S1417" i="1"/>
  <c r="S5914" i="1"/>
  <c r="R5914" i="1"/>
  <c r="R6158" i="1"/>
  <c r="S6158" i="1"/>
  <c r="R5533" i="1"/>
  <c r="S5533" i="1"/>
  <c r="S4738" i="1"/>
  <c r="R4738" i="1"/>
  <c r="R6187" i="1"/>
  <c r="S6187" i="1"/>
  <c r="R6202" i="1"/>
  <c r="S6202" i="1"/>
  <c r="R4926" i="1"/>
  <c r="S4926" i="1"/>
  <c r="R2119" i="1"/>
  <c r="S2119" i="1"/>
  <c r="R6260" i="1"/>
  <c r="S6260" i="1"/>
  <c r="R6201" i="1"/>
  <c r="S6201" i="1"/>
  <c r="R6195" i="1"/>
  <c r="S6195" i="1"/>
  <c r="R6183" i="1"/>
  <c r="S6183" i="1"/>
  <c r="R6171" i="1"/>
  <c r="S6171" i="1"/>
  <c r="R6159" i="1"/>
  <c r="S6159" i="1"/>
  <c r="R6147" i="1"/>
  <c r="S6147" i="1"/>
  <c r="R6134" i="1"/>
  <c r="S6134" i="1"/>
  <c r="R5540" i="1"/>
  <c r="S5540" i="1"/>
  <c r="R5528" i="1"/>
  <c r="S5528" i="1"/>
  <c r="R5522" i="1"/>
  <c r="S5522" i="1"/>
  <c r="R5479" i="1"/>
  <c r="S5479" i="1"/>
  <c r="R5467" i="1"/>
  <c r="S5467" i="1"/>
  <c r="R4751" i="1"/>
  <c r="S4751" i="1"/>
  <c r="R4745" i="1"/>
  <c r="S4745" i="1"/>
  <c r="R4733" i="1"/>
  <c r="S4733" i="1"/>
  <c r="S4726" i="1"/>
  <c r="R4726" i="1"/>
  <c r="R4719" i="1"/>
  <c r="S4719" i="1"/>
  <c r="R4711" i="1"/>
  <c r="R3686" i="1"/>
  <c r="S3686" i="1"/>
  <c r="R5707" i="1"/>
  <c r="S5707" i="1"/>
  <c r="R5698" i="1"/>
  <c r="S5698" i="1"/>
  <c r="R5552" i="1"/>
  <c r="S5552" i="1"/>
  <c r="R5546" i="1"/>
  <c r="S5546" i="1"/>
  <c r="R3627" i="1"/>
  <c r="S3627" i="1"/>
  <c r="R3621" i="1"/>
  <c r="S3621" i="1"/>
  <c r="R3615" i="1"/>
  <c r="S3615" i="1"/>
  <c r="R3609" i="1"/>
  <c r="S3609" i="1"/>
  <c r="R3603" i="1"/>
  <c r="S3603" i="1"/>
  <c r="R3597" i="1"/>
  <c r="S3597" i="1"/>
  <c r="R3591" i="1"/>
  <c r="S3591" i="1"/>
  <c r="R3585" i="1"/>
  <c r="S3585" i="1"/>
  <c r="R3579" i="1"/>
  <c r="S3579" i="1"/>
  <c r="R3573" i="1"/>
  <c r="S3573" i="1"/>
  <c r="R3567" i="1"/>
  <c r="S3567" i="1"/>
  <c r="R3561" i="1"/>
  <c r="S3561" i="1"/>
  <c r="R3555" i="1"/>
  <c r="S3555" i="1"/>
  <c r="R3549" i="1"/>
  <c r="S3549" i="1"/>
  <c r="R3543" i="1"/>
  <c r="S3543" i="1"/>
  <c r="R3537" i="1"/>
  <c r="S3537" i="1"/>
  <c r="R3530" i="1"/>
  <c r="S3530" i="1"/>
  <c r="R3524" i="1"/>
  <c r="S3524" i="1"/>
  <c r="R3518" i="1"/>
  <c r="S3518" i="1"/>
  <c r="R3511" i="1"/>
  <c r="S3511" i="1"/>
  <c r="R3505" i="1"/>
  <c r="S3505" i="1"/>
  <c r="R3494" i="1"/>
  <c r="S3494" i="1"/>
  <c r="R3487" i="1"/>
  <c r="S3487" i="1"/>
  <c r="R3481" i="1"/>
  <c r="S3481" i="1"/>
  <c r="R3474" i="1"/>
  <c r="S3474" i="1"/>
  <c r="R3468" i="1"/>
  <c r="S3468" i="1"/>
  <c r="R3459" i="1"/>
  <c r="S3459" i="1"/>
  <c r="R3453" i="1"/>
  <c r="S3453" i="1"/>
  <c r="R3446" i="1"/>
  <c r="S3446" i="1"/>
  <c r="R3439" i="1"/>
  <c r="S3439" i="1"/>
  <c r="R3433" i="1"/>
  <c r="S3433" i="1"/>
  <c r="R3427" i="1"/>
  <c r="S3427" i="1"/>
  <c r="R3421" i="1"/>
  <c r="S3421" i="1"/>
  <c r="R3415" i="1"/>
  <c r="S3415" i="1"/>
  <c r="R3409" i="1"/>
  <c r="S3409" i="1"/>
  <c r="R3220" i="1"/>
  <c r="S3220" i="1"/>
  <c r="R3214" i="1"/>
  <c r="S3214" i="1"/>
  <c r="R3208" i="1"/>
  <c r="S3208" i="1"/>
  <c r="R3202" i="1"/>
  <c r="S3202" i="1"/>
  <c r="R3196" i="1"/>
  <c r="S3196" i="1"/>
  <c r="R3190" i="1"/>
  <c r="S3190" i="1"/>
  <c r="R3184" i="1"/>
  <c r="S3184" i="1"/>
  <c r="R3178" i="1"/>
  <c r="S3178" i="1"/>
  <c r="R3172" i="1"/>
  <c r="S3172" i="1"/>
  <c r="R3166" i="1"/>
  <c r="S3166" i="1"/>
  <c r="R3160" i="1"/>
  <c r="S3160" i="1"/>
  <c r="R3154" i="1"/>
  <c r="S3154" i="1"/>
  <c r="R3148" i="1"/>
  <c r="S3148" i="1"/>
  <c r="R3142" i="1"/>
  <c r="S3142" i="1"/>
  <c r="R3136" i="1"/>
  <c r="S3136" i="1"/>
  <c r="R3130" i="1"/>
  <c r="S3130" i="1"/>
  <c r="S3123" i="1"/>
  <c r="R3123" i="1"/>
  <c r="S3117" i="1"/>
  <c r="R3117" i="1"/>
  <c r="S3111" i="1"/>
  <c r="R3111" i="1"/>
  <c r="S3105" i="1"/>
  <c r="R3105" i="1"/>
  <c r="S3099" i="1"/>
  <c r="R3099" i="1"/>
  <c r="S3093" i="1"/>
  <c r="R3093" i="1"/>
  <c r="S3087" i="1"/>
  <c r="R3087" i="1"/>
  <c r="S3081" i="1"/>
  <c r="R3081" i="1"/>
  <c r="S3075" i="1"/>
  <c r="R3075" i="1"/>
  <c r="S3069" i="1"/>
  <c r="R3069" i="1"/>
  <c r="R2791" i="1"/>
  <c r="S2791" i="1"/>
  <c r="R2785" i="1"/>
  <c r="S2785" i="1"/>
  <c r="R2779" i="1"/>
  <c r="S2779" i="1"/>
  <c r="R2773" i="1"/>
  <c r="S2773" i="1"/>
  <c r="R2767" i="1"/>
  <c r="S2767" i="1"/>
  <c r="R2761" i="1"/>
  <c r="S2761" i="1"/>
  <c r="R2755" i="1"/>
  <c r="S2755" i="1"/>
  <c r="R2749" i="1"/>
  <c r="S2749" i="1"/>
  <c r="R2743" i="1"/>
  <c r="S2743" i="1"/>
  <c r="R2737" i="1"/>
  <c r="S2737" i="1"/>
  <c r="R2731" i="1"/>
  <c r="S2731" i="1"/>
  <c r="R2725" i="1"/>
  <c r="S2725" i="1"/>
  <c r="R2719" i="1"/>
  <c r="S2719" i="1"/>
  <c r="R2713" i="1"/>
  <c r="S2713" i="1"/>
  <c r="R2505" i="1"/>
  <c r="S2505" i="1"/>
  <c r="R2499" i="1"/>
  <c r="S2499" i="1"/>
  <c r="R2493" i="1"/>
  <c r="S2493" i="1"/>
  <c r="R2487" i="1"/>
  <c r="S2487" i="1"/>
  <c r="R2481" i="1"/>
  <c r="S2481" i="1"/>
  <c r="R2475" i="1"/>
  <c r="S2475" i="1"/>
  <c r="R2469" i="1"/>
  <c r="S2469" i="1"/>
  <c r="R2463" i="1"/>
  <c r="S2463" i="1"/>
  <c r="R2457" i="1"/>
  <c r="S2457" i="1"/>
  <c r="R2388" i="1"/>
  <c r="S2388" i="1"/>
  <c r="R2382" i="1"/>
  <c r="S2382" i="1"/>
  <c r="R2376" i="1"/>
  <c r="S2376" i="1"/>
  <c r="R2370" i="1"/>
  <c r="S2370" i="1"/>
  <c r="R2364" i="1"/>
  <c r="S2364" i="1"/>
  <c r="R2358" i="1"/>
  <c r="S2358" i="1"/>
  <c r="R2352" i="1"/>
  <c r="S2352" i="1"/>
  <c r="R2346" i="1"/>
  <c r="S2346" i="1"/>
  <c r="R2340" i="1"/>
  <c r="S2340" i="1"/>
  <c r="R2334" i="1"/>
  <c r="S2334" i="1"/>
  <c r="R1373" i="1"/>
  <c r="S1373" i="1"/>
  <c r="R1367" i="1"/>
  <c r="S1367" i="1"/>
  <c r="R1116" i="1"/>
  <c r="S1116" i="1"/>
  <c r="R1110" i="1"/>
  <c r="S1110" i="1"/>
  <c r="R1104" i="1"/>
  <c r="S1104" i="1"/>
  <c r="R406" i="1"/>
  <c r="S406" i="1"/>
  <c r="R3317" i="1"/>
  <c r="S3317" i="1"/>
  <c r="R3323" i="1"/>
  <c r="S3323" i="1"/>
  <c r="R3329" i="1"/>
  <c r="S3329" i="1"/>
  <c r="R3339" i="1"/>
  <c r="S3339" i="1"/>
  <c r="R3337" i="1"/>
  <c r="S3337" i="1"/>
  <c r="R3347" i="1"/>
  <c r="S3347" i="1"/>
  <c r="R3350" i="1"/>
  <c r="S3350" i="1"/>
  <c r="R3356" i="1"/>
  <c r="S3356" i="1"/>
  <c r="R3365" i="1"/>
  <c r="S3365" i="1"/>
  <c r="R3371" i="1"/>
  <c r="S3371" i="1"/>
  <c r="R5580" i="1"/>
  <c r="S5580" i="1"/>
  <c r="R2884" i="1"/>
  <c r="S2884" i="1"/>
  <c r="R2888" i="1"/>
  <c r="S2888" i="1"/>
  <c r="R2894" i="1"/>
  <c r="S2894" i="1"/>
  <c r="R2900" i="1"/>
  <c r="S2900" i="1"/>
  <c r="R2906" i="1"/>
  <c r="S2906" i="1"/>
  <c r="R2912" i="1"/>
  <c r="S2912" i="1"/>
  <c r="R2918" i="1"/>
  <c r="S2918" i="1"/>
  <c r="R2924" i="1"/>
  <c r="S2924" i="1"/>
  <c r="R2939" i="1"/>
  <c r="S2939" i="1"/>
  <c r="R2933" i="1"/>
  <c r="S2933" i="1"/>
  <c r="S2941" i="1"/>
  <c r="R2941" i="1"/>
  <c r="S2947" i="1"/>
  <c r="R2947" i="1"/>
  <c r="R2954" i="1"/>
  <c r="S2954" i="1"/>
  <c r="R2960" i="1"/>
  <c r="S2960" i="1"/>
  <c r="R2966" i="1"/>
  <c r="S2966" i="1"/>
  <c r="R2990" i="1"/>
  <c r="S2990" i="1"/>
  <c r="R2996" i="1"/>
  <c r="S2996" i="1"/>
  <c r="R3002" i="1"/>
  <c r="S3002" i="1"/>
  <c r="S3013" i="1"/>
  <c r="R3013" i="1"/>
  <c r="R3008" i="1"/>
  <c r="S3008" i="1"/>
  <c r="S3020" i="1"/>
  <c r="R3020" i="1"/>
  <c r="S3026" i="1"/>
  <c r="R3026" i="1"/>
  <c r="R4831" i="1"/>
  <c r="S4831" i="1"/>
  <c r="R4878" i="1"/>
  <c r="S4878" i="1"/>
  <c r="R2798" i="1"/>
  <c r="S2798" i="1"/>
  <c r="R2810" i="1"/>
  <c r="S2810" i="1"/>
  <c r="R2807" i="1"/>
  <c r="S2807" i="1"/>
  <c r="R2816" i="1"/>
  <c r="S2816" i="1"/>
  <c r="R2824" i="1"/>
  <c r="S2824" i="1"/>
  <c r="R2822" i="1"/>
  <c r="S2822" i="1"/>
  <c r="R2830" i="1"/>
  <c r="S2830" i="1"/>
  <c r="R2840" i="1"/>
  <c r="S2840" i="1"/>
  <c r="R2846" i="1"/>
  <c r="S2846" i="1"/>
  <c r="R2849" i="1"/>
  <c r="S2849" i="1"/>
  <c r="R2858" i="1"/>
  <c r="S2858" i="1"/>
  <c r="S2865" i="1"/>
  <c r="R2865" i="1"/>
  <c r="S2871" i="1"/>
  <c r="R2871" i="1"/>
  <c r="R4464" i="1"/>
  <c r="S4464" i="1"/>
  <c r="R4470" i="1"/>
  <c r="S4470" i="1"/>
  <c r="R4473" i="1"/>
  <c r="S4473" i="1"/>
  <c r="R4477" i="1"/>
  <c r="S4477" i="1"/>
  <c r="S4490" i="1"/>
  <c r="R4490" i="1"/>
  <c r="R4497" i="1"/>
  <c r="S4497" i="1"/>
  <c r="R4501" i="1"/>
  <c r="S4501" i="1"/>
  <c r="R4507" i="1"/>
  <c r="S4507" i="1"/>
  <c r="R4521" i="1"/>
  <c r="S4521" i="1"/>
  <c r="R4516" i="1"/>
  <c r="S4516" i="1"/>
  <c r="R4525" i="1"/>
  <c r="S4525" i="1"/>
  <c r="R4531" i="1"/>
  <c r="S4531" i="1"/>
  <c r="R4537" i="1"/>
  <c r="S4537" i="1"/>
  <c r="R4543" i="1"/>
  <c r="S4543" i="1"/>
  <c r="R4566" i="1"/>
  <c r="S4566" i="1"/>
  <c r="R4554" i="1"/>
  <c r="S4554" i="1"/>
  <c r="R4565" i="1"/>
  <c r="S4565" i="1"/>
  <c r="R4569" i="1"/>
  <c r="S4569" i="1"/>
  <c r="R4576" i="1"/>
  <c r="S4576" i="1"/>
  <c r="R4597" i="1"/>
  <c r="S4597" i="1"/>
  <c r="R4585" i="1"/>
  <c r="S4585" i="1"/>
  <c r="R4594" i="1"/>
  <c r="S4594" i="1"/>
  <c r="R4029" i="1"/>
  <c r="S4029" i="1"/>
  <c r="R4035" i="1"/>
  <c r="S4035" i="1"/>
  <c r="R4286" i="1"/>
  <c r="S4286" i="1"/>
  <c r="S5422" i="1"/>
  <c r="R5422" i="1"/>
  <c r="R6679" i="1"/>
  <c r="S6679" i="1"/>
  <c r="R1247" i="1"/>
  <c r="S1247" i="1"/>
  <c r="R1254" i="1"/>
  <c r="S1254" i="1"/>
  <c r="R1264" i="1"/>
  <c r="S1264" i="1"/>
  <c r="R5826" i="1"/>
  <c r="S5826" i="1"/>
  <c r="R2015" i="1"/>
  <c r="S2015" i="1"/>
  <c r="R378" i="1"/>
  <c r="S378" i="1"/>
  <c r="R5556" i="1"/>
  <c r="S5556" i="1"/>
  <c r="R5936" i="1"/>
  <c r="S5936" i="1"/>
  <c r="R5591" i="1"/>
  <c r="S5591" i="1"/>
  <c r="R3963" i="1"/>
  <c r="S3963" i="1"/>
  <c r="R6505" i="1"/>
  <c r="S6505" i="1"/>
  <c r="R1640" i="1"/>
  <c r="S1640" i="1"/>
  <c r="R5382" i="1"/>
  <c r="S5382" i="1"/>
  <c r="R4970" i="1"/>
  <c r="S4970" i="1"/>
  <c r="R2109" i="1"/>
  <c r="S2109" i="1"/>
  <c r="S3032" i="1"/>
  <c r="R3032" i="1"/>
  <c r="R3886" i="1"/>
  <c r="S3886" i="1"/>
  <c r="R6656" i="1"/>
  <c r="S6656" i="1"/>
  <c r="R1449" i="1"/>
  <c r="S1449" i="1"/>
  <c r="R3753" i="1"/>
  <c r="S3753" i="1"/>
  <c r="R4082" i="1"/>
  <c r="S4082" i="1"/>
  <c r="S5805" i="1"/>
  <c r="R5805" i="1"/>
  <c r="R324" i="1"/>
  <c r="S324" i="1"/>
  <c r="R5191" i="1"/>
  <c r="S5191" i="1"/>
  <c r="R3901" i="1"/>
  <c r="S3901" i="1"/>
  <c r="R3920" i="1"/>
  <c r="S3920" i="1"/>
  <c r="R4130" i="1"/>
  <c r="S4130" i="1"/>
  <c r="R4805" i="1"/>
  <c r="S4805" i="1"/>
  <c r="R469" i="1"/>
  <c r="S469" i="1"/>
  <c r="R643" i="1"/>
  <c r="S643" i="1"/>
  <c r="R5837" i="1"/>
  <c r="S5837" i="1"/>
  <c r="R5049" i="1"/>
  <c r="S5049" i="1"/>
  <c r="R4202" i="1"/>
  <c r="S4202" i="1"/>
  <c r="S5387" i="1"/>
  <c r="R5387" i="1"/>
  <c r="R275" i="1"/>
  <c r="S275" i="1"/>
  <c r="R3667" i="1"/>
  <c r="S3667" i="1"/>
  <c r="R2700" i="1"/>
  <c r="S2700" i="1"/>
  <c r="R1344" i="1"/>
  <c r="S1344" i="1"/>
  <c r="R5735" i="1"/>
  <c r="S5735" i="1"/>
  <c r="R5810" i="1"/>
  <c r="S5810" i="1"/>
  <c r="R4219" i="1"/>
  <c r="S4219" i="1"/>
  <c r="R4070" i="1"/>
  <c r="S4070" i="1"/>
  <c r="R4257" i="1"/>
  <c r="S4257" i="1"/>
  <c r="R4624" i="1"/>
  <c r="S4624" i="1"/>
  <c r="S6655" i="1"/>
  <c r="R6655" i="1"/>
  <c r="R749" i="1"/>
  <c r="S749" i="1"/>
  <c r="S5793" i="1"/>
  <c r="R5793" i="1"/>
  <c r="R5055" i="1"/>
  <c r="S5055" i="1"/>
  <c r="R2314" i="1"/>
  <c r="S2314" i="1"/>
  <c r="R6746" i="1"/>
  <c r="S6746" i="1"/>
  <c r="R5541" i="1"/>
  <c r="S5541" i="1"/>
  <c r="R1573" i="1"/>
  <c r="S1573" i="1"/>
  <c r="R4978" i="1"/>
  <c r="S4978" i="1"/>
  <c r="R6391" i="1"/>
  <c r="S6391" i="1"/>
  <c r="R4636" i="1"/>
  <c r="S4636" i="1"/>
  <c r="R2103" i="1"/>
  <c r="S2103" i="1"/>
  <c r="R1795" i="1"/>
  <c r="S1795" i="1"/>
  <c r="R1223" i="1"/>
  <c r="S1223" i="1"/>
  <c r="R1212" i="1"/>
  <c r="S1212" i="1"/>
  <c r="S6038" i="1"/>
  <c r="R6038" i="1"/>
  <c r="R4786" i="1"/>
  <c r="S4786" i="1"/>
  <c r="R2158" i="1"/>
  <c r="S2158" i="1"/>
  <c r="R88" i="1"/>
  <c r="S88" i="1"/>
  <c r="R5755" i="1"/>
  <c r="S5755" i="1"/>
  <c r="R5610" i="1"/>
  <c r="S5610" i="1"/>
  <c r="S5671" i="1"/>
  <c r="R5671" i="1"/>
  <c r="R5181" i="1"/>
  <c r="S5181" i="1"/>
  <c r="R5836" i="1"/>
  <c r="S5836" i="1"/>
  <c r="R1343" i="1"/>
  <c r="S1343" i="1"/>
  <c r="S2215" i="1"/>
  <c r="R2215" i="1"/>
  <c r="R4122" i="1"/>
  <c r="S4122" i="1"/>
  <c r="R5593" i="1"/>
  <c r="S5593" i="1"/>
  <c r="R5034" i="1"/>
  <c r="S5034" i="1"/>
  <c r="R4881" i="1"/>
  <c r="S4881" i="1"/>
  <c r="R5668" i="1"/>
  <c r="S5668" i="1"/>
  <c r="R4228" i="1"/>
  <c r="S4228" i="1"/>
  <c r="R5036" i="1"/>
  <c r="S5036" i="1"/>
  <c r="R1661" i="1"/>
  <c r="S1661" i="1"/>
  <c r="R4930" i="1"/>
  <c r="S4930" i="1"/>
  <c r="R3981" i="1"/>
  <c r="S3981" i="1"/>
  <c r="R1932" i="1"/>
  <c r="S1932" i="1"/>
  <c r="R4126" i="1"/>
  <c r="S4126" i="1"/>
  <c r="R2243" i="1"/>
  <c r="S2243" i="1"/>
  <c r="R127" i="1"/>
  <c r="S127" i="1"/>
  <c r="R424" i="1"/>
  <c r="S424" i="1"/>
  <c r="R709" i="1"/>
  <c r="S709" i="1"/>
  <c r="R2252" i="1"/>
  <c r="S2252" i="1"/>
  <c r="R328" i="1"/>
  <c r="S328" i="1"/>
  <c r="R5558" i="1"/>
  <c r="S5558" i="1"/>
  <c r="S2261" i="1"/>
  <c r="R2261" i="1"/>
  <c r="S6618" i="1"/>
  <c r="R6618" i="1"/>
  <c r="S4610" i="1"/>
  <c r="R4610" i="1"/>
  <c r="R1411" i="1"/>
  <c r="S1411" i="1"/>
  <c r="R5218" i="1"/>
  <c r="S5218" i="1"/>
  <c r="R1559" i="1"/>
  <c r="S1559" i="1"/>
  <c r="R6582" i="1"/>
  <c r="S6582" i="1"/>
  <c r="S770" i="1"/>
  <c r="R770" i="1"/>
  <c r="R95" i="1"/>
  <c r="S95" i="1"/>
  <c r="R6080" i="1"/>
  <c r="S6080" i="1"/>
  <c r="R5669" i="1"/>
  <c r="S5669" i="1"/>
  <c r="R6648" i="1"/>
  <c r="S6648" i="1"/>
  <c r="R6744" i="1"/>
  <c r="S6744" i="1"/>
  <c r="R5229" i="1"/>
  <c r="S5229" i="1"/>
  <c r="R2316" i="1"/>
  <c r="S2316" i="1"/>
  <c r="R1976" i="1"/>
  <c r="S1976" i="1"/>
  <c r="R1934" i="1"/>
  <c r="S1934" i="1"/>
  <c r="R5322" i="1"/>
  <c r="S5322" i="1"/>
  <c r="R6388" i="1"/>
  <c r="S6388" i="1"/>
  <c r="R5597" i="1"/>
  <c r="S5597" i="1"/>
  <c r="R4049" i="1"/>
  <c r="S4049" i="1"/>
  <c r="R5009" i="1"/>
  <c r="S5009" i="1"/>
  <c r="R1746" i="1"/>
  <c r="S1746" i="1"/>
  <c r="R1142" i="1"/>
  <c r="S1142" i="1"/>
  <c r="R4096" i="1"/>
  <c r="S4096" i="1"/>
  <c r="R5795" i="1"/>
  <c r="S5795" i="1"/>
  <c r="R844" i="1"/>
  <c r="S844" i="1"/>
  <c r="R722" i="1"/>
  <c r="S722" i="1"/>
  <c r="R1924" i="1"/>
  <c r="S1924" i="1"/>
  <c r="R5478" i="1"/>
  <c r="S5478" i="1"/>
  <c r="R4724" i="1"/>
  <c r="S4724" i="1"/>
  <c r="R3310" i="1"/>
  <c r="S3310" i="1"/>
  <c r="R3304" i="1"/>
  <c r="S3304" i="1"/>
  <c r="R3298" i="1"/>
  <c r="S3298" i="1"/>
  <c r="R3292" i="1"/>
  <c r="S3292" i="1"/>
  <c r="R3286" i="1"/>
  <c r="S3286" i="1"/>
  <c r="R3280" i="1"/>
  <c r="S3280" i="1"/>
  <c r="R3274" i="1"/>
  <c r="S3274" i="1"/>
  <c r="R3268" i="1"/>
  <c r="S3268" i="1"/>
  <c r="R3262" i="1"/>
  <c r="S3262" i="1"/>
  <c r="R3256" i="1"/>
  <c r="S3256" i="1"/>
  <c r="R3250" i="1"/>
  <c r="S3250" i="1"/>
  <c r="R3244" i="1"/>
  <c r="S3244" i="1"/>
  <c r="R3238" i="1"/>
  <c r="S3238" i="1"/>
  <c r="R3232" i="1"/>
  <c r="S3232" i="1"/>
  <c r="R2682" i="1"/>
  <c r="S2682" i="1"/>
  <c r="R2676" i="1"/>
  <c r="S2676" i="1"/>
  <c r="R2670" i="1"/>
  <c r="S2670" i="1"/>
  <c r="R2664" i="1"/>
  <c r="S2664" i="1"/>
  <c r="R2657" i="1"/>
  <c r="S2657" i="1"/>
  <c r="R2651" i="1"/>
  <c r="S2651" i="1"/>
  <c r="R2645" i="1"/>
  <c r="S2645" i="1"/>
  <c r="R2639" i="1"/>
  <c r="S2639" i="1"/>
  <c r="R2633" i="1"/>
  <c r="S2633" i="1"/>
  <c r="R2627" i="1"/>
  <c r="S2627" i="1"/>
  <c r="R2621" i="1"/>
  <c r="S2621" i="1"/>
  <c r="R2615" i="1"/>
  <c r="S2615" i="1"/>
  <c r="R2609" i="1"/>
  <c r="S2609" i="1"/>
  <c r="R2603" i="1"/>
  <c r="S2603" i="1"/>
  <c r="R2589" i="1"/>
  <c r="S2589" i="1"/>
  <c r="R2583" i="1"/>
  <c r="S2583" i="1"/>
  <c r="R2577" i="1"/>
  <c r="S2577" i="1"/>
  <c r="R2571" i="1"/>
  <c r="S2571" i="1"/>
  <c r="R2565" i="1"/>
  <c r="S2565" i="1"/>
  <c r="R2559" i="1"/>
  <c r="S2559" i="1"/>
  <c r="R2553" i="1"/>
  <c r="S2553" i="1"/>
  <c r="R2547" i="1"/>
  <c r="S2547" i="1"/>
  <c r="R2541" i="1"/>
  <c r="S2541" i="1"/>
  <c r="R2535" i="1"/>
  <c r="S2535" i="1"/>
  <c r="R2529" i="1"/>
  <c r="S2529" i="1"/>
  <c r="R2523" i="1"/>
  <c r="S2523" i="1"/>
  <c r="R2517" i="1"/>
  <c r="S2517" i="1"/>
  <c r="R2511" i="1"/>
  <c r="S2511" i="1"/>
  <c r="R2450" i="1"/>
  <c r="S2450" i="1"/>
  <c r="R2444" i="1"/>
  <c r="S2444" i="1"/>
  <c r="R2438" i="1"/>
  <c r="S2438" i="1"/>
  <c r="R2432" i="1"/>
  <c r="S2432" i="1"/>
  <c r="R2426" i="1"/>
  <c r="S2426" i="1"/>
  <c r="R2420" i="1"/>
  <c r="S2420" i="1"/>
  <c r="R2414" i="1"/>
  <c r="S2414" i="1"/>
  <c r="R2408" i="1"/>
  <c r="S2408" i="1"/>
  <c r="R2402" i="1"/>
  <c r="S2402" i="1"/>
  <c r="R1134" i="1"/>
  <c r="S1134" i="1"/>
  <c r="R1128" i="1"/>
  <c r="S1128" i="1"/>
  <c r="R1122" i="1"/>
  <c r="S1122" i="1"/>
  <c r="R1097" i="1"/>
  <c r="S1097" i="1"/>
  <c r="R1091" i="1"/>
  <c r="S1091" i="1"/>
  <c r="R1085" i="1"/>
  <c r="S1085" i="1"/>
  <c r="R1079" i="1"/>
  <c r="S1079" i="1"/>
  <c r="R1073" i="1"/>
  <c r="S1073" i="1"/>
  <c r="R1067" i="1"/>
  <c r="S1067" i="1"/>
  <c r="R1061" i="1"/>
  <c r="S1061" i="1"/>
  <c r="R1055" i="1"/>
  <c r="S1055" i="1"/>
  <c r="R1049" i="1"/>
  <c r="S1049" i="1"/>
  <c r="R1043" i="1"/>
  <c r="S1043" i="1"/>
  <c r="R1037" i="1"/>
  <c r="S1037" i="1"/>
  <c r="R1031" i="1"/>
  <c r="S1031" i="1"/>
  <c r="R1025" i="1"/>
  <c r="S1025" i="1"/>
  <c r="R1019" i="1"/>
  <c r="S1019" i="1"/>
  <c r="R1013" i="1"/>
  <c r="S1013" i="1"/>
  <c r="R1007" i="1"/>
  <c r="S1007" i="1"/>
  <c r="R1001" i="1"/>
  <c r="S1001" i="1"/>
  <c r="R232" i="1"/>
  <c r="S232" i="1"/>
  <c r="R226" i="1"/>
  <c r="S226" i="1"/>
  <c r="R220" i="1"/>
  <c r="S220" i="1"/>
  <c r="R214" i="1"/>
  <c r="S214" i="1"/>
  <c r="R208" i="1"/>
  <c r="S208" i="1"/>
  <c r="R202" i="1"/>
  <c r="S202" i="1"/>
  <c r="R196" i="1"/>
  <c r="S196" i="1"/>
  <c r="R190" i="1"/>
  <c r="S190" i="1"/>
  <c r="R184" i="1"/>
  <c r="S184" i="1"/>
  <c r="R178" i="1"/>
  <c r="S178" i="1"/>
  <c r="R172" i="1"/>
  <c r="S172" i="1"/>
  <c r="R166" i="1"/>
  <c r="S166" i="1"/>
  <c r="R160" i="1"/>
  <c r="S160" i="1"/>
  <c r="R154" i="1"/>
  <c r="S154" i="1"/>
  <c r="R3385" i="1"/>
  <c r="S3385" i="1"/>
  <c r="R3381" i="1"/>
  <c r="S3381" i="1"/>
  <c r="R2987" i="1"/>
  <c r="S2987" i="1"/>
  <c r="R2981" i="1"/>
  <c r="S2981" i="1"/>
  <c r="R2975" i="1"/>
  <c r="S2975" i="1"/>
  <c r="R3033" i="1"/>
  <c r="S3033" i="1"/>
  <c r="R3039" i="1"/>
  <c r="S3039" i="1"/>
  <c r="S3049" i="1"/>
  <c r="R3049" i="1"/>
  <c r="R3042" i="1"/>
  <c r="S3042" i="1"/>
  <c r="R6673" i="1"/>
  <c r="S6673" i="1"/>
  <c r="R4443" i="1"/>
  <c r="S4443" i="1"/>
  <c r="R4449" i="1"/>
  <c r="S4449" i="1"/>
  <c r="R4455" i="1"/>
  <c r="S4455" i="1"/>
  <c r="R4837" i="1"/>
  <c r="S4837" i="1"/>
  <c r="S4844" i="1"/>
  <c r="R4844" i="1"/>
  <c r="S4460" i="1"/>
  <c r="R4460" i="1"/>
  <c r="R4852" i="1"/>
  <c r="S4852" i="1"/>
  <c r="R4858" i="1"/>
  <c r="S4858" i="1"/>
  <c r="S4880" i="1"/>
  <c r="R4880" i="1"/>
  <c r="R4866" i="1"/>
  <c r="S4866" i="1"/>
  <c r="R4268" i="1"/>
  <c r="S4268" i="1"/>
  <c r="R4274" i="1"/>
  <c r="S4274" i="1"/>
  <c r="R4280" i="1"/>
  <c r="S4280" i="1"/>
  <c r="R4160" i="1"/>
  <c r="S4160" i="1"/>
  <c r="R4166" i="1"/>
  <c r="S4166" i="1"/>
  <c r="R4172" i="1"/>
  <c r="S4172" i="1"/>
  <c r="R4178" i="1"/>
  <c r="S4178" i="1"/>
  <c r="R4412" i="1"/>
  <c r="S4412" i="1"/>
  <c r="R6685" i="1"/>
  <c r="S6685" i="1"/>
  <c r="S6686" i="1"/>
  <c r="R6686" i="1"/>
  <c r="R1500" i="1"/>
  <c r="S1500" i="1"/>
  <c r="R4947" i="1"/>
  <c r="S4947" i="1"/>
  <c r="R854" i="1"/>
  <c r="S854" i="1"/>
  <c r="R344" i="1"/>
  <c r="S344" i="1"/>
  <c r="R4437" i="1"/>
  <c r="S4437" i="1"/>
  <c r="R6373" i="1"/>
  <c r="S6373" i="1"/>
  <c r="R4619" i="1"/>
  <c r="S4619" i="1"/>
  <c r="R6519" i="1"/>
  <c r="S6519" i="1"/>
  <c r="R5029" i="1"/>
  <c r="S5029" i="1"/>
  <c r="R312" i="1"/>
  <c r="S312" i="1"/>
  <c r="R317" i="1"/>
  <c r="S317" i="1"/>
  <c r="R5887" i="1"/>
  <c r="S5887" i="1"/>
  <c r="R1920" i="1"/>
  <c r="S1920" i="1"/>
  <c r="R234" i="1"/>
  <c r="S234" i="1"/>
  <c r="R6509" i="1"/>
  <c r="S6509" i="1"/>
  <c r="R4797" i="1"/>
  <c r="S4797" i="1"/>
  <c r="R798" i="1"/>
  <c r="R4086" i="1"/>
  <c r="S4086" i="1"/>
  <c r="R4675" i="1"/>
  <c r="S4675" i="1"/>
  <c r="R3061" i="1"/>
  <c r="S3061" i="1"/>
  <c r="R4702" i="1"/>
  <c r="S4702" i="1"/>
  <c r="R744" i="1"/>
  <c r="S744" i="1"/>
  <c r="R1526" i="1"/>
  <c r="S1526" i="1"/>
  <c r="R1606" i="1"/>
  <c r="S1606" i="1"/>
  <c r="R5223" i="1"/>
  <c r="S5223" i="1"/>
  <c r="R1404" i="1"/>
  <c r="S1404" i="1"/>
  <c r="R5682" i="1"/>
  <c r="S5682" i="1"/>
  <c r="R2135" i="1"/>
  <c r="S2135" i="1"/>
  <c r="R3968" i="1"/>
  <c r="S3968" i="1"/>
  <c r="R1231" i="1"/>
  <c r="S1231" i="1"/>
  <c r="R1703" i="1"/>
  <c r="S1703" i="1"/>
  <c r="R1405" i="1"/>
  <c r="S1405" i="1"/>
  <c r="S5852" i="1"/>
  <c r="R5852" i="1"/>
  <c r="R5035" i="1"/>
  <c r="S5035" i="1"/>
  <c r="R1323" i="1"/>
  <c r="S1323" i="1"/>
  <c r="R5164" i="1"/>
  <c r="S5164" i="1"/>
  <c r="R416" i="1"/>
  <c r="S416" i="1"/>
  <c r="S828" i="1"/>
  <c r="R828" i="1"/>
  <c r="R5155" i="1"/>
  <c r="S5155" i="1"/>
  <c r="R38" i="1"/>
  <c r="S38" i="1"/>
  <c r="R5792" i="1"/>
  <c r="S5792" i="1"/>
  <c r="S6359" i="1"/>
  <c r="R6359" i="1"/>
  <c r="R396" i="1"/>
  <c r="S396" i="1"/>
  <c r="R279" i="1"/>
  <c r="S279" i="1"/>
  <c r="R1796" i="1"/>
  <c r="S1796" i="1"/>
  <c r="R5339" i="1"/>
  <c r="S5339" i="1"/>
  <c r="S742" i="1"/>
  <c r="R742" i="1"/>
  <c r="R4382" i="1"/>
  <c r="S4382" i="1"/>
  <c r="S485" i="1"/>
  <c r="R485" i="1"/>
  <c r="R6697" i="1"/>
  <c r="S6697" i="1"/>
  <c r="R5939" i="1"/>
  <c r="S5939" i="1"/>
  <c r="R4312" i="1"/>
  <c r="S4312" i="1"/>
  <c r="R105" i="1"/>
  <c r="S105" i="1"/>
  <c r="R3702" i="1"/>
  <c r="S3702" i="1"/>
  <c r="R5645" i="1"/>
  <c r="S5645" i="1"/>
  <c r="R4262" i="1"/>
  <c r="S4262" i="1"/>
  <c r="R4135" i="1"/>
  <c r="S4135" i="1"/>
  <c r="R3915" i="1"/>
  <c r="S3915" i="1"/>
  <c r="R6389" i="1"/>
  <c r="S6389" i="1"/>
  <c r="R3372" i="1"/>
  <c r="S3372" i="1"/>
  <c r="R2138" i="1"/>
  <c r="S2138" i="1"/>
  <c r="R2006" i="1"/>
  <c r="S2006" i="1"/>
  <c r="R890" i="1"/>
  <c r="S890" i="1"/>
  <c r="R3394" i="1"/>
  <c r="S3394" i="1"/>
  <c r="R6270" i="1"/>
  <c r="S6270" i="1"/>
  <c r="S5006" i="1"/>
  <c r="R5006" i="1"/>
  <c r="R3939" i="1"/>
  <c r="S3939" i="1"/>
  <c r="S6342" i="1"/>
  <c r="R6342" i="1"/>
  <c r="R4390" i="1"/>
  <c r="S4390" i="1"/>
  <c r="R4222" i="1"/>
  <c r="S4222" i="1"/>
  <c r="R5405" i="1"/>
  <c r="S5405" i="1"/>
  <c r="R6762" i="1"/>
  <c r="S6762" i="1"/>
  <c r="R2139" i="1"/>
  <c r="S2139" i="1"/>
  <c r="R48" i="1"/>
  <c r="S48" i="1"/>
  <c r="S594" i="1"/>
  <c r="R594" i="1"/>
  <c r="R2274" i="1"/>
  <c r="S2274" i="1"/>
  <c r="R659" i="1"/>
  <c r="S659" i="1"/>
  <c r="R1649" i="1"/>
  <c r="S1649" i="1"/>
  <c r="R3977" i="1"/>
  <c r="S3977" i="1"/>
  <c r="R855" i="1"/>
  <c r="S855" i="1"/>
  <c r="R4073" i="1"/>
  <c r="S4073" i="1"/>
  <c r="R5237" i="1"/>
  <c r="S5237" i="1"/>
  <c r="S2237" i="1"/>
  <c r="R2237" i="1"/>
  <c r="R511" i="1"/>
  <c r="S511" i="1"/>
  <c r="R356" i="1"/>
  <c r="S356" i="1"/>
  <c r="S259" i="1"/>
  <c r="R259" i="1"/>
  <c r="R661" i="1"/>
  <c r="S661" i="1"/>
  <c r="R5587" i="1"/>
  <c r="S5587" i="1"/>
  <c r="R934" i="1"/>
  <c r="S934" i="1"/>
  <c r="R4631" i="1"/>
  <c r="S4631" i="1"/>
  <c r="R504" i="1"/>
  <c r="S504" i="1"/>
  <c r="R6265" i="1"/>
  <c r="S6265" i="1"/>
  <c r="R6176" i="1"/>
  <c r="S6176" i="1"/>
  <c r="R6146" i="1"/>
  <c r="S6146" i="1"/>
  <c r="R5484" i="1"/>
  <c r="S5484" i="1"/>
  <c r="R3724" i="1"/>
  <c r="S3724" i="1"/>
  <c r="S5706" i="1"/>
  <c r="R5706" i="1"/>
  <c r="R5551" i="1"/>
  <c r="S5551" i="1"/>
  <c r="R5545" i="1"/>
  <c r="S5545" i="1"/>
  <c r="R5063" i="1"/>
  <c r="S5063" i="1"/>
  <c r="R3632" i="1"/>
  <c r="S3632" i="1"/>
  <c r="R3626" i="1"/>
  <c r="S3626" i="1"/>
  <c r="R3620" i="1"/>
  <c r="S3620" i="1"/>
  <c r="R3614" i="1"/>
  <c r="S3614" i="1"/>
  <c r="R3608" i="1"/>
  <c r="S3608" i="1"/>
  <c r="R3602" i="1"/>
  <c r="S3602" i="1"/>
  <c r="R3596" i="1"/>
  <c r="S3596" i="1"/>
  <c r="R3590" i="1"/>
  <c r="S3590" i="1"/>
  <c r="R3584" i="1"/>
  <c r="S3584" i="1"/>
  <c r="R3578" i="1"/>
  <c r="S3578" i="1"/>
  <c r="R3572" i="1"/>
  <c r="S3572" i="1"/>
  <c r="R3566" i="1"/>
  <c r="S3566" i="1"/>
  <c r="R3560" i="1"/>
  <c r="S3560" i="1"/>
  <c r="R3554" i="1"/>
  <c r="S3554" i="1"/>
  <c r="R3548" i="1"/>
  <c r="S3548" i="1"/>
  <c r="R3542" i="1"/>
  <c r="S3542" i="1"/>
  <c r="R3536" i="1"/>
  <c r="S3536" i="1"/>
  <c r="R3529" i="1"/>
  <c r="S3529" i="1"/>
  <c r="R3523" i="1"/>
  <c r="S3523" i="1"/>
  <c r="R3517" i="1"/>
  <c r="S3517" i="1"/>
  <c r="R3510" i="1"/>
  <c r="S3510" i="1"/>
  <c r="R3504" i="1"/>
  <c r="S3504" i="1"/>
  <c r="R3492" i="1"/>
  <c r="S3492" i="1"/>
  <c r="R3486" i="1"/>
  <c r="S3486" i="1"/>
  <c r="R3480" i="1"/>
  <c r="S3480" i="1"/>
  <c r="R3473" i="1"/>
  <c r="S3473" i="1"/>
  <c r="R3466" i="1"/>
  <c r="S3466" i="1"/>
  <c r="R3458" i="1"/>
  <c r="S3458" i="1"/>
  <c r="R3451" i="1"/>
  <c r="S3451" i="1"/>
  <c r="R3445" i="1"/>
  <c r="S3445" i="1"/>
  <c r="R3438" i="1"/>
  <c r="S3438" i="1"/>
  <c r="R3432" i="1"/>
  <c r="S3432" i="1"/>
  <c r="R3426" i="1"/>
  <c r="S3426" i="1"/>
  <c r="R3420" i="1"/>
  <c r="S3420" i="1"/>
  <c r="R3414" i="1"/>
  <c r="S3414" i="1"/>
  <c r="R3408" i="1"/>
  <c r="S3408" i="1"/>
  <c r="R3219" i="1"/>
  <c r="S3219" i="1"/>
  <c r="R3213" i="1"/>
  <c r="S3213" i="1"/>
  <c r="R3207" i="1"/>
  <c r="S3207" i="1"/>
  <c r="R3201" i="1"/>
  <c r="S3201" i="1"/>
  <c r="R3195" i="1"/>
  <c r="S3195" i="1"/>
  <c r="R3189" i="1"/>
  <c r="S3189" i="1"/>
  <c r="S3183" i="1"/>
  <c r="R3183" i="1"/>
  <c r="R3177" i="1"/>
  <c r="S3177" i="1"/>
  <c r="R3171" i="1"/>
  <c r="S3171" i="1"/>
  <c r="R3165" i="1"/>
  <c r="S3165" i="1"/>
  <c r="R3159" i="1"/>
  <c r="S3159" i="1"/>
  <c r="R3153" i="1"/>
  <c r="S3153" i="1"/>
  <c r="R3147" i="1"/>
  <c r="S3147" i="1"/>
  <c r="R3141" i="1"/>
  <c r="S3141" i="1"/>
  <c r="R3135" i="1"/>
  <c r="S3135" i="1"/>
  <c r="R3129" i="1"/>
  <c r="S3129" i="1"/>
  <c r="R3122" i="1"/>
  <c r="S3122" i="1"/>
  <c r="R3116" i="1"/>
  <c r="S3116" i="1"/>
  <c r="R3110" i="1"/>
  <c r="S3110" i="1"/>
  <c r="R3104" i="1"/>
  <c r="S3104" i="1"/>
  <c r="R3098" i="1"/>
  <c r="S3098" i="1"/>
  <c r="R3092" i="1"/>
  <c r="S3092" i="1"/>
  <c r="R3086" i="1"/>
  <c r="S3086" i="1"/>
  <c r="R3080" i="1"/>
  <c r="S3080" i="1"/>
  <c r="R3074" i="1"/>
  <c r="S3074" i="1"/>
  <c r="R3068" i="1"/>
  <c r="S3068" i="1"/>
  <c r="R2790" i="1"/>
  <c r="S2790" i="1"/>
  <c r="R2784" i="1"/>
  <c r="S2784" i="1"/>
  <c r="R2778" i="1"/>
  <c r="S2778" i="1"/>
  <c r="R2772" i="1"/>
  <c r="S2772" i="1"/>
  <c r="R2766" i="1"/>
  <c r="S2766" i="1"/>
  <c r="R2760" i="1"/>
  <c r="S2760" i="1"/>
  <c r="R2754" i="1"/>
  <c r="S2754" i="1"/>
  <c r="R2748" i="1"/>
  <c r="S2748" i="1"/>
  <c r="R2742" i="1"/>
  <c r="S2742" i="1"/>
  <c r="R2736" i="1"/>
  <c r="S2736" i="1"/>
  <c r="R2730" i="1"/>
  <c r="S2730" i="1"/>
  <c r="R2724" i="1"/>
  <c r="S2724" i="1"/>
  <c r="R2718" i="1"/>
  <c r="S2718" i="1"/>
  <c r="R2712" i="1"/>
  <c r="S2712" i="1"/>
  <c r="R2504" i="1"/>
  <c r="S2504" i="1"/>
  <c r="R2498" i="1"/>
  <c r="S2498" i="1"/>
  <c r="R2492" i="1"/>
  <c r="S2492" i="1"/>
  <c r="R2486" i="1"/>
  <c r="S2486" i="1"/>
  <c r="R2480" i="1"/>
  <c r="S2480" i="1"/>
  <c r="R2474" i="1"/>
  <c r="S2474" i="1"/>
  <c r="R2468" i="1"/>
  <c r="S2468" i="1"/>
  <c r="R2462" i="1"/>
  <c r="S2462" i="1"/>
  <c r="R2456" i="1"/>
  <c r="S2456" i="1"/>
  <c r="R2393" i="1"/>
  <c r="S2393" i="1"/>
  <c r="R2387" i="1"/>
  <c r="S2387" i="1"/>
  <c r="R2381" i="1"/>
  <c r="S2381" i="1"/>
  <c r="R2375" i="1"/>
  <c r="S2375" i="1"/>
  <c r="R2369" i="1"/>
  <c r="S2369" i="1"/>
  <c r="R2363" i="1"/>
  <c r="S2363" i="1"/>
  <c r="R2357" i="1"/>
  <c r="S2357" i="1"/>
  <c r="R2351" i="1"/>
  <c r="S2351" i="1"/>
  <c r="R2345" i="1"/>
  <c r="S2345" i="1"/>
  <c r="R2339" i="1"/>
  <c r="S2339" i="1"/>
  <c r="R2333" i="1"/>
  <c r="S2333" i="1"/>
  <c r="R1372" i="1"/>
  <c r="S1372" i="1"/>
  <c r="R1366" i="1"/>
  <c r="S1366" i="1"/>
  <c r="R1115" i="1"/>
  <c r="S1115" i="1"/>
  <c r="R1109" i="1"/>
  <c r="S1109" i="1"/>
  <c r="R1103" i="1"/>
  <c r="S1103" i="1"/>
  <c r="R405" i="1"/>
  <c r="S405" i="1"/>
  <c r="R3318" i="1"/>
  <c r="S3318" i="1"/>
  <c r="R3324" i="1"/>
  <c r="S3324" i="1"/>
  <c r="R3330" i="1"/>
  <c r="S3330" i="1"/>
  <c r="R3340" i="1"/>
  <c r="S3340" i="1"/>
  <c r="R3338" i="1"/>
  <c r="S3338" i="1"/>
  <c r="R3348" i="1"/>
  <c r="S3348" i="1"/>
  <c r="R3351" i="1"/>
  <c r="S3351" i="1"/>
  <c r="R3360" i="1"/>
  <c r="S3360" i="1"/>
  <c r="R3366" i="1"/>
  <c r="S3366" i="1"/>
  <c r="R2885" i="1"/>
  <c r="S2885" i="1"/>
  <c r="S2889" i="1"/>
  <c r="R2889" i="1"/>
  <c r="R2895" i="1"/>
  <c r="S2895" i="1"/>
  <c r="R2901" i="1"/>
  <c r="S2901" i="1"/>
  <c r="R2907" i="1"/>
  <c r="S2907" i="1"/>
  <c r="S2913" i="1"/>
  <c r="R2913" i="1"/>
  <c r="R2919" i="1"/>
  <c r="S2919" i="1"/>
  <c r="R2925" i="1"/>
  <c r="S2925" i="1"/>
  <c r="R2928" i="1"/>
  <c r="S2928" i="1"/>
  <c r="R2934" i="1"/>
  <c r="S2934" i="1"/>
  <c r="R2942" i="1"/>
  <c r="S2942" i="1"/>
  <c r="R2948" i="1"/>
  <c r="S2948" i="1"/>
  <c r="R2955" i="1"/>
  <c r="S2955" i="1"/>
  <c r="S2961" i="1"/>
  <c r="R2961" i="1"/>
  <c r="R2967" i="1"/>
  <c r="S2967" i="1"/>
  <c r="R2991" i="1"/>
  <c r="S2991" i="1"/>
  <c r="R2997" i="1"/>
  <c r="S2997" i="1"/>
  <c r="R3003" i="1"/>
  <c r="S3003" i="1"/>
  <c r="R3014" i="1"/>
  <c r="S3014" i="1"/>
  <c r="R3015" i="1"/>
  <c r="S3015" i="1"/>
  <c r="R3021" i="1"/>
  <c r="S3021" i="1"/>
  <c r="S3027" i="1"/>
  <c r="R3027" i="1"/>
  <c r="S4832" i="1"/>
  <c r="R4832" i="1"/>
  <c r="S2793" i="1"/>
  <c r="R2793" i="1"/>
  <c r="S2799" i="1"/>
  <c r="R2799" i="1"/>
  <c r="R2812" i="1"/>
  <c r="S2812" i="1"/>
  <c r="R2808" i="1"/>
  <c r="S2808" i="1"/>
  <c r="S2817" i="1"/>
  <c r="R2817" i="1"/>
  <c r="R2825" i="1"/>
  <c r="S2825" i="1"/>
  <c r="S2823" i="1"/>
  <c r="R2823" i="1"/>
  <c r="R2831" i="1"/>
  <c r="S2831" i="1"/>
  <c r="S2841" i="1"/>
  <c r="R2841" i="1"/>
  <c r="R2852" i="1"/>
  <c r="S2852" i="1"/>
  <c r="R2850" i="1"/>
  <c r="S2850" i="1"/>
  <c r="S2859" i="1"/>
  <c r="R2859" i="1"/>
  <c r="R2866" i="1"/>
  <c r="S2866" i="1"/>
  <c r="R2872" i="1"/>
  <c r="S2872" i="1"/>
  <c r="R4465" i="1"/>
  <c r="S4465" i="1"/>
  <c r="R4471" i="1"/>
  <c r="S4471" i="1"/>
  <c r="R4474" i="1"/>
  <c r="S4474" i="1"/>
  <c r="S4478" i="1"/>
  <c r="R4478" i="1"/>
  <c r="R4491" i="1"/>
  <c r="S4491" i="1"/>
  <c r="R4498" i="1"/>
  <c r="S4498" i="1"/>
  <c r="S4502" i="1"/>
  <c r="R4502" i="1"/>
  <c r="S4508" i="1"/>
  <c r="R4508" i="1"/>
  <c r="R4522" i="1"/>
  <c r="S4522" i="1"/>
  <c r="R4517" i="1"/>
  <c r="S4517" i="1"/>
  <c r="S4526" i="1"/>
  <c r="R4526" i="1"/>
  <c r="S4532" i="1"/>
  <c r="R4532" i="1"/>
  <c r="S4538" i="1"/>
  <c r="R4538" i="1"/>
  <c r="S4544" i="1"/>
  <c r="R4544" i="1"/>
  <c r="R4549" i="1"/>
  <c r="S4549" i="1"/>
  <c r="R4555" i="1"/>
  <c r="S4555" i="1"/>
  <c r="R4561" i="1"/>
  <c r="S4561" i="1"/>
  <c r="R4570" i="1"/>
  <c r="S4570" i="1"/>
  <c r="R4577" i="1"/>
  <c r="S4577" i="1"/>
  <c r="S4580" i="1"/>
  <c r="R4580" i="1"/>
  <c r="S4586" i="1"/>
  <c r="R4586" i="1"/>
  <c r="R4595" i="1"/>
  <c r="S4595" i="1"/>
  <c r="R4030" i="1"/>
  <c r="S4030" i="1"/>
  <c r="R4036" i="1"/>
  <c r="S4036" i="1"/>
  <c r="R4287" i="1"/>
  <c r="S4287" i="1"/>
  <c r="R4125" i="1"/>
  <c r="S4125" i="1"/>
  <c r="R1929" i="1"/>
  <c r="S1929" i="1"/>
  <c r="R4411" i="1"/>
  <c r="S4411" i="1"/>
  <c r="R6676" i="1"/>
  <c r="S6676" i="1"/>
  <c r="R6688" i="1"/>
  <c r="S6688" i="1"/>
  <c r="R1248" i="1"/>
  <c r="S1248" i="1"/>
  <c r="R1259" i="1"/>
  <c r="S1259" i="1"/>
  <c r="R1255" i="1"/>
  <c r="S1255" i="1"/>
  <c r="R746" i="1"/>
  <c r="S746" i="1"/>
  <c r="R4783" i="1"/>
  <c r="S4783" i="1"/>
  <c r="S5084" i="1"/>
  <c r="R5084" i="1"/>
  <c r="R2212" i="1"/>
  <c r="S2212" i="1"/>
  <c r="R5600" i="1"/>
  <c r="S5600" i="1"/>
  <c r="R1630" i="1"/>
  <c r="S1630" i="1"/>
  <c r="S5595" i="1"/>
  <c r="R5595" i="1"/>
  <c r="R1654" i="1"/>
  <c r="S1654" i="1"/>
  <c r="R4796" i="1"/>
  <c r="S4796" i="1"/>
  <c r="R421" i="1"/>
  <c r="S421" i="1"/>
  <c r="R5943" i="1"/>
  <c r="S5943" i="1"/>
  <c r="R3714" i="1"/>
  <c r="S3714" i="1"/>
  <c r="R1420" i="1"/>
  <c r="S1420" i="1"/>
  <c r="R5111" i="1"/>
  <c r="S5111" i="1"/>
  <c r="R3919" i="1"/>
  <c r="S3919" i="1"/>
  <c r="R575" i="1"/>
  <c r="S575" i="1"/>
  <c r="R4101" i="1"/>
  <c r="S4101" i="1"/>
  <c r="R2310" i="1"/>
  <c r="S2310" i="1"/>
  <c r="R2157" i="1"/>
  <c r="S2157" i="1"/>
  <c r="R5456" i="1"/>
  <c r="S5456" i="1"/>
  <c r="R610" i="1"/>
  <c r="S610" i="1"/>
  <c r="R5621" i="1"/>
  <c r="S5621" i="1"/>
  <c r="R803" i="1"/>
  <c r="S803" i="1"/>
  <c r="R2146" i="1"/>
  <c r="S2146" i="1"/>
  <c r="R5473" i="1"/>
  <c r="S5473" i="1"/>
  <c r="S2315" i="1"/>
  <c r="R2315" i="1"/>
  <c r="R1752" i="1"/>
  <c r="S1752" i="1"/>
  <c r="R6057" i="1"/>
  <c r="S6057" i="1"/>
  <c r="R5242" i="1"/>
  <c r="S5242" i="1"/>
  <c r="R5110" i="1"/>
  <c r="S5110" i="1"/>
  <c r="R4669" i="1"/>
  <c r="S4669" i="1"/>
  <c r="R5741" i="1"/>
  <c r="S5741" i="1"/>
  <c r="R1870" i="1"/>
  <c r="S1870" i="1"/>
  <c r="R4210" i="1"/>
  <c r="S4210" i="1"/>
  <c r="R1945" i="1"/>
  <c r="S1945" i="1"/>
  <c r="R5807" i="1"/>
  <c r="S5807" i="1"/>
  <c r="R5667" i="1"/>
  <c r="S5667" i="1"/>
  <c r="R4220" i="1"/>
  <c r="S4220" i="1"/>
  <c r="R1642" i="1"/>
  <c r="S1642" i="1"/>
  <c r="R5788" i="1"/>
  <c r="S5788" i="1"/>
  <c r="R4380" i="1"/>
  <c r="S4380" i="1"/>
  <c r="R5768" i="1"/>
  <c r="S5768" i="1"/>
  <c r="R4401" i="1"/>
  <c r="S4401" i="1"/>
  <c r="R6675" i="1"/>
  <c r="S6675" i="1"/>
  <c r="R2297" i="1"/>
  <c r="S2297" i="1"/>
  <c r="R4084" i="1"/>
  <c r="S4084" i="1"/>
  <c r="R6375" i="1"/>
  <c r="S6375" i="1"/>
  <c r="R6001" i="1"/>
  <c r="S6001" i="1"/>
  <c r="R1236" i="1"/>
  <c r="S1236" i="1"/>
  <c r="S6318" i="1"/>
  <c r="R6318" i="1"/>
  <c r="R235" i="1"/>
  <c r="S235" i="1"/>
  <c r="R3964" i="1"/>
  <c r="S3964" i="1"/>
  <c r="R6130" i="1"/>
  <c r="S6130" i="1"/>
  <c r="R5841" i="1"/>
  <c r="S5841" i="1"/>
  <c r="R5184" i="1"/>
  <c r="S5184" i="1"/>
  <c r="R2213" i="1"/>
  <c r="S2213" i="1"/>
  <c r="R581" i="1"/>
  <c r="S581" i="1"/>
  <c r="R4119" i="1"/>
  <c r="S4119" i="1"/>
  <c r="S4919" i="1"/>
  <c r="R4919" i="1"/>
  <c r="R5403" i="1"/>
  <c r="S5403" i="1"/>
  <c r="R5217" i="1"/>
  <c r="S5217" i="1"/>
  <c r="R3929" i="1"/>
  <c r="S3929" i="1"/>
  <c r="R4973" i="1"/>
  <c r="S4973" i="1"/>
  <c r="S4929" i="1"/>
  <c r="R4929" i="1"/>
  <c r="R3391" i="1"/>
  <c r="S3391" i="1"/>
  <c r="R5383" i="1"/>
  <c r="S5383" i="1"/>
  <c r="R3637" i="1"/>
  <c r="S3637" i="1"/>
  <c r="R956" i="1"/>
  <c r="S956" i="1"/>
  <c r="R5575" i="1"/>
  <c r="S5575" i="1"/>
  <c r="R3918" i="1"/>
  <c r="S3918" i="1"/>
  <c r="R3982" i="1"/>
  <c r="S3982" i="1"/>
  <c r="R1655" i="1"/>
  <c r="S1655" i="1"/>
  <c r="R874" i="1"/>
  <c r="R4628" i="1"/>
  <c r="S4628" i="1"/>
  <c r="R3648" i="1"/>
  <c r="S3648" i="1"/>
  <c r="R4148" i="1"/>
  <c r="S4148" i="1"/>
  <c r="S505" i="1"/>
  <c r="R505" i="1"/>
  <c r="R4776" i="1"/>
  <c r="S4776" i="1"/>
  <c r="S5186" i="1"/>
  <c r="R5186" i="1"/>
  <c r="R4060" i="1"/>
  <c r="S4060" i="1"/>
  <c r="R2273" i="1"/>
  <c r="S2273" i="1"/>
  <c r="R2319" i="1"/>
  <c r="S2319" i="1"/>
  <c r="S4670" i="1"/>
  <c r="R4670" i="1"/>
  <c r="R4247" i="1"/>
  <c r="S4247" i="1"/>
  <c r="R2133" i="1"/>
  <c r="S2133" i="1"/>
  <c r="R4588" i="1"/>
  <c r="S4588" i="1"/>
  <c r="R4250" i="1"/>
  <c r="S4250" i="1"/>
  <c r="R1505" i="1"/>
  <c r="S1505" i="1"/>
  <c r="R1309" i="1"/>
  <c r="S1309" i="1"/>
  <c r="R1503" i="1"/>
  <c r="S1503" i="1"/>
  <c r="R6521" i="1"/>
  <c r="S6521" i="1"/>
  <c r="R5067" i="1"/>
  <c r="S5067" i="1"/>
  <c r="R3701" i="1"/>
  <c r="S3701" i="1"/>
  <c r="R5797" i="1"/>
  <c r="S5797" i="1"/>
  <c r="S5846" i="1"/>
  <c r="R5846" i="1"/>
  <c r="R846" i="1"/>
  <c r="S846" i="1"/>
  <c r="R5560" i="1"/>
  <c r="S5560" i="1"/>
  <c r="S6256" i="1"/>
  <c r="R6256" i="1"/>
  <c r="R6164" i="1"/>
  <c r="S6164" i="1"/>
  <c r="R5527" i="1"/>
  <c r="S5527" i="1"/>
  <c r="R6193" i="1"/>
  <c r="S6193" i="1"/>
  <c r="R6175" i="1"/>
  <c r="S6175" i="1"/>
  <c r="R6145" i="1"/>
  <c r="S6145" i="1"/>
  <c r="R5520" i="1"/>
  <c r="S5520" i="1"/>
  <c r="R4737" i="1"/>
  <c r="S4737" i="1"/>
  <c r="R4723" i="1"/>
  <c r="S4723" i="1"/>
  <c r="R3315" i="1"/>
  <c r="S3315" i="1"/>
  <c r="R3309" i="1"/>
  <c r="S3309" i="1"/>
  <c r="R3303" i="1"/>
  <c r="S3303" i="1"/>
  <c r="R3297" i="1"/>
  <c r="S3297" i="1"/>
  <c r="R3291" i="1"/>
  <c r="S3291" i="1"/>
  <c r="R3285" i="1"/>
  <c r="S3285" i="1"/>
  <c r="R3279" i="1"/>
  <c r="S3279" i="1"/>
  <c r="R3273" i="1"/>
  <c r="S3273" i="1"/>
  <c r="R3267" i="1"/>
  <c r="S3267" i="1"/>
  <c r="R3261" i="1"/>
  <c r="S3261" i="1"/>
  <c r="R3255" i="1"/>
  <c r="S3255" i="1"/>
  <c r="R3249" i="1"/>
  <c r="S3249" i="1"/>
  <c r="R3243" i="1"/>
  <c r="S3243" i="1"/>
  <c r="R3237" i="1"/>
  <c r="S3237" i="1"/>
  <c r="R3231" i="1"/>
  <c r="S3231" i="1"/>
  <c r="R2681" i="1"/>
  <c r="S2681" i="1"/>
  <c r="R2675" i="1"/>
  <c r="S2675" i="1"/>
  <c r="R2669" i="1"/>
  <c r="S2669" i="1"/>
  <c r="R2663" i="1"/>
  <c r="S2663" i="1"/>
  <c r="R2656" i="1"/>
  <c r="S2656" i="1"/>
  <c r="R2650" i="1"/>
  <c r="S2650" i="1"/>
  <c r="R2644" i="1"/>
  <c r="S2644" i="1"/>
  <c r="R2638" i="1"/>
  <c r="S2638" i="1"/>
  <c r="R2632" i="1"/>
  <c r="S2632" i="1"/>
  <c r="R2626" i="1"/>
  <c r="S2626" i="1"/>
  <c r="R2620" i="1"/>
  <c r="S2620" i="1"/>
  <c r="R2614" i="1"/>
  <c r="S2614" i="1"/>
  <c r="R2608" i="1"/>
  <c r="S2608" i="1"/>
  <c r="R2602" i="1"/>
  <c r="S2602" i="1"/>
  <c r="R2588" i="1"/>
  <c r="S2588" i="1"/>
  <c r="R2582" i="1"/>
  <c r="S2582" i="1"/>
  <c r="R2576" i="1"/>
  <c r="S2576" i="1"/>
  <c r="R2570" i="1"/>
  <c r="S2570" i="1"/>
  <c r="R2564" i="1"/>
  <c r="S2564" i="1"/>
  <c r="R2558" i="1"/>
  <c r="S2558" i="1"/>
  <c r="R2552" i="1"/>
  <c r="S2552" i="1"/>
  <c r="R2546" i="1"/>
  <c r="S2546" i="1"/>
  <c r="R2540" i="1"/>
  <c r="S2540" i="1"/>
  <c r="R2534" i="1"/>
  <c r="S2534" i="1"/>
  <c r="R2528" i="1"/>
  <c r="S2528" i="1"/>
  <c r="R2522" i="1"/>
  <c r="S2522" i="1"/>
  <c r="R2516" i="1"/>
  <c r="S2516" i="1"/>
  <c r="R2510" i="1"/>
  <c r="S2510" i="1"/>
  <c r="S2449" i="1"/>
  <c r="R2449" i="1"/>
  <c r="S2443" i="1"/>
  <c r="R2443" i="1"/>
  <c r="S2437" i="1"/>
  <c r="R2437" i="1"/>
  <c r="S2431" i="1"/>
  <c r="R2431" i="1"/>
  <c r="R2425" i="1"/>
  <c r="S2425" i="1"/>
  <c r="R2419" i="1"/>
  <c r="S2419" i="1"/>
  <c r="R2413" i="1"/>
  <c r="S2413" i="1"/>
  <c r="R2407" i="1"/>
  <c r="S2407" i="1"/>
  <c r="R2401" i="1"/>
  <c r="S2401" i="1"/>
  <c r="R1133" i="1"/>
  <c r="S1133" i="1"/>
  <c r="R1127" i="1"/>
  <c r="S1127" i="1"/>
  <c r="R1096" i="1"/>
  <c r="S1096" i="1"/>
  <c r="R1090" i="1"/>
  <c r="S1090" i="1"/>
  <c r="R1084" i="1"/>
  <c r="S1084" i="1"/>
  <c r="R1078" i="1"/>
  <c r="S1078" i="1"/>
  <c r="R1072" i="1"/>
  <c r="S1072" i="1"/>
  <c r="R1066" i="1"/>
  <c r="S1066" i="1"/>
  <c r="R1060" i="1"/>
  <c r="S1060" i="1"/>
  <c r="R1054" i="1"/>
  <c r="S1054" i="1"/>
  <c r="R1048" i="1"/>
  <c r="S1048" i="1"/>
  <c r="R1042" i="1"/>
  <c r="S1042" i="1"/>
  <c r="R1036" i="1"/>
  <c r="S1036" i="1"/>
  <c r="R1030" i="1"/>
  <c r="S1030" i="1"/>
  <c r="R1024" i="1"/>
  <c r="S1024" i="1"/>
  <c r="R1018" i="1"/>
  <c r="S1018" i="1"/>
  <c r="R1012" i="1"/>
  <c r="S1012" i="1"/>
  <c r="R1006" i="1"/>
  <c r="S1006" i="1"/>
  <c r="R1000" i="1"/>
  <c r="S1000" i="1"/>
  <c r="S231" i="1"/>
  <c r="R231" i="1"/>
  <c r="S225" i="1"/>
  <c r="R225" i="1"/>
  <c r="S219" i="1"/>
  <c r="R219" i="1"/>
  <c r="R213" i="1"/>
  <c r="S213" i="1"/>
  <c r="R207" i="1"/>
  <c r="S207" i="1"/>
  <c r="R201" i="1"/>
  <c r="S201" i="1"/>
  <c r="R195" i="1"/>
  <c r="S195" i="1"/>
  <c r="R189" i="1"/>
  <c r="S189" i="1"/>
  <c r="R183" i="1"/>
  <c r="S183" i="1"/>
  <c r="R177" i="1"/>
  <c r="S177" i="1"/>
  <c r="R171" i="1"/>
  <c r="S171" i="1"/>
  <c r="R165" i="1"/>
  <c r="S165" i="1"/>
  <c r="R159" i="1"/>
  <c r="S159" i="1"/>
  <c r="R153" i="1"/>
  <c r="S153" i="1"/>
  <c r="R3373" i="1"/>
  <c r="S3373" i="1"/>
  <c r="R3376" i="1"/>
  <c r="S3376" i="1"/>
  <c r="R3382" i="1"/>
  <c r="S3382" i="1"/>
  <c r="R1789" i="1"/>
  <c r="S1789" i="1"/>
  <c r="R2986" i="1"/>
  <c r="S2986" i="1"/>
  <c r="R2980" i="1"/>
  <c r="S2980" i="1"/>
  <c r="R2974" i="1"/>
  <c r="S2974" i="1"/>
  <c r="R3034" i="1"/>
  <c r="S3034" i="1"/>
  <c r="R3040" i="1"/>
  <c r="S3040" i="1"/>
  <c r="S3050" i="1"/>
  <c r="R3050" i="1"/>
  <c r="S3043" i="1"/>
  <c r="R3043" i="1"/>
  <c r="R4444" i="1"/>
  <c r="S4444" i="1"/>
  <c r="R4450" i="1"/>
  <c r="S4450" i="1"/>
  <c r="R4456" i="1"/>
  <c r="S4456" i="1"/>
  <c r="S4838" i="1"/>
  <c r="R4838" i="1"/>
  <c r="R4845" i="1"/>
  <c r="S4845" i="1"/>
  <c r="R4461" i="1"/>
  <c r="S4461" i="1"/>
  <c r="R4853" i="1"/>
  <c r="S4853" i="1"/>
  <c r="R4859" i="1"/>
  <c r="S4859" i="1"/>
  <c r="R4861" i="1"/>
  <c r="S4861" i="1"/>
  <c r="R4275" i="1"/>
  <c r="S4275" i="1"/>
  <c r="R4161" i="1"/>
  <c r="S4161" i="1"/>
  <c r="R4167" i="1"/>
  <c r="S4167" i="1"/>
  <c r="R4173" i="1"/>
  <c r="S4173" i="1"/>
  <c r="R4179" i="1"/>
  <c r="S4179" i="1"/>
  <c r="R6682" i="1"/>
  <c r="S6682" i="1"/>
  <c r="R1257" i="1"/>
  <c r="S1257" i="1"/>
  <c r="R765" i="1"/>
  <c r="S765" i="1"/>
  <c r="R2225" i="1"/>
  <c r="S2225" i="1"/>
  <c r="R4811" i="1"/>
  <c r="S4811" i="1"/>
  <c r="R1857" i="1"/>
  <c r="S1857" i="1"/>
  <c r="R4627" i="1"/>
  <c r="R2089" i="1"/>
  <c r="S2089" i="1"/>
  <c r="R4293" i="1"/>
  <c r="S4293" i="1"/>
  <c r="R1680" i="1"/>
  <c r="S1680" i="1"/>
  <c r="R715" i="1"/>
  <c r="S715" i="1"/>
  <c r="R4985" i="1"/>
  <c r="S4985" i="1"/>
  <c r="S5026" i="1"/>
  <c r="R5026" i="1"/>
  <c r="R970" i="1"/>
  <c r="S970" i="1"/>
  <c r="R1784" i="1"/>
  <c r="S1784" i="1"/>
  <c r="R4102" i="1"/>
  <c r="S4102" i="1"/>
  <c r="R1740" i="1"/>
  <c r="S1740" i="1"/>
  <c r="R6011" i="1"/>
  <c r="S6011" i="1"/>
  <c r="R1739" i="1"/>
  <c r="S1739" i="1"/>
  <c r="R1628" i="1"/>
  <c r="S1628" i="1"/>
  <c r="R4129" i="1"/>
  <c r="S4129" i="1"/>
  <c r="R4132" i="1"/>
  <c r="S4132" i="1"/>
  <c r="R4953" i="1"/>
  <c r="S4953" i="1"/>
  <c r="R4085" i="1"/>
  <c r="S4085" i="1"/>
  <c r="R1202" i="1"/>
  <c r="S1202" i="1"/>
  <c r="R4310" i="1"/>
  <c r="S4310" i="1"/>
  <c r="R5243" i="1"/>
  <c r="S5243" i="1"/>
  <c r="R5809" i="1"/>
  <c r="S5809" i="1"/>
  <c r="R3971" i="1"/>
  <c r="S3971" i="1"/>
  <c r="R756" i="1"/>
  <c r="S756" i="1"/>
  <c r="R52" i="1"/>
  <c r="S52" i="1"/>
  <c r="R1867" i="1"/>
  <c r="S1867" i="1"/>
  <c r="S5108" i="1"/>
  <c r="R5108" i="1"/>
  <c r="R4124" i="1"/>
  <c r="S4124" i="1"/>
  <c r="R2188" i="1"/>
  <c r="S2188" i="1"/>
  <c r="R5149" i="1"/>
  <c r="S5149" i="1"/>
  <c r="R2265" i="1"/>
  <c r="S2265" i="1"/>
  <c r="R2296" i="1"/>
  <c r="S2296" i="1"/>
  <c r="R5299" i="1"/>
  <c r="S5299" i="1"/>
  <c r="R2007" i="1"/>
  <c r="S2007" i="1"/>
  <c r="R4823" i="1"/>
  <c r="S4823" i="1"/>
  <c r="R1605" i="1"/>
  <c r="S1605" i="1"/>
  <c r="R1168" i="1"/>
  <c r="S1168" i="1"/>
  <c r="R3841" i="1"/>
  <c r="S3841" i="1"/>
  <c r="R840" i="1"/>
  <c r="S840" i="1"/>
  <c r="R4792" i="1"/>
  <c r="S4792" i="1"/>
  <c r="R1604" i="1"/>
  <c r="S1604" i="1"/>
  <c r="R1928" i="1"/>
  <c r="S1928" i="1"/>
  <c r="R6121" i="1"/>
  <c r="S6121" i="1"/>
  <c r="R5345" i="1"/>
  <c r="S5345" i="1"/>
  <c r="R1755" i="1"/>
  <c r="S1755" i="1"/>
  <c r="R3959" i="1"/>
  <c r="S3959" i="1"/>
  <c r="R3779" i="1"/>
  <c r="S3779" i="1"/>
  <c r="R102" i="1"/>
  <c r="S102" i="1"/>
  <c r="R5647" i="1"/>
  <c r="S5647" i="1"/>
  <c r="R5472" i="1"/>
  <c r="S5472" i="1"/>
  <c r="R429" i="1"/>
  <c r="S429" i="1"/>
  <c r="R981" i="1"/>
  <c r="S981" i="1"/>
  <c r="R2235" i="1"/>
  <c r="S2235" i="1"/>
  <c r="R6315" i="1"/>
  <c r="S6315" i="1"/>
  <c r="R5650" i="1"/>
  <c r="S5650" i="1"/>
  <c r="R5727" i="1"/>
  <c r="S5727" i="1"/>
  <c r="R4869" i="1"/>
  <c r="S4869" i="1"/>
  <c r="R1648" i="1"/>
  <c r="S1648" i="1"/>
  <c r="R665" i="1"/>
  <c r="S665" i="1"/>
  <c r="R284" i="1"/>
  <c r="S284" i="1"/>
  <c r="R2002" i="1"/>
  <c r="S2002" i="1"/>
  <c r="R281" i="1"/>
  <c r="S281" i="1"/>
  <c r="R362" i="1"/>
  <c r="S362" i="1"/>
  <c r="R364" i="1"/>
  <c r="S364" i="1"/>
  <c r="R318" i="1"/>
  <c r="S318" i="1"/>
  <c r="R6344" i="1"/>
  <c r="S6344" i="1"/>
  <c r="S582" i="1"/>
  <c r="R582" i="1"/>
  <c r="R494" i="1"/>
  <c r="S494" i="1"/>
  <c r="R1827" i="1"/>
  <c r="S1827" i="1"/>
  <c r="R1665" i="1"/>
  <c r="S1665" i="1"/>
  <c r="R1608" i="1"/>
  <c r="S1608" i="1"/>
  <c r="R1765" i="1"/>
  <c r="S1765" i="1"/>
  <c r="R3742" i="1"/>
  <c r="S3742" i="1"/>
  <c r="R131" i="1"/>
  <c r="S131" i="1"/>
  <c r="R5564" i="1"/>
  <c r="S5564" i="1"/>
  <c r="R857" i="1"/>
  <c r="S857" i="1"/>
  <c r="R4128" i="1"/>
  <c r="S4128" i="1"/>
  <c r="R6382" i="1"/>
  <c r="S6382" i="1"/>
  <c r="R3773" i="1"/>
  <c r="S3773" i="1"/>
  <c r="R5818" i="1"/>
  <c r="S5818" i="1"/>
  <c r="R2684" i="1"/>
  <c r="S2684" i="1"/>
  <c r="R5175" i="1"/>
  <c r="S5175" i="1"/>
  <c r="R6567" i="1"/>
  <c r="S6567" i="1"/>
  <c r="R673" i="1"/>
  <c r="S673" i="1"/>
  <c r="R658" i="1"/>
  <c r="S658" i="1"/>
  <c r="R845" i="1"/>
  <c r="S845" i="1"/>
  <c r="R1623" i="1"/>
  <c r="S1623" i="1"/>
  <c r="R1646" i="1"/>
  <c r="S1646" i="1"/>
  <c r="R5862" i="1"/>
  <c r="S5862" i="1"/>
  <c r="R5340" i="1"/>
  <c r="S5340" i="1"/>
  <c r="R3704" i="1"/>
  <c r="S3704" i="1"/>
  <c r="R517" i="1"/>
  <c r="S517" i="1"/>
  <c r="R5614" i="1"/>
  <c r="S5614" i="1"/>
  <c r="R6379" i="1"/>
  <c r="S6379" i="1"/>
  <c r="R4641" i="1"/>
  <c r="S4641" i="1"/>
  <c r="R5004" i="1"/>
  <c r="S5004" i="1"/>
  <c r="R4802" i="1"/>
  <c r="S4802" i="1"/>
  <c r="R4795" i="1"/>
  <c r="S4795" i="1"/>
  <c r="R3925" i="1"/>
  <c r="S3925" i="1"/>
  <c r="R6133" i="1"/>
  <c r="S6133" i="1"/>
  <c r="R6163" i="1"/>
  <c r="S6163" i="1"/>
  <c r="R5538" i="1"/>
  <c r="S5538" i="1"/>
  <c r="S5483" i="1"/>
  <c r="R5483" i="1"/>
  <c r="R4749" i="1"/>
  <c r="S4749" i="1"/>
  <c r="R4731" i="1"/>
  <c r="S4731" i="1"/>
  <c r="R4717" i="1"/>
  <c r="S4717" i="1"/>
  <c r="S5711" i="1"/>
  <c r="R5711" i="1"/>
  <c r="R5705" i="1"/>
  <c r="S5705" i="1"/>
  <c r="R5550" i="1"/>
  <c r="S5550" i="1"/>
  <c r="R5544" i="1"/>
  <c r="S5544" i="1"/>
  <c r="R3970" i="1"/>
  <c r="S3970" i="1"/>
  <c r="R3631" i="1"/>
  <c r="S3631" i="1"/>
  <c r="R3625" i="1"/>
  <c r="S3625" i="1"/>
  <c r="R3619" i="1"/>
  <c r="S3619" i="1"/>
  <c r="R3613" i="1"/>
  <c r="S3613" i="1"/>
  <c r="R3607" i="1"/>
  <c r="S3607" i="1"/>
  <c r="R3601" i="1"/>
  <c r="S3601" i="1"/>
  <c r="R3595" i="1"/>
  <c r="S3595" i="1"/>
  <c r="R3589" i="1"/>
  <c r="S3589" i="1"/>
  <c r="R3583" i="1"/>
  <c r="S3583" i="1"/>
  <c r="R3577" i="1"/>
  <c r="S3577" i="1"/>
  <c r="R3571" i="1"/>
  <c r="S3571" i="1"/>
  <c r="R3565" i="1"/>
  <c r="S3565" i="1"/>
  <c r="R3559" i="1"/>
  <c r="S3559" i="1"/>
  <c r="R3553" i="1"/>
  <c r="S3553" i="1"/>
  <c r="R3547" i="1"/>
  <c r="S3547" i="1"/>
  <c r="R3541" i="1"/>
  <c r="S3541" i="1"/>
  <c r="R3535" i="1"/>
  <c r="S3535" i="1"/>
  <c r="R3528" i="1"/>
  <c r="S3528" i="1"/>
  <c r="R3522" i="1"/>
  <c r="S3522" i="1"/>
  <c r="R3516" i="1"/>
  <c r="S3516" i="1"/>
  <c r="R3509" i="1"/>
  <c r="S3509" i="1"/>
  <c r="R3503" i="1"/>
  <c r="S3503" i="1"/>
  <c r="R3491" i="1"/>
  <c r="S3491" i="1"/>
  <c r="R3485" i="1"/>
  <c r="S3485" i="1"/>
  <c r="R3479" i="1"/>
  <c r="S3479" i="1"/>
  <c r="R3472" i="1"/>
  <c r="S3472" i="1"/>
  <c r="R3464" i="1"/>
  <c r="S3464" i="1"/>
  <c r="R3457" i="1"/>
  <c r="S3457" i="1"/>
  <c r="R3450" i="1"/>
  <c r="S3450" i="1"/>
  <c r="R3444" i="1"/>
  <c r="S3444" i="1"/>
  <c r="R3437" i="1"/>
  <c r="S3437" i="1"/>
  <c r="R3431" i="1"/>
  <c r="S3431" i="1"/>
  <c r="R3425" i="1"/>
  <c r="S3425" i="1"/>
  <c r="R3419" i="1"/>
  <c r="S3419" i="1"/>
  <c r="R3413" i="1"/>
  <c r="S3413" i="1"/>
  <c r="R3407" i="1"/>
  <c r="S3407" i="1"/>
  <c r="R3218" i="1"/>
  <c r="S3218" i="1"/>
  <c r="R3212" i="1"/>
  <c r="S3212" i="1"/>
  <c r="R3206" i="1"/>
  <c r="S3206" i="1"/>
  <c r="S3200" i="1"/>
  <c r="R3200" i="1"/>
  <c r="S3194" i="1"/>
  <c r="R3194" i="1"/>
  <c r="S3188" i="1"/>
  <c r="R3188" i="1"/>
  <c r="S3182" i="1"/>
  <c r="R3182" i="1"/>
  <c r="S3176" i="1"/>
  <c r="R3176" i="1"/>
  <c r="S3170" i="1"/>
  <c r="R3170" i="1"/>
  <c r="S3164" i="1"/>
  <c r="R3164" i="1"/>
  <c r="S3158" i="1"/>
  <c r="R3158" i="1"/>
  <c r="S3152" i="1"/>
  <c r="R3152" i="1"/>
  <c r="S3146" i="1"/>
  <c r="R3146" i="1"/>
  <c r="S3140" i="1"/>
  <c r="R3140" i="1"/>
  <c r="S3134" i="1"/>
  <c r="R3134" i="1"/>
  <c r="S3128" i="1"/>
  <c r="R3128" i="1"/>
  <c r="S3121" i="1"/>
  <c r="R3121" i="1"/>
  <c r="S3115" i="1"/>
  <c r="R3115" i="1"/>
  <c r="S3109" i="1"/>
  <c r="R3109" i="1"/>
  <c r="S3103" i="1"/>
  <c r="R3103" i="1"/>
  <c r="S3097" i="1"/>
  <c r="R3097" i="1"/>
  <c r="S3091" i="1"/>
  <c r="R3091" i="1"/>
  <c r="S3085" i="1"/>
  <c r="R3085" i="1"/>
  <c r="S3079" i="1"/>
  <c r="R3079" i="1"/>
  <c r="S3073" i="1"/>
  <c r="R3073" i="1"/>
  <c r="S3067" i="1"/>
  <c r="R3067" i="1"/>
  <c r="R2789" i="1"/>
  <c r="S2789" i="1"/>
  <c r="R2783" i="1"/>
  <c r="S2783" i="1"/>
  <c r="R2777" i="1"/>
  <c r="S2777" i="1"/>
  <c r="R2771" i="1"/>
  <c r="S2771" i="1"/>
  <c r="R2765" i="1"/>
  <c r="S2765" i="1"/>
  <c r="R2759" i="1"/>
  <c r="S2759" i="1"/>
  <c r="R2753" i="1"/>
  <c r="S2753" i="1"/>
  <c r="R2747" i="1"/>
  <c r="S2747" i="1"/>
  <c r="R2741" i="1"/>
  <c r="S2741" i="1"/>
  <c r="R2735" i="1"/>
  <c r="S2735" i="1"/>
  <c r="R2729" i="1"/>
  <c r="S2729" i="1"/>
  <c r="R2723" i="1"/>
  <c r="S2723" i="1"/>
  <c r="R2717" i="1"/>
  <c r="S2717" i="1"/>
  <c r="R2711" i="1"/>
  <c r="S2711" i="1"/>
  <c r="R2503" i="1"/>
  <c r="S2503" i="1"/>
  <c r="R2497" i="1"/>
  <c r="S2497" i="1"/>
  <c r="R2491" i="1"/>
  <c r="S2491" i="1"/>
  <c r="R2485" i="1"/>
  <c r="S2485" i="1"/>
  <c r="R2479" i="1"/>
  <c r="S2479" i="1"/>
  <c r="R2473" i="1"/>
  <c r="S2473" i="1"/>
  <c r="S2467" i="1"/>
  <c r="R2467" i="1"/>
  <c r="S2461" i="1"/>
  <c r="R2461" i="1"/>
  <c r="S2455" i="1"/>
  <c r="R2455" i="1"/>
  <c r="R2392" i="1"/>
  <c r="S2392" i="1"/>
  <c r="R2386" i="1"/>
  <c r="S2386" i="1"/>
  <c r="R2380" i="1"/>
  <c r="S2380" i="1"/>
  <c r="R2374" i="1"/>
  <c r="S2374" i="1"/>
  <c r="R2368" i="1"/>
  <c r="S2368" i="1"/>
  <c r="R2362" i="1"/>
  <c r="S2362" i="1"/>
  <c r="R2356" i="1"/>
  <c r="S2356" i="1"/>
  <c r="R2350" i="1"/>
  <c r="S2350" i="1"/>
  <c r="R2344" i="1"/>
  <c r="S2344" i="1"/>
  <c r="R2338" i="1"/>
  <c r="S2338" i="1"/>
  <c r="R1371" i="1"/>
  <c r="S1371" i="1"/>
  <c r="R1365" i="1"/>
  <c r="S1365" i="1"/>
  <c r="R1120" i="1"/>
  <c r="S1120" i="1"/>
  <c r="R1114" i="1"/>
  <c r="S1114" i="1"/>
  <c r="R1108" i="1"/>
  <c r="S1108" i="1"/>
  <c r="R615" i="1"/>
  <c r="S615" i="1"/>
  <c r="R3319" i="1"/>
  <c r="S3319" i="1"/>
  <c r="R3325" i="1"/>
  <c r="S3325" i="1"/>
  <c r="R3331" i="1"/>
  <c r="S3331" i="1"/>
  <c r="R3341" i="1"/>
  <c r="S3341" i="1"/>
  <c r="R3343" i="1"/>
  <c r="S3343" i="1"/>
  <c r="R3349" i="1"/>
  <c r="S3349" i="1"/>
  <c r="R3352" i="1"/>
  <c r="S3352" i="1"/>
  <c r="R3361" i="1"/>
  <c r="S3361" i="1"/>
  <c r="R3367" i="1"/>
  <c r="S3367" i="1"/>
  <c r="R2880" i="1"/>
  <c r="S2880" i="1"/>
  <c r="R2886" i="1"/>
  <c r="S2886" i="1"/>
  <c r="R2890" i="1"/>
  <c r="S2890" i="1"/>
  <c r="R2896" i="1"/>
  <c r="S2896" i="1"/>
  <c r="R2902" i="1"/>
  <c r="S2902" i="1"/>
  <c r="R2908" i="1"/>
  <c r="S2908" i="1"/>
  <c r="R2914" i="1"/>
  <c r="S2914" i="1"/>
  <c r="R2920" i="1"/>
  <c r="S2920" i="1"/>
  <c r="R2926" i="1"/>
  <c r="S2926" i="1"/>
  <c r="S2929" i="1"/>
  <c r="R2929" i="1"/>
  <c r="S2935" i="1"/>
  <c r="R2935" i="1"/>
  <c r="R2943" i="1"/>
  <c r="S2943" i="1"/>
  <c r="R2949" i="1"/>
  <c r="S2949" i="1"/>
  <c r="R2956" i="1"/>
  <c r="S2956" i="1"/>
  <c r="R2962" i="1"/>
  <c r="S2962" i="1"/>
  <c r="R2968" i="1"/>
  <c r="S2968" i="1"/>
  <c r="R2992" i="1"/>
  <c r="S2992" i="1"/>
  <c r="R2998" i="1"/>
  <c r="S2998" i="1"/>
  <c r="S3009" i="1"/>
  <c r="R3009" i="1"/>
  <c r="R3004" i="1"/>
  <c r="S3004" i="1"/>
  <c r="R3016" i="1"/>
  <c r="S3016" i="1"/>
  <c r="R3022" i="1"/>
  <c r="S3022" i="1"/>
  <c r="R3028" i="1"/>
  <c r="S3028" i="1"/>
  <c r="R4833" i="1"/>
  <c r="S4833" i="1"/>
  <c r="R4872" i="1"/>
  <c r="S4872" i="1"/>
  <c r="R2794" i="1"/>
  <c r="S2794" i="1"/>
  <c r="R2800" i="1"/>
  <c r="S2800" i="1"/>
  <c r="R2803" i="1"/>
  <c r="S2803" i="1"/>
  <c r="S2811" i="1"/>
  <c r="R2811" i="1"/>
  <c r="R2818" i="1"/>
  <c r="S2818" i="1"/>
  <c r="R2832" i="1"/>
  <c r="S2832" i="1"/>
  <c r="R2826" i="1"/>
  <c r="S2826" i="1"/>
  <c r="S2835" i="1"/>
  <c r="R2835" i="1"/>
  <c r="R2842" i="1"/>
  <c r="S2842" i="1"/>
  <c r="S2853" i="1"/>
  <c r="R2853" i="1"/>
  <c r="R2851" i="1"/>
  <c r="S2851" i="1"/>
  <c r="R2860" i="1"/>
  <c r="S2860" i="1"/>
  <c r="R2867" i="1"/>
  <c r="S2867" i="1"/>
  <c r="S2873" i="1"/>
  <c r="R2873" i="1"/>
  <c r="S4466" i="1"/>
  <c r="R4466" i="1"/>
  <c r="R4483" i="1"/>
  <c r="S4483" i="1"/>
  <c r="R4480" i="1"/>
  <c r="S4480" i="1"/>
  <c r="R4479" i="1"/>
  <c r="S4479" i="1"/>
  <c r="R4492" i="1"/>
  <c r="S4492" i="1"/>
  <c r="R4489" i="1"/>
  <c r="S4489" i="1"/>
  <c r="R4503" i="1"/>
  <c r="S4503" i="1"/>
  <c r="R4509" i="1"/>
  <c r="S4509" i="1"/>
  <c r="R4512" i="1"/>
  <c r="S4512" i="1"/>
  <c r="R4518" i="1"/>
  <c r="S4518" i="1"/>
  <c r="R4527" i="1"/>
  <c r="S4527" i="1"/>
  <c r="R4533" i="1"/>
  <c r="S4533" i="1"/>
  <c r="R4539" i="1"/>
  <c r="S4539" i="1"/>
  <c r="R4545" i="1"/>
  <c r="S4545" i="1"/>
  <c r="S4550" i="1"/>
  <c r="R4550" i="1"/>
  <c r="S4556" i="1"/>
  <c r="R4556" i="1"/>
  <c r="S4562" i="1"/>
  <c r="R4562" i="1"/>
  <c r="R4578" i="1"/>
  <c r="S4578" i="1"/>
  <c r="R4581" i="1"/>
  <c r="S4581" i="1"/>
  <c r="R4589" i="1"/>
  <c r="S4589" i="1"/>
  <c r="R4031" i="1"/>
  <c r="S4031" i="1"/>
  <c r="R4037" i="1"/>
  <c r="S4037" i="1"/>
  <c r="R4282" i="1"/>
  <c r="S4282" i="1"/>
  <c r="R4288" i="1"/>
  <c r="S4288" i="1"/>
  <c r="S6680" i="1"/>
  <c r="R6680" i="1"/>
  <c r="R6681" i="1"/>
  <c r="S6681" i="1"/>
  <c r="R1249" i="1"/>
  <c r="S1249" i="1"/>
  <c r="R1253" i="1"/>
  <c r="S1253" i="1"/>
  <c r="R2226" i="1"/>
  <c r="S2226" i="1"/>
  <c r="R2223" i="1"/>
  <c r="S2223" i="1"/>
  <c r="S349" i="1"/>
  <c r="R349" i="1"/>
  <c r="R93" i="1"/>
  <c r="S93" i="1"/>
  <c r="R5779" i="1"/>
  <c r="S5779" i="1"/>
  <c r="R6525" i="1"/>
  <c r="S6525" i="1"/>
  <c r="R1651" i="1"/>
  <c r="S1651" i="1"/>
  <c r="R6667" i="1"/>
  <c r="S6667" i="1"/>
  <c r="R708" i="1"/>
  <c r="S708" i="1"/>
  <c r="S5515" i="1"/>
  <c r="R5515" i="1"/>
  <c r="R3955" i="1"/>
  <c r="S3955" i="1"/>
  <c r="R332" i="1"/>
  <c r="S332" i="1"/>
  <c r="R546" i="1"/>
  <c r="S546" i="1"/>
  <c r="R4764" i="1"/>
  <c r="S4764" i="1"/>
  <c r="R1741" i="1"/>
  <c r="S1741" i="1"/>
  <c r="R6228" i="1"/>
  <c r="S6228" i="1"/>
  <c r="R116" i="1"/>
  <c r="S116" i="1"/>
  <c r="R586" i="1"/>
  <c r="S586" i="1"/>
  <c r="S5450" i="1"/>
  <c r="R5450" i="1"/>
  <c r="S2698" i="1"/>
  <c r="R2698" i="1"/>
  <c r="R6441" i="1"/>
  <c r="S6441" i="1"/>
  <c r="R4791" i="1"/>
  <c r="S4791" i="1"/>
  <c r="R6574" i="1"/>
  <c r="S6574" i="1"/>
  <c r="R1435" i="1"/>
  <c r="S1435" i="1"/>
  <c r="R1317" i="1"/>
  <c r="S1317" i="1"/>
  <c r="R976" i="1"/>
  <c r="S976" i="1"/>
  <c r="R6236" i="1"/>
  <c r="S6236" i="1"/>
  <c r="S764" i="1"/>
  <c r="R764" i="1"/>
  <c r="S2205" i="1"/>
  <c r="R2205" i="1"/>
  <c r="R3957" i="1"/>
  <c r="S3957" i="1"/>
  <c r="R644" i="1"/>
  <c r="S644" i="1"/>
  <c r="R1701" i="1"/>
  <c r="S1701" i="1"/>
  <c r="R2025" i="1"/>
  <c r="S2025" i="1"/>
  <c r="S6052" i="1"/>
  <c r="R6052" i="1"/>
  <c r="R1602" i="1"/>
  <c r="S1602" i="1"/>
  <c r="R5638" i="1"/>
  <c r="S5638" i="1"/>
  <c r="R15" i="1"/>
  <c r="S15" i="1"/>
  <c r="R686" i="1"/>
  <c r="S686" i="1"/>
  <c r="R3921" i="1"/>
  <c r="S3921" i="1"/>
  <c r="R2102" i="1"/>
  <c r="S2102" i="1"/>
  <c r="R100" i="1"/>
  <c r="S100" i="1"/>
  <c r="R4804" i="1"/>
  <c r="S4804" i="1"/>
  <c r="R4462" i="1"/>
  <c r="S4462" i="1"/>
  <c r="S5048" i="1"/>
  <c r="R5048" i="1"/>
  <c r="R2141" i="1"/>
  <c r="S2141" i="1"/>
  <c r="R2107" i="1"/>
  <c r="S2107" i="1"/>
  <c r="S2685" i="1"/>
  <c r="R2685" i="1"/>
  <c r="R21" i="1"/>
  <c r="S21" i="1"/>
  <c r="R5660" i="1"/>
  <c r="S5660" i="1"/>
  <c r="S5343" i="1"/>
  <c r="R5343" i="1"/>
  <c r="R1509" i="1"/>
  <c r="S1509" i="1"/>
  <c r="S4660" i="1"/>
  <c r="R4660" i="1"/>
  <c r="R5960" i="1"/>
  <c r="S5960" i="1"/>
  <c r="R3853" i="1"/>
  <c r="S3853" i="1"/>
  <c r="R5332" i="1"/>
  <c r="S5332" i="1"/>
  <c r="S5900" i="1"/>
  <c r="R5900" i="1"/>
  <c r="R6719" i="1"/>
  <c r="S6719" i="1"/>
  <c r="R1722" i="1"/>
  <c r="S1722" i="1"/>
  <c r="R4697" i="1"/>
  <c r="S4697" i="1"/>
  <c r="R5701" i="1"/>
  <c r="S5701" i="1"/>
  <c r="R697" i="1"/>
  <c r="S697" i="1"/>
  <c r="R3827" i="1"/>
  <c r="S3827" i="1"/>
  <c r="R125" i="1"/>
  <c r="S125" i="1"/>
  <c r="R497" i="1"/>
  <c r="S497" i="1"/>
  <c r="R5185" i="1"/>
  <c r="S5185" i="1"/>
  <c r="R5673" i="1"/>
  <c r="S5673" i="1"/>
  <c r="R5618" i="1"/>
  <c r="S5618" i="1"/>
  <c r="R375" i="1"/>
  <c r="S375" i="1"/>
  <c r="R3937" i="1"/>
  <c r="S3937" i="1"/>
  <c r="S367" i="1"/>
  <c r="R367" i="1"/>
  <c r="R322" i="1"/>
  <c r="S322" i="1"/>
  <c r="R357" i="1"/>
  <c r="S357" i="1"/>
  <c r="R3983" i="1"/>
  <c r="S3983" i="1"/>
  <c r="R7" i="1"/>
  <c r="S7" i="1"/>
  <c r="R6384" i="1"/>
  <c r="S6384" i="1"/>
  <c r="R5720" i="1"/>
  <c r="S5720" i="1"/>
  <c r="S5867" i="1"/>
  <c r="R5867" i="1"/>
  <c r="R103" i="1"/>
  <c r="S103" i="1"/>
  <c r="R5307" i="1"/>
  <c r="S5307" i="1"/>
  <c r="R5041" i="1"/>
  <c r="S5041" i="1"/>
  <c r="S5305" i="1"/>
  <c r="R5305" i="1"/>
  <c r="R129" i="1"/>
  <c r="S129" i="1"/>
  <c r="R4213" i="1"/>
  <c r="S4213" i="1"/>
  <c r="R1507" i="1"/>
  <c r="S1507" i="1"/>
  <c r="R5411" i="1"/>
  <c r="S5411" i="1"/>
  <c r="R1837" i="1"/>
  <c r="S1837" i="1"/>
  <c r="R4108" i="1"/>
  <c r="R6552" i="1"/>
  <c r="S6552" i="1"/>
  <c r="R4730" i="1"/>
  <c r="S4730" i="1"/>
  <c r="R5563" i="1"/>
  <c r="S5563" i="1"/>
  <c r="R2322" i="1"/>
  <c r="S2322" i="1"/>
  <c r="R4979" i="1"/>
  <c r="S4979" i="1"/>
  <c r="R4998" i="1"/>
  <c r="S4998" i="1"/>
  <c r="R4076" i="1"/>
  <c r="S4076" i="1"/>
  <c r="R5980" i="1"/>
  <c r="S5980" i="1"/>
  <c r="R848" i="1"/>
  <c r="S848" i="1"/>
  <c r="R99" i="1"/>
  <c r="S99" i="1"/>
  <c r="R1635" i="1"/>
  <c r="S1635" i="1"/>
  <c r="R3966" i="1"/>
  <c r="S3966" i="1"/>
  <c r="R5033" i="1"/>
  <c r="S5033" i="1"/>
  <c r="R547" i="1"/>
  <c r="S547" i="1"/>
  <c r="R6450" i="1"/>
  <c r="S6450" i="1"/>
  <c r="S4794" i="1"/>
  <c r="R4794" i="1"/>
  <c r="R6200" i="1"/>
  <c r="S6200" i="1"/>
  <c r="R6181" i="1"/>
  <c r="S6181" i="1"/>
  <c r="R6151" i="1"/>
  <c r="S6151" i="1"/>
  <c r="R5526" i="1"/>
  <c r="S5526" i="1"/>
  <c r="S5477" i="1"/>
  <c r="R5477" i="1"/>
  <c r="R4743" i="1"/>
  <c r="S4743" i="1"/>
  <c r="S6192" i="1"/>
  <c r="R6192" i="1"/>
  <c r="S6180" i="1"/>
  <c r="R6180" i="1"/>
  <c r="S6168" i="1"/>
  <c r="R6168" i="1"/>
  <c r="S6162" i="1"/>
  <c r="R6162" i="1"/>
  <c r="S6150" i="1"/>
  <c r="R6150" i="1"/>
  <c r="S6144" i="1"/>
  <c r="R6144" i="1"/>
  <c r="S6138" i="1"/>
  <c r="R6138" i="1"/>
  <c r="R6131" i="1"/>
  <c r="S6131" i="1"/>
  <c r="S5531" i="1"/>
  <c r="R5531" i="1"/>
  <c r="R3314" i="1"/>
  <c r="S3314" i="1"/>
  <c r="R3308" i="1"/>
  <c r="S3308" i="1"/>
  <c r="R3302" i="1"/>
  <c r="S3302" i="1"/>
  <c r="R3296" i="1"/>
  <c r="S3296" i="1"/>
  <c r="R3290" i="1"/>
  <c r="S3290" i="1"/>
  <c r="R3284" i="1"/>
  <c r="S3284" i="1"/>
  <c r="R3278" i="1"/>
  <c r="S3278" i="1"/>
  <c r="R3272" i="1"/>
  <c r="S3272" i="1"/>
  <c r="R3266" i="1"/>
  <c r="S3266" i="1"/>
  <c r="R3260" i="1"/>
  <c r="S3260" i="1"/>
  <c r="R3254" i="1"/>
  <c r="S3254" i="1"/>
  <c r="R3248" i="1"/>
  <c r="S3248" i="1"/>
  <c r="R3242" i="1"/>
  <c r="S3242" i="1"/>
  <c r="R3236" i="1"/>
  <c r="S3236" i="1"/>
  <c r="R3230" i="1"/>
  <c r="S3230" i="1"/>
  <c r="R2702" i="1"/>
  <c r="S2702" i="1"/>
  <c r="R2680" i="1"/>
  <c r="S2680" i="1"/>
  <c r="R2674" i="1"/>
  <c r="S2674" i="1"/>
  <c r="R2668" i="1"/>
  <c r="S2668" i="1"/>
  <c r="R2662" i="1"/>
  <c r="S2662" i="1"/>
  <c r="S2655" i="1"/>
  <c r="R2655" i="1"/>
  <c r="S2649" i="1"/>
  <c r="R2649" i="1"/>
  <c r="S2643" i="1"/>
  <c r="R2643" i="1"/>
  <c r="S2637" i="1"/>
  <c r="R2637" i="1"/>
  <c r="S2631" i="1"/>
  <c r="R2631" i="1"/>
  <c r="S2625" i="1"/>
  <c r="R2625" i="1"/>
  <c r="S2619" i="1"/>
  <c r="R2619" i="1"/>
  <c r="S2613" i="1"/>
  <c r="R2613" i="1"/>
  <c r="S2607" i="1"/>
  <c r="R2607" i="1"/>
  <c r="S2601" i="1"/>
  <c r="R2601" i="1"/>
  <c r="R2587" i="1"/>
  <c r="S2587" i="1"/>
  <c r="R2581" i="1"/>
  <c r="S2581" i="1"/>
  <c r="R2575" i="1"/>
  <c r="S2575" i="1"/>
  <c r="R2569" i="1"/>
  <c r="S2569" i="1"/>
  <c r="R2563" i="1"/>
  <c r="S2563" i="1"/>
  <c r="R2557" i="1"/>
  <c r="S2557" i="1"/>
  <c r="R2551" i="1"/>
  <c r="S2551" i="1"/>
  <c r="R2545" i="1"/>
  <c r="S2545" i="1"/>
  <c r="R2539" i="1"/>
  <c r="S2539" i="1"/>
  <c r="R2533" i="1"/>
  <c r="S2533" i="1"/>
  <c r="R2527" i="1"/>
  <c r="S2527" i="1"/>
  <c r="R2521" i="1"/>
  <c r="S2521" i="1"/>
  <c r="R2515" i="1"/>
  <c r="S2515" i="1"/>
  <c r="S2448" i="1"/>
  <c r="R2448" i="1"/>
  <c r="S2442" i="1"/>
  <c r="R2442" i="1"/>
  <c r="S2436" i="1"/>
  <c r="R2436" i="1"/>
  <c r="S2430" i="1"/>
  <c r="R2430" i="1"/>
  <c r="S2424" i="1"/>
  <c r="R2424" i="1"/>
  <c r="S2418" i="1"/>
  <c r="R2418" i="1"/>
  <c r="S2412" i="1"/>
  <c r="R2412" i="1"/>
  <c r="S2406" i="1"/>
  <c r="R2406" i="1"/>
  <c r="R2398" i="1"/>
  <c r="S2398" i="1"/>
  <c r="R1132" i="1"/>
  <c r="S1132" i="1"/>
  <c r="R1126" i="1"/>
  <c r="S1126" i="1"/>
  <c r="R1101" i="1"/>
  <c r="S1101" i="1"/>
  <c r="R1095" i="1"/>
  <c r="S1095" i="1"/>
  <c r="R1089" i="1"/>
  <c r="S1089" i="1"/>
  <c r="R1083" i="1"/>
  <c r="S1083" i="1"/>
  <c r="R1077" i="1"/>
  <c r="S1077" i="1"/>
  <c r="R1071" i="1"/>
  <c r="S1071" i="1"/>
  <c r="R1065" i="1"/>
  <c r="S1065" i="1"/>
  <c r="R1059" i="1"/>
  <c r="S1059" i="1"/>
  <c r="R1053" i="1"/>
  <c r="S1053" i="1"/>
  <c r="R1047" i="1"/>
  <c r="S1047" i="1"/>
  <c r="R1041" i="1"/>
  <c r="S1041" i="1"/>
  <c r="R1035" i="1"/>
  <c r="S1035" i="1"/>
  <c r="R1029" i="1"/>
  <c r="S1029" i="1"/>
  <c r="R1023" i="1"/>
  <c r="S1023" i="1"/>
  <c r="R1017" i="1"/>
  <c r="S1017" i="1"/>
  <c r="R1011" i="1"/>
  <c r="S1011" i="1"/>
  <c r="R1005" i="1"/>
  <c r="S1005" i="1"/>
  <c r="R999" i="1"/>
  <c r="S999" i="1"/>
  <c r="R230" i="1"/>
  <c r="S230" i="1"/>
  <c r="R224" i="1"/>
  <c r="S224" i="1"/>
  <c r="R218" i="1"/>
  <c r="S218" i="1"/>
  <c r="R212" i="1"/>
  <c r="S212" i="1"/>
  <c r="R206" i="1"/>
  <c r="S206" i="1"/>
  <c r="R200" i="1"/>
  <c r="S200" i="1"/>
  <c r="R194" i="1"/>
  <c r="S194" i="1"/>
  <c r="R188" i="1"/>
  <c r="S188" i="1"/>
  <c r="R182" i="1"/>
  <c r="S182" i="1"/>
  <c r="R176" i="1"/>
  <c r="S176" i="1"/>
  <c r="R170" i="1"/>
  <c r="S170" i="1"/>
  <c r="R164" i="1"/>
  <c r="S164" i="1"/>
  <c r="R158" i="1"/>
  <c r="S158" i="1"/>
  <c r="R152" i="1"/>
  <c r="S152" i="1"/>
  <c r="R3374" i="1"/>
  <c r="S3374" i="1"/>
  <c r="R3377" i="1"/>
  <c r="S3377" i="1"/>
  <c r="R3386" i="1"/>
  <c r="S3386" i="1"/>
  <c r="R1794" i="1"/>
  <c r="S1794" i="1"/>
  <c r="S2985" i="1"/>
  <c r="R2985" i="1"/>
  <c r="R2979" i="1"/>
  <c r="S2979" i="1"/>
  <c r="R2973" i="1"/>
  <c r="S2973" i="1"/>
  <c r="S3035" i="1"/>
  <c r="R3035" i="1"/>
  <c r="S3041" i="1"/>
  <c r="R3041" i="1"/>
  <c r="R3051" i="1"/>
  <c r="S3051" i="1"/>
  <c r="S3044" i="1"/>
  <c r="R3044" i="1"/>
  <c r="R4445" i="1"/>
  <c r="S4445" i="1"/>
  <c r="R4451" i="1"/>
  <c r="S4451" i="1"/>
  <c r="R4457" i="1"/>
  <c r="S4457" i="1"/>
  <c r="R4839" i="1"/>
  <c r="S4839" i="1"/>
  <c r="R4846" i="1"/>
  <c r="S4846" i="1"/>
  <c r="R4847" i="1"/>
  <c r="S4847" i="1"/>
  <c r="R4854" i="1"/>
  <c r="S4854" i="1"/>
  <c r="R4860" i="1"/>
  <c r="S4860" i="1"/>
  <c r="S4862" i="1"/>
  <c r="R4862" i="1"/>
  <c r="R4276" i="1"/>
  <c r="S4276" i="1"/>
  <c r="R4162" i="1"/>
  <c r="S4162" i="1"/>
  <c r="R4168" i="1"/>
  <c r="S4168" i="1"/>
  <c r="R4174" i="1"/>
  <c r="S4174" i="1"/>
  <c r="R754" i="1"/>
  <c r="S754" i="1"/>
  <c r="R5423" i="1"/>
  <c r="S5423" i="1"/>
  <c r="R3663" i="1"/>
  <c r="S3663" i="1"/>
  <c r="R1267" i="1"/>
  <c r="S1267" i="1"/>
  <c r="R2219" i="1"/>
  <c r="S2219" i="1"/>
  <c r="R2294" i="1"/>
  <c r="S2294" i="1"/>
  <c r="R2224" i="1"/>
  <c r="S2224" i="1"/>
  <c r="R1639" i="1"/>
  <c r="S1639" i="1"/>
  <c r="R5599" i="1"/>
  <c r="S5599" i="1"/>
  <c r="R4133" i="1"/>
  <c r="S4133" i="1"/>
  <c r="R4759" i="1"/>
  <c r="S4759" i="1"/>
  <c r="R33" i="1"/>
  <c r="S33" i="1"/>
  <c r="R6653" i="1"/>
  <c r="S6653" i="1"/>
  <c r="S5859" i="1"/>
  <c r="R5859" i="1"/>
  <c r="R3912" i="1"/>
  <c r="S3912" i="1"/>
  <c r="R5881" i="1"/>
  <c r="S5881" i="1"/>
  <c r="R5643" i="1"/>
  <c r="S5643" i="1"/>
  <c r="R6716" i="1"/>
  <c r="S6716" i="1"/>
  <c r="R4063" i="1"/>
  <c r="S4063" i="1"/>
  <c r="R4105" i="1"/>
  <c r="S4105" i="1"/>
  <c r="R5235" i="1"/>
  <c r="S5235" i="1"/>
  <c r="R3746" i="1"/>
  <c r="S3746" i="1"/>
  <c r="R6049" i="1"/>
  <c r="S6049" i="1"/>
  <c r="R6227" i="1"/>
  <c r="S6227" i="1"/>
  <c r="R609" i="1"/>
  <c r="S609" i="1"/>
  <c r="R3976" i="1"/>
  <c r="S3976" i="1"/>
  <c r="R3719" i="1"/>
  <c r="S3719" i="1"/>
  <c r="S6066" i="1"/>
  <c r="R6066" i="1"/>
  <c r="R4787" i="1"/>
  <c r="S4787" i="1"/>
  <c r="R2695" i="1"/>
  <c r="S2695" i="1"/>
  <c r="R3874" i="1"/>
  <c r="S3874" i="1"/>
  <c r="R1163" i="1"/>
  <c r="S1163" i="1"/>
  <c r="R5058" i="1"/>
  <c r="S5058" i="1"/>
  <c r="R5615" i="1"/>
  <c r="S5615" i="1"/>
  <c r="R6527" i="1"/>
  <c r="S6527" i="1"/>
  <c r="R5794" i="1"/>
  <c r="S5794" i="1"/>
  <c r="R1704" i="1"/>
  <c r="S1704" i="1"/>
  <c r="R5774" i="1"/>
  <c r="S5774" i="1"/>
  <c r="R2106" i="1"/>
  <c r="S2106" i="1"/>
  <c r="R3843" i="1"/>
  <c r="S3843" i="1"/>
  <c r="R1428" i="1"/>
  <c r="S1428" i="1"/>
  <c r="R5139" i="1"/>
  <c r="S5139" i="1"/>
  <c r="S4778" i="1"/>
  <c r="R4778" i="1"/>
  <c r="R4068" i="1"/>
  <c r="S4068" i="1"/>
  <c r="S5230" i="1"/>
  <c r="R5230" i="1"/>
  <c r="R6724" i="1"/>
  <c r="S6724" i="1"/>
  <c r="R5878" i="1"/>
  <c r="S5878" i="1"/>
  <c r="R1599" i="1"/>
  <c r="S1599" i="1"/>
  <c r="R39" i="1"/>
  <c r="S39" i="1"/>
  <c r="R5159" i="1"/>
  <c r="S5159" i="1"/>
  <c r="R5845" i="1"/>
  <c r="S5845" i="1"/>
  <c r="R3496" i="1"/>
  <c r="S3496" i="1"/>
  <c r="R6024" i="1"/>
  <c r="S6024" i="1"/>
  <c r="R327" i="1"/>
  <c r="S327" i="1"/>
  <c r="R2658" i="1"/>
  <c r="S2658" i="1"/>
  <c r="R4982" i="1"/>
  <c r="S4982" i="1"/>
  <c r="R4807" i="1"/>
  <c r="S4807" i="1"/>
  <c r="R1803" i="1"/>
  <c r="S1803" i="1"/>
  <c r="R1860" i="1"/>
  <c r="S1860" i="1"/>
  <c r="R1817" i="1"/>
  <c r="S1817" i="1"/>
  <c r="R1454" i="1"/>
  <c r="S1454" i="1"/>
  <c r="R5786" i="1"/>
  <c r="S5786" i="1"/>
  <c r="R490" i="1"/>
  <c r="S490" i="1"/>
  <c r="R4629" i="1"/>
  <c r="S4629" i="1"/>
  <c r="R1891" i="1"/>
  <c r="S1891" i="1"/>
  <c r="R6557" i="1"/>
  <c r="S6557" i="1"/>
  <c r="R4131" i="1"/>
  <c r="S4131" i="1"/>
  <c r="R3979" i="1"/>
  <c r="S3979" i="1"/>
  <c r="R3745" i="1"/>
  <c r="S3745" i="1"/>
  <c r="R6702" i="1"/>
  <c r="S6702" i="1"/>
  <c r="R449" i="1"/>
  <c r="S449" i="1"/>
  <c r="R4104" i="1"/>
  <c r="S4104" i="1"/>
  <c r="R2004" i="1"/>
  <c r="S2004" i="1"/>
  <c r="R3933" i="1"/>
  <c r="S3933" i="1"/>
  <c r="R368" i="1"/>
  <c r="S368" i="1"/>
  <c r="R3857" i="1"/>
  <c r="S3857" i="1"/>
  <c r="R1499" i="1"/>
  <c r="S1499" i="1"/>
  <c r="R4884" i="1"/>
  <c r="S4884" i="1"/>
  <c r="R811" i="1"/>
  <c r="S811" i="1"/>
  <c r="R1664" i="1"/>
  <c r="S1664" i="1"/>
  <c r="R75" i="1"/>
  <c r="S75" i="1"/>
  <c r="R5666" i="1"/>
  <c r="S5666" i="1"/>
  <c r="R1632" i="1"/>
  <c r="S1632" i="1"/>
  <c r="R2217" i="1"/>
  <c r="S2217" i="1"/>
  <c r="R6495" i="1"/>
  <c r="S6495" i="1"/>
  <c r="R1663" i="1"/>
  <c r="S1663" i="1"/>
  <c r="R5816" i="1"/>
  <c r="S5816" i="1"/>
  <c r="R354" i="1"/>
  <c r="S354" i="1"/>
  <c r="R326" i="1"/>
  <c r="S326" i="1"/>
  <c r="R5193" i="1"/>
  <c r="S5193" i="1"/>
  <c r="R3936" i="1"/>
  <c r="S3936" i="1"/>
  <c r="R4342" i="1"/>
  <c r="S4342" i="1"/>
  <c r="R4083" i="1"/>
  <c r="S4083" i="1"/>
  <c r="R1502" i="1"/>
  <c r="S1502" i="1"/>
  <c r="R6073" i="1"/>
  <c r="S6073" i="1"/>
  <c r="S718" i="1"/>
  <c r="R718" i="1"/>
  <c r="S6082" i="1"/>
  <c r="R6082" i="1"/>
  <c r="R4136" i="1"/>
  <c r="S4136" i="1"/>
  <c r="R5198" i="1"/>
  <c r="S5198" i="1"/>
  <c r="R1944" i="1"/>
  <c r="S1944" i="1"/>
  <c r="R2072" i="1"/>
  <c r="S2072" i="1"/>
  <c r="R1971" i="1"/>
  <c r="S1971" i="1"/>
  <c r="R2071" i="1"/>
  <c r="S2071" i="1"/>
  <c r="R3992" i="1"/>
  <c r="S3992" i="1"/>
  <c r="R3750" i="1"/>
  <c r="S3750" i="1"/>
  <c r="R1847" i="1"/>
  <c r="S1847" i="1"/>
  <c r="S5646" i="1"/>
  <c r="R5646" i="1"/>
  <c r="R5605" i="1"/>
  <c r="S5605" i="1"/>
  <c r="R6037" i="1"/>
  <c r="S6037" i="1"/>
  <c r="R4887" i="1"/>
  <c r="S4887" i="1"/>
  <c r="R1808" i="1"/>
  <c r="S1808" i="1"/>
  <c r="R6507" i="1"/>
  <c r="S6507" i="1"/>
  <c r="R1869" i="1"/>
  <c r="S1869" i="1"/>
  <c r="R5798" i="1"/>
  <c r="S5798" i="1"/>
  <c r="R6361" i="1"/>
  <c r="S6361" i="1"/>
  <c r="S5161" i="1"/>
  <c r="R5161" i="1"/>
  <c r="R6188" i="1"/>
  <c r="S6188" i="1"/>
  <c r="R6152" i="1"/>
  <c r="S6152" i="1"/>
  <c r="R5521" i="1"/>
  <c r="S5521" i="1"/>
  <c r="R5532" i="1"/>
  <c r="S5532" i="1"/>
  <c r="R6263" i="1"/>
  <c r="S6263" i="1"/>
  <c r="S6198" i="1"/>
  <c r="R6198" i="1"/>
  <c r="S6186" i="1"/>
  <c r="R6186" i="1"/>
  <c r="S6174" i="1"/>
  <c r="R6174" i="1"/>
  <c r="S6156" i="1"/>
  <c r="R6156" i="1"/>
  <c r="S5537" i="1"/>
  <c r="R5537" i="1"/>
  <c r="S5525" i="1"/>
  <c r="R5525" i="1"/>
  <c r="R5482" i="1"/>
  <c r="S5482" i="1"/>
  <c r="R5476" i="1"/>
  <c r="S5476" i="1"/>
  <c r="R4754" i="1"/>
  <c r="S4754" i="1"/>
  <c r="R4748" i="1"/>
  <c r="S4748" i="1"/>
  <c r="R4742" i="1"/>
  <c r="S4742" i="1"/>
  <c r="R4736" i="1"/>
  <c r="S4736" i="1"/>
  <c r="R4729" i="1"/>
  <c r="S4729" i="1"/>
  <c r="R4722" i="1"/>
  <c r="S4722" i="1"/>
  <c r="R4716" i="1"/>
  <c r="S4716" i="1"/>
  <c r="R3839" i="1"/>
  <c r="S3839" i="1"/>
  <c r="R864" i="1"/>
  <c r="S864" i="1"/>
  <c r="R5710" i="1"/>
  <c r="S5710" i="1"/>
  <c r="R5704" i="1"/>
  <c r="S5704" i="1"/>
  <c r="S5555" i="1"/>
  <c r="R5555" i="1"/>
  <c r="S5549" i="1"/>
  <c r="R5549" i="1"/>
  <c r="S5543" i="1"/>
  <c r="R5543" i="1"/>
  <c r="R3965" i="1"/>
  <c r="S3965" i="1"/>
  <c r="R3630" i="1"/>
  <c r="S3630" i="1"/>
  <c r="R3624" i="1"/>
  <c r="S3624" i="1"/>
  <c r="R3618" i="1"/>
  <c r="S3618" i="1"/>
  <c r="R3612" i="1"/>
  <c r="S3612" i="1"/>
  <c r="R3606" i="1"/>
  <c r="S3606" i="1"/>
  <c r="R3600" i="1"/>
  <c r="S3600" i="1"/>
  <c r="R3594" i="1"/>
  <c r="S3594" i="1"/>
  <c r="R3588" i="1"/>
  <c r="S3588" i="1"/>
  <c r="R3582" i="1"/>
  <c r="S3582" i="1"/>
  <c r="R3576" i="1"/>
  <c r="S3576" i="1"/>
  <c r="R3570" i="1"/>
  <c r="S3570" i="1"/>
  <c r="R3564" i="1"/>
  <c r="S3564" i="1"/>
  <c r="R3558" i="1"/>
  <c r="S3558" i="1"/>
  <c r="R3552" i="1"/>
  <c r="S3552" i="1"/>
  <c r="R3546" i="1"/>
  <c r="S3546" i="1"/>
  <c r="R3540" i="1"/>
  <c r="S3540" i="1"/>
  <c r="R3533" i="1"/>
  <c r="S3533" i="1"/>
  <c r="R3527" i="1"/>
  <c r="S3527" i="1"/>
  <c r="R3521" i="1"/>
  <c r="S3521" i="1"/>
  <c r="R3515" i="1"/>
  <c r="S3515" i="1"/>
  <c r="R3508" i="1"/>
  <c r="S3508" i="1"/>
  <c r="R3499" i="1"/>
  <c r="S3499" i="1"/>
  <c r="R3490" i="1"/>
  <c r="S3490" i="1"/>
  <c r="R3484" i="1"/>
  <c r="S3484" i="1"/>
  <c r="R3478" i="1"/>
  <c r="S3478" i="1"/>
  <c r="R3471" i="1"/>
  <c r="S3471" i="1"/>
  <c r="R3463" i="1"/>
  <c r="S3463" i="1"/>
  <c r="R3456" i="1"/>
  <c r="S3456" i="1"/>
  <c r="R3449" i="1"/>
  <c r="S3449" i="1"/>
  <c r="R3442" i="1"/>
  <c r="S3442" i="1"/>
  <c r="R3436" i="1"/>
  <c r="S3436" i="1"/>
  <c r="R3430" i="1"/>
  <c r="S3430" i="1"/>
  <c r="R3424" i="1"/>
  <c r="S3424" i="1"/>
  <c r="R3418" i="1"/>
  <c r="S3418" i="1"/>
  <c r="R3412" i="1"/>
  <c r="S3412" i="1"/>
  <c r="R3406" i="1"/>
  <c r="S3406" i="1"/>
  <c r="R3217" i="1"/>
  <c r="S3217" i="1"/>
  <c r="R3211" i="1"/>
  <c r="S3211" i="1"/>
  <c r="R3205" i="1"/>
  <c r="S3205" i="1"/>
  <c r="S3199" i="1"/>
  <c r="R3199" i="1"/>
  <c r="S3193" i="1"/>
  <c r="R3193" i="1"/>
  <c r="S3187" i="1"/>
  <c r="R3187" i="1"/>
  <c r="S3181" i="1"/>
  <c r="R3181" i="1"/>
  <c r="S3175" i="1"/>
  <c r="R3175" i="1"/>
  <c r="S3169" i="1"/>
  <c r="R3169" i="1"/>
  <c r="S3163" i="1"/>
  <c r="R3163" i="1"/>
  <c r="S3157" i="1"/>
  <c r="R3157" i="1"/>
  <c r="S3151" i="1"/>
  <c r="R3151" i="1"/>
  <c r="S3145" i="1"/>
  <c r="R3145" i="1"/>
  <c r="S3139" i="1"/>
  <c r="R3139" i="1"/>
  <c r="S3133" i="1"/>
  <c r="R3133" i="1"/>
  <c r="R3120" i="1"/>
  <c r="S3120" i="1"/>
  <c r="R3114" i="1"/>
  <c r="S3114" i="1"/>
  <c r="R3108" i="1"/>
  <c r="S3108" i="1"/>
  <c r="R3102" i="1"/>
  <c r="S3102" i="1"/>
  <c r="R3096" i="1"/>
  <c r="S3096" i="1"/>
  <c r="R3090" i="1"/>
  <c r="S3090" i="1"/>
  <c r="R3084" i="1"/>
  <c r="S3084" i="1"/>
  <c r="R3078" i="1"/>
  <c r="S3078" i="1"/>
  <c r="R3072" i="1"/>
  <c r="S3072" i="1"/>
  <c r="R3066" i="1"/>
  <c r="S3066" i="1"/>
  <c r="R2788" i="1"/>
  <c r="S2788" i="1"/>
  <c r="R2782" i="1"/>
  <c r="S2782" i="1"/>
  <c r="R2776" i="1"/>
  <c r="S2776" i="1"/>
  <c r="R2770" i="1"/>
  <c r="S2770" i="1"/>
  <c r="R2764" i="1"/>
  <c r="S2764" i="1"/>
  <c r="R2758" i="1"/>
  <c r="S2758" i="1"/>
  <c r="R2752" i="1"/>
  <c r="S2752" i="1"/>
  <c r="R2746" i="1"/>
  <c r="S2746" i="1"/>
  <c r="R2740" i="1"/>
  <c r="S2740" i="1"/>
  <c r="R2734" i="1"/>
  <c r="S2734" i="1"/>
  <c r="R2728" i="1"/>
  <c r="S2728" i="1"/>
  <c r="R2722" i="1"/>
  <c r="S2722" i="1"/>
  <c r="R2716" i="1"/>
  <c r="S2716" i="1"/>
  <c r="R2710" i="1"/>
  <c r="S2710" i="1"/>
  <c r="R2508" i="1"/>
  <c r="S2508" i="1"/>
  <c r="R2502" i="1"/>
  <c r="S2502" i="1"/>
  <c r="R2496" i="1"/>
  <c r="S2496" i="1"/>
  <c r="R2490" i="1"/>
  <c r="S2490" i="1"/>
  <c r="R2484" i="1"/>
  <c r="S2484" i="1"/>
  <c r="R2478" i="1"/>
  <c r="S2478" i="1"/>
  <c r="R2472" i="1"/>
  <c r="S2472" i="1"/>
  <c r="S2466" i="1"/>
  <c r="R2466" i="1"/>
  <c r="S2460" i="1"/>
  <c r="R2460" i="1"/>
  <c r="S2454" i="1"/>
  <c r="R2454" i="1"/>
  <c r="R2391" i="1"/>
  <c r="S2391" i="1"/>
  <c r="R2385" i="1"/>
  <c r="S2385" i="1"/>
  <c r="R2379" i="1"/>
  <c r="S2379" i="1"/>
  <c r="R2373" i="1"/>
  <c r="S2373" i="1"/>
  <c r="R2367" i="1"/>
  <c r="S2367" i="1"/>
  <c r="R2361" i="1"/>
  <c r="S2361" i="1"/>
  <c r="R2355" i="1"/>
  <c r="S2355" i="1"/>
  <c r="R2349" i="1"/>
  <c r="S2349" i="1"/>
  <c r="R2343" i="1"/>
  <c r="S2343" i="1"/>
  <c r="R2337" i="1"/>
  <c r="S2337" i="1"/>
  <c r="R1376" i="1"/>
  <c r="S1376" i="1"/>
  <c r="R1370" i="1"/>
  <c r="S1370" i="1"/>
  <c r="R1364" i="1"/>
  <c r="S1364" i="1"/>
  <c r="R1119" i="1"/>
  <c r="S1119" i="1"/>
  <c r="R1113" i="1"/>
  <c r="S1113" i="1"/>
  <c r="R1107" i="1"/>
  <c r="S1107" i="1"/>
  <c r="S409" i="1"/>
  <c r="R409" i="1"/>
  <c r="R3320" i="1"/>
  <c r="S3320" i="1"/>
  <c r="R3326" i="1"/>
  <c r="S3326" i="1"/>
  <c r="R3332" i="1"/>
  <c r="S3332" i="1"/>
  <c r="R3342" i="1"/>
  <c r="S3342" i="1"/>
  <c r="R3344" i="1"/>
  <c r="S3344" i="1"/>
  <c r="R3357" i="1"/>
  <c r="S3357" i="1"/>
  <c r="R3353" i="1"/>
  <c r="S3353" i="1"/>
  <c r="R3362" i="1"/>
  <c r="S3362" i="1"/>
  <c r="R3368" i="1"/>
  <c r="S3368" i="1"/>
  <c r="S2881" i="1"/>
  <c r="R2881" i="1"/>
  <c r="R2891" i="1"/>
  <c r="S2891" i="1"/>
  <c r="R2897" i="1"/>
  <c r="S2897" i="1"/>
  <c r="R2903" i="1"/>
  <c r="S2903" i="1"/>
  <c r="R2909" i="1"/>
  <c r="S2909" i="1"/>
  <c r="R2915" i="1"/>
  <c r="S2915" i="1"/>
  <c r="R2921" i="1"/>
  <c r="S2921" i="1"/>
  <c r="R2927" i="1"/>
  <c r="S2927" i="1"/>
  <c r="R2930" i="1"/>
  <c r="S2930" i="1"/>
  <c r="R6772" i="1"/>
  <c r="S6772" i="1"/>
  <c r="R2944" i="1"/>
  <c r="S2944" i="1"/>
  <c r="R2950" i="1"/>
  <c r="S2950" i="1"/>
  <c r="R2957" i="1"/>
  <c r="S2957" i="1"/>
  <c r="R2963" i="1"/>
  <c r="S2963" i="1"/>
  <c r="R2969" i="1"/>
  <c r="S2969" i="1"/>
  <c r="R2993" i="1"/>
  <c r="S2993" i="1"/>
  <c r="R2999" i="1"/>
  <c r="S2999" i="1"/>
  <c r="R3010" i="1"/>
  <c r="S3010" i="1"/>
  <c r="R3005" i="1"/>
  <c r="S3005" i="1"/>
  <c r="R3017" i="1"/>
  <c r="S3017" i="1"/>
  <c r="S3023" i="1"/>
  <c r="R3023" i="1"/>
  <c r="S3029" i="1"/>
  <c r="R3029" i="1"/>
  <c r="R4834" i="1"/>
  <c r="S4834" i="1"/>
  <c r="S4874" i="1"/>
  <c r="R4874" i="1"/>
  <c r="R2795" i="1"/>
  <c r="S2795" i="1"/>
  <c r="R2801" i="1"/>
  <c r="S2801" i="1"/>
  <c r="R2804" i="1"/>
  <c r="S2804" i="1"/>
  <c r="R2813" i="1"/>
  <c r="S2813" i="1"/>
  <c r="R2819" i="1"/>
  <c r="S2819" i="1"/>
  <c r="R2833" i="1"/>
  <c r="S2833" i="1"/>
  <c r="R2827" i="1"/>
  <c r="S2827" i="1"/>
  <c r="R2837" i="1"/>
  <c r="S2837" i="1"/>
  <c r="R2843" i="1"/>
  <c r="S2843" i="1"/>
  <c r="R2855" i="1"/>
  <c r="S2855" i="1"/>
  <c r="R2854" i="1"/>
  <c r="S2854" i="1"/>
  <c r="R2862" i="1"/>
  <c r="S2862" i="1"/>
  <c r="R2868" i="1"/>
  <c r="S2868" i="1"/>
  <c r="R4467" i="1"/>
  <c r="S4467" i="1"/>
  <c r="S4484" i="1"/>
  <c r="R4484" i="1"/>
  <c r="R4482" i="1"/>
  <c r="S4482" i="1"/>
  <c r="R4486" i="1"/>
  <c r="S4486" i="1"/>
  <c r="R4494" i="1"/>
  <c r="S4494" i="1"/>
  <c r="R4493" i="1"/>
  <c r="S4493" i="1"/>
  <c r="R4504" i="1"/>
  <c r="S4504" i="1"/>
  <c r="R4510" i="1"/>
  <c r="S4510" i="1"/>
  <c r="R4513" i="1"/>
  <c r="S4513" i="1"/>
  <c r="R4519" i="1"/>
  <c r="S4519" i="1"/>
  <c r="R4528" i="1"/>
  <c r="S4528" i="1"/>
  <c r="R4534" i="1"/>
  <c r="S4534" i="1"/>
  <c r="R4540" i="1"/>
  <c r="S4540" i="1"/>
  <c r="R4546" i="1"/>
  <c r="S4546" i="1"/>
  <c r="R4551" i="1"/>
  <c r="S4551" i="1"/>
  <c r="R4558" i="1"/>
  <c r="S4558" i="1"/>
  <c r="R4563" i="1"/>
  <c r="S4563" i="1"/>
  <c r="R4572" i="1"/>
  <c r="S4572" i="1"/>
  <c r="R4579" i="1"/>
  <c r="S4579" i="1"/>
  <c r="R4582" i="1"/>
  <c r="S4582" i="1"/>
  <c r="R4590" i="1"/>
  <c r="S4590" i="1"/>
  <c r="R4026" i="1"/>
  <c r="S4026" i="1"/>
  <c r="R4032" i="1"/>
  <c r="S4032" i="1"/>
  <c r="R4283" i="1"/>
  <c r="S4283" i="1"/>
  <c r="R4290" i="1"/>
  <c r="S4290" i="1"/>
  <c r="R4289" i="1"/>
  <c r="S4289" i="1"/>
  <c r="R910" i="1"/>
  <c r="S910" i="1"/>
  <c r="R6687" i="1"/>
  <c r="S6687" i="1"/>
  <c r="R6684" i="1"/>
  <c r="S6684" i="1"/>
  <c r="R6678" i="1"/>
  <c r="S6678" i="1"/>
  <c r="R6401" i="1"/>
  <c r="S6401" i="1"/>
  <c r="R1258" i="1"/>
  <c r="S1258" i="1"/>
  <c r="R1244" i="1"/>
  <c r="S1244" i="1"/>
  <c r="R1251" i="1"/>
  <c r="S1251" i="1"/>
  <c r="S2227" i="1"/>
  <c r="R2227" i="1"/>
  <c r="R4945" i="1"/>
  <c r="S4945" i="1"/>
  <c r="R4140" i="1"/>
  <c r="S4140" i="1"/>
  <c r="R6314" i="1"/>
  <c r="S6314" i="1"/>
  <c r="R4617" i="1"/>
  <c r="S4617" i="1"/>
  <c r="R6601" i="1"/>
  <c r="S6601" i="1"/>
  <c r="R6694" i="1"/>
  <c r="S6694" i="1"/>
  <c r="R3902" i="1"/>
  <c r="S3902" i="1"/>
  <c r="S3060" i="1"/>
  <c r="R3060" i="1"/>
  <c r="S325" i="1"/>
  <c r="R325" i="1"/>
  <c r="R4980" i="1"/>
  <c r="S4980" i="1"/>
  <c r="R23" i="1"/>
  <c r="S23" i="1"/>
  <c r="R1598" i="1"/>
  <c r="S1598" i="1"/>
  <c r="R958" i="1"/>
  <c r="S958" i="1"/>
  <c r="R415" i="1"/>
  <c r="S415" i="1"/>
  <c r="R122" i="1"/>
  <c r="S122" i="1"/>
  <c r="R6100" i="1"/>
  <c r="S6100" i="1"/>
  <c r="R1866" i="1"/>
  <c r="S1866" i="1"/>
  <c r="R459" i="1"/>
  <c r="S459" i="1"/>
  <c r="R710" i="1"/>
  <c r="S710" i="1"/>
  <c r="R5584" i="1"/>
  <c r="S5584" i="1"/>
  <c r="R2021" i="1"/>
  <c r="S2021" i="1"/>
  <c r="R5201" i="1"/>
  <c r="S5201" i="1"/>
  <c r="R4318" i="1"/>
  <c r="S4318" i="1"/>
  <c r="R892" i="1"/>
  <c r="S892" i="1"/>
  <c r="R5101" i="1"/>
  <c r="S5101" i="1"/>
  <c r="R6218" i="1"/>
  <c r="S6218" i="1"/>
  <c r="R4665" i="1"/>
  <c r="S4665" i="1"/>
  <c r="R5225" i="1"/>
  <c r="S5225" i="1"/>
  <c r="R5200" i="1"/>
  <c r="S5200" i="1"/>
  <c r="S6018" i="1"/>
  <c r="R6018" i="1"/>
  <c r="R3776" i="1"/>
  <c r="S3776" i="1"/>
  <c r="R6235" i="1"/>
  <c r="S6235" i="1"/>
  <c r="R4248" i="1"/>
  <c r="S4248" i="1"/>
  <c r="R2176" i="1"/>
  <c r="S2176" i="1"/>
  <c r="R2134" i="1"/>
  <c r="S2134" i="1"/>
  <c r="R4047" i="1"/>
  <c r="S4047" i="1"/>
  <c r="R1964" i="1"/>
  <c r="S1964" i="1"/>
  <c r="S6308" i="1"/>
  <c r="R6308" i="1"/>
  <c r="R5800" i="1"/>
  <c r="S5800" i="1"/>
  <c r="R1532" i="1"/>
  <c r="S1532" i="1"/>
  <c r="R2023" i="1"/>
  <c r="S2023" i="1"/>
  <c r="R4770" i="1"/>
  <c r="S4770" i="1"/>
  <c r="R2230" i="1"/>
  <c r="S2230" i="1"/>
  <c r="R5147" i="1"/>
  <c r="S5147" i="1"/>
  <c r="R5648" i="1"/>
  <c r="S5648" i="1"/>
  <c r="S5619" i="1"/>
  <c r="R5619" i="1"/>
  <c r="R22" i="1"/>
  <c r="S22" i="1"/>
  <c r="R4216" i="1"/>
  <c r="S4216" i="1"/>
  <c r="R5176" i="1"/>
  <c r="S5176" i="1"/>
  <c r="R2108" i="1"/>
  <c r="S2108" i="1"/>
  <c r="R2070" i="1"/>
  <c r="S2070" i="1"/>
  <c r="R2095" i="1"/>
  <c r="S2095" i="1"/>
  <c r="R5018" i="1"/>
  <c r="S5018" i="1"/>
  <c r="R3855" i="1"/>
  <c r="S3855" i="1"/>
  <c r="R3460" i="1"/>
  <c r="S3460" i="1"/>
  <c r="R1793" i="1"/>
  <c r="S1793" i="1"/>
  <c r="R6383" i="1"/>
  <c r="S6383" i="1"/>
  <c r="R4407" i="1"/>
  <c r="S4407" i="1"/>
  <c r="R833" i="1"/>
  <c r="S833" i="1"/>
  <c r="R5571" i="1"/>
  <c r="S5571" i="1"/>
  <c r="R5310" i="1"/>
  <c r="S5310" i="1"/>
  <c r="R374" i="1"/>
  <c r="S374" i="1"/>
  <c r="R3938" i="1"/>
  <c r="S3938" i="1"/>
  <c r="R369" i="1"/>
  <c r="S369" i="1"/>
  <c r="S5945" i="1"/>
  <c r="R5945" i="1"/>
  <c r="R3790" i="1"/>
  <c r="S3790" i="1"/>
  <c r="R104" i="1"/>
  <c r="S104" i="1"/>
  <c r="R3793" i="1"/>
  <c r="S3793" i="1"/>
  <c r="R6297" i="1"/>
  <c r="S6297" i="1"/>
  <c r="R4659" i="1"/>
  <c r="S4659" i="1"/>
  <c r="R4185" i="1"/>
  <c r="S4185" i="1"/>
  <c r="R5744" i="1"/>
  <c r="S5744" i="1"/>
  <c r="R3796" i="1"/>
  <c r="S3796" i="1"/>
  <c r="R4986" i="1"/>
  <c r="S4986" i="1"/>
  <c r="R510" i="1"/>
  <c r="S510" i="1"/>
  <c r="R4230" i="1"/>
  <c r="S4230" i="1"/>
  <c r="S4353" i="1"/>
  <c r="R4353" i="1"/>
  <c r="R1535" i="1"/>
  <c r="S1535" i="1"/>
  <c r="S660" i="1"/>
  <c r="R660" i="1"/>
  <c r="R5341" i="1"/>
  <c r="S5341" i="1"/>
  <c r="R4014" i="1"/>
  <c r="S4014" i="1"/>
  <c r="R1626" i="1"/>
  <c r="S1626" i="1"/>
  <c r="S5173" i="1"/>
  <c r="R5173" i="1"/>
  <c r="R3817" i="1"/>
  <c r="S3817" i="1"/>
  <c r="R743" i="1"/>
  <c r="S743" i="1"/>
  <c r="R4981" i="1"/>
  <c r="S4981" i="1"/>
  <c r="R1872" i="1"/>
  <c r="S1872" i="1"/>
  <c r="R391" i="1"/>
  <c r="S391" i="1"/>
  <c r="R680" i="1"/>
  <c r="S680" i="1"/>
  <c r="S5978" i="1"/>
  <c r="R5978" i="1"/>
  <c r="R330" i="1"/>
  <c r="S330" i="1"/>
  <c r="R5162" i="1"/>
  <c r="S5162" i="1"/>
  <c r="V6261" i="1"/>
  <c r="N5480" i="1"/>
  <c r="V6262" i="1"/>
  <c r="N6203" i="1"/>
  <c r="V5536" i="1"/>
  <c r="N5524" i="1"/>
  <c r="V5475" i="1"/>
  <c r="V4747" i="1"/>
  <c r="N4741" i="1"/>
  <c r="V4721" i="1"/>
  <c r="N3313" i="1"/>
  <c r="N3307" i="1"/>
  <c r="V3301" i="1"/>
  <c r="N3295" i="1"/>
  <c r="N3289" i="1"/>
  <c r="V3283" i="1"/>
  <c r="N3271" i="1"/>
  <c r="V3265" i="1"/>
  <c r="N3259" i="1"/>
  <c r="N3229" i="1"/>
  <c r="V2679" i="1"/>
  <c r="V2673" i="1"/>
  <c r="N2667" i="1"/>
  <c r="N2648" i="1"/>
  <c r="V2642" i="1"/>
  <c r="N2636" i="1"/>
  <c r="V2630" i="1"/>
  <c r="N2624" i="1"/>
  <c r="V2592" i="1"/>
  <c r="V2568" i="1"/>
  <c r="N2562" i="1"/>
  <c r="V2532" i="1"/>
  <c r="N2526" i="1"/>
  <c r="V2514" i="1"/>
  <c r="N2441" i="1"/>
  <c r="V1094" i="1"/>
  <c r="N229" i="1"/>
  <c r="V211" i="1"/>
  <c r="V193" i="1"/>
  <c r="V181" i="1"/>
  <c r="N175" i="1"/>
  <c r="V157" i="1"/>
  <c r="V3378" i="1"/>
  <c r="V3036" i="1"/>
  <c r="V3046" i="1"/>
  <c r="N4452" i="1"/>
  <c r="N4840" i="1"/>
  <c r="V4863" i="1"/>
  <c r="N4271" i="1"/>
  <c r="V6544" i="1"/>
  <c r="N5424" i="1"/>
  <c r="N10" i="1"/>
  <c r="N4602" i="1"/>
  <c r="V3851" i="1"/>
  <c r="N679" i="1"/>
  <c r="V5316" i="1"/>
  <c r="L147" i="1"/>
  <c r="V6102" i="1"/>
  <c r="V4655" i="1"/>
  <c r="N1299" i="1"/>
  <c r="N2162" i="1"/>
  <c r="V5588" i="1"/>
  <c r="N891" i="1"/>
  <c r="L2291" i="1"/>
  <c r="N2024" i="1"/>
  <c r="N4812" i="1"/>
  <c r="N5790" i="1"/>
  <c r="V6363" i="1"/>
  <c r="N1434" i="1"/>
  <c r="N5968" i="1"/>
  <c r="N4774" i="1"/>
  <c r="V4315" i="1"/>
  <c r="L6113" i="1"/>
  <c r="N5995" i="1"/>
  <c r="N249" i="1"/>
  <c r="N251" i="1" s="1"/>
  <c r="V6283" i="1"/>
  <c r="V3732" i="1"/>
  <c r="V6387" i="1"/>
  <c r="N359" i="1"/>
  <c r="N477" i="1"/>
  <c r="N4883" i="1"/>
  <c r="V5644" i="1"/>
  <c r="N1415" i="1"/>
  <c r="V5179" i="1"/>
  <c r="N272" i="1"/>
  <c r="N3894" i="1"/>
  <c r="V6081" i="1"/>
  <c r="N4229" i="1"/>
  <c r="V286" i="1"/>
  <c r="L1194" i="1"/>
  <c r="V1702" i="1"/>
  <c r="V621" i="1"/>
  <c r="V6182" i="1"/>
  <c r="V6181" i="1"/>
  <c r="V5520" i="1"/>
  <c r="V6197" i="1"/>
  <c r="N5709" i="1"/>
  <c r="V5703" i="1"/>
  <c r="V5542" i="1"/>
  <c r="V3617" i="1"/>
  <c r="V3599" i="1"/>
  <c r="N3569" i="1"/>
  <c r="V3551" i="1"/>
  <c r="V3532" i="1"/>
  <c r="V3520" i="1"/>
  <c r="N3514" i="1"/>
  <c r="V3497" i="1"/>
  <c r="N3435" i="1"/>
  <c r="N3429" i="1"/>
  <c r="V3423" i="1"/>
  <c r="V3417" i="1"/>
  <c r="V3405" i="1"/>
  <c r="N3222" i="1"/>
  <c r="V3204" i="1"/>
  <c r="V3198" i="1"/>
  <c r="V3192" i="1"/>
  <c r="V3150" i="1"/>
  <c r="N3144" i="1"/>
  <c r="V3132" i="1"/>
  <c r="V3119" i="1"/>
  <c r="V3107" i="1"/>
  <c r="N3095" i="1"/>
  <c r="N3071" i="1"/>
  <c r="N2861" i="1"/>
  <c r="N2763" i="1"/>
  <c r="N2751" i="1"/>
  <c r="N2495" i="1"/>
  <c r="N2489" i="1"/>
  <c r="V2471" i="1"/>
  <c r="V2390" i="1"/>
  <c r="V2384" i="1"/>
  <c r="V2354" i="1"/>
  <c r="N2336" i="1"/>
  <c r="V1112" i="1"/>
  <c r="U408" i="1"/>
  <c r="N3333" i="1"/>
  <c r="V3345" i="1"/>
  <c r="V3358" i="1"/>
  <c r="N3363" i="1"/>
  <c r="N2882" i="1"/>
  <c r="V2951" i="1"/>
  <c r="V3000" i="1"/>
  <c r="N3006" i="1"/>
  <c r="N2834" i="1"/>
  <c r="N2856" i="1"/>
  <c r="N2874" i="1"/>
  <c r="N4499" i="1"/>
  <c r="V4535" i="1"/>
  <c r="V4033" i="1"/>
  <c r="V6677" i="1"/>
  <c r="V1245" i="1"/>
  <c r="N1260" i="1"/>
  <c r="V912" i="1"/>
  <c r="N5180" i="1"/>
  <c r="V585" i="1"/>
  <c r="N6496" i="1"/>
  <c r="N5919" i="1"/>
  <c r="N5923" i="1" s="1"/>
  <c r="N4761" i="1"/>
  <c r="V1325" i="1"/>
  <c r="V49" i="1"/>
  <c r="L795" i="1"/>
  <c r="V398" i="1"/>
  <c r="V4065" i="1"/>
  <c r="N4773" i="1"/>
  <c r="N6526" i="1"/>
  <c r="V4072" i="1"/>
  <c r="N6226" i="1"/>
  <c r="V5716" i="1"/>
  <c r="V822" i="1"/>
  <c r="N550" i="1"/>
  <c r="N329" i="1"/>
  <c r="V355" i="1"/>
  <c r="L5992" i="1"/>
  <c r="N1948" i="1"/>
  <c r="V5804" i="1"/>
  <c r="V657" i="1"/>
  <c r="V4066" i="1"/>
  <c r="V1864" i="1"/>
  <c r="N1905" i="1"/>
  <c r="N1907" i="1" s="1"/>
  <c r="N4630" i="1"/>
  <c r="V6172" i="1"/>
  <c r="V5529" i="1"/>
  <c r="V4734" i="1"/>
  <c r="V3300" i="1"/>
  <c r="V3294" i="1"/>
  <c r="V3288" i="1"/>
  <c r="V3276" i="1"/>
  <c r="V3264" i="1"/>
  <c r="V3258" i="1"/>
  <c r="V2666" i="1"/>
  <c r="N2660" i="1"/>
  <c r="V2653" i="1"/>
  <c r="N2617" i="1"/>
  <c r="V2611" i="1"/>
  <c r="V2605" i="1"/>
  <c r="N2599" i="1"/>
  <c r="V2591" i="1"/>
  <c r="V2573" i="1"/>
  <c r="V2567" i="1"/>
  <c r="V2531" i="1"/>
  <c r="V2416" i="1"/>
  <c r="N2410" i="1"/>
  <c r="N1087" i="1"/>
  <c r="N1081" i="1"/>
  <c r="V1075" i="1"/>
  <c r="V1051" i="1"/>
  <c r="N228" i="1"/>
  <c r="N222" i="1"/>
  <c r="N210" i="1"/>
  <c r="N204" i="1"/>
  <c r="N186" i="1"/>
  <c r="V162" i="1"/>
  <c r="N3388" i="1"/>
  <c r="V2971" i="1"/>
  <c r="N3053" i="1"/>
  <c r="N4830" i="1"/>
  <c r="V4447" i="1"/>
  <c r="V4850" i="1"/>
  <c r="V4856" i="1"/>
  <c r="N2875" i="1"/>
  <c r="V4158" i="1"/>
  <c r="V4164" i="1"/>
  <c r="N1263" i="1"/>
  <c r="V5814" i="1"/>
  <c r="V2692" i="1"/>
  <c r="N6740" i="1"/>
  <c r="V4613" i="1"/>
  <c r="V2320" i="1"/>
  <c r="V593" i="1"/>
  <c r="N8" i="1"/>
  <c r="V5592" i="1"/>
  <c r="N1720" i="1"/>
  <c r="V720" i="1"/>
  <c r="V6358" i="1"/>
  <c r="N4605" i="1"/>
  <c r="V589" i="1"/>
  <c r="V6426" i="1"/>
  <c r="V4603" i="1"/>
  <c r="N1618" i="1"/>
  <c r="N1620" i="1" s="1"/>
  <c r="V5573" i="1"/>
  <c r="V372" i="1"/>
  <c r="N4873" i="1"/>
  <c r="L6537" i="1"/>
  <c r="N1842" i="1"/>
  <c r="V4676" i="1"/>
  <c r="V991" i="1"/>
  <c r="V1331" i="1"/>
  <c r="V5304" i="1"/>
  <c r="V47" i="1"/>
  <c r="N386" i="1"/>
  <c r="N4775" i="1"/>
  <c r="L4195" i="1"/>
  <c r="N5228" i="1"/>
  <c r="N1226" i="1"/>
  <c r="N5708" i="1"/>
  <c r="V5702" i="1"/>
  <c r="N4155" i="1"/>
  <c r="V3488" i="1"/>
  <c r="V3221" i="1"/>
  <c r="V3161" i="1"/>
  <c r="N3143" i="1"/>
  <c r="V3118" i="1"/>
  <c r="V3106" i="1"/>
  <c r="N3100" i="1"/>
  <c r="N3088" i="1"/>
  <c r="V3076" i="1"/>
  <c r="N3070" i="1"/>
  <c r="N2792" i="1"/>
  <c r="V2786" i="1"/>
  <c r="N2762" i="1"/>
  <c r="N2744" i="1"/>
  <c r="N2738" i="1"/>
  <c r="V2720" i="1"/>
  <c r="N2506" i="1"/>
  <c r="V2494" i="1"/>
  <c r="N2482" i="1"/>
  <c r="V2476" i="1"/>
  <c r="N2458" i="1"/>
  <c r="N2383" i="1"/>
  <c r="N2377" i="1"/>
  <c r="N2371" i="1"/>
  <c r="V2353" i="1"/>
  <c r="V2347" i="1"/>
  <c r="V1117" i="1"/>
  <c r="V1111" i="1"/>
  <c r="N3322" i="1"/>
  <c r="N3334" i="1"/>
  <c r="N3336" i="1"/>
  <c r="V3359" i="1"/>
  <c r="N2946" i="1"/>
  <c r="N2959" i="1"/>
  <c r="N2989" i="1"/>
  <c r="V3001" i="1"/>
  <c r="N3019" i="1"/>
  <c r="N3025" i="1"/>
  <c r="N2797" i="1"/>
  <c r="V2821" i="1"/>
  <c r="V2829" i="1"/>
  <c r="N4469" i="1"/>
  <c r="V4496" i="1"/>
  <c r="V4034" i="1"/>
  <c r="V4292" i="1"/>
  <c r="V5425" i="1"/>
  <c r="N1266" i="1"/>
  <c r="V1261" i="1"/>
  <c r="V3922" i="1"/>
  <c r="N1937" i="1"/>
  <c r="N703" i="1"/>
  <c r="N705" i="1" s="1"/>
  <c r="N1735" i="1"/>
  <c r="V1822" i="1"/>
  <c r="V2027" i="1"/>
  <c r="L6210" i="1"/>
  <c r="N6328" i="1"/>
  <c r="N6330" i="1" s="1"/>
  <c r="V2126" i="1"/>
  <c r="N4901" i="1"/>
  <c r="N1633" i="1"/>
  <c r="V2170" i="1"/>
  <c r="V2242" i="1"/>
  <c r="N5769" i="1"/>
  <c r="N5078" i="1"/>
  <c r="N5081" i="1" s="1"/>
  <c r="V267" i="1"/>
  <c r="N723" i="1"/>
  <c r="N101" i="1"/>
  <c r="N5107" i="1"/>
  <c r="N735" i="1"/>
  <c r="N737" i="1" s="1"/>
  <c r="V2598" i="1"/>
  <c r="V4094" i="1"/>
  <c r="V496" i="1"/>
  <c r="V5038" i="1"/>
  <c r="N5745" i="1"/>
  <c r="L6637" i="1"/>
  <c r="N62" i="1"/>
  <c r="N67" i="1" s="1"/>
  <c r="N1537" i="1"/>
  <c r="V1644" i="1"/>
  <c r="V3775" i="1"/>
  <c r="N503" i="1"/>
  <c r="V5817" i="1"/>
  <c r="V1625" i="1"/>
  <c r="N4868" i="1"/>
  <c r="N1158" i="1"/>
  <c r="N1160" i="1" s="1"/>
  <c r="N5606" i="1"/>
  <c r="N28" i="1"/>
  <c r="N30" i="1" s="1"/>
  <c r="V6767" i="1"/>
  <c r="N4201" i="1"/>
  <c r="N5474" i="1"/>
  <c r="V4740" i="1"/>
  <c r="N6260" i="1"/>
  <c r="N6153" i="1"/>
  <c r="N5540" i="1"/>
  <c r="V5528" i="1"/>
  <c r="V4733" i="1"/>
  <c r="N3275" i="1"/>
  <c r="N3269" i="1"/>
  <c r="V3263" i="1"/>
  <c r="N3257" i="1"/>
  <c r="V3239" i="1"/>
  <c r="N3233" i="1"/>
  <c r="V3227" i="1"/>
  <c r="V2671" i="1"/>
  <c r="V2665" i="1"/>
  <c r="V2646" i="1"/>
  <c r="N2640" i="1"/>
  <c r="N2628" i="1"/>
  <c r="N2622" i="1"/>
  <c r="N2597" i="1"/>
  <c r="N2578" i="1"/>
  <c r="N2554" i="1"/>
  <c r="V2548" i="1"/>
  <c r="V2512" i="1"/>
  <c r="V2409" i="1"/>
  <c r="V1129" i="1"/>
  <c r="V1086" i="1"/>
  <c r="N1056" i="1"/>
  <c r="V1014" i="1"/>
  <c r="V227" i="1"/>
  <c r="V215" i="1"/>
  <c r="V197" i="1"/>
  <c r="N191" i="1"/>
  <c r="N179" i="1"/>
  <c r="N173" i="1"/>
  <c r="V161" i="1"/>
  <c r="V3380" i="1"/>
  <c r="V4843" i="1"/>
  <c r="V4879" i="1"/>
  <c r="V4165" i="1"/>
  <c r="V4177" i="1"/>
  <c r="V6674" i="1"/>
  <c r="V5032" i="1"/>
  <c r="N5628" i="1"/>
  <c r="N6368" i="1"/>
  <c r="N6370" i="1" s="1"/>
  <c r="N5799" i="1"/>
  <c r="V1506" i="1"/>
  <c r="N5802" i="1"/>
  <c r="N2159" i="1"/>
  <c r="N2019" i="1"/>
  <c r="N617" i="1"/>
  <c r="V5583" i="1"/>
  <c r="V2137" i="1"/>
  <c r="V5844" i="1"/>
  <c r="V842" i="1"/>
  <c r="V476" i="1"/>
  <c r="V628" i="1"/>
  <c r="N1923" i="1"/>
  <c r="L1717" i="1"/>
  <c r="V1863" i="1"/>
  <c r="V6478" i="1"/>
  <c r="N5827" i="1"/>
  <c r="N278" i="1"/>
  <c r="V2220" i="1"/>
  <c r="N361" i="1"/>
  <c r="V6271" i="1"/>
  <c r="V4871" i="1"/>
  <c r="N6485" i="1"/>
  <c r="N6551" i="1"/>
  <c r="L1589" i="1"/>
  <c r="V5594" i="1"/>
  <c r="V1336" i="1"/>
  <c r="V4048" i="1"/>
  <c r="V6195" i="1"/>
  <c r="N6183" i="1"/>
  <c r="V6177" i="1"/>
  <c r="V6165" i="1"/>
  <c r="V6159" i="1"/>
  <c r="V6141" i="1"/>
  <c r="N6134" i="1"/>
  <c r="N5522" i="1"/>
  <c r="N4751" i="1"/>
  <c r="V4739" i="1"/>
  <c r="V5707" i="1"/>
  <c r="N5546" i="1"/>
  <c r="N3627" i="1"/>
  <c r="V3597" i="1"/>
  <c r="V3573" i="1"/>
  <c r="N3543" i="1"/>
  <c r="V3537" i="1"/>
  <c r="V3446" i="1"/>
  <c r="N3427" i="1"/>
  <c r="V3421" i="1"/>
  <c r="V3409" i="1"/>
  <c r="V3202" i="1"/>
  <c r="V3196" i="1"/>
  <c r="V3190" i="1"/>
  <c r="N3178" i="1"/>
  <c r="V3172" i="1"/>
  <c r="N3123" i="1"/>
  <c r="V3111" i="1"/>
  <c r="N3105" i="1"/>
  <c r="N2767" i="1"/>
  <c r="V2749" i="1"/>
  <c r="N2737" i="1"/>
  <c r="V2725" i="1"/>
  <c r="N2719" i="1"/>
  <c r="N2499" i="1"/>
  <c r="V2487" i="1"/>
  <c r="V2463" i="1"/>
  <c r="N2457" i="1"/>
  <c r="N2382" i="1"/>
  <c r="V2376" i="1"/>
  <c r="V2370" i="1"/>
  <c r="V2364" i="1"/>
  <c r="N2358" i="1"/>
  <c r="N2340" i="1"/>
  <c r="V2334" i="1"/>
  <c r="V1116" i="1"/>
  <c r="V1104" i="1"/>
  <c r="N406" i="1"/>
  <c r="V3317" i="1"/>
  <c r="N3323" i="1"/>
  <c r="V3356" i="1"/>
  <c r="V3371" i="1"/>
  <c r="V5580" i="1"/>
  <c r="V3026" i="1"/>
  <c r="V4831" i="1"/>
  <c r="V4878" i="1"/>
  <c r="N2798" i="1"/>
  <c r="V2840" i="1"/>
  <c r="N2858" i="1"/>
  <c r="N2865" i="1"/>
  <c r="N2871" i="1"/>
  <c r="N4464" i="1"/>
  <c r="N4473" i="1"/>
  <c r="N4477" i="1"/>
  <c r="V4501" i="1"/>
  <c r="N4525" i="1"/>
  <c r="N4554" i="1"/>
  <c r="N4569" i="1"/>
  <c r="N4576" i="1"/>
  <c r="N4286" i="1"/>
  <c r="V1264" i="1"/>
  <c r="N2015" i="1"/>
  <c r="V5591" i="1"/>
  <c r="V6505" i="1"/>
  <c r="N5382" i="1"/>
  <c r="V4970" i="1"/>
  <c r="N2109" i="1"/>
  <c r="V6656" i="1"/>
  <c r="V4082" i="1"/>
  <c r="V5805" i="1"/>
  <c r="V324" i="1"/>
  <c r="V4805" i="1"/>
  <c r="V643" i="1"/>
  <c r="V5837" i="1"/>
  <c r="N5387" i="1"/>
  <c r="N3667" i="1"/>
  <c r="V2700" i="1"/>
  <c r="V4257" i="1"/>
  <c r="N6655" i="1"/>
  <c r="N5055" i="1"/>
  <c r="N6746" i="1"/>
  <c r="V1573" i="1"/>
  <c r="V4978" i="1"/>
  <c r="V2103" i="1"/>
  <c r="N6038" i="1"/>
  <c r="N2158" i="1"/>
  <c r="V88" i="1"/>
  <c r="N5755" i="1"/>
  <c r="N5758" i="1" s="1"/>
  <c r="V1343" i="1"/>
  <c r="N4881" i="1"/>
  <c r="V5668" i="1"/>
  <c r="V4228" i="1"/>
  <c r="N5036" i="1"/>
  <c r="N4930" i="1"/>
  <c r="N1932" i="1"/>
  <c r="N2243" i="1"/>
  <c r="L2255" i="1"/>
  <c r="V6618" i="1"/>
  <c r="N770" i="1"/>
  <c r="N6744" i="1"/>
  <c r="N4049" i="1"/>
  <c r="N5009" i="1"/>
  <c r="V722" i="1"/>
  <c r="V1924" i="1"/>
  <c r="V6176" i="1"/>
  <c r="V6164" i="1"/>
  <c r="V6146" i="1"/>
  <c r="V5539" i="1"/>
  <c r="V4732" i="1"/>
  <c r="N3304" i="1"/>
  <c r="V3292" i="1"/>
  <c r="V3286" i="1"/>
  <c r="V3280" i="1"/>
  <c r="V3274" i="1"/>
  <c r="V3268" i="1"/>
  <c r="N3244" i="1"/>
  <c r="N2682" i="1"/>
  <c r="N2664" i="1"/>
  <c r="N2657" i="1"/>
  <c r="V2651" i="1"/>
  <c r="V2645" i="1"/>
  <c r="N2639" i="1"/>
  <c r="V2633" i="1"/>
  <c r="N2627" i="1"/>
  <c r="N2615" i="1"/>
  <c r="V2583" i="1"/>
  <c r="V2547" i="1"/>
  <c r="V2535" i="1"/>
  <c r="V2529" i="1"/>
  <c r="V2517" i="1"/>
  <c r="V2511" i="1"/>
  <c r="N2432" i="1"/>
  <c r="N2426" i="1"/>
  <c r="V1128" i="1"/>
  <c r="V1079" i="1"/>
  <c r="V1031" i="1"/>
  <c r="V1013" i="1"/>
  <c r="N1007" i="1"/>
  <c r="N214" i="1"/>
  <c r="V208" i="1"/>
  <c r="N202" i="1"/>
  <c r="V190" i="1"/>
  <c r="N184" i="1"/>
  <c r="V160" i="1"/>
  <c r="V3385" i="1"/>
  <c r="N3049" i="1"/>
  <c r="V4449" i="1"/>
  <c r="N4460" i="1"/>
  <c r="V4852" i="1"/>
  <c r="N4858" i="1"/>
  <c r="V4880" i="1"/>
  <c r="V4866" i="1"/>
  <c r="N4280" i="1"/>
  <c r="N4166" i="1"/>
  <c r="N4412" i="1"/>
  <c r="N6685" i="1"/>
  <c r="V6686" i="1"/>
  <c r="V4619" i="1"/>
  <c r="V6519" i="1"/>
  <c r="V5029" i="1"/>
  <c r="V317" i="1"/>
  <c r="V6509" i="1"/>
  <c r="V4086" i="1"/>
  <c r="V4675" i="1"/>
  <c r="V3061" i="1"/>
  <c r="N744" i="1"/>
  <c r="L1529" i="1"/>
  <c r="N3968" i="1"/>
  <c r="N1703" i="1"/>
  <c r="N1405" i="1"/>
  <c r="V5164" i="1"/>
  <c r="V1796" i="1"/>
  <c r="N4382" i="1"/>
  <c r="N5939" i="1"/>
  <c r="N4312" i="1"/>
  <c r="V3372" i="1"/>
  <c r="N2138" i="1"/>
  <c r="V2006" i="1"/>
  <c r="N890" i="1"/>
  <c r="V5006" i="1"/>
  <c r="N3939" i="1"/>
  <c r="V6342" i="1"/>
  <c r="N2139" i="1"/>
  <c r="N3977" i="1"/>
  <c r="N5237" i="1"/>
  <c r="N5587" i="1"/>
  <c r="V4631" i="1"/>
  <c r="N6202" i="1"/>
  <c r="V6166" i="1"/>
  <c r="V6142" i="1"/>
  <c r="V5535" i="1"/>
  <c r="V4720" i="1"/>
  <c r="V6158" i="1"/>
  <c r="N5533" i="1"/>
  <c r="N5527" i="1"/>
  <c r="V5484" i="1"/>
  <c r="V5478" i="1"/>
  <c r="N4744" i="1"/>
  <c r="V4724" i="1"/>
  <c r="V5706" i="1"/>
  <c r="V5551" i="1"/>
  <c r="V5545" i="1"/>
  <c r="V3466" i="1"/>
  <c r="N3420" i="1"/>
  <c r="N3219" i="1"/>
  <c r="V3177" i="1"/>
  <c r="V3159" i="1"/>
  <c r="V3153" i="1"/>
  <c r="V3135" i="1"/>
  <c r="V3116" i="1"/>
  <c r="V3110" i="1"/>
  <c r="V3092" i="1"/>
  <c r="V3074" i="1"/>
  <c r="N3068" i="1"/>
  <c r="N2784" i="1"/>
  <c r="V2772" i="1"/>
  <c r="V2766" i="1"/>
  <c r="V2760" i="1"/>
  <c r="N2742" i="1"/>
  <c r="V2504" i="1"/>
  <c r="V2498" i="1"/>
  <c r="N2492" i="1"/>
  <c r="V2462" i="1"/>
  <c r="V2393" i="1"/>
  <c r="N2369" i="1"/>
  <c r="N2363" i="1"/>
  <c r="N2357" i="1"/>
  <c r="V1115" i="1"/>
  <c r="V1109" i="1"/>
  <c r="V1103" i="1"/>
  <c r="U405" i="1"/>
  <c r="N3318" i="1"/>
  <c r="V3324" i="1"/>
  <c r="V3330" i="1"/>
  <c r="V3348" i="1"/>
  <c r="N3351" i="1"/>
  <c r="N2895" i="1"/>
  <c r="V2919" i="1"/>
  <c r="V2934" i="1"/>
  <c r="N2942" i="1"/>
  <c r="N2961" i="1"/>
  <c r="V2997" i="1"/>
  <c r="N3021" i="1"/>
  <c r="V3027" i="1"/>
  <c r="N2799" i="1"/>
  <c r="N2812" i="1"/>
  <c r="N2825" i="1"/>
  <c r="V2823" i="1"/>
  <c r="V2831" i="1"/>
  <c r="V4478" i="1"/>
  <c r="N4517" i="1"/>
  <c r="V4570" i="1"/>
  <c r="N4036" i="1"/>
  <c r="N4287" i="1"/>
  <c r="N6676" i="1"/>
  <c r="V1248" i="1"/>
  <c r="V1255" i="1"/>
  <c r="V421" i="1"/>
  <c r="V5943" i="1"/>
  <c r="N3714" i="1"/>
  <c r="V3919" i="1"/>
  <c r="V610" i="1"/>
  <c r="L2154" i="1"/>
  <c r="V5473" i="1"/>
  <c r="V2315" i="1"/>
  <c r="V6057" i="1"/>
  <c r="V5110" i="1"/>
  <c r="N5807" i="1"/>
  <c r="N4220" i="1"/>
  <c r="V4401" i="1"/>
  <c r="N6375" i="1"/>
  <c r="V235" i="1"/>
  <c r="V3964" i="1"/>
  <c r="V6130" i="1"/>
  <c r="N5841" i="1"/>
  <c r="N5184" i="1"/>
  <c r="N581" i="1"/>
  <c r="V4919" i="1"/>
  <c r="L5220" i="1"/>
  <c r="V4973" i="1"/>
  <c r="N3391" i="1"/>
  <c r="N5383" i="1"/>
  <c r="V956" i="1"/>
  <c r="V5575" i="1"/>
  <c r="N3918" i="1"/>
  <c r="V1655" i="1"/>
  <c r="V4148" i="1"/>
  <c r="V505" i="1"/>
  <c r="V4776" i="1"/>
  <c r="V5186" i="1"/>
  <c r="V4060" i="1"/>
  <c r="N2273" i="1"/>
  <c r="N2319" i="1"/>
  <c r="N4670" i="1"/>
  <c r="N2133" i="1"/>
  <c r="N4588" i="1"/>
  <c r="V4250" i="1"/>
  <c r="N1505" i="1"/>
  <c r="N1309" i="1"/>
  <c r="N1503" i="1"/>
  <c r="N5067" i="1"/>
  <c r="V3701" i="1"/>
  <c r="V5560" i="1"/>
  <c r="V6199" i="1"/>
  <c r="V6175" i="1"/>
  <c r="N6151" i="1"/>
  <c r="V6145" i="1"/>
  <c r="N6132" i="1"/>
  <c r="V5538" i="1"/>
  <c r="N3315" i="1"/>
  <c r="V3309" i="1"/>
  <c r="V3303" i="1"/>
  <c r="N3291" i="1"/>
  <c r="N3285" i="1"/>
  <c r="N3279" i="1"/>
  <c r="V3273" i="1"/>
  <c r="N3261" i="1"/>
  <c r="N3243" i="1"/>
  <c r="N3231" i="1"/>
  <c r="V2675" i="1"/>
  <c r="N2663" i="1"/>
  <c r="N2656" i="1"/>
  <c r="N2650" i="1"/>
  <c r="V2644" i="1"/>
  <c r="V2638" i="1"/>
  <c r="N2632" i="1"/>
  <c r="N2626" i="1"/>
  <c r="N2602" i="1"/>
  <c r="V2564" i="1"/>
  <c r="V2558" i="1"/>
  <c r="N2552" i="1"/>
  <c r="N2546" i="1"/>
  <c r="V2540" i="1"/>
  <c r="N2528" i="1"/>
  <c r="N2522" i="1"/>
  <c r="V2510" i="1"/>
  <c r="N1133" i="1"/>
  <c r="N1078" i="1"/>
  <c r="V1072" i="1"/>
  <c r="N219" i="1"/>
  <c r="V201" i="1"/>
  <c r="V177" i="1"/>
  <c r="V159" i="1"/>
  <c r="V3376" i="1"/>
  <c r="V3034" i="1"/>
  <c r="N4456" i="1"/>
  <c r="V4853" i="1"/>
  <c r="V4161" i="1"/>
  <c r="V4173" i="1"/>
  <c r="V6682" i="1"/>
  <c r="L973" i="1"/>
  <c r="L4956" i="1"/>
  <c r="V4085" i="1"/>
  <c r="L1204" i="1"/>
  <c r="V756" i="1"/>
  <c r="N52" i="1"/>
  <c r="V5108" i="1"/>
  <c r="V2188" i="1"/>
  <c r="V2265" i="1"/>
  <c r="V2007" i="1"/>
  <c r="V4823" i="1"/>
  <c r="V840" i="1"/>
  <c r="N5345" i="1"/>
  <c r="N3959" i="1"/>
  <c r="N3779" i="1"/>
  <c r="L433" i="1"/>
  <c r="N981" i="1"/>
  <c r="N983" i="1" s="1"/>
  <c r="V5650" i="1"/>
  <c r="L5729" i="1"/>
  <c r="N284" i="1"/>
  <c r="N364" i="1"/>
  <c r="N494" i="1"/>
  <c r="V3742" i="1"/>
  <c r="N6567" i="1"/>
  <c r="N845" i="1"/>
  <c r="N1646" i="1"/>
  <c r="N5340" i="1"/>
  <c r="V6379" i="1"/>
  <c r="N4795" i="1"/>
  <c r="V6148" i="1"/>
  <c r="V5711" i="1"/>
  <c r="V5705" i="1"/>
  <c r="V5544" i="1"/>
  <c r="V3970" i="1"/>
  <c r="V3625" i="1"/>
  <c r="V3595" i="1"/>
  <c r="N3541" i="1"/>
  <c r="N3528" i="1"/>
  <c r="V3503" i="1"/>
  <c r="V3491" i="1"/>
  <c r="N3457" i="1"/>
  <c r="V3444" i="1"/>
  <c r="V3437" i="1"/>
  <c r="V3431" i="1"/>
  <c r="V3425" i="1"/>
  <c r="V3194" i="1"/>
  <c r="N3182" i="1"/>
  <c r="N3176" i="1"/>
  <c r="V3170" i="1"/>
  <c r="N3164" i="1"/>
  <c r="V3146" i="1"/>
  <c r="V3134" i="1"/>
  <c r="V3128" i="1"/>
  <c r="V3097" i="1"/>
  <c r="N3085" i="1"/>
  <c r="N3079" i="1"/>
  <c r="V3073" i="1"/>
  <c r="V3067" i="1"/>
  <c r="V2771" i="1"/>
  <c r="V2503" i="1"/>
  <c r="V2485" i="1"/>
  <c r="V2479" i="1"/>
  <c r="V2473" i="1"/>
  <c r="V2467" i="1"/>
  <c r="N2461" i="1"/>
  <c r="V2392" i="1"/>
  <c r="N2374" i="1"/>
  <c r="V2368" i="1"/>
  <c r="N2338" i="1"/>
  <c r="V1371" i="1"/>
  <c r="V1114" i="1"/>
  <c r="V1108" i="1"/>
  <c r="N615" i="1"/>
  <c r="N3331" i="1"/>
  <c r="N3341" i="1"/>
  <c r="N2880" i="1"/>
  <c r="V2943" i="1"/>
  <c r="N3016" i="1"/>
  <c r="N3022" i="1"/>
  <c r="V2811" i="1"/>
  <c r="V2832" i="1"/>
  <c r="V2842" i="1"/>
  <c r="N2860" i="1"/>
  <c r="N2873" i="1"/>
  <c r="N4479" i="1"/>
  <c r="N4545" i="1"/>
  <c r="V4581" i="1"/>
  <c r="V4288" i="1"/>
  <c r="N6680" i="1"/>
  <c r="N6681" i="1"/>
  <c r="V1253" i="1"/>
  <c r="V2226" i="1"/>
  <c r="N2223" i="1"/>
  <c r="L6670" i="1"/>
  <c r="N5515" i="1"/>
  <c r="N5517" i="1" s="1"/>
  <c r="N1741" i="1"/>
  <c r="V116" i="1"/>
  <c r="V1435" i="1"/>
  <c r="V2205" i="1"/>
  <c r="N15" i="1"/>
  <c r="V3921" i="1"/>
  <c r="N100" i="1"/>
  <c r="V4804" i="1"/>
  <c r="V4462" i="1"/>
  <c r="V5048" i="1"/>
  <c r="V21" i="1"/>
  <c r="N1509" i="1"/>
  <c r="N4660" i="1"/>
  <c r="N5960" i="1"/>
  <c r="N3853" i="1"/>
  <c r="N5900" i="1"/>
  <c r="N5904" i="1" s="1"/>
  <c r="V4697" i="1"/>
  <c r="N5701" i="1"/>
  <c r="N697" i="1"/>
  <c r="N125" i="1"/>
  <c r="N497" i="1"/>
  <c r="V5618" i="1"/>
  <c r="N375" i="1"/>
  <c r="N322" i="1"/>
  <c r="V357" i="1"/>
  <c r="V7" i="1"/>
  <c r="V5307" i="1"/>
  <c r="V5041" i="1"/>
  <c r="V129" i="1"/>
  <c r="V1507" i="1"/>
  <c r="N1837" i="1"/>
  <c r="N1839" i="1" s="1"/>
  <c r="V4730" i="1"/>
  <c r="N4979" i="1"/>
  <c r="N4998" i="1"/>
  <c r="N5980" i="1"/>
  <c r="N1635" i="1"/>
  <c r="N3966" i="1"/>
  <c r="N547" i="1"/>
  <c r="N6450" i="1"/>
  <c r="V6154" i="1"/>
  <c r="V5477" i="1"/>
  <c r="V4723" i="1"/>
  <c r="N6192" i="1"/>
  <c r="V5476" i="1"/>
  <c r="N3314" i="1"/>
  <c r="V3302" i="1"/>
  <c r="V3296" i="1"/>
  <c r="V3284" i="1"/>
  <c r="V3266" i="1"/>
  <c r="V3236" i="1"/>
  <c r="N2680" i="1"/>
  <c r="N2674" i="1"/>
  <c r="V2655" i="1"/>
  <c r="V2631" i="1"/>
  <c r="V2625" i="1"/>
  <c r="V2613" i="1"/>
  <c r="N2607" i="1"/>
  <c r="N2601" i="1"/>
  <c r="N2581" i="1"/>
  <c r="N2575" i="1"/>
  <c r="N2557" i="1"/>
  <c r="N2551" i="1"/>
  <c r="V2521" i="1"/>
  <c r="N2515" i="1"/>
  <c r="V2418" i="1"/>
  <c r="V1077" i="1"/>
  <c r="V1035" i="1"/>
  <c r="V1017" i="1"/>
  <c r="V1011" i="1"/>
  <c r="N224" i="1"/>
  <c r="N218" i="1"/>
  <c r="V212" i="1"/>
  <c r="N206" i="1"/>
  <c r="N194" i="1"/>
  <c r="V176" i="1"/>
  <c r="V170" i="1"/>
  <c r="V152" i="1"/>
  <c r="V2985" i="1"/>
  <c r="V3044" i="1"/>
  <c r="N4457" i="1"/>
  <c r="V4854" i="1"/>
  <c r="V4860" i="1"/>
  <c r="V4168" i="1"/>
  <c r="V4174" i="1"/>
  <c r="N1267" i="1"/>
  <c r="V2219" i="1"/>
  <c r="V2294" i="1"/>
  <c r="N5599" i="1"/>
  <c r="V4133" i="1"/>
  <c r="V5859" i="1"/>
  <c r="V5881" i="1"/>
  <c r="V5643" i="1"/>
  <c r="V3746" i="1"/>
  <c r="N2695" i="1"/>
  <c r="N3874" i="1"/>
  <c r="N3878" i="1" s="1"/>
  <c r="V5794" i="1"/>
  <c r="N1704" i="1"/>
  <c r="N5774" i="1"/>
  <c r="N2106" i="1"/>
  <c r="N3843" i="1"/>
  <c r="L1430" i="1"/>
  <c r="N5878" i="1"/>
  <c r="N39" i="1"/>
  <c r="V5159" i="1"/>
  <c r="V3496" i="1"/>
  <c r="V4807" i="1"/>
  <c r="V1803" i="1"/>
  <c r="V1817" i="1"/>
  <c r="N5786" i="1"/>
  <c r="V1891" i="1"/>
  <c r="V4131" i="1"/>
  <c r="V3745" i="1"/>
  <c r="N6702" i="1"/>
  <c r="N6707" i="1" s="1"/>
  <c r="L451" i="1"/>
  <c r="V4104" i="1"/>
  <c r="N368" i="1"/>
  <c r="V1664" i="1"/>
  <c r="V5666" i="1"/>
  <c r="N2217" i="1"/>
  <c r="V6495" i="1"/>
  <c r="N1663" i="1"/>
  <c r="N326" i="1"/>
  <c r="L4345" i="1"/>
  <c r="N1502" i="1"/>
  <c r="N4136" i="1"/>
  <c r="N2072" i="1"/>
  <c r="N1971" i="1"/>
  <c r="V2071" i="1"/>
  <c r="V5646" i="1"/>
  <c r="V6507" i="1"/>
  <c r="N5798" i="1"/>
  <c r="N6361" i="1"/>
  <c r="N6200" i="1"/>
  <c r="V6193" i="1"/>
  <c r="V6139" i="1"/>
  <c r="V5526" i="1"/>
  <c r="V6263" i="1"/>
  <c r="V6198" i="1"/>
  <c r="N6156" i="1"/>
  <c r="V6150" i="1"/>
  <c r="V6138" i="1"/>
  <c r="N4748" i="1"/>
  <c r="V4742" i="1"/>
  <c r="N4736" i="1"/>
  <c r="V4729" i="1"/>
  <c r="N5710" i="1"/>
  <c r="V5555" i="1"/>
  <c r="N3558" i="1"/>
  <c r="N3515" i="1"/>
  <c r="N3499" i="1"/>
  <c r="V3430" i="1"/>
  <c r="V3412" i="1"/>
  <c r="V3151" i="1"/>
  <c r="N3139" i="1"/>
  <c r="V3120" i="1"/>
  <c r="N3114" i="1"/>
  <c r="V3108" i="1"/>
  <c r="V3102" i="1"/>
  <c r="V3096" i="1"/>
  <c r="N3090" i="1"/>
  <c r="V3078" i="1"/>
  <c r="V3066" i="1"/>
  <c r="V2776" i="1"/>
  <c r="V2508" i="1"/>
  <c r="V2484" i="1"/>
  <c r="N2478" i="1"/>
  <c r="N2460" i="1"/>
  <c r="V2454" i="1"/>
  <c r="V2391" i="1"/>
  <c r="V2373" i="1"/>
  <c r="V2367" i="1"/>
  <c r="V2343" i="1"/>
  <c r="V2337" i="1"/>
  <c r="V1107" i="1"/>
  <c r="N3320" i="1"/>
  <c r="N3326" i="1"/>
  <c r="N3344" i="1"/>
  <c r="N3357" i="1"/>
  <c r="N3362" i="1"/>
  <c r="N2930" i="1"/>
  <c r="V2957" i="1"/>
  <c r="N2993" i="1"/>
  <c r="N3010" i="1"/>
  <c r="N3017" i="1"/>
  <c r="V3029" i="1"/>
  <c r="N4834" i="1"/>
  <c r="V2801" i="1"/>
  <c r="N2833" i="1"/>
  <c r="V2827" i="1"/>
  <c r="N4467" i="1"/>
  <c r="V4510" i="1"/>
  <c r="N4572" i="1"/>
  <c r="N6684" i="1"/>
  <c r="N2227" i="1"/>
  <c r="N4140" i="1"/>
  <c r="V4617" i="1"/>
  <c r="X23" i="1"/>
  <c r="V1598" i="1"/>
  <c r="V1866" i="1"/>
  <c r="N2021" i="1"/>
  <c r="V5201" i="1"/>
  <c r="N892" i="1"/>
  <c r="L6220" i="1"/>
  <c r="N4665" i="1"/>
  <c r="N5200" i="1"/>
  <c r="L6021" i="1"/>
  <c r="V2176" i="1"/>
  <c r="L1966" i="1"/>
  <c r="V6308" i="1"/>
  <c r="V1532" i="1"/>
  <c r="N2023" i="1"/>
  <c r="V4770" i="1"/>
  <c r="V2230" i="1"/>
  <c r="V5619" i="1"/>
  <c r="N22" i="1"/>
  <c r="L5022" i="1"/>
  <c r="N6383" i="1"/>
  <c r="V5571" i="1"/>
  <c r="V374" i="1"/>
  <c r="N3938" i="1"/>
  <c r="V104" i="1"/>
  <c r="V3793" i="1"/>
  <c r="N6297" i="1"/>
  <c r="V4185" i="1"/>
  <c r="N3796" i="1"/>
  <c r="N1535" i="1"/>
  <c r="V4981" i="1"/>
  <c r="L393" i="1"/>
  <c r="V680" i="1"/>
  <c r="V5978" i="1"/>
  <c r="V326" i="1"/>
  <c r="V4342" i="1"/>
  <c r="N4342" i="1"/>
  <c r="N4345" i="1" s="1"/>
  <c r="N1565" i="1"/>
  <c r="V4222" i="1"/>
  <c r="N4669" i="1"/>
  <c r="V5946" i="1"/>
  <c r="N3775" i="1"/>
  <c r="V5561" i="1"/>
  <c r="N5817" i="1"/>
  <c r="V6376" i="1"/>
  <c r="N3833" i="1"/>
  <c r="N3836" i="1" s="1"/>
  <c r="V6027" i="1"/>
  <c r="V6773" i="1"/>
  <c r="N6349" i="1"/>
  <c r="N1254" i="1"/>
  <c r="V5191" i="1"/>
  <c r="V48" i="1"/>
  <c r="N1654" i="1"/>
  <c r="V4169" i="1"/>
  <c r="L1460" i="1"/>
  <c r="V509" i="1"/>
  <c r="N4965" i="1"/>
  <c r="N4967" i="1" s="1"/>
  <c r="N4945" i="1"/>
  <c r="V1223" i="1"/>
  <c r="L1228" i="1"/>
  <c r="L5982" i="1"/>
  <c r="V4198" i="1"/>
  <c r="V1236" i="1"/>
  <c r="L3830" i="1"/>
  <c r="V3343" i="1"/>
  <c r="V6630" i="1"/>
  <c r="N4227" i="1"/>
  <c r="N1849" i="1"/>
  <c r="N6271" i="1"/>
  <c r="N4407" i="1"/>
  <c r="K835" i="1"/>
  <c r="V6389" i="1"/>
  <c r="V4407" i="1"/>
  <c r="N4104" i="1"/>
  <c r="N6389" i="1"/>
  <c r="N6618" i="1"/>
  <c r="V2252" i="1"/>
  <c r="V2261" i="1"/>
  <c r="N5666" i="1"/>
  <c r="N6318" i="1"/>
  <c r="N6344" i="1"/>
  <c r="N5788" i="1"/>
  <c r="V6719" i="1"/>
  <c r="V3827" i="1"/>
  <c r="L5904" i="1"/>
  <c r="N6532" i="1"/>
  <c r="N6537" i="1" s="1"/>
  <c r="V1585" i="1"/>
  <c r="V6485" i="1"/>
  <c r="N4355" i="1"/>
  <c r="L6554" i="1"/>
  <c r="N6309" i="1"/>
  <c r="V4930" i="1"/>
  <c r="V6309" i="1"/>
  <c r="V6532" i="1"/>
  <c r="V5471" i="1"/>
  <c r="N5679" i="1"/>
  <c r="N3395" i="1"/>
  <c r="V3395" i="1"/>
  <c r="N5668" i="1"/>
  <c r="V249" i="1"/>
  <c r="N5471" i="1"/>
  <c r="L251" i="1"/>
  <c r="N6283" i="1"/>
  <c r="N6285" i="1" s="1"/>
  <c r="L6285" i="1"/>
  <c r="L6330" i="1"/>
  <c r="N1268" i="1"/>
  <c r="N5332" i="1"/>
  <c r="N5336" i="1" s="1"/>
  <c r="V5900" i="1"/>
  <c r="V4660" i="1"/>
  <c r="N1257" i="1"/>
  <c r="N2213" i="1"/>
  <c r="N1934" i="1"/>
  <c r="V6373" i="1"/>
  <c r="N4971" i="1"/>
  <c r="V56" i="1"/>
  <c r="V5732" i="1"/>
  <c r="N6483" i="1"/>
  <c r="V6344" i="1"/>
  <c r="V4912" i="1"/>
  <c r="V5816" i="1"/>
  <c r="V4097" i="1"/>
  <c r="N4097" i="1"/>
  <c r="N4912" i="1"/>
  <c r="N5810" i="1"/>
  <c r="V1250" i="1"/>
  <c r="N1262" i="1"/>
  <c r="V1262" i="1"/>
  <c r="N1250" i="1"/>
  <c r="N1261" i="1"/>
  <c r="V4364" i="1"/>
  <c r="V2139" i="1"/>
  <c r="L2193" i="1"/>
  <c r="N48" i="1"/>
  <c r="L4367" i="1"/>
  <c r="L6764" i="1"/>
  <c r="N6762" i="1"/>
  <c r="N6764" i="1" s="1"/>
  <c r="K6454" i="1"/>
  <c r="K4254" i="1"/>
  <c r="V6228" i="1"/>
  <c r="K2143" i="1"/>
  <c r="N2700" i="1"/>
  <c r="V4475" i="1"/>
  <c r="V4621" i="1"/>
  <c r="V5107" i="1"/>
  <c r="N4277" i="1"/>
  <c r="N5284" i="1"/>
  <c r="L5998" i="1"/>
  <c r="N5996" i="1"/>
  <c r="N116" i="1"/>
  <c r="N119" i="1" s="1"/>
  <c r="N6228" i="1"/>
  <c r="V1268" i="1"/>
  <c r="L1987" i="1"/>
  <c r="V3918" i="1"/>
  <c r="N6719" i="1"/>
  <c r="H3655" i="1"/>
  <c r="V5996" i="1"/>
  <c r="K6092" i="1"/>
  <c r="K700" i="1"/>
  <c r="N5945" i="1"/>
  <c r="N2214" i="1"/>
  <c r="H3941" i="1"/>
  <c r="N5217" i="1"/>
  <c r="N5220" i="1" s="1"/>
  <c r="N398" i="1"/>
  <c r="V2214" i="1"/>
  <c r="V5945" i="1"/>
  <c r="V5960" i="1"/>
  <c r="N5038" i="1"/>
  <c r="N4148" i="1"/>
  <c r="N4152" i="1" s="1"/>
  <c r="L4699" i="1"/>
  <c r="N4697" i="1"/>
  <c r="N4699" i="1" s="1"/>
  <c r="V5332" i="1"/>
  <c r="N1331" i="1"/>
  <c r="N2658" i="1"/>
  <c r="V1722" i="1"/>
  <c r="V2658" i="1"/>
  <c r="L5336" i="1"/>
  <c r="N1722" i="1"/>
  <c r="N2176" i="1"/>
  <c r="N4065" i="1"/>
  <c r="V3853" i="1"/>
  <c r="L1762" i="1"/>
  <c r="V1212" i="1"/>
  <c r="N4504" i="1"/>
  <c r="V6488" i="1"/>
  <c r="V5467" i="1"/>
  <c r="N5397" i="1"/>
  <c r="N1969" i="1"/>
  <c r="N4848" i="1"/>
  <c r="N2235" i="1"/>
  <c r="V4926" i="1"/>
  <c r="V6441" i="1"/>
  <c r="V4252" i="1"/>
  <c r="N5645" i="1"/>
  <c r="N4252" i="1"/>
  <c r="V5645" i="1"/>
  <c r="V5383" i="1"/>
  <c r="V322" i="1"/>
  <c r="V3663" i="1"/>
  <c r="N2078" i="1"/>
  <c r="N2086" i="1" s="1"/>
  <c r="V276" i="1"/>
  <c r="N276" i="1"/>
  <c r="V4437" i="1"/>
  <c r="N4437" i="1"/>
  <c r="N4439" i="1" s="1"/>
  <c r="L4439" i="1"/>
  <c r="V5671" i="1"/>
  <c r="N5671" i="1"/>
  <c r="N333" i="1"/>
  <c r="V5171" i="1"/>
  <c r="V5078" i="1"/>
  <c r="N1803" i="1"/>
  <c r="L269" i="1"/>
  <c r="V333" i="1"/>
  <c r="L5081" i="1"/>
  <c r="N1289" i="1"/>
  <c r="N267" i="1"/>
  <c r="N269" i="1" s="1"/>
  <c r="V1289" i="1"/>
  <c r="N1454" i="1"/>
  <c r="N4291" i="1"/>
  <c r="V2874" i="1"/>
  <c r="K134" i="1"/>
  <c r="N4591" i="1"/>
  <c r="V2856" i="1"/>
  <c r="N2847" i="1"/>
  <c r="K871" i="1"/>
  <c r="N5411" i="1"/>
  <c r="N5068" i="1"/>
  <c r="N4108" i="1"/>
  <c r="V5068" i="1"/>
  <c r="N869" i="1"/>
  <c r="V5411" i="1"/>
  <c r="H5043" i="1"/>
  <c r="V5305" i="1"/>
  <c r="V869" i="1"/>
  <c r="V2227" i="1"/>
  <c r="V449" i="1"/>
  <c r="V5620" i="1"/>
  <c r="V2847" i="1"/>
  <c r="V4591" i="1"/>
  <c r="V4108" i="1"/>
  <c r="N5041" i="1"/>
  <c r="L1338" i="1"/>
  <c r="N449" i="1"/>
  <c r="N451" i="1" s="1"/>
  <c r="N129" i="1"/>
  <c r="V4213" i="1"/>
  <c r="V4291" i="1"/>
  <c r="N4213" i="1"/>
  <c r="N5305" i="1"/>
  <c r="L1839" i="1"/>
  <c r="N4475" i="1"/>
  <c r="V5593" i="1"/>
  <c r="K5625" i="1"/>
  <c r="N1163" i="1"/>
  <c r="N1165" i="1" s="1"/>
  <c r="V386" i="1"/>
  <c r="N2205" i="1"/>
  <c r="V5720" i="1"/>
  <c r="I3402" i="1"/>
  <c r="N6225" i="1"/>
  <c r="N476" i="1"/>
  <c r="V6702" i="1"/>
  <c r="N6384" i="1"/>
  <c r="N5720" i="1"/>
  <c r="V6384" i="1"/>
  <c r="N5867" i="1"/>
  <c r="V4669" i="1"/>
  <c r="N5957" i="1"/>
  <c r="V416" i="1"/>
  <c r="N3957" i="1"/>
  <c r="N416" i="1"/>
  <c r="N643" i="1"/>
  <c r="L6707" i="1"/>
  <c r="V6225" i="1"/>
  <c r="N5110" i="1"/>
  <c r="V5957" i="1"/>
  <c r="K481" i="1"/>
  <c r="K6393" i="1"/>
  <c r="V4788" i="1"/>
  <c r="N976" i="1"/>
  <c r="N978" i="1" s="1"/>
  <c r="L640" i="1"/>
  <c r="V638" i="1"/>
  <c r="L3985" i="1"/>
  <c r="V2073" i="1"/>
  <c r="V1779" i="1"/>
  <c r="N2073" i="1"/>
  <c r="N638" i="1"/>
  <c r="N640" i="1" s="1"/>
  <c r="V976" i="1"/>
  <c r="V6368" i="1"/>
  <c r="V6776" i="1"/>
  <c r="N1972" i="1"/>
  <c r="V272" i="1"/>
  <c r="V3481" i="1"/>
  <c r="V4775" i="1"/>
  <c r="N88" i="1"/>
  <c r="N5800" i="1"/>
  <c r="V1972" i="1"/>
  <c r="L5758" i="1"/>
  <c r="N1608" i="1"/>
  <c r="N1532" i="1"/>
  <c r="N4786" i="1"/>
  <c r="V1608" i="1"/>
  <c r="N6391" i="1"/>
  <c r="N1644" i="1"/>
  <c r="V6540" i="1"/>
  <c r="L6571" i="1"/>
  <c r="V4786" i="1"/>
  <c r="L1824" i="1"/>
  <c r="V5755" i="1"/>
  <c r="N6677" i="1"/>
  <c r="V6066" i="1"/>
  <c r="N2230" i="1"/>
  <c r="V6038" i="1"/>
  <c r="V6391" i="1"/>
  <c r="L6041" i="1"/>
  <c r="L1215" i="1"/>
  <c r="V3178" i="1"/>
  <c r="N1212" i="1"/>
  <c r="N1215" i="1" s="1"/>
  <c r="N1223" i="1"/>
  <c r="V5800" i="1"/>
  <c r="V1537" i="1"/>
  <c r="V3060" i="1"/>
  <c r="N6401" i="1"/>
  <c r="N6403" i="1" s="1"/>
  <c r="N3060" i="1"/>
  <c r="N6694" i="1"/>
  <c r="V6694" i="1"/>
  <c r="N6678" i="1"/>
  <c r="L6403" i="1"/>
  <c r="L3805" i="1"/>
  <c r="V1251" i="1"/>
  <c r="V6401" i="1"/>
  <c r="N1168" i="1"/>
  <c r="N1172" i="1" s="1"/>
  <c r="N1251" i="1"/>
  <c r="H4990" i="1"/>
  <c r="L5001" i="1"/>
  <c r="L5008" i="1"/>
  <c r="K5823" i="1"/>
  <c r="L2239" i="1"/>
  <c r="N6315" i="1"/>
  <c r="N6615" i="1"/>
  <c r="V6720" i="1"/>
  <c r="N429" i="1"/>
  <c r="N433" i="1" s="1"/>
  <c r="H2276" i="1"/>
  <c r="V3779" i="1"/>
  <c r="V2235" i="1"/>
  <c r="L51" i="1"/>
  <c r="N956" i="1"/>
  <c r="V497" i="1"/>
  <c r="N4919" i="1"/>
  <c r="N4923" i="1" s="1"/>
  <c r="N6229" i="1"/>
  <c r="N5660" i="1"/>
  <c r="V6229" i="1"/>
  <c r="V5836" i="1"/>
  <c r="V2304" i="1"/>
  <c r="V1746" i="1"/>
  <c r="V4318" i="1"/>
  <c r="N2684" i="1"/>
  <c r="L4923" i="1"/>
  <c r="V5184" i="1"/>
  <c r="V6567" i="1"/>
  <c r="N1585" i="1"/>
  <c r="N1589" i="1" s="1"/>
  <c r="V4848" i="1"/>
  <c r="N4318" i="1"/>
  <c r="H6393" i="1"/>
  <c r="V2684" i="1"/>
  <c r="I4904" i="1"/>
  <c r="N6358" i="1"/>
  <c r="V970" i="1"/>
  <c r="N5648" i="1"/>
  <c r="N3732" i="1"/>
  <c r="K4079" i="1"/>
  <c r="N5816" i="1"/>
  <c r="N4177" i="1"/>
  <c r="N4768" i="1"/>
  <c r="V4768" i="1"/>
  <c r="V4636" i="1"/>
  <c r="V5034" i="1"/>
  <c r="V1793" i="1"/>
  <c r="N6239" i="1"/>
  <c r="V1168" i="1"/>
  <c r="L5724" i="1"/>
  <c r="L1659" i="1"/>
  <c r="K1293" i="1"/>
  <c r="N5034" i="1"/>
  <c r="N5716" i="1"/>
  <c r="V6018" i="1"/>
  <c r="L1172" i="1"/>
  <c r="L5402" i="1"/>
  <c r="N1793" i="1"/>
  <c r="N1879" i="1"/>
  <c r="V2243" i="1"/>
  <c r="L4827" i="1"/>
  <c r="V6746" i="1"/>
  <c r="V5838" i="1"/>
  <c r="V6011" i="1"/>
  <c r="N828" i="1"/>
  <c r="V6226" i="1"/>
  <c r="L825" i="1"/>
  <c r="V3749" i="1"/>
  <c r="L6428" i="1"/>
  <c r="N5838" i="1"/>
  <c r="N991" i="1"/>
  <c r="N993" i="1" s="1"/>
  <c r="V6239" i="1"/>
  <c r="V5807" i="1"/>
  <c r="N6426" i="1"/>
  <c r="N6428" i="1" s="1"/>
  <c r="V2824" i="1"/>
  <c r="N318" i="1"/>
  <c r="V318" i="1"/>
  <c r="N4823" i="1"/>
  <c r="N4827" i="1" s="1"/>
  <c r="V6496" i="1"/>
  <c r="N822" i="1"/>
  <c r="N825" i="1" s="1"/>
  <c r="I782" i="1"/>
  <c r="V4119" i="1"/>
  <c r="V5667" i="1"/>
  <c r="N4623" i="1"/>
  <c r="L274" i="1"/>
  <c r="L588" i="1"/>
  <c r="N2864" i="1"/>
  <c r="V550" i="1"/>
  <c r="L4331" i="1"/>
  <c r="N5744" i="1"/>
  <c r="V5936" i="1"/>
  <c r="N3749" i="1"/>
  <c r="V4659" i="1"/>
  <c r="K6070" i="1"/>
  <c r="N5859" i="1"/>
  <c r="N4659" i="1"/>
  <c r="N3857" i="1"/>
  <c r="V1693" i="1"/>
  <c r="V4390" i="1"/>
  <c r="N6068" i="1"/>
  <c r="V3667" i="1"/>
  <c r="N5011" i="1"/>
  <c r="V5011" i="1"/>
  <c r="V3857" i="1"/>
  <c r="V6297" i="1"/>
  <c r="V6068" i="1"/>
  <c r="L2005" i="1"/>
  <c r="I3814" i="1"/>
  <c r="N1693" i="1"/>
  <c r="N4185" i="1"/>
  <c r="L993" i="1"/>
  <c r="N4390" i="1"/>
  <c r="V3493" i="1"/>
  <c r="V4479" i="1"/>
  <c r="N5990" i="1"/>
  <c r="N5992" i="1" s="1"/>
  <c r="K500" i="1"/>
  <c r="N56" i="1"/>
  <c r="N2002" i="1"/>
  <c r="L67" i="1"/>
  <c r="L3677" i="1"/>
  <c r="V2860" i="1"/>
  <c r="V3674" i="1"/>
  <c r="N1964" i="1"/>
  <c r="N1966" i="1" s="1"/>
  <c r="N1573" i="1"/>
  <c r="N1577" i="1" s="1"/>
  <c r="N2851" i="1"/>
  <c r="V5878" i="1"/>
  <c r="V4135" i="1"/>
  <c r="K5043" i="1"/>
  <c r="N2391" i="1"/>
  <c r="V955" i="1"/>
  <c r="N3493" i="1"/>
  <c r="N1288" i="1"/>
  <c r="V4947" i="1"/>
  <c r="N6027" i="1"/>
  <c r="V2851" i="1"/>
  <c r="N4589" i="1"/>
  <c r="L1538" i="1"/>
  <c r="V6314" i="1"/>
  <c r="N3862" i="1"/>
  <c r="N3864" i="1" s="1"/>
  <c r="V6667" i="1"/>
  <c r="N6314" i="1"/>
  <c r="N3674" i="1"/>
  <c r="N3677" i="1" s="1"/>
  <c r="V5744" i="1"/>
  <c r="L6628" i="1"/>
  <c r="N2835" i="1"/>
  <c r="N4262" i="1"/>
  <c r="N4265" i="1" s="1"/>
  <c r="L1386" i="1"/>
  <c r="N2832" i="1"/>
  <c r="N4135" i="1"/>
  <c r="V3862" i="1"/>
  <c r="V4590" i="1"/>
  <c r="V4489" i="1"/>
  <c r="L4265" i="1"/>
  <c r="V4262" i="1"/>
  <c r="N1599" i="1"/>
  <c r="L3864" i="1"/>
  <c r="K5015" i="1"/>
  <c r="N2811" i="1"/>
  <c r="V2835" i="1"/>
  <c r="V6685" i="1"/>
  <c r="N4489" i="1"/>
  <c r="V4589" i="1"/>
  <c r="V62" i="1"/>
  <c r="V2873" i="1"/>
  <c r="V6740" i="1"/>
  <c r="N5309" i="1"/>
  <c r="N4310" i="1"/>
  <c r="V5309" i="1"/>
  <c r="V4622" i="1"/>
  <c r="N5698" i="1"/>
  <c r="V4310" i="1"/>
  <c r="N4622" i="1"/>
  <c r="V3980" i="1"/>
  <c r="N4198" i="1"/>
  <c r="N2592" i="1"/>
  <c r="L4138" i="1"/>
  <c r="L6390" i="1"/>
  <c r="L772" i="1"/>
  <c r="K4916" i="1"/>
  <c r="V5990" i="1"/>
  <c r="N1827" i="1"/>
  <c r="N1829" i="1" s="1"/>
  <c r="K3706" i="1"/>
  <c r="V6549" i="1"/>
  <c r="N6776" i="1"/>
  <c r="K5413" i="1"/>
  <c r="V5769" i="1"/>
  <c r="N5843" i="1"/>
  <c r="L1781" i="1"/>
  <c r="K1882" i="1"/>
  <c r="N1779" i="1"/>
  <c r="N421" i="1"/>
  <c r="N5936" i="1"/>
  <c r="N2170" i="1"/>
  <c r="L1620" i="1"/>
  <c r="V5802" i="1"/>
  <c r="V329" i="1"/>
  <c r="V3702" i="1"/>
  <c r="L587" i="1"/>
  <c r="L895" i="1"/>
  <c r="L2249" i="1"/>
  <c r="N6549" i="1"/>
  <c r="N5403" i="1"/>
  <c r="V5284" i="1"/>
  <c r="N6697" i="1"/>
  <c r="I500" i="1"/>
  <c r="V5403" i="1"/>
  <c r="N2242" i="1"/>
  <c r="N2390" i="1"/>
  <c r="V792" i="1"/>
  <c r="N3790" i="1"/>
  <c r="V686" i="1"/>
  <c r="N5316" i="1"/>
  <c r="N5573" i="1"/>
  <c r="V5841" i="1"/>
  <c r="V5673" i="1"/>
  <c r="N5673" i="1"/>
  <c r="N3915" i="1"/>
  <c r="N4676" i="1"/>
  <c r="V396" i="1"/>
  <c r="V6235" i="1"/>
  <c r="N1822" i="1"/>
  <c r="N1824" i="1" s="1"/>
  <c r="V2683" i="1"/>
  <c r="N628" i="1"/>
  <c r="N630" i="1" s="1"/>
  <c r="N1202" i="1"/>
  <c r="N1204" i="1" s="1"/>
  <c r="L2180" i="1"/>
  <c r="N1428" i="1"/>
  <c r="N1430" i="1" s="1"/>
  <c r="V5854" i="1"/>
  <c r="N6494" i="1"/>
  <c r="N4687" i="1"/>
  <c r="N4694" i="1" s="1"/>
  <c r="N3648" i="1"/>
  <c r="L3836" i="1"/>
  <c r="V3391" i="1"/>
  <c r="V1724" i="1"/>
  <c r="L4694" i="1"/>
  <c r="V3833" i="1"/>
  <c r="N6235" i="1"/>
  <c r="N2683" i="1"/>
  <c r="V1428" i="1"/>
  <c r="V2213" i="1"/>
  <c r="V4687" i="1"/>
  <c r="N5230" i="1"/>
  <c r="N912" i="1"/>
  <c r="V1893" i="1"/>
  <c r="N6493" i="1"/>
  <c r="N1893" i="1"/>
  <c r="L705" i="1"/>
  <c r="V6493" i="1"/>
  <c r="V4293" i="1"/>
  <c r="V703" i="1"/>
  <c r="L578" i="1"/>
  <c r="N2310" i="1"/>
  <c r="V5564" i="1"/>
  <c r="N5588" i="1"/>
  <c r="V5230" i="1"/>
  <c r="N2392" i="1"/>
  <c r="L1667" i="1"/>
  <c r="V3776" i="1"/>
  <c r="N4083" i="1"/>
  <c r="N3776" i="1"/>
  <c r="V4083" i="1"/>
  <c r="N2004" i="1"/>
  <c r="V2004" i="1"/>
  <c r="V1341" i="1"/>
  <c r="E9" i="11"/>
  <c r="F9" i="11" s="1"/>
  <c r="V4953" i="1"/>
  <c r="V5727" i="1"/>
  <c r="N1694" i="1"/>
  <c r="N295" i="1"/>
  <c r="N297" i="1" s="1"/>
  <c r="V4477" i="1"/>
  <c r="N2261" i="1"/>
  <c r="L3645" i="1"/>
  <c r="I5015" i="1"/>
  <c r="L297" i="1"/>
  <c r="N5425" i="1"/>
  <c r="V2858" i="1"/>
  <c r="N5727" i="1"/>
  <c r="N5729" i="1" s="1"/>
  <c r="L1698" i="1"/>
  <c r="N5644" i="1"/>
  <c r="N4953" i="1"/>
  <c r="N4956" i="1" s="1"/>
  <c r="V2272" i="1"/>
  <c r="K5075" i="1"/>
  <c r="N2849" i="1"/>
  <c r="N282" i="1"/>
  <c r="L2075" i="1"/>
  <c r="V2849" i="1"/>
  <c r="K336" i="1"/>
  <c r="V282" i="1"/>
  <c r="N4675" i="1"/>
  <c r="V2070" i="1"/>
  <c r="V1694" i="1"/>
  <c r="N2272" i="1"/>
  <c r="N2824" i="1"/>
  <c r="N2297" i="1"/>
  <c r="N575" i="1"/>
  <c r="N578" i="1" s="1"/>
  <c r="L1438" i="1"/>
  <c r="N665" i="1"/>
  <c r="N1341" i="1"/>
  <c r="N6749" i="1"/>
  <c r="N4871" i="1"/>
  <c r="V6749" i="1"/>
  <c r="N4776" i="1"/>
  <c r="N4133" i="1"/>
  <c r="V5799" i="1"/>
  <c r="N5562" i="1"/>
  <c r="N6689" i="1"/>
  <c r="N4628" i="1"/>
  <c r="N1343" i="1"/>
  <c r="N5603" i="1"/>
  <c r="V5225" i="1"/>
  <c r="V6689" i="1"/>
  <c r="V6382" i="1"/>
  <c r="V4774" i="1"/>
  <c r="V4628" i="1"/>
  <c r="V6386" i="1"/>
  <c r="N4085" i="1"/>
  <c r="N5575" i="1"/>
  <c r="N6387" i="1"/>
  <c r="V5562" i="1"/>
  <c r="V4220" i="1"/>
  <c r="N496" i="1"/>
  <c r="V4623" i="1"/>
  <c r="L283" i="1"/>
  <c r="I5577" i="1"/>
  <c r="N1655" i="1"/>
  <c r="N1349" i="1"/>
  <c r="V1349" i="1"/>
  <c r="L914" i="1"/>
  <c r="N3045" i="1"/>
  <c r="N3160" i="1"/>
  <c r="K751" i="1"/>
  <c r="N6688" i="1"/>
  <c r="N5029" i="1"/>
  <c r="E8" i="11"/>
  <c r="F8" i="11" s="1"/>
  <c r="N6687" i="1"/>
  <c r="V3477" i="1"/>
  <c r="V6687" i="1"/>
  <c r="V1344" i="1"/>
  <c r="L90" i="1"/>
  <c r="N1255" i="1"/>
  <c r="H393" i="1"/>
  <c r="V5523" i="1"/>
  <c r="L6737" i="1"/>
  <c r="K5427" i="1"/>
  <c r="N609" i="1"/>
  <c r="L4123" i="1"/>
  <c r="L3926" i="1"/>
  <c r="L1764" i="1"/>
  <c r="L426" i="1"/>
  <c r="N4119" i="1"/>
  <c r="V556" i="1"/>
  <c r="V234" i="1"/>
  <c r="N234" i="1"/>
  <c r="V559" i="1"/>
  <c r="N559" i="1"/>
  <c r="N6259" i="1"/>
  <c r="V4210" i="1"/>
  <c r="N556" i="1"/>
  <c r="L561" i="1"/>
  <c r="N3851" i="1"/>
  <c r="V5628" i="1"/>
  <c r="N5652" i="1"/>
  <c r="V3773" i="1"/>
  <c r="N3773" i="1"/>
  <c r="V6049" i="1"/>
  <c r="N6049" i="1"/>
  <c r="N710" i="1"/>
  <c r="N5456" i="1"/>
  <c r="V5456" i="1"/>
  <c r="L4662" i="1"/>
  <c r="N4655" i="1"/>
  <c r="N4210" i="1"/>
  <c r="V609" i="1"/>
  <c r="V6259" i="1"/>
  <c r="N4367" i="1"/>
  <c r="L6070" i="1"/>
  <c r="N1433" i="1"/>
  <c r="N4401" i="1"/>
  <c r="N4403" i="1" s="1"/>
  <c r="V1892" i="1"/>
  <c r="N6509" i="1"/>
  <c r="V575" i="1"/>
  <c r="K5188" i="1"/>
  <c r="V710" i="1"/>
  <c r="V2972" i="1"/>
  <c r="N2972" i="1"/>
  <c r="V3043" i="1"/>
  <c r="N3043" i="1"/>
  <c r="V3045" i="1"/>
  <c r="N6227" i="1"/>
  <c r="V6227" i="1"/>
  <c r="V2289" i="1"/>
  <c r="N2289" i="1"/>
  <c r="N2291" i="1" s="1"/>
  <c r="V2952" i="1"/>
  <c r="N3335" i="1"/>
  <c r="N5864" i="1"/>
  <c r="V5864" i="1"/>
  <c r="V6612" i="1"/>
  <c r="N6612" i="1"/>
  <c r="V1433" i="1"/>
  <c r="N6208" i="1"/>
  <c r="N6210" i="1" s="1"/>
  <c r="V6208" i="1"/>
  <c r="V459" i="1"/>
  <c r="N6066" i="1"/>
  <c r="L3669" i="1"/>
  <c r="K3671" i="1"/>
  <c r="V5103" i="1"/>
  <c r="N5103" i="1"/>
  <c r="N5108" i="1"/>
  <c r="V437" i="1"/>
  <c r="N437" i="1"/>
  <c r="N441" i="1" s="1"/>
  <c r="V4124" i="1"/>
  <c r="V5133" i="1"/>
  <c r="V5790" i="1"/>
  <c r="V5842" i="1"/>
  <c r="N5842" i="1"/>
  <c r="N4788" i="1"/>
  <c r="N5844" i="1"/>
  <c r="L402" i="1"/>
  <c r="N396" i="1"/>
  <c r="N4621" i="1"/>
  <c r="N5854" i="1"/>
  <c r="N6630" i="1"/>
  <c r="N4807" i="1"/>
  <c r="V6494" i="1"/>
  <c r="V4382" i="1"/>
  <c r="N1487" i="1"/>
  <c r="N1489" i="1" s="1"/>
  <c r="N1724" i="1"/>
  <c r="V485" i="1"/>
  <c r="N1817" i="1"/>
  <c r="V1454" i="1"/>
  <c r="N4603" i="1"/>
  <c r="V4312" i="1"/>
  <c r="L4320" i="1"/>
  <c r="V5786" i="1"/>
  <c r="N3702" i="1"/>
  <c r="N4094" i="1"/>
  <c r="V3648" i="1"/>
  <c r="N5836" i="1"/>
  <c r="V2215" i="1"/>
  <c r="N2215" i="1"/>
  <c r="L6699" i="1"/>
  <c r="N6696" i="1"/>
  <c r="V6696" i="1"/>
  <c r="L3653" i="1"/>
  <c r="I3655" i="1"/>
  <c r="V2002" i="1"/>
  <c r="L814" i="1"/>
  <c r="K819" i="1"/>
  <c r="N4929" i="1"/>
  <c r="V4929" i="1"/>
  <c r="I4916" i="1"/>
  <c r="L4913" i="1"/>
  <c r="L6380" i="1"/>
  <c r="I6393" i="1"/>
  <c r="V6680" i="1"/>
  <c r="N5423" i="1"/>
  <c r="V6688" i="1"/>
  <c r="V5423" i="1"/>
  <c r="V910" i="1"/>
  <c r="V4945" i="1"/>
  <c r="H5625" i="1"/>
  <c r="I4990" i="1"/>
  <c r="L6546" i="1"/>
  <c r="N2294" i="1"/>
  <c r="N6540" i="1"/>
  <c r="N910" i="1"/>
  <c r="N6674" i="1"/>
  <c r="N6735" i="1"/>
  <c r="N6737" i="1" s="1"/>
  <c r="V6735" i="1"/>
  <c r="V6446" i="1"/>
  <c r="V6349" i="1"/>
  <c r="N6446" i="1"/>
  <c r="N2630" i="1"/>
  <c r="L273" i="1"/>
  <c r="L5566" i="1"/>
  <c r="L1894" i="1"/>
  <c r="L5003" i="1"/>
  <c r="N3237" i="1"/>
  <c r="N2673" i="1"/>
  <c r="L5136" i="1"/>
  <c r="N5133" i="1"/>
  <c r="N5136" i="1" s="1"/>
  <c r="N459" i="1"/>
  <c r="N466" i="1" s="1"/>
  <c r="L466" i="1"/>
  <c r="L2229" i="1"/>
  <c r="V4665" i="1"/>
  <c r="L441" i="1"/>
  <c r="L4678" i="1"/>
  <c r="I1769" i="1"/>
  <c r="H600" i="1"/>
  <c r="L6585" i="1"/>
  <c r="V5422" i="1"/>
  <c r="L774" i="1"/>
  <c r="L264" i="1"/>
  <c r="V3912" i="1"/>
  <c r="V798" i="1"/>
  <c r="N4878" i="1"/>
  <c r="V4547" i="1"/>
  <c r="L6346" i="1"/>
  <c r="N4202" i="1"/>
  <c r="V5745" i="1"/>
  <c r="V4873" i="1"/>
  <c r="V5310" i="1"/>
  <c r="V3968" i="1"/>
  <c r="V5345" i="1"/>
  <c r="V5647" i="1"/>
  <c r="N5647" i="1"/>
  <c r="V5648" i="1"/>
  <c r="V4901" i="1"/>
  <c r="V5810" i="1"/>
  <c r="L3782" i="1"/>
  <c r="N1396" i="1"/>
  <c r="N1399" i="1" s="1"/>
  <c r="L1399" i="1"/>
  <c r="N5735" i="1"/>
  <c r="V5735" i="1"/>
  <c r="N1701" i="1"/>
  <c r="N2025" i="1"/>
  <c r="V6052" i="1"/>
  <c r="L6054" i="1"/>
  <c r="V5286" i="1"/>
  <c r="V5638" i="1"/>
  <c r="L2190" i="1"/>
  <c r="L6299" i="1"/>
  <c r="V6295" i="1"/>
  <c r="N2265" i="1"/>
  <c r="V2296" i="1"/>
  <c r="L5301" i="1"/>
  <c r="N6724" i="1"/>
  <c r="V6724" i="1"/>
  <c r="N5793" i="1"/>
  <c r="V5793" i="1"/>
  <c r="N6103" i="1"/>
  <c r="V5055" i="1"/>
  <c r="N2141" i="1"/>
  <c r="N397" i="1"/>
  <c r="N1928" i="1"/>
  <c r="L302" i="1"/>
  <c r="N4946" i="1"/>
  <c r="V6121" i="1"/>
  <c r="L6126" i="1"/>
  <c r="N4616" i="1"/>
  <c r="V2297" i="1"/>
  <c r="V4216" i="1"/>
  <c r="N4216" i="1"/>
  <c r="N4084" i="1"/>
  <c r="V4084" i="1"/>
  <c r="V6375" i="1"/>
  <c r="N2108" i="1"/>
  <c r="L6003" i="1"/>
  <c r="N4408" i="1"/>
  <c r="V4408" i="1"/>
  <c r="N5326" i="1"/>
  <c r="V6318" i="1"/>
  <c r="N235" i="1"/>
  <c r="N5018" i="1"/>
  <c r="N5022" i="1" s="1"/>
  <c r="N3964" i="1"/>
  <c r="N6130" i="1"/>
  <c r="N2598" i="1"/>
  <c r="V5827" i="1"/>
  <c r="V1618" i="1"/>
  <c r="L3935" i="1"/>
  <c r="I3941" i="1"/>
  <c r="L5866" i="1"/>
  <c r="K5869" i="1"/>
  <c r="L5681" i="1"/>
  <c r="K5685" i="1"/>
  <c r="V4881" i="1"/>
  <c r="N281" i="1"/>
  <c r="V281" i="1"/>
  <c r="L5293" i="1"/>
  <c r="K5296" i="1"/>
  <c r="V5217" i="1"/>
  <c r="N3933" i="1"/>
  <c r="N6635" i="1"/>
  <c r="N6637" i="1" s="1"/>
  <c r="N6720" i="1"/>
  <c r="I4000" i="1"/>
  <c r="L3986" i="1"/>
  <c r="L3794" i="1"/>
  <c r="K3814" i="1"/>
  <c r="V2217" i="1"/>
  <c r="V424" i="1"/>
  <c r="N424" i="1"/>
  <c r="V709" i="1"/>
  <c r="N709" i="1"/>
  <c r="N5564" i="1"/>
  <c r="V4847" i="1"/>
  <c r="N4847" i="1"/>
  <c r="V6525" i="1"/>
  <c r="N6525" i="1"/>
  <c r="V5892" i="1"/>
  <c r="N5892" i="1"/>
  <c r="N5897" i="1" s="1"/>
  <c r="L5897" i="1"/>
  <c r="N6667" i="1"/>
  <c r="N6670" i="1" s="1"/>
  <c r="N3032" i="1"/>
  <c r="V708" i="1"/>
  <c r="L712" i="1"/>
  <c r="N708" i="1"/>
  <c r="V5515" i="1"/>
  <c r="L5517" i="1"/>
  <c r="N5111" i="1"/>
  <c r="N958" i="1"/>
  <c r="K5747" i="1"/>
  <c r="N6100" i="1"/>
  <c r="N5450" i="1"/>
  <c r="N2698" i="1"/>
  <c r="V6750" i="1"/>
  <c r="N6750" i="1"/>
  <c r="L6413" i="1"/>
  <c r="V6411" i="1"/>
  <c r="N3061" i="1"/>
  <c r="L3063" i="1"/>
  <c r="N4702" i="1"/>
  <c r="N4708" i="1" s="1"/>
  <c r="L4708" i="1"/>
  <c r="N6236" i="1"/>
  <c r="V6236" i="1"/>
  <c r="V5919" i="1"/>
  <c r="L5923" i="1"/>
  <c r="V6035" i="1"/>
  <c r="V5809" i="1"/>
  <c r="V5299" i="1"/>
  <c r="V300" i="1"/>
  <c r="N6295" i="1"/>
  <c r="V5326" i="1"/>
  <c r="N6001" i="1"/>
  <c r="N6003" i="1" s="1"/>
  <c r="N6121" i="1"/>
  <c r="N6126" i="1" s="1"/>
  <c r="V1928" i="1"/>
  <c r="H1620" i="1"/>
  <c r="I5043" i="1"/>
  <c r="V6673" i="1"/>
  <c r="N5048" i="1"/>
  <c r="L737" i="1"/>
  <c r="V6103" i="1"/>
  <c r="V4616" i="1"/>
  <c r="L5427" i="1"/>
  <c r="V2141" i="1"/>
  <c r="N3855" i="1"/>
  <c r="L2276" i="1"/>
  <c r="N2095" i="1"/>
  <c r="N2070" i="1"/>
  <c r="N300" i="1"/>
  <c r="N302" i="1" s="1"/>
  <c r="N5299" i="1"/>
  <c r="N5301" i="1" s="1"/>
  <c r="V4946" i="1"/>
  <c r="I25" i="1"/>
  <c r="L2269" i="1"/>
  <c r="N2188" i="1"/>
  <c r="N2190" i="1" s="1"/>
  <c r="N3830" i="1"/>
  <c r="L5329" i="1"/>
  <c r="V6635" i="1"/>
  <c r="V5018" i="1"/>
  <c r="V6001" i="1"/>
  <c r="V3855" i="1"/>
  <c r="V2095" i="1"/>
  <c r="V2108" i="1"/>
  <c r="V1877" i="1"/>
  <c r="N1877" i="1"/>
  <c r="L377" i="1"/>
  <c r="L1882" i="1"/>
  <c r="L6727" i="1"/>
  <c r="L3721" i="1"/>
  <c r="L771" i="1"/>
  <c r="L2228" i="1"/>
  <c r="V6557" i="1"/>
  <c r="L2222" i="1"/>
  <c r="L366" i="1"/>
  <c r="L5037" i="1"/>
  <c r="K1769" i="1"/>
  <c r="L5040" i="1"/>
  <c r="N3686" i="1"/>
  <c r="N3689" i="1" s="1"/>
  <c r="N6601" i="1"/>
  <c r="N6603" i="1" s="1"/>
  <c r="I292" i="1"/>
  <c r="V5914" i="1"/>
  <c r="L2167" i="1"/>
  <c r="V3364" i="1"/>
  <c r="V3362" i="1"/>
  <c r="N2296" i="1"/>
  <c r="N5809" i="1"/>
  <c r="N5556" i="1"/>
  <c r="N5201" i="1"/>
  <c r="N4617" i="1"/>
  <c r="V5602" i="1"/>
  <c r="V5556" i="1"/>
  <c r="V4864" i="1"/>
  <c r="N5602" i="1"/>
  <c r="L4672" i="1"/>
  <c r="V3959" i="1"/>
  <c r="L5974" i="1"/>
  <c r="N4315" i="1"/>
  <c r="N5472" i="1"/>
  <c r="V5472" i="1"/>
  <c r="V429" i="1"/>
  <c r="L983" i="1"/>
  <c r="V981" i="1"/>
  <c r="N6356" i="1"/>
  <c r="N6108" i="1"/>
  <c r="N6113" i="1" s="1"/>
  <c r="V6108" i="1"/>
  <c r="N5650" i="1"/>
  <c r="N6478" i="1"/>
  <c r="L6490" i="1"/>
  <c r="L1890" i="1"/>
  <c r="K1896" i="1"/>
  <c r="H5313" i="1"/>
  <c r="L5306" i="1"/>
  <c r="L3934" i="1"/>
  <c r="K3941" i="1"/>
  <c r="L4103" i="1"/>
  <c r="K4111" i="1"/>
  <c r="N2006" i="1"/>
  <c r="N4228" i="1"/>
  <c r="V477" i="1"/>
  <c r="L6273" i="1"/>
  <c r="K6275" i="1"/>
  <c r="V295" i="1"/>
  <c r="L1829" i="1"/>
  <c r="V1827" i="1"/>
  <c r="L5742" i="1"/>
  <c r="H5747" i="1"/>
  <c r="H4307" i="1"/>
  <c r="L4304" i="1"/>
  <c r="V3637" i="1"/>
  <c r="N3637" i="1"/>
  <c r="N3645" i="1" s="1"/>
  <c r="N6495" i="1"/>
  <c r="N5804" i="1"/>
  <c r="V6270" i="1"/>
  <c r="V344" i="1"/>
  <c r="N5814" i="1"/>
  <c r="V5774" i="1"/>
  <c r="V3843" i="1"/>
  <c r="N2007" i="1"/>
  <c r="V6359" i="1"/>
  <c r="L6620" i="1"/>
  <c r="N6024" i="1"/>
  <c r="V1434" i="1"/>
  <c r="N5845" i="1"/>
  <c r="V5792" i="1"/>
  <c r="V6655" i="1"/>
  <c r="V1599" i="1"/>
  <c r="N4257" i="1"/>
  <c r="N4259" i="1" s="1"/>
  <c r="N686" i="1"/>
  <c r="N1296" i="1"/>
  <c r="V4965" i="1"/>
  <c r="N4544" i="1"/>
  <c r="V1879" i="1"/>
  <c r="V5968" i="1"/>
  <c r="V1202" i="1"/>
  <c r="N5794" i="1"/>
  <c r="N6102" i="1"/>
  <c r="N6018" i="1"/>
  <c r="N6021" i="1" s="1"/>
  <c r="V3502" i="1"/>
  <c r="V1267" i="1"/>
  <c r="N6373" i="1"/>
  <c r="L6032" i="1"/>
  <c r="V5995" i="1"/>
  <c r="N4947" i="1"/>
  <c r="V6315" i="1"/>
  <c r="V5679" i="1"/>
  <c r="V4380" i="1"/>
  <c r="I2307" i="1"/>
  <c r="L6320" i="1"/>
  <c r="N6308" i="1"/>
  <c r="N6519" i="1"/>
  <c r="N6359" i="1"/>
  <c r="K4633" i="1"/>
  <c r="N2934" i="1"/>
  <c r="V3149" i="1"/>
  <c r="V2940" i="1"/>
  <c r="N4493" i="1"/>
  <c r="V5818" i="1"/>
  <c r="N4619" i="1"/>
  <c r="N5881" i="1"/>
  <c r="N5887" i="1"/>
  <c r="N5889" i="1" s="1"/>
  <c r="L5889" i="1"/>
  <c r="L3978" i="1"/>
  <c r="K4000" i="1"/>
  <c r="N3719" i="1"/>
  <c r="N5737" i="1"/>
  <c r="V5737" i="1"/>
  <c r="V4605" i="1"/>
  <c r="N5792" i="1"/>
  <c r="V5845" i="1"/>
  <c r="V1704" i="1"/>
  <c r="N5101" i="1"/>
  <c r="N792" i="1"/>
  <c r="N795" i="1" s="1"/>
  <c r="L1706" i="1"/>
  <c r="N5473" i="1"/>
  <c r="N5818" i="1"/>
  <c r="N4082" i="1"/>
  <c r="V6024" i="1"/>
  <c r="V5660" i="1"/>
  <c r="V6514" i="1"/>
  <c r="N1231" i="1"/>
  <c r="N1233" i="1" s="1"/>
  <c r="L5884" i="1"/>
  <c r="N2298" i="1"/>
  <c r="N4590" i="1"/>
  <c r="V3957" i="1"/>
  <c r="N5244" i="1"/>
  <c r="L4386" i="1"/>
  <c r="V6615" i="1"/>
  <c r="L4950" i="1"/>
  <c r="N4380" i="1"/>
  <c r="L6311" i="1"/>
  <c r="V6356" i="1"/>
  <c r="N344" i="1"/>
  <c r="N346" i="1" s="1"/>
  <c r="L331" i="1"/>
  <c r="L346" i="1"/>
  <c r="L835" i="1"/>
  <c r="N6231" i="1"/>
  <c r="N5837" i="1"/>
  <c r="N2146" i="1"/>
  <c r="N2154" i="1" s="1"/>
  <c r="N5032" i="1"/>
  <c r="L1523" i="1"/>
  <c r="N6270" i="1"/>
  <c r="N4086" i="1"/>
  <c r="K292" i="1"/>
  <c r="V1923" i="1"/>
  <c r="V1969" i="1"/>
  <c r="V1948" i="1"/>
  <c r="L6561" i="1"/>
  <c r="V4773" i="1"/>
  <c r="V1508" i="1"/>
  <c r="V5339" i="1"/>
  <c r="V1415" i="1"/>
  <c r="V4101" i="1"/>
  <c r="N4973" i="1"/>
  <c r="N4203" i="1"/>
  <c r="V2138" i="1"/>
  <c r="N5343" i="1"/>
  <c r="N4072" i="1"/>
  <c r="L4645" i="1"/>
  <c r="N4139" i="1"/>
  <c r="N4169" i="1"/>
  <c r="V1930" i="1"/>
  <c r="V494" i="1"/>
  <c r="V3394" i="1"/>
  <c r="N5619" i="1"/>
  <c r="N5592" i="1"/>
  <c r="N5235" i="1"/>
  <c r="V5603" i="1"/>
  <c r="N5593" i="1"/>
  <c r="N5339" i="1"/>
  <c r="V2157" i="1"/>
  <c r="N4770" i="1"/>
  <c r="V5046" i="1"/>
  <c r="V5343" i="1"/>
  <c r="V4203" i="1"/>
  <c r="N5171" i="1"/>
  <c r="N3394" i="1"/>
  <c r="V4971" i="1"/>
  <c r="N5667" i="1"/>
  <c r="N5584" i="1"/>
  <c r="N5164" i="1"/>
  <c r="V4139" i="1"/>
  <c r="N4173" i="1"/>
  <c r="N1930" i="1"/>
  <c r="V2158" i="1"/>
  <c r="N5046" i="1"/>
  <c r="V4796" i="1"/>
  <c r="N5191" i="1"/>
  <c r="L5347" i="1"/>
  <c r="N2157" i="1"/>
  <c r="V5584" i="1"/>
  <c r="V2536" i="1"/>
  <c r="L6603" i="1"/>
  <c r="V590" i="1"/>
  <c r="N490" i="1"/>
  <c r="V4126" i="1"/>
  <c r="V275" i="1"/>
  <c r="N654" i="1"/>
  <c r="N4636" i="1"/>
  <c r="N3405" i="1"/>
  <c r="N4190" i="1"/>
  <c r="N4195" i="1" s="1"/>
  <c r="N833" i="1"/>
  <c r="V833" i="1"/>
  <c r="N4134" i="1"/>
  <c r="N4276" i="1"/>
  <c r="V1964" i="1"/>
  <c r="L1577" i="1"/>
  <c r="V4162" i="1"/>
  <c r="N4172" i="1"/>
  <c r="V3042" i="1"/>
  <c r="N3149" i="1"/>
  <c r="L6292" i="1"/>
  <c r="N4272" i="1"/>
  <c r="V4276" i="1"/>
  <c r="L6105" i="1"/>
  <c r="N6411" i="1"/>
  <c r="N6413" i="1" s="1"/>
  <c r="V4278" i="1"/>
  <c r="N312" i="1"/>
  <c r="N314" i="1" s="1"/>
  <c r="V4268" i="1"/>
  <c r="N4268" i="1"/>
  <c r="N2952" i="1"/>
  <c r="V3215" i="1"/>
  <c r="V644" i="1"/>
  <c r="L3878" i="1"/>
  <c r="N6527" i="1"/>
  <c r="L5776" i="1"/>
  <c r="N5286" i="1"/>
  <c r="V1701" i="1"/>
  <c r="N6514" i="1"/>
  <c r="N6516" i="1" s="1"/>
  <c r="N3502" i="1"/>
  <c r="L6015" i="1"/>
  <c r="V2298" i="1"/>
  <c r="N4880" i="1"/>
  <c r="L978" i="1"/>
  <c r="N3215" i="1"/>
  <c r="V142" i="1"/>
  <c r="V3719" i="1"/>
  <c r="N5638" i="1"/>
  <c r="V2025" i="1"/>
  <c r="V1521" i="1"/>
  <c r="L1351" i="1"/>
  <c r="L5290" i="1"/>
  <c r="N1031" i="1"/>
  <c r="N1521" i="1"/>
  <c r="N1523" i="1" s="1"/>
  <c r="N3044" i="1"/>
  <c r="N3213" i="1"/>
  <c r="V2875" i="1"/>
  <c r="L5640" i="1"/>
  <c r="N4274" i="1"/>
  <c r="N3066" i="1"/>
  <c r="N3042" i="1"/>
  <c r="N4278" i="1"/>
  <c r="V4272" i="1"/>
  <c r="N6035" i="1"/>
  <c r="N142" i="1"/>
  <c r="N147" i="1" s="1"/>
  <c r="L4967" i="1"/>
  <c r="V6231" i="1"/>
  <c r="N6011" i="1"/>
  <c r="N6015" i="1" s="1"/>
  <c r="L4089" i="1"/>
  <c r="V4274" i="1"/>
  <c r="V3211" i="1"/>
  <c r="N644" i="1"/>
  <c r="V1299" i="1"/>
  <c r="N6052" i="1"/>
  <c r="L6516" i="1"/>
  <c r="V4280" i="1"/>
  <c r="V6527" i="1"/>
  <c r="V3874" i="1"/>
  <c r="V5887" i="1"/>
  <c r="V1396" i="1"/>
  <c r="V312" i="1"/>
  <c r="N2675" i="1"/>
  <c r="N1344" i="1"/>
  <c r="L314" i="1"/>
  <c r="V2695" i="1"/>
  <c r="N3177" i="1"/>
  <c r="N2971" i="1"/>
  <c r="N3263" i="1"/>
  <c r="N6673" i="1"/>
  <c r="V3237" i="1"/>
  <c r="N4126" i="1"/>
  <c r="V490" i="1"/>
  <c r="L500" i="1"/>
  <c r="V349" i="1"/>
  <c r="L4361" i="1"/>
  <c r="V5540" i="1"/>
  <c r="N906" i="1"/>
  <c r="N6653" i="1"/>
  <c r="N4358" i="1"/>
  <c r="N4361" i="1" s="1"/>
  <c r="N3366" i="1"/>
  <c r="V5959" i="1"/>
  <c r="V906" i="1"/>
  <c r="V6653" i="1"/>
  <c r="V4155" i="1"/>
  <c r="N5162" i="1"/>
  <c r="L646" i="1"/>
  <c r="L4987" i="1"/>
  <c r="V5522" i="1"/>
  <c r="K2232" i="1"/>
  <c r="L20" i="1"/>
  <c r="L6502" i="1"/>
  <c r="I4145" i="1"/>
  <c r="L3984" i="1"/>
  <c r="K388" i="1"/>
  <c r="L6524" i="1"/>
  <c r="K6529" i="1"/>
  <c r="V6675" i="1"/>
  <c r="N6675" i="1"/>
  <c r="V1580" i="1"/>
  <c r="N1580" i="1"/>
  <c r="N1582" i="1" s="1"/>
  <c r="V6601" i="1"/>
  <c r="L9" i="1"/>
  <c r="H25" i="1"/>
  <c r="N5595" i="1"/>
  <c r="K4990" i="1"/>
  <c r="L4984" i="1"/>
  <c r="V3955" i="1"/>
  <c r="L246" i="1"/>
  <c r="N241" i="1"/>
  <c r="N246" i="1" s="1"/>
  <c r="V546" i="1"/>
  <c r="V1449" i="1"/>
  <c r="N1449" i="1"/>
  <c r="N1451" i="1" s="1"/>
  <c r="L418" i="1"/>
  <c r="N5732" i="1"/>
  <c r="L612" i="1"/>
  <c r="V6574" i="1"/>
  <c r="N6574" i="1"/>
  <c r="N6585" i="1" s="1"/>
  <c r="V5387" i="1"/>
  <c r="H388" i="1"/>
  <c r="L376" i="1"/>
  <c r="N1435" i="1"/>
  <c r="L6454" i="1"/>
  <c r="N6452" i="1"/>
  <c r="V1288" i="1"/>
  <c r="N5225" i="1"/>
  <c r="N6057" i="1"/>
  <c r="N5682" i="1"/>
  <c r="V5682" i="1"/>
  <c r="V5114" i="1"/>
  <c r="V2159" i="1"/>
  <c r="V2024" i="1"/>
  <c r="N5321" i="1"/>
  <c r="V5321" i="1"/>
  <c r="V828" i="1"/>
  <c r="V3841" i="1"/>
  <c r="N3841" i="1"/>
  <c r="V5843" i="1"/>
  <c r="V3844" i="1"/>
  <c r="N3844" i="1"/>
  <c r="V1604" i="1"/>
  <c r="N1604" i="1"/>
  <c r="N484" i="1"/>
  <c r="L487" i="1"/>
  <c r="V484" i="1"/>
  <c r="N3496" i="1"/>
  <c r="L4882" i="1"/>
  <c r="K4904" i="1"/>
  <c r="L630" i="1"/>
  <c r="N6363" i="1"/>
  <c r="L6365" i="1"/>
  <c r="N5768" i="1"/>
  <c r="V5768" i="1"/>
  <c r="I1270" i="1"/>
  <c r="L1246" i="1"/>
  <c r="N2226" i="1"/>
  <c r="N546" i="1"/>
  <c r="L1582" i="1"/>
  <c r="V1121" i="1"/>
  <c r="V3337" i="1"/>
  <c r="N3337" i="1"/>
  <c r="N3367" i="1"/>
  <c r="V6772" i="1"/>
  <c r="N6772" i="1"/>
  <c r="N2953" i="1"/>
  <c r="V3005" i="1"/>
  <c r="N3005" i="1"/>
  <c r="V3007" i="1"/>
  <c r="N3007" i="1"/>
  <c r="V3015" i="1"/>
  <c r="N3015" i="1"/>
  <c r="V4877" i="1"/>
  <c r="V2793" i="1"/>
  <c r="N2793" i="1"/>
  <c r="V2825" i="1"/>
  <c r="V2833" i="1"/>
  <c r="V2848" i="1"/>
  <c r="N2848" i="1"/>
  <c r="V2850" i="1"/>
  <c r="N2850" i="1"/>
  <c r="N2854" i="1"/>
  <c r="V2854" i="1"/>
  <c r="V2857" i="1"/>
  <c r="N2857" i="1"/>
  <c r="V2859" i="1"/>
  <c r="N2859" i="1"/>
  <c r="V4476" i="1"/>
  <c r="N4476" i="1"/>
  <c r="N4478" i="1"/>
  <c r="V4493" i="1"/>
  <c r="N4542" i="1"/>
  <c r="N4292" i="1"/>
  <c r="V6333" i="1"/>
  <c r="N6333" i="1"/>
  <c r="V1260" i="1"/>
  <c r="N4143" i="1"/>
  <c r="V5595" i="1"/>
  <c r="V5424" i="1"/>
  <c r="L1917" i="1"/>
  <c r="V1119" i="1"/>
  <c r="V4202" i="1"/>
  <c r="V2698" i="1"/>
  <c r="L6063" i="1"/>
  <c r="V6452" i="1"/>
  <c r="N610" i="1"/>
  <c r="L6752" i="1"/>
  <c r="L2221" i="1"/>
  <c r="N3477" i="1"/>
  <c r="V241" i="1"/>
  <c r="L5458" i="1"/>
  <c r="V1915" i="1"/>
  <c r="N6656" i="1"/>
  <c r="L3689" i="1"/>
  <c r="N1915" i="1"/>
  <c r="N1917" i="1" s="1"/>
  <c r="V4140" i="1"/>
  <c r="L1451" i="1"/>
  <c r="V3238" i="1"/>
  <c r="N3238" i="1"/>
  <c r="V2674" i="1"/>
  <c r="V2571" i="1"/>
  <c r="V1487" i="1"/>
  <c r="V6697" i="1"/>
  <c r="N6050" i="1"/>
  <c r="L1489" i="1"/>
  <c r="K2012" i="1"/>
  <c r="N485" i="1"/>
  <c r="K1671" i="1"/>
  <c r="K3402" i="1"/>
  <c r="K6346" i="1"/>
  <c r="I1671" i="1"/>
  <c r="V6050" i="1"/>
  <c r="K4820" i="1"/>
  <c r="L538" i="1"/>
  <c r="L1498" i="1"/>
  <c r="H2232" i="1"/>
  <c r="V1720" i="1"/>
  <c r="V6473" i="1"/>
  <c r="K5313" i="1"/>
  <c r="N6557" i="1"/>
  <c r="N6561" i="1" s="1"/>
  <c r="L2123" i="1"/>
  <c r="L4403" i="1"/>
  <c r="N4783" i="1"/>
  <c r="V1314" i="1"/>
  <c r="N3992" i="1"/>
  <c r="L1726" i="1"/>
  <c r="L1979" i="1"/>
  <c r="V3915" i="1"/>
  <c r="V3938" i="1"/>
  <c r="V1977" i="1"/>
  <c r="N1977" i="1"/>
  <c r="V2690" i="1"/>
  <c r="V3933" i="1"/>
  <c r="V2107" i="1"/>
  <c r="V1411" i="1"/>
  <c r="N2220" i="1"/>
  <c r="N6682" i="1"/>
  <c r="V2672" i="1"/>
  <c r="N3264" i="1"/>
  <c r="N3236" i="1"/>
  <c r="N2529" i="1"/>
  <c r="N1121" i="1"/>
  <c r="N1119" i="1"/>
  <c r="L1243" i="1"/>
  <c r="H1671" i="1"/>
  <c r="K5675" i="1"/>
  <c r="N1891" i="1"/>
  <c r="H4393" i="1"/>
  <c r="N5523" i="1"/>
  <c r="N4502" i="1"/>
  <c r="V4502" i="1"/>
  <c r="N4510" i="1"/>
  <c r="N4515" i="1"/>
  <c r="V4528" i="1"/>
  <c r="N4528" i="1"/>
  <c r="V4536" i="1"/>
  <c r="V4546" i="1"/>
  <c r="N4546" i="1"/>
  <c r="V4553" i="1"/>
  <c r="N4553" i="1"/>
  <c r="N4563" i="1"/>
  <c r="V4563" i="1"/>
  <c r="V4574" i="1"/>
  <c r="N4574" i="1"/>
  <c r="N4584" i="1"/>
  <c r="V4584" i="1"/>
  <c r="V4290" i="1"/>
  <c r="V5139" i="1"/>
  <c r="N1945" i="1"/>
  <c r="V1945" i="1"/>
  <c r="V4205" i="1"/>
  <c r="V3982" i="1"/>
  <c r="N3982" i="1"/>
  <c r="V4472" i="1"/>
  <c r="V4488" i="1"/>
  <c r="N4494" i="1"/>
  <c r="V4500" i="1"/>
  <c r="N4500" i="1"/>
  <c r="V4508" i="1"/>
  <c r="V4513" i="1"/>
  <c r="N4513" i="1"/>
  <c r="V4524" i="1"/>
  <c r="V4532" i="1"/>
  <c r="N4532" i="1"/>
  <c r="V4540" i="1"/>
  <c r="V4548" i="1"/>
  <c r="N4548" i="1"/>
  <c r="V4555" i="1"/>
  <c r="N4555" i="1"/>
  <c r="V4561" i="1"/>
  <c r="N4561" i="1"/>
  <c r="V4572" i="1"/>
  <c r="N4582" i="1"/>
  <c r="V4582" i="1"/>
  <c r="V4100" i="1"/>
  <c r="N4100" i="1"/>
  <c r="V5073" i="1"/>
  <c r="N4122" i="1"/>
  <c r="N3983" i="1"/>
  <c r="V3983" i="1"/>
  <c r="N4222" i="1"/>
  <c r="V1632" i="1"/>
  <c r="V4067" i="1"/>
  <c r="N4067" i="1"/>
  <c r="N5073" i="1"/>
  <c r="N4540" i="1"/>
  <c r="V4515" i="1"/>
  <c r="N4536" i="1"/>
  <c r="V4482" i="1"/>
  <c r="N4506" i="1"/>
  <c r="V4506" i="1"/>
  <c r="N4522" i="1"/>
  <c r="N4519" i="1"/>
  <c r="V4519" i="1"/>
  <c r="N4530" i="1"/>
  <c r="V4530" i="1"/>
  <c r="V4538" i="1"/>
  <c r="N4538" i="1"/>
  <c r="V4542" i="1"/>
  <c r="V4551" i="1"/>
  <c r="N4551" i="1"/>
  <c r="V4560" i="1"/>
  <c r="N4560" i="1"/>
  <c r="N4570" i="1"/>
  <c r="N4579" i="1"/>
  <c r="V4579" i="1"/>
  <c r="V4580" i="1"/>
  <c r="N4580" i="1"/>
  <c r="V4586" i="1"/>
  <c r="N4586" i="1"/>
  <c r="N4285" i="1"/>
  <c r="N3976" i="1"/>
  <c r="V3976" i="1"/>
  <c r="V5058" i="1"/>
  <c r="N5058" i="1"/>
  <c r="N5165" i="1"/>
  <c r="N5223" i="1"/>
  <c r="V5223" i="1"/>
  <c r="V4248" i="1"/>
  <c r="N4248" i="1"/>
  <c r="V4778" i="1"/>
  <c r="N4778" i="1"/>
  <c r="V5245" i="1"/>
  <c r="N5245" i="1"/>
  <c r="V4982" i="1"/>
  <c r="N4982" i="1"/>
  <c r="N5089" i="1"/>
  <c r="V1499" i="1"/>
  <c r="V1650" i="1"/>
  <c r="N4205" i="1"/>
  <c r="V5089" i="1"/>
  <c r="N4524" i="1"/>
  <c r="N4508" i="1"/>
  <c r="V4874" i="1"/>
  <c r="N4874" i="1"/>
  <c r="V4465" i="1"/>
  <c r="V4504" i="1"/>
  <c r="V4520" i="1"/>
  <c r="V4517" i="1"/>
  <c r="N4526" i="1"/>
  <c r="V4526" i="1"/>
  <c r="N4534" i="1"/>
  <c r="V4534" i="1"/>
  <c r="V4544" i="1"/>
  <c r="N4549" i="1"/>
  <c r="V4549" i="1"/>
  <c r="V4558" i="1"/>
  <c r="N4558" i="1"/>
  <c r="V4568" i="1"/>
  <c r="N4568" i="1"/>
  <c r="V4577" i="1"/>
  <c r="N4577" i="1"/>
  <c r="V4592" i="1"/>
  <c r="N4592" i="1"/>
  <c r="V3737" i="1"/>
  <c r="N3737" i="1"/>
  <c r="N4130" i="1"/>
  <c r="V4130" i="1"/>
  <c r="V4787" i="1"/>
  <c r="N4787" i="1"/>
  <c r="V5224" i="1"/>
  <c r="N5224" i="1"/>
  <c r="N5155" i="1"/>
  <c r="V5155" i="1"/>
  <c r="N5159" i="1"/>
  <c r="N4978" i="1"/>
  <c r="V5386" i="1"/>
  <c r="N5386" i="1"/>
  <c r="N3979" i="1"/>
  <c r="V3979" i="1"/>
  <c r="N5002" i="1"/>
  <c r="V3939" i="1"/>
  <c r="V5002" i="1"/>
  <c r="V4122" i="1"/>
  <c r="N4463" i="1"/>
  <c r="N4520" i="1"/>
  <c r="V4522" i="1"/>
  <c r="N5179" i="1"/>
  <c r="N2999" i="1"/>
  <c r="V4849" i="1"/>
  <c r="V4868" i="1"/>
  <c r="N2304" i="1"/>
  <c r="N2307" i="1" s="1"/>
  <c r="V3214" i="1"/>
  <c r="V1190" i="1"/>
  <c r="N4753" i="1"/>
  <c r="N6488" i="1"/>
  <c r="K6691" i="1"/>
  <c r="W3203" i="1"/>
  <c r="W6782" i="1" s="1"/>
  <c r="N2672" i="1"/>
  <c r="N3203" i="1"/>
  <c r="N3317" i="1"/>
  <c r="L6780" i="1"/>
  <c r="V3367" i="1"/>
  <c r="V3335" i="1"/>
  <c r="L553" i="1"/>
  <c r="K25" i="1"/>
  <c r="H782" i="1"/>
  <c r="I2232" i="1"/>
  <c r="V284" i="1"/>
  <c r="V697" i="1"/>
  <c r="N5539" i="1"/>
  <c r="N5484" i="1"/>
  <c r="N2631" i="1"/>
  <c r="V2953" i="1"/>
  <c r="N3179" i="1"/>
  <c r="N3078" i="1"/>
  <c r="N2393" i="1"/>
  <c r="N2571" i="1"/>
  <c r="N3211" i="1"/>
  <c r="N2333" i="1"/>
  <c r="N2940" i="1"/>
  <c r="V3213" i="1"/>
  <c r="V2333" i="1"/>
  <c r="I5869" i="1"/>
  <c r="N5646" i="1"/>
  <c r="N41" i="1"/>
  <c r="V3790" i="1"/>
  <c r="V1932" i="1"/>
  <c r="V1630" i="1"/>
  <c r="N2107" i="1"/>
  <c r="V1418" i="1"/>
  <c r="V3901" i="1"/>
  <c r="L2143" i="1"/>
  <c r="N1752" i="1"/>
  <c r="V3019" i="1"/>
  <c r="N3014" i="1"/>
  <c r="N1860" i="1"/>
  <c r="N3012" i="1"/>
  <c r="N2137" i="1"/>
  <c r="N3922" i="1"/>
  <c r="N2225" i="1"/>
  <c r="V1870" i="1"/>
  <c r="N2991" i="1"/>
  <c r="N1418" i="1"/>
  <c r="V1752" i="1"/>
  <c r="N1870" i="1"/>
  <c r="N3003" i="1"/>
  <c r="L871" i="1"/>
  <c r="V864" i="1"/>
  <c r="N4843" i="1"/>
  <c r="V4836" i="1"/>
  <c r="V4838" i="1"/>
  <c r="N4838" i="1"/>
  <c r="V4840" i="1"/>
  <c r="V4845" i="1"/>
  <c r="N4845" i="1"/>
  <c r="V4842" i="1"/>
  <c r="V4867" i="1"/>
  <c r="V4861" i="1"/>
  <c r="V4865" i="1"/>
  <c r="N4865" i="1"/>
  <c r="N4279" i="1"/>
  <c r="V4157" i="1"/>
  <c r="N4157" i="1"/>
  <c r="L4281" i="1"/>
  <c r="K4296" i="1"/>
  <c r="K4414" i="1"/>
  <c r="L4410" i="1"/>
  <c r="V6676" i="1"/>
  <c r="V6678" i="1"/>
  <c r="N3663" i="1"/>
  <c r="V1254" i="1"/>
  <c r="N1265" i="1"/>
  <c r="V5599" i="1"/>
  <c r="N2258" i="1"/>
  <c r="L4127" i="1"/>
  <c r="K4145" i="1"/>
  <c r="N1680" i="1"/>
  <c r="N1685" i="1" s="1"/>
  <c r="L1685" i="1"/>
  <c r="V1680" i="1"/>
  <c r="V6564" i="1"/>
  <c r="N6564" i="1"/>
  <c r="V1122" i="1"/>
  <c r="N1122" i="1"/>
  <c r="V1120" i="1"/>
  <c r="N1120" i="1"/>
  <c r="N1118" i="1"/>
  <c r="V1118" i="1"/>
  <c r="N3316" i="1"/>
  <c r="N3342" i="1"/>
  <c r="V3336" i="1"/>
  <c r="V3338" i="1"/>
  <c r="N3338" i="1"/>
  <c r="V3360" i="1"/>
  <c r="N3360" i="1"/>
  <c r="V2880" i="1"/>
  <c r="V2935" i="1"/>
  <c r="N2935" i="1"/>
  <c r="V2938" i="1"/>
  <c r="V3004" i="1"/>
  <c r="N3004" i="1"/>
  <c r="V3006" i="1"/>
  <c r="V3008" i="1"/>
  <c r="N3008" i="1"/>
  <c r="N3030" i="1"/>
  <c r="V3030" i="1"/>
  <c r="V958" i="1"/>
  <c r="L960" i="1"/>
  <c r="N415" i="1"/>
  <c r="V415" i="1"/>
  <c r="V6100" i="1"/>
  <c r="V5450" i="1"/>
  <c r="V469" i="1"/>
  <c r="L473" i="1"/>
  <c r="N469" i="1"/>
  <c r="N473" i="1" s="1"/>
  <c r="N6441" i="1"/>
  <c r="N6443" i="1" s="1"/>
  <c r="L2295" i="1"/>
  <c r="I2301" i="1"/>
  <c r="L4409" i="1"/>
  <c r="I4414" i="1"/>
  <c r="L2452" i="1"/>
  <c r="K2594" i="1"/>
  <c r="N1892" i="1"/>
  <c r="V5621" i="1"/>
  <c r="N5621" i="1"/>
  <c r="N2126" i="1"/>
  <c r="N2128" i="1" s="1"/>
  <c r="L2128" i="1"/>
  <c r="N6218" i="1"/>
  <c r="N6220" i="1" s="1"/>
  <c r="V6218" i="1"/>
  <c r="V2146" i="1"/>
  <c r="N86" i="1"/>
  <c r="V86" i="1"/>
  <c r="V1163" i="1"/>
  <c r="L1165" i="1"/>
  <c r="V1296" i="1"/>
  <c r="L2209" i="1"/>
  <c r="V3971" i="1"/>
  <c r="V1231" i="1"/>
  <c r="L1233" i="1"/>
  <c r="V1703" i="1"/>
  <c r="V4859" i="1"/>
  <c r="N4842" i="1"/>
  <c r="N2938" i="1"/>
  <c r="N3212" i="1"/>
  <c r="V3212" i="1"/>
  <c r="N3204" i="1"/>
  <c r="V3180" i="1"/>
  <c r="V3160" i="1"/>
  <c r="V3136" i="1"/>
  <c r="N3136" i="1"/>
  <c r="V3089" i="1"/>
  <c r="N3089" i="1"/>
  <c r="V2745" i="1"/>
  <c r="N2745" i="1"/>
  <c r="V2733" i="1"/>
  <c r="N2733" i="1"/>
  <c r="N4293" i="1"/>
  <c r="N6716" i="1"/>
  <c r="V6716" i="1"/>
  <c r="N2692" i="1"/>
  <c r="N3753" i="1"/>
  <c r="V3686" i="1"/>
  <c r="N6686" i="1"/>
  <c r="N4275" i="1"/>
  <c r="V1265" i="1"/>
  <c r="N3364" i="1"/>
  <c r="V3366" i="1"/>
  <c r="V2258" i="1"/>
  <c r="N3180" i="1"/>
  <c r="V3316" i="1"/>
  <c r="V6133" i="1"/>
  <c r="N5521" i="1"/>
  <c r="V4389" i="1"/>
  <c r="L4393" i="1"/>
  <c r="N4389" i="1"/>
  <c r="K782" i="1"/>
  <c r="L775" i="1"/>
  <c r="V5652" i="1"/>
  <c r="L3859" i="1"/>
  <c r="L683" i="1"/>
  <c r="V679" i="1"/>
  <c r="N1784" i="1"/>
  <c r="N1786" i="1" s="1"/>
  <c r="V1784" i="1"/>
  <c r="L1786" i="1"/>
  <c r="L4152" i="1"/>
  <c r="N6082" i="1"/>
  <c r="V1158" i="1"/>
  <c r="L6658" i="1"/>
  <c r="K600" i="1"/>
  <c r="N6505" i="1"/>
  <c r="I600" i="1"/>
  <c r="N4804" i="1"/>
  <c r="L4259" i="1"/>
  <c r="L13" i="1"/>
  <c r="H4904" i="1"/>
  <c r="N6544" i="1"/>
  <c r="I388" i="1"/>
  <c r="K5577" i="1"/>
  <c r="H4000" i="1"/>
  <c r="V6684" i="1"/>
  <c r="V3714" i="1"/>
  <c r="V735" i="1"/>
  <c r="N104" i="1"/>
  <c r="L6511" i="1"/>
  <c r="N2029" i="1"/>
  <c r="L5075" i="1"/>
  <c r="N6167" i="1"/>
  <c r="N6223" i="1"/>
  <c r="N3955" i="1"/>
  <c r="N4466" i="1"/>
  <c r="V4470" i="1"/>
  <c r="N4485" i="1"/>
  <c r="V4480" i="1"/>
  <c r="V4487" i="1"/>
  <c r="N4487" i="1"/>
  <c r="N4495" i="1"/>
  <c r="N4503" i="1"/>
  <c r="V4503" i="1"/>
  <c r="N4512" i="1"/>
  <c r="V4512" i="1"/>
  <c r="N4533" i="1"/>
  <c r="V4533" i="1"/>
  <c r="N4539" i="1"/>
  <c r="V4539" i="1"/>
  <c r="N4552" i="1"/>
  <c r="V4552" i="1"/>
  <c r="V4559" i="1"/>
  <c r="N4573" i="1"/>
  <c r="V4573" i="1"/>
  <c r="N4597" i="1"/>
  <c r="N4585" i="1"/>
  <c r="N4759" i="1"/>
  <c r="L4780" i="1"/>
  <c r="N1739" i="1"/>
  <c r="N4249" i="1"/>
  <c r="N4131" i="1"/>
  <c r="L5116" i="1"/>
  <c r="N5091" i="1"/>
  <c r="N2135" i="1"/>
  <c r="V2135" i="1"/>
  <c r="N4219" i="1"/>
  <c r="N5051" i="1"/>
  <c r="V5051" i="1"/>
  <c r="V5036" i="1"/>
  <c r="N3937" i="1"/>
  <c r="V3937" i="1"/>
  <c r="V5558" i="1"/>
  <c r="V354" i="1"/>
  <c r="N5193" i="1"/>
  <c r="V1763" i="1"/>
  <c r="N1763" i="1"/>
  <c r="N2685" i="1"/>
  <c r="V5091" i="1"/>
  <c r="V4562" i="1"/>
  <c r="N4565" i="1"/>
  <c r="N4875" i="1"/>
  <c r="N2822" i="1"/>
  <c r="N2828" i="1"/>
  <c r="V4468" i="1"/>
  <c r="N4468" i="1"/>
  <c r="V4490" i="1"/>
  <c r="N4497" i="1"/>
  <c r="N4501" i="1"/>
  <c r="N4507" i="1"/>
  <c r="V4507" i="1"/>
  <c r="N4521" i="1"/>
  <c r="V4516" i="1"/>
  <c r="N4516" i="1"/>
  <c r="V4523" i="1"/>
  <c r="N4523" i="1"/>
  <c r="V4541" i="1"/>
  <c r="N4541" i="1"/>
  <c r="V4545" i="1"/>
  <c r="N4550" i="1"/>
  <c r="V4576" i="1"/>
  <c r="N4587" i="1"/>
  <c r="N4583" i="1"/>
  <c r="V4583" i="1"/>
  <c r="N4284" i="1"/>
  <c r="V1929" i="1"/>
  <c r="V1735" i="1"/>
  <c r="V1740" i="1"/>
  <c r="N5030" i="1"/>
  <c r="V5030" i="1"/>
  <c r="N1925" i="1"/>
  <c r="N5243" i="1"/>
  <c r="V5615" i="1"/>
  <c r="N5615" i="1"/>
  <c r="V4792" i="1"/>
  <c r="N4792" i="1"/>
  <c r="N4061" i="1"/>
  <c r="V4061" i="1"/>
  <c r="V4054" i="1"/>
  <c r="N4054" i="1"/>
  <c r="V5181" i="1"/>
  <c r="N5568" i="1"/>
  <c r="V5568" i="1"/>
  <c r="N5616" i="1"/>
  <c r="V3932" i="1"/>
  <c r="N3932" i="1"/>
  <c r="V4883" i="1"/>
  <c r="V3795" i="1"/>
  <c r="N4614" i="1"/>
  <c r="N3936" i="1"/>
  <c r="V5175" i="1"/>
  <c r="V4554" i="1"/>
  <c r="V3936" i="1"/>
  <c r="L5060" i="1"/>
  <c r="V4219" i="1"/>
  <c r="N2219" i="1"/>
  <c r="N4559" i="1"/>
  <c r="V4529" i="1"/>
  <c r="V4587" i="1"/>
  <c r="N4288" i="1"/>
  <c r="N4535" i="1"/>
  <c r="V4585" i="1"/>
  <c r="V5616" i="1"/>
  <c r="N5181" i="1"/>
  <c r="N5558" i="1"/>
  <c r="N4490" i="1"/>
  <c r="V4872" i="1"/>
  <c r="N2814" i="1"/>
  <c r="V2814" i="1"/>
  <c r="N2853" i="1"/>
  <c r="V2853" i="1"/>
  <c r="N4483" i="1"/>
  <c r="V4499" i="1"/>
  <c r="V4505" i="1"/>
  <c r="N4505" i="1"/>
  <c r="N4511" i="1"/>
  <c r="V4514" i="1"/>
  <c r="N4518" i="1"/>
  <c r="V4518" i="1"/>
  <c r="V4527" i="1"/>
  <c r="N4527" i="1"/>
  <c r="V4531" i="1"/>
  <c r="N4531" i="1"/>
  <c r="V4537" i="1"/>
  <c r="N4543" i="1"/>
  <c r="V4543" i="1"/>
  <c r="V4556" i="1"/>
  <c r="V4565" i="1"/>
  <c r="V4578" i="1"/>
  <c r="N4578" i="1"/>
  <c r="V3963" i="1"/>
  <c r="V4983" i="1"/>
  <c r="N4983" i="1"/>
  <c r="N5109" i="1"/>
  <c r="V5109" i="1"/>
  <c r="V4212" i="1"/>
  <c r="N5583" i="1"/>
  <c r="V5574" i="1"/>
  <c r="N5574" i="1"/>
  <c r="V3796" i="1"/>
  <c r="N4529" i="1"/>
  <c r="N5175" i="1"/>
  <c r="N3742" i="1"/>
  <c r="L3755" i="1"/>
  <c r="N4581" i="1"/>
  <c r="N5618" i="1"/>
  <c r="V1739" i="1"/>
  <c r="N1740" i="1"/>
  <c r="V4569" i="1"/>
  <c r="V5193" i="1"/>
  <c r="N5591" i="1"/>
  <c r="V4497" i="1"/>
  <c r="N4884" i="1"/>
  <c r="V4884" i="1"/>
  <c r="N6081" i="1"/>
  <c r="N5545" i="1"/>
  <c r="V4754" i="1"/>
  <c r="N3266" i="1"/>
  <c r="L2307" i="1"/>
  <c r="N6201" i="1"/>
  <c r="N6166" i="1"/>
  <c r="N2252" i="1"/>
  <c r="N2255" i="1" s="1"/>
  <c r="V1185" i="1"/>
  <c r="N883" i="1"/>
  <c r="L119" i="1"/>
  <c r="V4136" i="1"/>
  <c r="V2273" i="1"/>
  <c r="V5862" i="1"/>
  <c r="V3315" i="1"/>
  <c r="N3227" i="1"/>
  <c r="V5524" i="1"/>
  <c r="N6140" i="1"/>
  <c r="V6135" i="1"/>
  <c r="N4752" i="1"/>
  <c r="N5520" i="1"/>
  <c r="N6164" i="1"/>
  <c r="N3214" i="1"/>
  <c r="N3239" i="1"/>
  <c r="N2644" i="1"/>
  <c r="H59" i="1"/>
  <c r="N6037" i="1"/>
  <c r="V5063" i="1"/>
  <c r="V4752" i="1"/>
  <c r="N2671" i="1"/>
  <c r="N4754" i="1"/>
  <c r="V3179" i="1"/>
  <c r="N2071" i="1"/>
  <c r="V1741" i="1"/>
  <c r="N3273" i="1"/>
  <c r="V3293" i="1"/>
  <c r="V3285" i="1"/>
  <c r="N3235" i="1"/>
  <c r="N1866" i="1"/>
  <c r="V2029" i="1"/>
  <c r="L1743" i="1"/>
  <c r="N1602" i="1"/>
  <c r="V1602" i="1"/>
  <c r="N1291" i="1"/>
  <c r="V1291" i="1"/>
  <c r="L1293" i="1"/>
  <c r="N6073" i="1"/>
  <c r="V6073" i="1"/>
  <c r="L6092" i="1"/>
  <c r="N5971" i="1"/>
  <c r="L521" i="1"/>
  <c r="L3883" i="1"/>
  <c r="V4358" i="1"/>
  <c r="N1924" i="1"/>
  <c r="L2067" i="1"/>
  <c r="V6082" i="1"/>
  <c r="L4018" i="1"/>
  <c r="L967" i="1"/>
  <c r="N1190" i="1"/>
  <c r="N1194" i="1" s="1"/>
  <c r="V41" i="1"/>
  <c r="V1663" i="1"/>
  <c r="V1860" i="1"/>
  <c r="V3281" i="1"/>
  <c r="V1736" i="1"/>
  <c r="V3251" i="1"/>
  <c r="N4926" i="1"/>
  <c r="L1240" i="1"/>
  <c r="V6550" i="1"/>
  <c r="V4229" i="1"/>
  <c r="N5880" i="1"/>
  <c r="L30" i="1"/>
  <c r="N970" i="1"/>
  <c r="N973" i="1" s="1"/>
  <c r="N330" i="1"/>
  <c r="N6550" i="1"/>
  <c r="V844" i="1"/>
  <c r="V6681" i="1"/>
  <c r="V4702" i="1"/>
  <c r="V3907" i="1"/>
  <c r="V1317" i="1"/>
  <c r="N1317" i="1"/>
  <c r="N6523" i="1"/>
  <c r="V6523" i="1"/>
  <c r="V4629" i="1"/>
  <c r="N4629" i="1"/>
  <c r="V3929" i="1"/>
  <c r="V5185" i="1"/>
  <c r="N5185" i="1"/>
  <c r="V5977" i="1"/>
  <c r="L3706" i="1"/>
  <c r="V6079" i="1"/>
  <c r="V5669" i="1"/>
  <c r="L6650" i="1"/>
  <c r="N6061" i="1"/>
  <c r="V1309" i="1"/>
  <c r="N5597" i="1"/>
  <c r="N1746" i="1"/>
  <c r="N1749" i="1" s="1"/>
  <c r="V2078" i="1"/>
  <c r="N5163" i="1"/>
  <c r="I5982" i="1"/>
  <c r="L1749" i="1"/>
  <c r="N1185" i="1"/>
  <c r="N1187" i="1" s="1"/>
  <c r="L1187" i="1"/>
  <c r="V6328" i="1"/>
  <c r="V2162" i="1"/>
  <c r="L6475" i="1"/>
  <c r="N1456" i="1"/>
  <c r="V661" i="1"/>
  <c r="N4641" i="1"/>
  <c r="V2475" i="1"/>
  <c r="V2497" i="1"/>
  <c r="V4567" i="1"/>
  <c r="V4550" i="1"/>
  <c r="N4547" i="1"/>
  <c r="N4562" i="1"/>
  <c r="N4556" i="1"/>
  <c r="N4537" i="1"/>
  <c r="N4514" i="1"/>
  <c r="N3963" i="1"/>
  <c r="N4567" i="1"/>
  <c r="V4597" i="1"/>
  <c r="V4525" i="1"/>
  <c r="V4759" i="1"/>
  <c r="N2523" i="1"/>
  <c r="V4521" i="1"/>
  <c r="V4511" i="1"/>
  <c r="V4862" i="1"/>
  <c r="N4841" i="1"/>
  <c r="N4566" i="1"/>
  <c r="N4832" i="1"/>
  <c r="V2453" i="1"/>
  <c r="N4866" i="1"/>
  <c r="N4864" i="1"/>
  <c r="V4839" i="1"/>
  <c r="N1236" i="1"/>
  <c r="N1240" i="1" s="1"/>
  <c r="V2455" i="1"/>
  <c r="V2477" i="1"/>
  <c r="N2503" i="1"/>
  <c r="V4846" i="1"/>
  <c r="N4854" i="1"/>
  <c r="V4858" i="1"/>
  <c r="N2487" i="1"/>
  <c r="N4458" i="1"/>
  <c r="N4862" i="1"/>
  <c r="N4844" i="1"/>
  <c r="V4841" i="1"/>
  <c r="N4837" i="1"/>
  <c r="N4852" i="1"/>
  <c r="N4856" i="1"/>
  <c r="N4846" i="1"/>
  <c r="V4844" i="1"/>
  <c r="N4839" i="1"/>
  <c r="V4837" i="1"/>
  <c r="N4860" i="1"/>
  <c r="N4850" i="1"/>
  <c r="N2475" i="1"/>
  <c r="N2493" i="1"/>
  <c r="V2515" i="1"/>
  <c r="V2459" i="1"/>
  <c r="V2495" i="1"/>
  <c r="V2507" i="1"/>
  <c r="N2519" i="1"/>
  <c r="N131" i="1"/>
  <c r="V2509" i="1"/>
  <c r="V2469" i="1"/>
  <c r="N2463" i="1"/>
  <c r="N2471" i="1"/>
  <c r="N2481" i="1"/>
  <c r="N2485" i="1"/>
  <c r="V2489" i="1"/>
  <c r="N2505" i="1"/>
  <c r="N2509" i="1"/>
  <c r="V2513" i="1"/>
  <c r="N2517" i="1"/>
  <c r="V2525" i="1"/>
  <c r="V2527" i="1"/>
  <c r="N2507" i="1"/>
  <c r="N2521" i="1"/>
  <c r="N2501" i="1"/>
  <c r="V2491" i="1"/>
  <c r="V2519" i="1"/>
  <c r="N2513" i="1"/>
  <c r="N2467" i="1"/>
  <c r="N2473" i="1"/>
  <c r="N2511" i="1"/>
  <c r="N2479" i="1"/>
  <c r="V2505" i="1"/>
  <c r="V2483" i="1"/>
  <c r="V2465" i="1"/>
  <c r="V2493" i="1"/>
  <c r="N2453" i="1"/>
  <c r="N2455" i="1"/>
  <c r="V2457" i="1"/>
  <c r="N2459" i="1"/>
  <c r="N2477" i="1"/>
  <c r="N2483" i="1"/>
  <c r="N2491" i="1"/>
  <c r="N2525" i="1"/>
  <c r="N2527" i="1"/>
  <c r="N2573" i="1"/>
  <c r="N2985" i="1"/>
  <c r="N2465" i="1"/>
  <c r="V2523" i="1"/>
  <c r="V2501" i="1"/>
  <c r="V2461" i="1"/>
  <c r="V2481" i="1"/>
  <c r="N2497" i="1"/>
  <c r="V2499" i="1"/>
  <c r="N2469" i="1"/>
  <c r="N5547" i="1"/>
  <c r="N6135" i="1"/>
  <c r="V6144" i="1"/>
  <c r="V5532" i="1"/>
  <c r="V3275" i="1"/>
  <c r="N3311" i="1"/>
  <c r="N3251" i="1"/>
  <c r="N3305" i="1"/>
  <c r="N6133" i="1"/>
  <c r="V6140" i="1"/>
  <c r="V6186" i="1"/>
  <c r="V3299" i="1"/>
  <c r="V3313" i="1"/>
  <c r="N6138" i="1"/>
  <c r="V6131" i="1"/>
  <c r="N6175" i="1"/>
  <c r="V3350" i="1"/>
  <c r="V3319" i="1"/>
  <c r="N3319" i="1"/>
  <c r="N3325" i="1"/>
  <c r="V3341" i="1"/>
  <c r="V3352" i="1"/>
  <c r="N3024" i="1"/>
  <c r="V5610" i="1"/>
  <c r="N5610" i="1"/>
  <c r="N3650" i="1"/>
  <c r="V3650" i="1"/>
  <c r="N1767" i="1"/>
  <c r="V1767" i="1"/>
  <c r="L481" i="1"/>
  <c r="V6679" i="1"/>
  <c r="L6691" i="1"/>
  <c r="N6679" i="1"/>
  <c r="V5397" i="1"/>
  <c r="L4932" i="1"/>
  <c r="N3724" i="1"/>
  <c r="N864" i="1"/>
  <c r="N5536" i="1"/>
  <c r="N6165" i="1"/>
  <c r="L664" i="1"/>
  <c r="N4137" i="1"/>
  <c r="V6234" i="1"/>
  <c r="N2316" i="1"/>
  <c r="N805" i="1"/>
  <c r="V28" i="1"/>
  <c r="V5228" i="1"/>
  <c r="V5322" i="1"/>
  <c r="V6061" i="1"/>
  <c r="V3966" i="1"/>
  <c r="V6037" i="1"/>
  <c r="V4802" i="1"/>
  <c r="V3924" i="1"/>
  <c r="V6223" i="1"/>
  <c r="N6152" i="1"/>
  <c r="N6142" i="1"/>
  <c r="N5538" i="1"/>
  <c r="K3782" i="1"/>
  <c r="I514" i="1"/>
  <c r="V5341" i="1"/>
  <c r="V4014" i="1"/>
  <c r="V4670" i="1"/>
  <c r="V5340" i="1"/>
  <c r="V1505" i="1"/>
  <c r="N4060" i="1"/>
  <c r="N6079" i="1"/>
  <c r="V6552" i="1"/>
  <c r="N4014" i="1"/>
  <c r="N4018" i="1" s="1"/>
  <c r="N6473" i="1"/>
  <c r="N6475" i="1" s="1"/>
  <c r="V1971" i="1"/>
  <c r="N524" i="1"/>
  <c r="N530" i="1" s="1"/>
  <c r="N3907" i="1"/>
  <c r="N3909" i="1" s="1"/>
  <c r="L3909" i="1"/>
  <c r="V5455" i="1"/>
  <c r="V1226" i="1"/>
  <c r="N2690" i="1"/>
  <c r="N2668" i="1"/>
  <c r="V3028" i="1"/>
  <c r="V3016" i="1"/>
  <c r="N4128" i="1"/>
  <c r="N21" i="1"/>
  <c r="V1509" i="1"/>
  <c r="N840" i="1"/>
  <c r="V1601" i="1"/>
  <c r="N1929" i="1"/>
  <c r="V2106" i="1"/>
  <c r="N4221" i="1"/>
  <c r="N3929" i="1"/>
  <c r="V3900" i="1"/>
  <c r="N4034" i="1"/>
  <c r="V4221" i="1"/>
  <c r="N3795" i="1"/>
  <c r="V3393" i="1"/>
  <c r="N1920" i="1"/>
  <c r="V2668" i="1"/>
  <c r="N3900" i="1"/>
  <c r="N3026" i="1"/>
  <c r="N3020" i="1"/>
  <c r="V3024" i="1"/>
  <c r="V4128" i="1"/>
  <c r="L4233" i="1"/>
  <c r="V2023" i="1"/>
  <c r="N1765" i="1"/>
  <c r="V3022" i="1"/>
  <c r="L6243" i="1"/>
  <c r="N6131" i="1"/>
  <c r="N5486" i="1"/>
  <c r="N6189" i="1"/>
  <c r="N6288" i="1"/>
  <c r="N6292" i="1" s="1"/>
  <c r="N3283" i="1"/>
  <c r="L3734" i="1"/>
  <c r="V5537" i="1"/>
  <c r="V5709" i="1"/>
  <c r="N6181" i="1"/>
  <c r="N6171" i="1"/>
  <c r="V3839" i="1"/>
  <c r="N5063" i="1"/>
  <c r="V5486" i="1"/>
  <c r="N3265" i="1"/>
  <c r="V3724" i="1"/>
  <c r="L623" i="1"/>
  <c r="K625" i="1"/>
  <c r="V6744" i="1"/>
  <c r="N5862" i="1"/>
  <c r="V4184" i="1"/>
  <c r="N5594" i="1"/>
  <c r="V4618" i="1"/>
  <c r="N99" i="1"/>
  <c r="N1736" i="1"/>
  <c r="V5597" i="1"/>
  <c r="N5978" i="1"/>
  <c r="V5846" i="1"/>
  <c r="N5455" i="1"/>
  <c r="L5678" i="1"/>
  <c r="N4631" i="1"/>
  <c r="V6483" i="1"/>
  <c r="V5237" i="1"/>
  <c r="V99" i="1"/>
  <c r="V3704" i="1"/>
  <c r="V1456" i="1"/>
  <c r="N4184" i="1"/>
  <c r="N3701" i="1"/>
  <c r="V2133" i="1"/>
  <c r="N3704" i="1"/>
  <c r="N1643" i="1"/>
  <c r="L2111" i="1"/>
  <c r="N4811" i="1"/>
  <c r="N5026" i="1"/>
  <c r="N3287" i="1"/>
  <c r="N3249" i="1"/>
  <c r="V5243" i="1"/>
  <c r="V5026" i="1"/>
  <c r="N2320" i="1"/>
  <c r="N4624" i="1"/>
  <c r="N4273" i="1"/>
  <c r="V3241" i="1"/>
  <c r="V1857" i="1"/>
  <c r="N5114" i="1"/>
  <c r="V3012" i="1"/>
  <c r="V3003" i="1"/>
  <c r="V2999" i="1"/>
  <c r="V2995" i="1"/>
  <c r="V2991" i="1"/>
  <c r="V4273" i="1"/>
  <c r="N4993" i="1"/>
  <c r="V2828" i="1"/>
  <c r="V2822" i="1"/>
  <c r="V3269" i="1"/>
  <c r="V3253" i="1"/>
  <c r="V2606" i="1"/>
  <c r="V2610" i="1"/>
  <c r="N3309" i="1"/>
  <c r="N4594" i="1"/>
  <c r="N5139" i="1"/>
  <c r="N4480" i="1"/>
  <c r="N2997" i="1"/>
  <c r="V4485" i="1"/>
  <c r="V4473" i="1"/>
  <c r="N3001" i="1"/>
  <c r="N2995" i="1"/>
  <c r="N4496" i="1"/>
  <c r="N2600" i="1"/>
  <c r="V4491" i="1"/>
  <c r="V4851" i="1"/>
  <c r="V4486" i="1"/>
  <c r="N4853" i="1"/>
  <c r="V5244" i="1"/>
  <c r="V5200" i="1"/>
  <c r="N4031" i="1"/>
  <c r="V4594" i="1"/>
  <c r="V3247" i="1"/>
  <c r="N3241" i="1"/>
  <c r="V4271" i="1"/>
  <c r="N5304" i="1"/>
  <c r="V4277" i="1"/>
  <c r="V3267" i="1"/>
  <c r="N2826" i="1"/>
  <c r="N2820" i="1"/>
  <c r="V3229" i="1"/>
  <c r="V3243" i="1"/>
  <c r="V3255" i="1"/>
  <c r="V2616" i="1"/>
  <c r="V2830" i="1"/>
  <c r="V3295" i="1"/>
  <c r="V4464" i="1"/>
  <c r="N4470" i="1"/>
  <c r="V4466" i="1"/>
  <c r="N1794" i="1"/>
  <c r="V4498" i="1"/>
  <c r="V4494" i="1"/>
  <c r="N4857" i="1"/>
  <c r="N4459" i="1"/>
  <c r="N4461" i="1"/>
  <c r="N2830" i="1"/>
  <c r="N4879" i="1"/>
  <c r="V4279" i="1"/>
  <c r="V4811" i="1"/>
  <c r="V4980" i="1"/>
  <c r="N3253" i="1"/>
  <c r="V3291" i="1"/>
  <c r="N3303" i="1"/>
  <c r="V5101" i="1"/>
  <c r="V4624" i="1"/>
  <c r="N3971" i="1"/>
  <c r="V4275" i="1"/>
  <c r="V4993" i="1"/>
  <c r="V3014" i="1"/>
  <c r="V3010" i="1"/>
  <c r="V2993" i="1"/>
  <c r="V2989" i="1"/>
  <c r="V2826" i="1"/>
  <c r="V2820" i="1"/>
  <c r="V3271" i="1"/>
  <c r="V3231" i="1"/>
  <c r="V2624" i="1"/>
  <c r="V4483" i="1"/>
  <c r="N4491" i="1"/>
  <c r="N4849" i="1"/>
  <c r="N4498" i="1"/>
  <c r="V4857" i="1"/>
  <c r="V4459" i="1"/>
  <c r="N4486" i="1"/>
  <c r="N4859" i="1"/>
  <c r="V4461" i="1"/>
  <c r="N4125" i="1"/>
  <c r="V5382" i="1"/>
  <c r="V5162" i="1"/>
  <c r="N2944" i="1"/>
  <c r="V3323" i="1"/>
  <c r="N3018" i="1"/>
  <c r="V3018" i="1"/>
  <c r="N3356" i="1"/>
  <c r="N3347" i="1"/>
  <c r="V3020" i="1"/>
  <c r="N3345" i="1"/>
  <c r="N3339" i="1"/>
  <c r="V3333" i="1"/>
  <c r="V3329" i="1"/>
  <c r="V3321" i="1"/>
  <c r="N3343" i="1"/>
  <c r="N3354" i="1"/>
  <c r="N3358" i="1"/>
  <c r="V3347" i="1"/>
  <c r="N3349" i="1"/>
  <c r="V3339" i="1"/>
  <c r="N3350" i="1"/>
  <c r="N3028" i="1"/>
  <c r="V3354" i="1"/>
  <c r="N3352" i="1"/>
  <c r="V3349" i="1"/>
  <c r="V2480" i="1"/>
  <c r="N3327" i="1"/>
  <c r="V3327" i="1"/>
  <c r="V279" i="1"/>
  <c r="N582" i="1"/>
  <c r="V131" i="1"/>
  <c r="V2640" i="1"/>
  <c r="V2119" i="1"/>
  <c r="V4129" i="1"/>
  <c r="N4129" i="1"/>
  <c r="V592" i="1"/>
  <c r="N592" i="1"/>
  <c r="V4132" i="1"/>
  <c r="L1304" i="1"/>
  <c r="N1302" i="1"/>
  <c r="V1302" i="1"/>
  <c r="N589" i="1"/>
  <c r="N2119" i="1"/>
  <c r="N2123" i="1" s="1"/>
  <c r="L4820" i="1"/>
  <c r="V6526" i="1"/>
  <c r="N279" i="1"/>
  <c r="N1815" i="1"/>
  <c r="V4642" i="1"/>
  <c r="N4642" i="1"/>
  <c r="L700" i="1"/>
  <c r="N5551" i="1"/>
  <c r="V4753" i="1"/>
  <c r="V4751" i="1"/>
  <c r="N1715" i="1"/>
  <c r="N1717" i="1" s="1"/>
  <c r="N47" i="1"/>
  <c r="N5240" i="1"/>
  <c r="V3817" i="1"/>
  <c r="L3819" i="1"/>
  <c r="N3817" i="1"/>
  <c r="N3819" i="1" s="1"/>
  <c r="V1872" i="1"/>
  <c r="N1872" i="1"/>
  <c r="N3750" i="1"/>
  <c r="V1417" i="1"/>
  <c r="V1801" i="1"/>
  <c r="N1801" i="1"/>
  <c r="L5916" i="1"/>
  <c r="V1878" i="1"/>
  <c r="V1869" i="1"/>
  <c r="V1649" i="1"/>
  <c r="V4979" i="1"/>
  <c r="V2072" i="1"/>
  <c r="N1976" i="1"/>
  <c r="V1976" i="1"/>
  <c r="V1934" i="1"/>
  <c r="N963" i="1"/>
  <c r="N967" i="1" s="1"/>
  <c r="V963" i="1"/>
  <c r="N5959" i="1"/>
  <c r="N680" i="1"/>
  <c r="N4048" i="1"/>
  <c r="V6521" i="1"/>
  <c r="N6521" i="1"/>
  <c r="N5797" i="1"/>
  <c r="V5797" i="1"/>
  <c r="V6551" i="1"/>
  <c r="N1649" i="1"/>
  <c r="N5341" i="1"/>
  <c r="N6648" i="1"/>
  <c r="N6650" i="1" s="1"/>
  <c r="V6648" i="1"/>
  <c r="V4190" i="1"/>
  <c r="L1907" i="1"/>
  <c r="V1905" i="1"/>
  <c r="N1666" i="1"/>
  <c r="V1666" i="1"/>
  <c r="N1417" i="1"/>
  <c r="N1878" i="1"/>
  <c r="N1864" i="1"/>
  <c r="N4981" i="1"/>
  <c r="N5979" i="1"/>
  <c r="V5979" i="1"/>
  <c r="V3750" i="1"/>
  <c r="V1297" i="1"/>
  <c r="N1297" i="1"/>
  <c r="V5587" i="1"/>
  <c r="N4096" i="1"/>
  <c r="V4096" i="1"/>
  <c r="V4630" i="1"/>
  <c r="V4795" i="1"/>
  <c r="N4810" i="1"/>
  <c r="V479" i="1"/>
  <c r="V5971" i="1"/>
  <c r="V4998" i="1"/>
  <c r="V524" i="1"/>
  <c r="V805" i="1"/>
  <c r="N3881" i="1"/>
  <c r="N3883" i="1" s="1"/>
  <c r="V5605" i="1"/>
  <c r="N4802" i="1"/>
  <c r="N844" i="1"/>
  <c r="N5846" i="1"/>
  <c r="V1646" i="1"/>
  <c r="V2316" i="1"/>
  <c r="N1197" i="1"/>
  <c r="N1199" i="1" s="1"/>
  <c r="V3881" i="1"/>
  <c r="N5322" i="1"/>
  <c r="V330" i="1"/>
  <c r="V4641" i="1"/>
  <c r="V5067" i="1"/>
  <c r="N6507" i="1"/>
  <c r="V5163" i="1"/>
  <c r="N1630" i="1"/>
  <c r="N1247" i="1"/>
  <c r="V2544" i="1"/>
  <c r="N2612" i="1"/>
  <c r="V2602" i="1"/>
  <c r="V2620" i="1"/>
  <c r="V2664" i="1"/>
  <c r="V6256" i="1"/>
  <c r="V2575" i="1"/>
  <c r="N3321" i="1"/>
  <c r="N2638" i="1"/>
  <c r="N5529" i="1"/>
  <c r="N5702" i="1"/>
  <c r="V2618" i="1"/>
  <c r="V2612" i="1"/>
  <c r="V2622" i="1"/>
  <c r="V2632" i="1"/>
  <c r="V2649" i="1"/>
  <c r="N6261" i="1"/>
  <c r="V3331" i="1"/>
  <c r="V3325" i="1"/>
  <c r="N2591" i="1"/>
  <c r="V2589" i="1"/>
  <c r="N3329" i="1"/>
  <c r="N6256" i="1"/>
  <c r="V5547" i="1"/>
  <c r="N5555" i="1"/>
  <c r="V5553" i="1"/>
  <c r="N2645" i="1"/>
  <c r="V2546" i="1"/>
  <c r="N2642" i="1"/>
  <c r="V2604" i="1"/>
  <c r="V2614" i="1"/>
  <c r="N2655" i="1"/>
  <c r="V2581" i="1"/>
  <c r="V2585" i="1"/>
  <c r="V5084" i="1"/>
  <c r="N621" i="1"/>
  <c r="N5560" i="1"/>
  <c r="N3272" i="1"/>
  <c r="N3002" i="1"/>
  <c r="N2512" i="1"/>
  <c r="V2500" i="1"/>
  <c r="V3344" i="1"/>
  <c r="V2998" i="1"/>
  <c r="V3013" i="1"/>
  <c r="V2520" i="1"/>
  <c r="N2821" i="1"/>
  <c r="V1322" i="1"/>
  <c r="V3753" i="1"/>
  <c r="N3346" i="1"/>
  <c r="N3027" i="1"/>
  <c r="N2510" i="1"/>
  <c r="N2829" i="1"/>
  <c r="N2496" i="1"/>
  <c r="N3274" i="1"/>
  <c r="V3262" i="1"/>
  <c r="V2526" i="1"/>
  <c r="V2458" i="1"/>
  <c r="V2488" i="1"/>
  <c r="N2486" i="1"/>
  <c r="V3304" i="1"/>
  <c r="N3276" i="1"/>
  <c r="N2490" i="1"/>
  <c r="N2472" i="1"/>
  <c r="V2464" i="1"/>
  <c r="V2492" i="1"/>
  <c r="N2516" i="1"/>
  <c r="N2514" i="1"/>
  <c r="N3280" i="1"/>
  <c r="V3353" i="1"/>
  <c r="V2474" i="1"/>
  <c r="N2498" i="1"/>
  <c r="V2524" i="1"/>
  <c r="V2472" i="1"/>
  <c r="N2508" i="1"/>
  <c r="V2225" i="1"/>
  <c r="V3314" i="1"/>
  <c r="V3290" i="1"/>
  <c r="N3296" i="1"/>
  <c r="N3292" i="1"/>
  <c r="N3288" i="1"/>
  <c r="V3351" i="1"/>
  <c r="V3346" i="1"/>
  <c r="N3031" i="1"/>
  <c r="N3029" i="1"/>
  <c r="V3023" i="1"/>
  <c r="N3355" i="1"/>
  <c r="N3348" i="1"/>
  <c r="V3025" i="1"/>
  <c r="N3000" i="1"/>
  <c r="N3011" i="1"/>
  <c r="V3002" i="1"/>
  <c r="N2992" i="1"/>
  <c r="N3365" i="1"/>
  <c r="N2994" i="1"/>
  <c r="N3009" i="1"/>
  <c r="N2990" i="1"/>
  <c r="N3310" i="1"/>
  <c r="V2456" i="1"/>
  <c r="N2476" i="1"/>
  <c r="N2474" i="1"/>
  <c r="V2516" i="1"/>
  <c r="N2480" i="1"/>
  <c r="N2462" i="1"/>
  <c r="N2466" i="1"/>
  <c r="V2518" i="1"/>
  <c r="N2827" i="1"/>
  <c r="N2484" i="1"/>
  <c r="V2486" i="1"/>
  <c r="N2996" i="1"/>
  <c r="V3021" i="1"/>
  <c r="V3017" i="1"/>
  <c r="V3363" i="1"/>
  <c r="V3270" i="1"/>
  <c r="N3302" i="1"/>
  <c r="N3282" i="1"/>
  <c r="N3359" i="1"/>
  <c r="V3011" i="1"/>
  <c r="V3365" i="1"/>
  <c r="V2994" i="1"/>
  <c r="N3013" i="1"/>
  <c r="V2990" i="1"/>
  <c r="V3312" i="1"/>
  <c r="N2470" i="1"/>
  <c r="N2468" i="1"/>
  <c r="V2496" i="1"/>
  <c r="N2454" i="1"/>
  <c r="N2524" i="1"/>
  <c r="V2466" i="1"/>
  <c r="V2478" i="1"/>
  <c r="V2482" i="1"/>
  <c r="V2490" i="1"/>
  <c r="N2520" i="1"/>
  <c r="V2522" i="1"/>
  <c r="N2831" i="1"/>
  <c r="N2867" i="1"/>
  <c r="N2494" i="1"/>
  <c r="V2468" i="1"/>
  <c r="V2502" i="1"/>
  <c r="N1323" i="1"/>
  <c r="V1937" i="1"/>
  <c r="N3262" i="1"/>
  <c r="V2470" i="1"/>
  <c r="N3290" i="1"/>
  <c r="V3306" i="1"/>
  <c r="N3278" i="1"/>
  <c r="V2865" i="1"/>
  <c r="V3355" i="1"/>
  <c r="V3357" i="1"/>
  <c r="V3031" i="1"/>
  <c r="N3023" i="1"/>
  <c r="N3353" i="1"/>
  <c r="N2998" i="1"/>
  <c r="V2992" i="1"/>
  <c r="N3298" i="1"/>
  <c r="V3009" i="1"/>
  <c r="V2996" i="1"/>
  <c r="N2502" i="1"/>
  <c r="N2500" i="1"/>
  <c r="N2504" i="1"/>
  <c r="N2488" i="1"/>
  <c r="V2506" i="1"/>
  <c r="N2518" i="1"/>
  <c r="V2528" i="1"/>
  <c r="N2823" i="1"/>
  <c r="N2456" i="1"/>
  <c r="V2460" i="1"/>
  <c r="N2464" i="1"/>
  <c r="V1323" i="1"/>
  <c r="N2563" i="1"/>
  <c r="V2639" i="1"/>
  <c r="L5389" i="1"/>
  <c r="N5550" i="1"/>
  <c r="V2553" i="1"/>
  <c r="N5580" i="1"/>
  <c r="V2601" i="1"/>
  <c r="N3340" i="1"/>
  <c r="N2665" i="1"/>
  <c r="N3324" i="1"/>
  <c r="N2641" i="1"/>
  <c r="V2895" i="1"/>
  <c r="V3326" i="1"/>
  <c r="V2659" i="1"/>
  <c r="V3340" i="1"/>
  <c r="N4411" i="1"/>
  <c r="N2629" i="1"/>
  <c r="N2635" i="1"/>
  <c r="N2623" i="1"/>
  <c r="V5111" i="1"/>
  <c r="V2557" i="1"/>
  <c r="V2609" i="1"/>
  <c r="V4458" i="1"/>
  <c r="V4463" i="1"/>
  <c r="V4875" i="1"/>
  <c r="V4474" i="1"/>
  <c r="V4469" i="1"/>
  <c r="V3332" i="1"/>
  <c r="N3330" i="1"/>
  <c r="V3320" i="1"/>
  <c r="V3318" i="1"/>
  <c r="N3452" i="1"/>
  <c r="V4284" i="1"/>
  <c r="V4812" i="1"/>
  <c r="V4134" i="1"/>
  <c r="N3921" i="1"/>
  <c r="N2103" i="1"/>
  <c r="N4124" i="1"/>
  <c r="L5203" i="1"/>
  <c r="V4411" i="1"/>
  <c r="N4132" i="1"/>
  <c r="N3901" i="1"/>
  <c r="L5232" i="1"/>
  <c r="N3912" i="1"/>
  <c r="V5165" i="1"/>
  <c r="V2663" i="1"/>
  <c r="V2599" i="1"/>
  <c r="V2635" i="1"/>
  <c r="V2543" i="1"/>
  <c r="N4465" i="1"/>
  <c r="N4472" i="1"/>
  <c r="V4467" i="1"/>
  <c r="V3342" i="1"/>
  <c r="V3334" i="1"/>
  <c r="N3328" i="1"/>
  <c r="N2315" i="1"/>
  <c r="V3452" i="1"/>
  <c r="L2704" i="1"/>
  <c r="V2667" i="1"/>
  <c r="V2607" i="1"/>
  <c r="V2637" i="1"/>
  <c r="N2553" i="1"/>
  <c r="V2565" i="1"/>
  <c r="V4460" i="1"/>
  <c r="N4482" i="1"/>
  <c r="N4474" i="1"/>
  <c r="N4872" i="1"/>
  <c r="N3332" i="1"/>
  <c r="V3328" i="1"/>
  <c r="V3322" i="1"/>
  <c r="V2578" i="1"/>
  <c r="V1815" i="1"/>
  <c r="L1819" i="1"/>
  <c r="N1499" i="1"/>
  <c r="N1650" i="1"/>
  <c r="N1661" i="1"/>
  <c r="N1314" i="1"/>
  <c r="N1632" i="1"/>
  <c r="V1661" i="1"/>
  <c r="N103" i="1"/>
  <c r="V1765" i="1"/>
  <c r="N618" i="1"/>
  <c r="V122" i="1"/>
  <c r="N325" i="1"/>
  <c r="N5526" i="1"/>
  <c r="N1526" i="1"/>
  <c r="N1529" i="1" s="1"/>
  <c r="V617" i="1"/>
  <c r="L1328" i="1"/>
  <c r="N742" i="1"/>
  <c r="N1325" i="1"/>
  <c r="N1322" i="1"/>
  <c r="N3297" i="1"/>
  <c r="N3299" i="1"/>
  <c r="V3307" i="1"/>
  <c r="V3235" i="1"/>
  <c r="V3245" i="1"/>
  <c r="V3257" i="1"/>
  <c r="V3259" i="1"/>
  <c r="N3301" i="1"/>
  <c r="N3281" i="1"/>
  <c r="V3311" i="1"/>
  <c r="V3287" i="1"/>
  <c r="V3305" i="1"/>
  <c r="N3267" i="1"/>
  <c r="V3277" i="1"/>
  <c r="V3279" i="1"/>
  <c r="V3289" i="1"/>
  <c r="V3297" i="1"/>
  <c r="N3277" i="1"/>
  <c r="N3293" i="1"/>
  <c r="V3308" i="1"/>
  <c r="N3306" i="1"/>
  <c r="N2659" i="1"/>
  <c r="V2650" i="1"/>
  <c r="V2656" i="1"/>
  <c r="N2609" i="1"/>
  <c r="N2621" i="1"/>
  <c r="V2621" i="1"/>
  <c r="V2629" i="1"/>
  <c r="V2623" i="1"/>
  <c r="V3278" i="1"/>
  <c r="N3245" i="1"/>
  <c r="V582" i="1"/>
  <c r="V3206" i="1"/>
  <c r="N3200" i="1"/>
  <c r="N2702" i="1"/>
  <c r="V2702" i="1"/>
  <c r="N2696" i="1"/>
  <c r="V2696" i="1"/>
  <c r="V2680" i="1"/>
  <c r="N2678" i="1"/>
  <c r="V2678" i="1"/>
  <c r="V2676" i="1"/>
  <c r="V2669" i="1"/>
  <c r="N2669" i="1"/>
  <c r="N2661" i="1"/>
  <c r="V2661" i="1"/>
  <c r="N2654" i="1"/>
  <c r="V2654" i="1"/>
  <c r="V2652" i="1"/>
  <c r="V2648" i="1"/>
  <c r="N2646" i="1"/>
  <c r="N2643" i="1"/>
  <c r="V2643" i="1"/>
  <c r="V2641" i="1"/>
  <c r="N2637" i="1"/>
  <c r="N2633" i="1"/>
  <c r="V2627" i="1"/>
  <c r="N2625" i="1"/>
  <c r="V2619" i="1"/>
  <c r="N2619" i="1"/>
  <c r="V2617" i="1"/>
  <c r="V2615" i="1"/>
  <c r="N2613" i="1"/>
  <c r="N2611" i="1"/>
  <c r="N2605" i="1"/>
  <c r="N2603" i="1"/>
  <c r="V2603" i="1"/>
  <c r="V2590" i="1"/>
  <c r="N2590" i="1"/>
  <c r="N2588" i="1"/>
  <c r="V2588" i="1"/>
  <c r="V2586" i="1"/>
  <c r="N2586" i="1"/>
  <c r="N2584" i="1"/>
  <c r="V2584" i="1"/>
  <c r="V2582" i="1"/>
  <c r="N2582" i="1"/>
  <c r="N2580" i="1"/>
  <c r="V2580" i="1"/>
  <c r="N2576" i="1"/>
  <c r="V2576" i="1"/>
  <c r="V2574" i="1"/>
  <c r="N2574" i="1"/>
  <c r="N2572" i="1"/>
  <c r="V2572" i="1"/>
  <c r="V2569" i="1"/>
  <c r="N2569" i="1"/>
  <c r="N2567" i="1"/>
  <c r="N2565" i="1"/>
  <c r="V2563" i="1"/>
  <c r="N2561" i="1"/>
  <c r="V2561" i="1"/>
  <c r="N2559" i="1"/>
  <c r="V2559" i="1"/>
  <c r="V2555" i="1"/>
  <c r="N2555" i="1"/>
  <c r="V2551" i="1"/>
  <c r="V2549" i="1"/>
  <c r="N2549" i="1"/>
  <c r="N2547" i="1"/>
  <c r="V2545" i="1"/>
  <c r="N2545" i="1"/>
  <c r="N2543" i="1"/>
  <c r="N2541" i="1"/>
  <c r="V2541" i="1"/>
  <c r="V2539" i="1"/>
  <c r="N2539" i="1"/>
  <c r="V2537" i="1"/>
  <c r="N2537" i="1"/>
  <c r="N2535" i="1"/>
  <c r="V2533" i="1"/>
  <c r="N2533" i="1"/>
  <c r="N2531" i="1"/>
  <c r="N2652" i="1"/>
  <c r="V2682" i="1"/>
  <c r="V3142" i="1"/>
  <c r="V3361" i="1"/>
  <c r="N3361" i="1"/>
  <c r="V1842" i="1"/>
  <c r="V1056" i="1"/>
  <c r="V125" i="1"/>
  <c r="N105" i="1"/>
  <c r="N2027" i="1"/>
  <c r="N811" i="1"/>
  <c r="V2026" i="1"/>
  <c r="N1796" i="1"/>
  <c r="V105" i="1"/>
  <c r="V811" i="1"/>
  <c r="V618" i="1"/>
  <c r="V1715" i="1"/>
  <c r="V1404" i="1"/>
  <c r="N122" i="1"/>
  <c r="L134" i="1"/>
  <c r="V615" i="1"/>
  <c r="V744" i="1"/>
  <c r="V127" i="1"/>
  <c r="N127" i="1"/>
  <c r="N2662" i="1"/>
  <c r="N2653" i="1"/>
  <c r="N2670" i="1"/>
  <c r="V2694" i="1"/>
  <c r="N2697" i="1"/>
  <c r="N2556" i="1"/>
  <c r="N2544" i="1"/>
  <c r="V2657" i="1"/>
  <c r="N2608" i="1"/>
  <c r="N2620" i="1"/>
  <c r="V2600" i="1"/>
  <c r="V2608" i="1"/>
  <c r="N2651" i="1"/>
  <c r="V2662" i="1"/>
  <c r="V2660" i="1"/>
  <c r="V2670" i="1"/>
  <c r="N2587" i="1"/>
  <c r="N2585" i="1"/>
  <c r="V2579" i="1"/>
  <c r="V2681" i="1"/>
  <c r="V2647" i="1"/>
  <c r="N2614" i="1"/>
  <c r="V2538" i="1"/>
  <c r="N2566" i="1"/>
  <c r="V2550" i="1"/>
  <c r="N2548" i="1"/>
  <c r="V2626" i="1"/>
  <c r="V2556" i="1"/>
  <c r="V4869" i="1"/>
  <c r="N2679" i="1"/>
  <c r="N2694" i="1"/>
  <c r="N2577" i="1"/>
  <c r="N2583" i="1"/>
  <c r="V2587" i="1"/>
  <c r="V2677" i="1"/>
  <c r="N2568" i="1"/>
  <c r="V2560" i="1"/>
  <c r="N2564" i="1"/>
  <c r="N2538" i="1"/>
  <c r="V2534" i="1"/>
  <c r="N2540" i="1"/>
  <c r="V2542" i="1"/>
  <c r="V2566" i="1"/>
  <c r="N2550" i="1"/>
  <c r="N2666" i="1"/>
  <c r="N2649" i="1"/>
  <c r="N2634" i="1"/>
  <c r="N2606" i="1"/>
  <c r="V2597" i="1"/>
  <c r="V2628" i="1"/>
  <c r="V2636" i="1"/>
  <c r="N2647" i="1"/>
  <c r="N2579" i="1"/>
  <c r="N2677" i="1"/>
  <c r="V2697" i="1"/>
  <c r="V2577" i="1"/>
  <c r="N2589" i="1"/>
  <c r="N2681" i="1"/>
  <c r="N2610" i="1"/>
  <c r="V2634" i="1"/>
  <c r="N2604" i="1"/>
  <c r="V2530" i="1"/>
  <c r="N2542" i="1"/>
  <c r="V2554" i="1"/>
  <c r="N2530" i="1"/>
  <c r="N2536" i="1"/>
  <c r="N2558" i="1"/>
  <c r="N2532" i="1"/>
  <c r="N2618" i="1"/>
  <c r="N2616" i="1"/>
  <c r="N2560" i="1"/>
  <c r="V2562" i="1"/>
  <c r="N2570" i="1"/>
  <c r="V2570" i="1"/>
  <c r="V2552" i="1"/>
  <c r="N2534" i="1"/>
  <c r="V3282" i="1"/>
  <c r="N3312" i="1"/>
  <c r="N3284" i="1"/>
  <c r="N3268" i="1"/>
  <c r="N3286" i="1"/>
  <c r="V3272" i="1"/>
  <c r="N3308" i="1"/>
  <c r="N6187" i="1"/>
  <c r="N5553" i="1"/>
  <c r="V6191" i="1"/>
  <c r="V6265" i="1"/>
  <c r="V6187" i="1"/>
  <c r="V5704" i="1"/>
  <c r="V6288" i="1"/>
  <c r="N5537" i="1"/>
  <c r="N6199" i="1"/>
  <c r="N5422" i="1"/>
  <c r="V6203" i="1"/>
  <c r="V6202" i="1"/>
  <c r="V6201" i="1"/>
  <c r="V6200" i="1"/>
  <c r="L6267" i="1"/>
  <c r="N6197" i="1"/>
  <c r="N6191" i="1"/>
  <c r="V6183" i="1"/>
  <c r="N3839" i="1"/>
  <c r="V5521" i="1"/>
  <c r="L3848" i="1"/>
  <c r="L6443" i="1"/>
  <c r="V1526" i="1"/>
  <c r="V397" i="1"/>
  <c r="N2218" i="1"/>
  <c r="V2218" i="1"/>
  <c r="N498" i="1"/>
  <c r="V498" i="1"/>
  <c r="N4073" i="1"/>
  <c r="V4073" i="1"/>
  <c r="N6080" i="1"/>
  <c r="V6080" i="1"/>
  <c r="N2274" i="1"/>
  <c r="V2274" i="1"/>
  <c r="N2237" i="1"/>
  <c r="N5970" i="1"/>
  <c r="N1458" i="1"/>
  <c r="N2207" i="1"/>
  <c r="V4887" i="1"/>
  <c r="N5004" i="1"/>
  <c r="V6450" i="1"/>
  <c r="V5161" i="1"/>
  <c r="V6762" i="1"/>
  <c r="N2064" i="1"/>
  <c r="N2067" i="1" s="1"/>
  <c r="V95" i="1"/>
  <c r="V4137" i="1"/>
  <c r="L1307" i="1"/>
  <c r="N5669" i="1"/>
  <c r="V4156" i="1"/>
  <c r="V5240" i="1"/>
  <c r="L1160" i="1"/>
  <c r="V4810" i="1"/>
  <c r="N479" i="1"/>
  <c r="N6234" i="1"/>
  <c r="V4076" i="1"/>
  <c r="L530" i="1"/>
  <c r="N5977" i="1"/>
  <c r="V5980" i="1"/>
  <c r="N286" i="1"/>
  <c r="V391" i="1"/>
  <c r="N391" i="1"/>
  <c r="N393" i="1" s="1"/>
  <c r="N259" i="1"/>
  <c r="N264" i="1" s="1"/>
  <c r="V259" i="1"/>
  <c r="V4201" i="1"/>
  <c r="N5033" i="1"/>
  <c r="N1142" i="1"/>
  <c r="N1144" i="1" s="1"/>
  <c r="L1144" i="1"/>
  <c r="N934" i="1"/>
  <c r="N937" i="1" s="1"/>
  <c r="N1808" i="1"/>
  <c r="N1812" i="1" s="1"/>
  <c r="L1812" i="1"/>
  <c r="V1808" i="1"/>
  <c r="N5559" i="1"/>
  <c r="N75" i="1"/>
  <c r="N83" i="1" s="1"/>
  <c r="K514" i="1"/>
  <c r="N95" i="1"/>
  <c r="V3977" i="1"/>
  <c r="N4156" i="1"/>
  <c r="N4620" i="1"/>
  <c r="L1199" i="1"/>
  <c r="N4076" i="1"/>
  <c r="N5734" i="1"/>
  <c r="V5970" i="1"/>
  <c r="N1336" i="1"/>
  <c r="N517" i="1"/>
  <c r="N521" i="1" s="1"/>
  <c r="V517" i="1"/>
  <c r="N5072" i="1"/>
  <c r="V5072" i="1"/>
  <c r="V2064" i="1"/>
  <c r="V2237" i="1"/>
  <c r="N6767" i="1"/>
  <c r="N6769" i="1" s="1"/>
  <c r="L6769" i="1"/>
  <c r="V1458" i="1"/>
  <c r="N289" i="1"/>
  <c r="V289" i="1"/>
  <c r="V2207" i="1"/>
  <c r="L2086" i="1"/>
  <c r="V1503" i="1"/>
  <c r="V5033" i="1"/>
  <c r="V1142" i="1"/>
  <c r="V3801" i="1"/>
  <c r="N3801" i="1"/>
  <c r="V547" i="1"/>
  <c r="L937" i="1"/>
  <c r="N1702" i="1"/>
  <c r="N4887" i="1"/>
  <c r="V5004" i="1"/>
  <c r="N3924" i="1"/>
  <c r="L5211" i="1"/>
  <c r="N661" i="1"/>
  <c r="N5914" i="1"/>
  <c r="N5916" i="1" s="1"/>
  <c r="N722" i="1"/>
  <c r="V1643" i="1"/>
  <c r="N1869" i="1"/>
  <c r="N763" i="1"/>
  <c r="N203" i="1"/>
  <c r="N585" i="1"/>
  <c r="N3970" i="1"/>
  <c r="N3300" i="1"/>
  <c r="V3298" i="1"/>
  <c r="N3294" i="1"/>
  <c r="N3270" i="1"/>
  <c r="V3310" i="1"/>
  <c r="V3261" i="1"/>
  <c r="N3255" i="1"/>
  <c r="V3233" i="1"/>
  <c r="N3468" i="1"/>
  <c r="V3087" i="1"/>
  <c r="V2388" i="1"/>
  <c r="V4443" i="1"/>
  <c r="N4443" i="1"/>
  <c r="N4451" i="1"/>
  <c r="V4451" i="1"/>
  <c r="V2795" i="1"/>
  <c r="V2799" i="1"/>
  <c r="V2809" i="1"/>
  <c r="V2806" i="1"/>
  <c r="N2806" i="1"/>
  <c r="V2808" i="1"/>
  <c r="N2816" i="1"/>
  <c r="V2816" i="1"/>
  <c r="V2818" i="1"/>
  <c r="N2838" i="1"/>
  <c r="N2842" i="1"/>
  <c r="V2863" i="1"/>
  <c r="N2869" i="1"/>
  <c r="V4027" i="1"/>
  <c r="N4033" i="1"/>
  <c r="V4035" i="1"/>
  <c r="V4037" i="1"/>
  <c r="V4287" i="1"/>
  <c r="V4160" i="1"/>
  <c r="N4170" i="1"/>
  <c r="V4170" i="1"/>
  <c r="N4174" i="1"/>
  <c r="N4176" i="1"/>
  <c r="V4412" i="1"/>
  <c r="V4783" i="1"/>
  <c r="V5600" i="1"/>
  <c r="N3902" i="1"/>
  <c r="V4063" i="1"/>
  <c r="N4102" i="1"/>
  <c r="V4102" i="1"/>
  <c r="N4106" i="1"/>
  <c r="V4106" i="1"/>
  <c r="N4797" i="1"/>
  <c r="V3129" i="1"/>
  <c r="N3083" i="1"/>
  <c r="V2788" i="1"/>
  <c r="N2788" i="1"/>
  <c r="N4445" i="1"/>
  <c r="V4445" i="1"/>
  <c r="V2812" i="1"/>
  <c r="V2846" i="1"/>
  <c r="L4039" i="1"/>
  <c r="V5235" i="1"/>
  <c r="V3583" i="1"/>
  <c r="N3919" i="1"/>
  <c r="N4290" i="1"/>
  <c r="V4031" i="1"/>
  <c r="N4805" i="1"/>
  <c r="N4283" i="1"/>
  <c r="N3081" i="1"/>
  <c r="V3411" i="1"/>
  <c r="N3159" i="1"/>
  <c r="N3116" i="1"/>
  <c r="V4455" i="1"/>
  <c r="V2344" i="1"/>
  <c r="N3040" i="1"/>
  <c r="N2948" i="1"/>
  <c r="V2944" i="1"/>
  <c r="V2844" i="1"/>
  <c r="N3106" i="1"/>
  <c r="N5600" i="1"/>
  <c r="V4176" i="1"/>
  <c r="N3186" i="1"/>
  <c r="V4832" i="1"/>
  <c r="V4172" i="1"/>
  <c r="N2809" i="1"/>
  <c r="N4027" i="1"/>
  <c r="N3579" i="1"/>
  <c r="V3133" i="1"/>
  <c r="N3133" i="1"/>
  <c r="N3036" i="1"/>
  <c r="N4453" i="1"/>
  <c r="V2804" i="1"/>
  <c r="N2804" i="1"/>
  <c r="V2871" i="1"/>
  <c r="V2223" i="1"/>
  <c r="V1263" i="1"/>
  <c r="N4245" i="1"/>
  <c r="N4162" i="1"/>
  <c r="N4037" i="1"/>
  <c r="N4980" i="1"/>
  <c r="N4749" i="1"/>
  <c r="V2019" i="1"/>
  <c r="L4633" i="1"/>
  <c r="V4761" i="1"/>
  <c r="V1258" i="1"/>
  <c r="N5084" i="1"/>
  <c r="L5188" i="1"/>
  <c r="V1920" i="1"/>
  <c r="L5247" i="1"/>
  <c r="N4796" i="1"/>
  <c r="V4143" i="1"/>
  <c r="N5643" i="1"/>
  <c r="N3967" i="1"/>
  <c r="V4166" i="1"/>
  <c r="V3967" i="1"/>
  <c r="V4285" i="1"/>
  <c r="V4283" i="1"/>
  <c r="N3206" i="1"/>
  <c r="N3198" i="1"/>
  <c r="N3157" i="1"/>
  <c r="V2834" i="1"/>
  <c r="V1639" i="1"/>
  <c r="V2366" i="1"/>
  <c r="V3040" i="1"/>
  <c r="V2948" i="1"/>
  <c r="V2869" i="1"/>
  <c r="V1266" i="1"/>
  <c r="V4797" i="1"/>
  <c r="V4453" i="1"/>
  <c r="V4178" i="1"/>
  <c r="N4164" i="1"/>
  <c r="V2867" i="1"/>
  <c r="N2846" i="1"/>
  <c r="N2808" i="1"/>
  <c r="N4449" i="1"/>
  <c r="N2840" i="1"/>
  <c r="N2818" i="1"/>
  <c r="N4447" i="1"/>
  <c r="V2797" i="1"/>
  <c r="N1245" i="1"/>
  <c r="N4035" i="1"/>
  <c r="V2015" i="1"/>
  <c r="N4158" i="1"/>
  <c r="V4029" i="1"/>
  <c r="V3543" i="1"/>
  <c r="V3902" i="1"/>
  <c r="V4985" i="1"/>
  <c r="N4160" i="1"/>
  <c r="N4168" i="1"/>
  <c r="N4029" i="1"/>
  <c r="V2109" i="1"/>
  <c r="L5675" i="1"/>
  <c r="N4063" i="1"/>
  <c r="V4834" i="1"/>
  <c r="V3085" i="1"/>
  <c r="V3219" i="1"/>
  <c r="N4985" i="1"/>
  <c r="V3032" i="1"/>
  <c r="N4178" i="1"/>
  <c r="N2863" i="1"/>
  <c r="N2801" i="1"/>
  <c r="N2795" i="1"/>
  <c r="N2844" i="1"/>
  <c r="V2838" i="1"/>
  <c r="V4457" i="1"/>
  <c r="V4245" i="1"/>
  <c r="N4613" i="1"/>
  <c r="N5711" i="1"/>
  <c r="V5552" i="1"/>
  <c r="N5549" i="1"/>
  <c r="V103" i="1"/>
  <c r="N839" i="1"/>
  <c r="N1508" i="1"/>
  <c r="V890" i="1"/>
  <c r="N1411" i="1"/>
  <c r="N1258" i="1"/>
  <c r="V883" i="1"/>
  <c r="N1249" i="1"/>
  <c r="V503" i="1"/>
  <c r="N1248" i="1"/>
  <c r="V839" i="1"/>
  <c r="N505" i="1"/>
  <c r="V1249" i="1"/>
  <c r="N509" i="1"/>
  <c r="V353" i="1"/>
  <c r="N353" i="1"/>
  <c r="V1654" i="1"/>
  <c r="N1110" i="1"/>
  <c r="V1130" i="1"/>
  <c r="N1639" i="1"/>
  <c r="N354" i="1"/>
  <c r="N6163" i="1"/>
  <c r="V6147" i="1"/>
  <c r="N4738" i="1"/>
  <c r="N3173" i="1"/>
  <c r="V2711" i="1"/>
  <c r="N2389" i="1"/>
  <c r="N2883" i="1"/>
  <c r="N2887" i="1"/>
  <c r="V2887" i="1"/>
  <c r="N2893" i="1"/>
  <c r="V2897" i="1"/>
  <c r="N2897" i="1"/>
  <c r="N2903" i="1"/>
  <c r="V2903" i="1"/>
  <c r="N2907" i="1"/>
  <c r="N2913" i="1"/>
  <c r="N2917" i="1"/>
  <c r="V2917" i="1"/>
  <c r="N2923" i="1"/>
  <c r="V2923" i="1"/>
  <c r="N2927" i="1"/>
  <c r="N2963" i="1"/>
  <c r="N2967" i="1"/>
  <c r="V2983" i="1"/>
  <c r="N2983" i="1"/>
  <c r="N2979" i="1"/>
  <c r="V2977" i="1"/>
  <c r="N2977" i="1"/>
  <c r="N2975" i="1"/>
  <c r="V2975" i="1"/>
  <c r="N3033" i="1"/>
  <c r="V4442" i="1"/>
  <c r="L4599" i="1"/>
  <c r="V4448" i="1"/>
  <c r="N4454" i="1"/>
  <c r="V4454" i="1"/>
  <c r="N2802" i="1"/>
  <c r="V2802" i="1"/>
  <c r="N2803" i="1"/>
  <c r="V2803" i="1"/>
  <c r="N2807" i="1"/>
  <c r="V2807" i="1"/>
  <c r="N4593" i="1"/>
  <c r="V4593" i="1"/>
  <c r="V4595" i="1"/>
  <c r="V4028" i="1"/>
  <c r="N4028" i="1"/>
  <c r="N4030" i="1"/>
  <c r="V4030" i="1"/>
  <c r="V4032" i="1"/>
  <c r="N4032" i="1"/>
  <c r="V4036" i="1"/>
  <c r="V4282" i="1"/>
  <c r="N4282" i="1"/>
  <c r="V4286" i="1"/>
  <c r="V4159" i="1"/>
  <c r="L4187" i="1"/>
  <c r="V4163" i="1"/>
  <c r="N4163" i="1"/>
  <c r="V4167" i="1"/>
  <c r="N4167" i="1"/>
  <c r="V4171" i="1"/>
  <c r="N4175" i="1"/>
  <c r="V4175" i="1"/>
  <c r="V4179" i="1"/>
  <c r="N4179" i="1"/>
  <c r="N4289" i="1"/>
  <c r="V4289" i="1"/>
  <c r="N4406" i="1"/>
  <c r="V4406" i="1"/>
  <c r="N1256" i="1"/>
  <c r="V1259" i="1"/>
  <c r="N1244" i="1"/>
  <c r="N849" i="1"/>
  <c r="V849" i="1"/>
  <c r="V5826" i="1"/>
  <c r="N5826" i="1"/>
  <c r="V2224" i="1"/>
  <c r="N2224" i="1"/>
  <c r="V2212" i="1"/>
  <c r="N2212" i="1"/>
  <c r="N4627" i="1"/>
  <c r="V4627" i="1"/>
  <c r="V2089" i="1"/>
  <c r="N2089" i="1"/>
  <c r="L5823" i="1"/>
  <c r="N5779" i="1"/>
  <c r="V5779" i="1"/>
  <c r="V4602" i="1"/>
  <c r="N5598" i="1"/>
  <c r="V5598" i="1"/>
  <c r="V581" i="1"/>
  <c r="N852" i="1"/>
  <c r="N4970" i="1"/>
  <c r="N1651" i="1"/>
  <c r="V1651" i="1"/>
  <c r="L3904" i="1"/>
  <c r="V3886" i="1"/>
  <c r="N5943" i="1"/>
  <c r="V325" i="1"/>
  <c r="V3891" i="1"/>
  <c r="N3891" i="1"/>
  <c r="N4092" i="1"/>
  <c r="N4105" i="1"/>
  <c r="V4105" i="1"/>
  <c r="N5805" i="1"/>
  <c r="N4764" i="1"/>
  <c r="N3746" i="1"/>
  <c r="V1611" i="1"/>
  <c r="N1611" i="1"/>
  <c r="V841" i="1"/>
  <c r="V3920" i="1"/>
  <c r="N3920" i="1"/>
  <c r="V5180" i="1"/>
  <c r="L2324" i="1"/>
  <c r="V2310" i="1"/>
  <c r="V2021" i="1"/>
  <c r="V4791" i="1"/>
  <c r="N4791" i="1"/>
  <c r="N5049" i="1"/>
  <c r="V5049" i="1"/>
  <c r="N3748" i="1"/>
  <c r="V3748" i="1"/>
  <c r="V5833" i="1"/>
  <c r="N5239" i="1"/>
  <c r="V5239" i="1"/>
  <c r="V5242" i="1"/>
  <c r="N5242" i="1"/>
  <c r="N1943" i="1"/>
  <c r="V1943" i="1"/>
  <c r="V5741" i="1"/>
  <c r="N5741" i="1"/>
  <c r="N5852" i="1"/>
  <c r="V5852" i="1"/>
  <c r="V2134" i="1"/>
  <c r="N2134" i="1"/>
  <c r="N5035" i="1"/>
  <c r="X5035" i="1"/>
  <c r="N4212" i="1"/>
  <c r="N4070" i="1"/>
  <c r="V4070" i="1"/>
  <c r="N5149" i="1"/>
  <c r="V5149" i="1"/>
  <c r="N16" i="1"/>
  <c r="V808" i="1"/>
  <c r="N808" i="1"/>
  <c r="V2102" i="1"/>
  <c r="N2102" i="1"/>
  <c r="V5572" i="1"/>
  <c r="N5572" i="1"/>
  <c r="N4068" i="1"/>
  <c r="V4068" i="1"/>
  <c r="V4047" i="1"/>
  <c r="N4047" i="1"/>
  <c r="L4079" i="1"/>
  <c r="V2314" i="1"/>
  <c r="N2314" i="1"/>
  <c r="N4462" i="1"/>
  <c r="N6381" i="1"/>
  <c r="V6381" i="1"/>
  <c r="V5788" i="1"/>
  <c r="V5147" i="1"/>
  <c r="N5147" i="1"/>
  <c r="V4077" i="1"/>
  <c r="N4077" i="1"/>
  <c r="N5541" i="1"/>
  <c r="V5541" i="1"/>
  <c r="V1755" i="1"/>
  <c r="N1755" i="1"/>
  <c r="V5176" i="1"/>
  <c r="N5176" i="1"/>
  <c r="N1863" i="1"/>
  <c r="N5950" i="1"/>
  <c r="V5950" i="1"/>
  <c r="V5939" i="1"/>
  <c r="L5965" i="1"/>
  <c r="N843" i="1"/>
  <c r="V843" i="1"/>
  <c r="V3460" i="1"/>
  <c r="N3460" i="1"/>
  <c r="V1102" i="1"/>
  <c r="N1102" i="1"/>
  <c r="N3980" i="1"/>
  <c r="V6383" i="1"/>
  <c r="N6386" i="1"/>
  <c r="N3393" i="1"/>
  <c r="V6174" i="1"/>
  <c r="V6155" i="1"/>
  <c r="N3616" i="1"/>
  <c r="V2349" i="1"/>
  <c r="V3369" i="1"/>
  <c r="V2881" i="1"/>
  <c r="N2881" i="1"/>
  <c r="N2891" i="1"/>
  <c r="V2891" i="1"/>
  <c r="N2899" i="1"/>
  <c r="N2911" i="1"/>
  <c r="V2911" i="1"/>
  <c r="V3037" i="1"/>
  <c r="N4444" i="1"/>
  <c r="N4564" i="1"/>
  <c r="V4564" i="1"/>
  <c r="N4161" i="1"/>
  <c r="N4165" i="1"/>
  <c r="V4764" i="1"/>
  <c r="N4101" i="1"/>
  <c r="N3886" i="1"/>
  <c r="N4171" i="1"/>
  <c r="V2913" i="1"/>
  <c r="N6147" i="1"/>
  <c r="N6178" i="1"/>
  <c r="V6178" i="1"/>
  <c r="N6161" i="1"/>
  <c r="N3384" i="1"/>
  <c r="V3382" i="1"/>
  <c r="V3387" i="1"/>
  <c r="N1789" i="1"/>
  <c r="N2885" i="1"/>
  <c r="V2889" i="1"/>
  <c r="V2901" i="1"/>
  <c r="V2905" i="1"/>
  <c r="N2909" i="1"/>
  <c r="V2915" i="1"/>
  <c r="N2921" i="1"/>
  <c r="V2921" i="1"/>
  <c r="N2941" i="1"/>
  <c r="N3035" i="1"/>
  <c r="V3035" i="1"/>
  <c r="N3039" i="1"/>
  <c r="N4835" i="1"/>
  <c r="N4446" i="1"/>
  <c r="V4446" i="1"/>
  <c r="V2794" i="1"/>
  <c r="V2796" i="1"/>
  <c r="N2796" i="1"/>
  <c r="N2800" i="1"/>
  <c r="V2800" i="1"/>
  <c r="V2810" i="1"/>
  <c r="V2805" i="1"/>
  <c r="N2805" i="1"/>
  <c r="N1259" i="1"/>
  <c r="N4159" i="1"/>
  <c r="V4092" i="1"/>
  <c r="V4444" i="1"/>
  <c r="N3037" i="1"/>
  <c r="V2907" i="1"/>
  <c r="V2885" i="1"/>
  <c r="V3384" i="1"/>
  <c r="N2810" i="1"/>
  <c r="V4452" i="1"/>
  <c r="V6161" i="1"/>
  <c r="N6170" i="1"/>
  <c r="V2444" i="1"/>
  <c r="N4595" i="1"/>
  <c r="N2901" i="1"/>
  <c r="V2798" i="1"/>
  <c r="N2987" i="1"/>
  <c r="N3373" i="1"/>
  <c r="V4614" i="1"/>
  <c r="N5571" i="1"/>
  <c r="N5620" i="1"/>
  <c r="N3745" i="1"/>
  <c r="N5310" i="1"/>
  <c r="N6265" i="1"/>
  <c r="N6263" i="1"/>
  <c r="V6189" i="1"/>
  <c r="V5710" i="1"/>
  <c r="N6196" i="1"/>
  <c r="V33" i="1"/>
  <c r="V11" i="1"/>
  <c r="N33" i="1"/>
  <c r="N11" i="1"/>
  <c r="N3247" i="1"/>
  <c r="V846" i="1"/>
  <c r="N846" i="1"/>
  <c r="V1849" i="1"/>
  <c r="V1847" i="1"/>
  <c r="V186" i="1"/>
  <c r="X16" i="1"/>
  <c r="V368" i="1"/>
  <c r="V1633" i="1"/>
  <c r="N360" i="1"/>
  <c r="N170" i="1"/>
  <c r="N208" i="1"/>
  <c r="N53" i="1"/>
  <c r="N374" i="1"/>
  <c r="N756" i="1"/>
  <c r="N1506" i="1"/>
  <c r="V665" i="1"/>
  <c r="V360" i="1"/>
  <c r="V194" i="1"/>
  <c r="V53" i="1"/>
  <c r="V1419" i="1"/>
  <c r="N842" i="1"/>
  <c r="N1623" i="1"/>
  <c r="V763" i="1"/>
  <c r="V857" i="1"/>
  <c r="N5548" i="1"/>
  <c r="N5707" i="1"/>
  <c r="V5554" i="1"/>
  <c r="N6177" i="1"/>
  <c r="N5705" i="1"/>
  <c r="V5543" i="1"/>
  <c r="V6167" i="1"/>
  <c r="V6171" i="1"/>
  <c r="V5525" i="1"/>
  <c r="V6190" i="1"/>
  <c r="N6184" i="1"/>
  <c r="N6180" i="1"/>
  <c r="N5531" i="1"/>
  <c r="N5703" i="1"/>
  <c r="N5552" i="1"/>
  <c r="N5554" i="1"/>
  <c r="N6173" i="1"/>
  <c r="N6160" i="1"/>
  <c r="V6160" i="1"/>
  <c r="N5543" i="1"/>
  <c r="V6196" i="1"/>
  <c r="N5832" i="1"/>
  <c r="V5698" i="1"/>
  <c r="N161" i="1"/>
  <c r="N213" i="1"/>
  <c r="V219" i="1"/>
  <c r="N3181" i="1"/>
  <c r="V2751" i="1"/>
  <c r="N2373" i="1"/>
  <c r="V2734" i="1"/>
  <c r="N6195" i="1"/>
  <c r="N6150" i="1"/>
  <c r="N6148" i="1"/>
  <c r="V2973" i="1"/>
  <c r="V6152" i="1"/>
  <c r="N4831" i="1"/>
  <c r="N6198" i="1"/>
  <c r="N5006" i="1"/>
  <c r="N4442" i="1"/>
  <c r="V3039" i="1"/>
  <c r="V3033" i="1"/>
  <c r="V2909" i="1"/>
  <c r="N2905" i="1"/>
  <c r="V2899" i="1"/>
  <c r="V2893" i="1"/>
  <c r="N2889" i="1"/>
  <c r="V2883" i="1"/>
  <c r="V1789" i="1"/>
  <c r="V3373" i="1"/>
  <c r="N2794" i="1"/>
  <c r="V2979" i="1"/>
  <c r="V2987" i="1"/>
  <c r="V2963" i="1"/>
  <c r="N2955" i="1"/>
  <c r="V2932" i="1"/>
  <c r="V2925" i="1"/>
  <c r="N6144" i="1"/>
  <c r="N6146" i="1"/>
  <c r="V2965" i="1"/>
  <c r="V6156" i="1"/>
  <c r="N6174" i="1"/>
  <c r="V6192" i="1"/>
  <c r="N5534" i="1"/>
  <c r="N2919" i="1"/>
  <c r="V4247" i="1"/>
  <c r="V2377" i="1"/>
  <c r="N6193" i="1"/>
  <c r="N6154" i="1"/>
  <c r="N6158" i="1"/>
  <c r="V2404" i="1"/>
  <c r="V3041" i="1"/>
  <c r="N2440" i="1"/>
  <c r="N2438" i="1"/>
  <c r="V2434" i="1"/>
  <c r="V2381" i="1"/>
  <c r="V2379" i="1"/>
  <c r="N2379" i="1"/>
  <c r="V2363" i="1"/>
  <c r="V2357" i="1"/>
  <c r="N2351" i="1"/>
  <c r="N2347" i="1"/>
  <c r="N2345" i="1"/>
  <c r="V2335" i="1"/>
  <c r="N3371" i="1"/>
  <c r="N3375" i="1"/>
  <c r="N3380" i="1"/>
  <c r="N3382" i="1"/>
  <c r="N3387" i="1"/>
  <c r="N3389" i="1"/>
  <c r="V3389" i="1"/>
  <c r="N2915" i="1"/>
  <c r="V2937" i="1"/>
  <c r="N2937" i="1"/>
  <c r="V2930" i="1"/>
  <c r="N2945" i="1"/>
  <c r="V2945" i="1"/>
  <c r="V2949" i="1"/>
  <c r="N2951" i="1"/>
  <c r="N2969" i="1"/>
  <c r="V2981" i="1"/>
  <c r="V3047" i="1"/>
  <c r="N3051" i="1"/>
  <c r="V3051" i="1"/>
  <c r="N4833" i="1"/>
  <c r="V4450" i="1"/>
  <c r="V4456" i="1"/>
  <c r="N4026" i="1"/>
  <c r="V4026" i="1"/>
  <c r="N6129" i="1"/>
  <c r="V2767" i="1"/>
  <c r="V2355" i="1"/>
  <c r="V2341" i="1"/>
  <c r="V2359" i="1"/>
  <c r="V2369" i="1"/>
  <c r="N2349" i="1"/>
  <c r="V2345" i="1"/>
  <c r="N2335" i="1"/>
  <c r="V3375" i="1"/>
  <c r="N3378" i="1"/>
  <c r="N2446" i="1"/>
  <c r="V4835" i="1"/>
  <c r="V3049" i="1"/>
  <c r="N2949" i="1"/>
  <c r="V2941" i="1"/>
  <c r="V6129" i="1"/>
  <c r="N2361" i="1"/>
  <c r="V6185" i="1"/>
  <c r="N6185" i="1"/>
  <c r="V5482" i="1"/>
  <c r="N3073" i="1"/>
  <c r="N2785" i="1"/>
  <c r="N3175" i="1"/>
  <c r="V2967" i="1"/>
  <c r="V2959" i="1"/>
  <c r="V2955" i="1"/>
  <c r="N2928" i="1"/>
  <c r="V2927" i="1"/>
  <c r="N2957" i="1"/>
  <c r="N2381" i="1"/>
  <c r="N2387" i="1"/>
  <c r="N2341" i="1"/>
  <c r="V2351" i="1"/>
  <c r="V2361" i="1"/>
  <c r="V3173" i="1"/>
  <c r="V2365" i="1"/>
  <c r="N2981" i="1"/>
  <c r="N2925" i="1"/>
  <c r="N4448" i="1"/>
  <c r="V3053" i="1"/>
  <c r="N2947" i="1"/>
  <c r="N2943" i="1"/>
  <c r="N3047" i="1"/>
  <c r="V6194" i="1"/>
  <c r="N6194" i="1"/>
  <c r="N6143" i="1"/>
  <c r="N4742" i="1"/>
  <c r="N5482" i="1"/>
  <c r="V2785" i="1"/>
  <c r="V5480" i="1"/>
  <c r="V2969" i="1"/>
  <c r="V2961" i="1"/>
  <c r="N2932" i="1"/>
  <c r="V2928" i="1"/>
  <c r="N2965" i="1"/>
  <c r="N2365" i="1"/>
  <c r="V2387" i="1"/>
  <c r="N2973" i="1"/>
  <c r="N4450" i="1"/>
  <c r="N2367" i="1"/>
  <c r="N3376" i="1"/>
  <c r="N2442" i="1"/>
  <c r="N2434" i="1"/>
  <c r="V2438" i="1"/>
  <c r="V4833" i="1"/>
  <c r="V2947" i="1"/>
  <c r="N5478" i="1"/>
  <c r="N3041" i="1"/>
  <c r="N5605" i="1"/>
  <c r="V6134" i="1"/>
  <c r="V6163" i="1"/>
  <c r="V6170" i="1"/>
  <c r="V6180" i="1"/>
  <c r="N5530" i="1"/>
  <c r="N6182" i="1"/>
  <c r="N6145" i="1"/>
  <c r="V5606" i="1"/>
  <c r="V6388" i="1"/>
  <c r="V4746" i="1"/>
  <c r="N4720" i="1"/>
  <c r="V4718" i="1"/>
  <c r="N4718" i="1"/>
  <c r="V4716" i="1"/>
  <c r="N4716" i="1"/>
  <c r="V4714" i="1"/>
  <c r="N4714" i="1"/>
  <c r="V3618" i="1"/>
  <c r="V3432" i="1"/>
  <c r="N3410" i="1"/>
  <c r="V3410" i="1"/>
  <c r="V3222" i="1"/>
  <c r="N3220" i="1"/>
  <c r="V3220" i="1"/>
  <c r="N3218" i="1"/>
  <c r="V3218" i="1"/>
  <c r="V3216" i="1"/>
  <c r="N3216" i="1"/>
  <c r="N3209" i="1"/>
  <c r="V3209" i="1"/>
  <c r="V3207" i="1"/>
  <c r="N3207" i="1"/>
  <c r="N3205" i="1"/>
  <c r="V3201" i="1"/>
  <c r="V3197" i="1"/>
  <c r="V3195" i="1"/>
  <c r="N3195" i="1"/>
  <c r="N3193" i="1"/>
  <c r="V3193" i="1"/>
  <c r="N3191" i="1"/>
  <c r="V3191" i="1"/>
  <c r="N3187" i="1"/>
  <c r="V3187" i="1"/>
  <c r="N3185" i="1"/>
  <c r="V3185" i="1"/>
  <c r="V3183" i="1"/>
  <c r="N3183" i="1"/>
  <c r="V3181" i="1"/>
  <c r="V3175" i="1"/>
  <c r="V3171" i="1"/>
  <c r="N3171" i="1"/>
  <c r="N3169" i="1"/>
  <c r="V3169" i="1"/>
  <c r="N3167" i="1"/>
  <c r="V3167" i="1"/>
  <c r="V3165" i="1"/>
  <c r="N3165" i="1"/>
  <c r="V3163" i="1"/>
  <c r="N3163" i="1"/>
  <c r="N3161" i="1"/>
  <c r="V3158" i="1"/>
  <c r="N3158" i="1"/>
  <c r="N3156" i="1"/>
  <c r="V3156" i="1"/>
  <c r="N3154" i="1"/>
  <c r="V3154" i="1"/>
  <c r="N3152" i="1"/>
  <c r="V3152" i="1"/>
  <c r="N3150" i="1"/>
  <c r="N3147" i="1"/>
  <c r="V3147" i="1"/>
  <c r="N3145" i="1"/>
  <c r="V3145" i="1"/>
  <c r="V3143" i="1"/>
  <c r="N3141" i="1"/>
  <c r="V3141" i="1"/>
  <c r="V3139" i="1"/>
  <c r="N3137" i="1"/>
  <c r="V3137" i="1"/>
  <c r="N3134" i="1"/>
  <c r="N3132" i="1"/>
  <c r="V3130" i="1"/>
  <c r="N3130" i="1"/>
  <c r="N3128" i="1"/>
  <c r="V3123" i="1"/>
  <c r="V3121" i="1"/>
  <c r="N3119" i="1"/>
  <c r="N3117" i="1"/>
  <c r="V3117" i="1"/>
  <c r="N3115" i="1"/>
  <c r="V3115" i="1"/>
  <c r="N3113" i="1"/>
  <c r="V3113" i="1"/>
  <c r="N3111" i="1"/>
  <c r="V3109" i="1"/>
  <c r="N3109" i="1"/>
  <c r="N3107" i="1"/>
  <c r="V3105" i="1"/>
  <c r="V3103" i="1"/>
  <c r="N3103" i="1"/>
  <c r="V3101" i="1"/>
  <c r="N3101" i="1"/>
  <c r="V3099" i="1"/>
  <c r="N3099" i="1"/>
  <c r="N3097" i="1"/>
  <c r="V3095" i="1"/>
  <c r="N3093" i="1"/>
  <c r="V3093" i="1"/>
  <c r="N3091" i="1"/>
  <c r="V3091" i="1"/>
  <c r="V3088" i="1"/>
  <c r="N3086" i="1"/>
  <c r="V3086" i="1"/>
  <c r="V3084" i="1"/>
  <c r="N3084" i="1"/>
  <c r="N3082" i="1"/>
  <c r="V3082" i="1"/>
  <c r="V3080" i="1"/>
  <c r="N3080" i="1"/>
  <c r="N3077" i="1"/>
  <c r="V3077" i="1"/>
  <c r="N3075" i="1"/>
  <c r="V3075" i="1"/>
  <c r="V3071" i="1"/>
  <c r="V3069" i="1"/>
  <c r="N3069" i="1"/>
  <c r="N3067" i="1"/>
  <c r="V2861" i="1"/>
  <c r="N2791" i="1"/>
  <c r="V2791" i="1"/>
  <c r="V2789" i="1"/>
  <c r="N2789" i="1"/>
  <c r="N2787" i="1"/>
  <c r="V2787" i="1"/>
  <c r="N2783" i="1"/>
  <c r="V2783" i="1"/>
  <c r="N2781" i="1"/>
  <c r="V2781" i="1"/>
  <c r="N2779" i="1"/>
  <c r="V2779" i="1"/>
  <c r="V2777" i="1"/>
  <c r="N2777" i="1"/>
  <c r="V2775" i="1"/>
  <c r="N2775" i="1"/>
  <c r="N2773" i="1"/>
  <c r="V2773" i="1"/>
  <c r="N2771" i="1"/>
  <c r="N2769" i="1"/>
  <c r="V2769" i="1"/>
  <c r="N2765" i="1"/>
  <c r="V2765" i="1"/>
  <c r="V2763" i="1"/>
  <c r="N2761" i="1"/>
  <c r="V2761" i="1"/>
  <c r="V2759" i="1"/>
  <c r="N2759" i="1"/>
  <c r="V2757" i="1"/>
  <c r="N2757" i="1"/>
  <c r="N2755" i="1"/>
  <c r="V2755" i="1"/>
  <c r="N2753" i="1"/>
  <c r="V2753" i="1"/>
  <c r="N2749" i="1"/>
  <c r="N2747" i="1"/>
  <c r="V2747" i="1"/>
  <c r="V2744" i="1"/>
  <c r="V2742" i="1"/>
  <c r="V2740" i="1"/>
  <c r="N2740" i="1"/>
  <c r="V2738" i="1"/>
  <c r="N2736" i="1"/>
  <c r="V2736" i="1"/>
  <c r="N2734" i="1"/>
  <c r="N2731" i="1"/>
  <c r="V2731" i="1"/>
  <c r="N2729" i="1"/>
  <c r="V2729" i="1"/>
  <c r="N2727" i="1"/>
  <c r="V2727" i="1"/>
  <c r="N2725" i="1"/>
  <c r="V2723" i="1"/>
  <c r="N2723" i="1"/>
  <c r="N2721" i="1"/>
  <c r="V2721" i="1"/>
  <c r="V2719" i="1"/>
  <c r="V2717" i="1"/>
  <c r="N2717" i="1"/>
  <c r="N2715" i="1"/>
  <c r="V2715" i="1"/>
  <c r="V2713" i="1"/>
  <c r="N2713" i="1"/>
  <c r="N2711" i="1"/>
  <c r="N2707" i="1"/>
  <c r="V2707" i="1"/>
  <c r="V5025" i="1"/>
  <c r="V4722" i="1"/>
  <c r="N2450" i="1"/>
  <c r="V2450" i="1"/>
  <c r="N2448" i="1"/>
  <c r="V2448" i="1"/>
  <c r="N2444" i="1"/>
  <c r="V2440" i="1"/>
  <c r="N2436" i="1"/>
  <c r="V2436" i="1"/>
  <c r="V2430" i="1"/>
  <c r="V2428" i="1"/>
  <c r="N2428" i="1"/>
  <c r="V2420" i="1"/>
  <c r="V2398" i="1"/>
  <c r="V2389" i="1"/>
  <c r="N2385" i="1"/>
  <c r="V2385" i="1"/>
  <c r="V2383" i="1"/>
  <c r="N2375" i="1"/>
  <c r="V2375" i="1"/>
  <c r="V2371" i="1"/>
  <c r="N2359" i="1"/>
  <c r="N2355" i="1"/>
  <c r="N2343" i="1"/>
  <c r="V2339" i="1"/>
  <c r="N2339" i="1"/>
  <c r="N2337" i="1"/>
  <c r="N2353" i="1"/>
  <c r="N2408" i="1"/>
  <c r="N2430" i="1"/>
  <c r="N2416" i="1"/>
  <c r="V2432" i="1"/>
  <c r="V2446" i="1"/>
  <c r="V2422" i="1"/>
  <c r="N2398" i="1"/>
  <c r="N2418" i="1"/>
  <c r="V2442" i="1"/>
  <c r="N3583" i="1"/>
  <c r="V3468" i="1"/>
  <c r="V3619" i="1"/>
  <c r="N3625" i="1"/>
  <c r="V3079" i="1"/>
  <c r="N3208" i="1"/>
  <c r="N3087" i="1"/>
  <c r="N3155" i="1"/>
  <c r="L3125" i="1"/>
  <c r="L3224" i="1"/>
  <c r="V3144" i="1"/>
  <c r="V3148" i="1"/>
  <c r="V3168" i="1"/>
  <c r="N2770" i="1"/>
  <c r="N2766" i="1"/>
  <c r="V2768" i="1"/>
  <c r="V3090" i="1"/>
  <c r="V4715" i="1"/>
  <c r="N3539" i="1"/>
  <c r="N5467" i="1"/>
  <c r="N3575" i="1"/>
  <c r="V3623" i="1"/>
  <c r="V3555" i="1"/>
  <c r="V3083" i="1"/>
  <c r="V3210" i="1"/>
  <c r="N3217" i="1"/>
  <c r="V3208" i="1"/>
  <c r="V3155" i="1"/>
  <c r="N3110" i="1"/>
  <c r="N3135" i="1"/>
  <c r="N3112" i="1"/>
  <c r="N3153" i="1"/>
  <c r="V3112" i="1"/>
  <c r="N3202" i="1"/>
  <c r="N3425" i="1"/>
  <c r="V2340" i="1"/>
  <c r="V2358" i="1"/>
  <c r="V2382" i="1"/>
  <c r="N3138" i="1"/>
  <c r="V3164" i="1"/>
  <c r="N3170" i="1"/>
  <c r="V3174" i="1"/>
  <c r="N3096" i="1"/>
  <c r="V2770" i="1"/>
  <c r="N3607" i="1"/>
  <c r="N3520" i="1"/>
  <c r="N6159" i="1"/>
  <c r="V5483" i="1"/>
  <c r="V5481" i="1"/>
  <c r="V3114" i="1"/>
  <c r="V2792" i="1"/>
  <c r="V2774" i="1"/>
  <c r="V2764" i="1"/>
  <c r="N2764" i="1"/>
  <c r="N3184" i="1"/>
  <c r="N3619" i="1"/>
  <c r="N3623" i="1"/>
  <c r="N5483" i="1"/>
  <c r="N5475" i="1"/>
  <c r="V3186" i="1"/>
  <c r="N3210" i="1"/>
  <c r="V3217" i="1"/>
  <c r="V3081" i="1"/>
  <c r="N3120" i="1"/>
  <c r="N3102" i="1"/>
  <c r="N3108" i="1"/>
  <c r="V2350" i="1"/>
  <c r="V3138" i="1"/>
  <c r="N2778" i="1"/>
  <c r="N6262" i="1"/>
  <c r="V6260" i="1"/>
  <c r="V6179" i="1"/>
  <c r="N6179" i="1"/>
  <c r="V6173" i="1"/>
  <c r="V6169" i="1"/>
  <c r="N6169" i="1"/>
  <c r="V6162" i="1"/>
  <c r="N6162" i="1"/>
  <c r="V6132" i="1"/>
  <c r="L6205" i="1"/>
  <c r="N4836" i="1"/>
  <c r="N6186" i="1"/>
  <c r="N5833" i="1"/>
  <c r="N5227" i="1"/>
  <c r="N6379" i="1"/>
  <c r="N4867" i="1"/>
  <c r="N4851" i="1"/>
  <c r="N5704" i="1"/>
  <c r="V6143" i="1"/>
  <c r="V6184" i="1"/>
  <c r="N6190" i="1"/>
  <c r="V5534" i="1"/>
  <c r="N4861" i="1"/>
  <c r="V4125" i="1"/>
  <c r="N6141" i="1"/>
  <c r="V5663" i="1"/>
  <c r="V6361" i="1"/>
  <c r="V4830" i="1"/>
  <c r="V3544" i="1"/>
  <c r="N3567" i="1"/>
  <c r="V3609" i="1"/>
  <c r="V718" i="1"/>
  <c r="V168" i="1"/>
  <c r="N349" i="1"/>
  <c r="N162" i="1"/>
  <c r="V214" i="1"/>
  <c r="N166" i="1"/>
  <c r="N332" i="1"/>
  <c r="N152" i="1"/>
  <c r="N182" i="1"/>
  <c r="V1374" i="1"/>
  <c r="V1370" i="1"/>
  <c r="N1370" i="1"/>
  <c r="V1366" i="1"/>
  <c r="N1101" i="1"/>
  <c r="V1101" i="1"/>
  <c r="V1097" i="1"/>
  <c r="N1097" i="1"/>
  <c r="V1091" i="1"/>
  <c r="V1081" i="1"/>
  <c r="N1077" i="1"/>
  <c r="N1075" i="1"/>
  <c r="N1069" i="1"/>
  <c r="V1069" i="1"/>
  <c r="N1065" i="1"/>
  <c r="N1059" i="1"/>
  <c r="V1059" i="1"/>
  <c r="V1055" i="1"/>
  <c r="N1055" i="1"/>
  <c r="N1049" i="1"/>
  <c r="V1049" i="1"/>
  <c r="N1041" i="1"/>
  <c r="V1041" i="1"/>
  <c r="N1037" i="1"/>
  <c r="V1033" i="1"/>
  <c r="N1026" i="1"/>
  <c r="V1026" i="1"/>
  <c r="N1022" i="1"/>
  <c r="V1016" i="1"/>
  <c r="V1012" i="1"/>
  <c r="N1012" i="1"/>
  <c r="V1008" i="1"/>
  <c r="N1008" i="1"/>
  <c r="N1002" i="1"/>
  <c r="V1002" i="1"/>
  <c r="V996" i="1"/>
  <c r="N996" i="1"/>
  <c r="V204" i="1"/>
  <c r="V196" i="1"/>
  <c r="V192" i="1"/>
  <c r="N192" i="1"/>
  <c r="V188" i="1"/>
  <c r="N188" i="1"/>
  <c r="N762" i="1"/>
  <c r="V102" i="1"/>
  <c r="N1095" i="1"/>
  <c r="V1095" i="1"/>
  <c r="N1089" i="1"/>
  <c r="V1089" i="1"/>
  <c r="N1085" i="1"/>
  <c r="N1071" i="1"/>
  <c r="V1071" i="1"/>
  <c r="N1061" i="1"/>
  <c r="V1061" i="1"/>
  <c r="V1053" i="1"/>
  <c r="N1053" i="1"/>
  <c r="N1045" i="1"/>
  <c r="V1045" i="1"/>
  <c r="V1039" i="1"/>
  <c r="N1039" i="1"/>
  <c r="V1028" i="1"/>
  <c r="N1028" i="1"/>
  <c r="V1018" i="1"/>
  <c r="V1006" i="1"/>
  <c r="N1006" i="1"/>
  <c r="N212" i="1"/>
  <c r="N198" i="1"/>
  <c r="V172" i="1"/>
  <c r="N164" i="1"/>
  <c r="N156" i="1"/>
  <c r="V156" i="1"/>
  <c r="V378" i="1"/>
  <c r="N1420" i="1"/>
  <c r="V1420" i="1"/>
  <c r="V166" i="1"/>
  <c r="V230" i="1"/>
  <c r="V332" i="1"/>
  <c r="V154" i="1"/>
  <c r="N172" i="1"/>
  <c r="N1091" i="1"/>
  <c r="N1079" i="1"/>
  <c r="V1065" i="1"/>
  <c r="V224" i="1"/>
  <c r="N1018" i="1"/>
  <c r="V1022" i="1"/>
  <c r="V1376" i="1"/>
  <c r="N1376" i="1"/>
  <c r="N1372" i="1"/>
  <c r="V1372" i="1"/>
  <c r="N1368" i="1"/>
  <c r="V1368" i="1"/>
  <c r="N1364" i="1"/>
  <c r="V1364" i="1"/>
  <c r="V1360" i="1"/>
  <c r="V1099" i="1"/>
  <c r="N1093" i="1"/>
  <c r="V1093" i="1"/>
  <c r="V1087" i="1"/>
  <c r="V1083" i="1"/>
  <c r="N1083" i="1"/>
  <c r="N1067" i="1"/>
  <c r="V1063" i="1"/>
  <c r="N1063" i="1"/>
  <c r="V1057" i="1"/>
  <c r="N1051" i="1"/>
  <c r="N1047" i="1"/>
  <c r="V1043" i="1"/>
  <c r="N1043" i="1"/>
  <c r="V1030" i="1"/>
  <c r="N1030" i="1"/>
  <c r="V1024" i="1"/>
  <c r="N1024" i="1"/>
  <c r="V1020" i="1"/>
  <c r="N1020" i="1"/>
  <c r="N1014" i="1"/>
  <c r="V1004" i="1"/>
  <c r="V1000" i="1"/>
  <c r="N1000" i="1"/>
  <c r="N998" i="1"/>
  <c r="V220" i="1"/>
  <c r="N216" i="1"/>
  <c r="V216" i="1"/>
  <c r="N190" i="1"/>
  <c r="V180" i="1"/>
  <c r="N176" i="1"/>
  <c r="N160" i="1"/>
  <c r="N759" i="1"/>
  <c r="V362" i="1"/>
  <c r="N226" i="1"/>
  <c r="V218" i="1"/>
  <c r="V226" i="1"/>
  <c r="V174" i="1"/>
  <c r="V206" i="1"/>
  <c r="N220" i="1"/>
  <c r="N102" i="1"/>
  <c r="N18" i="1"/>
  <c r="N178" i="1"/>
  <c r="V178" i="1"/>
  <c r="N158" i="1"/>
  <c r="V222" i="1"/>
  <c r="N154" i="1"/>
  <c r="X18" i="1"/>
  <c r="V232" i="1"/>
  <c r="N232" i="1"/>
  <c r="N168" i="1"/>
  <c r="N7" i="1"/>
  <c r="X17" i="1"/>
  <c r="N230" i="1"/>
  <c r="N362" i="1"/>
  <c r="N180" i="1"/>
  <c r="N1360" i="1"/>
  <c r="V164" i="1"/>
  <c r="N174" i="1"/>
  <c r="V759" i="1"/>
  <c r="N715" i="1"/>
  <c r="V1085" i="1"/>
  <c r="N1366" i="1"/>
  <c r="N1016" i="1"/>
  <c r="V998" i="1"/>
  <c r="N1033" i="1"/>
  <c r="V1037" i="1"/>
  <c r="N1099" i="1"/>
  <c r="V1047" i="1"/>
  <c r="N1374" i="1"/>
  <c r="N1057" i="1"/>
  <c r="V158" i="1"/>
  <c r="V182" i="1"/>
  <c r="V198" i="1"/>
  <c r="L238" i="1"/>
  <c r="V202" i="1"/>
  <c r="V210" i="1"/>
  <c r="V52" i="1"/>
  <c r="N17" i="1"/>
  <c r="V200" i="1"/>
  <c r="N200" i="1"/>
  <c r="V184" i="1"/>
  <c r="V228" i="1"/>
  <c r="N355" i="1"/>
  <c r="V762" i="1"/>
  <c r="N720" i="1"/>
  <c r="N1404" i="1"/>
  <c r="V1073" i="1"/>
  <c r="N196" i="1"/>
  <c r="V1010" i="1"/>
  <c r="N1035" i="1"/>
  <c r="N1010" i="1"/>
  <c r="V715" i="1"/>
  <c r="V1405" i="1"/>
  <c r="N1004" i="1"/>
  <c r="V1067" i="1"/>
  <c r="N1073" i="1"/>
  <c r="V1247" i="1"/>
  <c r="V1500" i="1"/>
  <c r="N1253" i="1"/>
  <c r="V1244" i="1"/>
  <c r="V719" i="1"/>
  <c r="V1133" i="1"/>
  <c r="N1111" i="1"/>
  <c r="V1123" i="1"/>
  <c r="N857" i="1"/>
  <c r="N584" i="1"/>
  <c r="X15" i="1"/>
  <c r="X22" i="1"/>
  <c r="N1500" i="1"/>
  <c r="N1419" i="1"/>
  <c r="N1402" i="1"/>
  <c r="V1252" i="1"/>
  <c r="V1256" i="1"/>
  <c r="V723" i="1"/>
  <c r="V1402" i="1"/>
  <c r="N1105" i="1"/>
  <c r="N1125" i="1"/>
  <c r="V742" i="1"/>
  <c r="L861" i="1"/>
  <c r="V584" i="1"/>
  <c r="N1252" i="1"/>
  <c r="N1107" i="1"/>
  <c r="N1135" i="1"/>
  <c r="N410" i="1"/>
  <c r="V100" i="1"/>
  <c r="X14" i="1"/>
  <c r="N98" i="1"/>
  <c r="N14" i="1"/>
  <c r="V10" i="1"/>
  <c r="V98" i="1"/>
  <c r="N12" i="1"/>
  <c r="N49" i="1"/>
  <c r="N3965" i="1"/>
  <c r="V3565" i="1"/>
  <c r="V3433" i="1"/>
  <c r="N3423" i="1"/>
  <c r="V3122" i="1"/>
  <c r="N2774" i="1"/>
  <c r="V3184" i="1"/>
  <c r="N2768" i="1"/>
  <c r="V3494" i="1"/>
  <c r="V2778" i="1"/>
  <c r="N4723" i="1"/>
  <c r="N3421" i="1"/>
  <c r="N4726" i="1"/>
  <c r="N4721" i="1"/>
  <c r="V3415" i="1"/>
  <c r="V3965" i="1"/>
  <c r="N3118" i="1"/>
  <c r="N3611" i="1"/>
  <c r="N4728" i="1"/>
  <c r="V4749" i="1"/>
  <c r="N4747" i="1"/>
  <c r="V4745" i="1"/>
  <c r="V4743" i="1"/>
  <c r="N4743" i="1"/>
  <c r="V4741" i="1"/>
  <c r="N4739" i="1"/>
  <c r="N4737" i="1"/>
  <c r="V4737" i="1"/>
  <c r="V4735" i="1"/>
  <c r="N4735" i="1"/>
  <c r="V4731" i="1"/>
  <c r="N4731" i="1"/>
  <c r="N3631" i="1"/>
  <c r="V3631" i="1"/>
  <c r="V3629" i="1"/>
  <c r="N3629" i="1"/>
  <c r="V3621" i="1"/>
  <c r="N3621" i="1"/>
  <c r="N3613" i="1"/>
  <c r="N3609" i="1"/>
  <c r="N3603" i="1"/>
  <c r="V3603" i="1"/>
  <c r="N3601" i="1"/>
  <c r="V3601" i="1"/>
  <c r="N3599" i="1"/>
  <c r="N3595" i="1"/>
  <c r="V3593" i="1"/>
  <c r="N3593" i="1"/>
  <c r="N3591" i="1"/>
  <c r="V3591" i="1"/>
  <c r="V3589" i="1"/>
  <c r="N3585" i="1"/>
  <c r="V3579" i="1"/>
  <c r="N3573" i="1"/>
  <c r="V3567" i="1"/>
  <c r="N3565" i="1"/>
  <c r="N3563" i="1"/>
  <c r="V3563" i="1"/>
  <c r="N3559" i="1"/>
  <c r="V3559" i="1"/>
  <c r="V3557" i="1"/>
  <c r="V3553" i="1"/>
  <c r="N3553" i="1"/>
  <c r="N3551" i="1"/>
  <c r="N3549" i="1"/>
  <c r="N3547" i="1"/>
  <c r="V3547" i="1"/>
  <c r="N3545" i="1"/>
  <c r="V3545" i="1"/>
  <c r="V3539" i="1"/>
  <c r="N3537" i="1"/>
  <c r="N3535" i="1"/>
  <c r="N3532" i="1"/>
  <c r="V3530" i="1"/>
  <c r="N3530" i="1"/>
  <c r="V3528" i="1"/>
  <c r="V3526" i="1"/>
  <c r="N3526" i="1"/>
  <c r="V3524" i="1"/>
  <c r="N3522" i="1"/>
  <c r="V3518" i="1"/>
  <c r="N3518" i="1"/>
  <c r="N3516" i="1"/>
  <c r="V3516" i="1"/>
  <c r="V3514" i="1"/>
  <c r="N3511" i="1"/>
  <c r="V3511" i="1"/>
  <c r="V3509" i="1"/>
  <c r="N3509" i="1"/>
  <c r="N3507" i="1"/>
  <c r="V3507" i="1"/>
  <c r="V3505" i="1"/>
  <c r="N3505" i="1"/>
  <c r="N3503" i="1"/>
  <c r="V3487" i="1"/>
  <c r="N3487" i="1"/>
  <c r="N3485" i="1"/>
  <c r="V3485" i="1"/>
  <c r="N3483" i="1"/>
  <c r="V3479" i="1"/>
  <c r="N3479" i="1"/>
  <c r="V3476" i="1"/>
  <c r="N3476" i="1"/>
  <c r="N3474" i="1"/>
  <c r="N3472" i="1"/>
  <c r="V3472" i="1"/>
  <c r="V3470" i="1"/>
  <c r="V3464" i="1"/>
  <c r="N3464" i="1"/>
  <c r="N3462" i="1"/>
  <c r="V3453" i="1"/>
  <c r="N3450" i="1"/>
  <c r="N3446" i="1"/>
  <c r="V3441" i="1"/>
  <c r="N3439" i="1"/>
  <c r="V3435" i="1"/>
  <c r="V3429" i="1"/>
  <c r="V3427" i="1"/>
  <c r="V3419" i="1"/>
  <c r="N3419" i="1"/>
  <c r="N3417" i="1"/>
  <c r="V3413" i="1"/>
  <c r="N3411" i="1"/>
  <c r="V3407" i="1"/>
  <c r="N3221" i="1"/>
  <c r="V3200" i="1"/>
  <c r="N3196" i="1"/>
  <c r="N3194" i="1"/>
  <c r="N3192" i="1"/>
  <c r="N3190" i="1"/>
  <c r="V3188" i="1"/>
  <c r="N3188" i="1"/>
  <c r="V3182" i="1"/>
  <c r="V3176" i="1"/>
  <c r="N3174" i="1"/>
  <c r="N3168" i="1"/>
  <c r="N3162" i="1"/>
  <c r="V3162" i="1"/>
  <c r="V3157" i="1"/>
  <c r="N3151" i="1"/>
  <c r="N3148" i="1"/>
  <c r="N3146" i="1"/>
  <c r="N3142" i="1"/>
  <c r="V3140" i="1"/>
  <c r="N3140" i="1"/>
  <c r="N3131" i="1"/>
  <c r="V3131" i="1"/>
  <c r="N3129" i="1"/>
  <c r="V3104" i="1"/>
  <c r="V3100" i="1"/>
  <c r="V3098" i="1"/>
  <c r="N3098" i="1"/>
  <c r="V3094" i="1"/>
  <c r="N3094" i="1"/>
  <c r="N3092" i="1"/>
  <c r="N3076" i="1"/>
  <c r="N3074" i="1"/>
  <c r="V3072" i="1"/>
  <c r="N3072" i="1"/>
  <c r="V3070" i="1"/>
  <c r="N2790" i="1"/>
  <c r="N2786" i="1"/>
  <c r="V2784" i="1"/>
  <c r="N2782" i="1"/>
  <c r="V2782" i="1"/>
  <c r="N2780" i="1"/>
  <c r="N2776" i="1"/>
  <c r="V2762" i="1"/>
  <c r="N2760" i="1"/>
  <c r="V4726" i="1"/>
  <c r="N3415" i="1"/>
  <c r="N3407" i="1"/>
  <c r="N3413" i="1"/>
  <c r="N3104" i="1"/>
  <c r="N3122" i="1"/>
  <c r="V2790" i="1"/>
  <c r="V2780" i="1"/>
  <c r="V3068" i="1"/>
  <c r="N2772" i="1"/>
  <c r="N4745" i="1"/>
  <c r="V3535" i="1"/>
  <c r="V3462" i="1"/>
  <c r="N3557" i="1"/>
  <c r="V3549" i="1"/>
  <c r="V3522" i="1"/>
  <c r="N4863" i="1"/>
  <c r="N4877" i="1"/>
  <c r="V5832" i="1"/>
  <c r="V1044" i="1"/>
  <c r="N5663" i="1"/>
  <c r="N4746" i="1"/>
  <c r="N5229" i="1"/>
  <c r="V5614" i="1"/>
  <c r="L1854" i="1"/>
  <c r="N1847" i="1"/>
  <c r="V1375" i="1"/>
  <c r="N1375" i="1"/>
  <c r="V1369" i="1"/>
  <c r="N1369" i="1"/>
  <c r="V1363" i="1"/>
  <c r="L1378" i="1"/>
  <c r="N1363" i="1"/>
  <c r="N1096" i="1"/>
  <c r="V1096" i="1"/>
  <c r="V1088" i="1"/>
  <c r="N1088" i="1"/>
  <c r="N1074" i="1"/>
  <c r="V1074" i="1"/>
  <c r="V1068" i="1"/>
  <c r="N1068" i="1"/>
  <c r="N1058" i="1"/>
  <c r="N1050" i="1"/>
  <c r="V1050" i="1"/>
  <c r="V1040" i="1"/>
  <c r="N1032" i="1"/>
  <c r="V1032" i="1"/>
  <c r="V1027" i="1"/>
  <c r="N1027" i="1"/>
  <c r="N1021" i="1"/>
  <c r="N1015" i="1"/>
  <c r="V1015" i="1"/>
  <c r="V1009" i="1"/>
  <c r="N1009" i="1"/>
  <c r="N1005" i="1"/>
  <c r="N1001" i="1"/>
  <c r="N997" i="1"/>
  <c r="V997" i="1"/>
  <c r="V221" i="1"/>
  <c r="N221" i="1"/>
  <c r="N215" i="1"/>
  <c r="V207" i="1"/>
  <c r="N207" i="1"/>
  <c r="N199" i="1"/>
  <c r="V199" i="1"/>
  <c r="V195" i="1"/>
  <c r="N183" i="1"/>
  <c r="V183" i="1"/>
  <c r="N167" i="1"/>
  <c r="N153" i="1"/>
  <c r="V153" i="1"/>
  <c r="V1640" i="1"/>
  <c r="N1605" i="1"/>
  <c r="V358" i="1"/>
  <c r="N1373" i="1"/>
  <c r="V1373" i="1"/>
  <c r="N1367" i="1"/>
  <c r="V1367" i="1"/>
  <c r="N1092" i="1"/>
  <c r="V1092" i="1"/>
  <c r="N1082" i="1"/>
  <c r="N1076" i="1"/>
  <c r="N1066" i="1"/>
  <c r="V1066" i="1"/>
  <c r="V1060" i="1"/>
  <c r="N1060" i="1"/>
  <c r="N1048" i="1"/>
  <c r="V1048" i="1"/>
  <c r="V1038" i="1"/>
  <c r="V1025" i="1"/>
  <c r="N1025" i="1"/>
  <c r="N231" i="1"/>
  <c r="V213" i="1"/>
  <c r="N187" i="1"/>
  <c r="V187" i="1"/>
  <c r="V179" i="1"/>
  <c r="V175" i="1"/>
  <c r="N171" i="1"/>
  <c r="V171" i="1"/>
  <c r="V165" i="1"/>
  <c r="N165" i="1"/>
  <c r="N159" i="1"/>
  <c r="V150" i="1"/>
  <c r="N150" i="1"/>
  <c r="N803" i="1"/>
  <c r="N583" i="1"/>
  <c r="V583" i="1"/>
  <c r="N1642" i="1"/>
  <c r="N896" i="1"/>
  <c r="V896" i="1"/>
  <c r="V328" i="1"/>
  <c r="V12" i="1"/>
  <c r="N157" i="1"/>
  <c r="V191" i="1"/>
  <c r="N193" i="1"/>
  <c r="N211" i="1"/>
  <c r="N1040" i="1"/>
  <c r="V1076" i="1"/>
  <c r="N1371" i="1"/>
  <c r="N1365" i="1"/>
  <c r="V1365" i="1"/>
  <c r="N1100" i="1"/>
  <c r="V1100" i="1"/>
  <c r="N1094" i="1"/>
  <c r="N1086" i="1"/>
  <c r="N1080" i="1"/>
  <c r="V1080" i="1"/>
  <c r="N1072" i="1"/>
  <c r="N1062" i="1"/>
  <c r="V1062" i="1"/>
  <c r="N1054" i="1"/>
  <c r="V1054" i="1"/>
  <c r="N1052" i="1"/>
  <c r="V1052" i="1"/>
  <c r="V1046" i="1"/>
  <c r="N1046" i="1"/>
  <c r="N1042" i="1"/>
  <c r="V1042" i="1"/>
  <c r="N1034" i="1"/>
  <c r="V1034" i="1"/>
  <c r="V1023" i="1"/>
  <c r="N1023" i="1"/>
  <c r="N1013" i="1"/>
  <c r="N1011" i="1"/>
  <c r="V1007" i="1"/>
  <c r="N1003" i="1"/>
  <c r="V1003" i="1"/>
  <c r="V999" i="1"/>
  <c r="N999" i="1"/>
  <c r="N225" i="1"/>
  <c r="V217" i="1"/>
  <c r="N217" i="1"/>
  <c r="V209" i="1"/>
  <c r="N209" i="1"/>
  <c r="N201" i="1"/>
  <c r="N197" i="1"/>
  <c r="V189" i="1"/>
  <c r="N189" i="1"/>
  <c r="N181" i="1"/>
  <c r="V740" i="1"/>
  <c r="V1603" i="1"/>
  <c r="N1603" i="1"/>
  <c r="N275" i="1"/>
  <c r="N1264" i="1"/>
  <c r="N1598" i="1"/>
  <c r="V1605" i="1"/>
  <c r="V236" i="1"/>
  <c r="V167" i="1"/>
  <c r="V1642" i="1"/>
  <c r="V231" i="1"/>
  <c r="N205" i="1"/>
  <c r="V1082" i="1"/>
  <c r="N1017" i="1"/>
  <c r="V1001" i="1"/>
  <c r="V1021" i="1"/>
  <c r="N1098" i="1"/>
  <c r="V1098" i="1"/>
  <c r="V1090" i="1"/>
  <c r="N1090" i="1"/>
  <c r="N1084" i="1"/>
  <c r="V1084" i="1"/>
  <c r="V1078" i="1"/>
  <c r="V1070" i="1"/>
  <c r="V1064" i="1"/>
  <c r="V1036" i="1"/>
  <c r="N1036" i="1"/>
  <c r="N1029" i="1"/>
  <c r="V1029" i="1"/>
  <c r="N1019" i="1"/>
  <c r="V1019" i="1"/>
  <c r="V229" i="1"/>
  <c r="V223" i="1"/>
  <c r="N223" i="1"/>
  <c r="V185" i="1"/>
  <c r="N185" i="1"/>
  <c r="N177" i="1"/>
  <c r="V169" i="1"/>
  <c r="N169" i="1"/>
  <c r="N163" i="1"/>
  <c r="V163" i="1"/>
  <c r="V155" i="1"/>
  <c r="N155" i="1"/>
  <c r="V754" i="1"/>
  <c r="V586" i="1"/>
  <c r="N586" i="1"/>
  <c r="N764" i="1"/>
  <c r="V764" i="1"/>
  <c r="V1606" i="1"/>
  <c r="N328" i="1"/>
  <c r="N195" i="1"/>
  <c r="V203" i="1"/>
  <c r="N324" i="1"/>
  <c r="V225" i="1"/>
  <c r="V173" i="1"/>
  <c r="N236" i="1"/>
  <c r="V205" i="1"/>
  <c r="N1038" i="1"/>
  <c r="V375" i="1"/>
  <c r="N1606" i="1"/>
  <c r="N227" i="1"/>
  <c r="N1064" i="1"/>
  <c r="N1070" i="1"/>
  <c r="V1058" i="1"/>
  <c r="V1005" i="1"/>
  <c r="V75" i="1"/>
  <c r="L83" i="1"/>
  <c r="N3632" i="1"/>
  <c r="V3632" i="1"/>
  <c r="N3614" i="1"/>
  <c r="V3614" i="1"/>
  <c r="N3606" i="1"/>
  <c r="V3606" i="1"/>
  <c r="N3598" i="1"/>
  <c r="V3598" i="1"/>
  <c r="V3592" i="1"/>
  <c r="V3588" i="1"/>
  <c r="N3588" i="1"/>
  <c r="N3580" i="1"/>
  <c r="V3574" i="1"/>
  <c r="N3574" i="1"/>
  <c r="V3566" i="1"/>
  <c r="N3566" i="1"/>
  <c r="V3556" i="1"/>
  <c r="N3556" i="1"/>
  <c r="N3550" i="1"/>
  <c r="N3540" i="1"/>
  <c r="V3540" i="1"/>
  <c r="N3531" i="1"/>
  <c r="V3531" i="1"/>
  <c r="N3523" i="1"/>
  <c r="V3523" i="1"/>
  <c r="N3517" i="1"/>
  <c r="V3517" i="1"/>
  <c r="V3506" i="1"/>
  <c r="N3506" i="1"/>
  <c r="V3495" i="1"/>
  <c r="N3495" i="1"/>
  <c r="V3486" i="1"/>
  <c r="N3486" i="1"/>
  <c r="N3475" i="1"/>
  <c r="V3475" i="1"/>
  <c r="N3463" i="1"/>
  <c r="V3463" i="1"/>
  <c r="V3454" i="1"/>
  <c r="N3445" i="1"/>
  <c r="V3445" i="1"/>
  <c r="N3432" i="1"/>
  <c r="N3426" i="1"/>
  <c r="V3426" i="1"/>
  <c r="V3420" i="1"/>
  <c r="N3414" i="1"/>
  <c r="V3408" i="1"/>
  <c r="N3408" i="1"/>
  <c r="V3256" i="1"/>
  <c r="N3256" i="1"/>
  <c r="V3248" i="1"/>
  <c r="V3240" i="1"/>
  <c r="N3240" i="1"/>
  <c r="V3230" i="1"/>
  <c r="N3230" i="1"/>
  <c r="L2877" i="1"/>
  <c r="N3254" i="1"/>
  <c r="V3550" i="1"/>
  <c r="V3951" i="1"/>
  <c r="V3628" i="1"/>
  <c r="N3624" i="1"/>
  <c r="V3624" i="1"/>
  <c r="V3616" i="1"/>
  <c r="V3600" i="1"/>
  <c r="N3600" i="1"/>
  <c r="N3594" i="1"/>
  <c r="V3594" i="1"/>
  <c r="N3584" i="1"/>
  <c r="V3584" i="1"/>
  <c r="N3578" i="1"/>
  <c r="V3578" i="1"/>
  <c r="V3572" i="1"/>
  <c r="N3572" i="1"/>
  <c r="N3564" i="1"/>
  <c r="V3564" i="1"/>
  <c r="V3558" i="1"/>
  <c r="V3548" i="1"/>
  <c r="N3548" i="1"/>
  <c r="V3542" i="1"/>
  <c r="N3542" i="1"/>
  <c r="N3533" i="1"/>
  <c r="V3533" i="1"/>
  <c r="N3525" i="1"/>
  <c r="V3525" i="1"/>
  <c r="V3515" i="1"/>
  <c r="N3508" i="1"/>
  <c r="V3508" i="1"/>
  <c r="V3492" i="1"/>
  <c r="N3492" i="1"/>
  <c r="V3484" i="1"/>
  <c r="N3484" i="1"/>
  <c r="N3478" i="1"/>
  <c r="V3478" i="1"/>
  <c r="N3471" i="1"/>
  <c r="V3471" i="1"/>
  <c r="V3461" i="1"/>
  <c r="N3461" i="1"/>
  <c r="N3456" i="1"/>
  <c r="V3456" i="1"/>
  <c r="N3449" i="1"/>
  <c r="V3449" i="1"/>
  <c r="V3440" i="1"/>
  <c r="N3440" i="1"/>
  <c r="V3434" i="1"/>
  <c r="N3434" i="1"/>
  <c r="N3428" i="1"/>
  <c r="V3428" i="1"/>
  <c r="N3422" i="1"/>
  <c r="N3416" i="1"/>
  <c r="V3416" i="1"/>
  <c r="N3258" i="1"/>
  <c r="V3250" i="1"/>
  <c r="N3250" i="1"/>
  <c r="V3242" i="1"/>
  <c r="N3242" i="1"/>
  <c r="V3228" i="1"/>
  <c r="N3628" i="1"/>
  <c r="N3454" i="1"/>
  <c r="V3414" i="1"/>
  <c r="N3618" i="1"/>
  <c r="V3580" i="1"/>
  <c r="N3592" i="1"/>
  <c r="N3630" i="1"/>
  <c r="V3630" i="1"/>
  <c r="V3622" i="1"/>
  <c r="N3622" i="1"/>
  <c r="V3612" i="1"/>
  <c r="N3612" i="1"/>
  <c r="V3602" i="1"/>
  <c r="N3602" i="1"/>
  <c r="V3590" i="1"/>
  <c r="N3590" i="1"/>
  <c r="N3582" i="1"/>
  <c r="V3582" i="1"/>
  <c r="N3570" i="1"/>
  <c r="V3570" i="1"/>
  <c r="V3562" i="1"/>
  <c r="N3562" i="1"/>
  <c r="N3554" i="1"/>
  <c r="V3554" i="1"/>
  <c r="N3546" i="1"/>
  <c r="V3546" i="1"/>
  <c r="V3538" i="1"/>
  <c r="N3538" i="1"/>
  <c r="V3529" i="1"/>
  <c r="N3529" i="1"/>
  <c r="N3521" i="1"/>
  <c r="V3521" i="1"/>
  <c r="V3512" i="1"/>
  <c r="N3512" i="1"/>
  <c r="N3504" i="1"/>
  <c r="V3504" i="1"/>
  <c r="V3490" i="1"/>
  <c r="N3490" i="1"/>
  <c r="V3480" i="1"/>
  <c r="V3469" i="1"/>
  <c r="N3469" i="1"/>
  <c r="V3451" i="1"/>
  <c r="N3451" i="1"/>
  <c r="V3442" i="1"/>
  <c r="N3442" i="1"/>
  <c r="V3436" i="1"/>
  <c r="N3424" i="1"/>
  <c r="V3424" i="1"/>
  <c r="V3418" i="1"/>
  <c r="N3418" i="1"/>
  <c r="N3412" i="1"/>
  <c r="V3406" i="1"/>
  <c r="V3254" i="1"/>
  <c r="V3244" i="1"/>
  <c r="N3232" i="1"/>
  <c r="V3232" i="1"/>
  <c r="V2758" i="1"/>
  <c r="N2758" i="1"/>
  <c r="V2756" i="1"/>
  <c r="N2756" i="1"/>
  <c r="V2754" i="1"/>
  <c r="N2754" i="1"/>
  <c r="N2752" i="1"/>
  <c r="V2752" i="1"/>
  <c r="N2750" i="1"/>
  <c r="V2750" i="1"/>
  <c r="V2748" i="1"/>
  <c r="N2746" i="1"/>
  <c r="V2746" i="1"/>
  <c r="V2743" i="1"/>
  <c r="N2743" i="1"/>
  <c r="V2741" i="1"/>
  <c r="N2741" i="1"/>
  <c r="V2739" i="1"/>
  <c r="N2739" i="1"/>
  <c r="V2737" i="1"/>
  <c r="V2735" i="1"/>
  <c r="N2735" i="1"/>
  <c r="V2732" i="1"/>
  <c r="N2732" i="1"/>
  <c r="V2730" i="1"/>
  <c r="N2730" i="1"/>
  <c r="N2728" i="1"/>
  <c r="V2728" i="1"/>
  <c r="N2726" i="1"/>
  <c r="V2726" i="1"/>
  <c r="N2724" i="1"/>
  <c r="V2724" i="1"/>
  <c r="N2722" i="1"/>
  <c r="V2722" i="1"/>
  <c r="N2720" i="1"/>
  <c r="N2718" i="1"/>
  <c r="V2718" i="1"/>
  <c r="V2716" i="1"/>
  <c r="N2716" i="1"/>
  <c r="V2714" i="1"/>
  <c r="N2714" i="1"/>
  <c r="V2712" i="1"/>
  <c r="N2712" i="1"/>
  <c r="N2710" i="1"/>
  <c r="V2710" i="1"/>
  <c r="V3626" i="1"/>
  <c r="N3626" i="1"/>
  <c r="N3620" i="1"/>
  <c r="V3620" i="1"/>
  <c r="V3610" i="1"/>
  <c r="N3610" i="1"/>
  <c r="N3604" i="1"/>
  <c r="V3604" i="1"/>
  <c r="N3596" i="1"/>
  <c r="V3596" i="1"/>
  <c r="V3586" i="1"/>
  <c r="N3586" i="1"/>
  <c r="N3576" i="1"/>
  <c r="V3576" i="1"/>
  <c r="N3568" i="1"/>
  <c r="V3568" i="1"/>
  <c r="N3560" i="1"/>
  <c r="V3560" i="1"/>
  <c r="N3552" i="1"/>
  <c r="V3552" i="1"/>
  <c r="N3544" i="1"/>
  <c r="N3536" i="1"/>
  <c r="V3536" i="1"/>
  <c r="V3527" i="1"/>
  <c r="N3527" i="1"/>
  <c r="N3519" i="1"/>
  <c r="V3519" i="1"/>
  <c r="N3510" i="1"/>
  <c r="V3499" i="1"/>
  <c r="N3488" i="1"/>
  <c r="N3482" i="1"/>
  <c r="V3482" i="1"/>
  <c r="V3473" i="1"/>
  <c r="N3473" i="1"/>
  <c r="N3466" i="1"/>
  <c r="N3458" i="1"/>
  <c r="V3458" i="1"/>
  <c r="V3447" i="1"/>
  <c r="N3430" i="1"/>
  <c r="V3260" i="1"/>
  <c r="N3260" i="1"/>
  <c r="V3252" i="1"/>
  <c r="N3252" i="1"/>
  <c r="N3246" i="1"/>
  <c r="V3234" i="1"/>
  <c r="N3234" i="1"/>
  <c r="N3447" i="1"/>
  <c r="V3246" i="1"/>
  <c r="N3436" i="1"/>
  <c r="N3248" i="1"/>
  <c r="V3422" i="1"/>
  <c r="N2748" i="1"/>
  <c r="V3510" i="1"/>
  <c r="N1136" i="1"/>
  <c r="V2336" i="1"/>
  <c r="V2342" i="1"/>
  <c r="V2352" i="1"/>
  <c r="V2356" i="1"/>
  <c r="V2374" i="1"/>
  <c r="N2352" i="1"/>
  <c r="N2451" i="1"/>
  <c r="V2451" i="1"/>
  <c r="N2449" i="1"/>
  <c r="V2449" i="1"/>
  <c r="N2447" i="1"/>
  <c r="V2447" i="1"/>
  <c r="N2445" i="1"/>
  <c r="V2445" i="1"/>
  <c r="V2443" i="1"/>
  <c r="N2443" i="1"/>
  <c r="V2441" i="1"/>
  <c r="N2439" i="1"/>
  <c r="V2439" i="1"/>
  <c r="N2437" i="1"/>
  <c r="N2435" i="1"/>
  <c r="V2435" i="1"/>
  <c r="N2433" i="1"/>
  <c r="V2433" i="1"/>
  <c r="V2431" i="1"/>
  <c r="N2431" i="1"/>
  <c r="V2429" i="1"/>
  <c r="N2429" i="1"/>
  <c r="N2427" i="1"/>
  <c r="V2427" i="1"/>
  <c r="N2425" i="1"/>
  <c r="V2425" i="1"/>
  <c r="N2423" i="1"/>
  <c r="V2423" i="1"/>
  <c r="N2421" i="1"/>
  <c r="V2421" i="1"/>
  <c r="N2419" i="1"/>
  <c r="V2419" i="1"/>
  <c r="V2417" i="1"/>
  <c r="N2417" i="1"/>
  <c r="N2415" i="1"/>
  <c r="V2415" i="1"/>
  <c r="V2413" i="1"/>
  <c r="N2413" i="1"/>
  <c r="N2411" i="1"/>
  <c r="V2411" i="1"/>
  <c r="N2409" i="1"/>
  <c r="V2407" i="1"/>
  <c r="N2407" i="1"/>
  <c r="V2405" i="1"/>
  <c r="N2405" i="1"/>
  <c r="V2403" i="1"/>
  <c r="N2403" i="1"/>
  <c r="N2401" i="1"/>
  <c r="V2401" i="1"/>
  <c r="N2388" i="1"/>
  <c r="V2386" i="1"/>
  <c r="N2386" i="1"/>
  <c r="N2384" i="1"/>
  <c r="N2380" i="1"/>
  <c r="V2378" i="1"/>
  <c r="N2378" i="1"/>
  <c r="N2376" i="1"/>
  <c r="N2372" i="1"/>
  <c r="N2370" i="1"/>
  <c r="N2368" i="1"/>
  <c r="N2366" i="1"/>
  <c r="N2364" i="1"/>
  <c r="N2362" i="1"/>
  <c r="V2360" i="1"/>
  <c r="N2360" i="1"/>
  <c r="N2354" i="1"/>
  <c r="N2350" i="1"/>
  <c r="V2348" i="1"/>
  <c r="N2348" i="1"/>
  <c r="N2346" i="1"/>
  <c r="N2344" i="1"/>
  <c r="N2334" i="1"/>
  <c r="L2395" i="1"/>
  <c r="N1134" i="1"/>
  <c r="N1124" i="1"/>
  <c r="N1112" i="1"/>
  <c r="N1106" i="1"/>
  <c r="N3368" i="1"/>
  <c r="V3368" i="1"/>
  <c r="V3370" i="1"/>
  <c r="N3370" i="1"/>
  <c r="N3372" i="1"/>
  <c r="V3374" i="1"/>
  <c r="N3374" i="1"/>
  <c r="N3383" i="1"/>
  <c r="V3383" i="1"/>
  <c r="N3385" i="1"/>
  <c r="N3377" i="1"/>
  <c r="V3377" i="1"/>
  <c r="N3379" i="1"/>
  <c r="V3379" i="1"/>
  <c r="V3381" i="1"/>
  <c r="N3381" i="1"/>
  <c r="V3386" i="1"/>
  <c r="N3386" i="1"/>
  <c r="V3388" i="1"/>
  <c r="V2882" i="1"/>
  <c r="L3057" i="1"/>
  <c r="V2884" i="1"/>
  <c r="N2884" i="1"/>
  <c r="N2886" i="1"/>
  <c r="V2886" i="1"/>
  <c r="N2888" i="1"/>
  <c r="V2888" i="1"/>
  <c r="V2890" i="1"/>
  <c r="N2890" i="1"/>
  <c r="V2892" i="1"/>
  <c r="N2892" i="1"/>
  <c r="V2894" i="1"/>
  <c r="N2894" i="1"/>
  <c r="N2896" i="1"/>
  <c r="V2896" i="1"/>
  <c r="N2898" i="1"/>
  <c r="V2898" i="1"/>
  <c r="V2900" i="1"/>
  <c r="N2900" i="1"/>
  <c r="N2902" i="1"/>
  <c r="V2902" i="1"/>
  <c r="N2904" i="1"/>
  <c r="V2904" i="1"/>
  <c r="V2906" i="1"/>
  <c r="N2906" i="1"/>
  <c r="V2908" i="1"/>
  <c r="N2908" i="1"/>
  <c r="N2910" i="1"/>
  <c r="V2910" i="1"/>
  <c r="V2912" i="1"/>
  <c r="N2912" i="1"/>
  <c r="V2914" i="1"/>
  <c r="N2914" i="1"/>
  <c r="N2916" i="1"/>
  <c r="V2916" i="1"/>
  <c r="N2918" i="1"/>
  <c r="V2918" i="1"/>
  <c r="N2920" i="1"/>
  <c r="V2920" i="1"/>
  <c r="N2922" i="1"/>
  <c r="V2922" i="1"/>
  <c r="V2924" i="1"/>
  <c r="N2924" i="1"/>
  <c r="N2926" i="1"/>
  <c r="V2926" i="1"/>
  <c r="N2936" i="1"/>
  <c r="V2936" i="1"/>
  <c r="N2939" i="1"/>
  <c r="V2939" i="1"/>
  <c r="V2929" i="1"/>
  <c r="N2929" i="1"/>
  <c r="N2931" i="1"/>
  <c r="V2931" i="1"/>
  <c r="V2942" i="1"/>
  <c r="V2946" i="1"/>
  <c r="N2950" i="1"/>
  <c r="V2950" i="1"/>
  <c r="V2954" i="1"/>
  <c r="N2954" i="1"/>
  <c r="V2956" i="1"/>
  <c r="N2956" i="1"/>
  <c r="V2958" i="1"/>
  <c r="N2958" i="1"/>
  <c r="N2960" i="1"/>
  <c r="V2960" i="1"/>
  <c r="V2962" i="1"/>
  <c r="N2962" i="1"/>
  <c r="V2964" i="1"/>
  <c r="N2964" i="1"/>
  <c r="N2966" i="1"/>
  <c r="V2966" i="1"/>
  <c r="N2968" i="1"/>
  <c r="V2968" i="1"/>
  <c r="V2970" i="1"/>
  <c r="N2970" i="1"/>
  <c r="V2988" i="1"/>
  <c r="N2988" i="1"/>
  <c r="V2986" i="1"/>
  <c r="N2986" i="1"/>
  <c r="N2984" i="1"/>
  <c r="V2984" i="1"/>
  <c r="V2982" i="1"/>
  <c r="N2982" i="1"/>
  <c r="V2980" i="1"/>
  <c r="N2980" i="1"/>
  <c r="V2978" i="1"/>
  <c r="N2978" i="1"/>
  <c r="V2976" i="1"/>
  <c r="N2976" i="1"/>
  <c r="V2974" i="1"/>
  <c r="N2974" i="1"/>
  <c r="N3034" i="1"/>
  <c r="V3038" i="1"/>
  <c r="N3038" i="1"/>
  <c r="N3048" i="1"/>
  <c r="V3048" i="1"/>
  <c r="N3050" i="1"/>
  <c r="V3050" i="1"/>
  <c r="N3052" i="1"/>
  <c r="V3052" i="1"/>
  <c r="V2372" i="1"/>
  <c r="V2346" i="1"/>
  <c r="V2362" i="1"/>
  <c r="V2380" i="1"/>
  <c r="N1108" i="1"/>
  <c r="V2437" i="1"/>
  <c r="N1128" i="1"/>
  <c r="V3054" i="1"/>
  <c r="N3054" i="1"/>
  <c r="V2813" i="1"/>
  <c r="N2813" i="1"/>
  <c r="N2815" i="1"/>
  <c r="V2815" i="1"/>
  <c r="V2817" i="1"/>
  <c r="N2817" i="1"/>
  <c r="N2819" i="1"/>
  <c r="V2819" i="1"/>
  <c r="V2836" i="1"/>
  <c r="N2836" i="1"/>
  <c r="V2837" i="1"/>
  <c r="N2837" i="1"/>
  <c r="V2839" i="1"/>
  <c r="N2839" i="1"/>
  <c r="V2841" i="1"/>
  <c r="N2841" i="1"/>
  <c r="V2843" i="1"/>
  <c r="N2843" i="1"/>
  <c r="V2845" i="1"/>
  <c r="N2845" i="1"/>
  <c r="V2852" i="1"/>
  <c r="N2852" i="1"/>
  <c r="V2855" i="1"/>
  <c r="N2855" i="1"/>
  <c r="V2862" i="1"/>
  <c r="N2862" i="1"/>
  <c r="V2864" i="1"/>
  <c r="V2866" i="1"/>
  <c r="N2866" i="1"/>
  <c r="V2868" i="1"/>
  <c r="N2868" i="1"/>
  <c r="V2870" i="1"/>
  <c r="N2870" i="1"/>
  <c r="V2872" i="1"/>
  <c r="N2872" i="1"/>
  <c r="V852" i="1"/>
  <c r="V803" i="1"/>
  <c r="V654" i="1"/>
  <c r="V749" i="1"/>
  <c r="N749" i="1"/>
  <c r="V2685" i="1"/>
  <c r="N358" i="1"/>
  <c r="V3981" i="1"/>
  <c r="N3981" i="1"/>
  <c r="V770" i="1"/>
  <c r="N6188" i="1"/>
  <c r="V6188" i="1"/>
  <c r="N4733" i="1"/>
  <c r="V4728" i="1"/>
  <c r="N3597" i="1"/>
  <c r="N3561" i="1"/>
  <c r="V3561" i="1"/>
  <c r="V3541" i="1"/>
  <c r="N3524" i="1"/>
  <c r="V3483" i="1"/>
  <c r="N3481" i="1"/>
  <c r="N3470" i="1"/>
  <c r="V3457" i="1"/>
  <c r="N3437" i="1"/>
  <c r="N3433" i="1"/>
  <c r="N3431" i="1"/>
  <c r="N3409" i="1"/>
  <c r="V6264" i="1"/>
  <c r="N6139" i="1"/>
  <c r="V6137" i="1"/>
  <c r="N6137" i="1"/>
  <c r="N5535" i="1"/>
  <c r="N6157" i="1"/>
  <c r="V6157" i="1"/>
  <c r="V6151" i="1"/>
  <c r="V6149" i="1"/>
  <c r="N6149" i="1"/>
  <c r="V5708" i="1"/>
  <c r="N5706" i="1"/>
  <c r="V5531" i="1"/>
  <c r="V4744" i="1"/>
  <c r="V3608" i="1"/>
  <c r="N3608" i="1"/>
  <c r="V3438" i="1"/>
  <c r="N3438" i="1"/>
  <c r="N6264" i="1"/>
  <c r="N6155" i="1"/>
  <c r="N6176" i="1"/>
  <c r="N6172" i="1"/>
  <c r="N6168" i="1"/>
  <c r="V6168" i="1"/>
  <c r="V3249" i="1"/>
  <c r="V5227" i="1"/>
  <c r="N4247" i="1"/>
  <c r="N5614" i="1"/>
  <c r="M6782" i="1"/>
  <c r="M6892" i="1" s="1"/>
  <c r="V5795" i="1"/>
  <c r="V4794" i="1"/>
  <c r="V5229" i="1"/>
  <c r="V5009" i="1"/>
  <c r="N5477" i="1"/>
  <c r="N5542" i="1"/>
  <c r="N4715" i="1"/>
  <c r="V4711" i="1"/>
  <c r="N4719" i="1"/>
  <c r="L3634" i="1"/>
  <c r="N5481" i="1"/>
  <c r="V5549" i="1"/>
  <c r="N5479" i="1"/>
  <c r="N5532" i="1"/>
  <c r="N5528" i="1"/>
  <c r="N4066" i="1"/>
  <c r="N743" i="1"/>
  <c r="V4620" i="1"/>
  <c r="V5798" i="1"/>
  <c r="N4730" i="1"/>
  <c r="V5195" i="1"/>
  <c r="N4794" i="1"/>
  <c r="V4719" i="1"/>
  <c r="N4711" i="1"/>
  <c r="N4724" i="1"/>
  <c r="N3406" i="1"/>
  <c r="L5713" i="1"/>
  <c r="V5479" i="1"/>
  <c r="N5544" i="1"/>
  <c r="N1044" i="1"/>
  <c r="N378" i="1"/>
  <c r="V1662" i="1"/>
  <c r="N367" i="1"/>
  <c r="V891" i="1"/>
  <c r="N2026" i="1"/>
  <c r="N746" i="1"/>
  <c r="V746" i="1"/>
  <c r="N409" i="1"/>
  <c r="N1123" i="1"/>
  <c r="V892" i="1"/>
  <c r="N778" i="1"/>
  <c r="N1115" i="1"/>
  <c r="V1794" i="1"/>
  <c r="N1127" i="1"/>
  <c r="V1135" i="1"/>
  <c r="V1665" i="1"/>
  <c r="L108" i="1"/>
  <c r="N405" i="1"/>
  <c r="N1953" i="1"/>
  <c r="L2034" i="1"/>
  <c r="N1660" i="1"/>
  <c r="V1925" i="1"/>
  <c r="U407" i="1"/>
  <c r="N407" i="1"/>
  <c r="L1615" i="1"/>
  <c r="N798" i="1"/>
  <c r="V38" i="1"/>
  <c r="N717" i="1"/>
  <c r="N1113" i="1"/>
  <c r="N1103" i="1"/>
  <c r="V1137" i="1"/>
  <c r="V1127" i="1"/>
  <c r="N1131" i="1"/>
  <c r="X19" i="1"/>
  <c r="N23" i="1"/>
  <c r="V361" i="1"/>
  <c r="V369" i="1"/>
  <c r="V364" i="1"/>
  <c r="V1648" i="1"/>
  <c r="N1799" i="1"/>
  <c r="V1795" i="1"/>
  <c r="V1799" i="1"/>
  <c r="N1137" i="1"/>
  <c r="V1953" i="1"/>
  <c r="V1131" i="1"/>
  <c r="U409" i="1"/>
  <c r="V1113" i="1"/>
  <c r="N1109" i="1"/>
  <c r="N1117" i="1"/>
  <c r="V1105" i="1"/>
  <c r="N593" i="1"/>
  <c r="V278" i="1"/>
  <c r="N19" i="1"/>
  <c r="N327" i="1"/>
  <c r="V39" i="1"/>
  <c r="L412" i="1"/>
  <c r="N372" i="1"/>
  <c r="N1648" i="1"/>
  <c r="N1867" i="1"/>
  <c r="L1425" i="1"/>
  <c r="N1662" i="1"/>
  <c r="N369" i="1"/>
  <c r="L751" i="1"/>
  <c r="N1640" i="1"/>
  <c r="L1874" i="1"/>
  <c r="V1257" i="1"/>
  <c r="N1795" i="1"/>
  <c r="V1126" i="1"/>
  <c r="N1132" i="1"/>
  <c r="N1507" i="1"/>
  <c r="N874" i="1"/>
  <c r="V1797" i="1"/>
  <c r="N1857" i="1"/>
  <c r="N1130" i="1"/>
  <c r="N510" i="1"/>
  <c r="V854" i="1"/>
  <c r="N1628" i="1"/>
  <c r="N290" i="1"/>
  <c r="V765" i="1"/>
  <c r="V327" i="1"/>
  <c r="V1867" i="1"/>
  <c r="V93" i="1"/>
  <c r="V359" i="1"/>
  <c r="N740" i="1"/>
  <c r="V1110" i="1"/>
  <c r="V874" i="1"/>
  <c r="N719" i="1"/>
  <c r="N38" i="1"/>
  <c r="U406" i="1"/>
  <c r="N408" i="1"/>
  <c r="V1106" i="1"/>
  <c r="L1805" i="1"/>
  <c r="N854" i="1"/>
  <c r="N754" i="1"/>
  <c r="U410" i="1"/>
  <c r="V290" i="1"/>
  <c r="N373" i="1"/>
  <c r="V367" i="1"/>
  <c r="V1660" i="1"/>
  <c r="N357" i="1"/>
  <c r="V510" i="1"/>
  <c r="V101" i="1"/>
  <c r="N1601" i="1"/>
  <c r="N93" i="1"/>
  <c r="L514" i="1"/>
  <c r="V373" i="1"/>
  <c r="N1664" i="1"/>
  <c r="N1797" i="1"/>
  <c r="V8" i="1"/>
  <c r="V1628" i="1"/>
  <c r="L1956" i="1"/>
  <c r="N317" i="1"/>
  <c r="L1139" i="1"/>
  <c r="N1126" i="1"/>
  <c r="V1136" i="1"/>
  <c r="N1665" i="1"/>
  <c r="L725" i="1"/>
  <c r="V717" i="1"/>
  <c r="V1132" i="1"/>
  <c r="N1104" i="1"/>
  <c r="N1116" i="1"/>
  <c r="V1124" i="1"/>
  <c r="V1134" i="1"/>
  <c r="N1114" i="1"/>
  <c r="V1125" i="1"/>
  <c r="N1129" i="1"/>
  <c r="N765" i="1"/>
  <c r="V838" i="1"/>
  <c r="N838" i="1"/>
  <c r="N590" i="1"/>
  <c r="N3793" i="1"/>
  <c r="N4722" i="1"/>
  <c r="L4756" i="1"/>
  <c r="V4750" i="1"/>
  <c r="V5530" i="1"/>
  <c r="N5476" i="1"/>
  <c r="N4727" i="1"/>
  <c r="V4471" i="1"/>
  <c r="V4855" i="1"/>
  <c r="N4870" i="1"/>
  <c r="N2424" i="1"/>
  <c r="N5525" i="1"/>
  <c r="N2404" i="1"/>
  <c r="V2406" i="1"/>
  <c r="N2412" i="1"/>
  <c r="N2420" i="1"/>
  <c r="V2424" i="1"/>
  <c r="N4717" i="1"/>
  <c r="V2414" i="1"/>
  <c r="V2402" i="1"/>
  <c r="N4729" i="1"/>
  <c r="N4750" i="1"/>
  <c r="N4734" i="1"/>
  <c r="N5025" i="1"/>
  <c r="V4249" i="1"/>
  <c r="N4484" i="1"/>
  <c r="V778" i="1"/>
  <c r="N2356" i="1"/>
  <c r="N2342" i="1"/>
  <c r="V2338" i="1"/>
  <c r="N3046" i="1"/>
  <c r="N4488" i="1"/>
  <c r="N2216" i="1"/>
  <c r="V2216" i="1"/>
  <c r="L3402" i="1"/>
  <c r="N4740" i="1"/>
  <c r="V4736" i="1"/>
  <c r="V4727" i="1"/>
  <c r="N4509" i="1"/>
  <c r="N4492" i="1"/>
  <c r="V4870" i="1"/>
  <c r="V4484" i="1"/>
  <c r="V4738" i="1"/>
  <c r="V2426" i="1"/>
  <c r="N2414" i="1"/>
  <c r="V5527" i="1"/>
  <c r="N2422" i="1"/>
  <c r="V2412" i="1"/>
  <c r="V4717" i="1"/>
  <c r="V2408" i="1"/>
  <c r="V5474" i="1"/>
  <c r="N4732" i="1"/>
  <c r="V1623" i="1"/>
  <c r="L4254" i="1"/>
  <c r="V5533" i="1"/>
  <c r="V2933" i="1"/>
  <c r="N2933" i="1"/>
  <c r="N4455" i="1"/>
  <c r="V4566" i="1"/>
  <c r="N841" i="1"/>
  <c r="L5488" i="1"/>
  <c r="V5550" i="1"/>
  <c r="N3228" i="1"/>
  <c r="V4509" i="1"/>
  <c r="V4495" i="1"/>
  <c r="V4492" i="1"/>
  <c r="N4471" i="1"/>
  <c r="N4855" i="1"/>
  <c r="L5625" i="1"/>
  <c r="N2402" i="1"/>
  <c r="N2406" i="1"/>
  <c r="V2410" i="1"/>
  <c r="N4869" i="1"/>
  <c r="V3474" i="1"/>
  <c r="N3369" i="1"/>
  <c r="V5198" i="1"/>
  <c r="N5173" i="1"/>
  <c r="N5161" i="1"/>
  <c r="N5186" i="1"/>
  <c r="V2131" i="1"/>
  <c r="N3555" i="1"/>
  <c r="N3497" i="1"/>
  <c r="N3494" i="1"/>
  <c r="N3491" i="1"/>
  <c r="V3489" i="1"/>
  <c r="N3489" i="1"/>
  <c r="N3480" i="1"/>
  <c r="N3459" i="1"/>
  <c r="V3459" i="1"/>
  <c r="V3455" i="1"/>
  <c r="N3455" i="1"/>
  <c r="N3453" i="1"/>
  <c r="V3450" i="1"/>
  <c r="V3448" i="1"/>
  <c r="N3448" i="1"/>
  <c r="N3444" i="1"/>
  <c r="N3441" i="1"/>
  <c r="V3439" i="1"/>
  <c r="N3172" i="1"/>
  <c r="V3166" i="1"/>
  <c r="N3166" i="1"/>
  <c r="V3205" i="1"/>
  <c r="N3201" i="1"/>
  <c r="V3199" i="1"/>
  <c r="N3199" i="1"/>
  <c r="N3197" i="1"/>
  <c r="N3189" i="1"/>
  <c r="V3189" i="1"/>
  <c r="V5548" i="1"/>
  <c r="V5546" i="1"/>
  <c r="V4748" i="1"/>
  <c r="V3627" i="1"/>
  <c r="N3617" i="1"/>
  <c r="N3615" i="1"/>
  <c r="V3615" i="1"/>
  <c r="V3613" i="1"/>
  <c r="V3611" i="1"/>
  <c r="V3607" i="1"/>
  <c r="N3605" i="1"/>
  <c r="V3605" i="1"/>
  <c r="N3589" i="1"/>
  <c r="N3587" i="1"/>
  <c r="V3587" i="1"/>
  <c r="V3585" i="1"/>
  <c r="V3581" i="1"/>
  <c r="N3581" i="1"/>
  <c r="V3577" i="1"/>
  <c r="N3577" i="1"/>
  <c r="V3575" i="1"/>
  <c r="N3571" i="1"/>
  <c r="V3571" i="1"/>
  <c r="V3569" i="1"/>
  <c r="N3121" i="1"/>
  <c r="N2676" i="1"/>
  <c r="N5198" i="1"/>
  <c r="N5195" i="1"/>
  <c r="V4588" i="1"/>
  <c r="V5563" i="1"/>
  <c r="N4250" i="1"/>
  <c r="N3951" i="1"/>
  <c r="V3992" i="1"/>
  <c r="V3894" i="1"/>
  <c r="V4049" i="1"/>
  <c r="V6153" i="1"/>
  <c r="V673" i="1"/>
  <c r="V6360" i="1"/>
  <c r="N5563" i="1"/>
  <c r="V5173" i="1"/>
  <c r="V4227" i="1"/>
  <c r="V1635" i="1"/>
  <c r="N6388" i="1"/>
  <c r="N5795" i="1"/>
  <c r="N6360" i="1"/>
  <c r="N6382" i="1"/>
  <c r="N657" i="1"/>
  <c r="N1625" i="1"/>
  <c r="V2319" i="1"/>
  <c r="V1944" i="1"/>
  <c r="V5559" i="1"/>
  <c r="V3925" i="1"/>
  <c r="V594" i="1"/>
  <c r="N673" i="1"/>
  <c r="N658" i="1"/>
  <c r="V845" i="1"/>
  <c r="N1626" i="1"/>
  <c r="V855" i="1"/>
  <c r="V743" i="1"/>
  <c r="N855" i="1"/>
  <c r="V1626" i="1"/>
  <c r="V816" i="1"/>
  <c r="V848" i="1"/>
  <c r="V356" i="1"/>
  <c r="N594" i="1"/>
  <c r="V660" i="1"/>
  <c r="V2322" i="1"/>
  <c r="N848" i="1"/>
  <c r="N504" i="1"/>
  <c r="V659" i="1"/>
  <c r="N511" i="1"/>
  <c r="V504" i="1"/>
  <c r="N660" i="1"/>
  <c r="V1631" i="1"/>
  <c r="N2131" i="1"/>
  <c r="N718" i="1"/>
  <c r="V658" i="1"/>
  <c r="N1631" i="1"/>
  <c r="N1944" i="1"/>
  <c r="N2322" i="1"/>
  <c r="N816" i="1"/>
  <c r="V511" i="1"/>
  <c r="N356" i="1"/>
  <c r="N3925" i="1"/>
  <c r="N659" i="1"/>
  <c r="N6571" i="1" l="1"/>
  <c r="N2167" i="1"/>
  <c r="N5640" i="1"/>
  <c r="N3721" i="1"/>
  <c r="N700" i="1"/>
  <c r="N683" i="1"/>
  <c r="N4386" i="1"/>
  <c r="N6299" i="1"/>
  <c r="N2249" i="1"/>
  <c r="N5776" i="1"/>
  <c r="N553" i="1"/>
  <c r="N1228" i="1"/>
  <c r="N5998" i="1"/>
  <c r="N4672" i="1"/>
  <c r="N5389" i="1"/>
  <c r="R771" i="1"/>
  <c r="S771" i="1"/>
  <c r="R3986" i="1"/>
  <c r="S3986" i="1"/>
  <c r="S5681" i="1"/>
  <c r="R5681" i="1"/>
  <c r="R774" i="1"/>
  <c r="S774" i="1"/>
  <c r="R1667" i="1"/>
  <c r="S1667" i="1"/>
  <c r="R587" i="1"/>
  <c r="S587" i="1"/>
  <c r="R1762" i="1"/>
  <c r="S1762" i="1"/>
  <c r="R4409" i="1"/>
  <c r="S4409" i="1"/>
  <c r="S331" i="1"/>
  <c r="R331" i="1"/>
  <c r="S814" i="1"/>
  <c r="R814" i="1"/>
  <c r="R2193" i="1"/>
  <c r="S2193" i="1"/>
  <c r="R9" i="1"/>
  <c r="S9" i="1"/>
  <c r="R20" i="1"/>
  <c r="S20" i="1"/>
  <c r="R4304" i="1"/>
  <c r="S4304" i="1"/>
  <c r="R5866" i="1"/>
  <c r="S5866" i="1"/>
  <c r="R1538" i="1"/>
  <c r="S1538" i="1"/>
  <c r="R4331" i="1"/>
  <c r="S4331" i="1"/>
  <c r="R775" i="1"/>
  <c r="S775" i="1"/>
  <c r="S2295" i="1"/>
  <c r="R2295" i="1"/>
  <c r="R1498" i="1"/>
  <c r="S1498" i="1"/>
  <c r="R4103" i="1"/>
  <c r="S4103" i="1"/>
  <c r="R5008" i="1"/>
  <c r="S5008" i="1"/>
  <c r="R664" i="1"/>
  <c r="S664" i="1"/>
  <c r="S4410" i="1"/>
  <c r="R4410" i="1"/>
  <c r="R538" i="1"/>
  <c r="S538" i="1"/>
  <c r="R377" i="1"/>
  <c r="S377" i="1"/>
  <c r="R3935" i="1"/>
  <c r="S3935" i="1"/>
  <c r="R3653" i="1"/>
  <c r="S3653" i="1"/>
  <c r="R1386" i="1"/>
  <c r="S1386" i="1"/>
  <c r="R5001" i="1"/>
  <c r="S5001" i="1"/>
  <c r="R4987" i="1"/>
  <c r="S4987" i="1"/>
  <c r="S5742" i="1"/>
  <c r="R5742" i="1"/>
  <c r="R3934" i="1"/>
  <c r="S3934" i="1"/>
  <c r="R5040" i="1"/>
  <c r="S5040" i="1"/>
  <c r="R5003" i="1"/>
  <c r="S5003" i="1"/>
  <c r="R1764" i="1"/>
  <c r="S1764" i="1"/>
  <c r="S588" i="1"/>
  <c r="R588" i="1"/>
  <c r="R1659" i="1"/>
  <c r="S1659" i="1"/>
  <c r="R51" i="1"/>
  <c r="S51" i="1"/>
  <c r="R1987" i="1"/>
  <c r="S1987" i="1"/>
  <c r="R5211" i="1"/>
  <c r="S5211" i="1"/>
  <c r="S2221" i="1"/>
  <c r="R2221" i="1"/>
  <c r="R4882" i="1"/>
  <c r="S4882" i="1"/>
  <c r="R5306" i="1"/>
  <c r="S5306" i="1"/>
  <c r="R1894" i="1"/>
  <c r="S1894" i="1"/>
  <c r="R3926" i="1"/>
  <c r="S3926" i="1"/>
  <c r="R283" i="1"/>
  <c r="S283" i="1"/>
  <c r="S274" i="1"/>
  <c r="R274" i="1"/>
  <c r="R1307" i="1"/>
  <c r="S1307" i="1"/>
  <c r="R5678" i="1"/>
  <c r="S5678" i="1"/>
  <c r="R4281" i="1"/>
  <c r="S4281" i="1"/>
  <c r="R5037" i="1"/>
  <c r="S5037" i="1"/>
  <c r="R5293" i="1"/>
  <c r="S5293" i="1"/>
  <c r="R5566" i="1"/>
  <c r="S5566" i="1"/>
  <c r="S6380" i="1"/>
  <c r="R6380" i="1"/>
  <c r="R4123" i="1"/>
  <c r="S4123" i="1"/>
  <c r="R6628" i="1"/>
  <c r="S6628" i="1"/>
  <c r="R623" i="1"/>
  <c r="S623" i="1"/>
  <c r="R4127" i="1"/>
  <c r="S4127" i="1"/>
  <c r="R376" i="1"/>
  <c r="S376" i="1"/>
  <c r="R3978" i="1"/>
  <c r="S3978" i="1"/>
  <c r="R366" i="1"/>
  <c r="S366" i="1"/>
  <c r="R2229" i="1"/>
  <c r="S2229" i="1"/>
  <c r="R273" i="1"/>
  <c r="S273" i="1"/>
  <c r="R4913" i="1"/>
  <c r="S4913" i="1"/>
  <c r="R3669" i="1"/>
  <c r="S3669" i="1"/>
  <c r="R772" i="1"/>
  <c r="S772" i="1"/>
  <c r="R2005" i="1"/>
  <c r="S2005" i="1"/>
  <c r="R3985" i="1"/>
  <c r="S3985" i="1"/>
  <c r="S6524" i="1"/>
  <c r="R6524" i="1"/>
  <c r="R1890" i="1"/>
  <c r="S1890" i="1"/>
  <c r="R2222" i="1"/>
  <c r="S2222" i="1"/>
  <c r="R6390" i="1"/>
  <c r="S6390" i="1"/>
  <c r="R13" i="1"/>
  <c r="S13" i="1"/>
  <c r="R1243" i="1"/>
  <c r="S1243" i="1"/>
  <c r="R1246" i="1"/>
  <c r="S1246" i="1"/>
  <c r="R4984" i="1"/>
  <c r="S4984" i="1"/>
  <c r="R6273" i="1"/>
  <c r="S6273" i="1"/>
  <c r="R4138" i="1"/>
  <c r="S4138" i="1"/>
  <c r="R3805" i="1"/>
  <c r="S3805" i="1"/>
  <c r="R2452" i="1"/>
  <c r="S2452" i="1"/>
  <c r="R3984" i="1"/>
  <c r="S3984" i="1"/>
  <c r="R2228" i="1"/>
  <c r="S2228" i="1"/>
  <c r="R3794" i="1"/>
  <c r="S3794" i="1"/>
  <c r="R895" i="1"/>
  <c r="S895" i="1"/>
  <c r="R5402" i="1"/>
  <c r="S5402" i="1"/>
  <c r="V9" i="1"/>
  <c r="N20" i="1"/>
  <c r="N775" i="1"/>
  <c r="V1498" i="1"/>
  <c r="L4111" i="1"/>
  <c r="N1538" i="1"/>
  <c r="N1541" i="1" s="1"/>
  <c r="N2193" i="1"/>
  <c r="N2197" i="1" s="1"/>
  <c r="V4410" i="1"/>
  <c r="N377" i="1"/>
  <c r="L3655" i="1"/>
  <c r="V4987" i="1"/>
  <c r="L5747" i="1"/>
  <c r="N1764" i="1"/>
  <c r="N1386" i="1"/>
  <c r="N1390" i="1" s="1"/>
  <c r="V5001" i="1"/>
  <c r="N2221" i="1"/>
  <c r="N588" i="1"/>
  <c r="V1659" i="1"/>
  <c r="N51" i="1"/>
  <c r="N59" i="1" s="1"/>
  <c r="L4296" i="1"/>
  <c r="V5037" i="1"/>
  <c r="N5566" i="1"/>
  <c r="N5577" i="1" s="1"/>
  <c r="N1987" i="1"/>
  <c r="N1989" i="1" s="1"/>
  <c r="N623" i="1"/>
  <c r="N625" i="1" s="1"/>
  <c r="V3978" i="1"/>
  <c r="N273" i="1"/>
  <c r="L3671" i="1"/>
  <c r="V6628" i="1"/>
  <c r="L6529" i="1"/>
  <c r="V2222" i="1"/>
  <c r="V2005" i="1"/>
  <c r="X13" i="1"/>
  <c r="V4984" i="1"/>
  <c r="L6275" i="1"/>
  <c r="V6390" i="1"/>
  <c r="L2594" i="1"/>
  <c r="N2228" i="1"/>
  <c r="N3794" i="1"/>
  <c r="N4138" i="1"/>
  <c r="N5681" i="1"/>
  <c r="N4409" i="1"/>
  <c r="V814" i="1"/>
  <c r="V1667" i="1"/>
  <c r="N1854" i="1"/>
  <c r="L5869" i="1"/>
  <c r="N2276" i="1"/>
  <c r="N6311" i="1"/>
  <c r="V5008" i="1"/>
  <c r="N6346" i="1"/>
  <c r="V2193" i="1"/>
  <c r="L2197" i="1"/>
  <c r="V1987" i="1"/>
  <c r="N5290" i="1"/>
  <c r="L1989" i="1"/>
  <c r="V4331" i="1"/>
  <c r="V1762" i="1"/>
  <c r="N5001" i="1"/>
  <c r="L4333" i="1"/>
  <c r="N4393" i="1"/>
  <c r="N4331" i="1"/>
  <c r="N4333" i="1" s="1"/>
  <c r="N1762" i="1"/>
  <c r="N1769" i="1" s="1"/>
  <c r="N2239" i="1"/>
  <c r="N4913" i="1"/>
  <c r="N4916" i="1" s="1"/>
  <c r="V4913" i="1"/>
  <c r="N646" i="1"/>
  <c r="N2075" i="1"/>
  <c r="L4916" i="1"/>
  <c r="N90" i="1"/>
  <c r="N1338" i="1"/>
  <c r="N1726" i="1"/>
  <c r="N871" i="1"/>
  <c r="N3063" i="1"/>
  <c r="N2180" i="1"/>
  <c r="N6546" i="1"/>
  <c r="N6454" i="1"/>
  <c r="N418" i="1"/>
  <c r="V4304" i="1"/>
  <c r="V772" i="1"/>
  <c r="V587" i="1"/>
  <c r="E6788" i="1"/>
  <c r="W6892" i="1"/>
  <c r="V3985" i="1"/>
  <c r="N402" i="1"/>
  <c r="V2228" i="1"/>
  <c r="V5402" i="1"/>
  <c r="N5402" i="1"/>
  <c r="N5413" i="1" s="1"/>
  <c r="V1894" i="1"/>
  <c r="N481" i="1"/>
  <c r="N6620" i="1"/>
  <c r="N1819" i="1"/>
  <c r="N3985" i="1"/>
  <c r="N1894" i="1"/>
  <c r="N835" i="1"/>
  <c r="L5413" i="1"/>
  <c r="N6041" i="1"/>
  <c r="V5040" i="1"/>
  <c r="N2209" i="1"/>
  <c r="N5040" i="1"/>
  <c r="N5724" i="1"/>
  <c r="L59" i="1"/>
  <c r="N6554" i="1"/>
  <c r="N274" i="1"/>
  <c r="V274" i="1"/>
  <c r="N6320" i="1"/>
  <c r="N6105" i="1"/>
  <c r="V51" i="1"/>
  <c r="N6502" i="1"/>
  <c r="N1698" i="1"/>
  <c r="V2221" i="1"/>
  <c r="N772" i="1"/>
  <c r="N587" i="1"/>
  <c r="V3805" i="1"/>
  <c r="N6390" i="1"/>
  <c r="N3805" i="1"/>
  <c r="N5008" i="1"/>
  <c r="N5037" i="1"/>
  <c r="L5043" i="1"/>
  <c r="N4662" i="1"/>
  <c r="N3734" i="1"/>
  <c r="V1386" i="1"/>
  <c r="N6054" i="1"/>
  <c r="N561" i="1"/>
  <c r="L1390" i="1"/>
  <c r="N612" i="1"/>
  <c r="V5306" i="1"/>
  <c r="L2012" i="1"/>
  <c r="N1293" i="1"/>
  <c r="N960" i="1"/>
  <c r="N2005" i="1"/>
  <c r="N2012" i="1" s="1"/>
  <c r="L5313" i="1"/>
  <c r="N5306" i="1"/>
  <c r="N5313" i="1" s="1"/>
  <c r="L600" i="1"/>
  <c r="V588" i="1"/>
  <c r="L1541" i="1"/>
  <c r="N1659" i="1"/>
  <c r="N6699" i="1"/>
  <c r="N4678" i="1"/>
  <c r="N5884" i="1"/>
  <c r="N5458" i="1"/>
  <c r="N3859" i="1"/>
  <c r="L1671" i="1"/>
  <c r="V377" i="1"/>
  <c r="V774" i="1"/>
  <c r="L1769" i="1"/>
  <c r="N774" i="1"/>
  <c r="L6632" i="1"/>
  <c r="N1667" i="1"/>
  <c r="N6628" i="1"/>
  <c r="N6632" i="1" s="1"/>
  <c r="V5681" i="1"/>
  <c r="V1538" i="1"/>
  <c r="N6752" i="1"/>
  <c r="N712" i="1"/>
  <c r="N4320" i="1"/>
  <c r="N6070" i="1"/>
  <c r="N1438" i="1"/>
  <c r="N6511" i="1"/>
  <c r="N426" i="1"/>
  <c r="N6032" i="1"/>
  <c r="N4950" i="1"/>
  <c r="V4138" i="1"/>
  <c r="N6780" i="1"/>
  <c r="N2229" i="1"/>
  <c r="N4932" i="1"/>
  <c r="V2229" i="1"/>
  <c r="N2269" i="1"/>
  <c r="L5577" i="1"/>
  <c r="N1781" i="1"/>
  <c r="N914" i="1"/>
  <c r="N6243" i="1"/>
  <c r="L6393" i="1"/>
  <c r="N5427" i="1"/>
  <c r="L898" i="1"/>
  <c r="N895" i="1"/>
  <c r="N898" i="1" s="1"/>
  <c r="L2232" i="1"/>
  <c r="N6365" i="1"/>
  <c r="V895" i="1"/>
  <c r="N1460" i="1"/>
  <c r="V538" i="1"/>
  <c r="V3926" i="1"/>
  <c r="N3926" i="1"/>
  <c r="N6727" i="1"/>
  <c r="N3782" i="1"/>
  <c r="I6782" i="1"/>
  <c r="N5060" i="1"/>
  <c r="N5003" i="1"/>
  <c r="N3986" i="1"/>
  <c r="V3986" i="1"/>
  <c r="V5566" i="1"/>
  <c r="N6490" i="1"/>
  <c r="V3984" i="1"/>
  <c r="N771" i="1"/>
  <c r="L782" i="1"/>
  <c r="V771" i="1"/>
  <c r="L336" i="1"/>
  <c r="L1896" i="1"/>
  <c r="L4904" i="1"/>
  <c r="L675" i="1"/>
  <c r="V1764" i="1"/>
  <c r="N1351" i="1"/>
  <c r="N6092" i="1"/>
  <c r="N5347" i="1"/>
  <c r="N4089" i="1"/>
  <c r="N3978" i="1"/>
  <c r="N4780" i="1"/>
  <c r="L4000" i="1"/>
  <c r="N4987" i="1"/>
  <c r="V3934" i="1"/>
  <c r="N283" i="1"/>
  <c r="V283" i="1"/>
  <c r="L4414" i="1"/>
  <c r="L5015" i="1"/>
  <c r="V5003" i="1"/>
  <c r="N4984" i="1"/>
  <c r="L4990" i="1"/>
  <c r="N5982" i="1"/>
  <c r="L1270" i="1"/>
  <c r="L292" i="1"/>
  <c r="N1246" i="1"/>
  <c r="N1270" i="1" s="1"/>
  <c r="V1246" i="1"/>
  <c r="V273" i="1"/>
  <c r="V4123" i="1"/>
  <c r="V4127" i="1"/>
  <c r="N5974" i="1"/>
  <c r="N4304" i="1"/>
  <c r="N4307" i="1" s="1"/>
  <c r="N6063" i="1"/>
  <c r="N2222" i="1"/>
  <c r="N4123" i="1"/>
  <c r="N814" i="1"/>
  <c r="N819" i="1" s="1"/>
  <c r="N5329" i="1"/>
  <c r="L4145" i="1"/>
  <c r="L3941" i="1"/>
  <c r="N1882" i="1"/>
  <c r="L819" i="1"/>
  <c r="N1498" i="1"/>
  <c r="N1511" i="1" s="1"/>
  <c r="V331" i="1"/>
  <c r="N1706" i="1"/>
  <c r="L4307" i="1"/>
  <c r="N538" i="1"/>
  <c r="N541" i="1" s="1"/>
  <c r="L3814" i="1"/>
  <c r="N331" i="1"/>
  <c r="N336" i="1" s="1"/>
  <c r="N366" i="1"/>
  <c r="V366" i="1"/>
  <c r="L1511" i="1"/>
  <c r="N4127" i="1"/>
  <c r="V6380" i="1"/>
  <c r="N6380" i="1"/>
  <c r="N3669" i="1"/>
  <c r="N3671" i="1" s="1"/>
  <c r="V3669" i="1"/>
  <c r="V3653" i="1"/>
  <c r="N3653" i="1"/>
  <c r="N3655" i="1" s="1"/>
  <c r="L541" i="1"/>
  <c r="N3934" i="1"/>
  <c r="N4882" i="1"/>
  <c r="N4904" i="1" s="1"/>
  <c r="N5247" i="1"/>
  <c r="V5293" i="1"/>
  <c r="N5293" i="1"/>
  <c r="N5296" i="1" s="1"/>
  <c r="L5296" i="1"/>
  <c r="N5866" i="1"/>
  <c r="N5869" i="1" s="1"/>
  <c r="V5866" i="1"/>
  <c r="V3935" i="1"/>
  <c r="N3935" i="1"/>
  <c r="V3794" i="1"/>
  <c r="N4233" i="1"/>
  <c r="N500" i="1"/>
  <c r="N9" i="1"/>
  <c r="N2111" i="1"/>
  <c r="V1243" i="1"/>
  <c r="N1243" i="1"/>
  <c r="N376" i="1"/>
  <c r="V376" i="1"/>
  <c r="L388" i="1"/>
  <c r="X20" i="1"/>
  <c r="X6782" i="1" s="1"/>
  <c r="N6691" i="1"/>
  <c r="V6273" i="1"/>
  <c r="N6273" i="1"/>
  <c r="N6275" i="1" s="1"/>
  <c r="V4103" i="1"/>
  <c r="N4103" i="1"/>
  <c r="N4111" i="1" s="1"/>
  <c r="N5742" i="1"/>
  <c r="N5747" i="1" s="1"/>
  <c r="V5742" i="1"/>
  <c r="V1890" i="1"/>
  <c r="N1890" i="1"/>
  <c r="L25" i="1"/>
  <c r="N2034" i="1"/>
  <c r="V775" i="1"/>
  <c r="N2143" i="1"/>
  <c r="N3984" i="1"/>
  <c r="N1979" i="1"/>
  <c r="V4882" i="1"/>
  <c r="N4410" i="1"/>
  <c r="N1425" i="1"/>
  <c r="N487" i="1"/>
  <c r="N6658" i="1"/>
  <c r="N4079" i="1"/>
  <c r="N4645" i="1"/>
  <c r="N5675" i="1"/>
  <c r="N3848" i="1"/>
  <c r="N1304" i="1"/>
  <c r="V4409" i="1"/>
  <c r="V6524" i="1"/>
  <c r="N6524" i="1"/>
  <c r="N6529" i="1" s="1"/>
  <c r="N1743" i="1"/>
  <c r="H6782" i="1"/>
  <c r="N13" i="1"/>
  <c r="K6782" i="1"/>
  <c r="N5713" i="1"/>
  <c r="N4187" i="1"/>
  <c r="N3755" i="1"/>
  <c r="N4039" i="1"/>
  <c r="N5116" i="1"/>
  <c r="N5625" i="1"/>
  <c r="N6267" i="1"/>
  <c r="N5823" i="1"/>
  <c r="N4820" i="1"/>
  <c r="N2324" i="1"/>
  <c r="N2704" i="1"/>
  <c r="N5075" i="1"/>
  <c r="N4633" i="1"/>
  <c r="N108" i="1"/>
  <c r="V623" i="1"/>
  <c r="N3125" i="1"/>
  <c r="N3904" i="1"/>
  <c r="N4281" i="1"/>
  <c r="N4296" i="1" s="1"/>
  <c r="V4281" i="1"/>
  <c r="N2452" i="1"/>
  <c r="N2594" i="1" s="1"/>
  <c r="V2452" i="1"/>
  <c r="L2301" i="1"/>
  <c r="V2295" i="1"/>
  <c r="N2295" i="1"/>
  <c r="N2301" i="1" s="1"/>
  <c r="N5232" i="1"/>
  <c r="L625" i="1"/>
  <c r="N1615" i="1"/>
  <c r="N4254" i="1"/>
  <c r="V664" i="1"/>
  <c r="N6205" i="1"/>
  <c r="N664" i="1"/>
  <c r="N675" i="1" s="1"/>
  <c r="N3706" i="1"/>
  <c r="L5685" i="1"/>
  <c r="N5678" i="1"/>
  <c r="V5678" i="1"/>
  <c r="N1378" i="1"/>
  <c r="N238" i="1"/>
  <c r="N1328" i="1"/>
  <c r="N134" i="1"/>
  <c r="V1307" i="1"/>
  <c r="L1311" i="1"/>
  <c r="N1307" i="1"/>
  <c r="N1311" i="1" s="1"/>
  <c r="N5965" i="1"/>
  <c r="L5214" i="1"/>
  <c r="N5211" i="1"/>
  <c r="N5214" i="1" s="1"/>
  <c r="V5211" i="1"/>
  <c r="N1956" i="1"/>
  <c r="N3057" i="1"/>
  <c r="N412" i="1"/>
  <c r="N1874" i="1"/>
  <c r="N725" i="1"/>
  <c r="N2877" i="1"/>
  <c r="N1805" i="1"/>
  <c r="N861" i="1"/>
  <c r="N3402" i="1"/>
  <c r="N4599" i="1"/>
  <c r="N4756" i="1"/>
  <c r="N5488" i="1"/>
  <c r="N2395" i="1"/>
  <c r="N3224" i="1"/>
  <c r="N5188" i="1"/>
  <c r="N1139" i="1"/>
  <c r="U6782" i="1"/>
  <c r="N751" i="1"/>
  <c r="N3634" i="1"/>
  <c r="N5203" i="1"/>
  <c r="N514" i="1"/>
  <c r="N5685" i="1" l="1"/>
  <c r="N3814" i="1"/>
  <c r="N600" i="1"/>
  <c r="N4414" i="1"/>
  <c r="E6786" i="1"/>
  <c r="U6892" i="1"/>
  <c r="E6789" i="1"/>
  <c r="X6892" i="1"/>
  <c r="N1896" i="1"/>
  <c r="N5043" i="1"/>
  <c r="N292" i="1"/>
  <c r="N6393" i="1"/>
  <c r="N1671" i="1"/>
  <c r="N5015" i="1"/>
  <c r="N782" i="1"/>
  <c r="N2232" i="1"/>
  <c r="N4990" i="1"/>
  <c r="N4000" i="1"/>
  <c r="N388" i="1"/>
  <c r="N4145" i="1"/>
  <c r="N3941" i="1"/>
  <c r="N25" i="1"/>
  <c r="L6782" i="1"/>
  <c r="V6782" i="1"/>
  <c r="J6783" i="1" l="1"/>
  <c r="E6787" i="1"/>
  <c r="E6791" i="1" s="1"/>
  <c r="F6787" i="1" s="1"/>
  <c r="V6892" i="1"/>
  <c r="N6782" i="1"/>
  <c r="N6892" i="1" s="1"/>
  <c r="I6783" i="1"/>
  <c r="L6892" i="1"/>
  <c r="K6783" i="1"/>
  <c r="H6783" i="1"/>
  <c r="F6789" i="1" l="1"/>
  <c r="F6786" i="1"/>
  <c r="F6788" i="1"/>
</calcChain>
</file>

<file path=xl/connections.xml><?xml version="1.0" encoding="utf-8"?>
<connections xmlns="http://schemas.openxmlformats.org/spreadsheetml/2006/main">
  <connection id="1" name="main" type="6" refreshedVersion="7" background="1" saveData="1">
    <textPr codePage="437" sourceFile="C:\Users\conta\Downloads\main.csv" tab="0" semicolon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<sst xmlns="http://schemas.openxmlformats.org/spreadsheetml/2006/main" count="33227" uniqueCount="11513">
  <si>
    <t>14-May-1894</t>
  </si>
  <si>
    <t>3-Sep-1894</t>
  </si>
  <si>
    <t>1-Oct-1894</t>
  </si>
  <si>
    <t>29-Oct-1894</t>
  </si>
  <si>
    <t>30-Nov-1894</t>
  </si>
  <si>
    <t>24-Dec-1894</t>
  </si>
  <si>
    <t>28-Jan-1895</t>
  </si>
  <si>
    <t>4-Mar-1895</t>
  </si>
  <si>
    <t>20-Jan-1896</t>
  </si>
  <si>
    <t>2-Mar-1896</t>
  </si>
  <si>
    <t>30-Mar-1896</t>
  </si>
  <si>
    <t>27-Apr-1896</t>
  </si>
  <si>
    <t>25-May-1896</t>
  </si>
  <si>
    <t>22-Jun-1896</t>
  </si>
  <si>
    <t>24-Aug-1896</t>
  </si>
  <si>
    <t>28-Sep-1896</t>
  </si>
  <si>
    <t>26-Oct-1896</t>
  </si>
  <si>
    <t>30-Nov-1896</t>
  </si>
  <si>
    <t>28-Dec-1896</t>
  </si>
  <si>
    <t>1-Feb-1897</t>
  </si>
  <si>
    <t>9-Mar-1897</t>
  </si>
  <si>
    <t>5-Apr-1897</t>
  </si>
  <si>
    <t>7-Jun-1897</t>
  </si>
  <si>
    <t>4-Jul-1897</t>
  </si>
  <si>
    <t>15-Aug-1897</t>
  </si>
  <si>
    <t>12-Sep-1897</t>
  </si>
  <si>
    <t>10-Oct-1897</t>
  </si>
  <si>
    <t>7-Nov-1897</t>
  </si>
  <si>
    <t>5-Dec-1897</t>
  </si>
  <si>
    <t>7-Aug-1897</t>
  </si>
  <si>
    <t>30-Oct-1897</t>
  </si>
  <si>
    <t>27-Nov-1897</t>
  </si>
  <si>
    <t>3-Jan-1898</t>
  </si>
  <si>
    <t>27-Feb-1898</t>
  </si>
  <si>
    <t>4-Apr-1898</t>
  </si>
  <si>
    <t>12-Jun-1898</t>
  </si>
  <si>
    <t>10-Jul-1898</t>
  </si>
  <si>
    <t>7-Aug-1898</t>
  </si>
  <si>
    <t>18-Dec-1898</t>
  </si>
  <si>
    <t>25-Dec-1897</t>
  </si>
  <si>
    <t>30-Jan-1898</t>
  </si>
  <si>
    <t>19-Feb-1898</t>
  </si>
  <si>
    <t>26-Mar-1898</t>
  </si>
  <si>
    <t>4-Jun-1898</t>
  </si>
  <si>
    <t>2-Jul-1898</t>
  </si>
  <si>
    <t>30-Jul-1898</t>
  </si>
  <si>
    <t>10-Dec-1898</t>
  </si>
  <si>
    <t>12-Mar-1899</t>
  </si>
  <si>
    <t>10-Apr-1899</t>
  </si>
  <si>
    <t>14-May-1899</t>
  </si>
  <si>
    <t>19-Jun-1899</t>
  </si>
  <si>
    <t>16-Jul-1899</t>
  </si>
  <si>
    <t>13-Aug-1899</t>
  </si>
  <si>
    <t>17-Sep-1899</t>
  </si>
  <si>
    <t>22-Oct-1899</t>
  </si>
  <si>
    <t>19-Nov-1899</t>
  </si>
  <si>
    <t>24-Dec-1899</t>
  </si>
  <si>
    <t>7-Jan-1899</t>
  </si>
  <si>
    <t>16-Jan-1899</t>
  </si>
  <si>
    <t>4-Feb-1899</t>
  </si>
  <si>
    <t>14-Feb-1899</t>
  </si>
  <si>
    <t>4-Mar-1899</t>
  </si>
  <si>
    <t>1-Apr-1899</t>
  </si>
  <si>
    <t>6-May-1899</t>
  </si>
  <si>
    <t>11-Jun-1899</t>
  </si>
  <si>
    <t>8-Jul-1899</t>
  </si>
  <si>
    <t>5-Aug-1899</t>
  </si>
  <si>
    <t>9-Sep-1899</t>
  </si>
  <si>
    <t>14-Oct-1899</t>
  </si>
  <si>
    <t>11-Nov-1899</t>
  </si>
  <si>
    <t>16-Dec-1899</t>
  </si>
  <si>
    <t>3-Jun-1900</t>
  </si>
  <si>
    <t>9-Sep-1900</t>
  </si>
  <si>
    <t>9-Dec-1900</t>
  </si>
  <si>
    <t>22-Jan-1900</t>
  </si>
  <si>
    <t>13-Jan-1900</t>
  </si>
  <si>
    <t>24-Mar-1900</t>
  </si>
  <si>
    <t>1-Apr-1900</t>
  </si>
  <si>
    <t>21-Apr-1900</t>
  </si>
  <si>
    <t>29-Apr-1900</t>
  </si>
  <si>
    <t>7-Jul-1900</t>
  </si>
  <si>
    <t>15-Jul-1900</t>
  </si>
  <si>
    <t>16-Aug-1900</t>
  </si>
  <si>
    <t>1-Sep-1900</t>
  </si>
  <si>
    <t>21-Oct-1900</t>
  </si>
  <si>
    <t>1-Dec-1900</t>
  </si>
  <si>
    <t>Louisiane</t>
  </si>
  <si>
    <t>28-Aug-1909</t>
  </si>
  <si>
    <t>10-Sep-1909</t>
  </si>
  <si>
    <t>La Lorraine</t>
  </si>
  <si>
    <t>4-Apr-1908</t>
  </si>
  <si>
    <t>12-Apr-1908</t>
  </si>
  <si>
    <t>30-Oct-1912</t>
  </si>
  <si>
    <t>7-Nov-1912</t>
  </si>
  <si>
    <t>La Gascogne</t>
  </si>
  <si>
    <t>24-Apr-1909</t>
  </si>
  <si>
    <t>4-May-1909</t>
  </si>
  <si>
    <t>22-Sep-1892</t>
  </si>
  <si>
    <t>Rugia</t>
  </si>
  <si>
    <t>Hamburg/Le Havre</t>
  </si>
  <si>
    <t>2-Feb-1892</t>
  </si>
  <si>
    <t>25-Jul-1892</t>
  </si>
  <si>
    <t>17-Apr-1893</t>
  </si>
  <si>
    <t>30-Dec-1893</t>
  </si>
  <si>
    <t>18-Jun-1894</t>
  </si>
  <si>
    <t>14-Feb-1894</t>
  </si>
  <si>
    <t>13-Aug-1894</t>
  </si>
  <si>
    <t>Dania</t>
  </si>
  <si>
    <t>23-Jan-1892</t>
  </si>
  <si>
    <t>16-Apr-1892</t>
  </si>
  <si>
    <t>Ships from Le Havre (1892-1895)</t>
  </si>
  <si>
    <t># of</t>
  </si>
  <si>
    <t>Armenians</t>
  </si>
  <si>
    <t>Complete</t>
  </si>
  <si>
    <t>Albano</t>
  </si>
  <si>
    <t>Amalfi</t>
  </si>
  <si>
    <t>Bohemia</t>
  </si>
  <si>
    <t>Christiania</t>
  </si>
  <si>
    <t>Gellert</t>
  </si>
  <si>
    <t>Gothia</t>
  </si>
  <si>
    <t>La Bourgogne</t>
  </si>
  <si>
    <t>La Champagne</t>
  </si>
  <si>
    <t>La Normandie</t>
  </si>
  <si>
    <t>Marsala</t>
  </si>
  <si>
    <t>Moravia</t>
  </si>
  <si>
    <t>Persia</t>
  </si>
  <si>
    <t>Phoenicia</t>
  </si>
  <si>
    <t>Prussia</t>
  </si>
  <si>
    <t>Rhaetia</t>
  </si>
  <si>
    <t>Russia</t>
  </si>
  <si>
    <t>Scandia</t>
  </si>
  <si>
    <t>Sicilia</t>
  </si>
  <si>
    <t>Slavonia</t>
  </si>
  <si>
    <t>Solingen</t>
  </si>
  <si>
    <t>Suevia</t>
  </si>
  <si>
    <t>Taormina</t>
  </si>
  <si>
    <t>Venetia</t>
  </si>
  <si>
    <t>Virginia</t>
  </si>
  <si>
    <t>Wieland</t>
  </si>
  <si>
    <t>2-May-1892</t>
  </si>
  <si>
    <t>30-May-1892</t>
  </si>
  <si>
    <t>20-Aug-1892</t>
  </si>
  <si>
    <t>25-Mar-1893</t>
  </si>
  <si>
    <t>24-Jun-1893</t>
  </si>
  <si>
    <t>28-Nov-1893</t>
  </si>
  <si>
    <t>20-Jan-1894</t>
  </si>
  <si>
    <t>5-Mar-1894</t>
  </si>
  <si>
    <t>14-Apr-1894</t>
  </si>
  <si>
    <t>25-May-1894</t>
  </si>
  <si>
    <t>21-Sep-1894</t>
  </si>
  <si>
    <t>5-Nov-1894</t>
  </si>
  <si>
    <t>12-Feb-1895</t>
  </si>
  <si>
    <t>Majestic</t>
  </si>
  <si>
    <t>11-Jun-1913</t>
  </si>
  <si>
    <t>19-Jun-1913</t>
  </si>
  <si>
    <t>Southampton/Cherbourg</t>
  </si>
  <si>
    <t>6-Nov-1912</t>
  </si>
  <si>
    <t>14-Nov-1912</t>
  </si>
  <si>
    <t>21-Apr-1909</t>
  </si>
  <si>
    <t>29-Apr-1909</t>
  </si>
  <si>
    <t>Obdam</t>
  </si>
  <si>
    <t>15-Feb-1892</t>
  </si>
  <si>
    <t>28-Mar-1892</t>
  </si>
  <si>
    <t>17-Jun-1892</t>
  </si>
  <si>
    <t>21-Oct-1892</t>
  </si>
  <si>
    <t>2-Dec-1892</t>
  </si>
  <si>
    <t>13-Jan-1893</t>
  </si>
  <si>
    <t>15-Apr-1893</t>
  </si>
  <si>
    <t>25-May-1893</t>
  </si>
  <si>
    <t>5-Jul-1893</t>
  </si>
  <si>
    <t>8-Aug-1893</t>
  </si>
  <si>
    <t>12-Sep-1893</t>
  </si>
  <si>
    <t>22-Nov-1893</t>
  </si>
  <si>
    <t>5-Jan-1894</t>
  </si>
  <si>
    <t>14-Aug-1894</t>
  </si>
  <si>
    <t>23-Oct-1894</t>
  </si>
  <si>
    <t>4-Jan-1895</t>
  </si>
  <si>
    <t>4-Apr-1895</t>
  </si>
  <si>
    <t>8-May-1895</t>
  </si>
  <si>
    <t>24-Sep-1895</t>
  </si>
  <si>
    <t>10-Aug-1896</t>
  </si>
  <si>
    <t>14-Sep-1896</t>
  </si>
  <si>
    <t>19-Oct-1896</t>
  </si>
  <si>
    <t>24-Nov-1896</t>
  </si>
  <si>
    <t>21-Apr-1897</t>
  </si>
  <si>
    <t>31-May-1897</t>
  </si>
  <si>
    <t>6-Jul-1897</t>
  </si>
  <si>
    <t>13-Sep-1897</t>
  </si>
  <si>
    <t>17-Oct-1897</t>
  </si>
  <si>
    <t>23-Nov-1897</t>
  </si>
  <si>
    <t>28-Dec-1897</t>
  </si>
  <si>
    <t>24-Jun-1897</t>
  </si>
  <si>
    <t>14-Dec-1912</t>
  </si>
  <si>
    <t>22-Dec-1912</t>
  </si>
  <si>
    <t>MC</t>
  </si>
  <si>
    <t>Margaret Chevian</t>
  </si>
  <si>
    <t>28-Jul-1897</t>
  </si>
  <si>
    <t>2-Sep-1897</t>
  </si>
  <si>
    <t>6-Oct-1897</t>
  </si>
  <si>
    <t>12-Nov-1897</t>
  </si>
  <si>
    <t>16-Dec-1897</t>
  </si>
  <si>
    <t>31-Jan-1898</t>
  </si>
  <si>
    <t>7-Mar-1898</t>
  </si>
  <si>
    <t>12-Apr-1898</t>
  </si>
  <si>
    <t>16-May-1898</t>
  </si>
  <si>
    <t>20-Jun-1898</t>
  </si>
  <si>
    <t>20-Jan-1898</t>
  </si>
  <si>
    <t>24-Feb-1898</t>
  </si>
  <si>
    <t>31-Mar-1898</t>
  </si>
  <si>
    <t>5-May-1898</t>
  </si>
  <si>
    <t>9-Jun-1898</t>
  </si>
  <si>
    <t>St. John, NB</t>
  </si>
  <si>
    <t>22-Dec-1906</t>
  </si>
  <si>
    <t>Obdam from Boulogne to New York completely searched from 1892 to 1898</t>
  </si>
  <si>
    <t>21-Jan-1892</t>
  </si>
  <si>
    <t>5-Jul-1892</t>
  </si>
  <si>
    <t>13-Aug-1892</t>
  </si>
  <si>
    <t>14-Aug-1893</t>
  </si>
  <si>
    <t>20-Dec-1893</t>
  </si>
  <si>
    <t>8-Feb-1894</t>
  </si>
  <si>
    <t>20-Mar-1894</t>
  </si>
  <si>
    <t>4-Jun-1894</t>
  </si>
  <si>
    <t>27-Aug-1894</t>
  </si>
  <si>
    <t>6-Oct-1894</t>
  </si>
  <si>
    <t>22-Nov-1894</t>
  </si>
  <si>
    <t>Rhaetia from Le Havre to New York completely searched from 1892 to 1894</t>
  </si>
  <si>
    <t>Rugia from Le Havre to New York completely searched from 1892 to 1894</t>
  </si>
  <si>
    <t>16-May-1892</t>
  </si>
  <si>
    <t>6-Aug-1892</t>
  </si>
  <si>
    <t>20-Dec-1892</t>
  </si>
  <si>
    <t>4-Dec-1893</t>
  </si>
  <si>
    <t>13-Nov-1894</t>
  </si>
  <si>
    <t>29-Feb-1892</t>
  </si>
  <si>
    <t>3-Apr-1892</t>
  </si>
  <si>
    <t>18-Jul-1892</t>
  </si>
  <si>
    <t>15-Aug-1892</t>
  </si>
  <si>
    <t>14-Sep-1892</t>
  </si>
  <si>
    <t>10-Oct-1892</t>
  </si>
  <si>
    <t>21-Nov-1892</t>
  </si>
  <si>
    <t>19-Dec-1892</t>
  </si>
  <si>
    <t>Le Havre/Cherbourg</t>
  </si>
  <si>
    <t>17-Jan-1893</t>
  </si>
  <si>
    <t>20-Mar-1893</t>
  </si>
  <si>
    <t>13-May-1893</t>
  </si>
  <si>
    <t>10-Jul-1893</t>
  </si>
  <si>
    <t>7-Aug-1893</t>
  </si>
  <si>
    <t>4-Sep-1893</t>
  </si>
  <si>
    <t>23-Oct-1893</t>
  </si>
  <si>
    <t>20-Nov-1893</t>
  </si>
  <si>
    <t>18-Dec-1893</t>
  </si>
  <si>
    <t>16-Jan-1894</t>
  </si>
  <si>
    <t>12-Feb-1894</t>
  </si>
  <si>
    <t>12-Mar-1894</t>
  </si>
  <si>
    <t>9-Jul-1894</t>
  </si>
  <si>
    <t>17-Sep-1894</t>
  </si>
  <si>
    <t>13-Oct-1894</t>
  </si>
  <si>
    <t>12-Nov-1894</t>
  </si>
  <si>
    <t>10-Dec-1894</t>
  </si>
  <si>
    <t>7-Jan-1895</t>
  </si>
  <si>
    <t>25-Feb-1895</t>
  </si>
  <si>
    <t>25-Mar-1895</t>
  </si>
  <si>
    <t>24-Jun-1895</t>
  </si>
  <si>
    <t>22-Jul-1895</t>
  </si>
  <si>
    <t>26-Aug-1895</t>
  </si>
  <si>
    <t>23-Sep-1895</t>
  </si>
  <si>
    <t>21-Oct-1895</t>
  </si>
  <si>
    <t>18-Nov-1895</t>
  </si>
  <si>
    <t>17-Dec-1895</t>
  </si>
  <si>
    <t>13-Jan-1896</t>
  </si>
  <si>
    <t>9-Nov-1896</t>
  </si>
  <si>
    <t>7-Dec-1896</t>
  </si>
  <si>
    <t>11-Jan-1897</t>
  </si>
  <si>
    <t>22-Feb-1897</t>
  </si>
  <si>
    <t>22-Mar-1897</t>
  </si>
  <si>
    <t>19-Apr-1897</t>
  </si>
  <si>
    <t>17-May-1897</t>
  </si>
  <si>
    <t>14-Jun-1897</t>
  </si>
  <si>
    <t>1-Aug-1897</t>
  </si>
  <si>
    <t>29-Aug-1897</t>
  </si>
  <si>
    <t>26-Sep-1897</t>
  </si>
  <si>
    <t>24-Oct-1897</t>
  </si>
  <si>
    <t>21-Nov-1897</t>
  </si>
  <si>
    <t>24-Jul-1897</t>
  </si>
  <si>
    <t>21-Aug-1897</t>
  </si>
  <si>
    <t>18-Sep-1897</t>
  </si>
  <si>
    <t>16-Oct-1897</t>
  </si>
  <si>
    <t>13-Nov-1897</t>
  </si>
  <si>
    <t>18-Dec-1897</t>
  </si>
  <si>
    <t>27-Dec-1897</t>
  </si>
  <si>
    <t>23-Jan-1898</t>
  </si>
  <si>
    <t>4-Sep-1898</t>
  </si>
  <si>
    <t>9-Oct-1898</t>
  </si>
  <si>
    <t>13-Nov-1898</t>
  </si>
  <si>
    <t>12-Dec-1898</t>
  </si>
  <si>
    <t>15-Jan-1898</t>
  </si>
  <si>
    <t>1-Oct-1898</t>
  </si>
  <si>
    <t>5-Nov-1898</t>
  </si>
  <si>
    <t>3-Dec-1898</t>
  </si>
  <si>
    <t>10-Jan-1899</t>
  </si>
  <si>
    <t>6-Feb-1899</t>
  </si>
  <si>
    <t>7-May-1899</t>
  </si>
  <si>
    <t>4-Jun-1899</t>
  </si>
  <si>
    <t>2-Jul-1899</t>
  </si>
  <si>
    <t>6-Aug-1899</t>
  </si>
  <si>
    <t>3-Sep-1899</t>
  </si>
  <si>
    <t>8-Oct-1899</t>
  </si>
  <si>
    <t>7-Nov-1899</t>
  </si>
  <si>
    <t>3-Dec-1899</t>
  </si>
  <si>
    <t>31-Dec-1898</t>
  </si>
  <si>
    <t>28-Jan-1899</t>
  </si>
  <si>
    <t>5-Mar-1899</t>
  </si>
  <si>
    <t>26-Feb-1899</t>
  </si>
  <si>
    <t>25-Mar-1899</t>
  </si>
  <si>
    <t>2-Apr-1899</t>
  </si>
  <si>
    <t>29-Apr-1899</t>
  </si>
  <si>
    <t>27-May-1899</t>
  </si>
  <si>
    <t>24-Jun-1899</t>
  </si>
  <si>
    <t>29-Jul-1899</t>
  </si>
  <si>
    <t>26-Aug-1899</t>
  </si>
  <si>
    <t>30-Sep-1899</t>
  </si>
  <si>
    <t>28-Oct-1899</t>
  </si>
  <si>
    <t>25-Nov-1899</t>
  </si>
  <si>
    <t>7-Jan-1900</t>
  </si>
  <si>
    <t>5-Feb-1900</t>
  </si>
  <si>
    <t>17-Jun-1900</t>
  </si>
  <si>
    <t>21-Jul-1900</t>
  </si>
  <si>
    <t>17-Dec-1900</t>
  </si>
  <si>
    <t>30-Dec-1899</t>
  </si>
  <si>
    <t>27-Jan-1900</t>
  </si>
  <si>
    <t>4-Mar-1900</t>
  </si>
  <si>
    <t>24-Feb-1900</t>
  </si>
  <si>
    <t>28-Apr-1900</t>
  </si>
  <si>
    <t>6-May-1900</t>
  </si>
  <si>
    <t>9-Jun-1900</t>
  </si>
  <si>
    <t>14-Jul-1900</t>
  </si>
  <si>
    <t>11-Nov-1900</t>
  </si>
  <si>
    <t>3-Nov-1900</t>
  </si>
  <si>
    <t>8-Dec-1900</t>
  </si>
  <si>
    <t>La Champagne from Le Havre to New York completely searched from 1892 to 1900</t>
  </si>
  <si>
    <t>9-Aug-1903</t>
  </si>
  <si>
    <t>2-Nov-1903</t>
  </si>
  <si>
    <t>28-Nov-1903</t>
  </si>
  <si>
    <t>7-Dec-1903</t>
  </si>
  <si>
    <t>7-Apr-1906</t>
  </si>
  <si>
    <t>17-Apr-1906</t>
  </si>
  <si>
    <t>to 1900</t>
  </si>
  <si>
    <t>11-Jan-1892</t>
  </si>
  <si>
    <t>4-Feb-1892</t>
  </si>
  <si>
    <t>7-Mar-1892</t>
  </si>
  <si>
    <t>9-May-1892</t>
  </si>
  <si>
    <t>6-Jun-1892</t>
  </si>
  <si>
    <t>8-Aug-1892</t>
  </si>
  <si>
    <t>23-Sep-1905</t>
  </si>
  <si>
    <t>8-Sep-1892</t>
  </si>
  <si>
    <t>Cherbourg / Le Havre</t>
  </si>
  <si>
    <t>17-Oct-1892</t>
  </si>
  <si>
    <t>14-Nov-1892</t>
  </si>
  <si>
    <t>11-Dec-1892</t>
  </si>
  <si>
    <t>9-Jan-1893</t>
  </si>
  <si>
    <t>13-Feb-1893</t>
  </si>
  <si>
    <t>13-Mar-1893</t>
  </si>
  <si>
    <t>5-Jun-1893</t>
  </si>
  <si>
    <t>3-Jul-1893</t>
  </si>
  <si>
    <t>31-Jul-1893</t>
  </si>
  <si>
    <t>28-Aug-1893</t>
  </si>
  <si>
    <t>29-Jan-1894</t>
  </si>
  <si>
    <t>2-Apr-1894</t>
  </si>
  <si>
    <t>30-Apr-1894</t>
  </si>
  <si>
    <t>28-May-1894</t>
  </si>
  <si>
    <t>25-Jun-1894</t>
  </si>
  <si>
    <t>23-Jul-1894</t>
  </si>
  <si>
    <t>10-Sep-1894</t>
  </si>
  <si>
    <t>8-Oct-1894</t>
  </si>
  <si>
    <t>3-Dec-1894</t>
  </si>
  <si>
    <t>21-Jan-1895</t>
  </si>
  <si>
    <t>19-Feb-1895</t>
  </si>
  <si>
    <t>1-Apr-1895</t>
  </si>
  <si>
    <t>29-Apr-1895</t>
  </si>
  <si>
    <t>3-Jun-1895</t>
  </si>
  <si>
    <t>29-Jul-1895</t>
  </si>
  <si>
    <t>2-Sep-1895</t>
  </si>
  <si>
    <t>30-Sep-1895</t>
  </si>
  <si>
    <t>28-Oct-1895</t>
  </si>
  <si>
    <t>25-Nov-1895</t>
  </si>
  <si>
    <t>23-Dec-1895</t>
  </si>
  <si>
    <t>27-Jan-1896</t>
  </si>
  <si>
    <t>24-Feb-1896</t>
  </si>
  <si>
    <t>6-Apr-1896</t>
  </si>
  <si>
    <t>4-May-1896</t>
  </si>
  <si>
    <t>1-Jun-1896</t>
  </si>
  <si>
    <t>29-Jun-1896</t>
  </si>
  <si>
    <t>3-Aug-1896</t>
  </si>
  <si>
    <t>5-Oct-1896</t>
  </si>
  <si>
    <t>2-Nov-1896</t>
  </si>
  <si>
    <t>14-Dec-1896</t>
  </si>
  <si>
    <t>18-Jan-1897</t>
  </si>
  <si>
    <t>15-Feb-1897</t>
  </si>
  <si>
    <t>27-Mar-1898</t>
  </si>
  <si>
    <t>1-May-1898</t>
  </si>
  <si>
    <t>29-May-1898</t>
  </si>
  <si>
    <t>26-Jun-1898</t>
  </si>
  <si>
    <t>23-Apr-1898</t>
  </si>
  <si>
    <t>21-May-1898</t>
  </si>
  <si>
    <t>18-Jun-1898</t>
  </si>
  <si>
    <t>La Bourgogne from Le Havre to New York completely searched from 1892 to 1898 (when it sunk)</t>
  </si>
  <si>
    <t>w/Arm.</t>
  </si>
  <si>
    <t>Searched</t>
  </si>
  <si>
    <t>18-Jan-1892</t>
  </si>
  <si>
    <t>11-Apr-1892</t>
  </si>
  <si>
    <t>27-Jun-1892</t>
  </si>
  <si>
    <t>31-Oct-1892</t>
  </si>
  <si>
    <t>28-Nov-1892</t>
  </si>
  <si>
    <t>2-Jan-1893</t>
  </si>
  <si>
    <t>30-Jan-1893</t>
  </si>
  <si>
    <t>27-Feb-1893</t>
  </si>
  <si>
    <t>10-Apr-1893</t>
  </si>
  <si>
    <t>8-May-1893</t>
  </si>
  <si>
    <t>11-Sep-1893</t>
  </si>
  <si>
    <t>9-Oct-1893</t>
  </si>
  <si>
    <t>6-Nov-1893</t>
  </si>
  <si>
    <t>11-Dec-1893</t>
  </si>
  <si>
    <t>8-Jan-1894</t>
  </si>
  <si>
    <t>6-Feb-1894</t>
  </si>
  <si>
    <t>9-Apr-1894</t>
  </si>
  <si>
    <t>24-Dec-1892</t>
  </si>
  <si>
    <t>2-Jan-1895</t>
  </si>
  <si>
    <t>18-Mar-1895</t>
  </si>
  <si>
    <t>15-Apr-1895</t>
  </si>
  <si>
    <t>23-May-1895</t>
  </si>
  <si>
    <t>19-Aug-1895</t>
  </si>
  <si>
    <t>16-Sep-1895</t>
  </si>
  <si>
    <t>14-Oct-1895</t>
  </si>
  <si>
    <t>11-Nov-1895</t>
  </si>
  <si>
    <t>9-Dec-1895</t>
  </si>
  <si>
    <t>6-Jan-1896</t>
  </si>
  <si>
    <t>10-Feb-1896</t>
  </si>
  <si>
    <t>9-Mar-1896</t>
  </si>
  <si>
    <t>20-Apr-1896</t>
  </si>
  <si>
    <t>20-Jul-1896</t>
  </si>
  <si>
    <t>17-Aug-1896</t>
  </si>
  <si>
    <t>21-Sep-1896</t>
  </si>
  <si>
    <t>23-Nov-1896</t>
  </si>
  <si>
    <t>21-Dec-1896</t>
  </si>
  <si>
    <t>15-Jun-1896</t>
  </si>
  <si>
    <t>25-Jan-1897</t>
  </si>
  <si>
    <t>1-Mar-1897</t>
  </si>
  <si>
    <t>26-Apr-1897</t>
  </si>
  <si>
    <t>24-May-1897</t>
  </si>
  <si>
    <t>15-Nov-1897</t>
  </si>
  <si>
    <t>13-Dec-1897</t>
  </si>
  <si>
    <t>12-Jun-1897</t>
  </si>
  <si>
    <t>10-Jul-1897</t>
  </si>
  <si>
    <t>17-Jul-1897</t>
  </si>
  <si>
    <t>14-Aug-1897</t>
  </si>
  <si>
    <t>11-Sep-1897</t>
  </si>
  <si>
    <t>9-Oct-1897</t>
  </si>
  <si>
    <t>6-Nov-1897</t>
  </si>
  <si>
    <t>4-Dec-1897</t>
  </si>
  <si>
    <t>10-Jan-1898</t>
  </si>
  <si>
    <t>7-Feb-1898</t>
  </si>
  <si>
    <t>11-Apr-1898</t>
  </si>
  <si>
    <t>24-Jul-1898</t>
  </si>
  <si>
    <t>21-Aug-1898</t>
  </si>
  <si>
    <t>25-Sep-1898</t>
  </si>
  <si>
    <t>6-Nov-1898</t>
  </si>
  <si>
    <t>5-Dec-1898</t>
  </si>
  <si>
    <t>1-Jan-1898</t>
  </si>
  <si>
    <t>29-Jan-1898</t>
  </si>
  <si>
    <t>26-Feb-1898</t>
  </si>
  <si>
    <t>2-Apr-1898</t>
  </si>
  <si>
    <t>7-May-1898</t>
  </si>
  <si>
    <t>16-Jul-1898</t>
  </si>
  <si>
    <t>13-Aug-1898</t>
  </si>
  <si>
    <t>17-Sep-1898</t>
  </si>
  <si>
    <t>29-Oct-1898</t>
  </si>
  <si>
    <t>26-Nov-1898</t>
  </si>
  <si>
    <t>3-Jan-1899</t>
  </si>
  <si>
    <t>30-Jan-1899</t>
  </si>
  <si>
    <t>23-Apr-1899</t>
  </si>
  <si>
    <t>29-May-1899</t>
  </si>
  <si>
    <t>26-Jun-1899</t>
  </si>
  <si>
    <t>24-Jul-1899</t>
  </si>
  <si>
    <t>10-Sep-1899</t>
  </si>
  <si>
    <t>16-Oct-1899</t>
  </si>
  <si>
    <t>13-Nov-1899</t>
  </si>
  <si>
    <t>10-Dec-1899</t>
  </si>
  <si>
    <t>15-Jan-1900</t>
  </si>
  <si>
    <t>12-Feb-1900</t>
  </si>
  <si>
    <t>18-Mar-1900</t>
  </si>
  <si>
    <t>16-Apr-1900</t>
  </si>
  <si>
    <t>14-May-1900</t>
  </si>
  <si>
    <t>23-Sep-1900</t>
  </si>
  <si>
    <t>3-Dec-1900</t>
  </si>
  <si>
    <t>27-Dec-1900</t>
  </si>
  <si>
    <t>24-Dec-1898</t>
  </si>
  <si>
    <t>21-Jan-1899</t>
  </si>
  <si>
    <t>15-Apr-1899</t>
  </si>
  <si>
    <t>20-May-1899</t>
  </si>
  <si>
    <t>17-Jun-1899</t>
  </si>
  <si>
    <t>15-Jul-1899</t>
  </si>
  <si>
    <t>2-Sep-1899</t>
  </si>
  <si>
    <t>7-Oct-1899</t>
  </si>
  <si>
    <t>4-Nov-1899</t>
  </si>
  <si>
    <t>2-Dec-1899</t>
  </si>
  <si>
    <t>6-Jan-1900</t>
  </si>
  <si>
    <t>3-Feb-1900</t>
  </si>
  <si>
    <t>10-Mar-1900</t>
  </si>
  <si>
    <t>7-Apr-1900</t>
  </si>
  <si>
    <t>5-May-1900</t>
  </si>
  <si>
    <t>10-Jun-1900</t>
  </si>
  <si>
    <t>2-Jun-1900</t>
  </si>
  <si>
    <t>30-Jun-1900</t>
  </si>
  <si>
    <t>8-Jul-1900</t>
  </si>
  <si>
    <t>15-Sep-1900</t>
  </si>
  <si>
    <t>24-Nov-1900</t>
  </si>
  <si>
    <t>22-Dec-1900</t>
  </si>
  <si>
    <t>Destination date may be a few days later</t>
  </si>
  <si>
    <t>5-Jan-1892</t>
  </si>
  <si>
    <t>9-Feb-1892</t>
  </si>
  <si>
    <t>15-Mar-1892</t>
  </si>
  <si>
    <t>27-Dec-1892</t>
  </si>
  <si>
    <t>23-Jan-1893</t>
  </si>
  <si>
    <t>23-Feb-1893</t>
  </si>
  <si>
    <t>31-Mar-1893</t>
  </si>
  <si>
    <t>2-Jul-1894</t>
  </si>
  <si>
    <t>30-Jul-1894</t>
  </si>
  <si>
    <t>17-Dec-1894</t>
  </si>
  <si>
    <t>14-Jan-1895</t>
  </si>
  <si>
    <t>11-Feb-1895</t>
  </si>
  <si>
    <t>12-Mar-1895</t>
  </si>
  <si>
    <t>8-Apr-1895</t>
  </si>
  <si>
    <t>6-May-1895</t>
  </si>
  <si>
    <t>17-Jun-1895</t>
  </si>
  <si>
    <t>15-Jul-1895</t>
  </si>
  <si>
    <t>12-Aug-1895</t>
  </si>
  <si>
    <t>2-Dec-1895</t>
  </si>
  <si>
    <t>30-Dec-1895</t>
  </si>
  <si>
    <t>17-Feb-1896</t>
  </si>
  <si>
    <t>23-Mar-1896</t>
  </si>
  <si>
    <t>13-Jul-1896</t>
  </si>
  <si>
    <t>7-Sep-1896</t>
  </si>
  <si>
    <t>4-Jan-1897</t>
  </si>
  <si>
    <t>8-Feb-1897</t>
  </si>
  <si>
    <t>15-Mar-1897</t>
  </si>
  <si>
    <t>12-Apr-1897</t>
  </si>
  <si>
    <t>11-Jul-1897</t>
  </si>
  <si>
    <t>8-Aug-1897</t>
  </si>
  <si>
    <t>20-Dec-1897</t>
  </si>
  <si>
    <t>3-Jul-1897</t>
  </si>
  <si>
    <t>11-Dec-1897</t>
  </si>
  <si>
    <t>31-Jul-1897</t>
  </si>
  <si>
    <t>17-Jan-1898</t>
  </si>
  <si>
    <t>14-Feb-1898</t>
  </si>
  <si>
    <t>14-Mar-1898</t>
  </si>
  <si>
    <t>26-Apr-1898</t>
  </si>
  <si>
    <t>15-Aug-1898</t>
  </si>
  <si>
    <t>19-Sep-1898</t>
  </si>
  <si>
    <t>21-Oct-1898</t>
  </si>
  <si>
    <t>25-Nov-1898</t>
  </si>
  <si>
    <t>27-Dec-1898</t>
  </si>
  <si>
    <t>8-Jan-1898</t>
  </si>
  <si>
    <t>5-Feb-1898</t>
  </si>
  <si>
    <t>5-Mar-1898</t>
  </si>
  <si>
    <t>16-Apr-1898</t>
  </si>
  <si>
    <t>6-Aug-1898</t>
  </si>
  <si>
    <t>10-Sep-1898</t>
  </si>
  <si>
    <t>15-Oct-1898</t>
  </si>
  <si>
    <t>12-Nov-1898</t>
  </si>
  <si>
    <t>17-Dec-1898</t>
  </si>
  <si>
    <t>24-Jan-1899</t>
  </si>
  <si>
    <t>27-Mar-1899</t>
  </si>
  <si>
    <t>1-May-1899</t>
  </si>
  <si>
    <t>10-Jul-1899</t>
  </si>
  <si>
    <t>21-Aug-1899</t>
  </si>
  <si>
    <t>2-Oct-1899</t>
  </si>
  <si>
    <t>26-Nov-1899</t>
  </si>
  <si>
    <t>27-Feb-1900</t>
  </si>
  <si>
    <t>25-Dec-1900</t>
  </si>
  <si>
    <t>5-Aug-1901</t>
  </si>
  <si>
    <t>18-Feb-1899</t>
  </si>
  <si>
    <t>28-Feb-1899</t>
  </si>
  <si>
    <t>18-Mar-1899</t>
  </si>
  <si>
    <t>22-Apr-1899</t>
  </si>
  <si>
    <t>1-Jul-1899</t>
  </si>
  <si>
    <t>12-Aug-1899</t>
  </si>
  <si>
    <t>23-Sep-1899</t>
  </si>
  <si>
    <t>18-Nov-1899</t>
  </si>
  <si>
    <t>1-Jan-1900</t>
  </si>
  <si>
    <t>23-Dec-1899</t>
  </si>
  <si>
    <t>20-Jan-1900</t>
  </si>
  <si>
    <t>29-Jan-1900</t>
  </si>
  <si>
    <t>17-Feb-1900</t>
  </si>
  <si>
    <t>15-Dec-1900</t>
  </si>
  <si>
    <t>8-Jul-1901</t>
  </si>
  <si>
    <t>29-Jun-1901</t>
  </si>
  <si>
    <t>27-Jul-1901</t>
  </si>
  <si>
    <t>La Provence from Le Havre to New York completely searched from 1892 to 1901</t>
  </si>
  <si>
    <t>17-Nov-1896</t>
  </si>
  <si>
    <t>Southampton</t>
  </si>
  <si>
    <t>Spaarndam</t>
  </si>
  <si>
    <t>19-Feb-1892</t>
  </si>
  <si>
    <t>7-Apr-1892</t>
  </si>
  <si>
    <t>19-May-1892</t>
  </si>
  <si>
    <t>30-Jun-1892</t>
  </si>
  <si>
    <t>5-Nov-1892</t>
  </si>
  <si>
    <t>4-Feb-1893</t>
  </si>
  <si>
    <t>16-Mar-1893</t>
  </si>
  <si>
    <t>4-May-1893</t>
  </si>
  <si>
    <t>14-Jun-1893</t>
  </si>
  <si>
    <t>7-Nov-1893</t>
  </si>
  <si>
    <t>31-Jan-1894</t>
  </si>
  <si>
    <t>6-Aug-1894</t>
  </si>
  <si>
    <t>16-Oct-1894</t>
  </si>
  <si>
    <t>13-May-1895</t>
  </si>
  <si>
    <t>7-Apr-1896</t>
  </si>
  <si>
    <t>11-May-1896</t>
  </si>
  <si>
    <t>29-Mar-1897</t>
  </si>
  <si>
    <t>30-Apr-1897</t>
  </si>
  <si>
    <t>19-Jul-1897</t>
  </si>
  <si>
    <t>23-Aug-1897</t>
  </si>
  <si>
    <t>27-Sep-1897</t>
  </si>
  <si>
    <t>1-Nov-1897</t>
  </si>
  <si>
    <t>8-Jul-1897</t>
  </si>
  <si>
    <t>11-Aug-1897</t>
  </si>
  <si>
    <t>16-Sep-1897</t>
  </si>
  <si>
    <t>20-Oct-1897</t>
  </si>
  <si>
    <t>10-Feb-1898</t>
  </si>
  <si>
    <t>27-Apr-1898</t>
  </si>
  <si>
    <t>31-May-1898</t>
  </si>
  <si>
    <t>5-Jul-1898</t>
  </si>
  <si>
    <t>9-Aug-1898</t>
  </si>
  <si>
    <t>14-Sep-1898</t>
  </si>
  <si>
    <t>19-Oct-1898</t>
  </si>
  <si>
    <t>28-Dec-1898</t>
  </si>
  <si>
    <t>28-Jan-1898</t>
  </si>
  <si>
    <t>3-Mar-1898</t>
  </si>
  <si>
    <t>14-Apr-1898</t>
  </si>
  <si>
    <t>10-May-1898</t>
  </si>
  <si>
    <t>23-Jun-1898</t>
  </si>
  <si>
    <t>29-Jul-1898</t>
  </si>
  <si>
    <t>3-Sep-1898</t>
  </si>
  <si>
    <t>6-Oct-1898</t>
  </si>
  <si>
    <t>10-Nov-1898</t>
  </si>
  <si>
    <t>16-Dec-1898</t>
  </si>
  <si>
    <t>15-Feb-1899</t>
  </si>
  <si>
    <t>24-Apr-1899</t>
  </si>
  <si>
    <t>31-May-1899</t>
  </si>
  <si>
    <t>5-Jul-1899</t>
  </si>
  <si>
    <t>7-Aug-1899</t>
  </si>
  <si>
    <t>19-Sep-1899</t>
  </si>
  <si>
    <t>24-Oct-1899</t>
  </si>
  <si>
    <t>28-Nov-1899</t>
  </si>
  <si>
    <t>27-Jan-1899</t>
  </si>
  <si>
    <t>9-Mar-1899</t>
  </si>
  <si>
    <t>pages unreadable</t>
  </si>
  <si>
    <t>14-Apr-1899</t>
  </si>
  <si>
    <t>18-May-1899</t>
  </si>
  <si>
    <t>22-Jun-1899</t>
  </si>
  <si>
    <t>33 Armenians, but pages unreadable</t>
  </si>
  <si>
    <t>27-Jul-1899</t>
  </si>
  <si>
    <t>10 Armenians, but pages unreadable</t>
  </si>
  <si>
    <t>12-Oct-1899</t>
  </si>
  <si>
    <t>16-Nov-1899</t>
  </si>
  <si>
    <t>21-Feb-1900</t>
  </si>
  <si>
    <t>28-Mar-1900</t>
  </si>
  <si>
    <t>1-May-1900</t>
  </si>
  <si>
    <t>13-Jun-1900</t>
  </si>
  <si>
    <t>21-Aug-1900</t>
  </si>
  <si>
    <t>8-Feb-1900</t>
  </si>
  <si>
    <t>15-Mar-1900</t>
  </si>
  <si>
    <t>20-Apr-1900</t>
  </si>
  <si>
    <t>31-May-1900</t>
  </si>
  <si>
    <t>5-Jul-1900</t>
  </si>
  <si>
    <t>17-Jul-1900</t>
  </si>
  <si>
    <t>9-Aug-1900</t>
  </si>
  <si>
    <t>26-Sep-1900</t>
  </si>
  <si>
    <t>13-Sep-1900</t>
  </si>
  <si>
    <t>30-Oct-1900</t>
  </si>
  <si>
    <t>18-Oct-1900</t>
  </si>
  <si>
    <t>30-Nov-1900</t>
  </si>
  <si>
    <t>3-Jan-1901</t>
  </si>
  <si>
    <t>16-Jan-1901</t>
  </si>
  <si>
    <t>Spaarndam from Boulogne to New York completely searched from 1892 to 1901</t>
  </si>
  <si>
    <t>Ships from Le Havre (1896-1898)</t>
  </si>
  <si>
    <t>Adria</t>
  </si>
  <si>
    <t>(with &gt;= 25 passengers)</t>
  </si>
  <si>
    <t>La Navarre</t>
  </si>
  <si>
    <t>Scotia</t>
  </si>
  <si>
    <t>Sorrento</t>
  </si>
  <si>
    <t>15-Jun-1895</t>
  </si>
  <si>
    <t>25-Jul-1896</t>
  </si>
  <si>
    <t>16-Apr-1897</t>
  </si>
  <si>
    <t>18-Jun-1897</t>
  </si>
  <si>
    <t>23-Oct-1897</t>
  </si>
  <si>
    <t>17-Nov-1895</t>
  </si>
  <si>
    <t>15-Jan-1897</t>
  </si>
  <si>
    <t>5-Jun-1897</t>
  </si>
  <si>
    <t>15-Jul-1905</t>
  </si>
  <si>
    <t>5-Sep-1896</t>
  </si>
  <si>
    <t>4-Mar-1901</t>
  </si>
  <si>
    <t>28-Apr-1901</t>
  </si>
  <si>
    <t>23-Jun-1901</t>
  </si>
  <si>
    <t>16-Sep-1901</t>
  </si>
  <si>
    <t>17-Nov-1901</t>
  </si>
  <si>
    <t>7-Jan-1901</t>
  </si>
  <si>
    <t>4-Feb-1901</t>
  </si>
  <si>
    <t>26-Jan-1901</t>
  </si>
  <si>
    <t>23-Feb-1901</t>
  </si>
  <si>
    <t>31-Mar-1901</t>
  </si>
  <si>
    <t>23-Mar-1901</t>
  </si>
  <si>
    <t>20-Apr-1901</t>
  </si>
  <si>
    <t>26-May-1901</t>
  </si>
  <si>
    <t>18-May-1901</t>
  </si>
  <si>
    <t>15-Jun-1901</t>
  </si>
  <si>
    <t>11-Aug-1901</t>
  </si>
  <si>
    <t>3-Aug-1901</t>
  </si>
  <si>
    <t>7-Sep-1901</t>
  </si>
  <si>
    <t>13-Oct-1901</t>
  </si>
  <si>
    <t>5-Oct-1901</t>
  </si>
  <si>
    <t>9-Nov-1901</t>
  </si>
  <si>
    <t>7-Dec-1901</t>
  </si>
  <si>
    <t>15-Dec-1901</t>
  </si>
  <si>
    <t>1-Apr-1902</t>
  </si>
  <si>
    <t>7-Sep-1902</t>
  </si>
  <si>
    <t>22-Feb-1902</t>
  </si>
  <si>
    <t>2-Mar-1902</t>
  </si>
  <si>
    <t>22-Mar-1902</t>
  </si>
  <si>
    <t>26-Apr-1902</t>
  </si>
  <si>
    <t>4-May-1902</t>
  </si>
  <si>
    <t>29-Jun-1902</t>
  </si>
  <si>
    <t>21-Jun-1902</t>
  </si>
  <si>
    <t>23-Jul-1902</t>
  </si>
  <si>
    <t>3-Aug-1902</t>
  </si>
  <si>
    <t>30-Aug-1902</t>
  </si>
  <si>
    <t>12-Jan-1903</t>
  </si>
  <si>
    <t>4-Apr-1903</t>
  </si>
  <si>
    <t>7-Jun-1903</t>
  </si>
  <si>
    <t>27-Jul-1903</t>
  </si>
  <si>
    <t>24-Aug-1903</t>
  </si>
  <si>
    <t>21-Sep-1903</t>
  </si>
  <si>
    <t>19-Oct-1903</t>
  </si>
  <si>
    <t>23-Nov-1903</t>
  </si>
  <si>
    <t>21-Dec-1903</t>
  </si>
  <si>
    <t>3-Jan-1903</t>
  </si>
  <si>
    <t>9-Feb-1903</t>
  </si>
  <si>
    <t>31-Jan-1903</t>
  </si>
  <si>
    <t>28-Feb-1903</t>
  </si>
  <si>
    <t>10-Mar-1903</t>
  </si>
  <si>
    <t>28-Mar-1903</t>
  </si>
  <si>
    <t>10-May-1903</t>
  </si>
  <si>
    <t>2-May-1903</t>
  </si>
  <si>
    <t>30-May-1903</t>
  </si>
  <si>
    <t>18-Jul-1903</t>
  </si>
  <si>
    <t>15-Aug-1903</t>
  </si>
  <si>
    <t>29-Dec-1900</t>
  </si>
  <si>
    <t>12-Sep-1903</t>
  </si>
  <si>
    <t>10-Oct-1903</t>
  </si>
  <si>
    <t>14-Nov-1903</t>
  </si>
  <si>
    <t>12-Dec-1903</t>
  </si>
  <si>
    <t>18-Jan-1904</t>
  </si>
  <si>
    <t>15-Feb-1904</t>
  </si>
  <si>
    <t>18-Apr-1904</t>
  </si>
  <si>
    <t>24-Jul-1904</t>
  </si>
  <si>
    <t>29-Aug-1904</t>
  </si>
  <si>
    <t>25-Sep-1904</t>
  </si>
  <si>
    <t>9-Jan-1904</t>
  </si>
  <si>
    <t>6-Feb-1904</t>
  </si>
  <si>
    <t>5-Mar-1904</t>
  </si>
  <si>
    <t>14-Mar-1904</t>
  </si>
  <si>
    <t>9-Apr-1904</t>
  </si>
  <si>
    <t>7-May-1904</t>
  </si>
  <si>
    <t>15-May-1904</t>
  </si>
  <si>
    <t>16-Jul-1904</t>
  </si>
  <si>
    <t>20-Aug-1904</t>
  </si>
  <si>
    <t>17-Sep-1904</t>
  </si>
  <si>
    <t>27-Feb-1905</t>
  </si>
  <si>
    <t>27-Mar-1905</t>
  </si>
  <si>
    <t>24-Apr-1905</t>
  </si>
  <si>
    <t>22-May-1905</t>
  </si>
  <si>
    <t>19-Jun-1905</t>
  </si>
  <si>
    <t>16-Jul-1905</t>
  </si>
  <si>
    <t>13-Aug-1905</t>
  </si>
  <si>
    <t>10-Sep-1905</t>
  </si>
  <si>
    <t>8-Oct-1905</t>
  </si>
  <si>
    <t>6-Nov-1905</t>
  </si>
  <si>
    <t>18-Dec-1905</t>
  </si>
  <si>
    <t>18-Feb-1905</t>
  </si>
  <si>
    <t>18-Mar-1905</t>
  </si>
  <si>
    <t>15-Apr-1905</t>
  </si>
  <si>
    <t>13-May-1905</t>
  </si>
  <si>
    <t>10-Jun-1905</t>
  </si>
  <si>
    <t>8-Jul-1905</t>
  </si>
  <si>
    <t>5-Aug-1905</t>
  </si>
  <si>
    <t>2-Sep-1905</t>
  </si>
  <si>
    <t>30-Sep-1905</t>
  </si>
  <si>
    <t>28-Oct-1905</t>
  </si>
  <si>
    <t>9-Dec-1905</t>
  </si>
  <si>
    <t>23-Jan-1906</t>
  </si>
  <si>
    <t>19-Feb-1906</t>
  </si>
  <si>
    <t>14-May-1906</t>
  </si>
  <si>
    <t>16-Jul-1906</t>
  </si>
  <si>
    <t>10-Sep-1906</t>
  </si>
  <si>
    <t>8-Oct-1906</t>
  </si>
  <si>
    <t>7-Nov-1906</t>
  </si>
  <si>
    <t>13-Jan-1906</t>
  </si>
  <si>
    <t>10-Feb-1906</t>
  </si>
  <si>
    <t>18-Apr-1906</t>
  </si>
  <si>
    <t>very faded, difficult to read</t>
  </si>
  <si>
    <t>5-May-1906</t>
  </si>
  <si>
    <t>7-Jul-1906</t>
  </si>
  <si>
    <t>4-Aug-1906</t>
  </si>
  <si>
    <t>12-Aug-1906</t>
  </si>
  <si>
    <t>1-Dec-1906</t>
  </si>
  <si>
    <t>11-Dec-1906</t>
  </si>
  <si>
    <t>7-Jan-1907</t>
  </si>
  <si>
    <t>4-Feb-1907</t>
  </si>
  <si>
    <t>3-Apr-1907</t>
  </si>
  <si>
    <t>1-May-1907</t>
  </si>
  <si>
    <t>28-May-1907</t>
  </si>
  <si>
    <t>15-Jul-1907</t>
  </si>
  <si>
    <t>12-Aug-1907</t>
  </si>
  <si>
    <t>23-Sep-1907</t>
  </si>
  <si>
    <t>21-Oct-1907</t>
  </si>
  <si>
    <t>29-Dec-1906</t>
  </si>
  <si>
    <t>26-Jan-1907</t>
  </si>
  <si>
    <t>23-Feb-1907</t>
  </si>
  <si>
    <t>5-Mar-1907</t>
  </si>
  <si>
    <t>23-Mar-1907</t>
  </si>
  <si>
    <t>lists missing for 1st, 2nd cabin</t>
  </si>
  <si>
    <t>20-Apr-1907</t>
  </si>
  <si>
    <t>lists missing for 1st cabin</t>
  </si>
  <si>
    <t>18-May-1907</t>
  </si>
  <si>
    <t>6-Jul-1907</t>
  </si>
  <si>
    <t>3-Aug-1907</t>
  </si>
  <si>
    <t>14-Sep-1907</t>
  </si>
  <si>
    <t>17-Feb-1908</t>
  </si>
  <si>
    <t>15-Mar-1908</t>
  </si>
  <si>
    <t>13-Jul-1908</t>
  </si>
  <si>
    <t>9-Aug-1908</t>
  </si>
  <si>
    <t>15-Dec-1908</t>
  </si>
  <si>
    <t>11-Jan-1908</t>
  </si>
  <si>
    <t>21-Jan-1908</t>
  </si>
  <si>
    <t>8-Feb-1908</t>
  </si>
  <si>
    <t>7-Mar-1908</t>
  </si>
  <si>
    <t>1-Aug-1908</t>
  </si>
  <si>
    <t>5-Dec-1908</t>
  </si>
  <si>
    <t>Patris</t>
  </si>
  <si>
    <t>Piraeus</t>
  </si>
  <si>
    <t>17-Jun-1912</t>
  </si>
  <si>
    <t>31-May-1912</t>
  </si>
  <si>
    <t>11-Jan-1909</t>
  </si>
  <si>
    <t>8-Feb-1909</t>
  </si>
  <si>
    <t>8-Mar-1909</t>
  </si>
  <si>
    <t>1-Apr-1909</t>
  </si>
  <si>
    <t>25-Apr-1909</t>
  </si>
  <si>
    <t>19-Jul-1909</t>
  </si>
  <si>
    <t>15-Aug-1909</t>
  </si>
  <si>
    <t>6-Dec-1909</t>
  </si>
  <si>
    <t>2-Jan-1909</t>
  </si>
  <si>
    <t>30-Jan-1909</t>
  </si>
  <si>
    <t>27-Feb-1909</t>
  </si>
  <si>
    <t>22-Mar-1909</t>
  </si>
  <si>
    <t>17-Apr-1909</t>
  </si>
  <si>
    <t>24-May-1909</t>
  </si>
  <si>
    <t>15-May-1909</t>
  </si>
  <si>
    <t>7-Aug-1909</t>
  </si>
  <si>
    <t>9-Oct-1909</t>
  </si>
  <si>
    <t>19-Oct-1909</t>
  </si>
  <si>
    <t>27-Nov-1909</t>
  </si>
  <si>
    <t>Patria</t>
  </si>
  <si>
    <t>Marseille</t>
  </si>
  <si>
    <t>12-Oct-1900</t>
  </si>
  <si>
    <t>4-Nov-1900</t>
  </si>
  <si>
    <t>3-Jan-1910</t>
  </si>
  <si>
    <t>25-Feb-1910</t>
  </si>
  <si>
    <t>25-Apr-1910</t>
  </si>
  <si>
    <t>11-Jul-1910</t>
  </si>
  <si>
    <t>8-Aug-1910</t>
  </si>
  <si>
    <t>28-Nov-1910</t>
  </si>
  <si>
    <t>26-Dec-1910</t>
  </si>
  <si>
    <t>24-Jan-1911</t>
  </si>
  <si>
    <t>28-Feb-1911</t>
  </si>
  <si>
    <t>11-Apr-1911</t>
  </si>
  <si>
    <t>9-May-1911</t>
  </si>
  <si>
    <t>7-Jun-1911</t>
  </si>
  <si>
    <t>13-Sep-1911</t>
  </si>
  <si>
    <t>18-Oct-1911</t>
  </si>
  <si>
    <t>15-Nov-1911</t>
  </si>
  <si>
    <t>25-Dec-1909</t>
  </si>
  <si>
    <t>22-Jan-1910</t>
  </si>
  <si>
    <t>31-Jan-1910</t>
  </si>
  <si>
    <t>14-Feb-1910</t>
  </si>
  <si>
    <t>16-Apr-1910</t>
  </si>
  <si>
    <t>2-Jul-1910</t>
  </si>
  <si>
    <t>30-Jul-1910</t>
  </si>
  <si>
    <t>19-Nov-1910</t>
  </si>
  <si>
    <t>17-Dec-1910</t>
  </si>
  <si>
    <t>14-Jan-1911</t>
  </si>
  <si>
    <t>18-Feb-1911</t>
  </si>
  <si>
    <t>1-Apr-1911</t>
  </si>
  <si>
    <t>29-Apr-1911</t>
  </si>
  <si>
    <t>12-Aug-1911</t>
  </si>
  <si>
    <t>20-Aug-1911</t>
  </si>
  <si>
    <t>4-Sep-1911</t>
  </si>
  <si>
    <t>7-Oct-1911</t>
  </si>
  <si>
    <t>4-Nov-1911</t>
  </si>
  <si>
    <t>18-Jan-1912</t>
  </si>
  <si>
    <t>27-Mar-1912</t>
  </si>
  <si>
    <t>18-Apr-1912</t>
  </si>
  <si>
    <t>18-Jun-1912</t>
  </si>
  <si>
    <t>6-Jan-1912</t>
  </si>
  <si>
    <t>16-Mar-1912</t>
  </si>
  <si>
    <t>8-Apr-1912</t>
  </si>
  <si>
    <t>4-May-1912</t>
  </si>
  <si>
    <t>8-Jun-1912</t>
  </si>
  <si>
    <t>La Bretagne from Le Havre to New York completely searched from 1892 to 1912</t>
  </si>
  <si>
    <t>Chicago</t>
  </si>
  <si>
    <t>9-Jun-1908</t>
  </si>
  <si>
    <t>2-Sep-1908</t>
  </si>
  <si>
    <t>29-Sep-1908</t>
  </si>
  <si>
    <t>26-Oct-1908</t>
  </si>
  <si>
    <t>7-Dec-1908</t>
  </si>
  <si>
    <t>30-May-1908</t>
  </si>
  <si>
    <t>20-Sep-1908</t>
  </si>
  <si>
    <t>17-Oct-1908</t>
  </si>
  <si>
    <t>23-Feb-1909</t>
  </si>
  <si>
    <t>23-Mar-1909</t>
  </si>
  <si>
    <t>27-Apr-1909</t>
  </si>
  <si>
    <t>1-Jun-1909</t>
  </si>
  <si>
    <t>28-Jun-1909</t>
  </si>
  <si>
    <t>27-Sep-1909</t>
  </si>
  <si>
    <t>7-Dec-1909</t>
  </si>
  <si>
    <t>13-Feb-1909</t>
  </si>
  <si>
    <t>13-Mar-1909</t>
  </si>
  <si>
    <t>22-May-1909</t>
  </si>
  <si>
    <t>19-Jun-1909</t>
  </si>
  <si>
    <t>18-Sep-1909</t>
  </si>
  <si>
    <t>18-Oct-1909</t>
  </si>
  <si>
    <t>28-Oct-1909</t>
  </si>
  <si>
    <t>4-Mar-1910</t>
  </si>
  <si>
    <t>29-Mar-1910</t>
  </si>
  <si>
    <t>23-May-1910</t>
  </si>
  <si>
    <t>21-Jun-1910</t>
  </si>
  <si>
    <t>30-Aug-1910</t>
  </si>
  <si>
    <t>26-Sep-1910</t>
  </si>
  <si>
    <t>26-Oct-1910</t>
  </si>
  <si>
    <t>19-Feb-1910</t>
  </si>
  <si>
    <t>11-Jun-1910</t>
  </si>
  <si>
    <t>9-Jul-1910</t>
  </si>
  <si>
    <t>18-Jul-1910</t>
  </si>
  <si>
    <t>20-Aug-1910</t>
  </si>
  <si>
    <t>17-Sep-1910</t>
  </si>
  <si>
    <t>16-Oct-1910</t>
  </si>
  <si>
    <t>23-Nov-1910</t>
  </si>
  <si>
    <t>21-Dec-1910</t>
  </si>
  <si>
    <t>2-Feb-1911</t>
  </si>
  <si>
    <t>2-Mar-1911</t>
  </si>
  <si>
    <t>31-Mar-1911</t>
  </si>
  <si>
    <t>27-Apr-1911</t>
  </si>
  <si>
    <t>24-May-1911</t>
  </si>
  <si>
    <t>20-Jun-1911</t>
  </si>
  <si>
    <t>29-Aug-1911</t>
  </si>
  <si>
    <t>10-Oct-1911</t>
  </si>
  <si>
    <t>8-Nov-1911</t>
  </si>
  <si>
    <t>21-Jan-1911</t>
  </si>
  <si>
    <t>19-Mar-1911</t>
  </si>
  <si>
    <t>Pennsylvania</t>
  </si>
  <si>
    <t>22-Dec-1905</t>
  </si>
  <si>
    <t>5-Jan-1906</t>
  </si>
  <si>
    <t>Hamburg/Boulogne</t>
  </si>
  <si>
    <t>16-Apr-1911</t>
  </si>
  <si>
    <t>14-May-1911</t>
  </si>
  <si>
    <t>10-Jun-1911</t>
  </si>
  <si>
    <t>19-Aug-1911</t>
  </si>
  <si>
    <t>30-Sep-1911</t>
  </si>
  <si>
    <t>28-Oct-1911</t>
  </si>
  <si>
    <t>25-Nov-1911</t>
  </si>
  <si>
    <t>5-Dec-1911</t>
  </si>
  <si>
    <t>20-Feb-1912</t>
  </si>
  <si>
    <t>21-Mar-1912</t>
  </si>
  <si>
    <t>17-Apr-1912</t>
  </si>
  <si>
    <t>4-Feb-1905</t>
  </si>
  <si>
    <t>5-Mar-1905</t>
  </si>
  <si>
    <t>1-Apr-1905</t>
  </si>
  <si>
    <t>30-Apr-1905</t>
  </si>
  <si>
    <t>24-Jun-1905</t>
  </si>
  <si>
    <t>25-Nov-1905</t>
  </si>
  <si>
    <t>28-Jan-1905</t>
  </si>
  <si>
    <t>25-Feb-1905</t>
  </si>
  <si>
    <t>25-Mar-1905</t>
  </si>
  <si>
    <t>22-Apr-1905</t>
  </si>
  <si>
    <t>20-May-1905</t>
  </si>
  <si>
    <t>17-Jun-1905</t>
  </si>
  <si>
    <t>4-Jun-1912</t>
  </si>
  <si>
    <t>13-Aug-1912</t>
  </si>
  <si>
    <t>17-Sep-1912</t>
  </si>
  <si>
    <t>11-Nov-1912</t>
  </si>
  <si>
    <t>12-Dec-1912</t>
  </si>
  <si>
    <t>10-Feb-1912</t>
  </si>
  <si>
    <t>10-Mar-1912</t>
  </si>
  <si>
    <t>25-May-1912</t>
  </si>
  <si>
    <t>7-Sep-1912</t>
  </si>
  <si>
    <t>3-Aug-1912</t>
  </si>
  <si>
    <t>5-Oct-1912</t>
  </si>
  <si>
    <t>14-Oct-1912</t>
  </si>
  <si>
    <t>2-Nov-1912</t>
  </si>
  <si>
    <t>30-Nov-1912</t>
  </si>
  <si>
    <t>15-Jan-1913</t>
  </si>
  <si>
    <t>14-Feb-1913</t>
  </si>
  <si>
    <t>14-Mar-1913</t>
  </si>
  <si>
    <t>10-Apr-1913</t>
  </si>
  <si>
    <t>8-May-1913</t>
  </si>
  <si>
    <t>24-Jun-1913</t>
  </si>
  <si>
    <t>29-Jul-1913</t>
  </si>
  <si>
    <t>23-Sep-1913</t>
  </si>
  <si>
    <t>20-Oct-1913</t>
  </si>
  <si>
    <t>18-Nov-1913</t>
  </si>
  <si>
    <t>23-Dec-1913</t>
  </si>
  <si>
    <t>4-Jan-1913</t>
  </si>
  <si>
    <t>1-Feb-1913</t>
  </si>
  <si>
    <t>4-Mar-1913</t>
  </si>
  <si>
    <t>31-Mar-1913</t>
  </si>
  <si>
    <t>28-Apr-1913</t>
  </si>
  <si>
    <t>14-Jun-1913</t>
  </si>
  <si>
    <t>16-Aug-1913</t>
  </si>
  <si>
    <t>13-Sep-1913</t>
  </si>
  <si>
    <t>11-Oct-1913</t>
  </si>
  <si>
    <t>8-Nov-1913</t>
  </si>
  <si>
    <t>13-Dec-1913</t>
  </si>
  <si>
    <t>15-Feb-1914</t>
  </si>
  <si>
    <t>14-Mar-1914</t>
  </si>
  <si>
    <t>11-Apr-1914</t>
  </si>
  <si>
    <t>9-May-1914</t>
  </si>
  <si>
    <t>4-Jun-1914</t>
  </si>
  <si>
    <t>24-Aug-1914</t>
  </si>
  <si>
    <t>24-Sep-1914</t>
  </si>
  <si>
    <t>27-Oct-1914</t>
  </si>
  <si>
    <t>26-Dec-1914</t>
  </si>
  <si>
    <t>31-Jan-1914</t>
  </si>
  <si>
    <t>3-Mar-1914</t>
  </si>
  <si>
    <t>30-Mar-1914</t>
  </si>
  <si>
    <t>29-Apr-1914</t>
  </si>
  <si>
    <t>25-May-1914</t>
  </si>
  <si>
    <t>14-Aug-1914</t>
  </si>
  <si>
    <t>14-Sep-1914</t>
  </si>
  <si>
    <t>17-Oct-1914</t>
  </si>
  <si>
    <t>16-Nov-1914</t>
  </si>
  <si>
    <t>25-Nov-1914</t>
  </si>
  <si>
    <t>14-Dec-1914</t>
  </si>
  <si>
    <t>2-Mar-1915</t>
  </si>
  <si>
    <t>30-Jun-1915</t>
  </si>
  <si>
    <t>30-Jul-1915</t>
  </si>
  <si>
    <t>17-Sep-1915</t>
  </si>
  <si>
    <t>14-Oct-1915</t>
  </si>
  <si>
    <t>17-Jan-1915</t>
  </si>
  <si>
    <t>26-Jan-1915</t>
  </si>
  <si>
    <t>20-Feb-1915</t>
  </si>
  <si>
    <t>2-Apr-1915</t>
  </si>
  <si>
    <t>16-May-1915</t>
  </si>
  <si>
    <t>26-May-1915</t>
  </si>
  <si>
    <t>20-Jun-1915</t>
  </si>
  <si>
    <t>19-Jul-1915</t>
  </si>
  <si>
    <t>6-Sep-1915</t>
  </si>
  <si>
    <t>4-Oct-1915</t>
  </si>
  <si>
    <t>5-Feb-1916</t>
  </si>
  <si>
    <t>10-Mar-1916</t>
  </si>
  <si>
    <t>21-Apr-1916</t>
  </si>
  <si>
    <t>1-Jun-1916</t>
  </si>
  <si>
    <t>11-Aug-1916</t>
  </si>
  <si>
    <t>9-Sep-1916</t>
  </si>
  <si>
    <t>15-Nov-1916</t>
  </si>
  <si>
    <t>15-Dec-1916</t>
  </si>
  <si>
    <t>23-Jan-1916</t>
  </si>
  <si>
    <t>27-Feb-1916</t>
  </si>
  <si>
    <t>9-Apr-1916</t>
  </si>
  <si>
    <t>21-May-1916</t>
  </si>
  <si>
    <t>19-Jun-1916</t>
  </si>
  <si>
    <t>30-Jun-1916</t>
  </si>
  <si>
    <t>30-Jul-1916</t>
  </si>
  <si>
    <t>29-Aug-1916</t>
  </si>
  <si>
    <t>21-Oct-1916</t>
  </si>
  <si>
    <t>3-Dec-1916</t>
  </si>
  <si>
    <t>15-Jan-1917</t>
  </si>
  <si>
    <t>15-Feb-1917</t>
  </si>
  <si>
    <t>6-Apr-1917</t>
  </si>
  <si>
    <t>16-Jun-1917</t>
  </si>
  <si>
    <t>20-Jul-1917</t>
  </si>
  <si>
    <t>22-Aug-1917</t>
  </si>
  <si>
    <t>10-Oct-1917</t>
  </si>
  <si>
    <t>11-Nov-1917</t>
  </si>
  <si>
    <t>20-Dec-1917</t>
  </si>
  <si>
    <t>3-Jan-1917</t>
  </si>
  <si>
    <t>4-Feb-1917</t>
  </si>
  <si>
    <t>26-Mar-1917</t>
  </si>
  <si>
    <t>1-May-1917</t>
  </si>
  <si>
    <t>4-Jun-1917</t>
  </si>
  <si>
    <t>8-Jul-1917</t>
  </si>
  <si>
    <t>12-Aug-1917</t>
  </si>
  <si>
    <t>29-Sep-1917</t>
  </si>
  <si>
    <t>1-Nov-1917</t>
  </si>
  <si>
    <t>9-Dec-1917</t>
  </si>
  <si>
    <t>3-Mar-1918</t>
  </si>
  <si>
    <t>10-Apr-1918</t>
  </si>
  <si>
    <t>17-May-1918</t>
  </si>
  <si>
    <t>23-Jun-1918</t>
  </si>
  <si>
    <t>15-Aug-1918</t>
  </si>
  <si>
    <t>28-Oct-1918</t>
  </si>
  <si>
    <t>9-Dec-1918</t>
  </si>
  <si>
    <t>19-Feb--1918</t>
  </si>
  <si>
    <t>28-Mar-1918</t>
  </si>
  <si>
    <t>5-May-1918</t>
  </si>
  <si>
    <t>11-Jun-1918</t>
  </si>
  <si>
    <t>3-Aug-1918</t>
  </si>
  <si>
    <t>17-Oct-1918</t>
  </si>
  <si>
    <t>26-Nov-1918</t>
  </si>
  <si>
    <t>24-Jan-1919</t>
  </si>
  <si>
    <t>8-Mar-1919</t>
  </si>
  <si>
    <t>27-Apr-1919</t>
  </si>
  <si>
    <t>5-Jun-1919</t>
  </si>
  <si>
    <t>29-Jul-1919</t>
  </si>
  <si>
    <t>7-Sep-1919</t>
  </si>
  <si>
    <t>18-Oct-1919</t>
  </si>
  <si>
    <t>15-Dec-1919</t>
  </si>
  <si>
    <t>11-Jan-1919</t>
  </si>
  <si>
    <t>24-Feb-1919</t>
  </si>
  <si>
    <t>25-May-1919</t>
  </si>
  <si>
    <t>17-Jul-1919</t>
  </si>
  <si>
    <t>26-Aug-1919</t>
  </si>
  <si>
    <t>6-Oct-1919</t>
  </si>
  <si>
    <t>28-Feb-1920</t>
  </si>
  <si>
    <t>17-Feb-1921</t>
  </si>
  <si>
    <t>29-Mar-1921</t>
  </si>
  <si>
    <t>20-Jun-1921</t>
  </si>
  <si>
    <t>23-Jul-1921</t>
  </si>
  <si>
    <t>1-Sep-1921</t>
  </si>
  <si>
    <t>4-Oct-1921</t>
  </si>
  <si>
    <t>21-Nov-1921</t>
  </si>
  <si>
    <t>31-Jan-1920</t>
  </si>
  <si>
    <t>4-Feb-1921</t>
  </si>
  <si>
    <t>17-Mar-1921</t>
  </si>
  <si>
    <t>4-May-1921</t>
  </si>
  <si>
    <t>15-May-1921</t>
  </si>
  <si>
    <t>8-Jun-1921</t>
  </si>
  <si>
    <t>13-Jul-1921</t>
  </si>
  <si>
    <t>21-Aug-1921</t>
  </si>
  <si>
    <t>24-Sep-1921</t>
  </si>
  <si>
    <t>9-Nov-1921</t>
  </si>
  <si>
    <t>1-Apr-1922</t>
  </si>
  <si>
    <t>6-May-1922</t>
  </si>
  <si>
    <t>9-Jun-1922</t>
  </si>
  <si>
    <t>14-Jul-1922</t>
  </si>
  <si>
    <t>25-Aug-1922</t>
  </si>
  <si>
    <t>29-Sep-1922</t>
  </si>
  <si>
    <t>7-Nov-1922</t>
  </si>
  <si>
    <t>10-Jan-1922</t>
  </si>
  <si>
    <t>21-Mar-1922</t>
  </si>
  <si>
    <t>25-Apr-1922</t>
  </si>
  <si>
    <t>30-May-1922</t>
  </si>
  <si>
    <t>4-Jul-1922</t>
  </si>
  <si>
    <t>15-Aug-1922</t>
  </si>
  <si>
    <t>19-Sep-1922</t>
  </si>
  <si>
    <t>28-Oct-1922</t>
  </si>
  <si>
    <t>Chicago from Le Havre and Bordeaux to New York completely searched from 1908 to 1922</t>
  </si>
  <si>
    <t>24-Jan-1923</t>
  </si>
  <si>
    <t>2-Mar-1923</t>
  </si>
  <si>
    <t>21-Apr-1923</t>
  </si>
  <si>
    <t>29-May-1923</t>
  </si>
  <si>
    <t>27-Jun-1923</t>
  </si>
  <si>
    <t>1-Sep-1923</t>
  </si>
  <si>
    <t>6-Oct-1923</t>
  </si>
  <si>
    <t>7-Nov-1923</t>
  </si>
  <si>
    <t>19-Dec-1923</t>
  </si>
  <si>
    <t>23-Jan-1924</t>
  </si>
  <si>
    <t>4-Mar-1924</t>
  </si>
  <si>
    <t>8-Apr-1924</t>
  </si>
  <si>
    <t>14-Jun-1924</t>
  </si>
  <si>
    <t>16-Sep-1924</t>
  </si>
  <si>
    <t>30-Oct-1924</t>
  </si>
  <si>
    <t>12-Dec-1924</t>
  </si>
  <si>
    <t>13-Jan-1923</t>
  </si>
  <si>
    <t>17-Feb-1923</t>
  </si>
  <si>
    <t>10-Apr-1923</t>
  </si>
  <si>
    <t>19-May-1923</t>
  </si>
  <si>
    <t>15-Jun-1923</t>
  </si>
  <si>
    <t>21-Aug-1923</t>
  </si>
  <si>
    <t>25-Sep-1923</t>
  </si>
  <si>
    <t>27-Oct-1923</t>
  </si>
  <si>
    <t>8-Dec-1923</t>
  </si>
  <si>
    <t>12-Jan-1924</t>
  </si>
  <si>
    <t>23-Feb-1924</t>
  </si>
  <si>
    <t>29-Mar-1924</t>
  </si>
  <si>
    <t>3-Jun-1924</t>
  </si>
  <si>
    <t>6-Sep-1924</t>
  </si>
  <si>
    <t>17-Oct-1924</t>
  </si>
  <si>
    <t>26-Nov-1924</t>
  </si>
  <si>
    <t>15-Dec-1906</t>
  </si>
  <si>
    <t>19-May-1907</t>
  </si>
  <si>
    <t>13-Jun-1907</t>
  </si>
  <si>
    <t>28-Dec-1907</t>
  </si>
  <si>
    <t>16-Feb-1907</t>
  </si>
  <si>
    <t>16-Mar-1907</t>
  </si>
  <si>
    <t>13-Apr-1907</t>
  </si>
  <si>
    <t>11-May-1907</t>
  </si>
  <si>
    <t>6-Jun-1907</t>
  </si>
  <si>
    <t>29-Jun-1907</t>
  </si>
  <si>
    <t>10-Aug-1907</t>
  </si>
  <si>
    <t>7-Sep-1907</t>
  </si>
  <si>
    <t>28-Sep-1907</t>
  </si>
  <si>
    <t>26-Oct-1907</t>
  </si>
  <si>
    <t>23-Nov-1907</t>
  </si>
  <si>
    <t>21-Dec-1907</t>
  </si>
  <si>
    <t>2-May-1908</t>
  </si>
  <si>
    <t>31-May-1908</t>
  </si>
  <si>
    <t>19-Jun-1908</t>
  </si>
  <si>
    <t>17-Jul-1908</t>
  </si>
  <si>
    <t>5-Sep-1908</t>
  </si>
  <si>
    <t>26-Sep-1908</t>
  </si>
  <si>
    <t>24-Oct-1908</t>
  </si>
  <si>
    <t>21-Nov-1908</t>
  </si>
  <si>
    <t>20-Dec-1908</t>
  </si>
  <si>
    <t>29-Feb-1908</t>
  </si>
  <si>
    <t>28-Mar-1908</t>
  </si>
  <si>
    <t>25-Apr-1908</t>
  </si>
  <si>
    <t>23-May-1908</t>
  </si>
  <si>
    <t>13-Jun-1908</t>
  </si>
  <si>
    <t>11-Jul-1908</t>
  </si>
  <si>
    <t>29-Aug-1908</t>
  </si>
  <si>
    <t>14-Nov-1908</t>
  </si>
  <si>
    <t>12-Dec-1908</t>
  </si>
  <si>
    <t>11-Apr-1909</t>
  </si>
  <si>
    <t>8-May-1909</t>
  </si>
  <si>
    <t>4-Jun-1909</t>
  </si>
  <si>
    <t>26-Jun-1909</t>
  </si>
  <si>
    <t>4-Sep-1909</t>
  </si>
  <si>
    <t>26-Sep-1909</t>
  </si>
  <si>
    <t>6-Feb-1909</t>
  </si>
  <si>
    <t>6-Mar-1909</t>
  </si>
  <si>
    <t>3-Apr-1909</t>
  </si>
  <si>
    <t>1-May-1909</t>
  </si>
  <si>
    <t>29-May-1909</t>
  </si>
  <si>
    <t>16-Oct-1909</t>
  </si>
  <si>
    <t>13-Nov-1909</t>
  </si>
  <si>
    <t>11-Dec-1909</t>
  </si>
  <si>
    <t>13-Feb-1910</t>
  </si>
  <si>
    <t>4-Sep-1910</t>
  </si>
  <si>
    <t>1-Oct-1910</t>
  </si>
  <si>
    <t>29-Oct-1910</t>
  </si>
  <si>
    <t>5-Feb-1910</t>
  </si>
  <si>
    <t>5-Mar-1910</t>
  </si>
  <si>
    <t>2-Apr-1910</t>
  </si>
  <si>
    <t>4-Jun-1910</t>
  </si>
  <si>
    <t>25-Jun-1910</t>
  </si>
  <si>
    <t>6-Aug-1910</t>
  </si>
  <si>
    <t>28-Aug-1910</t>
  </si>
  <si>
    <t>22-Oct-1910</t>
  </si>
  <si>
    <t>11-Feb-1911</t>
  </si>
  <si>
    <t>3-Jun-1911</t>
  </si>
  <si>
    <t>26-Jun-1911</t>
  </si>
  <si>
    <t>5-Aug-1911</t>
  </si>
  <si>
    <t>2-Sep-1911</t>
  </si>
  <si>
    <t>23-Sep-1911</t>
  </si>
  <si>
    <t>21-Oct-1911</t>
  </si>
  <si>
    <t>19-Nov-1911</t>
  </si>
  <si>
    <t>16-Dec-1911</t>
  </si>
  <si>
    <t>7-Jan-1911</t>
  </si>
  <si>
    <t>4-Feb-1911</t>
  </si>
  <si>
    <t>4-Mar-1911</t>
  </si>
  <si>
    <t>27-May-1911</t>
  </si>
  <si>
    <t>17-Jun-1911</t>
  </si>
  <si>
    <t>29-Jul-1911</t>
  </si>
  <si>
    <t>26-Aug-1911</t>
  </si>
  <si>
    <t>16-Sep-1911</t>
  </si>
  <si>
    <t>14-Oct-1911</t>
  </si>
  <si>
    <t>11-Nov-1911</t>
  </si>
  <si>
    <t>9-Dec-1911</t>
  </si>
  <si>
    <t>1-Jun-1912</t>
  </si>
  <si>
    <t>24-Jun-1912</t>
  </si>
  <si>
    <t>3-Feb-1912</t>
  </si>
  <si>
    <t>2-Mar-1912</t>
  </si>
  <si>
    <t>30-Mar-1912</t>
  </si>
  <si>
    <t>27-Apr-1912</t>
  </si>
  <si>
    <t>15-Jun-1912</t>
  </si>
  <si>
    <t>24-Aug-1912</t>
  </si>
  <si>
    <t>26-Oct-1912</t>
  </si>
  <si>
    <t>13-Jan-1913</t>
  </si>
  <si>
    <t>16-Mar-1913</t>
  </si>
  <si>
    <t>17-May-1913</t>
  </si>
  <si>
    <t>8-Jun-1913</t>
  </si>
  <si>
    <t>5-Jul-1913</t>
  </si>
  <si>
    <t>30-Aug-1913</t>
  </si>
  <si>
    <t>21-Sep-1913</t>
  </si>
  <si>
    <t>15-Nov-1913</t>
  </si>
  <si>
    <t>8-Feb-1913</t>
  </si>
  <si>
    <t>15-Feb-1913</t>
  </si>
  <si>
    <t>8-Mar-1913</t>
  </si>
  <si>
    <t>12-Apr-1913</t>
  </si>
  <si>
    <t>10-May-1913</t>
  </si>
  <si>
    <t>28-Jun-1913</t>
  </si>
  <si>
    <t>31-May-1913</t>
  </si>
  <si>
    <t>23-Aug-1913</t>
  </si>
  <si>
    <t>18-Jan-1914</t>
  </si>
  <si>
    <t>8-Feb-1914</t>
  </si>
  <si>
    <t>2-Mar-1914</t>
  </si>
  <si>
    <t>26-Apr-1914</t>
  </si>
  <si>
    <t>16-May-1914</t>
  </si>
  <si>
    <t>14-Jun-1914</t>
  </si>
  <si>
    <t>10-Jan-1914</t>
  </si>
  <si>
    <t>Rochambeau</t>
  </si>
  <si>
    <t>25-Sep-1911</t>
  </si>
  <si>
    <t>24-Oct-1911</t>
  </si>
  <si>
    <t>21-Nov-1911</t>
  </si>
  <si>
    <t>19-Dec-1911</t>
  </si>
  <si>
    <t>21-Feb-1914</t>
  </si>
  <si>
    <t>21-Mar-1914</t>
  </si>
  <si>
    <t>18-Apr-1914</t>
  </si>
  <si>
    <t>6-Jun-1914</t>
  </si>
  <si>
    <t>La Provence to New York completely searched from 1906 to 1914</t>
  </si>
  <si>
    <t>29-Jan-1912</t>
  </si>
  <si>
    <t>26-Feb-1912</t>
  </si>
  <si>
    <t>23-Apr-1912</t>
  </si>
  <si>
    <t>20-May-1912</t>
  </si>
  <si>
    <t>6-Aug-1912</t>
  </si>
  <si>
    <t>9-Sep-1912</t>
  </si>
  <si>
    <t>7-Oct-1912</t>
  </si>
  <si>
    <t>4-Nov-1912</t>
  </si>
  <si>
    <t>20-Jan-1912</t>
  </si>
  <si>
    <t>13-Apr-1912</t>
  </si>
  <si>
    <t>11-May-1912</t>
  </si>
  <si>
    <t>27-Jul-1912</t>
  </si>
  <si>
    <t>31-Aug-1912</t>
  </si>
  <si>
    <t>28-Sep-1912</t>
  </si>
  <si>
    <t>8-Jan-1913</t>
  </si>
  <si>
    <t>27-May-1913</t>
  </si>
  <si>
    <t>30-Jun-1913</t>
  </si>
  <si>
    <t>12-Aug-1913</t>
  </si>
  <si>
    <t>15-Sep-1913</t>
  </si>
  <si>
    <t>14-Oct-1913</t>
  </si>
  <si>
    <t>12-Nov-1913</t>
  </si>
  <si>
    <t>9-Dec-1913</t>
  </si>
  <si>
    <t>28-Dec-1912</t>
  </si>
  <si>
    <t>3-Dec-1904</t>
  </si>
  <si>
    <t>28-Jan-1914</t>
  </si>
  <si>
    <t>25-Feb-1914</t>
  </si>
  <si>
    <t>24-Mar-1914</t>
  </si>
  <si>
    <t>18-May-1914</t>
  </si>
  <si>
    <t>15-Jun-1914</t>
  </si>
  <si>
    <t>4-Aug-1914</t>
  </si>
  <si>
    <t>8-Sep-1914</t>
  </si>
  <si>
    <t>13-Oct-1914</t>
  </si>
  <si>
    <t>9-Nov-1914</t>
  </si>
  <si>
    <t>17-Jan-1914</t>
  </si>
  <si>
    <t>14-Feb-1914</t>
  </si>
  <si>
    <t>8-Apr-1914</t>
  </si>
  <si>
    <t>25-Jul-1914</t>
  </si>
  <si>
    <t>29-Aug-1914</t>
  </si>
  <si>
    <t>3-Oct-1914</t>
  </si>
  <si>
    <t>31-Oct-1914</t>
  </si>
  <si>
    <t>29-Nov-1914</t>
  </si>
  <si>
    <t>Rochambeau from Le Havre to New York completely searched from 1911 to 1914</t>
  </si>
  <si>
    <t>La Savoie</t>
  </si>
  <si>
    <t>13-Nov-1901</t>
  </si>
  <si>
    <t>18-Jan-1902</t>
  </si>
  <si>
    <t>19-Jul-1902</t>
  </si>
  <si>
    <t>27-Sep-1902</t>
  </si>
  <si>
    <t>20-Dec-1902</t>
  </si>
  <si>
    <t>6-Sep-1901</t>
  </si>
  <si>
    <t>31-Aug-1901</t>
  </si>
  <si>
    <t>28-Sep-1901</t>
  </si>
  <si>
    <t>2-Nov-1901</t>
  </si>
  <si>
    <t>14-Dec-1901</t>
  </si>
  <si>
    <t>21-Dec-1901</t>
  </si>
  <si>
    <t>11-Jan-1902</t>
  </si>
  <si>
    <t>28-Mar-1902</t>
  </si>
  <si>
    <t>19-Apr-1902</t>
  </si>
  <si>
    <t>17-May-1902</t>
  </si>
  <si>
    <t>23-May-1902</t>
  </si>
  <si>
    <t>14-Jun-1902</t>
  </si>
  <si>
    <t>23-Aug-1902</t>
  </si>
  <si>
    <t>20-Sep-1902</t>
  </si>
  <si>
    <t>25-Oct-1902</t>
  </si>
  <si>
    <t>18-Oct-1902</t>
  </si>
  <si>
    <t>13-Dec-1902</t>
  </si>
  <si>
    <t>18-Jan-1903</t>
  </si>
  <si>
    <t>1-Mar-1903</t>
  </si>
  <si>
    <t>29-Mar-1903</t>
  </si>
  <si>
    <t>31-May-1903</t>
  </si>
  <si>
    <t>27-Jun-1903</t>
  </si>
  <si>
    <t>13-Dec-1903</t>
  </si>
  <si>
    <t>10-Jan-1903</t>
  </si>
  <si>
    <t>21-Feb-1903</t>
  </si>
  <si>
    <t>21-Mar-1903</t>
  </si>
  <si>
    <t>25-Apr-1903</t>
  </si>
  <si>
    <t>23-May-1903</t>
  </si>
  <si>
    <t>20-Jun-1903</t>
  </si>
  <si>
    <t>8-Aug-1903</t>
  </si>
  <si>
    <t>5-Sep-1903</t>
  </si>
  <si>
    <t>3-Oct-1903</t>
  </si>
  <si>
    <t>7-Nov-1903</t>
  </si>
  <si>
    <t>5-Dec-1903</t>
  </si>
  <si>
    <t>11-Jan-1904</t>
  </si>
  <si>
    <t>19-Mar-1904</t>
  </si>
  <si>
    <t>18-Jun-1904</t>
  </si>
  <si>
    <t>24-Dec-1904</t>
  </si>
  <si>
    <t>2-Jan-1904</t>
  </si>
  <si>
    <t>12-Mar-1904</t>
  </si>
  <si>
    <t>16-Apr-1904</t>
  </si>
  <si>
    <t>14-May-1904</t>
  </si>
  <si>
    <t>11-Jun-1904</t>
  </si>
  <si>
    <t>27-Aug-1904</t>
  </si>
  <si>
    <t>24-Sep-1904</t>
  </si>
  <si>
    <t>22-Oct-1904</t>
  </si>
  <si>
    <t>19-Nov-1904</t>
  </si>
  <si>
    <t>17-Dec-1904</t>
  </si>
  <si>
    <t>22-Jan-1905</t>
  </si>
  <si>
    <t>20-Mar-1905</t>
  </si>
  <si>
    <t>15-Oct-1905</t>
  </si>
  <si>
    <t>14-Jan-1905</t>
  </si>
  <si>
    <t>11-Mar-1905</t>
  </si>
  <si>
    <t>8-Apr-1905</t>
  </si>
  <si>
    <t>6-May-1905</t>
  </si>
  <si>
    <t>3-Jun-1905</t>
  </si>
  <si>
    <t>1-Jul-1905</t>
  </si>
  <si>
    <t>12-Aug-1905</t>
  </si>
  <si>
    <t>7-Oct-1905</t>
  </si>
  <si>
    <t>4-Nov-1905</t>
  </si>
  <si>
    <t>12-Nov-1905</t>
  </si>
  <si>
    <t>2-Dec-1905</t>
  </si>
  <si>
    <t>10-Dec-1905</t>
  </si>
  <si>
    <t>15-Jan-1906</t>
  </si>
  <si>
    <t>23-Apr-1906</t>
  </si>
  <si>
    <t>25-Sep-1906</t>
  </si>
  <si>
    <t>21-Oct-1906</t>
  </si>
  <si>
    <t>6-Jan-1906</t>
  </si>
  <si>
    <t>3-Feb-1906</t>
  </si>
  <si>
    <t>17-Mar-1906</t>
  </si>
  <si>
    <t>14-Apr-1906</t>
  </si>
  <si>
    <t>12-May-1906</t>
  </si>
  <si>
    <t>9-Jun-1906</t>
  </si>
  <si>
    <t>18-Aug-1906</t>
  </si>
  <si>
    <t>18-Sep-1906</t>
  </si>
  <si>
    <t>13-Oct-1906</t>
  </si>
  <si>
    <t>10-Nov-1906</t>
  </si>
  <si>
    <t>14-Jan-1907</t>
  </si>
  <si>
    <t>9-Feb-1907</t>
  </si>
  <si>
    <t>10-Mar-1907</t>
  </si>
  <si>
    <t>14-Apr-1907</t>
  </si>
  <si>
    <t>6-May-1907</t>
  </si>
  <si>
    <t>2-Jun-1907</t>
  </si>
  <si>
    <t>23-Jun-1907</t>
  </si>
  <si>
    <t>21-Jul-1907</t>
  </si>
  <si>
    <t>9-Sep-1907</t>
  </si>
  <si>
    <t>2-Feb-1907</t>
  </si>
  <si>
    <t>5-Jan-1907</t>
  </si>
  <si>
    <t>2-Mar-1907</t>
  </si>
  <si>
    <t>6-Apr-1907</t>
  </si>
  <si>
    <t>27-Apr-1907</t>
  </si>
  <si>
    <t>25-May-1907</t>
  </si>
  <si>
    <t>15-Jun-1907</t>
  </si>
  <si>
    <t>13-Jul-1907</t>
  </si>
  <si>
    <t>31-Aug-1907</t>
  </si>
  <si>
    <t>21-Sep-1907</t>
  </si>
  <si>
    <t>19-Oct-1907</t>
  </si>
  <si>
    <t>16-Nov-1907</t>
  </si>
  <si>
    <t>2-Feb-1908</t>
  </si>
  <si>
    <t>26-Apr-1908</t>
  </si>
  <si>
    <t>24-May-1908</t>
  </si>
  <si>
    <t>19-Sep-1908</t>
  </si>
  <si>
    <t>25-Jan-1908</t>
  </si>
  <si>
    <t>22-Feb-1908</t>
  </si>
  <si>
    <t>18-Apr-1908</t>
  </si>
  <si>
    <t>16-May-1908</t>
  </si>
  <si>
    <t>6-Jun-1908</t>
  </si>
  <si>
    <t>25-Jul-1908</t>
  </si>
  <si>
    <t>12-Sep-1908</t>
  </si>
  <si>
    <t>10-Oct-1908</t>
  </si>
  <si>
    <t>7-Nov-1908</t>
  </si>
  <si>
    <t>16-Jan-1909</t>
  </si>
  <si>
    <t>21-Mar-1909</t>
  </si>
  <si>
    <t>14-Jun-1909</t>
  </si>
  <si>
    <t>11-Sep-1909</t>
  </si>
  <si>
    <t>9-Jan-1909</t>
  </si>
  <si>
    <t>10-Apr-1909</t>
  </si>
  <si>
    <t>7-Jun-1909</t>
  </si>
  <si>
    <t>24-Jul-1909</t>
  </si>
  <si>
    <t>2-Oct-1909</t>
  </si>
  <si>
    <t>8-Nov-1909</t>
  </si>
  <si>
    <t>30-Oct-1909</t>
  </si>
  <si>
    <t>9-Jan-1910</t>
  </si>
  <si>
    <t>1-Jan-1910</t>
  </si>
  <si>
    <t>28-Feb-1910</t>
  </si>
  <si>
    <t>26-Mar-1910</t>
  </si>
  <si>
    <t>7-May-1910</t>
  </si>
  <si>
    <t>10-Sep-1910</t>
  </si>
  <si>
    <t>8-Oct-1910</t>
  </si>
  <si>
    <t>5-Nov-1910</t>
  </si>
  <si>
    <t>3-Dec-1910</t>
  </si>
  <si>
    <t>29-Jan-1910</t>
  </si>
  <si>
    <t>19-Mar-1910</t>
  </si>
  <si>
    <t>30-Apr-1910</t>
  </si>
  <si>
    <t>28-May-1910</t>
  </si>
  <si>
    <t>18-Jun-1910</t>
  </si>
  <si>
    <t>16-Jul-1910</t>
  </si>
  <si>
    <t>3-Sep-1910</t>
  </si>
  <si>
    <t>26-Nov-1910</t>
  </si>
  <si>
    <t>25-Mar-1911</t>
  </si>
  <si>
    <t>22-Apr-1911</t>
  </si>
  <si>
    <t>22-May-1911</t>
  </si>
  <si>
    <t>8-Jul-1911</t>
  </si>
  <si>
    <t>31-Jul-1911</t>
  </si>
  <si>
    <t>9-Sep-1911</t>
  </si>
  <si>
    <t>2-Oct-1911</t>
  </si>
  <si>
    <t>30-Oct-1911</t>
  </si>
  <si>
    <t>26-Nov-1911</t>
  </si>
  <si>
    <t>24-Dec-1911</t>
  </si>
  <si>
    <t>31-Dec-1910</t>
  </si>
  <si>
    <t>29-Jan-1911</t>
  </si>
  <si>
    <t>18-Mar-1911</t>
  </si>
  <si>
    <t>15-Apr-1911</t>
  </si>
  <si>
    <t>13-May-1911</t>
  </si>
  <si>
    <t>1-Jul-1911</t>
  </si>
  <si>
    <t>18-Nov-1911</t>
  </si>
  <si>
    <t>22-Jan-1912</t>
  </si>
  <si>
    <t>1-Mar-1912</t>
  </si>
  <si>
    <t>31-Mar-1912</t>
  </si>
  <si>
    <t>21-Apr-1912</t>
  </si>
  <si>
    <t>12-May-1912</t>
  </si>
  <si>
    <t>9-Jun-1912</t>
  </si>
  <si>
    <t>4-Aug-1912</t>
  </si>
  <si>
    <t>21-Sep-1912</t>
  </si>
  <si>
    <t>13-Jan-1912</t>
  </si>
  <si>
    <t>24-Feb-1912</t>
  </si>
  <si>
    <t>19-Oct-1912</t>
  </si>
  <si>
    <t>23-Nov-1912</t>
  </si>
  <si>
    <t>6-Jan-1913</t>
  </si>
  <si>
    <t>27-Jan-1913</t>
  </si>
  <si>
    <t>20-Jul-1913</t>
  </si>
  <si>
    <t>9-Aug-1913</t>
  </si>
  <si>
    <t>9-Nov-1913</t>
  </si>
  <si>
    <t>6-Dec-1913</t>
  </si>
  <si>
    <t>27-Dec-1913</t>
  </si>
  <si>
    <t>18-Jan-1913</t>
  </si>
  <si>
    <t>12-Jul-1913</t>
  </si>
  <si>
    <t>20-Dec-1913</t>
  </si>
  <si>
    <t>26-Jan-1914</t>
  </si>
  <si>
    <t>17-Feb-1914</t>
  </si>
  <si>
    <t>8-Mar-1914</t>
  </si>
  <si>
    <t>19-Apr-1914</t>
  </si>
  <si>
    <t>7-Jun-1914</t>
  </si>
  <si>
    <t>28-Jun-1914</t>
  </si>
  <si>
    <t>26-Jul-1914</t>
  </si>
  <si>
    <t>7-Feb-1914</t>
  </si>
  <si>
    <t>28-Feb-1914</t>
  </si>
  <si>
    <t>30-May-1914</t>
  </si>
  <si>
    <t>20-Jun-1914</t>
  </si>
  <si>
    <t>18-Jul-1914</t>
  </si>
  <si>
    <t>5-May-1919</t>
  </si>
  <si>
    <t>9-Jun-1919</t>
  </si>
  <si>
    <t>8-Jul-1919</t>
  </si>
  <si>
    <t>9-Aug-1919</t>
  </si>
  <si>
    <t>8-Sep-1919</t>
  </si>
  <si>
    <t>12-Oct-1919</t>
  </si>
  <si>
    <t>30-Dec-1919</t>
  </si>
  <si>
    <t>26-Apr-1919</t>
  </si>
  <si>
    <t>no trips between 1914 and 1919</t>
  </si>
  <si>
    <t>31-May-1919</t>
  </si>
  <si>
    <t>29-Jun-1919</t>
  </si>
  <si>
    <t>31-Jul-1919</t>
  </si>
  <si>
    <t>30-Aug-1919</t>
  </si>
  <si>
    <t>4-Oct-1919</t>
  </si>
  <si>
    <t>13-Nov-1919</t>
  </si>
  <si>
    <t>20-Dec-1919</t>
  </si>
  <si>
    <t>23-Feb-1920</t>
  </si>
  <si>
    <t>23-Mar-1920</t>
  </si>
  <si>
    <t>30-May-1920</t>
  </si>
  <si>
    <t>28-Jun-1920</t>
  </si>
  <si>
    <t>2-Aug-1920</t>
  </si>
  <si>
    <t>30-Aug-1920</t>
  </si>
  <si>
    <t>27-Sep-1920</t>
  </si>
  <si>
    <t>26-Oct-1920</t>
  </si>
  <si>
    <t>23-Nov-1920</t>
  </si>
  <si>
    <t>20-Dec-1920</t>
  </si>
  <si>
    <t>17-Jan-1920</t>
  </si>
  <si>
    <t>14-Feb-1920</t>
  </si>
  <si>
    <t>13-Mar-1920</t>
  </si>
  <si>
    <t>21-May-1920</t>
  </si>
  <si>
    <t>19-Jun-1920</t>
  </si>
  <si>
    <t>24-Jul-1920</t>
  </si>
  <si>
    <t>21-Aug-1920</t>
  </si>
  <si>
    <t>18-Sep-1920</t>
  </si>
  <si>
    <t>24-Jan-1921</t>
  </si>
  <si>
    <t>22-Feb-1921</t>
  </si>
  <si>
    <t>22-Mar-1921</t>
  </si>
  <si>
    <t>16-May-1921</t>
  </si>
  <si>
    <t>last ship prior to passage of Emergency Quota Act of 1921 (19-May-1921)</t>
  </si>
  <si>
    <t>15-Oct-1920</t>
  </si>
  <si>
    <t>13-Nov-1920</t>
  </si>
  <si>
    <t>11-Dec-1920</t>
  </si>
  <si>
    <t>12-Feb-1921</t>
  </si>
  <si>
    <t>12-Mar-1921</t>
  </si>
  <si>
    <t>7-May-1921</t>
  </si>
  <si>
    <t>Germania</t>
  </si>
  <si>
    <t>23-Dec-1911</t>
  </si>
  <si>
    <t>Providence</t>
  </si>
  <si>
    <t>8-Jan-1912</t>
  </si>
  <si>
    <t>Roma</t>
  </si>
  <si>
    <t>12-Jan-1912</t>
  </si>
  <si>
    <t>6-Feb-1912</t>
  </si>
  <si>
    <t>La Savoie to New York completely searched from 1901 to May-1921</t>
  </si>
  <si>
    <t>Zeeland</t>
  </si>
  <si>
    <t>3-Dec-1920</t>
  </si>
  <si>
    <t>13-Dec-1920</t>
  </si>
  <si>
    <t>7-Jan-1921</t>
  </si>
  <si>
    <t>20-Jan-1921</t>
  </si>
  <si>
    <t>20-Aug-1900</t>
  </si>
  <si>
    <t>11-Aug-1900</t>
  </si>
  <si>
    <t>8-Sep-1900</t>
  </si>
  <si>
    <t>14-Oct-1900</t>
  </si>
  <si>
    <t>6-Oct-1900</t>
  </si>
  <si>
    <t>17-Nov-1900</t>
  </si>
  <si>
    <t>25-Nov-1900</t>
  </si>
  <si>
    <t>14-Apr-1901</t>
  </si>
  <si>
    <t>8-Jun-1901</t>
  </si>
  <si>
    <t>6-Apr-1901</t>
  </si>
  <si>
    <t>4-May-1901</t>
  </si>
  <si>
    <t>12-May-1901</t>
  </si>
  <si>
    <t>1-Jun-1901</t>
  </si>
  <si>
    <t>10-May-1902</t>
  </si>
  <si>
    <t>16-Aug-1902</t>
  </si>
  <si>
    <t>13-Sep-1902</t>
  </si>
  <si>
    <t>11-Oct-1902</t>
  </si>
  <si>
    <t>8-Nov-1902</t>
  </si>
  <si>
    <t>3-May-1902</t>
  </si>
  <si>
    <t>31-May-1902</t>
  </si>
  <si>
    <t>7-Jun-1902</t>
  </si>
  <si>
    <t>28-Jun-1902</t>
  </si>
  <si>
    <t>9-Aug-1902</t>
  </si>
  <si>
    <t>6-Sep-1902</t>
  </si>
  <si>
    <t>4-Oct-1902</t>
  </si>
  <si>
    <t>1-Nov-1902</t>
  </si>
  <si>
    <t>29-Nov-1902</t>
  </si>
  <si>
    <t>6-Dec-1902</t>
  </si>
  <si>
    <t>1-Feb-1903</t>
  </si>
  <si>
    <t>15-Mar-1903</t>
  </si>
  <si>
    <t>12-Apr-1903</t>
  </si>
  <si>
    <t>16-May-1903</t>
  </si>
  <si>
    <t>11-Jul-1903</t>
  </si>
  <si>
    <t>29-Aug-1903</t>
  </si>
  <si>
    <t>27-Dec-1902</t>
  </si>
  <si>
    <t>24-Jan-1903</t>
  </si>
  <si>
    <t>7-Mar-1903</t>
  </si>
  <si>
    <t>9-May-1903</t>
  </si>
  <si>
    <t>6-Jun-1903</t>
  </si>
  <si>
    <t>13-Jun-1903</t>
  </si>
  <si>
    <t>4-Jul-1903</t>
  </si>
  <si>
    <t>22-Aug-1903</t>
  </si>
  <si>
    <t>19-Sep-1903</t>
  </si>
  <si>
    <t>17-Oct-1903</t>
  </si>
  <si>
    <t>10-Apr-1904</t>
  </si>
  <si>
    <t>4-Jun-1904</t>
  </si>
  <si>
    <t>1-Jul-1904</t>
  </si>
  <si>
    <t>15-Oct-1904</t>
  </si>
  <si>
    <t>12-Nov-1904</t>
  </si>
  <si>
    <t>11-Dec-1904</t>
  </si>
  <si>
    <t>30-Jan-1904</t>
  </si>
  <si>
    <t>8-Feb-1904</t>
  </si>
  <si>
    <t>27-Feb-1904</t>
  </si>
  <si>
    <t>2-Apr-1904</t>
  </si>
  <si>
    <t>30-Apr-1904</t>
  </si>
  <si>
    <t>28-May-1904</t>
  </si>
  <si>
    <t>25-Jun-1904</t>
  </si>
  <si>
    <t>13-Aug-1904</t>
  </si>
  <si>
    <t>10-Sep-1904</t>
  </si>
  <si>
    <t>4-Feb-1913</t>
  </si>
  <si>
    <t>22-Feb-1913</t>
  </si>
  <si>
    <t>22-Mar-1913</t>
  </si>
  <si>
    <t>21-Jun-1913</t>
  </si>
  <si>
    <t>2-Aug-1913</t>
  </si>
  <si>
    <t>6-Sep-1913</t>
  </si>
  <si>
    <t>4-Oct-1913</t>
  </si>
  <si>
    <t>1-Nov-1913</t>
  </si>
  <si>
    <t>1-Jul-1901</t>
  </si>
  <si>
    <t>21-Jun-1901</t>
  </si>
  <si>
    <t>29-Nov-1913</t>
  </si>
  <si>
    <t>Search Results</t>
  </si>
  <si>
    <t>Checked</t>
  </si>
  <si>
    <t>Staged</t>
  </si>
  <si>
    <t>Imported</t>
  </si>
  <si>
    <t>Trip</t>
  </si>
  <si>
    <t>Ship</t>
  </si>
  <si>
    <t>Origin</t>
  </si>
  <si>
    <t>Destination</t>
  </si>
  <si>
    <t>Passengers by Class</t>
  </si>
  <si>
    <t>ID</t>
  </si>
  <si>
    <t>Name</t>
  </si>
  <si>
    <t>Port</t>
  </si>
  <si>
    <t>Date</t>
  </si>
  <si>
    <t>Total</t>
  </si>
  <si>
    <t>Abstractor</t>
  </si>
  <si>
    <t>La Touraine</t>
  </si>
  <si>
    <t>Le Havre</t>
  </si>
  <si>
    <t>New York</t>
  </si>
  <si>
    <t>7-Oct-1895</t>
  </si>
  <si>
    <t>MBA</t>
  </si>
  <si>
    <t>x</t>
  </si>
  <si>
    <t>4-Nov-1895</t>
  </si>
  <si>
    <t>16-Mar-1896</t>
  </si>
  <si>
    <t>6-Jul-1896</t>
  </si>
  <si>
    <t>12-Sep-1896</t>
  </si>
  <si>
    <t>14-Nov-1896</t>
  </si>
  <si>
    <t>19-Jun-1897</t>
  </si>
  <si>
    <t>27-Jun-1897</t>
  </si>
  <si>
    <t>28-Aug-1897</t>
  </si>
  <si>
    <t>4-Sep-1897</t>
  </si>
  <si>
    <t>25-Sep-1897</t>
  </si>
  <si>
    <t>2-Oct-1897</t>
  </si>
  <si>
    <t>20-Nov-1897</t>
  </si>
  <si>
    <t>28-Nov-1897</t>
  </si>
  <si>
    <t>28-May-1898</t>
  </si>
  <si>
    <t>5-Jun-1898</t>
  </si>
  <si>
    <t>23-Jul-1898</t>
  </si>
  <si>
    <t>31-Jul-1898</t>
  </si>
  <si>
    <t>20-Aug-1898</t>
  </si>
  <si>
    <t>28-Aug-1898</t>
  </si>
  <si>
    <t>19-Nov-1898</t>
  </si>
  <si>
    <t>28-Nov-1898</t>
  </si>
  <si>
    <t>22-Jul-1899</t>
  </si>
  <si>
    <t>30-Jul-1899</t>
  </si>
  <si>
    <t>19-Aug-1899</t>
  </si>
  <si>
    <t>27-Aug-1899</t>
  </si>
  <si>
    <t>10-Feb-1900</t>
  </si>
  <si>
    <t>20-Feb-1900</t>
  </si>
  <si>
    <t>14-Apr-1900</t>
  </si>
  <si>
    <t>22-Apr-1900</t>
  </si>
  <si>
    <t>19-May-1900</t>
  </si>
  <si>
    <t>26-May-1900</t>
  </si>
  <si>
    <t>23-Jun--1900</t>
  </si>
  <si>
    <t>1-Jul-1900</t>
  </si>
  <si>
    <t>28-Jul-1900</t>
  </si>
  <si>
    <t>6-Aug-1900</t>
  </si>
  <si>
    <t>29-Sep-1900</t>
  </si>
  <si>
    <t>8-Oct-1900</t>
  </si>
  <si>
    <t>8-Feb-1902</t>
  </si>
  <si>
    <t>16-Feb-1902</t>
  </si>
  <si>
    <t>5-Jul-1902</t>
  </si>
  <si>
    <t>12-Jul-1902</t>
  </si>
  <si>
    <t>2-Aug-1902</t>
  </si>
  <si>
    <t>10-Aug-1902</t>
  </si>
  <si>
    <t>25-Jul-1903</t>
  </si>
  <si>
    <t>1-Aug-1903</t>
  </si>
  <si>
    <t>26-Sep-1903</t>
  </si>
  <si>
    <t>4-Oct-1903</t>
  </si>
  <si>
    <t>24-Oct-1903</t>
  </si>
  <si>
    <t>1-Nov-1903</t>
  </si>
  <si>
    <t>19-Dec-1903</t>
  </si>
  <si>
    <t>27-Dec-1903</t>
  </si>
  <si>
    <t>16-Jan-1904</t>
  </si>
  <si>
    <t>23-Jan-1904</t>
  </si>
  <si>
    <t>13-Feb-1904</t>
  </si>
  <si>
    <t>21-Feb-1904</t>
  </si>
  <si>
    <t>26-Mar-1904</t>
  </si>
  <si>
    <t>3-Apr-1904</t>
  </si>
  <si>
    <t>23-Apr-1904</t>
  </si>
  <si>
    <t>1-May-1904</t>
  </si>
  <si>
    <t>21-May-1904</t>
  </si>
  <si>
    <t>29-May-1904</t>
  </si>
  <si>
    <t>2-Jul-1904</t>
  </si>
  <si>
    <t>9-Jul-1904</t>
  </si>
  <si>
    <t>3-Sep-1904</t>
  </si>
  <si>
    <t>11-Sep-1904</t>
  </si>
  <si>
    <t>1-Oct-1904</t>
  </si>
  <si>
    <t>8-Oct-1904</t>
  </si>
  <si>
    <t>29-Oct-1904</t>
  </si>
  <si>
    <t>5-Nov-1904</t>
  </si>
  <si>
    <t>26-Nov-1904</t>
  </si>
  <si>
    <t>5-Dec-1904</t>
  </si>
  <si>
    <t>31-Dec-1904</t>
  </si>
  <si>
    <t>8-Jan-1905</t>
  </si>
  <si>
    <t>27-May-1905</t>
  </si>
  <si>
    <t>4-Jun-1905</t>
  </si>
  <si>
    <t>22-Jul-1905</t>
  </si>
  <si>
    <t>29-Jul-1905</t>
  </si>
  <si>
    <t>19-Aug-1905</t>
  </si>
  <si>
    <t>26-Aug-1905</t>
  </si>
  <si>
    <t>11-Nov-1905</t>
  </si>
  <si>
    <t>19-Nov-1905</t>
  </si>
  <si>
    <t>23-Dec-1905</t>
  </si>
  <si>
    <t>2-Jan-1906</t>
  </si>
  <si>
    <t>20-Jan-1906</t>
  </si>
  <si>
    <t>27-Jan-1906</t>
  </si>
  <si>
    <t>17-Feb-1906</t>
  </si>
  <si>
    <t>25-Feb-1906</t>
  </si>
  <si>
    <t>24-Mar-1906</t>
  </si>
  <si>
    <t>1-Apr-1906</t>
  </si>
  <si>
    <t>2-Jun-1906</t>
  </si>
  <si>
    <t>10-Jun-1906</t>
  </si>
  <si>
    <t>30-Jun-1906</t>
  </si>
  <si>
    <t>8-Jul-1906</t>
  </si>
  <si>
    <t>8-Sep-1906</t>
  </si>
  <si>
    <t>16-Sep-1906</t>
  </si>
  <si>
    <t>6-Oct-1906</t>
  </si>
  <si>
    <t>14-Oct-1906</t>
  </si>
  <si>
    <t>8-Dec-1906</t>
  </si>
  <si>
    <t>17-Dec-1906</t>
  </si>
  <si>
    <t>30-Mar-1907</t>
  </si>
  <si>
    <t>7-Apr-1907</t>
  </si>
  <si>
    <t>17-Aug-1907</t>
  </si>
  <si>
    <t>24-Aug-1907</t>
  </si>
  <si>
    <t>5-Oct-1907</t>
  </si>
  <si>
    <t>12-Oct-1907</t>
  </si>
  <si>
    <t>2-Nov-1907</t>
  </si>
  <si>
    <t>10-Nov-1907</t>
  </si>
  <si>
    <t>30-Nov-1907</t>
  </si>
  <si>
    <t>10-Dec-1907</t>
  </si>
  <si>
    <t>18-Jan-1908</t>
  </si>
  <si>
    <t>26-Jan-1908</t>
  </si>
  <si>
    <t>15-Feb-1908</t>
  </si>
  <si>
    <t>23-Feb-1908</t>
  </si>
  <si>
    <t>14-Mar-1908</t>
  </si>
  <si>
    <t>22-Mar-1908</t>
  </si>
  <si>
    <t>11-Apr-1908</t>
  </si>
  <si>
    <t>20-Apr-1908</t>
  </si>
  <si>
    <t>9-May-1908</t>
  </si>
  <si>
    <t>18-May-1908</t>
  </si>
  <si>
    <t>27-Jun-1908</t>
  </si>
  <si>
    <t>4-Jul-1908</t>
  </si>
  <si>
    <t>15-Aug-1908</t>
  </si>
  <si>
    <t>22-Aug-1908</t>
  </si>
  <si>
    <t>3-Oct-1908</t>
  </si>
  <si>
    <t>11-Oct-1908</t>
  </si>
  <si>
    <t>31-Oct-1908</t>
  </si>
  <si>
    <t>8-Nov-1908</t>
  </si>
  <si>
    <t>28-Nov-1908</t>
  </si>
  <si>
    <t>6-Dec-1908</t>
  </si>
  <si>
    <t>26-Dec-1908</t>
  </si>
  <si>
    <t>3-Jan-1909</t>
  </si>
  <si>
    <t>20-Feb-1909</t>
  </si>
  <si>
    <t>1-Mar-1909</t>
  </si>
  <si>
    <t>20-Mar-1909</t>
  </si>
  <si>
    <t>28-Mar-1909</t>
  </si>
  <si>
    <t>3-Jul-1909</t>
  </si>
  <si>
    <t>11-Jul-1909</t>
  </si>
  <si>
    <t>31-Jul-1909</t>
  </si>
  <si>
    <t>8-Aug-1909</t>
  </si>
  <si>
    <t>21-Aug-1909</t>
  </si>
  <si>
    <t>30-Aug-1909</t>
  </si>
  <si>
    <t>25-Sep-1909</t>
  </si>
  <si>
    <t>3-Oct-1909</t>
  </si>
  <si>
    <t>23-Oct-1909</t>
  </si>
  <si>
    <t>1-Nov-1909</t>
  </si>
  <si>
    <t>20-Nov-1909</t>
  </si>
  <si>
    <t>29-Nov-1909</t>
  </si>
  <si>
    <t>18-Dec-1909</t>
  </si>
  <si>
    <t>27-Dec-1909</t>
  </si>
  <si>
    <t>15-Jan-1910</t>
  </si>
  <si>
    <t>24-Jan-1910</t>
  </si>
  <si>
    <t>12-Mar-1910</t>
  </si>
  <si>
    <t>20-Mar-1910</t>
  </si>
  <si>
    <t>17-Apr-1910</t>
  </si>
  <si>
    <t>9-Apr-1910</t>
  </si>
  <si>
    <t>14-May-1910</t>
  </si>
  <si>
    <t>22-May-1910</t>
  </si>
  <si>
    <t>23-Jul-1910</t>
  </si>
  <si>
    <t>1-Aug-1910</t>
  </si>
  <si>
    <t>13-Aug-1910</t>
  </si>
  <si>
    <t>21-Aug-1910</t>
  </si>
  <si>
    <t>15-Oct-1910</t>
  </si>
  <si>
    <t>24-Oct-1910</t>
  </si>
  <si>
    <t>12-Nov-1910</t>
  </si>
  <si>
    <t>21-Nov-1910</t>
  </si>
  <si>
    <t>10-Dec-1910</t>
  </si>
  <si>
    <t>19-Dec-1910</t>
  </si>
  <si>
    <t>28-Jan-1911</t>
  </si>
  <si>
    <t>6-Feb-1911</t>
  </si>
  <si>
    <t>11-Mar-1911</t>
  </si>
  <si>
    <t>20-Mar-1911</t>
  </si>
  <si>
    <t>8-Apr-1911</t>
  </si>
  <si>
    <t>17-Apr-1911</t>
  </si>
  <si>
    <t>6-May-1911</t>
  </si>
  <si>
    <t>15-May-1911</t>
  </si>
  <si>
    <t>Abstractors:</t>
  </si>
  <si>
    <t>Mark B. Arslan</t>
  </si>
  <si>
    <t>JAA</t>
  </si>
  <si>
    <t>Janet Achoukian Andreopoulos</t>
  </si>
  <si>
    <t>24-Jun-1911</t>
  </si>
  <si>
    <t>2-Jul-1911</t>
  </si>
  <si>
    <t>16-Jul-1911</t>
  </si>
  <si>
    <t>24-Jul-1911</t>
  </si>
  <si>
    <t>2-Dec-1911</t>
  </si>
  <si>
    <t>10-Dec-1911</t>
  </si>
  <si>
    <t>30-Dec-1911</t>
  </si>
  <si>
    <t>7-Jan-1912</t>
  </si>
  <si>
    <t>27-Jan-1912</t>
  </si>
  <si>
    <t>5-Feb-1912</t>
  </si>
  <si>
    <t>17-Feb-1912</t>
  </si>
  <si>
    <t>25-Feb-1912</t>
  </si>
  <si>
    <t>23-Mar-1912</t>
  </si>
  <si>
    <t>2-Apr-1912</t>
  </si>
  <si>
    <t>20-Apr-1912</t>
  </si>
  <si>
    <t>29-Apr-1912</t>
  </si>
  <si>
    <t>14-May-1912</t>
  </si>
  <si>
    <t>23-May-1912</t>
  </si>
  <si>
    <t>17-Aug-1912</t>
  </si>
  <si>
    <t>27-Aug-1912</t>
  </si>
  <si>
    <t>14-Sep-1912</t>
  </si>
  <si>
    <t>24-Sep-1912</t>
  </si>
  <si>
    <t>Atlanta</t>
  </si>
  <si>
    <t>Patras</t>
  </si>
  <si>
    <t>4-Jul-1910</t>
  </si>
  <si>
    <t>22-Jul-1910</t>
  </si>
  <si>
    <t>Trips</t>
  </si>
  <si>
    <t>12-Oct-1912</t>
  </si>
  <si>
    <t>21-Oct-1912</t>
  </si>
  <si>
    <t>16-Nov-1912</t>
  </si>
  <si>
    <t>25-Nov-1912</t>
  </si>
  <si>
    <t>31-Dec-1912</t>
  </si>
  <si>
    <t>21-Dec-1912</t>
  </si>
  <si>
    <t>5-Sep-1910</t>
  </si>
  <si>
    <t>24-Sep-1910</t>
  </si>
  <si>
    <t>3-Feb-1913</t>
  </si>
  <si>
    <t>25-Jan-1913</t>
  </si>
  <si>
    <t>1-Mar-1913</t>
  </si>
  <si>
    <t>11-Mar-1913</t>
  </si>
  <si>
    <t>2-Apr-1913</t>
  </si>
  <si>
    <t>23-Mar-1913</t>
  </si>
  <si>
    <t>19-Apr-1913</t>
  </si>
  <si>
    <t>29-Apr-1913</t>
  </si>
  <si>
    <t>17-Jun-1913</t>
  </si>
  <si>
    <t>only Record of Detained Aliens &amp; Record of Aliens Held for Special Inquiry forms extant</t>
  </si>
  <si>
    <t>4-Sep-1913</t>
  </si>
  <si>
    <t>26-Aug-1913</t>
  </si>
  <si>
    <t>20-Sep-1913</t>
  </si>
  <si>
    <t>29-Sep-1913</t>
  </si>
  <si>
    <t>18-Oct-1913</t>
  </si>
  <si>
    <t>28-Oct-1913</t>
  </si>
  <si>
    <t>30-Jan-1911</t>
  </si>
  <si>
    <t>13-Feb-1911</t>
  </si>
  <si>
    <t>15-Mar-1914</t>
  </si>
  <si>
    <t>29-Mar-1914</t>
  </si>
  <si>
    <t>11-Jul-1914</t>
  </si>
  <si>
    <t>20-Jul-1914</t>
  </si>
  <si>
    <t>4-Sep-1914</t>
  </si>
  <si>
    <t>13-Sep-1914</t>
  </si>
  <si>
    <t>10-Oct-1914</t>
  </si>
  <si>
    <t>19-Oct-1914</t>
  </si>
  <si>
    <t>7-Nov-1914</t>
  </si>
  <si>
    <t>17-Nov-1914</t>
  </si>
  <si>
    <t>8-Dec-1914</t>
  </si>
  <si>
    <t>18-Dec-1914</t>
  </si>
  <si>
    <t>10-Jan-1915</t>
  </si>
  <si>
    <t>19-Jan-1915</t>
  </si>
  <si>
    <t>14-Feb-1915</t>
  </si>
  <si>
    <t>23-Feb-1915</t>
  </si>
  <si>
    <t>13-Mar-1915</t>
  </si>
  <si>
    <t>22-Mar-1915</t>
  </si>
  <si>
    <t>13-Apr-1915</t>
  </si>
  <si>
    <t>24-Apr-1915</t>
  </si>
  <si>
    <t>Bordeaux</t>
  </si>
  <si>
    <t>10-Jul-1915</t>
  </si>
  <si>
    <t>20-Jul-1915</t>
  </si>
  <si>
    <t>8-Aug-1915</t>
  </si>
  <si>
    <t>18-Aug-1915</t>
  </si>
  <si>
    <t>12-Sep-1915</t>
  </si>
  <si>
    <t>22-Sep-1915</t>
  </si>
  <si>
    <t>11-Oct-1915</t>
  </si>
  <si>
    <t>23-Oct-1915</t>
  </si>
  <si>
    <t>14-Nov-1915</t>
  </si>
  <si>
    <t>26-Nov-1915</t>
  </si>
  <si>
    <t>6-Jan-1916</t>
  </si>
  <si>
    <t>10-Feb-1916</t>
  </si>
  <si>
    <t>5-Mar-1916</t>
  </si>
  <si>
    <t>29-Jan-1916</t>
  </si>
  <si>
    <t>16-Mar-1916</t>
  </si>
  <si>
    <t>29-Apr-1916</t>
  </si>
  <si>
    <t>9-May-1916</t>
  </si>
  <si>
    <t>3-Jun-1916</t>
  </si>
  <si>
    <t>13-Jun-1916</t>
  </si>
  <si>
    <t>1-Jul-1916</t>
  </si>
  <si>
    <t>12-Jul-1916</t>
  </si>
  <si>
    <t>5-Aug-1916</t>
  </si>
  <si>
    <t>15-Aug-1916</t>
  </si>
  <si>
    <t>3-Sep-1916</t>
  </si>
  <si>
    <t>14-Sep-1916</t>
  </si>
  <si>
    <t>11-Nov-1916</t>
  </si>
  <si>
    <t>21-Nov-1916</t>
  </si>
  <si>
    <t>11-Dec-1916</t>
  </si>
  <si>
    <t>23-Dec-1916</t>
  </si>
  <si>
    <t>14-Jan-1917</t>
  </si>
  <si>
    <t>26-Jan-1917</t>
  </si>
  <si>
    <t>3-Mar-1917</t>
  </si>
  <si>
    <t>10-Apr-1917</t>
  </si>
  <si>
    <t>21-Apr-1917</t>
  </si>
  <si>
    <t>13-May-1917</t>
  </si>
  <si>
    <t>24-May-1917</t>
  </si>
  <si>
    <t>23-Jul-1917</t>
  </si>
  <si>
    <t>2-Aug-1917</t>
  </si>
  <si>
    <t>29-Aug-1917</t>
  </si>
  <si>
    <t>9-Sep-1917</t>
  </si>
  <si>
    <t>15-Oct-1917</t>
  </si>
  <si>
    <t>25-Oct-1917</t>
  </si>
  <si>
    <t>3-Dec-1917</t>
  </si>
  <si>
    <t>14-Dec-1917</t>
  </si>
  <si>
    <t>19-Jan-1918</t>
  </si>
  <si>
    <t>2-Feb-1918</t>
  </si>
  <si>
    <t>26-Feb-1918</t>
  </si>
  <si>
    <t>9-Mar-1918</t>
  </si>
  <si>
    <t>8-Feb-1919</t>
  </si>
  <si>
    <t>19-Feb-1919</t>
  </si>
  <si>
    <t>18-Mar-1919</t>
  </si>
  <si>
    <t>28-Mar-1919</t>
  </si>
  <si>
    <t>16-Apr-1919</t>
  </si>
  <si>
    <t>25-Apr-1919</t>
  </si>
  <si>
    <t>17-May-1919</t>
  </si>
  <si>
    <t>26-May-1919</t>
  </si>
  <si>
    <t>14-Jun-1919</t>
  </si>
  <si>
    <t>23-Jun-1919</t>
  </si>
  <si>
    <t>15-Jul-1919</t>
  </si>
  <si>
    <t>24-Jul-1919</t>
  </si>
  <si>
    <t>12-Aug-1919</t>
  </si>
  <si>
    <t>21-Aug-1919</t>
  </si>
  <si>
    <t>6-Sep-1919</t>
  </si>
  <si>
    <t>15-Sep-1919</t>
  </si>
  <si>
    <t>11-Oct-1919</t>
  </si>
  <si>
    <t>20-Oct-1919</t>
  </si>
  <si>
    <t>22-Nov-1919</t>
  </si>
  <si>
    <t>1-Dec-1919</t>
  </si>
  <si>
    <t>27-Dec-1919</t>
  </si>
  <si>
    <t>6-Jan-1920</t>
  </si>
  <si>
    <t>27-Jan-1920</t>
  </si>
  <si>
    <t>7-Feb-1920</t>
  </si>
  <si>
    <t>24-Feb-1920</t>
  </si>
  <si>
    <t>5-Mar-1920</t>
  </si>
  <si>
    <t>19-Apr-1920</t>
  </si>
  <si>
    <t>10-Apr-1920</t>
  </si>
  <si>
    <t>29-May-1920</t>
  </si>
  <si>
    <t>8-Jun-1920</t>
  </si>
  <si>
    <t>30-Jun-1920</t>
  </si>
  <si>
    <t>9-Jul-1920</t>
  </si>
  <si>
    <t>21-Sep-1920</t>
  </si>
  <si>
    <t>13-Sep-1920</t>
  </si>
  <si>
    <t>12-Oct-1920</t>
  </si>
  <si>
    <t>22-Oct-1920</t>
  </si>
  <si>
    <t>9-Nov-1920</t>
  </si>
  <si>
    <t>20-Nov-1920</t>
  </si>
  <si>
    <t>7-Dec-1920</t>
  </si>
  <si>
    <t>17-Dec-1920</t>
  </si>
  <si>
    <t>25-Mar-1909</t>
  </si>
  <si>
    <t>28-Feb-1909</t>
  </si>
  <si>
    <t>10-Jul-1909</t>
  </si>
  <si>
    <t>22-Jun-1909</t>
  </si>
  <si>
    <t>6-Apr-1912</t>
  </si>
  <si>
    <t>14-Mar-1912</t>
  </si>
  <si>
    <t>17-Nov-1906</t>
  </si>
  <si>
    <t>24-Nov-1906</t>
  </si>
  <si>
    <t>La Provence</t>
  </si>
  <si>
    <t>4-Jan-1921</t>
  </si>
  <si>
    <t>15-Jan-1921</t>
  </si>
  <si>
    <t>26-Feb-1921</t>
  </si>
  <si>
    <t>7-Mar-1921</t>
  </si>
  <si>
    <t>23-Apr-1921</t>
  </si>
  <si>
    <t>3-May-1921</t>
  </si>
  <si>
    <t>25-May-1921</t>
  </si>
  <si>
    <t>4-Jun-1921</t>
  </si>
  <si>
    <t>9-Jul-1921</t>
  </si>
  <si>
    <t>18-Jul-1921</t>
  </si>
  <si>
    <t>3-Sep-1921</t>
  </si>
  <si>
    <t>12-Sep-1921</t>
  </si>
  <si>
    <t>19-Nov-1921</t>
  </si>
  <si>
    <t>29-Nov-1921</t>
  </si>
  <si>
    <t>24-Dec-1921</t>
  </si>
  <si>
    <t>3-Jan-1922</t>
  </si>
  <si>
    <t>21-Jan-1922</t>
  </si>
  <si>
    <t>31-Jan-1922</t>
  </si>
  <si>
    <t>8-Apr-1922</t>
  </si>
  <si>
    <t>17-Apr-1922</t>
  </si>
  <si>
    <t>9-May-1922</t>
  </si>
  <si>
    <t>18-May-1922</t>
  </si>
  <si>
    <t>13-Jun-1922</t>
  </si>
  <si>
    <t>22-Jun-1922</t>
  </si>
  <si>
    <t>22-Aug-1922</t>
  </si>
  <si>
    <t>1-Sep-1922</t>
  </si>
  <si>
    <t>26-Sep-1922</t>
  </si>
  <si>
    <t>5-Oct-1922</t>
  </si>
  <si>
    <t>21-Apr-1906</t>
  </si>
  <si>
    <t>27-Apr-1906</t>
  </si>
  <si>
    <t>19-May-1906</t>
  </si>
  <si>
    <t>25-May-1906</t>
  </si>
  <si>
    <t>16-Jun-1906</t>
  </si>
  <si>
    <t>22-Jun-1906</t>
  </si>
  <si>
    <t>14-Jul-1906</t>
  </si>
  <si>
    <t>21-Jul-1906</t>
  </si>
  <si>
    <t>25-Aug-1906</t>
  </si>
  <si>
    <t>1-Sep-1906</t>
  </si>
  <si>
    <t>22-Sep-1906</t>
  </si>
  <si>
    <t>29-Sep-1906</t>
  </si>
  <si>
    <t>20-Oct-1906</t>
  </si>
  <si>
    <t>27-Oct-1906</t>
  </si>
  <si>
    <t>Empress of France</t>
  </si>
  <si>
    <t>Liverpool</t>
  </si>
  <si>
    <t>15-Dec-1920</t>
  </si>
  <si>
    <t>23-Dec-1920</t>
  </si>
  <si>
    <t>19-Jul-1913</t>
  </si>
  <si>
    <t>26-Jul-1913</t>
  </si>
  <si>
    <t>Amsterdam</t>
  </si>
  <si>
    <t>Boulogne</t>
  </si>
  <si>
    <t>22-Feb-1903</t>
  </si>
  <si>
    <t>9-Mar-1903</t>
  </si>
  <si>
    <t>17-Jan-1901</t>
  </si>
  <si>
    <t>30-Jan-1901</t>
  </si>
  <si>
    <t>26-Jan-1892</t>
  </si>
  <si>
    <t>5-Mar-1892</t>
  </si>
  <si>
    <t>18-Apr-1892</t>
  </si>
  <si>
    <t>31-May-1892</t>
  </si>
  <si>
    <t>9-Jul-1892</t>
  </si>
  <si>
    <t>22-Aug-1892</t>
  </si>
  <si>
    <t>3-Oct-1892</t>
  </si>
  <si>
    <t>16-Nov-1892</t>
  </si>
  <si>
    <t>29-Apr-1893</t>
  </si>
  <si>
    <t>12-Jun-1893</t>
  </si>
  <si>
    <t>18-Jul-1893</t>
  </si>
  <si>
    <t>21-Aug-1893</t>
  </si>
  <si>
    <t>25-Sep-1893</t>
  </si>
  <si>
    <t>30-Oct-1893</t>
  </si>
  <si>
    <t>12-Dec-1893</t>
  </si>
  <si>
    <t>17-Jan-1894</t>
  </si>
  <si>
    <t>26-Feb-1894</t>
  </si>
  <si>
    <t>3-Apr-1894</t>
  </si>
  <si>
    <t>7-May-1894</t>
  </si>
  <si>
    <t>11-Jun-1894</t>
  </si>
  <si>
    <t>16-Jul-1894</t>
  </si>
  <si>
    <t>20-Aug-1894</t>
  </si>
  <si>
    <t>24-Sep-1894</t>
  </si>
  <si>
    <t>7-Nov-1894</t>
  </si>
  <si>
    <t>11-Dec-1894</t>
  </si>
  <si>
    <t>25-Jan-1895</t>
  </si>
  <si>
    <t>13-Mar-1895</t>
  </si>
  <si>
    <t>22-Apr-1895</t>
  </si>
  <si>
    <t>27-May-1895</t>
  </si>
  <si>
    <t>1-Jul-1895</t>
  </si>
  <si>
    <t>5-Aug-1895</t>
  </si>
  <si>
    <t>9-Sep-1895</t>
  </si>
  <si>
    <t>17-Oct-1895</t>
  </si>
  <si>
    <t>20-Nov-1895</t>
  </si>
  <si>
    <t>24-Dec-1895</t>
  </si>
  <si>
    <t>5-Feb-1896</t>
  </si>
  <si>
    <t>10-Mar-1896</t>
  </si>
  <si>
    <t>14-Apr-1896</t>
  </si>
  <si>
    <t>18-May-1896</t>
  </si>
  <si>
    <t>23-Jun-1896</t>
  </si>
  <si>
    <t>27-Jul-1896</t>
  </si>
  <si>
    <t>31-Aug-1896</t>
  </si>
  <si>
    <t>7-Oct-1896</t>
  </si>
  <si>
    <t>1-Dec-1896</t>
  </si>
  <si>
    <t>12-Jan-1897</t>
  </si>
  <si>
    <t>3-Mar-1897</t>
  </si>
  <si>
    <t>7-Apr-1897</t>
  </si>
  <si>
    <t>10-May-1897</t>
  </si>
  <si>
    <t>20-Jun-1897</t>
  </si>
  <si>
    <t>25-Jul-1897</t>
  </si>
  <si>
    <t>1-Sep-1897</t>
  </si>
  <si>
    <t>7-Oct-1897</t>
  </si>
  <si>
    <t>19-Nov-1897</t>
  </si>
  <si>
    <t>23-Dec-1897</t>
  </si>
  <si>
    <t>9-Jun-1897</t>
  </si>
  <si>
    <t>8-Dec-1897</t>
  </si>
  <si>
    <t>9-Jan-1898</t>
  </si>
  <si>
    <t>22-Jan-1898</t>
  </si>
  <si>
    <t>23-Feb-1898</t>
  </si>
  <si>
    <t>20-Apr-1898</t>
  </si>
  <si>
    <t>24-May-1898</t>
  </si>
  <si>
    <t>28-Jun-1898</t>
  </si>
  <si>
    <t>1-Aug-1898</t>
  </si>
  <si>
    <t>8-Sep-1898</t>
  </si>
  <si>
    <t>20-Oct-1898</t>
  </si>
  <si>
    <t>13-Dec-1898</t>
  </si>
  <si>
    <t>11-Feb-1898</t>
  </si>
  <si>
    <t>8-Apr-1898</t>
  </si>
  <si>
    <t>12-May-1898</t>
  </si>
  <si>
    <t>16-Jun-1898</t>
  </si>
  <si>
    <t>27-Aug-1898</t>
  </si>
  <si>
    <t>30-Nov-1898</t>
  </si>
  <si>
    <t>6-Jan-1899</t>
  </si>
  <si>
    <t>18-Jan-1899</t>
  </si>
  <si>
    <t>23-Feb-1899</t>
  </si>
  <si>
    <t>5-Apr-1899</t>
  </si>
  <si>
    <t>10-May-1899</t>
  </si>
  <si>
    <t>12-Jun-1899</t>
  </si>
  <si>
    <t>18-Jul-1899</t>
  </si>
  <si>
    <t>22-Aug-1899</t>
  </si>
  <si>
    <t>3-Oct-1899</t>
  </si>
  <si>
    <t>9-Nov-1899</t>
  </si>
  <si>
    <t>12-Dec-1899</t>
  </si>
  <si>
    <t>9-Feb-1899</t>
  </si>
  <si>
    <t>23-Mar-1899</t>
  </si>
  <si>
    <t>28-Apr-1899</t>
  </si>
  <si>
    <t>1-Jun-1899</t>
  </si>
  <si>
    <t>6-Jul-1899</t>
  </si>
  <si>
    <t>10-Aug-1899</t>
  </si>
  <si>
    <t>21-Sep-1899</t>
  </si>
  <si>
    <t>26-Oct-1899</t>
  </si>
  <si>
    <t>30-Nov-1899</t>
  </si>
  <si>
    <t>17-Jan-1900</t>
  </si>
  <si>
    <t>18-Apr-1900</t>
  </si>
  <si>
    <t>22-May-1900</t>
  </si>
  <si>
    <t>7-Aug-1900</t>
  </si>
  <si>
    <t>11-Sep-1900</t>
  </si>
  <si>
    <t>16-Oct-1900</t>
  </si>
  <si>
    <t>22-Nov-1900</t>
  </si>
  <si>
    <t>26-Dec1900</t>
  </si>
  <si>
    <t>4-Jan-1900</t>
  </si>
  <si>
    <t>5-Apr-1900</t>
  </si>
  <si>
    <t>10-May-1900</t>
  </si>
  <si>
    <t>27-Jul-1900</t>
  </si>
  <si>
    <t>31-Aug-1900</t>
  </si>
  <si>
    <t>4-Oct-1900</t>
  </si>
  <si>
    <t>9-Nov-1900</t>
  </si>
  <si>
    <t>13-Dec-1900</t>
  </si>
  <si>
    <t>26-Mar-1892</t>
  </si>
  <si>
    <t>25-Apr-1892</t>
  </si>
  <si>
    <t>23-May-1892</t>
  </si>
  <si>
    <t>18-Jun-1892</t>
  </si>
  <si>
    <t>30-Jul-1892</t>
  </si>
  <si>
    <t>27-Aug-1892</t>
  </si>
  <si>
    <t>27-Sep-1892</t>
  </si>
  <si>
    <t>24-Oct-1892</t>
  </si>
  <si>
    <t>Cherbourg</t>
  </si>
  <si>
    <t>27-Mar-1893</t>
  </si>
  <si>
    <t>20-May-1893</t>
  </si>
  <si>
    <t>17-Jun-1893</t>
  </si>
  <si>
    <t>17-Jul-1893</t>
  </si>
  <si>
    <t>19-Aug-1893</t>
  </si>
  <si>
    <t>16-Sep-1893</t>
  </si>
  <si>
    <t>14-Oct-1893</t>
  </si>
  <si>
    <t>11-Nov-1893</t>
  </si>
  <si>
    <t>26-Mar-1894</t>
  </si>
  <si>
    <t>23-Apr-1894</t>
  </si>
  <si>
    <t>21-May-1894</t>
  </si>
  <si>
    <t>16-Jun-1894</t>
  </si>
  <si>
    <t>14-Jul-1894</t>
  </si>
  <si>
    <t>18-Aug-1894</t>
  </si>
  <si>
    <t>22-Sep-1894</t>
  </si>
  <si>
    <t>20-Oct-1894</t>
  </si>
  <si>
    <t>19-Nov-1894</t>
  </si>
  <si>
    <t>31-Jan-1895</t>
  </si>
  <si>
    <t>9-Apr-1895</t>
  </si>
  <si>
    <t>11-May-1895</t>
  </si>
  <si>
    <t>10-Jun-1895</t>
  </si>
  <si>
    <t>8-Jul-1895</t>
  </si>
  <si>
    <t>7-Sep-1895</t>
  </si>
  <si>
    <t>Algiers</t>
  </si>
  <si>
    <t>La Bretagne</t>
  </si>
  <si>
    <t>La Touraine to New York completely searched from 1892 to 1922</t>
  </si>
  <si>
    <t>Amsterdam to New York completely searched from 1892 to 1900</t>
  </si>
  <si>
    <t>14-Dec-1907</t>
  </si>
  <si>
    <t>24-Dec-1907</t>
  </si>
  <si>
    <t>25-Jan-1892</t>
  </si>
  <si>
    <t>22-Feb-1892</t>
  </si>
  <si>
    <t>21-Mar-1892</t>
  </si>
  <si>
    <t>13-Jun-1892</t>
  </si>
  <si>
    <t>11-Jul-1892</t>
  </si>
  <si>
    <t>20-Sep-1892</t>
  </si>
  <si>
    <t>8-Nov-1892</t>
  </si>
  <si>
    <t>7-Dec-1892</t>
  </si>
  <si>
    <t>6-Feb-1893</t>
  </si>
  <si>
    <t>6-Mar-1893</t>
  </si>
  <si>
    <t>3-Apr-1893</t>
  </si>
  <si>
    <t>1-May-1893</t>
  </si>
  <si>
    <t>29-May-1893</t>
  </si>
  <si>
    <t>26-Jun-1893</t>
  </si>
  <si>
    <t>24-Jul-1893</t>
  </si>
  <si>
    <t>2-Oct-1893</t>
  </si>
  <si>
    <t>27-Nov-1893</t>
  </si>
  <si>
    <t>26-Dec-1893</t>
  </si>
  <si>
    <t>not on Ancestry.com</t>
  </si>
  <si>
    <t>22-Jan-1894</t>
  </si>
  <si>
    <t>19-Feb-1894</t>
  </si>
  <si>
    <t>17-Mar-1894</t>
  </si>
  <si>
    <t>16-Apr-1894</t>
  </si>
  <si>
    <t>21-Oct-1905</t>
  </si>
  <si>
    <t>18-Nov-1905</t>
  </si>
  <si>
    <t>16-Dec-1905</t>
  </si>
  <si>
    <t>11-Mar-1906</t>
  </si>
  <si>
    <t>6-May-1906</t>
  </si>
  <si>
    <t>3-Jun-1906</t>
  </si>
  <si>
    <t>28-Jul-1906</t>
  </si>
  <si>
    <t>5-Oct-1906</t>
  </si>
  <si>
    <t>5-Nov-1906</t>
  </si>
  <si>
    <t>2-Dec-1906</t>
  </si>
  <si>
    <t>3-Mar-1906</t>
  </si>
  <si>
    <t>31-Mar-1906</t>
  </si>
  <si>
    <t>28-Apr-1906</t>
  </si>
  <si>
    <t>26-May-1906</t>
  </si>
  <si>
    <t>23-Jun-1906</t>
  </si>
  <si>
    <t>31-Mar-1907</t>
  </si>
  <si>
    <t>26-May-1907</t>
  </si>
  <si>
    <t>16-Dec-1907</t>
  </si>
  <si>
    <t>19-Jan-1907</t>
  </si>
  <si>
    <t>badly torn, much unreadable</t>
  </si>
  <si>
    <t>8-Jun-1907</t>
  </si>
  <si>
    <t>16-Jun-1907</t>
  </si>
  <si>
    <t>27-Jul-1907</t>
  </si>
  <si>
    <t>9-Nov-1907</t>
  </si>
  <si>
    <t>7-Dec-1907</t>
  </si>
  <si>
    <t>4-Jan-1908</t>
  </si>
  <si>
    <t>1-Feb-1908</t>
  </si>
  <si>
    <t>27-Dec-1908</t>
  </si>
  <si>
    <t>20-Jun-1908</t>
  </si>
  <si>
    <t>8-Aug-1908</t>
  </si>
  <si>
    <t>19-Dec-1908</t>
  </si>
  <si>
    <t>25-Jan-1909</t>
  </si>
  <si>
    <t>4-Apr-1909</t>
  </si>
  <si>
    <t>2-May-1909</t>
  </si>
  <si>
    <t>12-Dec-1909</t>
  </si>
  <si>
    <t>27-Mar-1909</t>
  </si>
  <si>
    <t>12-Jun-1909</t>
  </si>
  <si>
    <t>17-Jul-1909</t>
  </si>
  <si>
    <t>14-Aug-1909</t>
  </si>
  <si>
    <t>4-Dec-1909</t>
  </si>
  <si>
    <t>Britannia</t>
  </si>
  <si>
    <t>11-Jan-1921</t>
  </si>
  <si>
    <t>27-Jan-1921</t>
  </si>
  <si>
    <t>17-Jan-1910</t>
  </si>
  <si>
    <t>7-Mar-1910</t>
  </si>
  <si>
    <t>29-Apr-1910</t>
  </si>
  <si>
    <t>17-Jun-1910</t>
  </si>
  <si>
    <t>18-Sep-1910</t>
  </si>
  <si>
    <t>11-Dec-1910</t>
  </si>
  <si>
    <t>8-Jan-1910</t>
  </si>
  <si>
    <t>26-Feb-1910</t>
  </si>
  <si>
    <t>23-Apr-1910</t>
  </si>
  <si>
    <t>21-May-1910</t>
  </si>
  <si>
    <t>11-Sep-1910</t>
  </si>
  <si>
    <t>24-Dec-1910</t>
  </si>
  <si>
    <t>5-Mar-1911</t>
  </si>
  <si>
    <t>30-Apr-1911</t>
  </si>
  <si>
    <t>15-Jul-1911</t>
  </si>
  <si>
    <t>8-Oct-1911</t>
  </si>
  <si>
    <t>5-Nov-1911</t>
  </si>
  <si>
    <t>3-Dec-1911</t>
  </si>
  <si>
    <t>25-Feb-1911</t>
  </si>
  <si>
    <t>20-May-1911</t>
  </si>
  <si>
    <t>2-Jan-1912</t>
  </si>
  <si>
    <t>28-Jan-1912</t>
  </si>
  <si>
    <t>12-Aug-1912</t>
  </si>
  <si>
    <t>3-Sep-1912</t>
  </si>
  <si>
    <t>10-Nov-1912</t>
  </si>
  <si>
    <t>9-Dec-1912</t>
  </si>
  <si>
    <t>25-Aug-1912</t>
  </si>
  <si>
    <t>2-Nov-1910</t>
  </si>
  <si>
    <t>10-Feb-1913</t>
  </si>
  <si>
    <t>3-Mar-1913</t>
  </si>
  <si>
    <t>6-Apr-1913</t>
  </si>
  <si>
    <t>4-May-1913</t>
  </si>
  <si>
    <t>25-May-1913</t>
  </si>
  <si>
    <t>13-Jul-1913</t>
  </si>
  <si>
    <t>3-Aug-1913</t>
  </si>
  <si>
    <t>24-Aug-1913</t>
  </si>
  <si>
    <t>5-Oct-1913</t>
  </si>
  <si>
    <t>21-Dec-1913</t>
  </si>
  <si>
    <t>11-Jan-1913</t>
  </si>
  <si>
    <t>20-Jan-1913</t>
  </si>
  <si>
    <t>29-Mar-1913</t>
  </si>
  <si>
    <t>26-Apr-1913</t>
  </si>
  <si>
    <t>27-Sep-1913</t>
  </si>
  <si>
    <t>25-Oct-1913</t>
  </si>
  <si>
    <t>22-Nov-1913</t>
  </si>
  <si>
    <t>24-Feb-1914</t>
  </si>
  <si>
    <t>13-Apr-1914</t>
  </si>
  <si>
    <t>31-May-1914</t>
  </si>
  <si>
    <t>5-Jul-1914</t>
  </si>
  <si>
    <t>2-Aug-1914</t>
  </si>
  <si>
    <t>3-Jan-1914</t>
  </si>
  <si>
    <t>7-Mar-1914</t>
  </si>
  <si>
    <t>4-Apr-1914</t>
  </si>
  <si>
    <t>2-May-1914</t>
  </si>
  <si>
    <t>23-May-1914</t>
  </si>
  <si>
    <t>27-Jun-1914</t>
  </si>
  <si>
    <t>7-May-1918</t>
  </si>
  <si>
    <t>9-Jun-1918</t>
  </si>
  <si>
    <t>10-Jul-1918</t>
  </si>
  <si>
    <t>17-Aug-1918</t>
  </si>
  <si>
    <t>19-Sep-1918</t>
  </si>
  <si>
    <t>3-Nov-1918</t>
  </si>
  <si>
    <t>16-Dec-1918</t>
  </si>
  <si>
    <t>28-Apr-1918</t>
  </si>
  <si>
    <t>30-May-1918</t>
  </si>
  <si>
    <t>29-Jun-1918</t>
  </si>
  <si>
    <t>8-Aug-1918</t>
  </si>
  <si>
    <t>8-Sep-1918</t>
  </si>
  <si>
    <t>24-Oct-1918</t>
  </si>
  <si>
    <t>3-Dec-1918</t>
  </si>
  <si>
    <t>28-Jan-1919</t>
  </si>
  <si>
    <t>3-Mar-1919</t>
  </si>
  <si>
    <t>31-Mar-1919</t>
  </si>
  <si>
    <t>28-Apr-1919</t>
  </si>
  <si>
    <t>1-Jun-1919</t>
  </si>
  <si>
    <t>30-Jun-1919</t>
  </si>
  <si>
    <t>28-Jul-1919</t>
  </si>
  <si>
    <t>25-Aug-1919</t>
  </si>
  <si>
    <t>22-Sep-1919</t>
  </si>
  <si>
    <t>27-Oct-1919</t>
  </si>
  <si>
    <t>5-Dec-1919</t>
  </si>
  <si>
    <t>19-Jan-1919</t>
  </si>
  <si>
    <t>22-Feb-1919</t>
  </si>
  <si>
    <t>22-Mar-1919</t>
  </si>
  <si>
    <t>19-Apr-1919</t>
  </si>
  <si>
    <t>24-May-1919</t>
  </si>
  <si>
    <t>22-Jun-1919</t>
  </si>
  <si>
    <t>20-Jul-1919</t>
  </si>
  <si>
    <t>16-Aug-1919</t>
  </si>
  <si>
    <t>13-Sep-1919</t>
  </si>
  <si>
    <t>26-Nov-1919</t>
  </si>
  <si>
    <t>8-Jan-1920</t>
  </si>
  <si>
    <t>19-Jan-1920</t>
  </si>
  <si>
    <t>30-Mar-1920</t>
  </si>
  <si>
    <t>25-Apr-1920</t>
  </si>
  <si>
    <t>31-May-1920</t>
  </si>
  <si>
    <t>5-Jul-1920</t>
  </si>
  <si>
    <t>16-Aug-1920</t>
  </si>
  <si>
    <t>11-Oct-1920</t>
  </si>
  <si>
    <t>8-Nov-1920</t>
  </si>
  <si>
    <t>20-Mar-1920</t>
  </si>
  <si>
    <t>17-Apr-1920</t>
  </si>
  <si>
    <t>22-May-1920</t>
  </si>
  <si>
    <t>26-Jun-1920</t>
  </si>
  <si>
    <t>7-Aug-1920</t>
  </si>
  <si>
    <t>4-Sep-1920</t>
  </si>
  <si>
    <t>2-Oct-1920</t>
  </si>
  <si>
    <t>30-Oct-1920</t>
  </si>
  <si>
    <t>28-Nov-1920</t>
  </si>
  <si>
    <t>28-Mar-1921</t>
  </si>
  <si>
    <t>25-Apr-1921</t>
  </si>
  <si>
    <t>25-Dec-1920</t>
  </si>
  <si>
    <t>31-Jan-1921</t>
  </si>
  <si>
    <t>22-Jan-1921</t>
  </si>
  <si>
    <t>19-Mar-1921</t>
  </si>
  <si>
    <t>16-Apr-1921</t>
  </si>
  <si>
    <t>La Lorraine from Le Havre to New York completely searched from 1900 to 25-Apr-1921</t>
  </si>
  <si>
    <t>1-Apr-1913</t>
  </si>
  <si>
    <t>18-Apr-1913</t>
  </si>
  <si>
    <t>Tenyo Maru</t>
  </si>
  <si>
    <t>Yokohama</t>
  </si>
  <si>
    <t>San Francisco</t>
  </si>
  <si>
    <t>18-May-1919</t>
  </si>
  <si>
    <t>3-Jun-1919</t>
  </si>
  <si>
    <t>A</t>
  </si>
  <si>
    <t>B</t>
  </si>
  <si>
    <t>C</t>
  </si>
  <si>
    <t>Card Type</t>
  </si>
  <si>
    <t>Field</t>
  </si>
  <si>
    <t>Citizenship Status / Country</t>
  </si>
  <si>
    <t>Registrant Name</t>
  </si>
  <si>
    <t>Marital Status</t>
  </si>
  <si>
    <t>Age</t>
  </si>
  <si>
    <t>Birth Date</t>
  </si>
  <si>
    <t>Home Address</t>
  </si>
  <si>
    <t>Birth Place</t>
  </si>
  <si>
    <t>Occupation</t>
  </si>
  <si>
    <t>Dependents</t>
  </si>
  <si>
    <t>Eye Color</t>
  </si>
  <si>
    <t>Hair Color</t>
  </si>
  <si>
    <t>Height</t>
  </si>
  <si>
    <t>Build</t>
  </si>
  <si>
    <t>Nearest Relative Name (Relationship)</t>
  </si>
  <si>
    <t>Employer (Location)</t>
  </si>
  <si>
    <t>Nearest Relative Address</t>
  </si>
  <si>
    <t>Comments</t>
  </si>
  <si>
    <t>Registration Date (Default)</t>
  </si>
  <si>
    <t>WW1 Draft Registration</t>
  </si>
  <si>
    <t>Fields by Card Type</t>
  </si>
  <si>
    <t>Olympic</t>
  </si>
  <si>
    <t>19-Jul-1911</t>
  </si>
  <si>
    <t>16-Aug-1911</t>
  </si>
  <si>
    <t>6-Sep-1911</t>
  </si>
  <si>
    <t>7-Dec-1911</t>
  </si>
  <si>
    <t>21-Jun-1911</t>
  </si>
  <si>
    <t>14-Jun-1911</t>
  </si>
  <si>
    <t>12-Jul-1911</t>
  </si>
  <si>
    <t>9-Aug-1911</t>
  </si>
  <si>
    <t>30-Aug-1911</t>
  </si>
  <si>
    <t>18-Nov-1893</t>
  </si>
  <si>
    <t>17-Nov-1894</t>
  </si>
  <si>
    <t>8-Jun-1895</t>
  </si>
  <si>
    <t>30-Nov-1895</t>
  </si>
  <si>
    <t>23-May-1896</t>
  </si>
  <si>
    <t>13-Jun-1896</t>
  </si>
  <si>
    <t>26-Dec-1896</t>
  </si>
  <si>
    <t>31-Aug-1897</t>
  </si>
  <si>
    <t>7-Sep-1897</t>
  </si>
  <si>
    <t>17-May-1899</t>
  </si>
  <si>
    <t>10-Nov-1900</t>
  </si>
  <si>
    <t>18-Nov-1900</t>
  </si>
  <si>
    <t>16-Feb-1901</t>
  </si>
  <si>
    <t>24-Feb-1901</t>
  </si>
  <si>
    <t>3-May-1903</t>
  </si>
  <si>
    <t>Celtic</t>
  </si>
  <si>
    <t>8-Oct-1908</t>
  </si>
  <si>
    <t>16-Oct-1908</t>
  </si>
  <si>
    <t>29-Nov-1911</t>
  </si>
  <si>
    <t>27-Dec-1911</t>
  </si>
  <si>
    <t>20-Dec-1911</t>
  </si>
  <si>
    <t>14-Feb-1912</t>
  </si>
  <si>
    <t>11-Apr-1912</t>
  </si>
  <si>
    <t>12-Jun-1912</t>
  </si>
  <si>
    <t>24-Jul-1912</t>
  </si>
  <si>
    <t>15-Aug-1912</t>
  </si>
  <si>
    <t>5-Sep-1912</t>
  </si>
  <si>
    <t>26-Sep-1912</t>
  </si>
  <si>
    <t>3-Jul-1912</t>
  </si>
  <si>
    <t>10-Jan-1912</t>
  </si>
  <si>
    <t>7-Feb-1912</t>
  </si>
  <si>
    <t>13-Mar-1912</t>
  </si>
  <si>
    <t>14-Jun-1903</t>
  </si>
  <si>
    <t>25-Oct-1903</t>
  </si>
  <si>
    <t>3-Apr-1912</t>
  </si>
  <si>
    <t>15-May-1912</t>
  </si>
  <si>
    <t>5-Jun-1912</t>
  </si>
  <si>
    <t>26-Jun-1912</t>
  </si>
  <si>
    <t>17-Jul-1912</t>
  </si>
  <si>
    <t>7-Aug-1912</t>
  </si>
  <si>
    <t>29-Aug-1912</t>
  </si>
  <si>
    <t>18-Sep-1912</t>
  </si>
  <si>
    <t>9-Apr-1913</t>
  </si>
  <si>
    <t>21-May-1913</t>
  </si>
  <si>
    <t>12-Jun-1913</t>
  </si>
  <si>
    <t>2-Jul-1913</t>
  </si>
  <si>
    <t>30-Jul-1913</t>
  </si>
  <si>
    <t>20-Aug-1913</t>
  </si>
  <si>
    <t>10-Sep-1913</t>
  </si>
  <si>
    <t>2-Oct-1913</t>
  </si>
  <si>
    <t>22-Oct-1913</t>
  </si>
  <si>
    <t>13-Nov-1913</t>
  </si>
  <si>
    <t>11-Dec-1913</t>
  </si>
  <si>
    <t>23-Apr-1913</t>
  </si>
  <si>
    <t>30-Apr-1913</t>
  </si>
  <si>
    <t>14-May-1913</t>
  </si>
  <si>
    <t>4-Jun-1913</t>
  </si>
  <si>
    <t>25-Jun-1913</t>
  </si>
  <si>
    <t>23-Jul-1913</t>
  </si>
  <si>
    <t>13-Aug-1913</t>
  </si>
  <si>
    <t>3-Sep-1913</t>
  </si>
  <si>
    <t>24-Sep-1913</t>
  </si>
  <si>
    <t>15-Oct-1913</t>
  </si>
  <si>
    <t>5-Nov-1913</t>
  </si>
  <si>
    <t>3-Dec-1913</t>
  </si>
  <si>
    <t>26-Feb-1914</t>
  </si>
  <si>
    <t>26-Mar-1914</t>
  </si>
  <si>
    <t>15-Apr-1914</t>
  </si>
  <si>
    <t>27-May-1914</t>
  </si>
  <si>
    <t>8-Jul-1914</t>
  </si>
  <si>
    <t>5-Aug-1914</t>
  </si>
  <si>
    <t>28-Jul-1920</t>
  </si>
  <si>
    <t>16-Mar-1921</t>
  </si>
  <si>
    <t>11-May-1921</t>
  </si>
  <si>
    <t>2-Jul-1920</t>
  </si>
  <si>
    <t>25-Aug-1920</t>
  </si>
  <si>
    <t>15-Sep-1920</t>
  </si>
  <si>
    <t>6-Oct-1920</t>
  </si>
  <si>
    <t>24-Nov-1920</t>
  </si>
  <si>
    <t>21-Jan-1914</t>
  </si>
  <si>
    <t>18-Feb-1914</t>
  </si>
  <si>
    <t>18-Mar-1914</t>
  </si>
  <si>
    <t>6-May-1914</t>
  </si>
  <si>
    <t>20-May-1914</t>
  </si>
  <si>
    <t>10-Jun-1914</t>
  </si>
  <si>
    <t>17-Jun-1914</t>
  </si>
  <si>
    <t>1-Jul-1914</t>
  </si>
  <si>
    <t>29-Jul-1914</t>
  </si>
  <si>
    <t>Olympic from Cherbourg to New York completely searched from 1911 to 1914</t>
  </si>
  <si>
    <t>25-Jun-1920</t>
  </si>
  <si>
    <t>Cherbourg/Southampton?</t>
  </si>
  <si>
    <t>21-Jul-1920</t>
  </si>
  <si>
    <t>18-Aug-1920</t>
  </si>
  <si>
    <t>8-Sep-1920</t>
  </si>
  <si>
    <t>29-Sep-1920</t>
  </si>
  <si>
    <t>17-Nov-1920</t>
  </si>
  <si>
    <t>22-Dec-1920</t>
  </si>
  <si>
    <t>9-Mar-1921</t>
  </si>
  <si>
    <t>26-Mar-1901</t>
  </si>
  <si>
    <t>23-Apr-1901</t>
  </si>
  <si>
    <t>20-May-1901</t>
  </si>
  <si>
    <t>22-Jul-1901</t>
  </si>
  <si>
    <t>19-Aug-1901</t>
  </si>
  <si>
    <t>4-Nov-1901</t>
  </si>
  <si>
    <t>1-Dec-1901</t>
  </si>
  <si>
    <t>19-Jan-1901</t>
  </si>
  <si>
    <t>28-Jan-1901</t>
  </si>
  <si>
    <t>16-Mar-1901</t>
  </si>
  <si>
    <t>13-Apr-1901</t>
  </si>
  <si>
    <t>11-May-1901</t>
  </si>
  <si>
    <t>13-Jul-1901</t>
  </si>
  <si>
    <t>10-Aug-1901</t>
  </si>
  <si>
    <t>26-Oct-1901</t>
  </si>
  <si>
    <t>23-Nov-1901</t>
  </si>
  <si>
    <t>13-Jan-1902</t>
  </si>
  <si>
    <t>11-Feb-1902</t>
  </si>
  <si>
    <t>17-Mar-1902</t>
  </si>
  <si>
    <t>21-Apr-1902</t>
  </si>
  <si>
    <t>27-May-1902</t>
  </si>
  <si>
    <t>27-Jul-1902</t>
  </si>
  <si>
    <t>24-Aug-1902</t>
  </si>
  <si>
    <t>30-Sep-1902</t>
  </si>
  <si>
    <t>24-Nov-1902</t>
  </si>
  <si>
    <t>4-Jan-1902</t>
  </si>
  <si>
    <t>1-Feb-1902</t>
  </si>
  <si>
    <t>8-Mar-1902</t>
  </si>
  <si>
    <t>12-Apr-1902</t>
  </si>
  <si>
    <t>29-Oct-1902</t>
  </si>
  <si>
    <t>15-Nov-1902</t>
  </si>
  <si>
    <t>28-Apr-1903</t>
  </si>
  <si>
    <t>25-May-1903</t>
  </si>
  <si>
    <t>22-Jun-1903</t>
  </si>
  <si>
    <t>20-Jul-1903</t>
  </si>
  <si>
    <t>14-Sep-1903</t>
  </si>
  <si>
    <t>12-Oct-1903</t>
  </si>
  <si>
    <t>9-Nov-1903</t>
  </si>
  <si>
    <t>18-Apr-1903</t>
  </si>
  <si>
    <t>31-Oct-1903</t>
  </si>
  <si>
    <t>28-Mar-1904</t>
  </si>
  <si>
    <t>3-May-1904</t>
  </si>
  <si>
    <t>13-Jun-1904</t>
  </si>
  <si>
    <t>8-Aug-1904</t>
  </si>
  <si>
    <t>24-Oct-1904</t>
  </si>
  <si>
    <t>21-Nov-1904</t>
  </si>
  <si>
    <t>20-Dec-1904</t>
  </si>
  <si>
    <t>30-Jul-1904</t>
  </si>
  <si>
    <t>10-Dec-1904</t>
  </si>
  <si>
    <t>16-Jan-1905</t>
  </si>
  <si>
    <t>20-Feb-1905</t>
  </si>
  <si>
    <t>22-Mar-1905</t>
  </si>
  <si>
    <t>17-Apr-1905</t>
  </si>
  <si>
    <t>17-May-1905</t>
  </si>
  <si>
    <t>3-Jul-1905</t>
  </si>
  <si>
    <t>6-Aug-1905</t>
  </si>
  <si>
    <t>25-Sep-1905</t>
  </si>
  <si>
    <t>30-Oct-1905</t>
  </si>
  <si>
    <t>5-Dec-1905</t>
  </si>
  <si>
    <t>7-Jan-1905</t>
  </si>
  <si>
    <t>11-Feb-1905</t>
  </si>
  <si>
    <t>12-Mar-1905</t>
  </si>
  <si>
    <t>16-Sep-1905</t>
  </si>
  <si>
    <t>8-Jan-1906</t>
  </si>
  <si>
    <t>5-Feb-1906</t>
  </si>
  <si>
    <t>5-Mar-1906</t>
  </si>
  <si>
    <t>9-Apr-1906</t>
  </si>
  <si>
    <t>7-May-1906</t>
  </si>
  <si>
    <t>26-Jun-1906</t>
  </si>
  <si>
    <t>6-Aug-1906</t>
  </si>
  <si>
    <t>24-Sep-1906</t>
  </si>
  <si>
    <t>22-Oct-1906</t>
  </si>
  <si>
    <t>20-Nov-1906</t>
  </si>
  <si>
    <t>30-Dec-1905</t>
  </si>
  <si>
    <t>24-Feb-1906</t>
  </si>
  <si>
    <t>15-Sep-1906</t>
  </si>
  <si>
    <t>21-Jan-1907</t>
  </si>
  <si>
    <t>19-Feb-1907</t>
  </si>
  <si>
    <t>22-Mar-1907</t>
  </si>
  <si>
    <t>17-Apr-1907</t>
  </si>
  <si>
    <t>7-Oct-1907</t>
  </si>
  <si>
    <t>4-Nov-1907</t>
  </si>
  <si>
    <t>2-Dec-1907</t>
  </si>
  <si>
    <t>12-Jan-1907</t>
  </si>
  <si>
    <t>12-Mar-1907</t>
  </si>
  <si>
    <t>4-May-1907</t>
  </si>
  <si>
    <t>16-May-1907</t>
  </si>
  <si>
    <t>6-Jan-1908</t>
  </si>
  <si>
    <t>30-Mar-1908</t>
  </si>
  <si>
    <t>31-Aug-1908</t>
  </si>
  <si>
    <t>1-Feb-1909</t>
  </si>
  <si>
    <t>9-Mar-1909</t>
  </si>
  <si>
    <t>5-Apr-1909</t>
  </si>
  <si>
    <t>14-Sep-1909</t>
  </si>
  <si>
    <t>11-Oct-1909</t>
  </si>
  <si>
    <t>18-Nov-1909</t>
  </si>
  <si>
    <t>21-Mar-1908</t>
  </si>
  <si>
    <t>23-Jan-1909</t>
  </si>
  <si>
    <t>9-Nov-1909</t>
  </si>
  <si>
    <t>16-Feb-1910</t>
  </si>
  <si>
    <t>16-Mar-1910</t>
  </si>
  <si>
    <t>12-Apr-1910</t>
  </si>
  <si>
    <t>10-May-1910</t>
  </si>
  <si>
    <t>7-Jun-1910</t>
  </si>
  <si>
    <t>12-Sep-1910</t>
  </si>
  <si>
    <t>13-Oct-1910</t>
  </si>
  <si>
    <t>9-Nov-1910</t>
  </si>
  <si>
    <t>7-Dec-1910</t>
  </si>
  <si>
    <t>2-Oct-1910</t>
  </si>
  <si>
    <t>14-Feb-1911</t>
  </si>
  <si>
    <t>14-Mar-1911</t>
  </si>
  <si>
    <t>La Gascogne from Le Havre to New York completely searched from 1892 to 1911</t>
  </si>
  <si>
    <t>10-Jan-1904</t>
  </si>
  <si>
    <t>6-Mar-1904</t>
  </si>
  <si>
    <t>21-Aug-1904</t>
  </si>
  <si>
    <t>18-Sep-1904</t>
  </si>
  <si>
    <t>16-Oct-1904</t>
  </si>
  <si>
    <t>13-Nov-1904</t>
  </si>
  <si>
    <t>12-Dec-1904</t>
  </si>
  <si>
    <t>15-Jan-1905</t>
  </si>
  <si>
    <t>13-Mar-1905</t>
  </si>
  <si>
    <t>9-Apr-1905</t>
  </si>
  <si>
    <t>9-May-1905</t>
  </si>
  <si>
    <t>26-Nov-1905</t>
  </si>
  <si>
    <t>24-Dec-1905</t>
  </si>
  <si>
    <t>4-Mar-1905</t>
  </si>
  <si>
    <t>29-Apr-1905</t>
  </si>
  <si>
    <t>2-Jul-1905</t>
  </si>
  <si>
    <t>28-Jan-1906</t>
  </si>
  <si>
    <t>24-Apr-1906</t>
  </si>
  <si>
    <t>17-Jun-1906</t>
  </si>
  <si>
    <t>22-Jul-1906</t>
  </si>
  <si>
    <t>11-Nov-1906</t>
  </si>
  <si>
    <t>10-Dec-1906</t>
  </si>
  <si>
    <t>20-May-1906</t>
  </si>
  <si>
    <t>25-Mar-1906</t>
  </si>
  <si>
    <t>11-Aug-1906</t>
  </si>
  <si>
    <t>3-Nov-1906</t>
  </si>
  <si>
    <t>6-Jan-1907</t>
  </si>
  <si>
    <t>3-Feb-1907</t>
  </si>
  <si>
    <t>11-Mar-1907</t>
  </si>
  <si>
    <t>7-May-1907</t>
  </si>
  <si>
    <t>1-Jun-1907</t>
  </si>
  <si>
    <t>4-Aug-1907</t>
  </si>
  <si>
    <t>1-Sep-1907</t>
  </si>
  <si>
    <t>29-Sep-1907</t>
  </si>
  <si>
    <t>27-Oct-1907</t>
  </si>
  <si>
    <t>22-Dec-1907</t>
  </si>
  <si>
    <t>16-Dec-1906</t>
  </si>
  <si>
    <t>22-Jun-1907</t>
  </si>
  <si>
    <t>20-Jan-1908</t>
  </si>
  <si>
    <t>16-Feb-1908</t>
  </si>
  <si>
    <t>10-May-1908</t>
  </si>
  <si>
    <t>7-Jun-1908</t>
  </si>
  <si>
    <t>1-Nov-1908</t>
  </si>
  <si>
    <t>29-Nov-1908</t>
  </si>
  <si>
    <t>6-Jul-1908</t>
  </si>
  <si>
    <t>5-Oct-1908</t>
  </si>
  <si>
    <t>21-Feb-1909</t>
  </si>
  <si>
    <t>18-Apr-1909</t>
  </si>
  <si>
    <t>16-May-1909</t>
  </si>
  <si>
    <t>13-Jun-1909</t>
  </si>
  <si>
    <t>12-Sep-1909</t>
  </si>
  <si>
    <t>10-Oct-1909</t>
  </si>
  <si>
    <t>7-Nov-1909</t>
  </si>
  <si>
    <t>5-Dec-1909</t>
  </si>
  <si>
    <t>31-Dec-1909</t>
  </si>
  <si>
    <t>5-Jun-1909</t>
  </si>
  <si>
    <t>22-Dec-1909</t>
  </si>
  <si>
    <t>27-Jan-1910</t>
  </si>
  <si>
    <t>15-May-1910</t>
  </si>
  <si>
    <t>13-Jun-1910</t>
  </si>
  <si>
    <t>7-Aug-1910</t>
  </si>
  <si>
    <t>27-Nov-1910</t>
  </si>
  <si>
    <t>19-Jan-1910</t>
  </si>
  <si>
    <t>10-Jul-1910</t>
  </si>
  <si>
    <t>27-Aug-1910</t>
  </si>
  <si>
    <t>1-May-1911</t>
  </si>
  <si>
    <t>28-May-1911</t>
  </si>
  <si>
    <t>11-Jan-1911</t>
  </si>
  <si>
    <t>19-Jan-1911</t>
  </si>
  <si>
    <t>1-Nov-1911</t>
  </si>
  <si>
    <t>10-Nov-1911</t>
  </si>
  <si>
    <t>4-Jan-1912</t>
  </si>
  <si>
    <t>15-Jul-1912</t>
  </si>
  <si>
    <t>6-Oct-1912</t>
  </si>
  <si>
    <t>2-Dec-1912</t>
  </si>
  <si>
    <t>24-Jan-1912</t>
  </si>
  <si>
    <t>2-Feb-1912</t>
  </si>
  <si>
    <t>21-Feb-1912</t>
  </si>
  <si>
    <t>29-Feb-1912</t>
  </si>
  <si>
    <t>19-May-1912</t>
  </si>
  <si>
    <t>6-Jul-1912</t>
  </si>
  <si>
    <t>29-Dec-1912</t>
  </si>
  <si>
    <t>31-Jan-1913</t>
  </si>
  <si>
    <t>28-Mar-1913</t>
  </si>
  <si>
    <t>18-May-1913</t>
  </si>
  <si>
    <t>10-Aug-1913</t>
  </si>
  <si>
    <t>6-Oct-1913</t>
  </si>
  <si>
    <t>4-Dec-1913</t>
  </si>
  <si>
    <t>22-Jan-1913</t>
  </si>
  <si>
    <t>19-Feb-1913</t>
  </si>
  <si>
    <t>27-Feb-1913</t>
  </si>
  <si>
    <t>19-Mar-1913</t>
  </si>
  <si>
    <t>20-Apr-1913</t>
  </si>
  <si>
    <t>unreadable</t>
  </si>
  <si>
    <t>7-Jun-1913</t>
  </si>
  <si>
    <t>15-Jun-1913</t>
  </si>
  <si>
    <t>7-Sep-1913</t>
  </si>
  <si>
    <t>2-Nov-1913</t>
  </si>
  <si>
    <t>26-Nov-1913</t>
  </si>
  <si>
    <t>2-Jan-1914</t>
  </si>
  <si>
    <t>20-Feb-1914</t>
  </si>
  <si>
    <t>20-Mar-1914</t>
  </si>
  <si>
    <t>14-May-1914</t>
  </si>
  <si>
    <t>13-Jul-1914</t>
  </si>
  <si>
    <t>10-Aug-1914</t>
  </si>
  <si>
    <t>24-Dec-1914</t>
  </si>
  <si>
    <t>11-Feb-1914</t>
  </si>
  <si>
    <t>11-Mar-1914</t>
  </si>
  <si>
    <t>4-Jul-1914</t>
  </si>
  <si>
    <t>1-Aug-1914</t>
  </si>
  <si>
    <t>New York from Cherbourg to New York completely searched from 1904 to 1914</t>
  </si>
  <si>
    <t>13-Apr-1920</t>
  </si>
  <si>
    <t>22-Apr-1920</t>
  </si>
  <si>
    <t>12-May-1920</t>
  </si>
  <si>
    <t>9-Jun-1920</t>
  </si>
  <si>
    <t>8-Jul-1920</t>
  </si>
  <si>
    <t>19-Jul-1920</t>
  </si>
  <si>
    <t>2-Nov-1920</t>
  </si>
  <si>
    <t>Megali Hellas</t>
  </si>
  <si>
    <t>Constantinople</t>
  </si>
  <si>
    <t>1-Dec-1921</t>
  </si>
  <si>
    <t>6-Nov-1921</t>
  </si>
  <si>
    <t>Minnedosa</t>
  </si>
  <si>
    <t>9-Oct-1920</t>
  </si>
  <si>
    <t>Quebec</t>
  </si>
  <si>
    <t>Antwerp</t>
  </si>
  <si>
    <t>20-Nov-1921</t>
  </si>
  <si>
    <t>23-Dec-1922</t>
  </si>
  <si>
    <t>27-Feb-1923</t>
  </si>
  <si>
    <t>2-Apr-1923</t>
  </si>
  <si>
    <t>7-May-1923</t>
  </si>
  <si>
    <t>9-Jun-1923</t>
  </si>
  <si>
    <t>30-Jun-1923</t>
  </si>
  <si>
    <t>27-Jul-1923</t>
  </si>
  <si>
    <t>21-Sep-1923</t>
  </si>
  <si>
    <t>19-Oct-1923</t>
  </si>
  <si>
    <t>16-Nov-1923</t>
  </si>
  <si>
    <t>24-Dec-1923</t>
  </si>
  <si>
    <t>27-Jan-1924</t>
  </si>
  <si>
    <t>26-Apr-1924</t>
  </si>
  <si>
    <t>23-May-1924</t>
  </si>
  <si>
    <t>20-Jun-1924</t>
  </si>
  <si>
    <t>12-Sep-1924</t>
  </si>
  <si>
    <t>10-Oct-1924</t>
  </si>
  <si>
    <t>7-Dec-1924</t>
  </si>
  <si>
    <t>1-Oct-1920</t>
  </si>
  <si>
    <t>8-Jan-1921</t>
  </si>
  <si>
    <t>11-Nov-1921</t>
  </si>
  <si>
    <t>16-Aug-1922</t>
  </si>
  <si>
    <t>11-Dec-1922</t>
  </si>
  <si>
    <t>16-Feb-1923</t>
  </si>
  <si>
    <t>22-Mar-1923</t>
  </si>
  <si>
    <t>26-Apr-1923</t>
  </si>
  <si>
    <t>26-May-1923</t>
  </si>
  <si>
    <t>21-Jun-1923</t>
  </si>
  <si>
    <t>19-Jul-1923</t>
  </si>
  <si>
    <t>11-Oct-1923</t>
  </si>
  <si>
    <t>8-Nov-1923</t>
  </si>
  <si>
    <t>14-Dec-1923</t>
  </si>
  <si>
    <t>17-Jan-1924</t>
  </si>
  <si>
    <t>17-Apr-1924</t>
  </si>
  <si>
    <t>15-May-1924</t>
  </si>
  <si>
    <t>12-Jun-1924</t>
  </si>
  <si>
    <t>4-Sep-1924</t>
  </si>
  <si>
    <t>2-Oct-1924</t>
  </si>
  <si>
    <t>28-Nov-1924</t>
  </si>
  <si>
    <t>Melita</t>
  </si>
  <si>
    <t>21-Mar-1921</t>
  </si>
  <si>
    <t>5-Feb-1923</t>
  </si>
  <si>
    <t>12-Mar-1923</t>
  </si>
  <si>
    <t>15-Apr-1923</t>
  </si>
  <si>
    <t>20-May-1923</t>
  </si>
  <si>
    <t>16-Jun-1923</t>
  </si>
  <si>
    <t>13-Jul-1923</t>
  </si>
  <si>
    <t>10-Aug-1923</t>
  </si>
  <si>
    <t>8-Sep-1923</t>
  </si>
  <si>
    <t>5-Oct-1923</t>
  </si>
  <si>
    <t>3-Nov-1923</t>
  </si>
  <si>
    <t>11-Dec-1923</t>
  </si>
  <si>
    <t>10-Feb-1924</t>
  </si>
  <si>
    <t>14-Mar-1924</t>
  </si>
  <si>
    <t>12-Apr-1924</t>
  </si>
  <si>
    <t>10-May-1924</t>
  </si>
  <si>
    <t>6-Jun-1924</t>
  </si>
  <si>
    <t>4-Jul-1924</t>
  </si>
  <si>
    <t>1-Aug-1924</t>
  </si>
  <si>
    <t>28-Sep-1924</t>
  </si>
  <si>
    <t>26-Oct-1924</t>
  </si>
  <si>
    <t>22-Nov-1924</t>
  </si>
  <si>
    <t>Le Havre/Liverpool</t>
  </si>
  <si>
    <t>10-May-1923</t>
  </si>
  <si>
    <t>18-Sep-1924</t>
  </si>
  <si>
    <t>15-Jul-1921</t>
  </si>
  <si>
    <t>15-Oct-1924</t>
  </si>
  <si>
    <t>26-Jan-1923</t>
  </si>
  <si>
    <t>7-Apr-1923</t>
  </si>
  <si>
    <t>7-Jun-1923</t>
  </si>
  <si>
    <t>5-Jul-1923</t>
  </si>
  <si>
    <t>2-Aug-1923</t>
  </si>
  <si>
    <t>30-Aug-1923</t>
  </si>
  <si>
    <t>27-Sep-1923</t>
  </si>
  <si>
    <t>25-Oct-1923</t>
  </si>
  <si>
    <t>2-Dec-1923</t>
  </si>
  <si>
    <t>31-Jan-1924</t>
  </si>
  <si>
    <t>6-Mar-1924</t>
  </si>
  <si>
    <t>3-Apr-1924</t>
  </si>
  <si>
    <t>1-May-1924</t>
  </si>
  <si>
    <t>29-May-1924</t>
  </si>
  <si>
    <t>26-Jun-1924</t>
  </si>
  <si>
    <t>24-Jul-1924</t>
  </si>
  <si>
    <t>13-Nov-1924</t>
  </si>
  <si>
    <t>12-Sep-1923</t>
  </si>
  <si>
    <t>7-Aug-1924</t>
  </si>
  <si>
    <t>14-Aug-1924</t>
  </si>
  <si>
    <t>Volturno</t>
  </si>
  <si>
    <t>Halifax</t>
  </si>
  <si>
    <t>4-Feb-1910</t>
  </si>
  <si>
    <t>Canada</t>
  </si>
  <si>
    <t>14-Oct-1903</t>
  </si>
  <si>
    <t>Raglan Castle</t>
  </si>
  <si>
    <t>6-Jun-1909</t>
  </si>
  <si>
    <t>Victorian</t>
  </si>
  <si>
    <t>15-Feb-1907</t>
  </si>
  <si>
    <t>24-Feb-1907</t>
  </si>
  <si>
    <t>Uranium</t>
  </si>
  <si>
    <t>28-Dec-1909</t>
  </si>
  <si>
    <t>23-Oct-1903</t>
  </si>
  <si>
    <t>Campania</t>
  </si>
  <si>
    <t>30-Jun-1910</t>
  </si>
  <si>
    <t>Carthaginian</t>
  </si>
  <si>
    <t>15-Aug-1907</t>
  </si>
  <si>
    <t>Vancouver</t>
  </si>
  <si>
    <t>15-Dec-1896</t>
  </si>
  <si>
    <t>Portland, ME</t>
  </si>
  <si>
    <t>19-Dec-1896</t>
  </si>
  <si>
    <t>Haverford</t>
  </si>
  <si>
    <t>29-Dec-1908</t>
  </si>
  <si>
    <t>17-Dec-1908</t>
  </si>
  <si>
    <t>16-Jun-1910</t>
  </si>
  <si>
    <t>26-Jun-1910</t>
  </si>
  <si>
    <t>4-Jul-1907</t>
  </si>
  <si>
    <t>Napolitan Prince</t>
  </si>
  <si>
    <t>28-Nov-1909</t>
  </si>
  <si>
    <t>8-Dec-1909</t>
  </si>
  <si>
    <t>20-Jan-1910</t>
  </si>
  <si>
    <t>5-Sep-1909</t>
  </si>
  <si>
    <t>27-Oct-1909</t>
  </si>
  <si>
    <t>16-Mar-1909</t>
  </si>
  <si>
    <t>5-May-1909</t>
  </si>
  <si>
    <t>2-Aug-1909</t>
  </si>
  <si>
    <t>19-Apr-1909</t>
  </si>
  <si>
    <t>16-Apr-1909</t>
  </si>
  <si>
    <t>xx-Mar-1909</t>
  </si>
  <si>
    <t>30-Jun-1909</t>
  </si>
  <si>
    <t>11-Aug-1909</t>
  </si>
  <si>
    <t>6-Apr-1908</t>
  </si>
  <si>
    <t>28-May-1908</t>
  </si>
  <si>
    <t>18-Feb-1909</t>
  </si>
  <si>
    <t>30-Sep-1909</t>
  </si>
  <si>
    <t>13-May-1909</t>
  </si>
  <si>
    <t>11-May-1910</t>
  </si>
  <si>
    <t>12-Aug-1908</t>
  </si>
  <si>
    <t>15-Dec-1909</t>
  </si>
  <si>
    <t>8-Sep-1910</t>
  </si>
  <si>
    <t>Titanic/Carpathia</t>
  </si>
  <si>
    <t>10-Apr-1912</t>
  </si>
  <si>
    <t>16-Nov-1920</t>
  </si>
  <si>
    <t>Lake Champlain</t>
  </si>
  <si>
    <t>16-May-1902</t>
  </si>
  <si>
    <t>6-May-1902</t>
  </si>
  <si>
    <t>9-Sep-1922</t>
  </si>
  <si>
    <t>2-Oct-1922</t>
  </si>
  <si>
    <t>12-Sep-1922</t>
  </si>
  <si>
    <t>14-Sep-1922</t>
  </si>
  <si>
    <t>16-Mar-1922</t>
  </si>
  <si>
    <t>2-Oct-1923</t>
  </si>
  <si>
    <t>24-Feb-1922</t>
  </si>
  <si>
    <t>22-Feb-1922</t>
  </si>
  <si>
    <t>15-Feb-1922</t>
  </si>
  <si>
    <t>7-Sep-1923</t>
  </si>
  <si>
    <t>11-Sep-1923</t>
  </si>
  <si>
    <t>1-Aug-1923</t>
  </si>
  <si>
    <t>2-Aug-1922</t>
  </si>
  <si>
    <t>2-Jan-1922</t>
  </si>
  <si>
    <t>8-Dec-1922</t>
  </si>
  <si>
    <t>8-Jan-1923</t>
  </si>
  <si>
    <t>22-May-1922</t>
  </si>
  <si>
    <t>14-Dec-1921</t>
  </si>
  <si>
    <t>7-Dec-1921</t>
  </si>
  <si>
    <t>16-Dec-1921</t>
  </si>
  <si>
    <t>30-Apr-1922</t>
  </si>
  <si>
    <t>8-Jul-1922</t>
  </si>
  <si>
    <t>15-Jul-1922</t>
  </si>
  <si>
    <t>13-Jul-1922</t>
  </si>
  <si>
    <t>Smyrna</t>
  </si>
  <si>
    <t>10-Jul-1922</t>
  </si>
  <si>
    <t>Varna</t>
  </si>
  <si>
    <t>26-Jun-1922</t>
  </si>
  <si>
    <t>10-Nov-1922</t>
  </si>
  <si>
    <t>16-Nov-1922</t>
  </si>
  <si>
    <t>15-Nov-1922</t>
  </si>
  <si>
    <t>King Alexander</t>
  </si>
  <si>
    <t>19-Dec-1922</t>
  </si>
  <si>
    <t>16-Dec-1922</t>
  </si>
  <si>
    <t>7-Jul-1923</t>
  </si>
  <si>
    <t>Constanta</t>
  </si>
  <si>
    <t>3-Jul-1923</t>
  </si>
  <si>
    <t>12-Jul-1923</t>
  </si>
  <si>
    <t>5-Apr-1910</t>
  </si>
  <si>
    <t>Oscar II</t>
  </si>
  <si>
    <t>20-Oct-1916</t>
  </si>
  <si>
    <t>1-Nov-1916</t>
  </si>
  <si>
    <t>Copenhagen</t>
  </si>
  <si>
    <t>19-Oct-1916</t>
  </si>
  <si>
    <t>22-Jul-1920</t>
  </si>
  <si>
    <t>Gul Djemal</t>
  </si>
  <si>
    <t>10-Sep-1921</t>
  </si>
  <si>
    <t>27-Aug-1921</t>
  </si>
  <si>
    <t>Naples</t>
  </si>
  <si>
    <t>Oceanic</t>
  </si>
  <si>
    <t>27-Jul-1910</t>
  </si>
  <si>
    <t>3-Aug-1910</t>
  </si>
  <si>
    <t>Caroline</t>
  </si>
  <si>
    <t>6-Oct-1909</t>
  </si>
  <si>
    <t>6-Aug-1921</t>
  </si>
  <si>
    <t>12-Aug-1921</t>
  </si>
  <si>
    <t>30-Dec-1910</t>
  </si>
  <si>
    <t>Saint Louis</t>
  </si>
  <si>
    <t>5-Jul-1910</t>
  </si>
  <si>
    <t>Suffren</t>
  </si>
  <si>
    <t>10-Jan-1924</t>
  </si>
  <si>
    <t>29-Dec-1923</t>
  </si>
  <si>
    <t>10-May-1912</t>
  </si>
  <si>
    <t>6-Jul-1910</t>
  </si>
  <si>
    <t>29-Jun-1910</t>
  </si>
  <si>
    <t>Kroonland</t>
  </si>
  <si>
    <t>6-Dec-1914</t>
  </si>
  <si>
    <t>Giuseppe Verdi</t>
  </si>
  <si>
    <t>20-Dec-1915</t>
  </si>
  <si>
    <t>Hudson</t>
  </si>
  <si>
    <t>17-Oct-1907</t>
  </si>
  <si>
    <t>Niagara</t>
  </si>
  <si>
    <t>12-May-1913</t>
  </si>
  <si>
    <t>22-May-1913</t>
  </si>
  <si>
    <t>7-Oct-1922</t>
  </si>
  <si>
    <t>1-Nov-1922</t>
  </si>
  <si>
    <t>13-Oct-1922</t>
  </si>
  <si>
    <t>20-May-1922</t>
  </si>
  <si>
    <t>16-Jun-1922</t>
  </si>
  <si>
    <t>28-May-1922</t>
  </si>
  <si>
    <t>Philadelphia</t>
  </si>
  <si>
    <t>24-Jul-1910</t>
  </si>
  <si>
    <t>France</t>
  </si>
  <si>
    <t>7-Dec-1912</t>
  </si>
  <si>
    <t>2-May-1921</t>
  </si>
  <si>
    <t>15-Apr-1921</t>
  </si>
  <si>
    <t>Frederik VIII</t>
  </si>
  <si>
    <t>18-Aug-1916</t>
  </si>
  <si>
    <t>27-Nov-1920</t>
  </si>
  <si>
    <t>12-Dec-1913</t>
  </si>
  <si>
    <t>Cymric</t>
  </si>
  <si>
    <t>Boston</t>
  </si>
  <si>
    <t>7-Aug-1913</t>
  </si>
  <si>
    <t>Asia</t>
  </si>
  <si>
    <t>12-May-1925</t>
  </si>
  <si>
    <t>6-Jun-1925</t>
  </si>
  <si>
    <t>15-May-1925</t>
  </si>
  <si>
    <t>Beirut</t>
  </si>
  <si>
    <t>5-May-1925</t>
  </si>
  <si>
    <t>Acropolis</t>
  </si>
  <si>
    <t>3-Aug-1921</t>
  </si>
  <si>
    <t>8-Aug-1921</t>
  </si>
  <si>
    <t>19-Aug-1917</t>
  </si>
  <si>
    <t>28-Aug-1917</t>
  </si>
  <si>
    <t>Ivernia</t>
  </si>
  <si>
    <t>Trieste</t>
  </si>
  <si>
    <t>28-Sep-1913</t>
  </si>
  <si>
    <t>Saxonia</t>
  </si>
  <si>
    <t>10-Nov-1903</t>
  </si>
  <si>
    <t>19-Nov-1903</t>
  </si>
  <si>
    <t>10-May-1914</t>
  </si>
  <si>
    <t>Saint Paul</t>
  </si>
  <si>
    <t>Ascania</t>
  </si>
  <si>
    <t>7-Jan-1926</t>
  </si>
  <si>
    <t>18-Jan-1926</t>
  </si>
  <si>
    <t>Mexico</t>
  </si>
  <si>
    <t>New Orleans</t>
  </si>
  <si>
    <t>18-Oct-1912</t>
  </si>
  <si>
    <t>20-Nov-1912</t>
  </si>
  <si>
    <t>Korea Maru</t>
  </si>
  <si>
    <t>31-Oct-1917</t>
  </si>
  <si>
    <t>1-Oct-1921</t>
  </si>
  <si>
    <t>5-Sep-1921</t>
  </si>
  <si>
    <t>13-Sep-1921</t>
  </si>
  <si>
    <t>Statendam</t>
  </si>
  <si>
    <t>Hellig Olav</t>
  </si>
  <si>
    <t>17-Dec-1917</t>
  </si>
  <si>
    <t>28-Dec-1917</t>
  </si>
  <si>
    <t>Oceania</t>
  </si>
  <si>
    <t>6-Jun-1910</t>
  </si>
  <si>
    <t>23-Jun-1910</t>
  </si>
  <si>
    <t>New Rochelle</t>
  </si>
  <si>
    <t>14-Nov-1920</t>
  </si>
  <si>
    <t>1-Oct-1923</t>
  </si>
  <si>
    <t>xx-Sep-1923</t>
  </si>
  <si>
    <t>21-Jan-1913</t>
  </si>
  <si>
    <t>5-Feb-1913</t>
  </si>
  <si>
    <t>Grampian</t>
  </si>
  <si>
    <t>3-Sep-1920</t>
  </si>
  <si>
    <t>24-Aug-1920</t>
  </si>
  <si>
    <t>14-Aug-1912</t>
  </si>
  <si>
    <t>22-Aug-1912</t>
  </si>
  <si>
    <t>Alice</t>
  </si>
  <si>
    <t>7-Jan-1910</t>
  </si>
  <si>
    <t>20-Dec-1909</t>
  </si>
  <si>
    <t>4-Jan-1914</t>
  </si>
  <si>
    <t>United States</t>
  </si>
  <si>
    <t>20-Apr-1917</t>
  </si>
  <si>
    <t>4-May-1917</t>
  </si>
  <si>
    <t>31-Aug-1906</t>
  </si>
  <si>
    <t>29-Mar-1920</t>
  </si>
  <si>
    <t>14-Apr-1920</t>
  </si>
  <si>
    <t>18-Mar-1921</t>
  </si>
  <si>
    <t>1-Apr-1921</t>
  </si>
  <si>
    <t>2-Feb-1921</t>
  </si>
  <si>
    <t>Adriatic</t>
  </si>
  <si>
    <t>29-Nov-1912</t>
  </si>
  <si>
    <t>Themistocles</t>
  </si>
  <si>
    <t>Merion</t>
  </si>
  <si>
    <t>6-Nov-1913</t>
  </si>
  <si>
    <t>21-Oct-1913</t>
  </si>
  <si>
    <t>16-Apr-1906</t>
  </si>
  <si>
    <t>Excelsior</t>
  </si>
  <si>
    <t>Havana</t>
  </si>
  <si>
    <t>2-Dec-1924</t>
  </si>
  <si>
    <t>4-Dec-1924</t>
  </si>
  <si>
    <t>Munamar</t>
  </si>
  <si>
    <t>16-Dec-1912</t>
  </si>
  <si>
    <t>Virginie</t>
  </si>
  <si>
    <t>10-Aug-1912</t>
  </si>
  <si>
    <t>11-Jun-1923</t>
  </si>
  <si>
    <t>1-Jul-1923</t>
  </si>
  <si>
    <t>14-Jun-1912</t>
  </si>
  <si>
    <t>Presidente Wilson</t>
  </si>
  <si>
    <t>4-Jul-1921</t>
  </si>
  <si>
    <t>Hamburg</t>
  </si>
  <si>
    <t>11-Jan-1925</t>
  </si>
  <si>
    <t>1-Jan-1925</t>
  </si>
  <si>
    <t>Antwerp, Southampton, &amp; Cherbourg</t>
  </si>
  <si>
    <t>10-Jan-1911</t>
  </si>
  <si>
    <t>Dominion</t>
  </si>
  <si>
    <t>16-Jun-1913</t>
  </si>
  <si>
    <t>28-May-1913</t>
  </si>
  <si>
    <t>22-Jun-1913</t>
  </si>
  <si>
    <t>14-Jun-1923</t>
  </si>
  <si>
    <t>6-Aug-1913</t>
  </si>
  <si>
    <t>22-Jul-1913</t>
  </si>
  <si>
    <t>Braga</t>
  </si>
  <si>
    <t>12-Aug-1923</t>
  </si>
  <si>
    <t>Madonna</t>
  </si>
  <si>
    <t>18-Dec-1912</t>
  </si>
  <si>
    <t>Franconia</t>
  </si>
  <si>
    <t>2-Feb-1914</t>
  </si>
  <si>
    <t>16-Jun-1912</t>
  </si>
  <si>
    <t>2-Jul-1912</t>
  </si>
  <si>
    <t>Pannonia</t>
  </si>
  <si>
    <t>19-Sep-1912</t>
  </si>
  <si>
    <t>2-Sep-1912</t>
  </si>
  <si>
    <t>Venezia</t>
  </si>
  <si>
    <t>4-Nov-1914</t>
  </si>
  <si>
    <t>20-Oct-1914</t>
  </si>
  <si>
    <t>Californie</t>
  </si>
  <si>
    <t>4-Oct-1907</t>
  </si>
  <si>
    <t>Prinzess Irene</t>
  </si>
  <si>
    <t>5-Dec-1913</t>
  </si>
  <si>
    <t>19-Dec-1913</t>
  </si>
  <si>
    <t>28-Feb-1921</t>
  </si>
  <si>
    <t>25-Jun-1921</t>
  </si>
  <si>
    <t>26-May-1921</t>
  </si>
  <si>
    <t>30-Sep-1920</t>
  </si>
  <si>
    <t>San Giorgio</t>
  </si>
  <si>
    <t>28-Jun-1912</t>
  </si>
  <si>
    <t>12-Jul-1912</t>
  </si>
  <si>
    <t>24-Apr-1913</t>
  </si>
  <si>
    <t>16-May-1913</t>
  </si>
  <si>
    <t>15-Mar-1913</t>
  </si>
  <si>
    <t>14-Jun-1910</t>
  </si>
  <si>
    <t>San Guglielmo</t>
  </si>
  <si>
    <t>10-Jun-1912</t>
  </si>
  <si>
    <t>29-May-1912</t>
  </si>
  <si>
    <t>Vauban</t>
  </si>
  <si>
    <t>8-Apr-1916</t>
  </si>
  <si>
    <t>Voltaire</t>
  </si>
  <si>
    <t>9-Dec-1915</t>
  </si>
  <si>
    <t>3-Jan-1916</t>
  </si>
  <si>
    <t>3-Oct-1920</t>
  </si>
  <si>
    <t>30-Oct-1913</t>
  </si>
  <si>
    <t>2-Jun-1923</t>
  </si>
  <si>
    <t>12-Jun-1923</t>
  </si>
  <si>
    <t>2-Sep-1921</t>
  </si>
  <si>
    <t>Carpathia</t>
  </si>
  <si>
    <t>27-Jul-1913</t>
  </si>
  <si>
    <t>14-Aug-1913</t>
  </si>
  <si>
    <t>Waesland</t>
  </si>
  <si>
    <t>1-Jul-1891</t>
  </si>
  <si>
    <t>13-Mar-1921</t>
  </si>
  <si>
    <t>6-Mar-1921</t>
  </si>
  <si>
    <t>12-Dec-1897</t>
  </si>
  <si>
    <t>14-Sep-1899</t>
  </si>
  <si>
    <t>24-Sep-1899</t>
  </si>
  <si>
    <t>30-Jul-1897</t>
  </si>
  <si>
    <t>xx-Jul-1897</t>
  </si>
  <si>
    <t>14-Jul-1897</t>
  </si>
  <si>
    <t>Lucania</t>
  </si>
  <si>
    <t>19-Jan-1895</t>
  </si>
  <si>
    <t>California</t>
  </si>
  <si>
    <t>23-Oct-1896</t>
  </si>
  <si>
    <t>Aragonia</t>
  </si>
  <si>
    <t>17-Dec-1897</t>
  </si>
  <si>
    <t>Umbria</t>
  </si>
  <si>
    <t>5-Jun-1896</t>
  </si>
  <si>
    <t>Rhynland</t>
  </si>
  <si>
    <t>24-Mar-1897</t>
  </si>
  <si>
    <t>8-Apr-1899</t>
  </si>
  <si>
    <t>17-Apr-1899</t>
  </si>
  <si>
    <t>Chateau Lafite</t>
  </si>
  <si>
    <t>Maasdam</t>
  </si>
  <si>
    <t>Ems</t>
  </si>
  <si>
    <t>Genoa</t>
  </si>
  <si>
    <t>12-Nov-1896</t>
  </si>
  <si>
    <t>12-Nov-1900</t>
  </si>
  <si>
    <t>1-Nov-1900</t>
  </si>
  <si>
    <t>Lord Gough</t>
  </si>
  <si>
    <t>3-May-1893</t>
  </si>
  <si>
    <t>22-May-1893</t>
  </si>
  <si>
    <t>Cairnrona</t>
  </si>
  <si>
    <t>London</t>
  </si>
  <si>
    <t>10-Jan-1910</t>
  </si>
  <si>
    <t>25-Jan-1910</t>
  </si>
  <si>
    <t>11-Dec-1907</t>
  </si>
  <si>
    <t>4-Dec-1907</t>
  </si>
  <si>
    <t>14-May-1898</t>
  </si>
  <si>
    <t>23-May-1898</t>
  </si>
  <si>
    <t>Gergovia</t>
  </si>
  <si>
    <t>9-Mar-1912</t>
  </si>
  <si>
    <t>Auguste Victoria</t>
  </si>
  <si>
    <t>18-May-1902</t>
  </si>
  <si>
    <t>9-May-1902</t>
  </si>
  <si>
    <t>Argentina</t>
  </si>
  <si>
    <t>25-Dec-1911</t>
  </si>
  <si>
    <t>10-Jun-1899</t>
  </si>
  <si>
    <t>Palatia</t>
  </si>
  <si>
    <t>Werra</t>
  </si>
  <si>
    <t>1-Nov-1892</t>
  </si>
  <si>
    <t>9-Dec-1904</t>
  </si>
  <si>
    <t>29-Nov-1904</t>
  </si>
  <si>
    <t>17-Nov-1913</t>
  </si>
  <si>
    <t>10-Jul-1912</t>
  </si>
  <si>
    <t>31-Mar-1914</t>
  </si>
  <si>
    <t>Caledonia</t>
  </si>
  <si>
    <t>Glasgow</t>
  </si>
  <si>
    <t>5-Nov-1919</t>
  </si>
  <si>
    <t>10-Oct-1919</t>
  </si>
  <si>
    <t>Romanic</t>
  </si>
  <si>
    <t>25-Nov-1909</t>
  </si>
  <si>
    <t>Ancona</t>
  </si>
  <si>
    <t>31-Mar-1910</t>
  </si>
  <si>
    <t>Martha Washington</t>
  </si>
  <si>
    <t>7-Jul-1913</t>
  </si>
  <si>
    <t>Gallia</t>
  </si>
  <si>
    <t>28-Jan-1907</t>
  </si>
  <si>
    <t>Laura</t>
  </si>
  <si>
    <t>30-Jul-1905</t>
  </si>
  <si>
    <t>Blucher</t>
  </si>
  <si>
    <t>21-Jul-1905</t>
  </si>
  <si>
    <t>Mauretania</t>
  </si>
  <si>
    <t>16-Oct-1920</t>
  </si>
  <si>
    <t>23-Oct-1920</t>
  </si>
  <si>
    <t>21-Jun-1924</t>
  </si>
  <si>
    <t>27-Jun-1924</t>
  </si>
  <si>
    <t>Vestris</t>
  </si>
  <si>
    <t>17-Feb-1916</t>
  </si>
  <si>
    <t>9-Aug-1922</t>
  </si>
  <si>
    <t>8-Apr-1921</t>
  </si>
  <si>
    <t>Duca di Genova</t>
  </si>
  <si>
    <t>2-Nov-1908</t>
  </si>
  <si>
    <t>20-Oct-1908</t>
  </si>
  <si>
    <t>2-Sep-1922</t>
  </si>
  <si>
    <t>14-Aug-1922</t>
  </si>
  <si>
    <t>Ryndam</t>
  </si>
  <si>
    <t>17-May-1904</t>
  </si>
  <si>
    <t>29-Dec-1902</t>
  </si>
  <si>
    <t>San Giovanni</t>
  </si>
  <si>
    <t>22-Jun-1911</t>
  </si>
  <si>
    <t>7-Jul-1911</t>
  </si>
  <si>
    <t>Graf Waldersee</t>
  </si>
  <si>
    <t>27-Nov-1900</t>
  </si>
  <si>
    <t>Leopoldina</t>
  </si>
  <si>
    <t>16-Jul-1920</t>
  </si>
  <si>
    <t>27-Jul-1920</t>
  </si>
  <si>
    <t>26-Dec-1913</t>
  </si>
  <si>
    <t>8-Dec-1913</t>
  </si>
  <si>
    <t>Belvedere</t>
  </si>
  <si>
    <t>21-Dec-1920</t>
  </si>
  <si>
    <t>18-Jan-1921</t>
  </si>
  <si>
    <t>11-Aug-1920</t>
  </si>
  <si>
    <t>18-Jul-1920</t>
  </si>
  <si>
    <t>Massilia</t>
  </si>
  <si>
    <t>16-Dec-1895</t>
  </si>
  <si>
    <t>Potsdam</t>
  </si>
  <si>
    <t>26-Dec-1906</t>
  </si>
  <si>
    <t>Lake Superior</t>
  </si>
  <si>
    <t>Kaiser Franz Josef I</t>
  </si>
  <si>
    <t>18-Nov-1912</t>
  </si>
  <si>
    <t>3-Dec-1912</t>
  </si>
  <si>
    <t>25-Aug-1913</t>
  </si>
  <si>
    <t>7-Oct-1909</t>
  </si>
  <si>
    <t>20-Sep-1909</t>
  </si>
  <si>
    <t>Nord America</t>
  </si>
  <si>
    <t>18-Oct-1908</t>
  </si>
  <si>
    <t>27-Oct-1908</t>
  </si>
  <si>
    <t>20-Jun-1904</t>
  </si>
  <si>
    <t>2-Jun-1904</t>
  </si>
  <si>
    <t>18-Mar-1912</t>
  </si>
  <si>
    <t>Duca degli Abruzzi</t>
  </si>
  <si>
    <t>28-Jul-1909</t>
  </si>
  <si>
    <t>9-Aug-1909</t>
  </si>
  <si>
    <t>Floride</t>
  </si>
  <si>
    <t>11-Jan-1912</t>
  </si>
  <si>
    <t>Seriphos</t>
  </si>
  <si>
    <t>11-Jul-1904</t>
  </si>
  <si>
    <t>4-Aug-1904</t>
  </si>
  <si>
    <t>25-Aug-1909</t>
  </si>
  <si>
    <t>8-Sep-1907</t>
  </si>
  <si>
    <t>19-Sep-1907</t>
  </si>
  <si>
    <t>1-Nov-1907</t>
  </si>
  <si>
    <t>14-Oct-1907</t>
  </si>
  <si>
    <t>29-Oct-1907</t>
  </si>
  <si>
    <t>5-Mar-1902</t>
  </si>
  <si>
    <t>20-Dec-1907</t>
  </si>
  <si>
    <t>8-Jan-1909</t>
  </si>
  <si>
    <t>26-Apr-1905</t>
  </si>
  <si>
    <t>Westernland</t>
  </si>
  <si>
    <t>19-Jul-1905</t>
  </si>
  <si>
    <t>31-Jul-1905</t>
  </si>
  <si>
    <t>4-Aug-1901</t>
  </si>
  <si>
    <t>25-Jul-1901</t>
  </si>
  <si>
    <t>Cretic</t>
  </si>
  <si>
    <t>8-Sep-1904</t>
  </si>
  <si>
    <t>29-Dec-1897</t>
  </si>
  <si>
    <t>10-Jun-1901</t>
  </si>
  <si>
    <t>30-May-1901</t>
  </si>
  <si>
    <t>Aller</t>
  </si>
  <si>
    <t>Gibraltar</t>
  </si>
  <si>
    <t>31-Aug-1902</t>
  </si>
  <si>
    <t>10-Sep-1902</t>
  </si>
  <si>
    <t>10-Jan-1905</t>
  </si>
  <si>
    <t>24-Dec-1902</t>
  </si>
  <si>
    <t>11-Dec-1902</t>
  </si>
  <si>
    <t>manifest badly damaged</t>
  </si>
  <si>
    <t>29-May-1901</t>
  </si>
  <si>
    <t>6-May-1901</t>
  </si>
  <si>
    <t>17-Sep-1900</t>
  </si>
  <si>
    <t>6-Sep-1900</t>
  </si>
  <si>
    <t>5-Jun-1907</t>
  </si>
  <si>
    <t>17-Jun-1907</t>
  </si>
  <si>
    <t>15-Apr-1912</t>
  </si>
  <si>
    <t>4-Apr-1912</t>
  </si>
  <si>
    <t>30-Nov-1916</t>
  </si>
  <si>
    <t>19-Nov-1916</t>
  </si>
  <si>
    <t>Bremen</t>
  </si>
  <si>
    <t>26-Oct-1902</t>
  </si>
  <si>
    <t>5-Nov-1902</t>
  </si>
  <si>
    <t>3-Jul-1913</t>
  </si>
  <si>
    <t>Madeira</t>
  </si>
  <si>
    <t>27-Jun-1913</t>
  </si>
  <si>
    <t>Atsuta Maru</t>
  </si>
  <si>
    <t>Seattle</t>
  </si>
  <si>
    <t>9-Feb-1919</t>
  </si>
  <si>
    <t>27-Aug-1913</t>
  </si>
  <si>
    <t>4-Oct-1912</t>
  </si>
  <si>
    <t>17-Dec-1913</t>
  </si>
  <si>
    <t>24-Jan-1914</t>
  </si>
  <si>
    <t>19-Nov-1913</t>
  </si>
  <si>
    <t>1-Aug-1921</t>
  </si>
  <si>
    <t>5-Jul-1921</t>
  </si>
  <si>
    <t>3-Dec-1922</t>
  </si>
  <si>
    <t>30-Oct-1922</t>
  </si>
  <si>
    <t>8-Nov-1922</t>
  </si>
  <si>
    <t>5-Aug-1909</t>
  </si>
  <si>
    <t>13-Nov-1912</t>
  </si>
  <si>
    <t>21-Nov-1912</t>
  </si>
  <si>
    <t>America</t>
  </si>
  <si>
    <t>10-Jul-1907</t>
  </si>
  <si>
    <t>20-Jun-1907</t>
  </si>
  <si>
    <t>Bosnia</t>
  </si>
  <si>
    <t>7-Jun-1907</t>
  </si>
  <si>
    <t>21-Jun-1907</t>
  </si>
  <si>
    <t>Sofia Hohenberg</t>
  </si>
  <si>
    <t>Saint Laurent</t>
  </si>
  <si>
    <t>28-Dec-1906</t>
  </si>
  <si>
    <t>Spree</t>
  </si>
  <si>
    <t>5-Sep-1897</t>
  </si>
  <si>
    <t>21-Oct-1901</t>
  </si>
  <si>
    <t>Pretoria</t>
  </si>
  <si>
    <t>10-Feb-1904</t>
  </si>
  <si>
    <t>Alexandria</t>
  </si>
  <si>
    <t>Republic</t>
  </si>
  <si>
    <t>21-Jan-1904</t>
  </si>
  <si>
    <t>Canopic</t>
  </si>
  <si>
    <t>Unknown</t>
  </si>
  <si>
    <t>24-Dec-1906</t>
  </si>
  <si>
    <t>27-Jun-1904</t>
  </si>
  <si>
    <t>9-Nov-1902</t>
  </si>
  <si>
    <t>21-Nov-1902</t>
  </si>
  <si>
    <t>Teutonic</t>
  </si>
  <si>
    <t>7-Nov-1907</t>
  </si>
  <si>
    <t>30-Oct-1907</t>
  </si>
  <si>
    <t>Ludgate Hill</t>
  </si>
  <si>
    <t>18-Jul-1891</t>
  </si>
  <si>
    <t>Avoca</t>
  </si>
  <si>
    <t>17-Apr-1908</t>
  </si>
  <si>
    <t>14-Oct-1889</t>
  </si>
  <si>
    <t>P. Caland</t>
  </si>
  <si>
    <t>19-Dec-1906</t>
  </si>
  <si>
    <t>31-Dec-1906</t>
  </si>
  <si>
    <t>Batavia</t>
  </si>
  <si>
    <t>19-Aug-1906</t>
  </si>
  <si>
    <t>Texas</t>
  </si>
  <si>
    <t>11-Nov-1883</t>
  </si>
  <si>
    <t>10-Jul-1901</t>
  </si>
  <si>
    <t>28-Jul-1901</t>
  </si>
  <si>
    <t>8-Nov-1905</t>
  </si>
  <si>
    <t>20-Nov-1905</t>
  </si>
  <si>
    <t>L'Aquitaine</t>
  </si>
  <si>
    <t>26-Aug-1900</t>
  </si>
  <si>
    <t>18-Aug-1900</t>
  </si>
  <si>
    <t>Werkendam</t>
  </si>
  <si>
    <t>24-Nov-1897</t>
  </si>
  <si>
    <t>6-Dec-1897</t>
  </si>
  <si>
    <t>17-Sep-1902</t>
  </si>
  <si>
    <t>3-Oct-1902</t>
  </si>
  <si>
    <t>19-Feb-1903</t>
  </si>
  <si>
    <t>2-Mar-1903</t>
  </si>
  <si>
    <t>Bulgaria</t>
  </si>
  <si>
    <t>10-Sep-1900</t>
  </si>
  <si>
    <t>Patricia</t>
  </si>
  <si>
    <t>22-Aug-1906</t>
  </si>
  <si>
    <t>passengers stranded at St. Michael's, Azores, transferred to SS Madonna</t>
  </si>
  <si>
    <t>Tremont</t>
  </si>
  <si>
    <t>Kobe</t>
  </si>
  <si>
    <t>Tacoma</t>
  </si>
  <si>
    <t>7-Jul-1907</t>
  </si>
  <si>
    <t>18-Jun-1907</t>
  </si>
  <si>
    <t>27-Sep-1900</t>
  </si>
  <si>
    <t>23-Jul-1903</t>
  </si>
  <si>
    <t>30-Jun-1903</t>
  </si>
  <si>
    <t>31-Dec-1901</t>
  </si>
  <si>
    <t>7-Jan-1904</t>
  </si>
  <si>
    <t>17-Jan-1904</t>
  </si>
  <si>
    <t>28-Jul-1907</t>
  </si>
  <si>
    <t>20-Jul-1907</t>
  </si>
  <si>
    <t>14-Oct-1902</t>
  </si>
  <si>
    <t>8-Dec-1907</t>
  </si>
  <si>
    <t>Ionian</t>
  </si>
  <si>
    <t>28-Nov-1907</t>
  </si>
  <si>
    <t>Liverpool/Boulogne</t>
  </si>
  <si>
    <t>Liverpool &amp; Boulogne</t>
  </si>
  <si>
    <t>26-Sep-1896</t>
  </si>
  <si>
    <t>Kaiser Wilhelm II</t>
  </si>
  <si>
    <t>Tunisian</t>
  </si>
  <si>
    <t>14-Nov-1907</t>
  </si>
  <si>
    <t>22-Nov-1907</t>
  </si>
  <si>
    <t>Rotterdam</t>
  </si>
  <si>
    <t>President Lincoln</t>
  </si>
  <si>
    <t>6-Oct-1907</t>
  </si>
  <si>
    <t>8-Sep-1903</t>
  </si>
  <si>
    <t>6-Aug-1904</t>
  </si>
  <si>
    <t>4-Oct-1905</t>
  </si>
  <si>
    <t>4-Sep-1896</t>
  </si>
  <si>
    <t>5-Mar-1891</t>
  </si>
  <si>
    <t>1-Sep-1903</t>
  </si>
  <si>
    <t>11-Sep-1903</t>
  </si>
  <si>
    <t>Sicilian Prince</t>
  </si>
  <si>
    <t>6-Nov-1907</t>
  </si>
  <si>
    <t>Normannia</t>
  </si>
  <si>
    <t>29-May-1897</t>
  </si>
  <si>
    <t>Gerty</t>
  </si>
  <si>
    <t>22-Jan-1907</t>
  </si>
  <si>
    <t>Amerika</t>
  </si>
  <si>
    <t>2-Jun-1903</t>
  </si>
  <si>
    <t>24-May-1903</t>
  </si>
  <si>
    <t>22-Sep-1909</t>
  </si>
  <si>
    <t>15-Sep-1909</t>
  </si>
  <si>
    <t>1-Apr-1901</t>
  </si>
  <si>
    <t>Tartar Prince</t>
  </si>
  <si>
    <t>27-Jan-1898</t>
  </si>
  <si>
    <t>6-Jan-1898</t>
  </si>
  <si>
    <t>16-Sep-1908</t>
  </si>
  <si>
    <t>9-Sep-1908</t>
  </si>
  <si>
    <t>28-Sep-1906</t>
  </si>
  <si>
    <t>11-Sep-1906</t>
  </si>
  <si>
    <t>3-Nov-1907</t>
  </si>
  <si>
    <t>4-Feb-1902</t>
  </si>
  <si>
    <t>23-Jan-1902</t>
  </si>
  <si>
    <t>23-Sep-1906</t>
  </si>
  <si>
    <t>2-Oct-1906</t>
  </si>
  <si>
    <t>City of Peking</t>
  </si>
  <si>
    <t>Nagasaki</t>
  </si>
  <si>
    <t>19-Jul-1901</t>
  </si>
  <si>
    <t>14-Aug-1901</t>
  </si>
  <si>
    <t>9-Dec-1907</t>
  </si>
  <si>
    <t>8-May-1899</t>
  </si>
  <si>
    <t>19-May-1899</t>
  </si>
  <si>
    <t>Lake Ontario</t>
  </si>
  <si>
    <t>11-Jun-1901</t>
  </si>
  <si>
    <t>5-Oct-1910</t>
  </si>
  <si>
    <t>19-Sep-1910</t>
  </si>
  <si>
    <t>25-Jan-1904</t>
  </si>
  <si>
    <t>13-Jan-1904</t>
  </si>
  <si>
    <t>Veendam</t>
  </si>
  <si>
    <t>8-Sep-1897</t>
  </si>
  <si>
    <t>19-Sep-1897</t>
  </si>
  <si>
    <t>Moltke</t>
  </si>
  <si>
    <t>18-Aug-1913</t>
  </si>
  <si>
    <t>7-Oct-1920</t>
  </si>
  <si>
    <t>3-Jul-1925</t>
  </si>
  <si>
    <t>18-Jun-1925</t>
  </si>
  <si>
    <t>10-Oct-1922</t>
  </si>
  <si>
    <t>16-Sep-1922</t>
  </si>
  <si>
    <t>23-Nov-1902</t>
  </si>
  <si>
    <t>4-Dec-1902</t>
  </si>
  <si>
    <t>12-Feb-1903</t>
  </si>
  <si>
    <t>Aquitania</t>
  </si>
  <si>
    <t>15-Feb-1921</t>
  </si>
  <si>
    <t>8-Jun-1922</t>
  </si>
  <si>
    <t>2-Jul-1922</t>
  </si>
  <si>
    <t>19-Sep-1913</t>
  </si>
  <si>
    <t>3-Oct-1913</t>
  </si>
  <si>
    <t>23-Nov-1909</t>
  </si>
  <si>
    <t>14-Nov-1909</t>
  </si>
  <si>
    <t>6-Nov-1900</t>
  </si>
  <si>
    <t>19-Nov-1900</t>
  </si>
  <si>
    <t>9-Jan-1906</t>
  </si>
  <si>
    <t>27-Dec-1905</t>
  </si>
  <si>
    <t>13-Oct-1909</t>
  </si>
  <si>
    <t>25-Oct-1909</t>
  </si>
  <si>
    <t>2-Jul-1903</t>
  </si>
  <si>
    <t>21-Jun-1903</t>
  </si>
  <si>
    <t>Baltimore</t>
  </si>
  <si>
    <t>Jeranos</t>
  </si>
  <si>
    <t>12-Aug-1886</t>
  </si>
  <si>
    <t>29-Sep-1903</t>
  </si>
  <si>
    <t>Titian</t>
  </si>
  <si>
    <t>Santos, Brazil</t>
  </si>
  <si>
    <t>28-Nov-1905</t>
  </si>
  <si>
    <t>7-Nov-1905</t>
  </si>
  <si>
    <t>State of Georgia</t>
  </si>
  <si>
    <t>8-Jan-1888</t>
  </si>
  <si>
    <t>12-Sep-1898</t>
  </si>
  <si>
    <t>Lusitania</t>
  </si>
  <si>
    <t>19-Jul-1890</t>
  </si>
  <si>
    <t>Kaiser Wilhelm der Grosse</t>
  </si>
  <si>
    <t>19-Nov-1902</t>
  </si>
  <si>
    <t>26-Nov-1902</t>
  </si>
  <si>
    <t>11-Mar-1901</t>
  </si>
  <si>
    <t>22-Mar-1901</t>
  </si>
  <si>
    <t>Nuestria</t>
  </si>
  <si>
    <t>Algeria</t>
  </si>
  <si>
    <t>21-Dec-1904</t>
  </si>
  <si>
    <t>Noordam</t>
  </si>
  <si>
    <t>10-Jun-1920</t>
  </si>
  <si>
    <t>21-Jun-1920</t>
  </si>
  <si>
    <t>8-Sep-1891</t>
  </si>
  <si>
    <t>26-Aug-1891</t>
  </si>
  <si>
    <t>23-Jul-1904</t>
  </si>
  <si>
    <t>14-Jul-1904</t>
  </si>
  <si>
    <t>25-Feb-1921</t>
  </si>
  <si>
    <t>Lake Manitoba</t>
  </si>
  <si>
    <t>20-Dec-1903</t>
  </si>
  <si>
    <t>8-Dec-1903</t>
  </si>
  <si>
    <t>9-Feb-1901</t>
  </si>
  <si>
    <t>18-Feb-1901</t>
  </si>
  <si>
    <t>23-Oct-1905</t>
  </si>
  <si>
    <t>11-Oct-1905</t>
  </si>
  <si>
    <t>Noordland</t>
  </si>
  <si>
    <t>Citta di Napoli</t>
  </si>
  <si>
    <t>18-Aug-1905</t>
  </si>
  <si>
    <t>1-Aug-1905</t>
  </si>
  <si>
    <t>21-Jan-1905</t>
  </si>
  <si>
    <t>30-Jan-1905</t>
  </si>
  <si>
    <t>Chateau Leoville</t>
  </si>
  <si>
    <t>15-Sep-1883</t>
  </si>
  <si>
    <t>England</t>
  </si>
  <si>
    <t>9-Aug-1888</t>
  </si>
  <si>
    <t>30-Jun-1890</t>
  </si>
  <si>
    <t>Hamburg &amp; Le Havre</t>
  </si>
  <si>
    <t>14-Dec-1904</t>
  </si>
  <si>
    <t>19-May-1903</t>
  </si>
  <si>
    <t>Sardinian</t>
  </si>
  <si>
    <t>25-Oct-1907</t>
  </si>
  <si>
    <t>28-Jul-1913</t>
  </si>
  <si>
    <t>Corinthian</t>
  </si>
  <si>
    <t>10-Dec-1909</t>
  </si>
  <si>
    <t>Kensington</t>
  </si>
  <si>
    <t>26-Aug-1903</t>
  </si>
  <si>
    <t>5-Sep-1901</t>
  </si>
  <si>
    <t>15-Sep-1901</t>
  </si>
  <si>
    <t>10-Mar-1906</t>
  </si>
  <si>
    <t>14-Nov-1911</t>
  </si>
  <si>
    <t>31-Oct-1911</t>
  </si>
  <si>
    <t>Pomeranian</t>
  </si>
  <si>
    <t>7-Jan-1908</t>
  </si>
  <si>
    <t>Corean</t>
  </si>
  <si>
    <t>28-Mar-1906</t>
  </si>
  <si>
    <t>11-Nov-1909</t>
  </si>
  <si>
    <t>3-Nov-1909</t>
  </si>
  <si>
    <t>17-May-1909</t>
  </si>
  <si>
    <t>29-Jul-1909</t>
  </si>
  <si>
    <t>12-Jul-1909</t>
  </si>
  <si>
    <t>1-Feb-1906</t>
  </si>
  <si>
    <t>George Washington</t>
  </si>
  <si>
    <t>18-Aug-1903</t>
  </si>
  <si>
    <t>12-Aug-1903</t>
  </si>
  <si>
    <t>Siberian</t>
  </si>
  <si>
    <t>26-Jul-1907</t>
  </si>
  <si>
    <t>3-Feb-1902</t>
  </si>
  <si>
    <t>xx-Jan-1902</t>
  </si>
  <si>
    <t>7-Oct-1915</t>
  </si>
  <si>
    <t>21-Oct-1915</t>
  </si>
  <si>
    <t>Southampton &amp; Cherbourg</t>
  </si>
  <si>
    <t>Sicilian</t>
  </si>
  <si>
    <t>24-Jun-1907</t>
  </si>
  <si>
    <t>31-Oct-1923</t>
  </si>
  <si>
    <t>9-Nov-1923</t>
  </si>
  <si>
    <t>7-Sep-1905</t>
  </si>
  <si>
    <t>17-Sep-1905</t>
  </si>
  <si>
    <t>Roussillon</t>
  </si>
  <si>
    <t>31-Jul-1922</t>
  </si>
  <si>
    <t>5-Jan-1921</t>
  </si>
  <si>
    <t>10-Jul-1913</t>
  </si>
  <si>
    <t>27-Nov-1913</t>
  </si>
  <si>
    <t>7-Jan-1922</t>
  </si>
  <si>
    <t>22-Dec-1921</t>
  </si>
  <si>
    <t>7-Feb-1923</t>
  </si>
  <si>
    <t>31-Jan-1923</t>
  </si>
  <si>
    <t>2-Jun-1913</t>
  </si>
  <si>
    <t>3-Sep-1903</t>
  </si>
  <si>
    <t>6-Sep-1910</t>
  </si>
  <si>
    <t>25-Aug-1910</t>
  </si>
  <si>
    <t>Devonian</t>
  </si>
  <si>
    <t>Shinyo Maru</t>
  </si>
  <si>
    <t>10-Sep-1919</t>
  </si>
  <si>
    <t>12-Mar-1913</t>
  </si>
  <si>
    <t>20-Mar-1913</t>
  </si>
  <si>
    <t>29-Jan-1920</t>
  </si>
  <si>
    <t>8-Feb-1920</t>
  </si>
  <si>
    <t>30-Sep-1912</t>
  </si>
  <si>
    <t>17-Oct-1912</t>
  </si>
  <si>
    <t>20-Jun-1913</t>
  </si>
  <si>
    <t>Columbus</t>
  </si>
  <si>
    <t>1-Oct-1903</t>
  </si>
  <si>
    <t>24-May-1913</t>
  </si>
  <si>
    <t>15-May-1913</t>
  </si>
  <si>
    <t>Kaiserin Auguste Victoria</t>
  </si>
  <si>
    <t>6-Sep-1920</t>
  </si>
  <si>
    <t>16-Sep-1920</t>
  </si>
  <si>
    <t>20-Oct-1907</t>
  </si>
  <si>
    <t>14-Sep-1920</t>
  </si>
  <si>
    <t>4-Oct-1920</t>
  </si>
  <si>
    <t>19-Oct-1902</t>
  </si>
  <si>
    <t>9-Oct-1902</t>
  </si>
  <si>
    <t>13-Nov-1902</t>
  </si>
  <si>
    <t>14-Feb-1903</t>
  </si>
  <si>
    <t>25-Jan-1903</t>
  </si>
  <si>
    <t>12-Mar-1903</t>
  </si>
  <si>
    <t>Konig Albert</t>
  </si>
  <si>
    <t>26-Mar-1903</t>
  </si>
  <si>
    <t>Kronprinz Wilhelm</t>
  </si>
  <si>
    <t>27-May-1903</t>
  </si>
  <si>
    <t>3-Jun-1903</t>
  </si>
  <si>
    <t>Friedrich der Grosse</t>
  </si>
  <si>
    <t>16-Jun-1903</t>
  </si>
  <si>
    <t>17-Jun-1903</t>
  </si>
  <si>
    <t>10-Jun-1903</t>
  </si>
  <si>
    <t>22-Jul-1903</t>
  </si>
  <si>
    <t>12-Jul-1903</t>
  </si>
  <si>
    <t>30-Jul-1903</t>
  </si>
  <si>
    <t>19-Jul-1903</t>
  </si>
  <si>
    <t>16-Aug-1903</t>
  </si>
  <si>
    <t>4-Apr-1905</t>
  </si>
  <si>
    <t>23-Mar-1905</t>
  </si>
  <si>
    <t>15-Jun-1905</t>
  </si>
  <si>
    <t>7-Mar-1909</t>
  </si>
  <si>
    <t>25-Feb-1909</t>
  </si>
  <si>
    <t>8-Mar-1907</t>
  </si>
  <si>
    <t>10-May-1907</t>
  </si>
  <si>
    <t>5-Jul-1907</t>
  </si>
  <si>
    <t>Ausonia</t>
  </si>
  <si>
    <t>29-Nov-1923</t>
  </si>
  <si>
    <t>22-Nov-1923</t>
  </si>
  <si>
    <t>9-Aug-1907</t>
  </si>
  <si>
    <t>16-Aug-1907</t>
  </si>
  <si>
    <t>6-Sep-1907</t>
  </si>
  <si>
    <t>3-Oct-1907</t>
  </si>
  <si>
    <t>25-Sep-1907</t>
  </si>
  <si>
    <t>8-Jul-1912</t>
  </si>
  <si>
    <t>29-Jun-1912</t>
  </si>
  <si>
    <t>12-Jul-1893</t>
  </si>
  <si>
    <t>Samsun</t>
  </si>
  <si>
    <t>15-Sep-1904</t>
  </si>
  <si>
    <t>24-Nov-1907</t>
  </si>
  <si>
    <t>15-Nov-1907</t>
  </si>
  <si>
    <t>17-Nov-1907</t>
  </si>
  <si>
    <t>29-Nov-1907</t>
  </si>
  <si>
    <t>9-Oct-1912</t>
  </si>
  <si>
    <t>19-Dec-1912</t>
  </si>
  <si>
    <t>4-Dec-1912</t>
  </si>
  <si>
    <t>Rotterdam &amp; Boulogne</t>
  </si>
  <si>
    <t>Hawaii Maru</t>
  </si>
  <si>
    <t>11-Oct-1917</t>
  </si>
  <si>
    <t>26-Oct-1917</t>
  </si>
  <si>
    <t>21-Jul-1912</t>
  </si>
  <si>
    <t>13-Jul-1912</t>
  </si>
  <si>
    <t>24-Jun-1920</t>
  </si>
  <si>
    <t>15-Sep-1912</t>
  </si>
  <si>
    <t>Byron</t>
  </si>
  <si>
    <t>1-Nov-1923</t>
  </si>
  <si>
    <t>10-Oct-1923</t>
  </si>
  <si>
    <t>4-Feb-1904</t>
  </si>
  <si>
    <t>23-Feb-1904</t>
  </si>
  <si>
    <t>Georgia</t>
  </si>
  <si>
    <t>1-Jul-1906</t>
  </si>
  <si>
    <t>19-Jul-1906</t>
  </si>
  <si>
    <t>11-Jun-1909</t>
  </si>
  <si>
    <t>8-Oct-1913</t>
  </si>
  <si>
    <t>5-Aug-1925</t>
  </si>
  <si>
    <t>9-Jul-1925</t>
  </si>
  <si>
    <t>3-Mar-1921</t>
  </si>
  <si>
    <t>DDS</t>
  </si>
  <si>
    <t>Denis Der Sarkissian</t>
  </si>
  <si>
    <t>25-Feb-1922</t>
  </si>
  <si>
    <t>15-Mar-1922</t>
  </si>
  <si>
    <t>24-Jan-1922</t>
  </si>
  <si>
    <t>12-Oct-1921</t>
  </si>
  <si>
    <t>17-Oct-1921</t>
  </si>
  <si>
    <t>31-May-1921</t>
  </si>
  <si>
    <t>6-Dec-1911</t>
  </si>
  <si>
    <t>Duca d'Aosta</t>
  </si>
  <si>
    <t>12-Sep-1914</t>
  </si>
  <si>
    <t>26-Sep-1914</t>
  </si>
  <si>
    <t>29-Jul-1912</t>
  </si>
  <si>
    <t>22-Mar-1912</t>
  </si>
  <si>
    <t>Calabria</t>
  </si>
  <si>
    <t>Mexico Maru</t>
  </si>
  <si>
    <t>13-Apr-1919</t>
  </si>
  <si>
    <t>30-Apr-1919</t>
  </si>
  <si>
    <t>Paris</t>
  </si>
  <si>
    <t>24-Jun-1922</t>
  </si>
  <si>
    <t>1-Jul-1922</t>
  </si>
  <si>
    <t>Kamo Maru</t>
  </si>
  <si>
    <t>23-Oct-1918</t>
  </si>
  <si>
    <t>7-Nov-1918</t>
  </si>
  <si>
    <t>9-Jul-1913</t>
  </si>
  <si>
    <t>Persia Maru</t>
  </si>
  <si>
    <t>4-Jan-1918</t>
  </si>
  <si>
    <t>Suwa Maru</t>
  </si>
  <si>
    <t>17-Nov-1919</t>
  </si>
  <si>
    <t>2-Dec-1919</t>
  </si>
  <si>
    <t>30-Jun-1905</t>
  </si>
  <si>
    <t>18-Jun-1905</t>
  </si>
  <si>
    <t>12-Oct-1913</t>
  </si>
  <si>
    <t>10-Apr-1922</t>
  </si>
  <si>
    <t>8-Mar-1922</t>
  </si>
  <si>
    <t>11-Mar-1922</t>
  </si>
  <si>
    <t>30-Sep-1907</t>
  </si>
  <si>
    <t>17-Sep-1907</t>
  </si>
  <si>
    <t>7-Jan-1915</t>
  </si>
  <si>
    <t>19-Jun-1911</t>
  </si>
  <si>
    <t>18-Jan-1905</t>
  </si>
  <si>
    <t>27-Jan-1905</t>
  </si>
  <si>
    <t>Canada Maru</t>
  </si>
  <si>
    <t>14-May-1917</t>
  </si>
  <si>
    <t>30-May-1917</t>
  </si>
  <si>
    <t>14-Nov-1923</t>
  </si>
  <si>
    <t>3-Dec-1923</t>
  </si>
  <si>
    <t>1-Jun-1914</t>
  </si>
  <si>
    <t>18-Jun-1914</t>
  </si>
  <si>
    <t>23-Jul-1923</t>
  </si>
  <si>
    <t>5-Mar-1913</t>
  </si>
  <si>
    <t>21-Mar-1913</t>
  </si>
  <si>
    <t>5-Dec-1914</t>
  </si>
  <si>
    <t>18-Nov-1914</t>
  </si>
  <si>
    <t>4-Aug-1918</t>
  </si>
  <si>
    <t>20-Jul-1918</t>
  </si>
  <si>
    <t>8-Aug-1920</t>
  </si>
  <si>
    <t>14-Apr-1913</t>
  </si>
  <si>
    <t>1-May-1913</t>
  </si>
  <si>
    <t>7-Jul-1922</t>
  </si>
  <si>
    <t>14-Jun-1922</t>
  </si>
  <si>
    <t>11-Jun-1922</t>
  </si>
  <si>
    <t>4-Dec-1911</t>
  </si>
  <si>
    <t>President Van Buren</t>
  </si>
  <si>
    <t>27-Jan-1926</t>
  </si>
  <si>
    <t>11-Feb-1926</t>
  </si>
  <si>
    <t>17-Feb-1901</t>
  </si>
  <si>
    <t>14-Oct-1922</t>
  </si>
  <si>
    <t>ShipLists-Canada.xlsx</t>
  </si>
  <si>
    <t>9-Mar-1898</t>
  </si>
  <si>
    <t>Carmania</t>
  </si>
  <si>
    <t>14-Aug-1906</t>
  </si>
  <si>
    <t>21-Aug-1906</t>
  </si>
  <si>
    <t>ShipLists-Canada.xlsx (all but 1)</t>
  </si>
  <si>
    <t>Homeric</t>
  </si>
  <si>
    <t>18-Sep-1925</t>
  </si>
  <si>
    <t>23-Sep-1925</t>
  </si>
  <si>
    <t>16-Sep-1925</t>
  </si>
  <si>
    <t>9-Feb-1923</t>
  </si>
  <si>
    <t>6-Mar-1923</t>
  </si>
  <si>
    <t>6-May-1912</t>
  </si>
  <si>
    <t>Ohio</t>
  </si>
  <si>
    <t>21-Nov-1894</t>
  </si>
  <si>
    <t>22-May-1914</t>
  </si>
  <si>
    <t>9-Jan-1913</t>
  </si>
  <si>
    <t>24-Dec-1912</t>
  </si>
  <si>
    <t>20-Sep-1911</t>
  </si>
  <si>
    <t>Kashima Maru</t>
  </si>
  <si>
    <t>13-Jan-1918</t>
  </si>
  <si>
    <t>26-Jan-1918</t>
  </si>
  <si>
    <t>2-Jun-1910</t>
  </si>
  <si>
    <t>Furst Bismarck</t>
  </si>
  <si>
    <t>6-Aug-1897</t>
  </si>
  <si>
    <t>13-Aug-1897</t>
  </si>
  <si>
    <t>Tamba Maru</t>
  </si>
  <si>
    <t>14-Oct-1917</t>
  </si>
  <si>
    <t>30-Oct-1917</t>
  </si>
  <si>
    <t>Citta di Torino</t>
  </si>
  <si>
    <t>18-May-1904</t>
  </si>
  <si>
    <t>6-Aug-1922</t>
  </si>
  <si>
    <t>6-Nov-1909</t>
  </si>
  <si>
    <t>10-Aug-1916</t>
  </si>
  <si>
    <t>22-Aug-1916</t>
  </si>
  <si>
    <t>14-Aug-1908</t>
  </si>
  <si>
    <t>Palermo</t>
  </si>
  <si>
    <t>19-Jan-1909</t>
  </si>
  <si>
    <t>3-Feb-1909</t>
  </si>
  <si>
    <t>14-Feb-1909</t>
  </si>
  <si>
    <t>3-May-1909</t>
  </si>
  <si>
    <t>3-Jun-1909</t>
  </si>
  <si>
    <t>26-May-1909</t>
  </si>
  <si>
    <t>17-Jun-1909</t>
  </si>
  <si>
    <t>9-Jun-1909</t>
  </si>
  <si>
    <t>15-Jun-1909</t>
  </si>
  <si>
    <t>7-Jul-1909</t>
  </si>
  <si>
    <t>15-Jul-1909</t>
  </si>
  <si>
    <t>29-Sep-1909</t>
  </si>
  <si>
    <t>21-Oct-1909</t>
  </si>
  <si>
    <t>12-Oct-1909</t>
  </si>
  <si>
    <t>26-Oct-1909</t>
  </si>
  <si>
    <t>17-Nov-1909</t>
  </si>
  <si>
    <t>26-Nov-1909</t>
  </si>
  <si>
    <t>17-Dec-1909</t>
  </si>
  <si>
    <t>24-Dec-1909</t>
  </si>
  <si>
    <t>27-Apr-1902</t>
  </si>
  <si>
    <t>8-May-1902</t>
  </si>
  <si>
    <t>Montreal</t>
  </si>
  <si>
    <t>2-Jun-1905</t>
  </si>
  <si>
    <t>1-Nov-1906</t>
  </si>
  <si>
    <t>31-Oct-1902</t>
  </si>
  <si>
    <t>Photo</t>
  </si>
  <si>
    <t>Immigrant</t>
  </si>
  <si>
    <t>29-Oct-1911</t>
  </si>
  <si>
    <t>23-Oct-1912</t>
  </si>
  <si>
    <t>20-Jul-1912</t>
  </si>
  <si>
    <t>28-Jul-1912</t>
  </si>
  <si>
    <t>27-Oct-1900</t>
  </si>
  <si>
    <t>20-Oct-1900</t>
  </si>
  <si>
    <t>25-Jun-1912</t>
  </si>
  <si>
    <t>15-Nov-1903</t>
  </si>
  <si>
    <t>Espagne</t>
  </si>
  <si>
    <t>4-May-1919</t>
  </si>
  <si>
    <t>15-May-1919</t>
  </si>
  <si>
    <t>2-Dec-1900</t>
  </si>
  <si>
    <t>Pennland</t>
  </si>
  <si>
    <t>Belgravia</t>
  </si>
  <si>
    <t>19-Jun-1914</t>
  </si>
  <si>
    <t>13-Jun-1914</t>
  </si>
  <si>
    <t>11-Mar-1912</t>
  </si>
  <si>
    <t>29-Mar-1912</t>
  </si>
  <si>
    <t>Aquila</t>
  </si>
  <si>
    <t>Swansea, Wales</t>
  </si>
  <si>
    <t>3-Dec-1908</t>
  </si>
  <si>
    <t>13-Jun-1923</t>
  </si>
  <si>
    <t>Belgenland</t>
  </si>
  <si>
    <t>14-Oct-1896</t>
  </si>
  <si>
    <t>25-Oct-1896</t>
  </si>
  <si>
    <t>28-Sep-1916</t>
  </si>
  <si>
    <t>7-Sep-1916</t>
  </si>
  <si>
    <t>Buenos Aires (La Plata)</t>
  </si>
  <si>
    <t>22-Apr-1912</t>
  </si>
  <si>
    <t>13-May-1912</t>
  </si>
  <si>
    <t>Athinai</t>
  </si>
  <si>
    <t>27-Feb-1910</t>
  </si>
  <si>
    <t>9-Mar-1910</t>
  </si>
  <si>
    <t>10-Jun-1921</t>
  </si>
  <si>
    <t>Cherbourg &amp; Southampton</t>
  </si>
  <si>
    <t>13-Jun-1913</t>
  </si>
  <si>
    <t>6-Jul-1913</t>
  </si>
  <si>
    <t>12-Nov-1912</t>
  </si>
  <si>
    <t>28-Oct-1912</t>
  </si>
  <si>
    <t>3-May-1913</t>
  </si>
  <si>
    <t>20-Oct-1891</t>
  </si>
  <si>
    <t>30-Jul-1921</t>
  </si>
  <si>
    <t>20-Jul-1901</t>
  </si>
  <si>
    <t>27-Oct-1897</t>
  </si>
  <si>
    <t>16-Mar-1924</t>
  </si>
  <si>
    <t>30-Apr-1891</t>
  </si>
  <si>
    <t>Sachem</t>
  </si>
  <si>
    <t>30-Nov-1920</t>
  </si>
  <si>
    <t>16-Dec-1920</t>
  </si>
  <si>
    <t>15-Oct-1923</t>
  </si>
  <si>
    <t>10-May-1922</t>
  </si>
  <si>
    <t>3-May-1922</t>
  </si>
  <si>
    <t>13-Sep-1923</t>
  </si>
  <si>
    <t>18-Oct-1923</t>
  </si>
  <si>
    <t>Britannic</t>
  </si>
  <si>
    <t>25-Oct-1886</t>
  </si>
  <si>
    <t>17-Nov-1910</t>
  </si>
  <si>
    <t>22-Jun-1912</t>
  </si>
  <si>
    <t>20-Jun-1910</t>
  </si>
  <si>
    <t>4-Jan-1917</t>
  </si>
  <si>
    <t>Siberia Maru</t>
  </si>
  <si>
    <t>12-Feb-1919</t>
  </si>
  <si>
    <t>1-Mar-1919</t>
  </si>
  <si>
    <t>10-Jan-1913</t>
  </si>
  <si>
    <t>11-Aug-1913</t>
  </si>
  <si>
    <t>Jelunga</t>
  </si>
  <si>
    <t>15-Jul-1908</t>
  </si>
  <si>
    <t>lists for USA &amp; Canada</t>
  </si>
  <si>
    <t>5-Feb-1908</t>
  </si>
  <si>
    <t>Arabia Maru</t>
  </si>
  <si>
    <t>5-Aug-1919</t>
  </si>
  <si>
    <t>19-Aug-1919</t>
  </si>
  <si>
    <t>15-Nov-1906</t>
  </si>
  <si>
    <t>15-Jan-1923</t>
  </si>
  <si>
    <t>13-Dec-1922</t>
  </si>
  <si>
    <t>2-Nov-1922</t>
  </si>
  <si>
    <t>18-Apr-1925</t>
  </si>
  <si>
    <t>24-Apr-1925</t>
  </si>
  <si>
    <t>15-Jul-1913</t>
  </si>
  <si>
    <t>Myron C Taylor</t>
  </si>
  <si>
    <t>Port Said</t>
  </si>
  <si>
    <t>21-May-1919</t>
  </si>
  <si>
    <t>8-Aug-1919</t>
  </si>
  <si>
    <t>11-Feb-1913</t>
  </si>
  <si>
    <t>28-Feb-1913</t>
  </si>
  <si>
    <t>9-Aug-1916</t>
  </si>
  <si>
    <t>28-Jul-1916</t>
  </si>
  <si>
    <t>Southland</t>
  </si>
  <si>
    <t>6-Jan-1917</t>
  </si>
  <si>
    <t>Europa</t>
  </si>
  <si>
    <t>1-Jul-1910</t>
  </si>
  <si>
    <t>13-Jul-1910</t>
  </si>
  <si>
    <t>28-Nov-1912</t>
  </si>
  <si>
    <t>7-Oct-1913</t>
  </si>
  <si>
    <t>Principe di Piemonte</t>
  </si>
  <si>
    <t>20-Oct-1912</t>
  </si>
  <si>
    <t>5-Nov-1905</t>
  </si>
  <si>
    <t>Fiume</t>
  </si>
  <si>
    <t>30-May-1913</t>
  </si>
  <si>
    <t>12-Feb-1898</t>
  </si>
  <si>
    <t>Tortona</t>
  </si>
  <si>
    <t>1-Apr-1910</t>
  </si>
  <si>
    <t>7-Aug-1902</t>
  </si>
  <si>
    <t>17-Aug-1902</t>
  </si>
  <si>
    <t>19-Jan-1927</t>
  </si>
  <si>
    <t>27-Jan-1927</t>
  </si>
  <si>
    <t>9-Mar-1915</t>
  </si>
  <si>
    <t>9-Jan-1924</t>
  </si>
  <si>
    <t>2-Feb-1924</t>
  </si>
  <si>
    <t>1-Sep-1920</t>
  </si>
  <si>
    <t>11-Sep-1920</t>
  </si>
  <si>
    <t>5-Apr-1911</t>
  </si>
  <si>
    <t>26-Aug-1912</t>
  </si>
  <si>
    <t>12-Nov-1902</t>
  </si>
  <si>
    <t>23-Nov-1892</t>
  </si>
  <si>
    <t>6-Nov-1920</t>
  </si>
  <si>
    <t>14-Jul-1910</t>
  </si>
  <si>
    <t>Canada &amp; USA lists</t>
  </si>
  <si>
    <t>Quebec &amp; Montreal</t>
  </si>
  <si>
    <t>7-Jun-1920</t>
  </si>
  <si>
    <t>10-May-1909</t>
  </si>
  <si>
    <t>28-Apr-1909</t>
  </si>
  <si>
    <t>Caronia</t>
  </si>
  <si>
    <t>4-Mar-1921</t>
  </si>
  <si>
    <t>14-Feb-1921</t>
  </si>
  <si>
    <t>25-Oct-1924</t>
  </si>
  <si>
    <t>31-Oct-1924</t>
  </si>
  <si>
    <t>Canada 30A</t>
  </si>
  <si>
    <t>3-Nov-1902</t>
  </si>
  <si>
    <t>14-Mar-1903</t>
  </si>
  <si>
    <t>25-Mar-1903</t>
  </si>
  <si>
    <t>15-Aug-1921</t>
  </si>
  <si>
    <t>28-Sep-1920</t>
  </si>
  <si>
    <t>24-Oct-1920</t>
  </si>
  <si>
    <t>9-Sep-1913</t>
  </si>
  <si>
    <t>9-Nov-1912</t>
  </si>
  <si>
    <t>24-Nov-1912</t>
  </si>
  <si>
    <t>23-Sep-1912</t>
  </si>
  <si>
    <t>Lapland</t>
  </si>
  <si>
    <t>3-Jan-1921</t>
  </si>
  <si>
    <t>24-Dec-1920</t>
  </si>
  <si>
    <t>25-Oct-1920</t>
  </si>
  <si>
    <t>5-Nov-1920</t>
  </si>
  <si>
    <t>26-Dec-1912</t>
  </si>
  <si>
    <t>3-Jan-1913</t>
  </si>
  <si>
    <t>17-Sep-1920</t>
  </si>
  <si>
    <t>Columbia</t>
  </si>
  <si>
    <t>22-Jul-1912</t>
  </si>
  <si>
    <t>12-Jan-1913</t>
  </si>
  <si>
    <t>29-Dec-1919</t>
  </si>
  <si>
    <t>18-Dec-1919</t>
  </si>
  <si>
    <t>25-Nov-1893</t>
  </si>
  <si>
    <t>3-May-1912</t>
  </si>
  <si>
    <t>30-Nov-1913</t>
  </si>
  <si>
    <t>Elysia</t>
  </si>
  <si>
    <t>Naples &amp; Palermo</t>
  </si>
  <si>
    <t>13-Aug-1888</t>
  </si>
  <si>
    <t>7-Oct-1893</t>
  </si>
  <si>
    <t>12-Apr-1901</t>
  </si>
  <si>
    <t>22-Apr-1901</t>
  </si>
  <si>
    <t>City of Rome</t>
  </si>
  <si>
    <t>18-Aug-1890</t>
  </si>
  <si>
    <t>13-Sep-1895</t>
  </si>
  <si>
    <t>23-Jul-1900</t>
  </si>
  <si>
    <t>4-Aug-1900</t>
  </si>
  <si>
    <t>27-Jun-1902</t>
  </si>
  <si>
    <t>9-Jul-1902</t>
  </si>
  <si>
    <t>1-Oct-1905</t>
  </si>
  <si>
    <t>10-Oct-1905</t>
  </si>
  <si>
    <t>16-May-1906</t>
  </si>
  <si>
    <t>28-May-1906</t>
  </si>
  <si>
    <t>11-Nov-1896</t>
  </si>
  <si>
    <t>6-Oct-1891</t>
  </si>
  <si>
    <t>12-Sep-1907</t>
  </si>
  <si>
    <t>ShipLists-Canada.xlsx (37)</t>
  </si>
  <si>
    <t>Friesland</t>
  </si>
  <si>
    <t>30-Apr-1906</t>
  </si>
  <si>
    <t>Sea Bird</t>
  </si>
  <si>
    <t>11-Sep-1854</t>
  </si>
  <si>
    <t>30-Sep-1901</t>
  </si>
  <si>
    <t>11-Oct-1901</t>
  </si>
  <si>
    <t>Aurania</t>
  </si>
  <si>
    <t>Kursk</t>
  </si>
  <si>
    <t>Archangel</t>
  </si>
  <si>
    <t>13-Dec-1915</t>
  </si>
  <si>
    <t>4-Jan-1916</t>
  </si>
  <si>
    <t>29-May-1905</t>
  </si>
  <si>
    <t>21-Oct-1903</t>
  </si>
  <si>
    <t>28-Oct-1903</t>
  </si>
  <si>
    <t>27-Jun-1907</t>
  </si>
  <si>
    <t>Pretorian</t>
  </si>
  <si>
    <t>1-May-1902</t>
  </si>
  <si>
    <t>11-May-1902</t>
  </si>
  <si>
    <t>9-Jul-1908</t>
  </si>
  <si>
    <t>22-Jul-1908</t>
  </si>
  <si>
    <t>Chateau Margaux</t>
  </si>
  <si>
    <t>24-Jul-1888</t>
  </si>
  <si>
    <t>13-Nov-1907</t>
  </si>
  <si>
    <t>Sannio</t>
  </si>
  <si>
    <t>26-Sep-1907</t>
  </si>
  <si>
    <t>10-Sep-1907</t>
  </si>
  <si>
    <t>30-Jul-1908</t>
  </si>
  <si>
    <t>Koln</t>
  </si>
  <si>
    <t>4-Oct-1906</t>
  </si>
  <si>
    <t>Galveston</t>
  </si>
  <si>
    <t>27-Aug-1908</t>
  </si>
  <si>
    <t>10-Sep-1908</t>
  </si>
  <si>
    <t>Commonwealth</t>
  </si>
  <si>
    <t>13-Aug-1903</t>
  </si>
  <si>
    <t>21-Aug-1903</t>
  </si>
  <si>
    <t>5-Jan-1901</t>
  </si>
  <si>
    <t>13-Jan-1901</t>
  </si>
  <si>
    <t>14-Jul-1908</t>
  </si>
  <si>
    <t>23-Jul-1908</t>
  </si>
  <si>
    <t>29-Aug-1893</t>
  </si>
  <si>
    <t>Edam</t>
  </si>
  <si>
    <t>28-Feb-1893</t>
  </si>
  <si>
    <t>15-Jan-1896</t>
  </si>
  <si>
    <t>8-Mar-1890</t>
  </si>
  <si>
    <t>29-Oct-1900</t>
  </si>
  <si>
    <t>17-May-1910</t>
  </si>
  <si>
    <t>15-May-1907</t>
  </si>
  <si>
    <t>3-Jun-1907</t>
  </si>
  <si>
    <t>Parisian</t>
  </si>
  <si>
    <t>16-Feb-1904</t>
  </si>
  <si>
    <t>26-Feb-1904</t>
  </si>
  <si>
    <t>22-May-1897</t>
  </si>
  <si>
    <t>16-Oct-1912</t>
  </si>
  <si>
    <t>24-Oct-1912</t>
  </si>
  <si>
    <t>1 on Canada sheet</t>
  </si>
  <si>
    <t>Scythia</t>
  </si>
  <si>
    <t>15-Oct-1888</t>
  </si>
  <si>
    <t>3-Jul-1890</t>
  </si>
  <si>
    <t>29-Oct-1897</t>
  </si>
  <si>
    <t>5-Nov-1897</t>
  </si>
  <si>
    <t>Cambroman</t>
  </si>
  <si>
    <t>9-Apr-1903</t>
  </si>
  <si>
    <t>Andalusia</t>
  </si>
  <si>
    <t>Norwegian</t>
  </si>
  <si>
    <t>12-Jan-1894</t>
  </si>
  <si>
    <t>24-Mar-1910</t>
  </si>
  <si>
    <t>20-Apr-1902</t>
  </si>
  <si>
    <t>30-Apr-1902</t>
  </si>
  <si>
    <t>28-Apr-1898</t>
  </si>
  <si>
    <t>8-May-1898</t>
  </si>
  <si>
    <t>22-Nov-1902</t>
  </si>
  <si>
    <t>1-Dec-1902</t>
  </si>
  <si>
    <t>7-Jul-1890</t>
  </si>
  <si>
    <t>Ultonia</t>
  </si>
  <si>
    <t>25-Aug-1900</t>
  </si>
  <si>
    <t>2-Sep-1900</t>
  </si>
  <si>
    <t>23-Aug-1900</t>
  </si>
  <si>
    <t>4-Sep-1900</t>
  </si>
  <si>
    <t>16-Nov-1886</t>
  </si>
  <si>
    <t>27-Sep-1908</t>
  </si>
  <si>
    <t>4-May-1891</t>
  </si>
  <si>
    <t>Cap Frio</t>
  </si>
  <si>
    <t>28-Nov-1900</t>
  </si>
  <si>
    <t>24-Apr-1921</t>
  </si>
  <si>
    <t>Surrey</t>
  </si>
  <si>
    <t>30-Oct-1882</t>
  </si>
  <si>
    <t>15-Sep-1887</t>
  </si>
  <si>
    <t>Lord Clive</t>
  </si>
  <si>
    <t>29-Aug-1883</t>
  </si>
  <si>
    <t>Lake Erie</t>
  </si>
  <si>
    <t>11-Aug-1903</t>
  </si>
  <si>
    <t>19-Oct-1905</t>
  </si>
  <si>
    <t>29-Oct-1905</t>
  </si>
  <si>
    <t>Hamburg &amp; Boulogne</t>
  </si>
  <si>
    <t>10-Aug-1920</t>
  </si>
  <si>
    <t>25-Jul-1920</t>
  </si>
  <si>
    <t>Black Arrow</t>
  </si>
  <si>
    <t>29-Feb-1920</t>
  </si>
  <si>
    <t>3-Apr-1920</t>
  </si>
  <si>
    <t>6-Jun-1896</t>
  </si>
  <si>
    <t>Rydal Hall</t>
  </si>
  <si>
    <t>11-Oct-1873</t>
  </si>
  <si>
    <t>24-Apr-1920</t>
  </si>
  <si>
    <t>13-May-1920</t>
  </si>
  <si>
    <t>18-Aug-1897</t>
  </si>
  <si>
    <t>Henry R. Mallory</t>
  </si>
  <si>
    <t>21-Apr-1920</t>
  </si>
  <si>
    <t>9-May-1920</t>
  </si>
  <si>
    <t>Susquehanna</t>
  </si>
  <si>
    <t>14-May-1920</t>
  </si>
  <si>
    <t>2-Jun-1920</t>
  </si>
  <si>
    <t>23-Aug-1922</t>
  </si>
  <si>
    <t>9-Apr-1909</t>
  </si>
  <si>
    <t>21-Feb-1916</t>
  </si>
  <si>
    <t>9-Mar-1916</t>
  </si>
  <si>
    <t>survivors of Musa Dagh</t>
  </si>
  <si>
    <t>Lafayette</t>
  </si>
  <si>
    <t>17-Jul-1920</t>
  </si>
  <si>
    <t>26-Jul-1920</t>
  </si>
  <si>
    <t>Fort Victoria</t>
  </si>
  <si>
    <t>14-Aug-1920</t>
  </si>
  <si>
    <t>23-Aug-1920</t>
  </si>
  <si>
    <t>9-Sep-1920</t>
  </si>
  <si>
    <t>27-Aug-1905</t>
  </si>
  <si>
    <t>28-Aug-1920</t>
  </si>
  <si>
    <t>5-Sep-1920</t>
  </si>
  <si>
    <t>20-Sep-1920</t>
  </si>
  <si>
    <t>11-Nov-1920</t>
  </si>
  <si>
    <t>21-Nov-1920</t>
  </si>
  <si>
    <t>6-Dec-1920</t>
  </si>
  <si>
    <t>27-Dec-1920</t>
  </si>
  <si>
    <t>3-Nov-1904</t>
  </si>
  <si>
    <t>30-Jan-1921</t>
  </si>
  <si>
    <t>28-Jan-1921</t>
  </si>
  <si>
    <t>20-Feb-1921</t>
  </si>
  <si>
    <t>19-Feb-1921</t>
  </si>
  <si>
    <t>2-Mar-1921</t>
  </si>
  <si>
    <t>30-Apr-1921</t>
  </si>
  <si>
    <t>2-Jul-1921</t>
  </si>
  <si>
    <t>Vilayet</t>
  </si>
  <si>
    <t>Erzurum</t>
  </si>
  <si>
    <t>Keghi</t>
  </si>
  <si>
    <t>Sergevil</t>
  </si>
  <si>
    <t>Ankara</t>
  </si>
  <si>
    <t>Kayseri</t>
  </si>
  <si>
    <t>Tomarza</t>
  </si>
  <si>
    <t>Sivas</t>
  </si>
  <si>
    <t>Van</t>
  </si>
  <si>
    <t>Tulare</t>
  </si>
  <si>
    <t>Yettem</t>
  </si>
  <si>
    <t>Orosi</t>
  </si>
  <si>
    <t>Ottoman</t>
  </si>
  <si>
    <t>26-Jun-1921</t>
  </si>
  <si>
    <t>Constantinople &amp; Marseille</t>
  </si>
  <si>
    <t>1-Jul-1921</t>
  </si>
  <si>
    <t>10-Jul-1921</t>
  </si>
  <si>
    <t>Vasilefs Constantinos</t>
  </si>
  <si>
    <t>21-Jul-1916</t>
  </si>
  <si>
    <t>6-Aug-1916</t>
  </si>
  <si>
    <t>23-Dec-1902</t>
  </si>
  <si>
    <t>31-Oct-1919</t>
  </si>
  <si>
    <t>28-Oct-1919</t>
  </si>
  <si>
    <t>25-Nov-1919</t>
  </si>
  <si>
    <t>22-Feb-1920</t>
  </si>
  <si>
    <t>5-Feb-1920</t>
  </si>
  <si>
    <t>9-Aug-1923</t>
  </si>
  <si>
    <t>23-Oct-1921</t>
  </si>
  <si>
    <t>24-Nov-1921</t>
  </si>
  <si>
    <t>20-Oct-1921</t>
  </si>
  <si>
    <t>10-Nov-1921</t>
  </si>
  <si>
    <t>25-Apr-1917</t>
  </si>
  <si>
    <t>9-May-1917</t>
  </si>
  <si>
    <t>10-Dec-1921</t>
  </si>
  <si>
    <t>19-Dec-1921</t>
  </si>
  <si>
    <t>Miami</t>
  </si>
  <si>
    <t>16-Oct-1913</t>
  </si>
  <si>
    <t>Key West</t>
  </si>
  <si>
    <t>30-Jan-1914</t>
  </si>
  <si>
    <t>26-Dec-1921</t>
  </si>
  <si>
    <t>20-Jan-1922</t>
  </si>
  <si>
    <t>8-Jan-1922</t>
  </si>
  <si>
    <t>7-Feb-1922</t>
  </si>
  <si>
    <t>17-Mar-1922</t>
  </si>
  <si>
    <t>13-Apr-1922</t>
  </si>
  <si>
    <t>16-May-1922</t>
  </si>
  <si>
    <t>7-Apr-1922</t>
  </si>
  <si>
    <t>7-May-1922</t>
  </si>
  <si>
    <t>8-Aug-1922</t>
  </si>
  <si>
    <t>14-Oct-1886</t>
  </si>
  <si>
    <t>20-Jan-1911</t>
  </si>
  <si>
    <t>30-Mar-1921</t>
  </si>
  <si>
    <t>5-Jun-1911</t>
  </si>
  <si>
    <t>11-Oct-1922</t>
  </si>
  <si>
    <t>12-Dec-1919</t>
  </si>
  <si>
    <t>10-Feb-1923</t>
  </si>
  <si>
    <t>14-Mar-1923</t>
  </si>
  <si>
    <t>Orbita</t>
  </si>
  <si>
    <t>29-Jun-1923</t>
  </si>
  <si>
    <t>9-Jul-1923</t>
  </si>
  <si>
    <t>30-Sep-1913</t>
  </si>
  <si>
    <t>27-Oct-1913</t>
  </si>
  <si>
    <t>28-Apr-1923</t>
  </si>
  <si>
    <t>Washington</t>
  </si>
  <si>
    <t>6-Aug-1923</t>
  </si>
  <si>
    <t>7-Mar-1913</t>
  </si>
  <si>
    <t>24-Mar-1913</t>
  </si>
  <si>
    <t>11-Aug-1923</t>
  </si>
  <si>
    <t>18-Aug-1923</t>
  </si>
  <si>
    <t>16-Jan-1923</t>
  </si>
  <si>
    <t>23-Jan-1923</t>
  </si>
  <si>
    <t>5-Dec-1923</t>
  </si>
  <si>
    <t>Constantinople &amp; Beirut</t>
  </si>
  <si>
    <t>1-Feb-1924</t>
  </si>
  <si>
    <t>9-Feb-1924</t>
  </si>
  <si>
    <t>19-May-1920</t>
  </si>
  <si>
    <t>28-May-1920</t>
  </si>
  <si>
    <t>14-Mar-1921</t>
  </si>
  <si>
    <t>26-Mar-1921</t>
  </si>
  <si>
    <t>2-Apr-1921</t>
  </si>
  <si>
    <t>27-Apr-1921</t>
  </si>
  <si>
    <t>26-Jul-1921</t>
  </si>
  <si>
    <t>22-Sep-1913</t>
  </si>
  <si>
    <t>17-Aug-1921</t>
  </si>
  <si>
    <t>26-Aug-1921</t>
  </si>
  <si>
    <t>25-Oct-1921</t>
  </si>
  <si>
    <t>4-Nov-1921</t>
  </si>
  <si>
    <t>28-Nov-1921</t>
  </si>
  <si>
    <t>25-Jan-1922</t>
  </si>
  <si>
    <t>14-Feb-1922</t>
  </si>
  <si>
    <t>13-Feb-1922</t>
  </si>
  <si>
    <t>22-Mar-1922</t>
  </si>
  <si>
    <t>29-Mar-1922</t>
  </si>
  <si>
    <t>12-Jul-1922</t>
  </si>
  <si>
    <t>20-Jul-1922</t>
  </si>
  <si>
    <t>27-Mar-1922</t>
  </si>
  <si>
    <t>14-Apr-1922</t>
  </si>
  <si>
    <t>23-Jun-1913</t>
  </si>
  <si>
    <t>Australia</t>
  </si>
  <si>
    <t>8-Nov-1884</t>
  </si>
  <si>
    <t>29-Jul-1922</t>
  </si>
  <si>
    <t>7-Aug-1922</t>
  </si>
  <si>
    <t>Orduna</t>
  </si>
  <si>
    <t>28-Jul-1922</t>
  </si>
  <si>
    <t>8-Sep-1922</t>
  </si>
  <si>
    <t>16-Mar-1915</t>
  </si>
  <si>
    <t>25-Mar-1915</t>
  </si>
  <si>
    <t>21-Jan-1923</t>
  </si>
  <si>
    <t>1-Feb-1923</t>
  </si>
  <si>
    <t>25-Nov-1922</t>
  </si>
  <si>
    <t>1-Dec-1922</t>
  </si>
  <si>
    <t>14-Nov-1922</t>
  </si>
  <si>
    <t>2-Dec-1922</t>
  </si>
  <si>
    <t>14-Dec-1922</t>
  </si>
  <si>
    <t>2-Jan-1923</t>
  </si>
  <si>
    <t>18-Jun-1913</t>
  </si>
  <si>
    <t>15-Dec-1922</t>
  </si>
  <si>
    <t>3-Jan-1923</t>
  </si>
  <si>
    <t>President Roosevelt</t>
  </si>
  <si>
    <t>1-Mar-1923</t>
  </si>
  <si>
    <t>11-Mar-1923</t>
  </si>
  <si>
    <t>22-Jan-1923</t>
  </si>
  <si>
    <t>23-Feb-1923</t>
  </si>
  <si>
    <t>24-Feb-1923</t>
  </si>
  <si>
    <t>3-Mar-1923</t>
  </si>
  <si>
    <t>10-Mar-1923</t>
  </si>
  <si>
    <t>21-Mar-1923</t>
  </si>
  <si>
    <t>7-Mar-1923</t>
  </si>
  <si>
    <t>18-Mar-1923</t>
  </si>
  <si>
    <t>24-Mar-1923</t>
  </si>
  <si>
    <t>11-Apr-1923</t>
  </si>
  <si>
    <t>29-Mar-1923</t>
  </si>
  <si>
    <t>28-Mar-1923</t>
  </si>
  <si>
    <t>14-Aug-1923</t>
  </si>
  <si>
    <t>2-Sep-1923</t>
  </si>
  <si>
    <t>4-Apr-1923</t>
  </si>
  <si>
    <t>12-Apr-1923</t>
  </si>
  <si>
    <t>30-Apr-1923</t>
  </si>
  <si>
    <t>5-May-1923</t>
  </si>
  <si>
    <t>12-May-1923</t>
  </si>
  <si>
    <t>24-Jun-1923</t>
  </si>
  <si>
    <t>Polonia</t>
  </si>
  <si>
    <t>16-Apr-1913</t>
  </si>
  <si>
    <t>26-Sep-1923</t>
  </si>
  <si>
    <t>14-Jul-1923</t>
  </si>
  <si>
    <t>21-Jul-1923</t>
  </si>
  <si>
    <t>2-Jul-1923</t>
  </si>
  <si>
    <t>16-Jul-1923</t>
  </si>
  <si>
    <t>15-Sep-1923</t>
  </si>
  <si>
    <t>30-Sep-1923</t>
  </si>
  <si>
    <t>6-Jul-1923</t>
  </si>
  <si>
    <t>24-Sep-1923</t>
  </si>
  <si>
    <t>20-Oct-1923</t>
  </si>
  <si>
    <t>6-Apr-1914</t>
  </si>
  <si>
    <t>24-Apr-1914</t>
  </si>
  <si>
    <t>10-Nov-1923</t>
  </si>
  <si>
    <t>20-Nov-1923</t>
  </si>
  <si>
    <t>22-Dec-1923</t>
  </si>
  <si>
    <t>1-Jan-1924</t>
  </si>
  <si>
    <t>3-Feb-1924</t>
  </si>
  <si>
    <t>De Grasse</t>
  </si>
  <si>
    <t>27-Aug-1924</t>
  </si>
  <si>
    <t>5-Sep-1924</t>
  </si>
  <si>
    <t>21-May-1924</t>
  </si>
  <si>
    <t>30-May-1924</t>
  </si>
  <si>
    <t>31-May-1924</t>
  </si>
  <si>
    <t>7-Jun-1924</t>
  </si>
  <si>
    <t>10-Jun-1924</t>
  </si>
  <si>
    <t>1-Oct-1924</t>
  </si>
  <si>
    <t>13-Oct-1924</t>
  </si>
  <si>
    <t>3-Oct-1924</t>
  </si>
  <si>
    <t>11-Feb-1925</t>
  </si>
  <si>
    <t>5-Mar-1925</t>
  </si>
  <si>
    <t>6-Feb-1925</t>
  </si>
  <si>
    <t>1-Feb-1925</t>
  </si>
  <si>
    <t>29-Jan-1925</t>
  </si>
  <si>
    <t>17-Apr-1923</t>
  </si>
  <si>
    <t>13-Mar-1925</t>
  </si>
  <si>
    <t>1-Apr-1925</t>
  </si>
  <si>
    <t>3-Mar-1925</t>
  </si>
  <si>
    <t>2-Mar-1925</t>
  </si>
  <si>
    <t>11-Jul-1906</t>
  </si>
  <si>
    <t>12-Sep-1906</t>
  </si>
  <si>
    <t>5-Jul-1924</t>
  </si>
  <si>
    <t>2-Aug-1924</t>
  </si>
  <si>
    <t>9-Jul-1924</t>
  </si>
  <si>
    <t>13-Jul-1924</t>
  </si>
  <si>
    <t>22-Dec-1924</t>
  </si>
  <si>
    <t>7-Jan-1925</t>
  </si>
  <si>
    <t>Arabia</t>
  </si>
  <si>
    <t>xx-Apr-1863</t>
  </si>
  <si>
    <t>29-Aug-1905</t>
  </si>
  <si>
    <t>22-Oct-1912</t>
  </si>
  <si>
    <t>Mongolia</t>
  </si>
  <si>
    <t>6-Apr-1921</t>
  </si>
  <si>
    <t>17-Apr-1921</t>
  </si>
  <si>
    <t>22-Nov-1922</t>
  </si>
  <si>
    <t>28-Nov-1922</t>
  </si>
  <si>
    <t>Vincenzo Florio</t>
  </si>
  <si>
    <t>26-Oct-1880</t>
  </si>
  <si>
    <t>5-Apr-1908</t>
  </si>
  <si>
    <t>1-Dec-1920</t>
  </si>
  <si>
    <t>10-Dec-1920</t>
  </si>
  <si>
    <t>11-Jul-1921</t>
  </si>
  <si>
    <t>1-Jul-1909</t>
  </si>
  <si>
    <t>31-Aug-1920</t>
  </si>
  <si>
    <t>26-May-1897</t>
  </si>
  <si>
    <t>21-Sep-1921</t>
  </si>
  <si>
    <t>7-Oct-1921</t>
  </si>
  <si>
    <t>Hong Kong</t>
  </si>
  <si>
    <t>9-Sep-1921</t>
  </si>
  <si>
    <t>18-Sep-1911</t>
  </si>
  <si>
    <t>17-May-1923</t>
  </si>
  <si>
    <t>4-Nov-1924</t>
  </si>
  <si>
    <t>29-Oct-1924</t>
  </si>
  <si>
    <t>21-Apr-1914</t>
  </si>
  <si>
    <t>7-May-1914</t>
  </si>
  <si>
    <t>10-Jul-1908</t>
  </si>
  <si>
    <t>Leviathan</t>
  </si>
  <si>
    <t>10-Mar-1925</t>
  </si>
  <si>
    <t>16-Mar-1925</t>
  </si>
  <si>
    <t>14-Dec-1924</t>
  </si>
  <si>
    <t>20-Dec-1924</t>
  </si>
  <si>
    <t>31-Dec-1920</t>
  </si>
  <si>
    <t>13-Apr-1921</t>
  </si>
  <si>
    <t>29-Apr-1921</t>
  </si>
  <si>
    <t>11-Aug-1921</t>
  </si>
  <si>
    <t>Vaderland</t>
  </si>
  <si>
    <t>2-Jan-1915</t>
  </si>
  <si>
    <t>16-Jan-1915</t>
  </si>
  <si>
    <t>24-Dec-1913</t>
  </si>
  <si>
    <t>17-Dec-1924</t>
  </si>
  <si>
    <t>24-Dec-1924</t>
  </si>
  <si>
    <t>6-Nov-1891</t>
  </si>
  <si>
    <t>18-May-1924</t>
  </si>
  <si>
    <t>18-Aug-1911</t>
  </si>
  <si>
    <t>Glenlyon</t>
  </si>
  <si>
    <t>12-Nov-1919</t>
  </si>
  <si>
    <t>13-Dec-1919</t>
  </si>
  <si>
    <t>18-Dec-1915</t>
  </si>
  <si>
    <t>1-Jan-1916</t>
  </si>
  <si>
    <t>2-Feb-1906</t>
  </si>
  <si>
    <t>14-Feb-1906</t>
  </si>
  <si>
    <t>1-Jul-1925</t>
  </si>
  <si>
    <t>Mobile</t>
  </si>
  <si>
    <t>Brest</t>
  </si>
  <si>
    <t>24-Aug-1919</t>
  </si>
  <si>
    <t>3-Sep-1919</t>
  </si>
  <si>
    <t>31-Mar-1925</t>
  </si>
  <si>
    <t>2-Apr-1925</t>
  </si>
  <si>
    <t>12-Dec-1922</t>
  </si>
  <si>
    <t>16-Jan-1911</t>
  </si>
  <si>
    <t>12-Sep-1911</t>
  </si>
  <si>
    <t>24-Sep-1911</t>
  </si>
  <si>
    <t>Governor Cobb</t>
  </si>
  <si>
    <t>12-Feb-1925</t>
  </si>
  <si>
    <t>26-Jul-1923</t>
  </si>
  <si>
    <t>4-Jan-1923</t>
  </si>
  <si>
    <t>14-Jan-1923</t>
  </si>
  <si>
    <t>28-Jan-1925</t>
  </si>
  <si>
    <t>5-Feb-1925</t>
  </si>
  <si>
    <t>13-Dec-1924</t>
  </si>
  <si>
    <t>6-Dec-1924</t>
  </si>
  <si>
    <t>25-Nov-1924</t>
  </si>
  <si>
    <t>1-Dec-1924</t>
  </si>
  <si>
    <t>Alegria</t>
  </si>
  <si>
    <t>24-Jul-1923</t>
  </si>
  <si>
    <t>24-Dec-1925</t>
  </si>
  <si>
    <t>27-Jul-1927</t>
  </si>
  <si>
    <t>3-Aug-1927</t>
  </si>
  <si>
    <t>5-Feb-1928</t>
  </si>
  <si>
    <t>23-Feb-1928</t>
  </si>
  <si>
    <t>23-Jun-1925</t>
  </si>
  <si>
    <t>29-Jun-1925</t>
  </si>
  <si>
    <t>10-Dec-1913</t>
  </si>
  <si>
    <t>23-Oct-1910</t>
  </si>
  <si>
    <t>10-Nov-1910</t>
  </si>
  <si>
    <t>Cheruskia</t>
  </si>
  <si>
    <t>22-Jun-1898</t>
  </si>
  <si>
    <t>6-Jul-1898</t>
  </si>
  <si>
    <t>Orca</t>
  </si>
  <si>
    <t>7-Nov-1924</t>
  </si>
  <si>
    <t>19-Nov-1924</t>
  </si>
  <si>
    <t>6-Aug-1925</t>
  </si>
  <si>
    <t>15-Aug-1925</t>
  </si>
  <si>
    <t>18-Oct-1921</t>
  </si>
  <si>
    <t>21-Apr-1925</t>
  </si>
  <si>
    <t>27-Apr-1925</t>
  </si>
  <si>
    <t>Laconia</t>
  </si>
  <si>
    <t>17-Mar-1912</t>
  </si>
  <si>
    <t>7-May-1924</t>
  </si>
  <si>
    <t>13-May-1924</t>
  </si>
  <si>
    <t>16-May-1896</t>
  </si>
  <si>
    <t>8-May-1911</t>
  </si>
  <si>
    <t>7-Nov-1896</t>
  </si>
  <si>
    <t>30-Dec-1914</t>
  </si>
  <si>
    <t>6-Sep-1896</t>
  </si>
  <si>
    <t>22-Jul-1924</t>
  </si>
  <si>
    <t>31-Jul-1924</t>
  </si>
  <si>
    <t>18-Oct-1924</t>
  </si>
  <si>
    <t>24-Oct-1924</t>
  </si>
  <si>
    <t>12-Aug-1925</t>
  </si>
  <si>
    <t>5-May-1913</t>
  </si>
  <si>
    <t>23-May-1913</t>
  </si>
  <si>
    <t>Konigin Luise</t>
  </si>
  <si>
    <t>4-Sep-1908</t>
  </si>
  <si>
    <t>Cuba</t>
  </si>
  <si>
    <t>18-Sep-1926</t>
  </si>
  <si>
    <t>18-Feb-1912</t>
  </si>
  <si>
    <t>16-Feb-1913</t>
  </si>
  <si>
    <t>18-Jun-1921</t>
  </si>
  <si>
    <t>5-May-1920</t>
  </si>
  <si>
    <t>16-May-1920</t>
  </si>
  <si>
    <t>11-Aug-1922</t>
  </si>
  <si>
    <t>20-Aug-1914</t>
  </si>
  <si>
    <t>7-Apr-1920</t>
  </si>
  <si>
    <t>3-Jan-1894</t>
  </si>
  <si>
    <t>Scotian</t>
  </si>
  <si>
    <t>25-Jul-1913</t>
  </si>
  <si>
    <t>Vasari</t>
  </si>
  <si>
    <t>Buenos Aires</t>
  </si>
  <si>
    <t>30-Mar-1916</t>
  </si>
  <si>
    <t>22-Apr-1916</t>
  </si>
  <si>
    <t>15-Jun-1920</t>
  </si>
  <si>
    <t>4-Jun-1925</t>
  </si>
  <si>
    <t>12-Jun-1925</t>
  </si>
  <si>
    <t>22-Sep-1916</t>
  </si>
  <si>
    <t>3-Oct-1916</t>
  </si>
  <si>
    <t>29-May-1921</t>
  </si>
  <si>
    <t>10-Sep-1912</t>
  </si>
  <si>
    <t>15-Jun-1921</t>
  </si>
  <si>
    <t>27-Jun-1921</t>
  </si>
  <si>
    <t>18-Jun-1920</t>
  </si>
  <si>
    <t>30-Apr-1917</t>
  </si>
  <si>
    <t>17-May-1917</t>
  </si>
  <si>
    <t>20-Dec-1900</t>
  </si>
  <si>
    <t>31-Dec-1900</t>
  </si>
  <si>
    <t>25-Nov-1920</t>
  </si>
  <si>
    <t>29-Aug-1920</t>
  </si>
  <si>
    <t>20-Jun-1927</t>
  </si>
  <si>
    <t>8-Jul-1927</t>
  </si>
  <si>
    <t>13-Jul-1928</t>
  </si>
  <si>
    <t>19-Jul-1928</t>
  </si>
  <si>
    <t>9-Feb-1920</t>
  </si>
  <si>
    <t>26-Feb-1920</t>
  </si>
  <si>
    <t>21-Jun-1921</t>
  </si>
  <si>
    <t>12-Jun-1906</t>
  </si>
  <si>
    <t>21-Jun-1906</t>
  </si>
  <si>
    <t>Winifredian</t>
  </si>
  <si>
    <t>22-Jul-1927</t>
  </si>
  <si>
    <t>19-Aug-1927</t>
  </si>
  <si>
    <t>28-Aug-1912</t>
  </si>
  <si>
    <t>16-Jun-1920</t>
  </si>
  <si>
    <t>5-Oct-1919</t>
  </si>
  <si>
    <t>9-Jan-1914</t>
  </si>
  <si>
    <t>10-Jan-1921</t>
  </si>
  <si>
    <t>17-Oct-1911</t>
  </si>
  <si>
    <t>14-Feb-1901</t>
  </si>
  <si>
    <t>25-Feb-1901</t>
  </si>
  <si>
    <t>9-Apr-1921</t>
  </si>
  <si>
    <t>13-Jan-1929</t>
  </si>
  <si>
    <t>26-Jan-1929</t>
  </si>
  <si>
    <t>2-Feb-1909</t>
  </si>
  <si>
    <t>21-Jan-1909</t>
  </si>
  <si>
    <t>1-May-1912</t>
  </si>
  <si>
    <t>30-Dec-1923</t>
  </si>
  <si>
    <t>7-Jan-1924</t>
  </si>
  <si>
    <t>Berengaria</t>
  </si>
  <si>
    <t>14-Aug-1921</t>
  </si>
  <si>
    <t>8-May-1912</t>
  </si>
  <si>
    <t>12-Feb-1924</t>
  </si>
  <si>
    <t>3-Mar-1924</t>
  </si>
  <si>
    <t>4-Oct-1928</t>
  </si>
  <si>
    <t>12-Oct-1928</t>
  </si>
  <si>
    <t>1-Aug-1920</t>
  </si>
  <si>
    <t>12-Aug-1920</t>
  </si>
  <si>
    <t>Montclare</t>
  </si>
  <si>
    <t>30-Jan-1925</t>
  </si>
  <si>
    <t>7-Feb-1925</t>
  </si>
  <si>
    <t>27-Sep-1924</t>
  </si>
  <si>
    <t>8-Nov-1919</t>
  </si>
  <si>
    <t>see both USA and Canada sheets</t>
  </si>
  <si>
    <t>25-May-1901</t>
  </si>
  <si>
    <t>2-Jun-1901</t>
  </si>
  <si>
    <t>9-Jun-1913</t>
  </si>
  <si>
    <t>29-Jun-1913</t>
  </si>
  <si>
    <t>5-Jan-1914</t>
  </si>
  <si>
    <t>4-Dec-1929</t>
  </si>
  <si>
    <t>12-Dec-1929</t>
  </si>
  <si>
    <t>16-Jul-1913</t>
  </si>
  <si>
    <t>3-Aug-1929</t>
  </si>
  <si>
    <t>21-Aug-1929</t>
  </si>
  <si>
    <t>25-Sep-1928</t>
  </si>
  <si>
    <t>16-Oct-1928</t>
  </si>
  <si>
    <t>Eugenia</t>
  </si>
  <si>
    <t>1-Apr-1914</t>
  </si>
  <si>
    <t>14-Apr-1914</t>
  </si>
  <si>
    <t>27-Jul-1916</t>
  </si>
  <si>
    <t>20-Aug-1916</t>
  </si>
  <si>
    <t>Megantic</t>
  </si>
  <si>
    <t>19-Sep-1914</t>
  </si>
  <si>
    <t>Montlaurier</t>
  </si>
  <si>
    <t>11-Jan-1924</t>
  </si>
  <si>
    <t>19-Jan-1924</t>
  </si>
  <si>
    <t>24-Dec-1897</t>
  </si>
  <si>
    <t>4-Jan-1898</t>
  </si>
  <si>
    <t>5-Jan-1898</t>
  </si>
  <si>
    <t>7-Sep-1929</t>
  </si>
  <si>
    <t>13-Sep-1929</t>
  </si>
  <si>
    <t>7-Jul-1916</t>
  </si>
  <si>
    <t>19-Jul-1916</t>
  </si>
  <si>
    <t>Gothland</t>
  </si>
  <si>
    <t>4-Aug-1920</t>
  </si>
  <si>
    <t>13-Aug-1920</t>
  </si>
  <si>
    <t>9-Mar-1917</t>
  </si>
  <si>
    <t>Finland</t>
  </si>
  <si>
    <t>31-Aug-1922</t>
  </si>
  <si>
    <t>17-Oct-1925</t>
  </si>
  <si>
    <t>24-Oct-1925</t>
  </si>
  <si>
    <t>Sinaia</t>
  </si>
  <si>
    <t>1-Sep-1925</t>
  </si>
  <si>
    <t>1-Oct-1925</t>
  </si>
  <si>
    <t>29-Dec-1915</t>
  </si>
  <si>
    <t>15-Jan-1916</t>
  </si>
  <si>
    <t>25-Jun-1927</t>
  </si>
  <si>
    <t>1-Jul-1927</t>
  </si>
  <si>
    <t>19-May-1913</t>
  </si>
  <si>
    <t>5-Jun-1913</t>
  </si>
  <si>
    <t>13-Jul-1916</t>
  </si>
  <si>
    <t>4-Aug-1916</t>
  </si>
  <si>
    <t>18-Jul-1922</t>
  </si>
  <si>
    <t>3-Aug-1922</t>
  </si>
  <si>
    <t>4-Oct-1925</t>
  </si>
  <si>
    <t>4-Nov-1925</t>
  </si>
  <si>
    <t>21-Jan-1925</t>
  </si>
  <si>
    <t>31-Jan-1925</t>
  </si>
  <si>
    <t>Nieuw Amsterdam</t>
  </si>
  <si>
    <t>1-Aug-1922</t>
  </si>
  <si>
    <t>13-Apr-1908</t>
  </si>
  <si>
    <t>27-Apr-1908</t>
  </si>
  <si>
    <t>Imperator</t>
  </si>
  <si>
    <t>20-Nov-1911</t>
  </si>
  <si>
    <t>30-Sep-1897</t>
  </si>
  <si>
    <t>11-Dec-1926</t>
  </si>
  <si>
    <t>31-Dec-1926</t>
  </si>
  <si>
    <t>1-Dec-1926</t>
  </si>
  <si>
    <t>3-Dec-1926</t>
  </si>
  <si>
    <t>15-Dec-1926</t>
  </si>
  <si>
    <t>Kristianiafjord</t>
  </si>
  <si>
    <t>Bergen</t>
  </si>
  <si>
    <t>13-Jan-1916</t>
  </si>
  <si>
    <t>11-Oct-1921</t>
  </si>
  <si>
    <t>21-Sep-1932</t>
  </si>
  <si>
    <t>7-Oct-1932</t>
  </si>
  <si>
    <t>16-Jan-1922</t>
  </si>
  <si>
    <t>19-Jan-1922</t>
  </si>
  <si>
    <t>3-Feb-1916</t>
  </si>
  <si>
    <t>27-Apr-1916</t>
  </si>
  <si>
    <t>20-May-1916</t>
  </si>
  <si>
    <t>21-Sep-1916</t>
  </si>
  <si>
    <t>13-Oct-1916</t>
  </si>
  <si>
    <t>Rio de Janeiro</t>
  </si>
  <si>
    <t>26-Sep-1916</t>
  </si>
  <si>
    <t>30-Jan-1916</t>
  </si>
  <si>
    <t>16-Nov-1916</t>
  </si>
  <si>
    <t>26-Sep-1920</t>
  </si>
  <si>
    <t>21-Oct-1920</t>
  </si>
  <si>
    <t>1-Nov-1920</t>
  </si>
  <si>
    <t>22-Jul-1909</t>
  </si>
  <si>
    <t>9-Mar-1913</t>
  </si>
  <si>
    <t>19-Aug-1916</t>
  </si>
  <si>
    <t>Corsican</t>
  </si>
  <si>
    <t>10-Sep-1920</t>
  </si>
  <si>
    <t>ShipLists-Canada.xlsx (7)</t>
  </si>
  <si>
    <t>Marburn</t>
  </si>
  <si>
    <t>16-Jan-1925</t>
  </si>
  <si>
    <t>25-Jan-1925</t>
  </si>
  <si>
    <t>28-Aug-1919</t>
  </si>
  <si>
    <t>28-Oct-1901</t>
  </si>
  <si>
    <t>10-Nov-1901</t>
  </si>
  <si>
    <t>11-Aug-1912</t>
  </si>
  <si>
    <t>13-Oct-1920</t>
  </si>
  <si>
    <t>20-Nov-1913</t>
  </si>
  <si>
    <t>16-Mar-1892</t>
  </si>
  <si>
    <t>Mendoza</t>
  </si>
  <si>
    <t>9-Jan-1908</t>
  </si>
  <si>
    <t>12-Jun-1920</t>
  </si>
  <si>
    <t>20-Jun-1920</t>
  </si>
  <si>
    <t>20-Aug-1920</t>
  </si>
  <si>
    <t>6-Jan-1914</t>
  </si>
  <si>
    <t>22-Dec-1913</t>
  </si>
  <si>
    <t>22-Apr-1913</t>
  </si>
  <si>
    <t>6-May-1913</t>
  </si>
  <si>
    <t>24-Nov-1913</t>
  </si>
  <si>
    <t>6-Apr-1904</t>
  </si>
  <si>
    <t>28-Aug-1902</t>
  </si>
  <si>
    <t>11-May-1904</t>
  </si>
  <si>
    <t>22-May-1904</t>
  </si>
  <si>
    <t>6-Dec-1904</t>
  </si>
  <si>
    <t>Liguria</t>
  </si>
  <si>
    <t>Naples &amp; Genoa</t>
  </si>
  <si>
    <t>Citta di Genova</t>
  </si>
  <si>
    <t>15-Apr-1903</t>
  </si>
  <si>
    <t>5-May-1903</t>
  </si>
  <si>
    <t>8-Sep-1905</t>
  </si>
  <si>
    <t>19-Sep-1905</t>
  </si>
  <si>
    <t>14-Jun-1901</t>
  </si>
  <si>
    <t>20-Feb-1910</t>
  </si>
  <si>
    <t>6-Mar-1910</t>
  </si>
  <si>
    <t>4-Jul-1913</t>
  </si>
  <si>
    <t>17-Jul-1913</t>
  </si>
  <si>
    <t>29-Sep-1923</t>
  </si>
  <si>
    <t>8-Oct-1923</t>
  </si>
  <si>
    <t>15-Sep-1929</t>
  </si>
  <si>
    <t>20-Jul-1902</t>
  </si>
  <si>
    <t>30-Jul-1902</t>
  </si>
  <si>
    <t>31-Jan-1901</t>
  </si>
  <si>
    <t>11-Feb-1901</t>
  </si>
  <si>
    <t>22-Jan-1920</t>
  </si>
  <si>
    <t>28-Nov-1891</t>
  </si>
  <si>
    <t>26-May-1914</t>
  </si>
  <si>
    <t>16-Jun-1914</t>
  </si>
  <si>
    <t>2-Sep-1927</t>
  </si>
  <si>
    <t>27-Feb-1907</t>
  </si>
  <si>
    <t>14-Mar-1907</t>
  </si>
  <si>
    <t>17-Jul-1902</t>
  </si>
  <si>
    <r>
      <t>select</t>
    </r>
    <r>
      <rPr>
        <sz val="10"/>
        <color rgb="FF444444"/>
        <rFont val="Arial"/>
        <family val="2"/>
      </rPr>
      <t> BirthCountry, BirthVSP, EyeColor, </t>
    </r>
    <r>
      <rPr>
        <sz val="10"/>
        <color rgb="FF235A81"/>
        <rFont val="Arial"/>
        <family val="2"/>
      </rPr>
      <t>count</t>
    </r>
    <r>
      <rPr>
        <sz val="10"/>
        <color rgb="FF444444"/>
        <rFont val="Arial"/>
        <family val="2"/>
      </rPr>
      <t>(*) </t>
    </r>
    <r>
      <rPr>
        <sz val="10"/>
        <color rgb="FF770088"/>
        <rFont val="Arial"/>
        <family val="2"/>
      </rPr>
      <t>as</t>
    </r>
    <r>
      <rPr>
        <sz val="10"/>
        <color rgb="FF444444"/>
        <rFont val="Arial"/>
        <family val="2"/>
      </rPr>
      <t> total </t>
    </r>
    <r>
      <rPr>
        <sz val="10"/>
        <color rgb="FF770088"/>
        <rFont val="Arial"/>
        <family val="2"/>
      </rPr>
      <t>FROM</t>
    </r>
    <r>
      <rPr>
        <sz val="10"/>
        <color rgb="FF444444"/>
        <rFont val="Arial"/>
        <family val="2"/>
      </rPr>
      <t> military </t>
    </r>
    <r>
      <rPr>
        <sz val="10"/>
        <color rgb="FF770088"/>
        <rFont val="Arial"/>
        <family val="2"/>
      </rPr>
      <t>where</t>
    </r>
    <r>
      <rPr>
        <sz val="10"/>
        <color rgb="FF444444"/>
        <rFont val="Arial"/>
        <family val="2"/>
      </rPr>
      <t> BirthCountry &lt;&gt; </t>
    </r>
    <r>
      <rPr>
        <sz val="10"/>
        <color rgb="FFAA1111"/>
        <rFont val="Arial"/>
        <family val="2"/>
      </rPr>
      <t>""</t>
    </r>
    <r>
      <rPr>
        <sz val="10"/>
        <color rgb="FF444444"/>
        <rFont val="Arial"/>
        <family val="2"/>
      </rPr>
      <t> </t>
    </r>
    <r>
      <rPr>
        <sz val="10"/>
        <color rgb="FF235A81"/>
        <rFont val="Arial"/>
        <family val="2"/>
      </rPr>
      <t>and</t>
    </r>
    <r>
      <rPr>
        <sz val="10"/>
        <color rgb="FF444444"/>
        <rFont val="Arial"/>
        <family val="2"/>
      </rPr>
      <t> EyeColor &lt;&gt; </t>
    </r>
    <r>
      <rPr>
        <sz val="10"/>
        <color rgb="FFAA1111"/>
        <rFont val="Arial"/>
        <family val="2"/>
      </rPr>
      <t>""</t>
    </r>
    <r>
      <rPr>
        <sz val="10"/>
        <color rgb="FF444444"/>
        <rFont val="Arial"/>
        <family val="2"/>
      </rPr>
      <t> </t>
    </r>
    <r>
      <rPr>
        <sz val="10"/>
        <color rgb="FF235A81"/>
        <rFont val="Arial"/>
        <family val="2"/>
      </rPr>
      <t>and</t>
    </r>
    <r>
      <rPr>
        <sz val="10"/>
        <color rgb="FF444444"/>
        <rFont val="Arial"/>
        <family val="2"/>
      </rPr>
      <t> BirthCountry </t>
    </r>
    <r>
      <rPr>
        <sz val="10"/>
        <color rgb="FF235A81"/>
        <rFont val="Arial"/>
        <family val="2"/>
      </rPr>
      <t>in</t>
    </r>
    <r>
      <rPr>
        <sz val="10"/>
        <color rgb="FF444444"/>
        <rFont val="Arial"/>
        <family val="2"/>
      </rPr>
      <t>(</t>
    </r>
    <r>
      <rPr>
        <sz val="10"/>
        <color rgb="FFAA1111"/>
        <rFont val="Arial"/>
        <family val="2"/>
      </rPr>
      <t>"Turkey"</t>
    </r>
    <r>
      <rPr>
        <sz val="10"/>
        <color rgb="FF444444"/>
        <rFont val="Arial"/>
        <family val="2"/>
      </rPr>
      <t>,</t>
    </r>
    <r>
      <rPr>
        <sz val="10"/>
        <color rgb="FFAA1111"/>
        <rFont val="Arial"/>
        <family val="2"/>
      </rPr>
      <t>"Russia"</t>
    </r>
    <r>
      <rPr>
        <sz val="10"/>
        <color rgb="FF444444"/>
        <rFont val="Arial"/>
        <family val="2"/>
      </rPr>
      <t>,</t>
    </r>
    <r>
      <rPr>
        <sz val="10"/>
        <color rgb="FFAA1111"/>
        <rFont val="Arial"/>
        <family val="2"/>
      </rPr>
      <t>"Persia"</t>
    </r>
    <r>
      <rPr>
        <sz val="10"/>
        <color rgb="FF444444"/>
        <rFont val="Arial"/>
        <family val="2"/>
      </rPr>
      <t>) </t>
    </r>
    <r>
      <rPr>
        <sz val="10"/>
        <color rgb="FF770088"/>
        <rFont val="Arial"/>
        <family val="2"/>
      </rPr>
      <t>group</t>
    </r>
    <r>
      <rPr>
        <sz val="10"/>
        <color rgb="FF444444"/>
        <rFont val="Arial"/>
        <family val="2"/>
      </rPr>
      <t> </t>
    </r>
    <r>
      <rPr>
        <sz val="10"/>
        <color rgb="FF770088"/>
        <rFont val="Arial"/>
        <family val="2"/>
      </rPr>
      <t>by</t>
    </r>
    <r>
      <rPr>
        <sz val="10"/>
        <color rgb="FF444444"/>
        <rFont val="Arial"/>
        <family val="2"/>
      </rPr>
      <t> BirthCountry, BirthVSP, EyeColor </t>
    </r>
    <r>
      <rPr>
        <sz val="10"/>
        <color rgb="FF770088"/>
        <rFont val="Arial"/>
        <family val="2"/>
      </rPr>
      <t>order</t>
    </r>
    <r>
      <rPr>
        <sz val="10"/>
        <color rgb="FF444444"/>
        <rFont val="Arial"/>
        <family val="2"/>
      </rPr>
      <t> </t>
    </r>
    <r>
      <rPr>
        <sz val="10"/>
        <color rgb="FF770088"/>
        <rFont val="Arial"/>
        <family val="2"/>
      </rPr>
      <t>by</t>
    </r>
    <r>
      <rPr>
        <sz val="10"/>
        <color rgb="FF444444"/>
        <rFont val="Arial"/>
        <family val="2"/>
      </rPr>
      <t>BirthCountry, BirthVSP, EyeColor</t>
    </r>
  </si>
  <si>
    <t>Turkey</t>
  </si>
  <si>
    <t>Adana</t>
  </si>
  <si>
    <t>Adrianople</t>
  </si>
  <si>
    <t>Aleppo</t>
  </si>
  <si>
    <t>Archipelago</t>
  </si>
  <si>
    <t>Aydin</t>
  </si>
  <si>
    <t>Bitlis</t>
  </si>
  <si>
    <t>Diyarbekir</t>
  </si>
  <si>
    <t>Hudavendigar</t>
  </si>
  <si>
    <t>Istanbul</t>
  </si>
  <si>
    <t>Izmit (mutesarifat)</t>
  </si>
  <si>
    <t>Jerusalem (mutesarifat)</t>
  </si>
  <si>
    <t>Kastamonu</t>
  </si>
  <si>
    <t>Konya</t>
  </si>
  <si>
    <t>Mamuretulaziz</t>
  </si>
  <si>
    <t>Marash (autonomous sanjak)</t>
  </si>
  <si>
    <t>Syria</t>
  </si>
  <si>
    <t>Trebizond</t>
  </si>
  <si>
    <t>Urfa (autonomous sanjak)</t>
  </si>
  <si>
    <t>Country</t>
  </si>
  <si>
    <t>"Dark"</t>
  </si>
  <si>
    <t>"Light"</t>
  </si>
  <si>
    <t>% Light</t>
  </si>
  <si>
    <t>(no vilayet stated)</t>
  </si>
  <si>
    <t>Turkey - detail by vilayet:</t>
  </si>
  <si>
    <t>Notes:</t>
  </si>
  <si>
    <t>% Light only if sample size &gt;= 50</t>
  </si>
  <si>
    <t>"Light" = blue, gray, or green</t>
  </si>
  <si>
    <t>"Dark" = brown, black, or hazel</t>
  </si>
  <si>
    <t>Ottoman Administrative Hierarchy</t>
  </si>
  <si>
    <t>Level</t>
  </si>
  <si>
    <t>vilayet</t>
  </si>
  <si>
    <t>sanjak</t>
  </si>
  <si>
    <t>kaza</t>
  </si>
  <si>
    <t>Harput</t>
  </si>
  <si>
    <t>Pazmashen</t>
  </si>
  <si>
    <t>USA</t>
  </si>
  <si>
    <t>state</t>
  </si>
  <si>
    <t>county</t>
  </si>
  <si>
    <t>nahiye</t>
  </si>
  <si>
    <t>township</t>
  </si>
  <si>
    <t>village/town</t>
  </si>
  <si>
    <t>kiugh/kaghak</t>
  </si>
  <si>
    <t>North Carolina</t>
  </si>
  <si>
    <t>Wake</t>
  </si>
  <si>
    <t>Swift Creek</t>
  </si>
  <si>
    <t>Cary</t>
  </si>
  <si>
    <t>Evereg</t>
  </si>
  <si>
    <t>Arghana</t>
  </si>
  <si>
    <t>Chermik</t>
  </si>
  <si>
    <t>Chungush</t>
  </si>
  <si>
    <r>
      <t>Mamuretulaziz</t>
    </r>
    <r>
      <rPr>
        <vertAlign val="superscript"/>
        <sz val="10"/>
        <color indexed="8"/>
        <rFont val="Arial"/>
        <family val="2"/>
      </rPr>
      <t>1</t>
    </r>
  </si>
  <si>
    <r>
      <rPr>
        <vertAlign val="super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>sometimes called Harput</t>
    </r>
  </si>
  <si>
    <t>Central Valley</t>
  </si>
  <si>
    <t>Piedmont</t>
  </si>
  <si>
    <t>Indiana</t>
  </si>
  <si>
    <t>Vigo</t>
  </si>
  <si>
    <t>Terre Haute</t>
  </si>
  <si>
    <t>Harrison</t>
  </si>
  <si>
    <t>Southern Lowlands [?]</t>
  </si>
  <si>
    <t>Place Names</t>
  </si>
  <si>
    <t>region</t>
  </si>
  <si>
    <t>13-Aug-1921</t>
  </si>
  <si>
    <t>6-Jul-1901</t>
  </si>
  <si>
    <t>14-Jul-1901</t>
  </si>
  <si>
    <t>19-Nov-1914</t>
  </si>
  <si>
    <t>City of Los Angeles</t>
  </si>
  <si>
    <t>Los Angeles</t>
  </si>
  <si>
    <t>14-Aug-1926</t>
  </si>
  <si>
    <t>Honolulu</t>
  </si>
  <si>
    <t>20-Aug-1926</t>
  </si>
  <si>
    <t>Turrialba</t>
  </si>
  <si>
    <t>5-Oct-1927</t>
  </si>
  <si>
    <t>7-Oct-1927</t>
  </si>
  <si>
    <t>16-Jun-1927</t>
  </si>
  <si>
    <t>30-Jun-1927</t>
  </si>
  <si>
    <t>27-May-1912</t>
  </si>
  <si>
    <t>9-May-1912</t>
  </si>
  <si>
    <t>24-May-1912</t>
  </si>
  <si>
    <t>22-Feb-1918</t>
  </si>
  <si>
    <t>7-Mar-1918</t>
  </si>
  <si>
    <t>Berlin</t>
  </si>
  <si>
    <t>13-Aug-1895</t>
  </si>
  <si>
    <t>11-Mar-1921</t>
  </si>
  <si>
    <t>Scandinavian</t>
  </si>
  <si>
    <t>6-Jul-1921</t>
  </si>
  <si>
    <t>10-Aug-1921</t>
  </si>
  <si>
    <t>20-Aug-1921</t>
  </si>
  <si>
    <t>26-Apr-1921</t>
  </si>
  <si>
    <t>14-May-1921</t>
  </si>
  <si>
    <t>16-Apr-1916</t>
  </si>
  <si>
    <t>31-Oct-1906</t>
  </si>
  <si>
    <t>12-Nov-1906</t>
  </si>
  <si>
    <t>22-Nov-1911</t>
  </si>
  <si>
    <t>Cephalonia</t>
  </si>
  <si>
    <t>11-Nov-1884</t>
  </si>
  <si>
    <t>4-Feb-1924</t>
  </si>
  <si>
    <t>21-Oct-1933</t>
  </si>
  <si>
    <t>27-Oct-1933</t>
  </si>
  <si>
    <t>18-Nov-1910</t>
  </si>
  <si>
    <t>Lydian Monarch</t>
  </si>
  <si>
    <t>6-Jun-1882</t>
  </si>
  <si>
    <t>7-Sep-1910</t>
  </si>
  <si>
    <t>28-Sep-1910</t>
  </si>
  <si>
    <t>5-Feb-1909</t>
  </si>
  <si>
    <t>24-Jan-1909</t>
  </si>
  <si>
    <t>29-Mar-1933</t>
  </si>
  <si>
    <t>Atenas</t>
  </si>
  <si>
    <t>4-Sep-1929</t>
  </si>
  <si>
    <t>6-Sep-1929</t>
  </si>
  <si>
    <t>11-May-1891</t>
  </si>
  <si>
    <t>Wittekind</t>
  </si>
  <si>
    <t>6-Apr-1911</t>
  </si>
  <si>
    <t>3-May-1911</t>
  </si>
  <si>
    <t>12-Apr-1930</t>
  </si>
  <si>
    <t>18-Apr-1930</t>
  </si>
  <si>
    <t>Pittsburgh</t>
  </si>
  <si>
    <t>4-Jul-1928</t>
  </si>
  <si>
    <t>10-Jul-1928</t>
  </si>
  <si>
    <t>Veracruz</t>
  </si>
  <si>
    <t>10-Nov-1930</t>
  </si>
  <si>
    <t>17-Nov-1930</t>
  </si>
  <si>
    <t>19-May-1914</t>
  </si>
  <si>
    <t>3-Jun-1914</t>
  </si>
  <si>
    <t>21-Mar-1910</t>
  </si>
  <si>
    <t>3-Apr-1910</t>
  </si>
  <si>
    <t>28-Jul-1884</t>
  </si>
  <si>
    <t>22-Feb-1910</t>
  </si>
  <si>
    <t>11-Mar-1910</t>
  </si>
  <si>
    <t>4-Nov-1902</t>
  </si>
  <si>
    <t>31-Oct-1913</t>
  </si>
  <si>
    <t>9-Sep-1923</t>
  </si>
  <si>
    <t>28-Mar-1899</t>
  </si>
  <si>
    <t>11-Jun-1903</t>
  </si>
  <si>
    <t>9-May-1913</t>
  </si>
  <si>
    <t>Andania</t>
  </si>
  <si>
    <t>24-May-1929</t>
  </si>
  <si>
    <t>2-Jun-1929</t>
  </si>
  <si>
    <t>28-Jul-1934</t>
  </si>
  <si>
    <t>3-Aug-1934</t>
  </si>
  <si>
    <t>15-Jun-1922</t>
  </si>
  <si>
    <t>Bergensfjord</t>
  </si>
  <si>
    <t>15-Mar-1916</t>
  </si>
  <si>
    <t>27-Mar-1916</t>
  </si>
  <si>
    <t>20-Jul-1921</t>
  </si>
  <si>
    <t>2-Aug-1921</t>
  </si>
  <si>
    <t>16-Dec-1892</t>
  </si>
  <si>
    <t>21-Mar-1927</t>
  </si>
  <si>
    <t>12-Nov-1921</t>
  </si>
  <si>
    <t>24-Jun-1901</t>
  </si>
  <si>
    <t>24-Feb-1917</t>
  </si>
  <si>
    <t>21-Mar-1917</t>
  </si>
  <si>
    <t>22-Aug-1920</t>
  </si>
  <si>
    <t>17-Mar-1909</t>
  </si>
  <si>
    <t>22-Sep-1897</t>
  </si>
  <si>
    <t>3-Oct-1897</t>
  </si>
  <si>
    <t>30-Aug-1905</t>
  </si>
  <si>
    <t>17-Nov-1916</t>
  </si>
  <si>
    <t>13-Dec-1916</t>
  </si>
  <si>
    <t>22-Sep-1926</t>
  </si>
  <si>
    <t>29-Sep-1926</t>
  </si>
  <si>
    <t>28-May-1912</t>
  </si>
  <si>
    <t>13-Jun-1912</t>
  </si>
  <si>
    <t>11-Jul-1913</t>
  </si>
  <si>
    <t>12-Feb-1913</t>
  </si>
  <si>
    <t>26-Feb-1913</t>
  </si>
  <si>
    <t>City of Lahore</t>
  </si>
  <si>
    <t>Calcutta</t>
  </si>
  <si>
    <t>10-Feb-1920</t>
  </si>
  <si>
    <t>20-Jun-1891</t>
  </si>
  <si>
    <t>5-Oct-1914</t>
  </si>
  <si>
    <t>Italia</t>
  </si>
  <si>
    <t>16-Jun-1911</t>
  </si>
  <si>
    <t>6-Jan-1923</t>
  </si>
  <si>
    <t>24-Mar-1926</t>
  </si>
  <si>
    <t>31-Mar-1926</t>
  </si>
  <si>
    <t>Naples &amp; Marseille</t>
  </si>
  <si>
    <t>13-Jul-1920</t>
  </si>
  <si>
    <t>30-Jul-1920</t>
  </si>
  <si>
    <t>St. Johns, NF</t>
  </si>
  <si>
    <t>31-Jul-1906</t>
  </si>
  <si>
    <t>City of Bombay</t>
  </si>
  <si>
    <t>China</t>
  </si>
  <si>
    <t>Shanghai</t>
  </si>
  <si>
    <t>13-Apr-1918</t>
  </si>
  <si>
    <t>6-May-1918</t>
  </si>
  <si>
    <t>1-Nov-1927</t>
  </si>
  <si>
    <t>8-Nov-1927</t>
  </si>
  <si>
    <t>20-Feb-1913</t>
  </si>
  <si>
    <t>7-Dec-1902</t>
  </si>
  <si>
    <t>17-Dec-1902</t>
  </si>
  <si>
    <t>14-Jul-1909</t>
  </si>
  <si>
    <t>Catalonia</t>
  </si>
  <si>
    <t>29-Oct-1896</t>
  </si>
  <si>
    <t>8-Nov-1896</t>
  </si>
  <si>
    <t>20-Nov-1902</t>
  </si>
  <si>
    <t>17-Feb-1911</t>
  </si>
  <si>
    <t>17-Aug-1927</t>
  </si>
  <si>
    <t>23-Aug-1927</t>
  </si>
  <si>
    <t>1-Jun-1913</t>
  </si>
  <si>
    <t>25-Jul-1923</t>
  </si>
  <si>
    <t>4-Aug-1923</t>
  </si>
  <si>
    <t>11-Jul-1912</t>
  </si>
  <si>
    <t>Germanic</t>
  </si>
  <si>
    <t>12-Sep-1904</t>
  </si>
  <si>
    <t>1-Dec-1923</t>
  </si>
  <si>
    <t>Macedonia</t>
  </si>
  <si>
    <t>Sant'Anna</t>
  </si>
  <si>
    <t>14-Jul-1911</t>
  </si>
  <si>
    <t>24-Aug-1916</t>
  </si>
  <si>
    <t>5-Sep-1916</t>
  </si>
  <si>
    <t>10-Oct-1920</t>
  </si>
  <si>
    <t>31-Jul-1912</t>
  </si>
  <si>
    <t>26-Nov-1925</t>
  </si>
  <si>
    <t>6-Dec-1925</t>
  </si>
  <si>
    <t>28-Jan-1902</t>
  </si>
  <si>
    <t>9-Feb-1902</t>
  </si>
  <si>
    <t>5-Jan-1910</t>
  </si>
  <si>
    <t>5-Feb-1905</t>
  </si>
  <si>
    <t>9-Feb-1910</t>
  </si>
  <si>
    <t>17-Feb-1910</t>
  </si>
  <si>
    <t>15-Aug-1920</t>
  </si>
  <si>
    <t>13-Aug-1922</t>
  </si>
  <si>
    <t>23-Mar-1910</t>
  </si>
  <si>
    <t>5-May-1910</t>
  </si>
  <si>
    <t>8-May-1910</t>
  </si>
  <si>
    <t>5-Jun-1910</t>
  </si>
  <si>
    <t>22-Jun-1910</t>
  </si>
  <si>
    <t>20-Jul-1910</t>
  </si>
  <si>
    <t>29-Jul-1910</t>
  </si>
  <si>
    <t>14-Aug-1910</t>
  </si>
  <si>
    <t>10-Jul-1914</t>
  </si>
  <si>
    <t>Montrose</t>
  </si>
  <si>
    <t>25-Nov-1927</t>
  </si>
  <si>
    <t>3-Dec-1927</t>
  </si>
  <si>
    <t>28-Feb-1924</t>
  </si>
  <si>
    <t>5-Mar-1924</t>
  </si>
  <si>
    <t>2-Feb-1928</t>
  </si>
  <si>
    <t>14-Feb-1928</t>
  </si>
  <si>
    <t>15-Apr-1909</t>
  </si>
  <si>
    <t>3-Jul-1920</t>
  </si>
  <si>
    <t>12-Jul-1920</t>
  </si>
  <si>
    <t>6-Dec-1921</t>
  </si>
  <si>
    <t>20-Feb-1907</t>
  </si>
  <si>
    <t>7-Mar-1907</t>
  </si>
  <si>
    <t>22-Sep-1928</t>
  </si>
  <si>
    <t>16-Feb-1924</t>
  </si>
  <si>
    <t>25-Feb-1924</t>
  </si>
  <si>
    <t>19-Oct-1925</t>
  </si>
  <si>
    <t>25-Jan-1917</t>
  </si>
  <si>
    <t>Montcalm</t>
  </si>
  <si>
    <t>4-Nov-1927</t>
  </si>
  <si>
    <t>11-Nov-1927</t>
  </si>
  <si>
    <t>St. Michael's, Azores</t>
  </si>
  <si>
    <t>4-Mar-1915</t>
  </si>
  <si>
    <t>15-Feb-1915</t>
  </si>
  <si>
    <t>24-Oct-1906</t>
  </si>
  <si>
    <t>26-Oct-1906</t>
  </si>
  <si>
    <t>25-Jun-1914</t>
  </si>
  <si>
    <t>27-Feb-1919</t>
  </si>
  <si>
    <t>15-Mar-1919</t>
  </si>
  <si>
    <t>16-Nov-1927</t>
  </si>
  <si>
    <t>22-Nov-1927</t>
  </si>
  <si>
    <t>Alesia</t>
  </si>
  <si>
    <t>Lisbon</t>
  </si>
  <si>
    <t>2-Dec-1929</t>
  </si>
  <si>
    <t>14-Dec-1929</t>
  </si>
  <si>
    <t>30-Mar-1927</t>
  </si>
  <si>
    <t>8-Aug-1913</t>
  </si>
  <si>
    <t>31-Oct-1925</t>
  </si>
  <si>
    <t>6-Nov-1925</t>
  </si>
  <si>
    <t>24-May-1910</t>
  </si>
  <si>
    <t>20-Jun-1923</t>
  </si>
  <si>
    <t>20-May-1930</t>
  </si>
  <si>
    <t>10-Jun-1930</t>
  </si>
  <si>
    <t>26-Nov-1920</t>
  </si>
  <si>
    <t>12-Dec-1920</t>
  </si>
  <si>
    <t>17-Sep-1909</t>
  </si>
  <si>
    <t>5-Jun-1891</t>
  </si>
  <si>
    <t>New York, NY</t>
  </si>
  <si>
    <t>8-Jan-1904</t>
  </si>
  <si>
    <t>27-Sep-1930</t>
  </si>
  <si>
    <t>4-Oct-1930</t>
  </si>
  <si>
    <t>28-Oct-1929</t>
  </si>
  <si>
    <t>12-Nov-1929</t>
  </si>
  <si>
    <t>21-Aug-1926</t>
  </si>
  <si>
    <t>25-Aug-1926</t>
  </si>
  <si>
    <t>Wassau</t>
  </si>
  <si>
    <t>31-Oct-1928</t>
  </si>
  <si>
    <t>4-Dec-1927</t>
  </si>
  <si>
    <t>1-Jan-1928</t>
  </si>
  <si>
    <t>22-Feb-1926</t>
  </si>
  <si>
    <t>23-Dec-1923</t>
  </si>
  <si>
    <t>17-Jan-1922</t>
  </si>
  <si>
    <t>26-Jan-1922</t>
  </si>
  <si>
    <t>3-Mar-1920</t>
  </si>
  <si>
    <t>12-Mar-1920</t>
  </si>
  <si>
    <t>Toloa</t>
  </si>
  <si>
    <t>24-Sep-1931</t>
  </si>
  <si>
    <t>27-Sep-1931</t>
  </si>
  <si>
    <t>19-Jan-1928</t>
  </si>
  <si>
    <t>28-Jan-1928</t>
  </si>
  <si>
    <t>28-Sep-1891</t>
  </si>
  <si>
    <t>7-Feb-1924</t>
  </si>
  <si>
    <t>Cedric</t>
  </si>
  <si>
    <t>30-Dec-1906</t>
  </si>
  <si>
    <t>2-Oct-1929</t>
  </si>
  <si>
    <t>8-Oct-1929</t>
  </si>
  <si>
    <t>11-Dec-1929</t>
  </si>
  <si>
    <t>17-Dec-1929</t>
  </si>
  <si>
    <t>6-Aug-1909</t>
  </si>
  <si>
    <t>18-Aug-1909</t>
  </si>
  <si>
    <t>13-Mar-1928</t>
  </si>
  <si>
    <t>19-Mar-1928</t>
  </si>
  <si>
    <t>17-Jun-1923</t>
  </si>
  <si>
    <t>26-Jun-1923</t>
  </si>
  <si>
    <t>1-Oct-1922</t>
  </si>
  <si>
    <t>Frisia</t>
  </si>
  <si>
    <t>27-Aug-1885</t>
  </si>
  <si>
    <t>9-Jun-1910</t>
  </si>
  <si>
    <t>24-Jun-1910</t>
  </si>
  <si>
    <t>8-Sep-1913</t>
  </si>
  <si>
    <t>24-Nov-1904</t>
  </si>
  <si>
    <t>18-Dec-1904</t>
  </si>
  <si>
    <t>Metagama</t>
  </si>
  <si>
    <t>1-Feb-1912</t>
  </si>
  <si>
    <t>15-Sep-1905</t>
  </si>
  <si>
    <t>Denmark</t>
  </si>
  <si>
    <t>20-Aug-1868</t>
  </si>
  <si>
    <t>7-Oct-1869</t>
  </si>
  <si>
    <t>24-Aug-1906</t>
  </si>
  <si>
    <t>6-Sep-1906</t>
  </si>
  <si>
    <t>14-Oct-1904</t>
  </si>
  <si>
    <t>9-Nov-1904</t>
  </si>
  <si>
    <t>1-Nov-1901</t>
  </si>
  <si>
    <t>12-Nov-1901</t>
  </si>
  <si>
    <t>25-Jun-1900</t>
  </si>
  <si>
    <t>6-Jul-1900</t>
  </si>
  <si>
    <t>9-Dec-1909</t>
  </si>
  <si>
    <t>13-Dec-1911</t>
  </si>
  <si>
    <t>23-Jul-1909</t>
  </si>
  <si>
    <t>26-Oct-1913</t>
  </si>
  <si>
    <t>18-Oct-1901</t>
  </si>
  <si>
    <t>5-Jun-1903</t>
  </si>
  <si>
    <t>28-Jun-1903</t>
  </si>
  <si>
    <t>Francesca</t>
  </si>
  <si>
    <t>18-Dec-1906</t>
  </si>
  <si>
    <t>2-Jan-1907</t>
  </si>
  <si>
    <t>28-Jun-1892</t>
  </si>
  <si>
    <t>Bothnia</t>
  </si>
  <si>
    <t>19-Sep-1892</t>
  </si>
  <si>
    <t>27-Oct-1904</t>
  </si>
  <si>
    <t>1-Dec-1907</t>
  </si>
  <si>
    <t>23-Nov-1904</t>
  </si>
  <si>
    <t>2-Dec-1904</t>
  </si>
  <si>
    <t>9-Feb-1921</t>
  </si>
  <si>
    <t>Queen Mary</t>
  </si>
  <si>
    <t>10-Nov-1937</t>
  </si>
  <si>
    <t>15-Nov-1937</t>
  </si>
  <si>
    <t>2-Dec-1903</t>
  </si>
  <si>
    <t>9-Dec-1903</t>
  </si>
  <si>
    <t>Tenedos</t>
  </si>
  <si>
    <t>29-Jun-1904</t>
  </si>
  <si>
    <t>2-Aug-1901</t>
  </si>
  <si>
    <t>8-Oct-1907</t>
  </si>
  <si>
    <t>31-Jul-1907</t>
  </si>
  <si>
    <t>11-Aug-1907</t>
  </si>
  <si>
    <t>Etruria</t>
  </si>
  <si>
    <t>17-Jul-1904</t>
  </si>
  <si>
    <t>21-Sep-1926</t>
  </si>
  <si>
    <t>27-Sep-1926</t>
  </si>
  <si>
    <t>6-Dec-1906</t>
  </si>
  <si>
    <t>4-Feb-1900</t>
  </si>
  <si>
    <t>13-Feb-1900</t>
  </si>
  <si>
    <t>25-Jan-1911</t>
  </si>
  <si>
    <t>18-Jan-1911</t>
  </si>
  <si>
    <t>5-Oct-1909</t>
  </si>
  <si>
    <t>17-Aug-1899</t>
  </si>
  <si>
    <t>29-Aug-1899</t>
  </si>
  <si>
    <t>3-Nov-1925</t>
  </si>
  <si>
    <t>10-Nov-1925</t>
  </si>
  <si>
    <t>6-Dec-1927</t>
  </si>
  <si>
    <t>18-Oct-1926</t>
  </si>
  <si>
    <t>10-Nov-1926</t>
  </si>
  <si>
    <t>14-Dec-1910</t>
  </si>
  <si>
    <t>23-Dec-1910</t>
  </si>
  <si>
    <t>Luisiana</t>
  </si>
  <si>
    <t>6-May-1903</t>
  </si>
  <si>
    <t>13-May-1903</t>
  </si>
  <si>
    <t>1-Dec-1925</t>
  </si>
  <si>
    <t>29-May-1911</t>
  </si>
  <si>
    <t>12-Jun-1911</t>
  </si>
  <si>
    <t>12-Feb-1920</t>
  </si>
  <si>
    <t>16-Apr-1903</t>
  </si>
  <si>
    <t>22-May-1912</t>
  </si>
  <si>
    <t>7-Jun-1912</t>
  </si>
  <si>
    <t>19-Aug-1909</t>
  </si>
  <si>
    <t>11-Aug-1910</t>
  </si>
  <si>
    <t>Birma</t>
  </si>
  <si>
    <t>Libau</t>
  </si>
  <si>
    <t>23-Jan-1913</t>
  </si>
  <si>
    <t>17-Nov-1899</t>
  </si>
  <si>
    <t>Burgundia</t>
  </si>
  <si>
    <t>13-Nov-1896</t>
  </si>
  <si>
    <t>9-Jan-1911</t>
  </si>
  <si>
    <t>23-Jan-1911</t>
  </si>
  <si>
    <t>16-Aug-1912</t>
  </si>
  <si>
    <t>31-Aug-1903</t>
  </si>
  <si>
    <t>17-Sep-1903</t>
  </si>
  <si>
    <t>Scotsman</t>
  </si>
  <si>
    <t>22-Apr-1897</t>
  </si>
  <si>
    <t>6-May-1897</t>
  </si>
  <si>
    <t>21-Aug-1902</t>
  </si>
  <si>
    <t>11-Oct-1911</t>
  </si>
  <si>
    <t>26-Oct-1911</t>
  </si>
  <si>
    <t>8-Oct-1896</t>
  </si>
  <si>
    <t>Arizona</t>
  </si>
  <si>
    <t>24-May-1886</t>
  </si>
  <si>
    <t>17-Nov-1890</t>
  </si>
  <si>
    <t>26-May-1898</t>
  </si>
  <si>
    <t>6-Jun-1898</t>
  </si>
  <si>
    <t>26-May-1891</t>
  </si>
  <si>
    <t>27-May-1916</t>
  </si>
  <si>
    <t>28-Dec-1911</t>
  </si>
  <si>
    <t>9-Jan-1912</t>
  </si>
  <si>
    <t>Lake Huron</t>
  </si>
  <si>
    <t>19-Jan-1905</t>
  </si>
  <si>
    <t>3-May-1906</t>
  </si>
  <si>
    <t>Mayflower</t>
  </si>
  <si>
    <t>10-Aug-1903</t>
  </si>
  <si>
    <t>City of Chester</t>
  </si>
  <si>
    <t>12-Sep-1884</t>
  </si>
  <si>
    <t>3-Dec-1906</t>
  </si>
  <si>
    <t>14-Oct-1909</t>
  </si>
  <si>
    <t>1-Jun-1911</t>
  </si>
  <si>
    <t>15-Jun-1911</t>
  </si>
  <si>
    <t>2-Jul-1908</t>
  </si>
  <si>
    <t>12-Dec-1910</t>
  </si>
  <si>
    <t>29-Dec-1910</t>
  </si>
  <si>
    <t>Laurentian</t>
  </si>
  <si>
    <t>20-Nov-1899</t>
  </si>
  <si>
    <t>Perugia</t>
  </si>
  <si>
    <t>29-Jun-1911</t>
  </si>
  <si>
    <t>25-Jul-1911</t>
  </si>
  <si>
    <t>12-Feb-1908</t>
  </si>
  <si>
    <t>20-Feb-1908</t>
  </si>
  <si>
    <t>25-May-1900</t>
  </si>
  <si>
    <t>18-Oct-1893</t>
  </si>
  <si>
    <t>27-Apr-1904</t>
  </si>
  <si>
    <t>10-May-1904</t>
  </si>
  <si>
    <t>6-Feb-1907</t>
  </si>
  <si>
    <t>18-Sep-1907</t>
  </si>
  <si>
    <t>2-Oct-1907</t>
  </si>
  <si>
    <t>18-Jan-1900</t>
  </si>
  <si>
    <t>30-Jan-1900</t>
  </si>
  <si>
    <t>9-Oct-1911</t>
  </si>
  <si>
    <t>2-Oct-1914</t>
  </si>
  <si>
    <t>22-Aug-1909</t>
  </si>
  <si>
    <t>10-Oct-1910</t>
  </si>
  <si>
    <t>Cincinnati</t>
  </si>
  <si>
    <t>31-May-1906</t>
  </si>
  <si>
    <t>11-Jun-1906</t>
  </si>
  <si>
    <t>30-Jun-1897</t>
  </si>
  <si>
    <t>26-Dec-1903</t>
  </si>
  <si>
    <t>4-Jan-1904</t>
  </si>
  <si>
    <t>Inaba Maru</t>
  </si>
  <si>
    <t>24-Oct-1917</t>
  </si>
  <si>
    <t>10-Nov-1917</t>
  </si>
  <si>
    <t>17-May-1914</t>
  </si>
  <si>
    <t>19-Dec-1905</t>
  </si>
  <si>
    <t>18-Jul-1908</t>
  </si>
  <si>
    <t>26-Jul-1908</t>
  </si>
  <si>
    <t>11-Mar-1909</t>
  </si>
  <si>
    <t>26-Aug-1902</t>
  </si>
  <si>
    <t>14-Jul-1916</t>
  </si>
  <si>
    <t>25-Jul-1916</t>
  </si>
  <si>
    <t>21-Sep-1911</t>
  </si>
  <si>
    <t>25-Sep-1912</t>
  </si>
  <si>
    <t>11-Jun-1898</t>
  </si>
  <si>
    <t>3-Sep-1914</t>
  </si>
  <si>
    <t>17-Sep-1914</t>
  </si>
  <si>
    <t>3-Jan-1905</t>
  </si>
  <si>
    <t>12-Jan-1905</t>
  </si>
  <si>
    <t>12-Jan-1909</t>
  </si>
  <si>
    <t>17-Oct-1905</t>
  </si>
  <si>
    <t>31-Oct-1905</t>
  </si>
  <si>
    <t>8-May-1914</t>
  </si>
  <si>
    <t>30-Dec-1912</t>
  </si>
  <si>
    <t>17-Jan-1913</t>
  </si>
  <si>
    <t>15-Sep-1917</t>
  </si>
  <si>
    <t>8-Oct-1917</t>
  </si>
  <si>
    <t>12-Apr-1912</t>
  </si>
  <si>
    <t>10-Jul-1911</t>
  </si>
  <si>
    <t>23-Jul-1911</t>
  </si>
  <si>
    <t>6-Dec-1912</t>
  </si>
  <si>
    <t>25-Sep-1913</t>
  </si>
  <si>
    <t>President Grant</t>
  </si>
  <si>
    <t>25-Nov-1910</t>
  </si>
  <si>
    <t>Ciudad Juarez, CHH, Mexico</t>
  </si>
  <si>
    <t>El Paso, TX</t>
  </si>
  <si>
    <t>17-Aug-1911</t>
  </si>
  <si>
    <t>Passengers</t>
  </si>
  <si>
    <t>23-Dec-1925</t>
  </si>
  <si>
    <t>1-Jan-1926</t>
  </si>
  <si>
    <t>Border Crossings</t>
  </si>
  <si>
    <t>Ship Manifests</t>
  </si>
  <si>
    <t>New England</t>
  </si>
  <si>
    <t>25-Jun-1903</t>
  </si>
  <si>
    <t>26-Apr-1903</t>
  </si>
  <si>
    <t>27-Jun-1919</t>
  </si>
  <si>
    <t>16-Jul-1919</t>
  </si>
  <si>
    <t>Neckar</t>
  </si>
  <si>
    <t>21-Feb-1913</t>
  </si>
  <si>
    <t>Rindjani</t>
  </si>
  <si>
    <t>20-May-1917</t>
  </si>
  <si>
    <t>19-Jan-1914</t>
  </si>
  <si>
    <t>3-Feb-1914</t>
  </si>
  <si>
    <t>23-Jun-1920</t>
  </si>
  <si>
    <t>4-Apr-1910</t>
  </si>
  <si>
    <t>20-Apr-1910</t>
  </si>
  <si>
    <t>26-Oct-1900</t>
  </si>
  <si>
    <t>5-Nov-1900</t>
  </si>
  <si>
    <t>25-Jul-1912</t>
  </si>
  <si>
    <t>11-Sep-1902</t>
  </si>
  <si>
    <t>27-Sep-1905</t>
  </si>
  <si>
    <t>19-Feb-1920</t>
  </si>
  <si>
    <t>27-Jun-1912</t>
  </si>
  <si>
    <t>6-Nov-1911</t>
  </si>
  <si>
    <t>28-Nov-1911</t>
  </si>
  <si>
    <t>17-Feb-1913</t>
  </si>
  <si>
    <t>20-Sep-1919</t>
  </si>
  <si>
    <t>7-May-1913</t>
  </si>
  <si>
    <t>1-Oct-1913</t>
  </si>
  <si>
    <t>13-Oct-1913</t>
  </si>
  <si>
    <t>2-Oct-1912</t>
  </si>
  <si>
    <t>10-Oct-1912</t>
  </si>
  <si>
    <t>3-Sep-1900</t>
  </si>
  <si>
    <t>14-Sep-1900</t>
  </si>
  <si>
    <t>28-Jan-1920</t>
  </si>
  <si>
    <t>3-Nov-1916</t>
  </si>
  <si>
    <t>14-Nov-1916</t>
  </si>
  <si>
    <t>Nanking</t>
  </si>
  <si>
    <t>30-Nov-1919</t>
  </si>
  <si>
    <t>Fushimi Maru</t>
  </si>
  <si>
    <t>22-Dec-1917</t>
  </si>
  <si>
    <t>5-Jan-1918</t>
  </si>
  <si>
    <t>Re d'Italia</t>
  </si>
  <si>
    <t>1-Sep-1910</t>
  </si>
  <si>
    <t>16-Sep-1910</t>
  </si>
  <si>
    <t>9-Oct-1910</t>
  </si>
  <si>
    <t>9-Jan-1902</t>
  </si>
  <si>
    <t>20-Jan-1902</t>
  </si>
  <si>
    <t>30-Aug-1914</t>
  </si>
  <si>
    <t>18-Sep-1914</t>
  </si>
  <si>
    <t>29-May-1916</t>
  </si>
  <si>
    <t>15-Jun-1916</t>
  </si>
  <si>
    <t>Ophir</t>
  </si>
  <si>
    <t>6-Oct-1917</t>
  </si>
  <si>
    <t>14-Nov-1917</t>
  </si>
  <si>
    <t>29-Sep-1911</t>
  </si>
  <si>
    <t>19-Feb-1911</t>
  </si>
  <si>
    <t>Hispania</t>
  </si>
  <si>
    <t>20-Jun-1896</t>
  </si>
  <si>
    <t>16-Jun-1904</t>
  </si>
  <si>
    <t>21-Aug-1912</t>
  </si>
  <si>
    <t>12-Sep-1912</t>
  </si>
  <si>
    <t>Catalpa</t>
  </si>
  <si>
    <t>19-Dec-1848</t>
  </si>
  <si>
    <t>Egypt</t>
  </si>
  <si>
    <t>4-Nov-1878</t>
  </si>
  <si>
    <t>Baltic</t>
  </si>
  <si>
    <t>15-Dec-1912</t>
  </si>
  <si>
    <t>Tuscania</t>
  </si>
  <si>
    <t>30-Sep-1921</t>
  </si>
  <si>
    <t>Minnewaska</t>
  </si>
  <si>
    <t>28-Aug-1926</t>
  </si>
  <si>
    <t>6-Sep-1926</t>
  </si>
  <si>
    <t>London &amp; Boulogne</t>
  </si>
  <si>
    <t>18-Mar-1913</t>
  </si>
  <si>
    <t>25-Jul-1928</t>
  </si>
  <si>
    <t>31-Jul-1928</t>
  </si>
  <si>
    <t>17-Aug-1889</t>
  </si>
  <si>
    <t>19-Jun-1904</t>
  </si>
  <si>
    <t>17-Aug-1910</t>
  </si>
  <si>
    <t>4-Nov-1913</t>
  </si>
  <si>
    <t>12-Jan-1916</t>
  </si>
  <si>
    <t>29-Mar-1904</t>
  </si>
  <si>
    <t>7-Apr-1904</t>
  </si>
  <si>
    <t>29-Apr-1908</t>
  </si>
  <si>
    <t>11-Aug-1926</t>
  </si>
  <si>
    <t>Dwinsk</t>
  </si>
  <si>
    <t>8-Oct-1915</t>
  </si>
  <si>
    <t>28-Oct-1915</t>
  </si>
  <si>
    <t>4-Jan-1911</t>
  </si>
  <si>
    <t>23-Sep-1914</t>
  </si>
  <si>
    <t>21-Oct-1914</t>
  </si>
  <si>
    <t>30-Oct-1914</t>
  </si>
  <si>
    <t>Kronprinzess Cecilie</t>
  </si>
  <si>
    <t>10-Mar-1914</t>
  </si>
  <si>
    <t>21-Sep-1909</t>
  </si>
  <si>
    <t>11-Jun-1897</t>
  </si>
  <si>
    <t>27-Dec-1906</t>
  </si>
  <si>
    <t>14-Aug-1911</t>
  </si>
  <si>
    <t>31-Aug-1911</t>
  </si>
  <si>
    <t>Tijuana, BCN, Mexico</t>
  </si>
  <si>
    <t>San Ysidro, CA</t>
  </si>
  <si>
    <t>14-Oct-1927</t>
  </si>
  <si>
    <t>7-Aug-1925</t>
  </si>
  <si>
    <t>19-Dec-1907</t>
  </si>
  <si>
    <t>31-May-1910</t>
  </si>
  <si>
    <t>Royal George</t>
  </si>
  <si>
    <t>27-Nov-1919</t>
  </si>
  <si>
    <t>9-Jul-1912</t>
  </si>
  <si>
    <t>Grosser Kurfurst</t>
  </si>
  <si>
    <t>26-Sep-1905</t>
  </si>
  <si>
    <t>4-Jun-1919</t>
  </si>
  <si>
    <t>20-Jun-1919</t>
  </si>
  <si>
    <t>Brandenburg</t>
  </si>
  <si>
    <t>16-Nov-1911</t>
  </si>
  <si>
    <t>Dante Alighieri</t>
  </si>
  <si>
    <t>5-Nov-1916</t>
  </si>
  <si>
    <t>22-Nov-1916</t>
  </si>
  <si>
    <t>31-Jan-1904</t>
  </si>
  <si>
    <t>Campanello</t>
  </si>
  <si>
    <t>22-Sep-1910</t>
  </si>
  <si>
    <t>13-Oct-1911</t>
  </si>
  <si>
    <t>20-Aug-1909</t>
  </si>
  <si>
    <t>10-Jun-1925</t>
  </si>
  <si>
    <t>17-Jun-1925</t>
  </si>
  <si>
    <t>Southwark</t>
  </si>
  <si>
    <t>22-Aug-1907</t>
  </si>
  <si>
    <t>30-Aug-1907</t>
  </si>
  <si>
    <t>9-Apr-1914</t>
  </si>
  <si>
    <t>23-Apr-1914</t>
  </si>
  <si>
    <t>5-Nov-1915</t>
  </si>
  <si>
    <t>Niagara Falls, ON, Canada</t>
  </si>
  <si>
    <t>Niagara Falls, NY</t>
  </si>
  <si>
    <t>24-Nov-1918</t>
  </si>
  <si>
    <t>Prinz Friedrich Wilhelm</t>
  </si>
  <si>
    <t>21-Nov-1906</t>
  </si>
  <si>
    <t>25-Aug-1921</t>
  </si>
  <si>
    <t>5-Jan-1920</t>
  </si>
  <si>
    <t>22-Jul-1911</t>
  </si>
  <si>
    <t>16-May-1910</t>
  </si>
  <si>
    <t>1-Jun-1910</t>
  </si>
  <si>
    <t>Arabic</t>
  </si>
  <si>
    <t>7-Sep-1921</t>
  </si>
  <si>
    <t>16-Sep-1921</t>
  </si>
  <si>
    <t>9-Dec-1920</t>
  </si>
  <si>
    <t>7-Apr-1913</t>
  </si>
  <si>
    <t>30-Mar-1913</t>
  </si>
  <si>
    <t>13-Jun-1921</t>
  </si>
  <si>
    <t>7-Jul-1918</t>
  </si>
  <si>
    <t>23-Jul-1918</t>
  </si>
  <si>
    <t>5-Oct-1899</t>
  </si>
  <si>
    <t>30-Nov-1906</t>
  </si>
  <si>
    <t>16-Jan-1914</t>
  </si>
  <si>
    <t>26-May-1913</t>
  </si>
  <si>
    <t>23-Aug-1909</t>
  </si>
  <si>
    <t>8-Sep-1909</t>
  </si>
  <si>
    <t>9-Jan-1907</t>
  </si>
  <si>
    <t>11-Oct-1903</t>
  </si>
  <si>
    <t>13-Feb-1921</t>
  </si>
  <si>
    <t>1-Jul-1920</t>
  </si>
  <si>
    <t>22-Sep-1912</t>
  </si>
  <si>
    <t>13-Oct-1912</t>
  </si>
  <si>
    <t>28-May-1909</t>
  </si>
  <si>
    <t>26-Jan-1913</t>
  </si>
  <si>
    <t>16-Jan-1913</t>
  </si>
  <si>
    <t>14-Jan-1920</t>
  </si>
  <si>
    <t>31-Oct-1909</t>
  </si>
  <si>
    <t>21-Feb-1905</t>
  </si>
  <si>
    <t>Heffron</t>
  </si>
  <si>
    <t>30-Jun-1912</t>
  </si>
  <si>
    <t>11-Jul-1907</t>
  </si>
  <si>
    <t>Lituania</t>
  </si>
  <si>
    <t>1-Apr-1912</t>
  </si>
  <si>
    <t>16-Apr-1912</t>
  </si>
  <si>
    <t>4-Mar-1919</t>
  </si>
  <si>
    <t>21-Mar-1919</t>
  </si>
  <si>
    <t>31-May-1911</t>
  </si>
  <si>
    <t>24-Nov-1909</t>
  </si>
  <si>
    <t>15-Nov-1917</t>
  </si>
  <si>
    <t>1-Dec-1917</t>
  </si>
  <si>
    <t>6-Mar-1913</t>
  </si>
  <si>
    <t>17-Mar-1913</t>
  </si>
  <si>
    <t>31-Dec-1908</t>
  </si>
  <si>
    <t>21-Jan-1910</t>
  </si>
  <si>
    <t>10-Dec-1889</t>
  </si>
  <si>
    <t>Nippon Maru</t>
  </si>
  <si>
    <t>3-Aug-1919</t>
  </si>
  <si>
    <t>9-Feb-1908</t>
  </si>
  <si>
    <t>14-Jul-1913</t>
  </si>
  <si>
    <t>Florida</t>
  </si>
  <si>
    <t>27-Sep-1907</t>
  </si>
  <si>
    <t>13-Sep-1907</t>
  </si>
  <si>
    <t>11-Aug-1915</t>
  </si>
  <si>
    <t>23-Aug-1915</t>
  </si>
  <si>
    <t>24-Aug-1904</t>
  </si>
  <si>
    <t>4-Sep-1904</t>
  </si>
  <si>
    <t>Katori Maru</t>
  </si>
  <si>
    <t>4-Nov-1920</t>
  </si>
  <si>
    <t>Stampalia</t>
  </si>
  <si>
    <t>8-Mar-1908</t>
  </si>
  <si>
    <t>6-Jun-1923</t>
  </si>
  <si>
    <t>27-Jul-1906</t>
  </si>
  <si>
    <t>7-Aug-1906</t>
  </si>
  <si>
    <t>President Arthur</t>
  </si>
  <si>
    <t>22-Sep-1923</t>
  </si>
  <si>
    <t>23-Jun-1909</t>
  </si>
  <si>
    <t>Samaria</t>
  </si>
  <si>
    <t>28-Apr-1920</t>
  </si>
  <si>
    <t>1-Jul-1912</t>
  </si>
  <si>
    <t>23-Nov-1899</t>
  </si>
  <si>
    <t>4-Dec-1899</t>
  </si>
  <si>
    <t>27-Jul-1914</t>
  </si>
  <si>
    <t>City of Sparta</t>
  </si>
  <si>
    <t>19-Sep-1920</t>
  </si>
  <si>
    <t>28-May-1919</t>
  </si>
  <si>
    <t>8-Jun-1919</t>
  </si>
  <si>
    <t>5-Oct-1920</t>
  </si>
  <si>
    <t>7-Sep-1920</t>
  </si>
  <si>
    <t>9-Dec-1910</t>
  </si>
  <si>
    <t>22-Jan-1914</t>
  </si>
  <si>
    <t>8-Mar-1906</t>
  </si>
  <si>
    <t>23-Mar-1906</t>
  </si>
  <si>
    <t>21-Jul-1913</t>
  </si>
  <si>
    <t>28-Sep-1921</t>
  </si>
  <si>
    <t>16-Jan-1907</t>
  </si>
  <si>
    <t>17-Aug-1901</t>
  </si>
  <si>
    <t>24-Aug-1901</t>
  </si>
  <si>
    <t>Ioannina</t>
  </si>
  <si>
    <t>27-Nov-1915</t>
  </si>
  <si>
    <t>27-Dec-1915</t>
  </si>
  <si>
    <t>2-Aug-1911</t>
  </si>
  <si>
    <t>1-Aug-1912</t>
  </si>
  <si>
    <t>Australasian</t>
  </si>
  <si>
    <t>14-Sep-1901</t>
  </si>
  <si>
    <t>21-Mar-1924</t>
  </si>
  <si>
    <t>24-Jun-1921</t>
  </si>
  <si>
    <t>Rex</t>
  </si>
  <si>
    <t>21-Sep-1938</t>
  </si>
  <si>
    <t>29-Sep-1938</t>
  </si>
  <si>
    <t>3-May-1939</t>
  </si>
  <si>
    <t>11-May-1939</t>
  </si>
  <si>
    <t>18-Nov-1916</t>
  </si>
  <si>
    <t>30-Sep-1915</t>
  </si>
  <si>
    <t>7-Mar-1911</t>
  </si>
  <si>
    <t>16-Mar-1911</t>
  </si>
  <si>
    <t>25-Sep-1920</t>
  </si>
  <si>
    <t>17-Oct-1920</t>
  </si>
  <si>
    <t>19-Nov-1919</t>
  </si>
  <si>
    <t>17-Oct-1919</t>
  </si>
  <si>
    <t>Bohemian</t>
  </si>
  <si>
    <t>30-Mar-1904</t>
  </si>
  <si>
    <t>14-Feb-1923</t>
  </si>
  <si>
    <t>29-Sep-1914</t>
  </si>
  <si>
    <t>14-Oct-1914</t>
  </si>
  <si>
    <t>25-Oct-1919</t>
  </si>
  <si>
    <t>9-Nov-1919</t>
  </si>
  <si>
    <t>22-Jun-1914</t>
  </si>
  <si>
    <t>Plymouth</t>
  </si>
  <si>
    <t>26-Oct-1919</t>
  </si>
  <si>
    <t>4-Nov-1919</t>
  </si>
  <si>
    <t>12-Mar-1914</t>
  </si>
  <si>
    <t>22-Mar-1914</t>
  </si>
  <si>
    <t>10-Sep-1923</t>
  </si>
  <si>
    <t>16-Jun-1905</t>
  </si>
  <si>
    <t>12-Aug-1909</t>
  </si>
  <si>
    <t>26-Jul-1906</t>
  </si>
  <si>
    <t>19-Nov-1920</t>
  </si>
  <si>
    <t>29-Nov-1920</t>
  </si>
  <si>
    <t>20-Apr-1920</t>
  </si>
  <si>
    <t>12-Oct-1902</t>
  </si>
  <si>
    <t>22-Oct-1902</t>
  </si>
  <si>
    <t>4-Apr-1907</t>
  </si>
  <si>
    <t>Verona</t>
  </si>
  <si>
    <t>6-Apr-1910</t>
  </si>
  <si>
    <t>17-Sep-1913</t>
  </si>
  <si>
    <t>27-Oct-1903</t>
  </si>
  <si>
    <t>8-Nov-1903</t>
  </si>
  <si>
    <t>15-Feb-1903</t>
  </si>
  <si>
    <t>26-Feb-1903</t>
  </si>
  <si>
    <t>11-Apr-1913</t>
  </si>
  <si>
    <t>30-May-1907</t>
  </si>
  <si>
    <t>18-Feb-1920</t>
  </si>
  <si>
    <t>11-Mar-1920</t>
  </si>
  <si>
    <t>7-Feb-1910</t>
  </si>
  <si>
    <t>Nuevo Laredo, TAM, Mexico</t>
  </si>
  <si>
    <t>Laredo, TX</t>
  </si>
  <si>
    <t>Thessaloniki</t>
  </si>
  <si>
    <t>25-Aug-1914</t>
  </si>
  <si>
    <t>10-Aug-1915</t>
  </si>
  <si>
    <t>24-Aug-1915</t>
  </si>
  <si>
    <t>20-May-1921</t>
  </si>
  <si>
    <t>1-Nov-1912</t>
  </si>
  <si>
    <t>7-Oct-1919</t>
  </si>
  <si>
    <t>11-Sep-1929</t>
  </si>
  <si>
    <t>17-Sep-1929</t>
  </si>
  <si>
    <t>15-Jan-1920</t>
  </si>
  <si>
    <t>3-Feb-1920</t>
  </si>
  <si>
    <t>Ile de France</t>
  </si>
  <si>
    <t>18-Apr-1928</t>
  </si>
  <si>
    <t>25-Apr-1928</t>
  </si>
  <si>
    <t>5-Aug-1913</t>
  </si>
  <si>
    <t>Santarem</t>
  </si>
  <si>
    <t>18-May-1920</t>
  </si>
  <si>
    <t>Laurentic</t>
  </si>
  <si>
    <t>14-Jul-1912</t>
  </si>
  <si>
    <t>23-Jul-1920</t>
  </si>
  <si>
    <t>Richmond Hill</t>
  </si>
  <si>
    <t>10-Jul-1886</t>
  </si>
  <si>
    <t>13-Jun-1905</t>
  </si>
  <si>
    <t>1-Jul-1907</t>
  </si>
  <si>
    <t>25-Nov-1906</t>
  </si>
  <si>
    <t>22-Jul-1891</t>
  </si>
  <si>
    <t>29-Mar-1902</t>
  </si>
  <si>
    <t>2-Nov-1911</t>
  </si>
  <si>
    <t>14-Jul-1929</t>
  </si>
  <si>
    <t>9-Aug-1929</t>
  </si>
  <si>
    <t>9-Jun-1907</t>
  </si>
  <si>
    <t>28-Jan-1927</t>
  </si>
  <si>
    <t>27-Feb-1927</t>
  </si>
  <si>
    <t>25-Jul-1910</t>
  </si>
  <si>
    <t>9-Aug-1910</t>
  </si>
  <si>
    <t>4-Aug-1903</t>
  </si>
  <si>
    <t>11-May-1914</t>
  </si>
  <si>
    <t>3-May-1914</t>
  </si>
  <si>
    <t>22-Sep-1890</t>
  </si>
  <si>
    <t>19-Dec-1919</t>
  </si>
  <si>
    <t>28-Dec-1919</t>
  </si>
  <si>
    <t>23-Jul-1924</t>
  </si>
  <si>
    <t>29-Jul-1924</t>
  </si>
  <si>
    <t>7-Dec-1913</t>
  </si>
  <si>
    <t>Mexicali, BCN, Mexico</t>
  </si>
  <si>
    <t>Calexico, CA</t>
  </si>
  <si>
    <t>3-Oct-1927</t>
  </si>
  <si>
    <t>23-Aug-1928</t>
  </si>
  <si>
    <t>29-May-1915</t>
  </si>
  <si>
    <t>7-Jun-1915</t>
  </si>
  <si>
    <t>22-May-1902</t>
  </si>
  <si>
    <t>25-May-1902</t>
  </si>
  <si>
    <t>3-Jun-1902</t>
  </si>
  <si>
    <t>Victoria, BC, Canada</t>
  </si>
  <si>
    <t>Seattle, WA</t>
  </si>
  <si>
    <t>19-Nov-1915</t>
  </si>
  <si>
    <t>24-Mar-1916</t>
  </si>
  <si>
    <t>6-Jul-1929</t>
  </si>
  <si>
    <t>27-Jan-1915</t>
  </si>
  <si>
    <t>19-Feb-1915</t>
  </si>
  <si>
    <t>23-Mar-1929</t>
  </si>
  <si>
    <t>23-Aug-1929</t>
  </si>
  <si>
    <t>Antonia</t>
  </si>
  <si>
    <t>22-Jun-1923</t>
  </si>
  <si>
    <t>Letimbro</t>
  </si>
  <si>
    <t>17-Oct-1885</t>
  </si>
  <si>
    <t>2-Jan-1905</t>
  </si>
  <si>
    <t>5-Jun-1929</t>
  </si>
  <si>
    <t>12-Jun-1929</t>
  </si>
  <si>
    <t>26-Jan-1927</t>
  </si>
  <si>
    <t>2-Feb-1927</t>
  </si>
  <si>
    <t>12-Dec-1931</t>
  </si>
  <si>
    <t>21-Dec-1931</t>
  </si>
  <si>
    <t>11-Sep-1922</t>
  </si>
  <si>
    <t>10-May-1921</t>
  </si>
  <si>
    <t>31-Aug-1913</t>
  </si>
  <si>
    <t>16-Jun-1908</t>
  </si>
  <si>
    <t>8-Jul-1908</t>
  </si>
  <si>
    <t>6-Nov-1924</t>
  </si>
  <si>
    <t>13-Oct-1904</t>
  </si>
  <si>
    <t>23-Oct-1904</t>
  </si>
  <si>
    <t>15-Jul-1927</t>
  </si>
  <si>
    <t>25-Jul-1927</t>
  </si>
  <si>
    <t>12-Jan-1923</t>
  </si>
  <si>
    <t>2-Feb-1923</t>
  </si>
  <si>
    <t>25-Sep-1896</t>
  </si>
  <si>
    <t>30-Mar-1910</t>
  </si>
  <si>
    <t>7-Apr-1910</t>
  </si>
  <si>
    <t>Cassius</t>
  </si>
  <si>
    <t>24-Aug-1882</t>
  </si>
  <si>
    <t>3-Nov-1927</t>
  </si>
  <si>
    <t>10-Oct-1927</t>
  </si>
  <si>
    <t>16-Oct-1927</t>
  </si>
  <si>
    <t>30-Sep-1927</t>
  </si>
  <si>
    <t>8-May-1927</t>
  </si>
  <si>
    <t>29-May-1927</t>
  </si>
  <si>
    <t>21-Jul-1909</t>
  </si>
  <si>
    <t>25-Jun-1888</t>
  </si>
  <si>
    <t>19-Sep-1911</t>
  </si>
  <si>
    <t>28-Sep-1911</t>
  </si>
  <si>
    <t>16-Nov-1901</t>
  </si>
  <si>
    <t>25-Nov-1901</t>
  </si>
  <si>
    <t>17-Aug-1904</t>
  </si>
  <si>
    <t>25-Aug-1904</t>
  </si>
  <si>
    <t>21-Nov-1905</t>
  </si>
  <si>
    <t>Rio Negro</t>
  </si>
  <si>
    <t>18-Sep-1902</t>
  </si>
  <si>
    <t>18-Sep-1923</t>
  </si>
  <si>
    <t>3-Jan-1908</t>
  </si>
  <si>
    <t>11-Jan-1907</t>
  </si>
  <si>
    <t>20-Jan-1907</t>
  </si>
  <si>
    <t>Main</t>
  </si>
  <si>
    <t>6-Mar-1897</t>
  </si>
  <si>
    <t>6-Jul-1927</t>
  </si>
  <si>
    <t>12-Jul-1927</t>
  </si>
  <si>
    <t>12-Jul-1921</t>
  </si>
  <si>
    <t>27-Jul-1921</t>
  </si>
  <si>
    <t>10-Jun-1908</t>
  </si>
  <si>
    <t>20-Jan-1899</t>
  </si>
  <si>
    <t>5-Feb-1899</t>
  </si>
  <si>
    <t>Weser</t>
  </si>
  <si>
    <t>30-Nov-1893</t>
  </si>
  <si>
    <t>1-Oct-1909</t>
  </si>
  <si>
    <t>3-Jun-1910</t>
  </si>
  <si>
    <t>19-Jun-1910</t>
  </si>
  <si>
    <t>13-Feb-1902</t>
  </si>
  <si>
    <t>25-Feb-1902</t>
  </si>
  <si>
    <t>20-Aug-1905</t>
  </si>
  <si>
    <t>25-Jan-1928</t>
  </si>
  <si>
    <t>1-Feb-1928</t>
  </si>
  <si>
    <t>18-May-1927</t>
  </si>
  <si>
    <t>24-May-1927</t>
  </si>
  <si>
    <t>11-Nov-1908</t>
  </si>
  <si>
    <t>13-Jul-1917</t>
  </si>
  <si>
    <t>26-Jul-1917</t>
  </si>
  <si>
    <t>6-Feb-1906</t>
  </si>
  <si>
    <t>26-Dec-1919</t>
  </si>
  <si>
    <t>10-Feb-1933</t>
  </si>
  <si>
    <t>14-Oct-1931</t>
  </si>
  <si>
    <t>4-Nov-1931</t>
  </si>
  <si>
    <t>27-May-1910</t>
  </si>
  <si>
    <t>Manhattan</t>
  </si>
  <si>
    <t>9-Feb-1933</t>
  </si>
  <si>
    <t>16-Feb-1933</t>
  </si>
  <si>
    <t>Stavangerfjord</t>
  </si>
  <si>
    <t>17-Jun-1921</t>
  </si>
  <si>
    <t>28-Jun-1921</t>
  </si>
  <si>
    <t>23-Aug-1926</t>
  </si>
  <si>
    <t>7-Jan-1916</t>
  </si>
  <si>
    <t>22-Jun-1902</t>
  </si>
  <si>
    <t>2-Jul-1902</t>
  </si>
  <si>
    <t>4-Apr-1925</t>
  </si>
  <si>
    <t>13-Apr-1925</t>
  </si>
  <si>
    <t>17-Jan-1928</t>
  </si>
  <si>
    <t>22-Aug-1929</t>
  </si>
  <si>
    <t>1-Jun-1904</t>
  </si>
  <si>
    <t>15-Jun-1904</t>
  </si>
  <si>
    <t>2-Nov-1891</t>
  </si>
  <si>
    <t>23-Dec-1904</t>
  </si>
  <si>
    <t>18-Jul-1912</t>
  </si>
  <si>
    <t>21-Jul-1928</t>
  </si>
  <si>
    <t>25-Nov-1915</t>
  </si>
  <si>
    <t>1-Oct-1908</t>
  </si>
  <si>
    <t>9-Feb-1909</t>
  </si>
  <si>
    <t>4-Nov-1903</t>
  </si>
  <si>
    <t>11-Nov-1903</t>
  </si>
  <si>
    <t>25-May-1891</t>
  </si>
  <si>
    <t>12-May-1891</t>
  </si>
  <si>
    <t>24-Sep-1896</t>
  </si>
  <si>
    <t>19-Oct-1900</t>
  </si>
  <si>
    <t>31-Jul-1896</t>
  </si>
  <si>
    <t>17-Nov-1902</t>
  </si>
  <si>
    <t>15-Dec-1902</t>
  </si>
  <si>
    <t>31-Jul-1899</t>
  </si>
  <si>
    <t>23-Aug-1899</t>
  </si>
  <si>
    <t>9-Oct-1913</t>
  </si>
  <si>
    <t>27-Sep-1904</t>
  </si>
  <si>
    <t>6-Oct-1904</t>
  </si>
  <si>
    <t>10-Mar-1909</t>
  </si>
  <si>
    <t>24-Jan-1904</t>
  </si>
  <si>
    <t>14-Aug-1907</t>
  </si>
  <si>
    <t>25-Aug-1907</t>
  </si>
  <si>
    <t>27-Jul-1895</t>
  </si>
  <si>
    <t>2-Aug-1912</t>
  </si>
  <si>
    <t>3-Sep-1917</t>
  </si>
  <si>
    <t>20-Sep-1917</t>
  </si>
  <si>
    <t>29-Sep-1904</t>
  </si>
  <si>
    <t>27-Nov-1902</t>
  </si>
  <si>
    <t>8-Dec-1902</t>
  </si>
  <si>
    <t>30-Jan-1890</t>
  </si>
  <si>
    <t>21-Apr-1888</t>
  </si>
  <si>
    <t>31-Oct-1896</t>
  </si>
  <si>
    <t>8-Dec-1916</t>
  </si>
  <si>
    <t>21-Dec-1916</t>
  </si>
  <si>
    <t>2-Oct-1902</t>
  </si>
  <si>
    <t>13-Oct-1902</t>
  </si>
  <si>
    <t>16-Feb-1914</t>
  </si>
  <si>
    <t>4-Mar-1914</t>
  </si>
  <si>
    <t>13-Dec-1905</t>
  </si>
  <si>
    <t>25-Dec-1905</t>
  </si>
  <si>
    <t>31-Mar-1900</t>
  </si>
  <si>
    <t>8-Apr-1900</t>
  </si>
  <si>
    <t>20-Sep-1904</t>
  </si>
  <si>
    <t>30-Sep-1904</t>
  </si>
  <si>
    <t xml:space="preserve"> </t>
  </si>
  <si>
    <t>14-Oct-1901</t>
  </si>
  <si>
    <t>25-Oct-1901</t>
  </si>
  <si>
    <t>29-Jun-1897</t>
  </si>
  <si>
    <t>12-Jan-1917</t>
  </si>
  <si>
    <t>27-Jan-1917</t>
  </si>
  <si>
    <t>9-Mar-1904</t>
  </si>
  <si>
    <t>22-Mar-1904</t>
  </si>
  <si>
    <t>8-May-1908</t>
  </si>
  <si>
    <t>5-Jan-1902</t>
  </si>
  <si>
    <t>17-Jan-1902</t>
  </si>
  <si>
    <t>11-Mar-1926</t>
  </si>
  <si>
    <t>20-Mar-1926</t>
  </si>
  <si>
    <t>26-Aug-1898</t>
  </si>
  <si>
    <t>19-Oct-1901</t>
  </si>
  <si>
    <t>21-Sep-1904</t>
  </si>
  <si>
    <t>27-Jun-1911</t>
  </si>
  <si>
    <t>29-Jul-1903</t>
  </si>
  <si>
    <t>5-Aug-1903</t>
  </si>
  <si>
    <t>9-Feb-1897</t>
  </si>
  <si>
    <t>22-Nov-1905</t>
  </si>
  <si>
    <t>6-Dec-1905</t>
  </si>
  <si>
    <t>3-Apr-1902</t>
  </si>
  <si>
    <t>14-Apr-1902</t>
  </si>
  <si>
    <t>President Harding</t>
  </si>
  <si>
    <t>12-Nov-1924</t>
  </si>
  <si>
    <t>21-Nov-1924</t>
  </si>
  <si>
    <t>15-Jul-1924</t>
  </si>
  <si>
    <t>21-Jul-1924</t>
  </si>
  <si>
    <t>Canadian</t>
  </si>
  <si>
    <t>19-Jun-1903</t>
  </si>
  <si>
    <t>9-Apr-1901</t>
  </si>
  <si>
    <t>21-Apr-1901</t>
  </si>
  <si>
    <t>28-Oct-1930</t>
  </si>
  <si>
    <t>3-Nov-1930</t>
  </si>
  <si>
    <t>13-Jan-1924</t>
  </si>
  <si>
    <t>11-Oct-1906</t>
  </si>
  <si>
    <t>17-Jul-1899</t>
  </si>
  <si>
    <t>28-Jul-1899</t>
  </si>
  <si>
    <t>19-Apr-1917</t>
  </si>
  <si>
    <t>21-Aug-1917</t>
  </si>
  <si>
    <t>6-Sep-1917</t>
  </si>
  <si>
    <t>3-Jul-1899</t>
  </si>
  <si>
    <t>14-Jul-1899</t>
  </si>
  <si>
    <t>25-May-1911</t>
  </si>
  <si>
    <t>21-May-1921</t>
  </si>
  <si>
    <t>3-Jun-1921</t>
  </si>
  <si>
    <t>18-Nov-1901</t>
  </si>
  <si>
    <t>23-Feb-1927</t>
  </si>
  <si>
    <t>2-Mar-1927</t>
  </si>
  <si>
    <t>18-Dec-1920</t>
  </si>
  <si>
    <t>2-Jan-1921</t>
  </si>
  <si>
    <t>25-Mar-1928</t>
  </si>
  <si>
    <t>11-Apr-1928</t>
  </si>
  <si>
    <t>20-Feb-1925</t>
  </si>
  <si>
    <t>Windsor, ON, Canada</t>
  </si>
  <si>
    <t>Detroit, MI</t>
  </si>
  <si>
    <t>25-Dec-1930</t>
  </si>
  <si>
    <t>12-Jul-1929</t>
  </si>
  <si>
    <t>29-May-1928</t>
  </si>
  <si>
    <t>18-Jun-1928</t>
  </si>
  <si>
    <t>11-Aug-1890</t>
  </si>
  <si>
    <t>29-Oct-1925</t>
  </si>
  <si>
    <t>19-Oct-1911</t>
  </si>
  <si>
    <t>29-Nov-1919</t>
  </si>
  <si>
    <t>29-Apr-1889</t>
  </si>
  <si>
    <t>9-Dec-1916</t>
  </si>
  <si>
    <t>24-Dec-1916</t>
  </si>
  <si>
    <t>20-Mar-1918</t>
  </si>
  <si>
    <t>29-Mar-1918</t>
  </si>
  <si>
    <t>3-Nov-1920</t>
  </si>
  <si>
    <t>12-Nov-1920</t>
  </si>
  <si>
    <t>6-Mar-1929</t>
  </si>
  <si>
    <t>12-Mar-1929</t>
  </si>
  <si>
    <t>12-Oct-1929</t>
  </si>
  <si>
    <t>18-Oct-1929</t>
  </si>
  <si>
    <t>Oriente</t>
  </si>
  <si>
    <t>20-Dec-1930</t>
  </si>
  <si>
    <t>23-Dec-1930</t>
  </si>
  <si>
    <t>20-Jul-1931</t>
  </si>
  <si>
    <t>18-Feb-1923</t>
  </si>
  <si>
    <t>16-Dec-1908</t>
  </si>
  <si>
    <t>24-Dec-1908</t>
  </si>
  <si>
    <t>26-Sep-1913</t>
  </si>
  <si>
    <t>16-Nov-1904</t>
  </si>
  <si>
    <t>19-Oct-1895</t>
  </si>
  <si>
    <t>24-Sep-1900</t>
  </si>
  <si>
    <t>19-Mar-1930</t>
  </si>
  <si>
    <t>25-Mar-1930</t>
  </si>
  <si>
    <t>5-Sep-1888</t>
  </si>
  <si>
    <t>12-Jun-1905</t>
  </si>
  <si>
    <t>5-Jul-1903</t>
  </si>
  <si>
    <t>23-Dec-1890</t>
  </si>
  <si>
    <t>26-Jun-1908</t>
  </si>
  <si>
    <t>8-Jun-1902</t>
  </si>
  <si>
    <t>18-Jun-1902</t>
  </si>
  <si>
    <t>28-Aug-1911</t>
  </si>
  <si>
    <t>Eureka</t>
  </si>
  <si>
    <t>Ensenada</t>
  </si>
  <si>
    <t>San Diego</t>
  </si>
  <si>
    <t>6-Oct-1903</t>
  </si>
  <si>
    <t>15-Oct-1903</t>
  </si>
  <si>
    <t>20-Aug-1891</t>
  </si>
  <si>
    <t>9-May-1896</t>
  </si>
  <si>
    <t>20-Sep-1921</t>
  </si>
  <si>
    <t>8-Oct-1921</t>
  </si>
  <si>
    <t>2-Sep-1914</t>
  </si>
  <si>
    <t>11-May-1916</t>
  </si>
  <si>
    <t>19-Jan-1921</t>
  </si>
  <si>
    <t>1-Feb-1921</t>
  </si>
  <si>
    <t>28-Aug-1913</t>
  </si>
  <si>
    <t>29-Nov-1929</t>
  </si>
  <si>
    <t>5-Dec-1929</t>
  </si>
  <si>
    <t>11-Jun-1921</t>
  </si>
  <si>
    <t>22-Jun-1921</t>
  </si>
  <si>
    <t>London &amp; Cherbourg</t>
  </si>
  <si>
    <t>15-May-1926</t>
  </si>
  <si>
    <t>31-May-1926</t>
  </si>
  <si>
    <t>13-May-1925</t>
  </si>
  <si>
    <t>19-May-1925</t>
  </si>
  <si>
    <t>Nederland</t>
  </si>
  <si>
    <t>6-Aug-1883</t>
  </si>
  <si>
    <t>29-May-1913</t>
  </si>
  <si>
    <t>9-Mar-1907</t>
  </si>
  <si>
    <t>17-Mar-1907</t>
  </si>
  <si>
    <t>12-Nov-1903</t>
  </si>
  <si>
    <t>4-Aug-1913</t>
  </si>
  <si>
    <t>13-Oct-1903</t>
  </si>
  <si>
    <t>27-Apr-1913</t>
  </si>
  <si>
    <t>24-Mar-1928</t>
  </si>
  <si>
    <t>30-Mar-1928</t>
  </si>
  <si>
    <t>5-Jul-1919</t>
  </si>
  <si>
    <t>8-Nov-1924</t>
  </si>
  <si>
    <t>9-Aug-1924</t>
  </si>
  <si>
    <t>26-Aug-1924</t>
  </si>
  <si>
    <t>10-Sep-1911</t>
  </si>
  <si>
    <t>3-Sep-1905</t>
  </si>
  <si>
    <t>Tyrolia</t>
  </si>
  <si>
    <t>10-Nov-1909</t>
  </si>
  <si>
    <t>13-May-1902</t>
  </si>
  <si>
    <t>24-May-1902</t>
  </si>
  <si>
    <t>9-Jul-1907</t>
  </si>
  <si>
    <t>18-Jul-1907</t>
  </si>
  <si>
    <t>6-Jul-1933</t>
  </si>
  <si>
    <t>13-Jul-1933</t>
  </si>
  <si>
    <t>2-May-1906</t>
  </si>
  <si>
    <t>16-Jan-1928</t>
  </si>
  <si>
    <t>9-Sep-1905</t>
  </si>
  <si>
    <t>23-Jan-1914</t>
  </si>
  <si>
    <t>23-Oct-1907</t>
  </si>
  <si>
    <t>24-Aug-1910</t>
  </si>
  <si>
    <t>9-Sep-1910</t>
  </si>
  <si>
    <t>Servia</t>
  </si>
  <si>
    <t>25-Sep-1882</t>
  </si>
  <si>
    <t>Searches</t>
  </si>
  <si>
    <t>Roll</t>
  </si>
  <si>
    <t>Dates</t>
  </si>
  <si>
    <t>From</t>
  </si>
  <si>
    <t>To</t>
  </si>
  <si>
    <t>11-Sep-1882</t>
  </si>
  <si>
    <t>5-Oct-1882</t>
  </si>
  <si>
    <t>Status</t>
  </si>
  <si>
    <t>complete</t>
  </si>
  <si>
    <t>6-Oct-1882</t>
  </si>
  <si>
    <t>21-Oct-1882</t>
  </si>
  <si>
    <t>searched ships originating in Europe (except Scotland &amp; Ireland)</t>
  </si>
  <si>
    <t>31-Aug-1899</t>
  </si>
  <si>
    <t>11-Sep-1899</t>
  </si>
  <si>
    <t>16-Sep-1899</t>
  </si>
  <si>
    <t>29-Sep-1899</t>
  </si>
  <si>
    <t>20-Jul-1904</t>
  </si>
  <si>
    <t>3-Aug-1904</t>
  </si>
  <si>
    <t>City of Cairo</t>
  </si>
  <si>
    <t>15-Sep-1918</t>
  </si>
  <si>
    <t>10-Jul-1920</t>
  </si>
  <si>
    <t>Saale</t>
  </si>
  <si>
    <t>5-Aug-1897</t>
  </si>
  <si>
    <t>Lake Michigan</t>
  </si>
  <si>
    <t>15-Aug-1905</t>
  </si>
  <si>
    <t>6-Jan-1909</t>
  </si>
  <si>
    <t>13-Jan-1909</t>
  </si>
  <si>
    <t>27-Nov-1916</t>
  </si>
  <si>
    <t>12-Jul-1908</t>
  </si>
  <si>
    <t>22-Nov-1909</t>
  </si>
  <si>
    <t>16-Sep-1902</t>
  </si>
  <si>
    <t>1-Jun-1902</t>
  </si>
  <si>
    <t>12-Jun-1902</t>
  </si>
  <si>
    <t>29-Oct-1919</t>
  </si>
  <si>
    <t>30-Oct-1908</t>
  </si>
  <si>
    <t>26-Apr-1911</t>
  </si>
  <si>
    <t>11-May-1911</t>
  </si>
  <si>
    <t>22-Oct-1911</t>
  </si>
  <si>
    <t>16-Jun-1928</t>
  </si>
  <si>
    <t>22-Jun-1928</t>
  </si>
  <si>
    <t>3-Feb-1910</t>
  </si>
  <si>
    <t>15-Mar-1907</t>
  </si>
  <si>
    <t>2-Aug-1890</t>
  </si>
  <si>
    <t>Lazio</t>
  </si>
  <si>
    <t>4-Jan-1903</t>
  </si>
  <si>
    <t>26-Nov-1929</t>
  </si>
  <si>
    <t>Northland</t>
  </si>
  <si>
    <t>12-Feb-1930</t>
  </si>
  <si>
    <t>6-Mar-1926</t>
  </si>
  <si>
    <t>14-Mar-1926</t>
  </si>
  <si>
    <t>27-Aug-1929</t>
  </si>
  <si>
    <t>19-Sep-1925</t>
  </si>
  <si>
    <t>25-Aug-1897</t>
  </si>
  <si>
    <t>27-May-1908</t>
  </si>
  <si>
    <t>4-Jun-1908</t>
  </si>
  <si>
    <t>4-Nov-1908</t>
  </si>
  <si>
    <t>15-Apr-1913</t>
  </si>
  <si>
    <t>14-Aug-1904</t>
  </si>
  <si>
    <t>31-Jul-1903</t>
  </si>
  <si>
    <t>12-Jul-1906</t>
  </si>
  <si>
    <t>14-Apr-1910</t>
  </si>
  <si>
    <t>6-Mar-1920</t>
  </si>
  <si>
    <t>14-Mar-1920</t>
  </si>
  <si>
    <t>21-Mar-1906</t>
  </si>
  <si>
    <t>7-Feb-1907</t>
  </si>
  <si>
    <t>8-Nov-1925</t>
  </si>
  <si>
    <t>18-Nov-1925</t>
  </si>
  <si>
    <t>21-Apr-1908</t>
  </si>
  <si>
    <t>30-Apr-1908</t>
  </si>
  <si>
    <t>23-Jun-1899</t>
  </si>
  <si>
    <t>7-Jul-1899</t>
  </si>
  <si>
    <t>8-Aug-1911</t>
  </si>
  <si>
    <t>16-Aug-1904</t>
  </si>
  <si>
    <t>29-Aug-1901</t>
  </si>
  <si>
    <t>27-Aug-1911</t>
  </si>
  <si>
    <t>8-Mar-1900</t>
  </si>
  <si>
    <t>20-Mar-1900</t>
  </si>
  <si>
    <t>28-Sep-1902</t>
  </si>
  <si>
    <t>26-Sep-1919</t>
  </si>
  <si>
    <t>16-Aug-1909</t>
  </si>
  <si>
    <t>2-Sep-1909</t>
  </si>
  <si>
    <t>11-Sep-1911</t>
  </si>
  <si>
    <t>23-Nov-1924</t>
  </si>
  <si>
    <t>Tommosa di Savoia</t>
  </si>
  <si>
    <t>21-Jul-1894</t>
  </si>
  <si>
    <t>8-Aug-1891</t>
  </si>
  <si>
    <t>16-Jun-1909</t>
  </si>
  <si>
    <t>19-Aug-1898</t>
  </si>
  <si>
    <t>30-Aug-1898</t>
  </si>
  <si>
    <t>27-Jun-1901</t>
  </si>
  <si>
    <t>7-Jul-1901</t>
  </si>
  <si>
    <t>8-Nov-1910</t>
  </si>
  <si>
    <t>23-Jul-1889</t>
  </si>
  <si>
    <t>26-Sep-1890</t>
  </si>
  <si>
    <t>3-Sep-1895</t>
  </si>
  <si>
    <t>22-Oct-1897</t>
  </si>
  <si>
    <t>14-Apr-1909</t>
  </si>
  <si>
    <t>23-Apr-1909</t>
  </si>
  <si>
    <t>Georgic</t>
  </si>
  <si>
    <t>17-Sep-1937</t>
  </si>
  <si>
    <t>26-Sep-1937</t>
  </si>
  <si>
    <t xml:space="preserve">                                     </t>
  </si>
  <si>
    <t>19-Sep-1904</t>
  </si>
  <si>
    <t>Martello</t>
  </si>
  <si>
    <t>Hull, England</t>
  </si>
  <si>
    <t>31-Aug-1891</t>
  </si>
  <si>
    <t>15-Sep-1890</t>
  </si>
  <si>
    <t>16-Nov-1902</t>
  </si>
  <si>
    <t>28-Nov-1902</t>
  </si>
  <si>
    <t>1-Dec-1904</t>
  </si>
  <si>
    <t>15-Jul-1916</t>
  </si>
  <si>
    <t>23-Jul-1916</t>
  </si>
  <si>
    <t>30-Oct-1902</t>
  </si>
  <si>
    <t>Frankfurt</t>
  </si>
  <si>
    <t>15-Dec-1910</t>
  </si>
  <si>
    <t>21-Feb-1906</t>
  </si>
  <si>
    <t>6-Mar-1906</t>
  </si>
  <si>
    <t>3-Aug-1891</t>
  </si>
  <si>
    <t>11-Apr-1906</t>
  </si>
  <si>
    <t>Conte Rosso</t>
  </si>
  <si>
    <t>25-Jul-1922</t>
  </si>
  <si>
    <t>5-Aug-1922</t>
  </si>
  <si>
    <t>14-Dec-1928</t>
  </si>
  <si>
    <t>20-Dec-1928</t>
  </si>
  <si>
    <t>5-Oct-1929</t>
  </si>
  <si>
    <t>11-Oct-1929</t>
  </si>
  <si>
    <t>25-Oct-1912</t>
  </si>
  <si>
    <t>25-Dec-1910</t>
  </si>
  <si>
    <t>8-Jan-1911</t>
  </si>
  <si>
    <t>18-May-1900</t>
  </si>
  <si>
    <t>29-May-1900</t>
  </si>
  <si>
    <t>20-Jan-1905</t>
  </si>
  <si>
    <t>2-Aug-1900</t>
  </si>
  <si>
    <t>12-Aug-1900</t>
  </si>
  <si>
    <t>16-May-1912</t>
  </si>
  <si>
    <t>2-Jun-1912</t>
  </si>
  <si>
    <t>18-Sep-1891</t>
  </si>
  <si>
    <t>11-Feb-1921</t>
  </si>
  <si>
    <t>29-Oct-1913</t>
  </si>
  <si>
    <t>2-Oct-1900</t>
  </si>
  <si>
    <t>13-Oct-1900</t>
  </si>
  <si>
    <t>10-Dec-1900</t>
  </si>
  <si>
    <t>23-Dec-1900</t>
  </si>
  <si>
    <t>22-Jan-1890</t>
  </si>
  <si>
    <t>Amsterdam &amp; Boulogne</t>
  </si>
  <si>
    <t>26-Nov-1889</t>
  </si>
  <si>
    <t>15-Jan-1919</t>
  </si>
  <si>
    <t>1-Feb-1919</t>
  </si>
  <si>
    <t>27-Jan-1904</t>
  </si>
  <si>
    <t>19-Aug-1903</t>
  </si>
  <si>
    <t>25-Aug-1903</t>
  </si>
  <si>
    <t>26-Aug-1892</t>
  </si>
  <si>
    <t>Pisa</t>
  </si>
  <si>
    <t>7-Feb-1904</t>
  </si>
  <si>
    <t>1-Apr-1915</t>
  </si>
  <si>
    <t>12-Apr-1915</t>
  </si>
  <si>
    <t>8-May-1919</t>
  </si>
  <si>
    <t>4-Oct-1911</t>
  </si>
  <si>
    <t>15-Oct-1911</t>
  </si>
  <si>
    <t>11-Jan-1903</t>
  </si>
  <si>
    <t>30-Jun-1896</t>
  </si>
  <si>
    <t>23-Sep-1891</t>
  </si>
  <si>
    <t>14-Oct-1921</t>
  </si>
  <si>
    <t>27-Mar-1907</t>
  </si>
  <si>
    <t>5-Apr-1907</t>
  </si>
  <si>
    <t>British Prince</t>
  </si>
  <si>
    <t>14-Jul-1890</t>
  </si>
  <si>
    <t>13-Dec-1889</t>
  </si>
  <si>
    <t>26-Aug-1884</t>
  </si>
  <si>
    <t>18-Aug-1912</t>
  </si>
  <si>
    <t>24-Dec-1900</t>
  </si>
  <si>
    <t>8-Jan-1901</t>
  </si>
  <si>
    <t>9-Sep-1890</t>
  </si>
  <si>
    <t>23-Jun-1914</t>
  </si>
  <si>
    <t>24-Jun-1914</t>
  </si>
  <si>
    <t>Tritonia</t>
  </si>
  <si>
    <t>Dec-1908</t>
  </si>
  <si>
    <t>10-Jan-1909</t>
  </si>
  <si>
    <t>27-Jul-1905</t>
  </si>
  <si>
    <t>17-Jan-1912</t>
  </si>
  <si>
    <t>4-Jan-1905</t>
  </si>
  <si>
    <t>5-Aug-1906</t>
  </si>
  <si>
    <t>pages are missing</t>
  </si>
  <si>
    <t>28-Dec-1904</t>
  </si>
  <si>
    <t>9-Jan-1905</t>
  </si>
  <si>
    <t>Cassel</t>
  </si>
  <si>
    <t>24-Jun-1906</t>
  </si>
  <si>
    <t>Matamoros, TAM, Mexico</t>
  </si>
  <si>
    <t>Brownsville, TX</t>
  </si>
  <si>
    <t>13-May-1899</t>
  </si>
  <si>
    <t>21-May-1899</t>
  </si>
  <si>
    <t>17-Mar-1903</t>
  </si>
  <si>
    <t>16-Feb-1930</t>
  </si>
  <si>
    <t>5-Mar-1930</t>
  </si>
  <si>
    <t>5-Dec-1894</t>
  </si>
  <si>
    <t>21-Dec-1894</t>
  </si>
  <si>
    <t>15-Dec-1892</t>
  </si>
  <si>
    <t>18-Apr-1896</t>
  </si>
  <si>
    <t>5-Sep-1902</t>
  </si>
  <si>
    <t>4-Sep-1912</t>
  </si>
  <si>
    <t>16-Sep-1912</t>
  </si>
  <si>
    <t>2-Jan-1901</t>
  </si>
  <si>
    <t>10-Jun-1907</t>
  </si>
  <si>
    <t>2-Sep-1901</t>
  </si>
  <si>
    <t>12-Sep-1901</t>
  </si>
  <si>
    <t>5-Sep-1906</t>
  </si>
  <si>
    <t>25-Jan-1905</t>
  </si>
  <si>
    <t>7-Feb-1905</t>
  </si>
  <si>
    <t>26-Jan-1902</t>
  </si>
  <si>
    <t>25-Oct-1881</t>
  </si>
  <si>
    <t>10-Nov-1924</t>
  </si>
  <si>
    <t>3-Feb-1921</t>
  </si>
  <si>
    <t>1-Apr-1903</t>
  </si>
  <si>
    <t>13-Jun-1906</t>
  </si>
  <si>
    <t>1-Mar-1911</t>
  </si>
  <si>
    <t>3-Mar-1911</t>
  </si>
  <si>
    <t>21-Apr-1890</t>
  </si>
  <si>
    <t>London &amp; Le Havre</t>
  </si>
  <si>
    <t>17-Sep-1908</t>
  </si>
  <si>
    <t>30-Sep-1908</t>
  </si>
  <si>
    <t>1-Jun-1921</t>
  </si>
  <si>
    <t>5-Nov-1896</t>
  </si>
  <si>
    <t>14-Aug-1895</t>
  </si>
  <si>
    <t>24-Aug-1893</t>
  </si>
  <si>
    <t>12-Dec-1900</t>
  </si>
  <si>
    <t>2-Sep-1896</t>
  </si>
  <si>
    <t>13-Sep-1896</t>
  </si>
  <si>
    <t>17-Jul-1905</t>
  </si>
  <si>
    <t>4-Jul-1905</t>
  </si>
  <si>
    <t>9-Dec-1899</t>
  </si>
  <si>
    <t>22-Dec-1899</t>
  </si>
  <si>
    <t>25-Oct-1904</t>
  </si>
  <si>
    <t>2-Nov-1904</t>
  </si>
  <si>
    <t>31-Dec-1895</t>
  </si>
  <si>
    <t>26-Jul-1911</t>
  </si>
  <si>
    <t>6-Aug-1911</t>
  </si>
  <si>
    <t>Caspian</t>
  </si>
  <si>
    <t>16-Nov-1891</t>
  </si>
  <si>
    <t>27-Mar-1921</t>
  </si>
  <si>
    <t>12-Apr-1921</t>
  </si>
  <si>
    <t>13-Nov-1854</t>
  </si>
  <si>
    <t>29-Aug-1902</t>
  </si>
  <si>
    <t>19-Aug-1902</t>
  </si>
  <si>
    <t>5-Mar-1926</t>
  </si>
  <si>
    <t>5-Apr-1926</t>
  </si>
  <si>
    <t>10-Mar-1926</t>
  </si>
  <si>
    <t>3-Aug-1897</t>
  </si>
  <si>
    <t>14-Oct-1898</t>
  </si>
  <si>
    <t>24-Oct-1898</t>
  </si>
  <si>
    <t>19-May-1916</t>
  </si>
  <si>
    <t>30-May-1916</t>
  </si>
  <si>
    <t>30-Aug-1916</t>
  </si>
  <si>
    <t>27-Aug-1916</t>
  </si>
  <si>
    <t>13-Feb-1913</t>
  </si>
  <si>
    <t>2-Mar-1913</t>
  </si>
  <si>
    <t>20-Aug-1907</t>
  </si>
  <si>
    <t>18-Dec-1899</t>
  </si>
  <si>
    <t>24-Apr-1911</t>
  </si>
  <si>
    <t>30-Jun-1914</t>
  </si>
  <si>
    <t>19-Oct-1908</t>
  </si>
  <si>
    <t>8-Jun-1914</t>
  </si>
  <si>
    <t>4-May-1920</t>
  </si>
  <si>
    <t>17-Jun-1920</t>
  </si>
  <si>
    <t>Saturnia</t>
  </si>
  <si>
    <t>30-Jun-1928</t>
  </si>
  <si>
    <t>1-Jul-1928</t>
  </si>
  <si>
    <t>5-Aug-1923</t>
  </si>
  <si>
    <t>Chemnitz</t>
  </si>
  <si>
    <t>Prinzess Alice</t>
  </si>
  <si>
    <t>23-May-1921</t>
  </si>
  <si>
    <t>7-Sep-1928</t>
  </si>
  <si>
    <t>17-Sep-1928</t>
  </si>
  <si>
    <t>8-Sep-1928</t>
  </si>
  <si>
    <t>Cartago</t>
  </si>
  <si>
    <t>26-Apr-1930</t>
  </si>
  <si>
    <t>28-Apr-1930</t>
  </si>
  <si>
    <t>5-Feb-1930</t>
  </si>
  <si>
    <t>7-Feb-1930</t>
  </si>
  <si>
    <t>Sarnia, ON, Canada</t>
  </si>
  <si>
    <t>Port Huron, MI</t>
  </si>
  <si>
    <t>24-Apr-1922</t>
  </si>
  <si>
    <t>17-Sep-1927</t>
  </si>
  <si>
    <t>29-Sep-1927</t>
  </si>
  <si>
    <t>26-Sep-1925</t>
  </si>
  <si>
    <t>9-Jul-1927</t>
  </si>
  <si>
    <t>21-Jul-1927</t>
  </si>
  <si>
    <t>23-May-1911</t>
  </si>
  <si>
    <t>1-Nov-1929</t>
  </si>
  <si>
    <t>7-Nov-1929</t>
  </si>
  <si>
    <t>26-Nov-1907</t>
  </si>
  <si>
    <t>5-Dec-1907</t>
  </si>
  <si>
    <t>Verdi</t>
  </si>
  <si>
    <t>Prinz Oskar</t>
  </si>
  <si>
    <t>Montreal, QC, Canada</t>
  </si>
  <si>
    <t>0-Feb-1905</t>
  </si>
  <si>
    <t>Newport, VT</t>
  </si>
  <si>
    <t>3-Oct-1931</t>
  </si>
  <si>
    <t>9-Oct-1931</t>
  </si>
  <si>
    <t>11-Jan-1927</t>
  </si>
  <si>
    <t>12-May-1910</t>
  </si>
  <si>
    <t>29-May-1910</t>
  </si>
  <si>
    <t>5-May-1927</t>
  </si>
  <si>
    <t>24-Oct-1926</t>
  </si>
  <si>
    <t>24-May-1918</t>
  </si>
  <si>
    <t>26-May-1927</t>
  </si>
  <si>
    <t>10-Jun-1927</t>
  </si>
  <si>
    <t>13-Apr-1913</t>
  </si>
  <si>
    <t>Brooklyn</t>
  </si>
  <si>
    <t>Trafford Hall</t>
  </si>
  <si>
    <t>28-Oct-1920</t>
  </si>
  <si>
    <t>5-Jan-1924</t>
  </si>
  <si>
    <t>19-Mar-1914</t>
  </si>
  <si>
    <t>Czar</t>
  </si>
  <si>
    <t>13-Mar-1914</t>
  </si>
  <si>
    <t>27-Mar-1914</t>
  </si>
  <si>
    <t>24-Jul-1928</t>
  </si>
  <si>
    <t>19-May-1929</t>
  </si>
  <si>
    <t>10-Jun-1929</t>
  </si>
  <si>
    <t>15-Aug-1928</t>
  </si>
  <si>
    <t>21-Aug-1928</t>
  </si>
  <si>
    <t>30-Jun-1907</t>
  </si>
  <si>
    <t>President Jackson</t>
  </si>
  <si>
    <t>21-Jun-1925</t>
  </si>
  <si>
    <t>4-Jul-1925</t>
  </si>
  <si>
    <t>24-Jun-1925</t>
  </si>
  <si>
    <t>13-Oct-1932</t>
  </si>
  <si>
    <t>23-Mar-1923</t>
  </si>
  <si>
    <t>20-Nov-1925</t>
  </si>
  <si>
    <t>30-Nov-1925</t>
  </si>
  <si>
    <t>24-Jun-1916</t>
  </si>
  <si>
    <t>10-Sep-1935</t>
  </si>
  <si>
    <t>24-Nov-1922</t>
  </si>
  <si>
    <t>24-Sep-1922</t>
  </si>
  <si>
    <t>24-Sep-1917</t>
  </si>
  <si>
    <t>Empress of Scotland</t>
  </si>
  <si>
    <t>28-Jun-1924</t>
  </si>
  <si>
    <t>15-Sep-1910</t>
  </si>
  <si>
    <t>Persian Monarch</t>
  </si>
  <si>
    <t>18-Oct-1883</t>
  </si>
  <si>
    <t>14-Aug-1930</t>
  </si>
  <si>
    <t>22-Aug-1930</t>
  </si>
  <si>
    <t>6-Apr-1923</t>
  </si>
  <si>
    <t>24-Apr-1923</t>
  </si>
  <si>
    <t>Stockholm</t>
  </si>
  <si>
    <t>Gothenburg</t>
  </si>
  <si>
    <t>30-Dec-1916</t>
  </si>
  <si>
    <t>13-Jan-1917</t>
  </si>
  <si>
    <t>23-Mar-1930</t>
  </si>
  <si>
    <t>4-Sep-1925</t>
  </si>
  <si>
    <t>1-Jul-1913</t>
  </si>
  <si>
    <t>27-Oct-1928</t>
  </si>
  <si>
    <t>14-Nov-1928</t>
  </si>
  <si>
    <t>13-Aug-1927</t>
  </si>
  <si>
    <t>31-Aug-1927</t>
  </si>
  <si>
    <t>4-Jun-1928</t>
  </si>
  <si>
    <t>23-Jun-1928</t>
  </si>
  <si>
    <t>14-Jan-1898</t>
  </si>
  <si>
    <t>24-Jan-1898</t>
  </si>
  <si>
    <t>25-Aug--1907</t>
  </si>
  <si>
    <t>5-Sep-1907</t>
  </si>
  <si>
    <t>24-Sep-1905</t>
  </si>
  <si>
    <t>5-Oct-1905</t>
  </si>
  <si>
    <t>30-Jan-1923</t>
  </si>
  <si>
    <t>29-Sep-1929</t>
  </si>
  <si>
    <t>30-Sep-1929</t>
  </si>
  <si>
    <t>24-Sep-1927</t>
  </si>
  <si>
    <t>23-May-1920</t>
  </si>
  <si>
    <t>24-Apr-1910</t>
  </si>
  <si>
    <t>26-Aug-1893</t>
  </si>
  <si>
    <t>9-Jun-1890</t>
  </si>
  <si>
    <t>Helvetia</t>
  </si>
  <si>
    <t>26-Jun-1882</t>
  </si>
  <si>
    <t>24-Aug-1905</t>
  </si>
  <si>
    <t>5-Sep-1913</t>
  </si>
  <si>
    <t>1-Jan-1913</t>
  </si>
  <si>
    <t>11-Nov-1910</t>
  </si>
  <si>
    <t>21-Dec-1923</t>
  </si>
  <si>
    <t>15-Dec-1923</t>
  </si>
  <si>
    <t>5-Apr-1930</t>
  </si>
  <si>
    <t>30-Nov-1911</t>
  </si>
  <si>
    <t>Edellyn</t>
  </si>
  <si>
    <t>Edison</t>
  </si>
  <si>
    <t>25-Jul-1930</t>
  </si>
  <si>
    <t>15-Aug-1930</t>
  </si>
  <si>
    <t>29-Jul-1930</t>
  </si>
  <si>
    <t>30-Jul-1930</t>
  </si>
  <si>
    <t>3-Aug-1911</t>
  </si>
  <si>
    <t>21-Aug-1911</t>
  </si>
  <si>
    <t>16-Apr-1914</t>
  </si>
  <si>
    <t>28-Apr-1914</t>
  </si>
  <si>
    <t>Kingston, Jamaica</t>
  </si>
  <si>
    <t>24-Jun-1928</t>
  </si>
  <si>
    <t>24-Nov-1916</t>
  </si>
  <si>
    <t>s*r*n*</t>
  </si>
  <si>
    <t>3-Apr-1908</t>
  </si>
  <si>
    <t>7-Sep-1915</t>
  </si>
  <si>
    <t>20-Sep-1915</t>
  </si>
  <si>
    <t>20-Aug-1930</t>
  </si>
  <si>
    <t>26-Aug-1930</t>
  </si>
  <si>
    <t>4-Sep-1926</t>
  </si>
  <si>
    <t>4-Oct-1926</t>
  </si>
  <si>
    <t>26-Aug-1926</t>
  </si>
  <si>
    <t>10-May-1920</t>
  </si>
  <si>
    <t>16-Oct-1929</t>
  </si>
  <si>
    <t>22-Oct-1929</t>
  </si>
  <si>
    <t>2-Mar-1904</t>
  </si>
  <si>
    <t>24-Feb-1904</t>
  </si>
  <si>
    <t>xx-Dec-1901</t>
  </si>
  <si>
    <t>22-Dec-1901</t>
  </si>
  <si>
    <t>12-Mar-1925</t>
  </si>
  <si>
    <t>1-Aug-1925</t>
  </si>
  <si>
    <t>12-May-1907</t>
  </si>
  <si>
    <t>13-Nov-1911</t>
  </si>
  <si>
    <t>21-Apr-1927</t>
  </si>
  <si>
    <t>9-May-1927</t>
  </si>
  <si>
    <t>20-Sep-1886</t>
  </si>
  <si>
    <t>27-Sep-1886</t>
  </si>
  <si>
    <t>10-Dec-1918</t>
  </si>
  <si>
    <t>26-Dec-1918</t>
  </si>
  <si>
    <t>16-Jan-1921</t>
  </si>
  <si>
    <t>10-Jan-1908</t>
  </si>
  <si>
    <t>6-Dec-1910</t>
  </si>
  <si>
    <t>13-Jul-1909</t>
  </si>
  <si>
    <t>3-Aug-1909</t>
  </si>
  <si>
    <t>Cuxhaven</t>
  </si>
  <si>
    <t>6-Apr-1898</t>
  </si>
  <si>
    <t>9-Dec-1908</t>
  </si>
  <si>
    <t>18-Dec-1908</t>
  </si>
  <si>
    <t>Fort Erie, ON, Canada</t>
  </si>
  <si>
    <t>Buffalo, NY</t>
  </si>
  <si>
    <t>23-Nov-1913</t>
  </si>
  <si>
    <t>23-Oct-1889</t>
  </si>
  <si>
    <t>24-Apr-1924</t>
  </si>
  <si>
    <t>20-Jul-1899</t>
  </si>
  <si>
    <t>31-Jul-1902</t>
  </si>
  <si>
    <t>25-Mar-1921</t>
  </si>
  <si>
    <t>7-Mar-1925</t>
  </si>
  <si>
    <t>15-Mar-1925</t>
  </si>
  <si>
    <t>5-Oct-1897</t>
  </si>
  <si>
    <t>3-Oct-1889</t>
  </si>
  <si>
    <t>24-Oct-1928</t>
  </si>
  <si>
    <t>30-Oct-1928</t>
  </si>
  <si>
    <t>24-Jan-1924</t>
  </si>
  <si>
    <t>3-Sep-1907</t>
  </si>
  <si>
    <t>Virginian</t>
  </si>
  <si>
    <t>Mongolian</t>
  </si>
  <si>
    <t>9-Apr-1907</t>
  </si>
  <si>
    <t>23-Apr-1907</t>
  </si>
  <si>
    <t>6-Jul-1902</t>
  </si>
  <si>
    <t>29-Jul-1900</t>
  </si>
  <si>
    <t>30-Aug-1906</t>
  </si>
  <si>
    <t>25-Jun-1893</t>
  </si>
  <si>
    <t>15-Jun-1893</t>
  </si>
  <si>
    <t>21-Sep-1901</t>
  </si>
  <si>
    <t>23-Aug-1919</t>
  </si>
  <si>
    <t>16-Sep-1919</t>
  </si>
  <si>
    <t>18-Jul-1927</t>
  </si>
  <si>
    <t>Queenstown</t>
  </si>
  <si>
    <t>18-Sep-1913</t>
  </si>
  <si>
    <t>3-Oct-1922</t>
  </si>
  <si>
    <t>12-Oct-1922</t>
  </si>
  <si>
    <t>Prinz Sigismund</t>
  </si>
  <si>
    <t>7-Feb-1911</t>
  </si>
  <si>
    <t>2-Apr-1930</t>
  </si>
  <si>
    <t>9-Apr-1930</t>
  </si>
  <si>
    <t>6-Nov-1904</t>
  </si>
  <si>
    <t>28-Apr-1924</t>
  </si>
  <si>
    <t>19-Apr-1924</t>
  </si>
  <si>
    <t>Professor Woermann</t>
  </si>
  <si>
    <t>10-Apr-1907</t>
  </si>
  <si>
    <t>15-Jul-1923</t>
  </si>
  <si>
    <t>Rhein</t>
  </si>
  <si>
    <t>President Jefferson</t>
  </si>
  <si>
    <t>5-Apr-1928</t>
  </si>
  <si>
    <t>12-Sep-1930</t>
  </si>
  <si>
    <t>16-Nov-1905</t>
  </si>
  <si>
    <t>30-Nov-1905</t>
  </si>
  <si>
    <t>5-Aug-1926</t>
  </si>
  <si>
    <t>15-Aug-1926</t>
  </si>
  <si>
    <t>8-Aug-1926</t>
  </si>
  <si>
    <t>18-Oct-1897</t>
  </si>
  <si>
    <t>11-Dec-1928</t>
  </si>
  <si>
    <t>13-Nov-1928</t>
  </si>
  <si>
    <t>1-Sep-1904</t>
  </si>
  <si>
    <t>23-May-1917</t>
  </si>
  <si>
    <t>15-Jun-1917</t>
  </si>
  <si>
    <t>10-Jan-1928</t>
  </si>
  <si>
    <t>12-Jan-1928</t>
  </si>
  <si>
    <t>Top Last Names</t>
  </si>
  <si>
    <t>Hagopian</t>
  </si>
  <si>
    <t>Garabedian</t>
  </si>
  <si>
    <t>Sarkisian</t>
  </si>
  <si>
    <t>Boghosian</t>
  </si>
  <si>
    <t>Krikorian</t>
  </si>
  <si>
    <t>Boyajian</t>
  </si>
  <si>
    <t>Bedrosian</t>
  </si>
  <si>
    <t>Kalajian</t>
  </si>
  <si>
    <t>Ghazarian</t>
  </si>
  <si>
    <t>Mouradian</t>
  </si>
  <si>
    <t>Ohannesian</t>
  </si>
  <si>
    <t>Vartanian</t>
  </si>
  <si>
    <t>Khachadourian</t>
  </si>
  <si>
    <t>Manougian</t>
  </si>
  <si>
    <t>Minasian</t>
  </si>
  <si>
    <t>Najarian</t>
  </si>
  <si>
    <t>Kasparian</t>
  </si>
  <si>
    <t>Haroutiunian</t>
  </si>
  <si>
    <t>Sahagian</t>
  </si>
  <si>
    <t>Markarian</t>
  </si>
  <si>
    <t>Tashjian</t>
  </si>
  <si>
    <t>Derderian</t>
  </si>
  <si>
    <t>Papazian</t>
  </si>
  <si>
    <t>Mgrdichian</t>
  </si>
  <si>
    <t>Mardirosian</t>
  </si>
  <si>
    <t>Simonian</t>
  </si>
  <si>
    <t>Arakelian</t>
  </si>
  <si>
    <t>Torosian</t>
  </si>
  <si>
    <t>Demirjian</t>
  </si>
  <si>
    <t>Khachigian</t>
  </si>
  <si>
    <t>Asadourian</t>
  </si>
  <si>
    <t>Hovsepian</t>
  </si>
  <si>
    <t>Terzian</t>
  </si>
  <si>
    <t>Keshishian</t>
  </si>
  <si>
    <t>Arslanian</t>
  </si>
  <si>
    <t>Davidian</t>
  </si>
  <si>
    <t>Giragosian</t>
  </si>
  <si>
    <t>Melkonian</t>
  </si>
  <si>
    <t>Kevorkian</t>
  </si>
  <si>
    <t>Berberian</t>
  </si>
  <si>
    <t>Avedisian</t>
  </si>
  <si>
    <t>Kazanjian</t>
  </si>
  <si>
    <t>Avakian</t>
  </si>
  <si>
    <t>Serabian</t>
  </si>
  <si>
    <t>Baghdasarian</t>
  </si>
  <si>
    <t>Mikaelian</t>
  </si>
  <si>
    <t>Ohanian</t>
  </si>
  <si>
    <t>Barsamian</t>
  </si>
  <si>
    <t>Kaprielian</t>
  </si>
  <si>
    <t>Kaloustian</t>
  </si>
  <si>
    <t>Stepanian</t>
  </si>
  <si>
    <t>Zakarian</t>
  </si>
  <si>
    <t>Ghougasian</t>
  </si>
  <si>
    <t>Kouyoumjian</t>
  </si>
  <si>
    <t>Atamian</t>
  </si>
  <si>
    <t>Parseghian</t>
  </si>
  <si>
    <t>Jamgochian</t>
  </si>
  <si>
    <t>Margosian</t>
  </si>
  <si>
    <t>Ajemian</t>
  </si>
  <si>
    <t>Sarafian</t>
  </si>
  <si>
    <t>Cholakian</t>
  </si>
  <si>
    <t>Abrahamian</t>
  </si>
  <si>
    <t>Kurkjian</t>
  </si>
  <si>
    <t>Yeramian</t>
  </si>
  <si>
    <t>Aivazian</t>
  </si>
  <si>
    <t>Goshgarian</t>
  </si>
  <si>
    <t>Basmajian</t>
  </si>
  <si>
    <t>Azarian</t>
  </si>
  <si>
    <t>Melikian</t>
  </si>
  <si>
    <t>Kassabian</t>
  </si>
  <si>
    <t>Hampartsoumian</t>
  </si>
  <si>
    <t>Seferian</t>
  </si>
  <si>
    <t>Donabedian</t>
  </si>
  <si>
    <t>Kiradjian</t>
  </si>
  <si>
    <t>Mousheghian</t>
  </si>
  <si>
    <t>Toumasian</t>
  </si>
  <si>
    <t>Chamalian</t>
  </si>
  <si>
    <t>Iskenderian</t>
  </si>
  <si>
    <t>Artinian</t>
  </si>
  <si>
    <t>Nalbandian</t>
  </si>
  <si>
    <t>Mateosian</t>
  </si>
  <si>
    <t>Keoseian</t>
  </si>
  <si>
    <t>Hovhannesian</t>
  </si>
  <si>
    <t>Nersesian</t>
  </si>
  <si>
    <t>Nigoghosian</t>
  </si>
  <si>
    <t>Kaloian</t>
  </si>
  <si>
    <t>Kochoian</t>
  </si>
  <si>
    <t>Shahinian</t>
  </si>
  <si>
    <t>Movsesian</t>
  </si>
  <si>
    <t>Guleserian</t>
  </si>
  <si>
    <t>Abajian</t>
  </si>
  <si>
    <t>Danielian</t>
  </si>
  <si>
    <t>Yesaian</t>
  </si>
  <si>
    <t>Chakerian</t>
  </si>
  <si>
    <t>Torigian</t>
  </si>
  <si>
    <t>Saroyan</t>
  </si>
  <si>
    <t>Karageozian</t>
  </si>
  <si>
    <t>Andonian</t>
  </si>
  <si>
    <t>Balian</t>
  </si>
  <si>
    <t>Magarian</t>
  </si>
  <si>
    <t>Mardigian</t>
  </si>
  <si>
    <t>Gureghian</t>
  </si>
  <si>
    <t>Paloian</t>
  </si>
  <si>
    <t>Donigian</t>
  </si>
  <si>
    <t>Aharonian</t>
  </si>
  <si>
    <t>Topalian</t>
  </si>
  <si>
    <t>Aroyan</t>
  </si>
  <si>
    <t>Semerjian</t>
  </si>
  <si>
    <t>Mekhitarian</t>
  </si>
  <si>
    <t>Aloian</t>
  </si>
  <si>
    <t>Baronian</t>
  </si>
  <si>
    <t>Panosian</t>
  </si>
  <si>
    <t>Yeghiaian</t>
  </si>
  <si>
    <t>Tateosian</t>
  </si>
  <si>
    <t>Sevajian</t>
  </si>
  <si>
    <t>Mazmanian</t>
  </si>
  <si>
    <t>Malkhasian</t>
  </si>
  <si>
    <t>Alexanian</t>
  </si>
  <si>
    <t>Babaian</t>
  </si>
  <si>
    <t>Hovagimian</t>
  </si>
  <si>
    <t>Manuelian</t>
  </si>
  <si>
    <t>Pilibosian</t>
  </si>
  <si>
    <t>Tatoian</t>
  </si>
  <si>
    <t>Tutunjian</t>
  </si>
  <si>
    <t>Ananian</t>
  </si>
  <si>
    <t>Shahbazian</t>
  </si>
  <si>
    <t>Hairabedian</t>
  </si>
  <si>
    <t>Soghigian</t>
  </si>
  <si>
    <t>Bedigian</t>
  </si>
  <si>
    <t>Moumjian</t>
  </si>
  <si>
    <t>Bozoian</t>
  </si>
  <si>
    <t>Chouljian</t>
  </si>
  <si>
    <t>Vartabedian</t>
  </si>
  <si>
    <t>Bechakjian</t>
  </si>
  <si>
    <t>Tarpinian</t>
  </si>
  <si>
    <t>Ekmekjian</t>
  </si>
  <si>
    <t>Nakashian</t>
  </si>
  <si>
    <t>Hekimian</t>
  </si>
  <si>
    <t>Maghakian</t>
  </si>
  <si>
    <t>Arzoumanian</t>
  </si>
  <si>
    <t>Shirinian</t>
  </si>
  <si>
    <t>Chilingirian</t>
  </si>
  <si>
    <t>Varjabedian</t>
  </si>
  <si>
    <t>Nahigian</t>
  </si>
  <si>
    <t>Samuelian</t>
  </si>
  <si>
    <t>Babigian</t>
  </si>
  <si>
    <t>Kalfaian</t>
  </si>
  <si>
    <t>Sirounian</t>
  </si>
  <si>
    <t>Aghajanian</t>
  </si>
  <si>
    <t>Zaratzian</t>
  </si>
  <si>
    <t>Parigian</t>
  </si>
  <si>
    <t>Kestigian</t>
  </si>
  <si>
    <t>Kalenian</t>
  </si>
  <si>
    <t>Kinosian</t>
  </si>
  <si>
    <t>Chitjian</t>
  </si>
  <si>
    <t>Yeghigian</t>
  </si>
  <si>
    <t>Maloian</t>
  </si>
  <si>
    <t>Mirakian</t>
  </si>
  <si>
    <t>Deyirmenjian</t>
  </si>
  <si>
    <t>Yeghiazarian</t>
  </si>
  <si>
    <t>Andreasian</t>
  </si>
  <si>
    <t>Bedoian</t>
  </si>
  <si>
    <t>Kehaian</t>
  </si>
  <si>
    <t>Zarougian</t>
  </si>
  <si>
    <t>Tufenkjian</t>
  </si>
  <si>
    <t>Nahabedian</t>
  </si>
  <si>
    <t>Gostanian</t>
  </si>
  <si>
    <t>Soghoian</t>
  </si>
  <si>
    <t>Khandjian</t>
  </si>
  <si>
    <t>Meserlian</t>
  </si>
  <si>
    <t>Arabian</t>
  </si>
  <si>
    <t>Bozigian</t>
  </si>
  <si>
    <t>Apkarian</t>
  </si>
  <si>
    <t>Kupelian</t>
  </si>
  <si>
    <t>Dedeian</t>
  </si>
  <si>
    <t>Kalanjian</t>
  </si>
  <si>
    <t>Moushoian</t>
  </si>
  <si>
    <t>Ouzounian</t>
  </si>
  <si>
    <t>Mesrobian</t>
  </si>
  <si>
    <t>Reisian</t>
  </si>
  <si>
    <t>Stamboulian</t>
  </si>
  <si>
    <t>Shahrigian</t>
  </si>
  <si>
    <t>Vosgerichian</t>
  </si>
  <si>
    <t>Gharibian</t>
  </si>
  <si>
    <t>Yerganian</t>
  </si>
  <si>
    <t>Toumajian</t>
  </si>
  <si>
    <t>Altounian</t>
  </si>
  <si>
    <t>Khteian</t>
  </si>
  <si>
    <t>Dulgerian</t>
  </si>
  <si>
    <t>Poladian</t>
  </si>
  <si>
    <t>Keleshian</t>
  </si>
  <si>
    <t>Balakian</t>
  </si>
  <si>
    <t>Kelikian</t>
  </si>
  <si>
    <t>Khederian</t>
  </si>
  <si>
    <t>Jarahian</t>
  </si>
  <si>
    <t>Garoian</t>
  </si>
  <si>
    <t>Tatarian</t>
  </si>
  <si>
    <t>Karakashian</t>
  </si>
  <si>
    <t>Odabashian</t>
  </si>
  <si>
    <t>Kakligian</t>
  </si>
  <si>
    <t>Mserian</t>
  </si>
  <si>
    <t>Karaoghlanian</t>
  </si>
  <si>
    <t>Proudian</t>
  </si>
  <si>
    <t>Vosganian</t>
  </si>
  <si>
    <t>Takvorian</t>
  </si>
  <si>
    <t>Shaghoian</t>
  </si>
  <si>
    <t>Harpoutlian</t>
  </si>
  <si>
    <t>Takesian</t>
  </si>
  <si>
    <t>Apoian</t>
  </si>
  <si>
    <t>Bakalian</t>
  </si>
  <si>
    <t>Bedourian</t>
  </si>
  <si>
    <t>Noroian</t>
  </si>
  <si>
    <t>Mirzoian</t>
  </si>
  <si>
    <t>Nishanian</t>
  </si>
  <si>
    <t>Ekizian</t>
  </si>
  <si>
    <t>Yenovkian</t>
  </si>
  <si>
    <t>Baghdigian</t>
  </si>
  <si>
    <t>Mirijanian</t>
  </si>
  <si>
    <t>Manoian</t>
  </si>
  <si>
    <t>Ovoian</t>
  </si>
  <si>
    <t>Gopoian</t>
  </si>
  <si>
    <t>Khacherian</t>
  </si>
  <si>
    <t>Amirian</t>
  </si>
  <si>
    <t>Boghigian</t>
  </si>
  <si>
    <t>Toutalian</t>
  </si>
  <si>
    <t>Chorbajian</t>
  </si>
  <si>
    <t>Parghamian</t>
  </si>
  <si>
    <t>Hanoian</t>
  </si>
  <si>
    <t>Janigian</t>
  </si>
  <si>
    <t>Gulian</t>
  </si>
  <si>
    <t>Darakjian</t>
  </si>
  <si>
    <t>Boroujian</t>
  </si>
  <si>
    <t>Baghdoian</t>
  </si>
  <si>
    <t>Parounagian</t>
  </si>
  <si>
    <t>Misakian</t>
  </si>
  <si>
    <t>Hovnanian</t>
  </si>
  <si>
    <t>Elmasian</t>
  </si>
  <si>
    <t>Ishkhanian</t>
  </si>
  <si>
    <t>Kahramanian</t>
  </si>
  <si>
    <t>Ashjian</t>
  </si>
  <si>
    <t>Kasarjian</t>
  </si>
  <si>
    <t>Ghazarosian</t>
  </si>
  <si>
    <t>Serayderian</t>
  </si>
  <si>
    <t>Dadourian</t>
  </si>
  <si>
    <t>Amirkhanian</t>
  </si>
  <si>
    <t>Marsoubian</t>
  </si>
  <si>
    <t>Rustigian</t>
  </si>
  <si>
    <t>Sahatjian</t>
  </si>
  <si>
    <t>Azadian</t>
  </si>
  <si>
    <t>Chakmaklian</t>
  </si>
  <si>
    <t>Shishmanian</t>
  </si>
  <si>
    <t>Yeretzian</t>
  </si>
  <si>
    <t>Diradourian</t>
  </si>
  <si>
    <t>Jafarian</t>
  </si>
  <si>
    <t>Diranian</t>
  </si>
  <si>
    <t>Avedian</t>
  </si>
  <si>
    <t>Leylegian</t>
  </si>
  <si>
    <t>Hadjinlian</t>
  </si>
  <si>
    <t>Doumanian</t>
  </si>
  <si>
    <t>Donoian</t>
  </si>
  <si>
    <t>Eoksuzian</t>
  </si>
  <si>
    <t>Soukiasian</t>
  </si>
  <si>
    <t>Marashlian</t>
  </si>
  <si>
    <t>Soghomonian</t>
  </si>
  <si>
    <t>Topjian</t>
  </si>
  <si>
    <t>Aznavorian</t>
  </si>
  <si>
    <t>Chevourian</t>
  </si>
  <si>
    <t>Chopourian</t>
  </si>
  <si>
    <t>Vartigian</t>
  </si>
  <si>
    <t>Baliozian</t>
  </si>
  <si>
    <t>Deukmejian</t>
  </si>
  <si>
    <t>Apigian</t>
  </si>
  <si>
    <t>Gurjian</t>
  </si>
  <si>
    <t>Pashaian</t>
  </si>
  <si>
    <t>Apelian</t>
  </si>
  <si>
    <t>Shakarjian</t>
  </si>
  <si>
    <t>Zartarian</t>
  </si>
  <si>
    <t>Vahradian</t>
  </si>
  <si>
    <t>Israelian</t>
  </si>
  <si>
    <t>Konjoian</t>
  </si>
  <si>
    <t>Poochigian</t>
  </si>
  <si>
    <t>Yazujian</t>
  </si>
  <si>
    <t>Norsigian</t>
  </si>
  <si>
    <t>Ghazigian</t>
  </si>
  <si>
    <t>Kambourian</t>
  </si>
  <si>
    <t>Izmirlian</t>
  </si>
  <si>
    <t>Piligian</t>
  </si>
  <si>
    <t>Dadekhian</t>
  </si>
  <si>
    <t>Kalemkerian</t>
  </si>
  <si>
    <t>Bardizbanian</t>
  </si>
  <si>
    <t>Patigian</t>
  </si>
  <si>
    <t>Jorjorian</t>
  </si>
  <si>
    <t>Buyukian</t>
  </si>
  <si>
    <t>Elbegian</t>
  </si>
  <si>
    <t>?</t>
  </si>
  <si>
    <t>Medzigian</t>
  </si>
  <si>
    <t>Yaghjian</t>
  </si>
  <si>
    <t>Tertsagian</t>
  </si>
  <si>
    <t>Mihranian</t>
  </si>
  <si>
    <t>Matoian</t>
  </si>
  <si>
    <t>Mahdesian</t>
  </si>
  <si>
    <t>Karaian</t>
  </si>
  <si>
    <t>Alajian</t>
  </si>
  <si>
    <t>Postoian</t>
  </si>
  <si>
    <t>Manaserian</t>
  </si>
  <si>
    <t>Samourian</t>
  </si>
  <si>
    <t>Chobanian</t>
  </si>
  <si>
    <t>Bezirjian</t>
  </si>
  <si>
    <t>Piranian</t>
  </si>
  <si>
    <t>Korkoian</t>
  </si>
  <si>
    <t>Aghajian</t>
  </si>
  <si>
    <t>Sinanian</t>
  </si>
  <si>
    <t>Jelalian</t>
  </si>
  <si>
    <t>Nazaretian</t>
  </si>
  <si>
    <t>Kapigian</t>
  </si>
  <si>
    <t>Shoushanian</t>
  </si>
  <si>
    <t>Hamparian</t>
  </si>
  <si>
    <t>Jigerjian</t>
  </si>
  <si>
    <t>Talanian</t>
  </si>
  <si>
    <t>Jeknavorian</t>
  </si>
  <si>
    <t>Kirmedjian</t>
  </si>
  <si>
    <t>Bozajian</t>
  </si>
  <si>
    <t>Chaderjian</t>
  </si>
  <si>
    <t>Topouzian</t>
  </si>
  <si>
    <t>Tahmazian</t>
  </si>
  <si>
    <t>Ermoian</t>
  </si>
  <si>
    <t>Kalpakjian</t>
  </si>
  <si>
    <t>Tosoian</t>
  </si>
  <si>
    <t>Setian</t>
  </si>
  <si>
    <t>Antoian</t>
  </si>
  <si>
    <t>Arsenian</t>
  </si>
  <si>
    <t>Zadourian</t>
  </si>
  <si>
    <t>Zakian</t>
  </si>
  <si>
    <t>Paboujian</t>
  </si>
  <si>
    <t>Dikranian</t>
  </si>
  <si>
    <t>Annigian</t>
  </si>
  <si>
    <t>Eknoian</t>
  </si>
  <si>
    <t>Khedishian</t>
  </si>
  <si>
    <t>Aghababian</t>
  </si>
  <si>
    <t>Arpajian</t>
  </si>
  <si>
    <t>Azhderian</t>
  </si>
  <si>
    <t>Mekjian</t>
  </si>
  <si>
    <t>Nourigian</t>
  </si>
  <si>
    <t>Pekmezian</t>
  </si>
  <si>
    <t>Paloutzian</t>
  </si>
  <si>
    <t>Achoukian</t>
  </si>
  <si>
    <t>Jambajian</t>
  </si>
  <si>
    <t>Geljikian</t>
  </si>
  <si>
    <t>Gulbenkian</t>
  </si>
  <si>
    <t>Chaghalian</t>
  </si>
  <si>
    <t>Kayajanian</t>
  </si>
  <si>
    <t>Deroian</t>
  </si>
  <si>
    <t>Bisharian</t>
  </si>
  <si>
    <t>Maroutian</t>
  </si>
  <si>
    <t>Hatzakordzian</t>
  </si>
  <si>
    <t>Armaghanian</t>
  </si>
  <si>
    <t>Ezekian</t>
  </si>
  <si>
    <t>Miroian</t>
  </si>
  <si>
    <t>Dabaghian</t>
  </si>
  <si>
    <t>Beshgetourian</t>
  </si>
  <si>
    <t>Daghdigian</t>
  </si>
  <si>
    <t>Avedikian</t>
  </si>
  <si>
    <t>Sanosian</t>
  </si>
  <si>
    <t>Attarian</t>
  </si>
  <si>
    <t>Arakian</t>
  </si>
  <si>
    <t>Toukhmanian</t>
  </si>
  <si>
    <t>Manoushian</t>
  </si>
  <si>
    <t>Ayjian</t>
  </si>
  <si>
    <t>Talalian</t>
  </si>
  <si>
    <t>Toroian</t>
  </si>
  <si>
    <t>Baylerian</t>
  </si>
  <si>
    <t>Emirzian</t>
  </si>
  <si>
    <t>Atanasian</t>
  </si>
  <si>
    <t>Fermanian</t>
  </si>
  <si>
    <t>Jevahirjian</t>
  </si>
  <si>
    <t>Benneyan</t>
  </si>
  <si>
    <t>Akulian</t>
  </si>
  <si>
    <t>Dervishian</t>
  </si>
  <si>
    <t>Dashoian</t>
  </si>
  <si>
    <t>Dostourian</t>
  </si>
  <si>
    <t>Ketenjian</t>
  </si>
  <si>
    <t>Hamamjian</t>
  </si>
  <si>
    <t>Perchian</t>
  </si>
  <si>
    <t>Kendigian</t>
  </si>
  <si>
    <t>Amerigian</t>
  </si>
  <si>
    <t>Depanian</t>
  </si>
  <si>
    <t>Zadigian</t>
  </si>
  <si>
    <t>Lousigian</t>
  </si>
  <si>
    <t>Sharoian</t>
  </si>
  <si>
    <t>Kahvejian</t>
  </si>
  <si>
    <t>Ispirian</t>
  </si>
  <si>
    <t>Balekjian</t>
  </si>
  <si>
    <t>Yeranosian</t>
  </si>
  <si>
    <t>Zoulalian</t>
  </si>
  <si>
    <t>Depoian</t>
  </si>
  <si>
    <t>Khashmanian</t>
  </si>
  <si>
    <t>Evarian</t>
  </si>
  <si>
    <t>Charchian</t>
  </si>
  <si>
    <t>Jenanian</t>
  </si>
  <si>
    <t>Janjigian</t>
  </si>
  <si>
    <t>Saghbazarian</t>
  </si>
  <si>
    <t>Harigian</t>
  </si>
  <si>
    <t>Giridlian</t>
  </si>
  <si>
    <t>Gedigian</t>
  </si>
  <si>
    <t>Kazazian</t>
  </si>
  <si>
    <t>Kavoukjian</t>
  </si>
  <si>
    <t>Levonian</t>
  </si>
  <si>
    <t>Kabakjian</t>
  </si>
  <si>
    <t>Andrigian</t>
  </si>
  <si>
    <t>Parechanian</t>
  </si>
  <si>
    <t>Enjaian</t>
  </si>
  <si>
    <t>Boudakian</t>
  </si>
  <si>
    <t>Jermagian</t>
  </si>
  <si>
    <t>Jivelegian</t>
  </si>
  <si>
    <t>Kebadian</t>
  </si>
  <si>
    <t>Chatoian</t>
  </si>
  <si>
    <t>Serimian</t>
  </si>
  <si>
    <t>Varteresian</t>
  </si>
  <si>
    <t>Adishian</t>
  </si>
  <si>
    <t>Karamanougian</t>
  </si>
  <si>
    <t>Godoshian</t>
  </si>
  <si>
    <t>Astighian</t>
  </si>
  <si>
    <t>Bulbulian</t>
  </si>
  <si>
    <t>Arvanigian</t>
  </si>
  <si>
    <t>Meldonian</t>
  </si>
  <si>
    <t>Hadjian</t>
  </si>
  <si>
    <t>Chordigian</t>
  </si>
  <si>
    <t>Kaiserlian</t>
  </si>
  <si>
    <t>Hovivian</t>
  </si>
  <si>
    <t>Jenazian</t>
  </si>
  <si>
    <t>Roupenian</t>
  </si>
  <si>
    <t>Bejian</t>
  </si>
  <si>
    <t>Kafafian</t>
  </si>
  <si>
    <t>Guzelian</t>
  </si>
  <si>
    <t>Diratzouian</t>
  </si>
  <si>
    <t>Yanikian</t>
  </si>
  <si>
    <t>Ansourian</t>
  </si>
  <si>
    <t>Terjanian</t>
  </si>
  <si>
    <t>Kermoian</t>
  </si>
  <si>
    <t>Grjigian</t>
  </si>
  <si>
    <t>Yeghiarian</t>
  </si>
  <si>
    <t>Frankian</t>
  </si>
  <si>
    <t>Yegavian</t>
  </si>
  <si>
    <t>Ounjian</t>
  </si>
  <si>
    <t>Bouloudian</t>
  </si>
  <si>
    <t>Eskijian</t>
  </si>
  <si>
    <t>Eminian</t>
  </si>
  <si>
    <t>Soudjian</t>
  </si>
  <si>
    <t>Boulgourdjian</t>
  </si>
  <si>
    <t>Furunjian</t>
  </si>
  <si>
    <t>Kartozian</t>
  </si>
  <si>
    <t>Topoian</t>
  </si>
  <si>
    <t>Chaboukjian</t>
  </si>
  <si>
    <t>Odian</t>
  </si>
  <si>
    <t>Bezbezian</t>
  </si>
  <si>
    <t>Daghlian</t>
  </si>
  <si>
    <t>Abdalian</t>
  </si>
  <si>
    <t>Ghazoian</t>
  </si>
  <si>
    <t>Bournazian</t>
  </si>
  <si>
    <t>Anoushian</t>
  </si>
  <si>
    <t>Oghgasian</t>
  </si>
  <si>
    <t>Sabounjian</t>
  </si>
  <si>
    <t>Yezekelian</t>
  </si>
  <si>
    <t>Paroian</t>
  </si>
  <si>
    <t>Alekian</t>
  </si>
  <si>
    <t>Tevrizian</t>
  </si>
  <si>
    <t>Shamoian</t>
  </si>
  <si>
    <t>Shahnazarian</t>
  </si>
  <si>
    <t>Sivaslian</t>
  </si>
  <si>
    <t>Maksoudian</t>
  </si>
  <si>
    <t>Arozian</t>
  </si>
  <si>
    <t>Bekarian</t>
  </si>
  <si>
    <t>Kibarian</t>
  </si>
  <si>
    <t>Ovigian</t>
  </si>
  <si>
    <t>Fereshetian</t>
  </si>
  <si>
    <t>Hintilian</t>
  </si>
  <si>
    <t>Toutigian</t>
  </si>
  <si>
    <t>Gagoyan</t>
  </si>
  <si>
    <t>Soultanian</t>
  </si>
  <si>
    <t>Mamigonian</t>
  </si>
  <si>
    <t>Fenerjian</t>
  </si>
  <si>
    <t>Nishkian</t>
  </si>
  <si>
    <t>Boghoian</t>
  </si>
  <si>
    <t>Palanjian</t>
  </si>
  <si>
    <t>Moskofian</t>
  </si>
  <si>
    <t>Khatounian</t>
  </si>
  <si>
    <t>Hussian</t>
  </si>
  <si>
    <t>Kandoian</t>
  </si>
  <si>
    <t>Saghatielian</t>
  </si>
  <si>
    <t>Haigazian</t>
  </si>
  <si>
    <t>Baroian</t>
  </si>
  <si>
    <t>Iplekjian</t>
  </si>
  <si>
    <t>Rafaelian</t>
  </si>
  <si>
    <t>Roumian</t>
  </si>
  <si>
    <t>Bezdigian</t>
  </si>
  <si>
    <t>Toussuzian</t>
  </si>
  <si>
    <t>Surmanian</t>
  </si>
  <si>
    <t>Rahanian</t>
  </si>
  <si>
    <t>Serjanian</t>
  </si>
  <si>
    <t>Tevanian</t>
  </si>
  <si>
    <t>Garboushian</t>
  </si>
  <si>
    <t>Peretzian</t>
  </si>
  <si>
    <t>Korkigian</t>
  </si>
  <si>
    <t>Hasekian</t>
  </si>
  <si>
    <t>Borzakian</t>
  </si>
  <si>
    <t>Tournamian</t>
  </si>
  <si>
    <t>Bodosian</t>
  </si>
  <si>
    <t>Takakjian</t>
  </si>
  <si>
    <t>Kardashian</t>
  </si>
  <si>
    <t>Antaramian</t>
  </si>
  <si>
    <t>Mouradjian</t>
  </si>
  <si>
    <t>Mangasarian</t>
  </si>
  <si>
    <t>Timourian</t>
  </si>
  <si>
    <t>Choboian</t>
  </si>
  <si>
    <t>Alexandrian</t>
  </si>
  <si>
    <t>Ajoian</t>
  </si>
  <si>
    <t>Yaghlian</t>
  </si>
  <si>
    <t>Deovletian</t>
  </si>
  <si>
    <t>Mahserejian</t>
  </si>
  <si>
    <t>Devejian</t>
  </si>
  <si>
    <t>Adzigian</t>
  </si>
  <si>
    <t>Kochounian</t>
  </si>
  <si>
    <t>Fustukian</t>
  </si>
  <si>
    <t>Gertmenian</t>
  </si>
  <si>
    <t>Dinjian</t>
  </si>
  <si>
    <t>Kuchukian</t>
  </si>
  <si>
    <t>Vahanian</t>
  </si>
  <si>
    <t>Chalian</t>
  </si>
  <si>
    <t>Tosounian</t>
  </si>
  <si>
    <t>Oulouhajian</t>
  </si>
  <si>
    <t>Pashalian</t>
  </si>
  <si>
    <t>Baltaian</t>
  </si>
  <si>
    <t>Shahbaghlian</t>
  </si>
  <si>
    <t>Sadoian</t>
  </si>
  <si>
    <t>Holopigian</t>
  </si>
  <si>
    <t>Gorgodian</t>
  </si>
  <si>
    <t>Karahadian</t>
  </si>
  <si>
    <t>Nordigian</t>
  </si>
  <si>
    <t>Khelgatian</t>
  </si>
  <si>
    <t>Zotian</t>
  </si>
  <si>
    <t>Alemian</t>
  </si>
  <si>
    <t>Tayian</t>
  </si>
  <si>
    <t>Koumrian</t>
  </si>
  <si>
    <t>Moughalian</t>
  </si>
  <si>
    <t>Koharian</t>
  </si>
  <si>
    <t>Chelebian</t>
  </si>
  <si>
    <t>Bogharian</t>
  </si>
  <si>
    <t>Aintablian</t>
  </si>
  <si>
    <t>Paghigian</t>
  </si>
  <si>
    <t>Iskian</t>
  </si>
  <si>
    <t>Tiryakian</t>
  </si>
  <si>
    <t>Aristakesian</t>
  </si>
  <si>
    <t>Mardoian</t>
  </si>
  <si>
    <t>Zobian</t>
  </si>
  <si>
    <t>Kourian</t>
  </si>
  <si>
    <t>Zournajian</t>
  </si>
  <si>
    <t>Chekenian</t>
  </si>
  <si>
    <t>Kholigian</t>
  </si>
  <si>
    <t>Saljian</t>
  </si>
  <si>
    <t>Adanalian</t>
  </si>
  <si>
    <t>Dikijian</t>
  </si>
  <si>
    <t>Adourian</t>
  </si>
  <si>
    <t>Krekian</t>
  </si>
  <si>
    <t>Ervanian</t>
  </si>
  <si>
    <t>Denkjian</t>
  </si>
  <si>
    <t>Ourfalian</t>
  </si>
  <si>
    <t>Vosgian</t>
  </si>
  <si>
    <t>Alajajian</t>
  </si>
  <si>
    <t>Santikian</t>
  </si>
  <si>
    <t>Melidosian</t>
  </si>
  <si>
    <t>Papelian</t>
  </si>
  <si>
    <t>Givrigian</t>
  </si>
  <si>
    <t>Shamshoian</t>
  </si>
  <si>
    <t>Karekinian</t>
  </si>
  <si>
    <t>Keropian</t>
  </si>
  <si>
    <t>Tekian</t>
  </si>
  <si>
    <t>Dolbashian</t>
  </si>
  <si>
    <t>Pinajian</t>
  </si>
  <si>
    <t>Bilazikjian</t>
  </si>
  <si>
    <t>Pilavjian</t>
  </si>
  <si>
    <t>Kondourajian</t>
  </si>
  <si>
    <t>Chatalbashian</t>
  </si>
  <si>
    <t>Tarkanian</t>
  </si>
  <si>
    <t>Selian</t>
  </si>
  <si>
    <t>Madakjian</t>
  </si>
  <si>
    <t>Mahmourian</t>
  </si>
  <si>
    <t>Tokatlian</t>
  </si>
  <si>
    <t>Mestjian</t>
  </si>
  <si>
    <t>Iknadiosian</t>
  </si>
  <si>
    <t>Bakaian</t>
  </si>
  <si>
    <t>Khandanian</t>
  </si>
  <si>
    <t>Mozian</t>
  </si>
  <si>
    <t>Enfiajian</t>
  </si>
  <si>
    <t>Roubian</t>
  </si>
  <si>
    <t>Derbabian</t>
  </si>
  <si>
    <t>Gurinlian</t>
  </si>
  <si>
    <t>Badalian</t>
  </si>
  <si>
    <t>Horasanian</t>
  </si>
  <si>
    <t>Maroukian</t>
  </si>
  <si>
    <t>Azizian</t>
  </si>
  <si>
    <t>Nouskhajian</t>
  </si>
  <si>
    <t>Toukhoian</t>
  </si>
  <si>
    <t>Yardumian</t>
  </si>
  <si>
    <t>Yerighian</t>
  </si>
  <si>
    <t>Bayenderian</t>
  </si>
  <si>
    <t>Karagiavourian</t>
  </si>
  <si>
    <t>Chavdarian</t>
  </si>
  <si>
    <t>Orchanian</t>
  </si>
  <si>
    <t>Melkesetian</t>
  </si>
  <si>
    <t>Chirkinian</t>
  </si>
  <si>
    <t>Mahjoubian</t>
  </si>
  <si>
    <t>Chichegian</t>
  </si>
  <si>
    <t>Yeghsigian</t>
  </si>
  <si>
    <t>Azarigian</t>
  </si>
  <si>
    <t>Pamboukjian</t>
  </si>
  <si>
    <t>Yaghlijian</t>
  </si>
  <si>
    <t>Telloian</t>
  </si>
  <si>
    <t>Aghabashian</t>
  </si>
  <si>
    <t>Mardinian</t>
  </si>
  <si>
    <t>Simigian</t>
  </si>
  <si>
    <t>Savoian</t>
  </si>
  <si>
    <t>Keshgegian</t>
  </si>
  <si>
    <t>Sagherian</t>
  </si>
  <si>
    <t>Eghinian</t>
  </si>
  <si>
    <t>Vezneian</t>
  </si>
  <si>
    <t>Kebabjian</t>
  </si>
  <si>
    <t>Kiatibian</t>
  </si>
  <si>
    <t>Santourian</t>
  </si>
  <si>
    <t>Anjourian</t>
  </si>
  <si>
    <t>Aposhian</t>
  </si>
  <si>
    <t>Juskalian</t>
  </si>
  <si>
    <t>Dishchekenian</t>
  </si>
  <si>
    <t>Narinian</t>
  </si>
  <si>
    <t>Pehlivanian</t>
  </si>
  <si>
    <t>Toumaian</t>
  </si>
  <si>
    <t>Malyemezian</t>
  </si>
  <si>
    <t>Tourajigian</t>
  </si>
  <si>
    <t>Shemavonian</t>
  </si>
  <si>
    <t>Anmahian</t>
  </si>
  <si>
    <t>Vanetzian</t>
  </si>
  <si>
    <t>Zeitounian</t>
  </si>
  <si>
    <t>Kibritjian</t>
  </si>
  <si>
    <t>Shamigian</t>
  </si>
  <si>
    <t>Kashkashian</t>
  </si>
  <si>
    <t>Koulakjian</t>
  </si>
  <si>
    <t>Senekjian</t>
  </si>
  <si>
    <t>Jelloian</t>
  </si>
  <si>
    <t>Tekirian</t>
  </si>
  <si>
    <t>Mouradkhanian</t>
  </si>
  <si>
    <t>Gulkhasian</t>
  </si>
  <si>
    <t>Khourchoudian</t>
  </si>
  <si>
    <t>Alahverdian</t>
  </si>
  <si>
    <t>Douzjian</t>
  </si>
  <si>
    <t>Yeshilbashian</t>
  </si>
  <si>
    <t>Maloutian</t>
  </si>
  <si>
    <t>Madenian</t>
  </si>
  <si>
    <t>Kanarian</t>
  </si>
  <si>
    <t>Khorenian</t>
  </si>
  <si>
    <t>Papertzian</t>
  </si>
  <si>
    <t>Khengoyan</t>
  </si>
  <si>
    <t>Kapousuzian</t>
  </si>
  <si>
    <t>Mangerian</t>
  </si>
  <si>
    <t>Dirtadian</t>
  </si>
  <si>
    <t>Tavoukjian</t>
  </si>
  <si>
    <t>Khanian</t>
  </si>
  <si>
    <t>Leblebijian</t>
  </si>
  <si>
    <t>Kademian</t>
  </si>
  <si>
    <t>Farichian</t>
  </si>
  <si>
    <t>Kayakhachoyan</t>
  </si>
  <si>
    <t>Sarikeshishian</t>
  </si>
  <si>
    <t>Pakradounian</t>
  </si>
  <si>
    <t>Palabykian</t>
  </si>
  <si>
    <t>Kasakian</t>
  </si>
  <si>
    <t>Omartian</t>
  </si>
  <si>
    <t>Sebouhian</t>
  </si>
  <si>
    <t>Bilazarian</t>
  </si>
  <si>
    <t>Sisoian</t>
  </si>
  <si>
    <t>Mangigian</t>
  </si>
  <si>
    <t>Kimatian</t>
  </si>
  <si>
    <t>Menendian</t>
  </si>
  <si>
    <t>Deyinian</t>
  </si>
  <si>
    <t>Sachaklian</t>
  </si>
  <si>
    <t>Menzigian</t>
  </si>
  <si>
    <t>Portoian</t>
  </si>
  <si>
    <t>Matigian</t>
  </si>
  <si>
    <t>Teshkoian</t>
  </si>
  <si>
    <t>Machoulian</t>
  </si>
  <si>
    <t>Unkababian</t>
  </si>
  <si>
    <t>Arzoian</t>
  </si>
  <si>
    <t>Yepremian</t>
  </si>
  <si>
    <t>Paklaian</t>
  </si>
  <si>
    <t>Serverian</t>
  </si>
  <si>
    <t>Jamouzian</t>
  </si>
  <si>
    <t>Asdvadzadourian</t>
  </si>
  <si>
    <t>Kamian</t>
  </si>
  <si>
    <t>Khritian</t>
  </si>
  <si>
    <t>Kirkysharian</t>
  </si>
  <si>
    <t>Terzibashian</t>
  </si>
  <si>
    <t>Nargizian</t>
  </si>
  <si>
    <t>Mousoulian</t>
  </si>
  <si>
    <t>Medzadourian</t>
  </si>
  <si>
    <t>Chavoushian</t>
  </si>
  <si>
    <t>Jizmejian</t>
  </si>
  <si>
    <t>Sislian</t>
  </si>
  <si>
    <t>Shehrian</t>
  </si>
  <si>
    <t>Chorlian</t>
  </si>
  <si>
    <t>Tajirian</t>
  </si>
  <si>
    <t>Margoian</t>
  </si>
  <si>
    <t>Khoubeserian</t>
  </si>
  <si>
    <t>Jingozian</t>
  </si>
  <si>
    <t>Kabasakalian</t>
  </si>
  <si>
    <t>Hakalmazian</t>
  </si>
  <si>
    <t>Sarigian</t>
  </si>
  <si>
    <t>Ananigian</t>
  </si>
  <si>
    <t>Tamamian</t>
  </si>
  <si>
    <t>Yemenijian</t>
  </si>
  <si>
    <t>Baghdadlian</t>
  </si>
  <si>
    <t>Manisajian</t>
  </si>
  <si>
    <t>Ourlian</t>
  </si>
  <si>
    <t>Jarejian</t>
  </si>
  <si>
    <t>Ehramjian</t>
  </si>
  <si>
    <t>Peshtimaljian</t>
  </si>
  <si>
    <t>Bakirjian</t>
  </si>
  <si>
    <t>Shaghougian</t>
  </si>
  <si>
    <t>Simidian</t>
  </si>
  <si>
    <t>Kralian</t>
  </si>
  <si>
    <t>Ejdaharian</t>
  </si>
  <si>
    <t>Choulfaian</t>
  </si>
  <si>
    <t>Kelbashian</t>
  </si>
  <si>
    <t>Fundukian</t>
  </si>
  <si>
    <t>Hortigian</t>
  </si>
  <si>
    <t>Filian</t>
  </si>
  <si>
    <t>Gaydzakian</t>
  </si>
  <si>
    <t>Koundakjian</t>
  </si>
  <si>
    <t>Maloumian</t>
  </si>
  <si>
    <t>Kavaljian</t>
  </si>
  <si>
    <t>Kamashian</t>
  </si>
  <si>
    <t>Panigian</t>
  </si>
  <si>
    <t>Knadjian</t>
  </si>
  <si>
    <t>Lektzian</t>
  </si>
  <si>
    <t>Dambourajian</t>
  </si>
  <si>
    <t>Sagsourian</t>
  </si>
  <si>
    <t>Armenian</t>
  </si>
  <si>
    <t>Salbashian</t>
  </si>
  <si>
    <t>Elesigian</t>
  </si>
  <si>
    <t>Vakaesian</t>
  </si>
  <si>
    <t>Bosnoian</t>
  </si>
  <si>
    <t>Kerbekian</t>
  </si>
  <si>
    <t>Cherkoian</t>
  </si>
  <si>
    <t>Vezirian</t>
  </si>
  <si>
    <t>Meghreblian</t>
  </si>
  <si>
    <t>Tabakian</t>
  </si>
  <si>
    <t>Koujoulian</t>
  </si>
  <si>
    <t>Hagopjanian</t>
  </si>
  <si>
    <t>Chorebanian</t>
  </si>
  <si>
    <t>Arzigian</t>
  </si>
  <si>
    <t>Azadigian</t>
  </si>
  <si>
    <t>Shamirian</t>
  </si>
  <si>
    <t>Inglisian</t>
  </si>
  <si>
    <t>Blejian</t>
  </si>
  <si>
    <t>Balounian</t>
  </si>
  <si>
    <t>Gemerekian</t>
  </si>
  <si>
    <t>Menzoian</t>
  </si>
  <si>
    <t>Majarian</t>
  </si>
  <si>
    <t>Alchian</t>
  </si>
  <si>
    <t>Kaplanian</t>
  </si>
  <si>
    <t>Yazmajian</t>
  </si>
  <si>
    <t>Medzoian</t>
  </si>
  <si>
    <t>Yelanjian</t>
  </si>
  <si>
    <t>Depigian</t>
  </si>
  <si>
    <t>Doghramajian</t>
  </si>
  <si>
    <t>Donjoian</t>
  </si>
  <si>
    <t>Tinghirian</t>
  </si>
  <si>
    <t>Chinchinian</t>
  </si>
  <si>
    <t>Minetian</t>
  </si>
  <si>
    <t>Tourounjian</t>
  </si>
  <si>
    <t>Yeterian</t>
  </si>
  <si>
    <t>Tabibian</t>
  </si>
  <si>
    <t>Najimian</t>
  </si>
  <si>
    <t>Davorian</t>
  </si>
  <si>
    <t>Hoyenian</t>
  </si>
  <si>
    <t>Parmakian</t>
  </si>
  <si>
    <t>Tavtigian</t>
  </si>
  <si>
    <t>Peshekerian</t>
  </si>
  <si>
    <t>Vorperian</t>
  </si>
  <si>
    <t>Morlian</t>
  </si>
  <si>
    <t>Jihanian</t>
  </si>
  <si>
    <t>Berejiklian</t>
  </si>
  <si>
    <t>Chividjian</t>
  </si>
  <si>
    <t>Chaghoughian</t>
  </si>
  <si>
    <t>Kavazanjian</t>
  </si>
  <si>
    <t>Sourian</t>
  </si>
  <si>
    <t>Kalalian</t>
  </si>
  <si>
    <t>Shahzadeian</t>
  </si>
  <si>
    <t>Khosharian</t>
  </si>
  <si>
    <t>Janayan</t>
  </si>
  <si>
    <t>Gulumian</t>
  </si>
  <si>
    <t>Mirzigian</t>
  </si>
  <si>
    <t>Khosrofian</t>
  </si>
  <si>
    <t>Norhadian</t>
  </si>
  <si>
    <t>Ajoutian</t>
  </si>
  <si>
    <t>Yandian</t>
  </si>
  <si>
    <t>Nazigian</t>
  </si>
  <si>
    <t>Halvajian</t>
  </si>
  <si>
    <t>Medzmaroukian</t>
  </si>
  <si>
    <t>Dalagian</t>
  </si>
  <si>
    <t>Charekjian</t>
  </si>
  <si>
    <t>Abouhayatian</t>
  </si>
  <si>
    <t>Posigian</t>
  </si>
  <si>
    <t>Siraganian</t>
  </si>
  <si>
    <t>Yezdanian</t>
  </si>
  <si>
    <t>Kalandarian</t>
  </si>
  <si>
    <t>Khoshabjian</t>
  </si>
  <si>
    <t>Khanzadian</t>
  </si>
  <si>
    <t>Mesrakjian</t>
  </si>
  <si>
    <t>Haleplian</t>
  </si>
  <si>
    <t>Mamasian</t>
  </si>
  <si>
    <t>Bonapartian</t>
  </si>
  <si>
    <t>Jamakordzian</t>
  </si>
  <si>
    <t>Yeganian</t>
  </si>
  <si>
    <t>Nigsarlian</t>
  </si>
  <si>
    <t>Setrakian</t>
  </si>
  <si>
    <t>Ghevontian</t>
  </si>
  <si>
    <t>Shirvanian</t>
  </si>
  <si>
    <t>Ketchebashian</t>
  </si>
  <si>
    <t>Mantarian</t>
  </si>
  <si>
    <t>Zeligian</t>
  </si>
  <si>
    <t>Yalenezian</t>
  </si>
  <si>
    <t>Ardzrouni</t>
  </si>
  <si>
    <t>Simoian</t>
  </si>
  <si>
    <t>Chaghatzbanian</t>
  </si>
  <si>
    <t>Nigolian</t>
  </si>
  <si>
    <t>Jelladian</t>
  </si>
  <si>
    <t>Cherkezian</t>
  </si>
  <si>
    <t>Alyanakian</t>
  </si>
  <si>
    <t>Khanemian</t>
  </si>
  <si>
    <t>Megrian</t>
  </si>
  <si>
    <t>Amirshadian</t>
  </si>
  <si>
    <t>Kabaian</t>
  </si>
  <si>
    <t>Derigian</t>
  </si>
  <si>
    <t>Terlemezian</t>
  </si>
  <si>
    <t>Hovanian</t>
  </si>
  <si>
    <t>Fesjian</t>
  </si>
  <si>
    <t>Babasinian</t>
  </si>
  <si>
    <t>Tavluian</t>
  </si>
  <si>
    <t>Kavoian</t>
  </si>
  <si>
    <t>Bostanian</t>
  </si>
  <si>
    <t>Eurengy</t>
  </si>
  <si>
    <t>Djirjirian</t>
  </si>
  <si>
    <t>Banirian</t>
  </si>
  <si>
    <t>Sandjian</t>
  </si>
  <si>
    <t>Yavrinian</t>
  </si>
  <si>
    <t>Hadigian</t>
  </si>
  <si>
    <t>Bandoian</t>
  </si>
  <si>
    <t>Yapoujian</t>
  </si>
  <si>
    <t>Oughourlian</t>
  </si>
  <si>
    <t>Moushmoulian</t>
  </si>
  <si>
    <t>Pambosian</t>
  </si>
  <si>
    <t>Yoksoulian</t>
  </si>
  <si>
    <t>Gulemirian</t>
  </si>
  <si>
    <t>Nouridjian</t>
  </si>
  <si>
    <t>Toligian</t>
  </si>
  <si>
    <t>Mokossian</t>
  </si>
  <si>
    <t>Atoian</t>
  </si>
  <si>
    <t>Shamanian</t>
  </si>
  <si>
    <t>Kondazian</t>
  </si>
  <si>
    <t>Adalian</t>
  </si>
  <si>
    <t>Galatian</t>
  </si>
  <si>
    <t>Gumushian</t>
  </si>
  <si>
    <t>Chatalian</t>
  </si>
  <si>
    <t>Daghavarian</t>
  </si>
  <si>
    <t>Medzerian</t>
  </si>
  <si>
    <t>Sandrakortzian</t>
  </si>
  <si>
    <t>Dilberian</t>
  </si>
  <si>
    <t>Joboulian</t>
  </si>
  <si>
    <t>Torkomian</t>
  </si>
  <si>
    <t>Shahian</t>
  </si>
  <si>
    <t>Abdlahadian</t>
  </si>
  <si>
    <t>Kezlarian</t>
  </si>
  <si>
    <t>Baharozian</t>
  </si>
  <si>
    <t>Kouzoujian</t>
  </si>
  <si>
    <t>Amasalian</t>
  </si>
  <si>
    <t>Laloian</t>
  </si>
  <si>
    <t>Yaghmourian</t>
  </si>
  <si>
    <t>Elikuchukian</t>
  </si>
  <si>
    <t>Gejeian</t>
  </si>
  <si>
    <t>Yahnian</t>
  </si>
  <si>
    <t>Khoury</t>
  </si>
  <si>
    <t>Chandoian</t>
  </si>
  <si>
    <t>Maranjian</t>
  </si>
  <si>
    <t>Frangulian</t>
  </si>
  <si>
    <t>Yekmalian</t>
  </si>
  <si>
    <t>Dilsizian</t>
  </si>
  <si>
    <t>Lachinian</t>
  </si>
  <si>
    <t>Nourijanian</t>
  </si>
  <si>
    <t>Bendian</t>
  </si>
  <si>
    <t>Mananian</t>
  </si>
  <si>
    <t>Balabanian</t>
  </si>
  <si>
    <t>Noradoungian</t>
  </si>
  <si>
    <t>Haktzian</t>
  </si>
  <si>
    <t>Soursourian</t>
  </si>
  <si>
    <t>Hazarvartian</t>
  </si>
  <si>
    <t>Aghamalian</t>
  </si>
  <si>
    <t>Moukhberian</t>
  </si>
  <si>
    <t>Ekmanian</t>
  </si>
  <si>
    <t>Aproian</t>
  </si>
  <si>
    <t>Lousarevian</t>
  </si>
  <si>
    <t>Menidjian</t>
  </si>
  <si>
    <t>Yetimian</t>
  </si>
  <si>
    <t>Moutafian</t>
  </si>
  <si>
    <t>Shoushoian</t>
  </si>
  <si>
    <t>Amiralian</t>
  </si>
  <si>
    <t>Konialian</t>
  </si>
  <si>
    <t>Varakian</t>
  </si>
  <si>
    <t>Narlian</t>
  </si>
  <si>
    <t>Kerenjoian</t>
  </si>
  <si>
    <t>Salisian</t>
  </si>
  <si>
    <t>Zouloumian</t>
  </si>
  <si>
    <t>Salvian</t>
  </si>
  <si>
    <t>Guedoyan</t>
  </si>
  <si>
    <t>Hazarjian</t>
  </si>
  <si>
    <t>Murmurian</t>
  </si>
  <si>
    <t>Siranosian</t>
  </si>
  <si>
    <t>Janjanian</t>
  </si>
  <si>
    <t>Aghjayan</t>
  </si>
  <si>
    <t>Kavarian</t>
  </si>
  <si>
    <t>Antranigian</t>
  </si>
  <si>
    <t>Rakoubian</t>
  </si>
  <si>
    <t>Bagdjedjian</t>
  </si>
  <si>
    <t>Altgidjian</t>
  </si>
  <si>
    <t>Samourkashian</t>
  </si>
  <si>
    <t>Yeghishian</t>
  </si>
  <si>
    <t>Douroujalian</t>
  </si>
  <si>
    <t>Zaghigian</t>
  </si>
  <si>
    <t>Teghnazian</t>
  </si>
  <si>
    <t>Shehristanian</t>
  </si>
  <si>
    <t>Sargavakian</t>
  </si>
  <si>
    <t>Hodoian</t>
  </si>
  <si>
    <t>Jevizian</t>
  </si>
  <si>
    <t>Seksenian</t>
  </si>
  <si>
    <t>Kevonian</t>
  </si>
  <si>
    <t>Yiogourtsian</t>
  </si>
  <si>
    <t>Dildarian</t>
  </si>
  <si>
    <t>Dournaian</t>
  </si>
  <si>
    <t>Badrigian</t>
  </si>
  <si>
    <t>Paytonjian</t>
  </si>
  <si>
    <t>Pempejian</t>
  </si>
  <si>
    <t>Garmirian</t>
  </si>
  <si>
    <t>Toundaian</t>
  </si>
  <si>
    <t>Telfeyan</t>
  </si>
  <si>
    <t>Kamakian</t>
  </si>
  <si>
    <t>Zamanian</t>
  </si>
  <si>
    <t>Zadoian</t>
  </si>
  <si>
    <t>Almoian</t>
  </si>
  <si>
    <t>Karakehayan</t>
  </si>
  <si>
    <t>Amboyan</t>
  </si>
  <si>
    <t>Touradian</t>
  </si>
  <si>
    <t>Dolmajian</t>
  </si>
  <si>
    <t>Mekhoian</t>
  </si>
  <si>
    <t>Oghasapian</t>
  </si>
  <si>
    <t>Jarnazian</t>
  </si>
  <si>
    <t>Goliti</t>
  </si>
  <si>
    <t>Sargarian</t>
  </si>
  <si>
    <t>Baroutian</t>
  </si>
  <si>
    <t>Paghsarian</t>
  </si>
  <si>
    <t>Ashbahian</t>
  </si>
  <si>
    <t>Portoukalian</t>
  </si>
  <si>
    <t>Mamishian</t>
  </si>
  <si>
    <t>Topakian</t>
  </si>
  <si>
    <t>Mazgirtian</t>
  </si>
  <si>
    <t>Kazadrian</t>
  </si>
  <si>
    <t>Ichmelian</t>
  </si>
  <si>
    <t>Benlian</t>
  </si>
  <si>
    <t>Yuldouzian</t>
  </si>
  <si>
    <t>Tamilian</t>
  </si>
  <si>
    <t>Rejebian</t>
  </si>
  <si>
    <t>Dzotsikian</t>
  </si>
  <si>
    <t>Elia</t>
  </si>
  <si>
    <t>Toutjian</t>
  </si>
  <si>
    <t>Hampigian</t>
  </si>
  <si>
    <t>Tetezian</t>
  </si>
  <si>
    <t>Miskjian</t>
  </si>
  <si>
    <t>Baravian</t>
  </si>
  <si>
    <t>Shidanian</t>
  </si>
  <si>
    <t>Bebirian</t>
  </si>
  <si>
    <t>Perinjian</t>
  </si>
  <si>
    <t>Haidostian</t>
  </si>
  <si>
    <t>Seklemian</t>
  </si>
  <si>
    <t>Meterisian</t>
  </si>
  <si>
    <t>Mayissian</t>
  </si>
  <si>
    <t>Merjimekian</t>
  </si>
  <si>
    <t>Touradjian</t>
  </si>
  <si>
    <t>Aydinlian</t>
  </si>
  <si>
    <t>Boujikanian</t>
  </si>
  <si>
    <t>Tiftikjian</t>
  </si>
  <si>
    <t>Sourigian</t>
  </si>
  <si>
    <t>Dilanjian</t>
  </si>
  <si>
    <t>Barserian</t>
  </si>
  <si>
    <t>Severeklian</t>
  </si>
  <si>
    <t>Alashian</t>
  </si>
  <si>
    <t>Marabian</t>
  </si>
  <si>
    <t>Delighazarian</t>
  </si>
  <si>
    <t>Kalebjian</t>
  </si>
  <si>
    <t>Jamjian</t>
  </si>
  <si>
    <t>Maloolian</t>
  </si>
  <si>
    <t>Arkoian</t>
  </si>
  <si>
    <t>Mendilian</t>
  </si>
  <si>
    <t>Bartevian</t>
  </si>
  <si>
    <t>Odajian</t>
  </si>
  <si>
    <t>Khanigian</t>
  </si>
  <si>
    <t>Korkmazian</t>
  </si>
  <si>
    <t>Shahabian</t>
  </si>
  <si>
    <t>Shotigian</t>
  </si>
  <si>
    <t>Albarian</t>
  </si>
  <si>
    <t>Kallerian</t>
  </si>
  <si>
    <t>Lapchinjian</t>
  </si>
  <si>
    <t>Ahmetjanian</t>
  </si>
  <si>
    <t>Daloian</t>
  </si>
  <si>
    <t>Erkiletian</t>
  </si>
  <si>
    <t>Vasilian</t>
  </si>
  <si>
    <t>Kartoyan</t>
  </si>
  <si>
    <t>Vartian</t>
  </si>
  <si>
    <t>Paparian</t>
  </si>
  <si>
    <t>Tarbassian</t>
  </si>
  <si>
    <t>Vartivarian</t>
  </si>
  <si>
    <t>Khenchelian</t>
  </si>
  <si>
    <t>Jundanian</t>
  </si>
  <si>
    <t>Mazloumian</t>
  </si>
  <si>
    <t>Haranjian</t>
  </si>
  <si>
    <t>Hampartzian</t>
  </si>
  <si>
    <t>Doghanian</t>
  </si>
  <si>
    <t>Yavanian</t>
  </si>
  <si>
    <t>Tamigian</t>
  </si>
  <si>
    <t>Adoian</t>
  </si>
  <si>
    <t>Memleketian</t>
  </si>
  <si>
    <t>Kartalian</t>
  </si>
  <si>
    <t>Assilbekian</t>
  </si>
  <si>
    <t>Penjoian</t>
  </si>
  <si>
    <t>Vezikian</t>
  </si>
  <si>
    <t>Gavroian</t>
  </si>
  <si>
    <t>Shenlougian</t>
  </si>
  <si>
    <t>Ayanian</t>
  </si>
  <si>
    <t>Hoplamazian</t>
  </si>
  <si>
    <t>Barsoian</t>
  </si>
  <si>
    <t>Berberbashian</t>
  </si>
  <si>
    <t>Fantazian</t>
  </si>
  <si>
    <t>Sewny</t>
  </si>
  <si>
    <t>Kaluptjian</t>
  </si>
  <si>
    <t>Desteyan</t>
  </si>
  <si>
    <t>Vartanesian</t>
  </si>
  <si>
    <t>Aprigian</t>
  </si>
  <si>
    <t>Panian</t>
  </si>
  <si>
    <t>Gazian</t>
  </si>
  <si>
    <t>Khanbegian</t>
  </si>
  <si>
    <t>Dombalian</t>
  </si>
  <si>
    <t>Dalitian</t>
  </si>
  <si>
    <t>Chunkoushlian</t>
  </si>
  <si>
    <t>Bohjalian</t>
  </si>
  <si>
    <t>Zovigian</t>
  </si>
  <si>
    <t>Parmaksuzian</t>
  </si>
  <si>
    <t>Anaspigian</t>
  </si>
  <si>
    <t>Chalagonian</t>
  </si>
  <si>
    <t>Bejoian</t>
  </si>
  <si>
    <t>Kertikian</t>
  </si>
  <si>
    <t>Kamboian</t>
  </si>
  <si>
    <t>Geovjian</t>
  </si>
  <si>
    <t>Babajanian</t>
  </si>
  <si>
    <t>Sertcheian</t>
  </si>
  <si>
    <t>Maledjian</t>
  </si>
  <si>
    <t>Terzihagopian</t>
  </si>
  <si>
    <t>Rashoian</t>
  </si>
  <si>
    <t>Husisian</t>
  </si>
  <si>
    <t>Masmadzian</t>
  </si>
  <si>
    <t>Hooloian</t>
  </si>
  <si>
    <t>Marafian</t>
  </si>
  <si>
    <t>Altiparmakian</t>
  </si>
  <si>
    <t>Choukasuzian</t>
  </si>
  <si>
    <t>Arpiarian</t>
  </si>
  <si>
    <t>Ambroukian</t>
  </si>
  <si>
    <t>Hasanian</t>
  </si>
  <si>
    <t>Badvaganian</t>
  </si>
  <si>
    <t>Pouchmanian</t>
  </si>
  <si>
    <t>Sarnezian</t>
  </si>
  <si>
    <t>Bozoghlanian</t>
  </si>
  <si>
    <t>Aspadourian</t>
  </si>
  <si>
    <t>Kandalian</t>
  </si>
  <si>
    <t>Shaterian</t>
  </si>
  <si>
    <t>Shahrozian</t>
  </si>
  <si>
    <t>Chamacherdjian</t>
  </si>
  <si>
    <t>Geogerian</t>
  </si>
  <si>
    <t>Sanoian</t>
  </si>
  <si>
    <t>Indjehagopian</t>
  </si>
  <si>
    <t>Karacholian</t>
  </si>
  <si>
    <t>Mavrousian</t>
  </si>
  <si>
    <t>Hadidian</t>
  </si>
  <si>
    <t>Gumushgardanian</t>
  </si>
  <si>
    <t>Bashian</t>
  </si>
  <si>
    <t>Turpanjian</t>
  </si>
  <si>
    <t>Soulahian</t>
  </si>
  <si>
    <t>Nalchajian</t>
  </si>
  <si>
    <t>Eglikyan</t>
  </si>
  <si>
    <t>Mazoujian</t>
  </si>
  <si>
    <t>Osigian</t>
  </si>
  <si>
    <t>Avsharian</t>
  </si>
  <si>
    <t>Anilian</t>
  </si>
  <si>
    <t>Antikadjian</t>
  </si>
  <si>
    <t>Achoukbashian</t>
  </si>
  <si>
    <t>Vosbigian</t>
  </si>
  <si>
    <t>Geranian</t>
  </si>
  <si>
    <t>Kayarian</t>
  </si>
  <si>
    <t>Karnigian</t>
  </si>
  <si>
    <t>Bakshoian</t>
  </si>
  <si>
    <t>Hougoian</t>
  </si>
  <si>
    <t>Leohmejian</t>
  </si>
  <si>
    <t>Kirkeselian</t>
  </si>
  <si>
    <t>Bournoutian</t>
  </si>
  <si>
    <t>Gultemirian</t>
  </si>
  <si>
    <t>Tchapoutian</t>
  </si>
  <si>
    <t>George</t>
  </si>
  <si>
    <t>Arapchian</t>
  </si>
  <si>
    <t>Mejelian</t>
  </si>
  <si>
    <t>Djenarzian</t>
  </si>
  <si>
    <t>Kojakhanian</t>
  </si>
  <si>
    <t>Dildabanian</t>
  </si>
  <si>
    <t>Avdoyan</t>
  </si>
  <si>
    <t>Dostoumian</t>
  </si>
  <si>
    <t>Jouharigian</t>
  </si>
  <si>
    <t>Tandourjian</t>
  </si>
  <si>
    <t>Latifian</t>
  </si>
  <si>
    <t>Kamarian</t>
  </si>
  <si>
    <t>Moutaranian</t>
  </si>
  <si>
    <t>Koulaksuzian</t>
  </si>
  <si>
    <t>Gejekoushian</t>
  </si>
  <si>
    <t>Meharian</t>
  </si>
  <si>
    <t>Noubarian</t>
  </si>
  <si>
    <t>Menatzagarian</t>
  </si>
  <si>
    <t>Bendinjian</t>
  </si>
  <si>
    <t>Daghdavurian</t>
  </si>
  <si>
    <t>Kouzian</t>
  </si>
  <si>
    <t>Guerasmian [?]</t>
  </si>
  <si>
    <t>Mangushian</t>
  </si>
  <si>
    <t>Tiktikian</t>
  </si>
  <si>
    <t>Vanoian</t>
  </si>
  <si>
    <t>Vekilian</t>
  </si>
  <si>
    <t>Nevrouzian</t>
  </si>
  <si>
    <t>Jigamian</t>
  </si>
  <si>
    <t>Logian</t>
  </si>
  <si>
    <t>Nanigian</t>
  </si>
  <si>
    <t>Patanian</t>
  </si>
  <si>
    <t>Shimshidian</t>
  </si>
  <si>
    <t>Momiakmazian</t>
  </si>
  <si>
    <t>Hanlian</t>
  </si>
  <si>
    <t>Manandjian</t>
  </si>
  <si>
    <t>Meghrigian</t>
  </si>
  <si>
    <t>Kupjian</t>
  </si>
  <si>
    <t>Bonjuklian</t>
  </si>
  <si>
    <t>Danadjian</t>
  </si>
  <si>
    <t>Bazirghanian</t>
  </si>
  <si>
    <t>Pampeyan</t>
  </si>
  <si>
    <t>Balderian</t>
  </si>
  <si>
    <t>Gudenian</t>
  </si>
  <si>
    <t>Asnakian</t>
  </si>
  <si>
    <t>Parmeian</t>
  </si>
  <si>
    <t>Permanian</t>
  </si>
  <si>
    <t>Housigian</t>
  </si>
  <si>
    <t>Yozgadlian</t>
  </si>
  <si>
    <t>Jinivisian</t>
  </si>
  <si>
    <t>Kerestedjian</t>
  </si>
  <si>
    <t>Zamanigian</t>
  </si>
  <si>
    <t>Simsarian</t>
  </si>
  <si>
    <t>Arevian</t>
  </si>
  <si>
    <t>Garvezian</t>
  </si>
  <si>
    <t>Santourjian</t>
  </si>
  <si>
    <t>Selverian</t>
  </si>
  <si>
    <t>Kitabjian</t>
  </si>
  <si>
    <t>Sousigian</t>
  </si>
  <si>
    <t>Poloshjian</t>
  </si>
  <si>
    <t>Kotoian</t>
  </si>
  <si>
    <t>Mandigian</t>
  </si>
  <si>
    <t>Lajigian</t>
  </si>
  <si>
    <t>Gularian</t>
  </si>
  <si>
    <t>Kirmarian</t>
  </si>
  <si>
    <t>Egitkhanian</t>
  </si>
  <si>
    <t>Kharmandian</t>
  </si>
  <si>
    <t>Darhanian</t>
  </si>
  <si>
    <t>Pogharian</t>
  </si>
  <si>
    <t>Turkmenian</t>
  </si>
  <si>
    <t>Kagaziyan</t>
  </si>
  <si>
    <t>Vranian</t>
  </si>
  <si>
    <t>Magoian</t>
  </si>
  <si>
    <t>Pashoogian</t>
  </si>
  <si>
    <t>Manavian</t>
  </si>
  <si>
    <t>Tarlaian</t>
  </si>
  <si>
    <t>Okhoumian</t>
  </si>
  <si>
    <t>Stenian</t>
  </si>
  <si>
    <t>Daroudian</t>
  </si>
  <si>
    <t>Djanibekian</t>
  </si>
  <si>
    <t>Kurdoghlian</t>
  </si>
  <si>
    <t>Tenekedjian</t>
  </si>
  <si>
    <t>Bozonian</t>
  </si>
  <si>
    <t>Bazarbashian</t>
  </si>
  <si>
    <t>Floerka</t>
  </si>
  <si>
    <t>Borchanian</t>
  </si>
  <si>
    <t>Norsoian</t>
  </si>
  <si>
    <t>Taminosian</t>
  </si>
  <si>
    <t>Kojamanian</t>
  </si>
  <si>
    <t>Hazarabedian</t>
  </si>
  <si>
    <t>Talaslian</t>
  </si>
  <si>
    <t>Geozekuchukian</t>
  </si>
  <si>
    <t>Bandazian</t>
  </si>
  <si>
    <t>Loussoyan</t>
  </si>
  <si>
    <t>Avazanian</t>
  </si>
  <si>
    <t>Nazlian</t>
  </si>
  <si>
    <t>Hajetian</t>
  </si>
  <si>
    <t>Karatekian</t>
  </si>
  <si>
    <t>Marabanian</t>
  </si>
  <si>
    <t>Kayekjian</t>
  </si>
  <si>
    <t>Karaseferian</t>
  </si>
  <si>
    <t>Goudsouzian</t>
  </si>
  <si>
    <t>Nemtzeian</t>
  </si>
  <si>
    <t>Hunarian</t>
  </si>
  <si>
    <t>Mavian</t>
  </si>
  <si>
    <t>Gulgulian</t>
  </si>
  <si>
    <t>Papeian</t>
  </si>
  <si>
    <t>Boursalian</t>
  </si>
  <si>
    <t>Lekegian</t>
  </si>
  <si>
    <t>Atoragalian</t>
  </si>
  <si>
    <t>Gueuzubuyukian</t>
  </si>
  <si>
    <t>Teoghlian [?]</t>
  </si>
  <si>
    <t>Diarbekirian</t>
  </si>
  <si>
    <t>Karabegian</t>
  </si>
  <si>
    <t>Varvarian</t>
  </si>
  <si>
    <t>Gerandian</t>
  </si>
  <si>
    <t>Marzbedian</t>
  </si>
  <si>
    <t>Mashlakjian</t>
  </si>
  <si>
    <t>Atikian</t>
  </si>
  <si>
    <t>Dolabjian</t>
  </si>
  <si>
    <t>Herdemian</t>
  </si>
  <si>
    <t>Belemjian</t>
  </si>
  <si>
    <t>Kerian</t>
  </si>
  <si>
    <t>Akadian</t>
  </si>
  <si>
    <t>Minarajian</t>
  </si>
  <si>
    <t>Kishmirian</t>
  </si>
  <si>
    <t>Nadirian</t>
  </si>
  <si>
    <t>Dingilian</t>
  </si>
  <si>
    <t>Bardakjian</t>
  </si>
  <si>
    <t>Kologhloian</t>
  </si>
  <si>
    <t>Telarian</t>
  </si>
  <si>
    <t>Mangouni</t>
  </si>
  <si>
    <t>Kutchudjikian</t>
  </si>
  <si>
    <t>Zorabedian</t>
  </si>
  <si>
    <t>Kechloian</t>
  </si>
  <si>
    <t>Jedidian</t>
  </si>
  <si>
    <t>Gonoian</t>
  </si>
  <si>
    <t>Zorzopian</t>
  </si>
  <si>
    <t>Ilvanian</t>
  </si>
  <si>
    <t>Shnorkian</t>
  </si>
  <si>
    <t>Sakajian</t>
  </si>
  <si>
    <t>Yaghsizian</t>
  </si>
  <si>
    <t>Zarzavatjian</t>
  </si>
  <si>
    <t>Tanarjian</t>
  </si>
  <si>
    <t>Onbashian</t>
  </si>
  <si>
    <t>Etiemezian</t>
  </si>
  <si>
    <t>Delikeshishian</t>
  </si>
  <si>
    <t>Pakosian</t>
  </si>
  <si>
    <t>Sevalian</t>
  </si>
  <si>
    <t>Tafetzian</t>
  </si>
  <si>
    <t>Mesiaian</t>
  </si>
  <si>
    <t>Zazayan</t>
  </si>
  <si>
    <t>Bajaksuzian</t>
  </si>
  <si>
    <t>Dourakian</t>
  </si>
  <si>
    <t>Nergararian</t>
  </si>
  <si>
    <t>Khoshmatlian</t>
  </si>
  <si>
    <t>Nevchehirlian</t>
  </si>
  <si>
    <t>Shakarlamajian</t>
  </si>
  <si>
    <t>Pirimian</t>
  </si>
  <si>
    <t>Dokouzlian</t>
  </si>
  <si>
    <t>Turabian</t>
  </si>
  <si>
    <t>Engetzian</t>
  </si>
  <si>
    <t>Kirtogian</t>
  </si>
  <si>
    <t>Sahpeterian</t>
  </si>
  <si>
    <t>Amadouni</t>
  </si>
  <si>
    <t>Yuzukian</t>
  </si>
  <si>
    <t>Marian</t>
  </si>
  <si>
    <t>Jivanian</t>
  </si>
  <si>
    <t>Mansourian</t>
  </si>
  <si>
    <t>Chankestanyan</t>
  </si>
  <si>
    <t>Chamkertanian</t>
  </si>
  <si>
    <t>Zakeosian</t>
  </si>
  <si>
    <t>Chankalian</t>
  </si>
  <si>
    <t>Yeshilian</t>
  </si>
  <si>
    <t>Karapoian</t>
  </si>
  <si>
    <t>Bedijian</t>
  </si>
  <si>
    <t>Kardian</t>
  </si>
  <si>
    <t>Kapamajian</t>
  </si>
  <si>
    <t>Utujian</t>
  </si>
  <si>
    <t>Safrazian</t>
  </si>
  <si>
    <t>Bendalian</t>
  </si>
  <si>
    <t>Lousinian</t>
  </si>
  <si>
    <t>Ourdikian</t>
  </si>
  <si>
    <t>Halbourian</t>
  </si>
  <si>
    <t>Yadigian</t>
  </si>
  <si>
    <t>Kerzoyan</t>
  </si>
  <si>
    <t>Veloutz</t>
  </si>
  <si>
    <t>Borazanjian</t>
  </si>
  <si>
    <t>Meneghikian</t>
  </si>
  <si>
    <t>Navoian</t>
  </si>
  <si>
    <t>Khanamerian</t>
  </si>
  <si>
    <t>Esajanian</t>
  </si>
  <si>
    <t>Jeczian</t>
  </si>
  <si>
    <t>Giavourian</t>
  </si>
  <si>
    <t>Haiganian</t>
  </si>
  <si>
    <t>Aynajian</t>
  </si>
  <si>
    <t>Toughigian</t>
  </si>
  <si>
    <t>Armoudlian</t>
  </si>
  <si>
    <t>Arevigian</t>
  </si>
  <si>
    <t>Soghnalian</t>
  </si>
  <si>
    <t>Agharian</t>
  </si>
  <si>
    <t>Bashkoyan</t>
  </si>
  <si>
    <t>Alipounarian</t>
  </si>
  <si>
    <t>Androian</t>
  </si>
  <si>
    <t>Osmanian</t>
  </si>
  <si>
    <t>Divrigian</t>
  </si>
  <si>
    <t>Doldourian</t>
  </si>
  <si>
    <t>Hegoian</t>
  </si>
  <si>
    <t>Radoian</t>
  </si>
  <si>
    <t>Hoghroghian</t>
  </si>
  <si>
    <t>Veleguian</t>
  </si>
  <si>
    <t>Ornazian</t>
  </si>
  <si>
    <t>Ourakhian</t>
  </si>
  <si>
    <t>Puskuljian</t>
  </si>
  <si>
    <t>Bedkijian</t>
  </si>
  <si>
    <t>Tavshanjian</t>
  </si>
  <si>
    <t>Sermakeshian</t>
  </si>
  <si>
    <t>Kunarian</t>
  </si>
  <si>
    <t>Tannerian</t>
  </si>
  <si>
    <t>Kadamjian</t>
  </si>
  <si>
    <t>Bastajian</t>
  </si>
  <si>
    <t>Kerneklian</t>
  </si>
  <si>
    <t>Bengoian</t>
  </si>
  <si>
    <t>Hibilian</t>
  </si>
  <si>
    <t>Navarian</t>
  </si>
  <si>
    <t>Kournoian</t>
  </si>
  <si>
    <t>Chemeligian</t>
  </si>
  <si>
    <t>Tahtabrounian</t>
  </si>
  <si>
    <t>Berghoudian</t>
  </si>
  <si>
    <t>Mahlebachian</t>
  </si>
  <si>
    <t>Garvanian</t>
  </si>
  <si>
    <t>Karagulian</t>
  </si>
  <si>
    <t>Dilkian</t>
  </si>
  <si>
    <t>Koutoujian</t>
  </si>
  <si>
    <t>Noghoian</t>
  </si>
  <si>
    <t>Klavanian</t>
  </si>
  <si>
    <t>Lafian</t>
  </si>
  <si>
    <t>Kahkajian</t>
  </si>
  <si>
    <t>Soulian</t>
  </si>
  <si>
    <t>Yedijanian</t>
  </si>
  <si>
    <t>Ghazarkjian</t>
  </si>
  <si>
    <t>Nalian</t>
  </si>
  <si>
    <t>Ormanian</t>
  </si>
  <si>
    <t>Mampreian</t>
  </si>
  <si>
    <t>Kechelian</t>
  </si>
  <si>
    <t>Djidjerian</t>
  </si>
  <si>
    <t>Boyian</t>
  </si>
  <si>
    <t>Talatinian</t>
  </si>
  <si>
    <t>Avemian</t>
  </si>
  <si>
    <t>Mezbourian</t>
  </si>
  <si>
    <t>Marzevanian</t>
  </si>
  <si>
    <t>Arshagian</t>
  </si>
  <si>
    <t>Choohajian</t>
  </si>
  <si>
    <t>Guekejian</t>
  </si>
  <si>
    <t>Yosmaian</t>
  </si>
  <si>
    <t>Orollian</t>
  </si>
  <si>
    <t>Bostanjian</t>
  </si>
  <si>
    <t>Miamedian</t>
  </si>
  <si>
    <t>Adjelian</t>
  </si>
  <si>
    <t>Ababian</t>
  </si>
  <si>
    <t>Zaynabian</t>
  </si>
  <si>
    <t>Kahoujian</t>
  </si>
  <si>
    <t>Potoian</t>
  </si>
  <si>
    <t>Akrazian</t>
  </si>
  <si>
    <t>Jentemourian</t>
  </si>
  <si>
    <t>Makhanian</t>
  </si>
  <si>
    <t>Sunitian</t>
  </si>
  <si>
    <t>Sartoian</t>
  </si>
  <si>
    <t>Djinderian</t>
  </si>
  <si>
    <t>Caharmin [?]</t>
  </si>
  <si>
    <t>Faljian</t>
  </si>
  <si>
    <t>Zafrazian</t>
  </si>
  <si>
    <t>Peltekian</t>
  </si>
  <si>
    <t>Bashbazirghian</t>
  </si>
  <si>
    <t>Mardosian</t>
  </si>
  <si>
    <t>Baktiarian</t>
  </si>
  <si>
    <t>Chachakirian</t>
  </si>
  <si>
    <t>Topanelian</t>
  </si>
  <si>
    <t>Kessikbachian</t>
  </si>
  <si>
    <t>Herosian</t>
  </si>
  <si>
    <t>Norundjian</t>
  </si>
  <si>
    <t>Yantopian</t>
  </si>
  <si>
    <t>Paravonian</t>
  </si>
  <si>
    <t>Kayabalian</t>
  </si>
  <si>
    <t>Vostanigian</t>
  </si>
  <si>
    <t>Sevanlian</t>
  </si>
  <si>
    <t>Ozakdzian</t>
  </si>
  <si>
    <t>Evlian</t>
  </si>
  <si>
    <t>Asfarian</t>
  </si>
  <si>
    <t>Yersimgayan</t>
  </si>
  <si>
    <t>Zermajian</t>
  </si>
  <si>
    <t>Marsbanian</t>
  </si>
  <si>
    <t>Malmoulian</t>
  </si>
  <si>
    <t>Kaptanian</t>
  </si>
  <si>
    <t>Maljanian</t>
  </si>
  <si>
    <t>Pamboghlian</t>
  </si>
  <si>
    <t>Aloujian</t>
  </si>
  <si>
    <t>Amanatian</t>
  </si>
  <si>
    <t>Kahdakjian</t>
  </si>
  <si>
    <t>Kerboian</t>
  </si>
  <si>
    <t>Douboulian</t>
  </si>
  <si>
    <t>Mnatsakanian</t>
  </si>
  <si>
    <t>Chapkenian</t>
  </si>
  <si>
    <t>Karamian</t>
  </si>
  <si>
    <t>Yenidounian</t>
  </si>
  <si>
    <t>Toranian</t>
  </si>
  <si>
    <t>Cheolmekjian</t>
  </si>
  <si>
    <t>Arakjinjian</t>
  </si>
  <si>
    <t>Barmazian</t>
  </si>
  <si>
    <t>Magzanian</t>
  </si>
  <si>
    <t>Baltajian</t>
  </si>
  <si>
    <t>Partoghian</t>
  </si>
  <si>
    <t>Sapah Gulion</t>
  </si>
  <si>
    <t>Djezairlian</t>
  </si>
  <si>
    <t>Basralian</t>
  </si>
  <si>
    <t>Sissakian</t>
  </si>
  <si>
    <t>Javian</t>
  </si>
  <si>
    <t>Tchoujian</t>
  </si>
  <si>
    <t>Plowgian</t>
  </si>
  <si>
    <t>Kakaian</t>
  </si>
  <si>
    <t>Puzantian</t>
  </si>
  <si>
    <t>Aktarian</t>
  </si>
  <si>
    <t>Zengoorian</t>
  </si>
  <si>
    <t>Aghvesian</t>
  </si>
  <si>
    <t>Kharanfilian</t>
  </si>
  <si>
    <t>Moughamian</t>
  </si>
  <si>
    <t>Akshehirlian</t>
  </si>
  <si>
    <t>Barabadian</t>
  </si>
  <si>
    <t>Chanigian</t>
  </si>
  <si>
    <t>Potzigian</t>
  </si>
  <si>
    <t>Khrimian</t>
  </si>
  <si>
    <t>Chublakian</t>
  </si>
  <si>
    <t>Bekjibashian</t>
  </si>
  <si>
    <t>Sharafian</t>
  </si>
  <si>
    <t>Jingilian</t>
  </si>
  <si>
    <t>Gadarigian</t>
  </si>
  <si>
    <t>Finigian</t>
  </si>
  <si>
    <t>Indjidjikian</t>
  </si>
  <si>
    <t>Guldalian</t>
  </si>
  <si>
    <t>Boshnakian</t>
  </si>
  <si>
    <t>Maltabekian</t>
  </si>
  <si>
    <t>Avrikian</t>
  </si>
  <si>
    <t>Muncharian</t>
  </si>
  <si>
    <t>Namian</t>
  </si>
  <si>
    <t>Chituni</t>
  </si>
  <si>
    <t>Kourbitian</t>
  </si>
  <si>
    <t>Oymaian</t>
  </si>
  <si>
    <t>Gurganian</t>
  </si>
  <si>
    <t>Topkapulian</t>
  </si>
  <si>
    <t>Kojabashian</t>
  </si>
  <si>
    <t>Aboujekian</t>
  </si>
  <si>
    <t>Sayad</t>
  </si>
  <si>
    <t>Jarjoudjian</t>
  </si>
  <si>
    <t>Ishilian</t>
  </si>
  <si>
    <t>Kalougian</t>
  </si>
  <si>
    <t>Pantzakian</t>
  </si>
  <si>
    <t>Theveroglou</t>
  </si>
  <si>
    <t>Chehikian</t>
  </si>
  <si>
    <t>Agalarian</t>
  </si>
  <si>
    <t>Dudukjian</t>
  </si>
  <si>
    <t>Kermilian</t>
  </si>
  <si>
    <t>Seghposian</t>
  </si>
  <si>
    <t>Karamegdesian</t>
  </si>
  <si>
    <t>Michmichian</t>
  </si>
  <si>
    <t>Margatians</t>
  </si>
  <si>
    <t>Takpalarian</t>
  </si>
  <si>
    <t>Maghesian</t>
  </si>
  <si>
    <t>Barasatian</t>
  </si>
  <si>
    <t>Develian</t>
  </si>
  <si>
    <t>Bukudjian</t>
  </si>
  <si>
    <t>Oglanian</t>
  </si>
  <si>
    <t>Sackivian</t>
  </si>
  <si>
    <t>Beyazian</t>
  </si>
  <si>
    <t>Pachanian</t>
  </si>
  <si>
    <t>Bardigian</t>
  </si>
  <si>
    <t>Tsalkadjian</t>
  </si>
  <si>
    <t>Patsafian</t>
  </si>
  <si>
    <t>Atouligian</t>
  </si>
  <si>
    <t>Kambedjian</t>
  </si>
  <si>
    <t>Kildirian</t>
  </si>
  <si>
    <t>Toutkoushian</t>
  </si>
  <si>
    <t>Jedjeyan</t>
  </si>
  <si>
    <t>Bektemirian</t>
  </si>
  <si>
    <t>Iptehian</t>
  </si>
  <si>
    <t>Dozigian</t>
  </si>
  <si>
    <t>Coerr</t>
  </si>
  <si>
    <t>Keghoian</t>
  </si>
  <si>
    <t>Mahchogan</t>
  </si>
  <si>
    <t>Patchadjian</t>
  </si>
  <si>
    <t>Sirabanian</t>
  </si>
  <si>
    <t>Madikian</t>
  </si>
  <si>
    <t>Galoshian</t>
  </si>
  <si>
    <t>Malezian</t>
  </si>
  <si>
    <t>Kakesian</t>
  </si>
  <si>
    <t>Ghontchagulian</t>
  </si>
  <si>
    <t>Etoian</t>
  </si>
  <si>
    <t>Sepian</t>
  </si>
  <si>
    <t>Kamandjian</t>
  </si>
  <si>
    <t>Mazanian</t>
  </si>
  <si>
    <t>Makakjian</t>
  </si>
  <si>
    <t>Medemiantz</t>
  </si>
  <si>
    <t>Bergian</t>
  </si>
  <si>
    <t>Choghanjian</t>
  </si>
  <si>
    <t>Vartoian</t>
  </si>
  <si>
    <t>Zenetian</t>
  </si>
  <si>
    <t>Gerekmezian</t>
  </si>
  <si>
    <t>Ghelefian</t>
  </si>
  <si>
    <t>Karaboghosian</t>
  </si>
  <si>
    <t>Gharibjanian</t>
  </si>
  <si>
    <t>Handighian</t>
  </si>
  <si>
    <t>Daeian</t>
  </si>
  <si>
    <t>Strikarsian</t>
  </si>
  <si>
    <t>Jebejian</t>
  </si>
  <si>
    <t>Zibekian</t>
  </si>
  <si>
    <t>Kilzi</t>
  </si>
  <si>
    <t>Erespokhanian</t>
  </si>
  <si>
    <t>Namanian</t>
  </si>
  <si>
    <t>Dedejian</t>
  </si>
  <si>
    <t>Jelanian</t>
  </si>
  <si>
    <t>Darghounian</t>
  </si>
  <si>
    <t>Kapdjian</t>
  </si>
  <si>
    <t>Artsunian</t>
  </si>
  <si>
    <t>Sahratian</t>
  </si>
  <si>
    <t>Vajibian</t>
  </si>
  <si>
    <t>Baglaratial [?]</t>
  </si>
  <si>
    <t>Geldedian</t>
  </si>
  <si>
    <t>Apanian</t>
  </si>
  <si>
    <t>Meldoian</t>
  </si>
  <si>
    <t>Djighizian</t>
  </si>
  <si>
    <t>Dildilian</t>
  </si>
  <si>
    <t>Tomarzalian</t>
  </si>
  <si>
    <t>Ensanian</t>
  </si>
  <si>
    <t>Hamanian</t>
  </si>
  <si>
    <t>Pilosian</t>
  </si>
  <si>
    <t>Jadaurian</t>
  </si>
  <si>
    <t>Mudurian</t>
  </si>
  <si>
    <t>Loulonian</t>
  </si>
  <si>
    <t>Baghjinian</t>
  </si>
  <si>
    <t>Kundebegian</t>
  </si>
  <si>
    <t>Nerchabouh</t>
  </si>
  <si>
    <t>Djijraelian</t>
  </si>
  <si>
    <t>Kutukian</t>
  </si>
  <si>
    <t>Vartirian</t>
  </si>
  <si>
    <t>Habibian</t>
  </si>
  <si>
    <t>Mulkigian</t>
  </si>
  <si>
    <t>Zilfian</t>
  </si>
  <si>
    <t>Tashkapoulian</t>
  </si>
  <si>
    <t>Karapiloyan</t>
  </si>
  <si>
    <t>Pokhanian</t>
  </si>
  <si>
    <t>Derlilian [?]</t>
  </si>
  <si>
    <t>Dalkranian</t>
  </si>
  <si>
    <t>Charkhoudian</t>
  </si>
  <si>
    <t>Terzimegrian</t>
  </si>
  <si>
    <t>Serakortzian</t>
  </si>
  <si>
    <t>Baghtchedjian</t>
  </si>
  <si>
    <t>Tahasian</t>
  </si>
  <si>
    <t>Baron Vartian</t>
  </si>
  <si>
    <t>Batzanian</t>
  </si>
  <si>
    <t>Govbashian</t>
  </si>
  <si>
    <t>Jansouzian</t>
  </si>
  <si>
    <t>Bantukhdian</t>
  </si>
  <si>
    <t>Cheipchipin [?]</t>
  </si>
  <si>
    <t>Valian</t>
  </si>
  <si>
    <t>Charshafjian</t>
  </si>
  <si>
    <t>Dungilian</t>
  </si>
  <si>
    <t>Khalarian</t>
  </si>
  <si>
    <t>Sirkoyan</t>
  </si>
  <si>
    <t>Masatian</t>
  </si>
  <si>
    <t>Zarzorian</t>
  </si>
  <si>
    <t>Garobigian</t>
  </si>
  <si>
    <t>Eligian</t>
  </si>
  <si>
    <t>Sariboghosian</t>
  </si>
  <si>
    <t>Yergatian</t>
  </si>
  <si>
    <t>Boogdanian</t>
  </si>
  <si>
    <t>Hapetian</t>
  </si>
  <si>
    <t>Shorajian</t>
  </si>
  <si>
    <t>Aldirmichian</t>
  </si>
  <si>
    <t>Bashebeoyukian</t>
  </si>
  <si>
    <t>Messoumian</t>
  </si>
  <si>
    <t>Poriazian</t>
  </si>
  <si>
    <t>Tchengourian</t>
  </si>
  <si>
    <t>Artoian</t>
  </si>
  <si>
    <t>Badvelian</t>
  </si>
  <si>
    <t>Djinguensian</t>
  </si>
  <si>
    <t>Kenleyan</t>
  </si>
  <si>
    <t>Delimetinian</t>
  </si>
  <si>
    <t>Ipranosian</t>
  </si>
  <si>
    <t>Miranshahian</t>
  </si>
  <si>
    <t>Suledjian</t>
  </si>
  <si>
    <t>Babloyan</t>
  </si>
  <si>
    <t>Shourlyan</t>
  </si>
  <si>
    <t>Matheos Hekimian</t>
  </si>
  <si>
    <t>Teghtsoonian</t>
  </si>
  <si>
    <t>Tanjirigian</t>
  </si>
  <si>
    <t>Apalagian</t>
  </si>
  <si>
    <t>Gamijian</t>
  </si>
  <si>
    <t>Damadian</t>
  </si>
  <si>
    <t>Arturian</t>
  </si>
  <si>
    <t>Krasharian</t>
  </si>
  <si>
    <t>Charchavian</t>
  </si>
  <si>
    <t>Khelokigian</t>
  </si>
  <si>
    <t>Tchirkinian</t>
  </si>
  <si>
    <t>Antoofian</t>
  </si>
  <si>
    <t>Karabajakian</t>
  </si>
  <si>
    <t>Petian</t>
  </si>
  <si>
    <t>Badich Khanian</t>
  </si>
  <si>
    <t>Khan</t>
  </si>
  <si>
    <t>Gaujanian</t>
  </si>
  <si>
    <t>Ferahian</t>
  </si>
  <si>
    <t>Kirishjian</t>
  </si>
  <si>
    <t>Pakchoian</t>
  </si>
  <si>
    <t>Elkas</t>
  </si>
  <si>
    <t>Avjigian</t>
  </si>
  <si>
    <t>Jebian</t>
  </si>
  <si>
    <t>Ouzakmadjian</t>
  </si>
  <si>
    <t>Boujoulian</t>
  </si>
  <si>
    <t>Kolombosian</t>
  </si>
  <si>
    <t>Ghazaroukian</t>
  </si>
  <si>
    <t>Fendian</t>
  </si>
  <si>
    <t>Derhadjian</t>
  </si>
  <si>
    <t>Nourikhanian</t>
  </si>
  <si>
    <t>Apissoghomian</t>
  </si>
  <si>
    <t>Alemsherian</t>
  </si>
  <si>
    <t>Casatgian</t>
  </si>
  <si>
    <t>Dandigian</t>
  </si>
  <si>
    <t>Shadbegian</t>
  </si>
  <si>
    <t>Jarotzian</t>
  </si>
  <si>
    <t>Kechidian</t>
  </si>
  <si>
    <t>Youvejian</t>
  </si>
  <si>
    <t>Mallarian</t>
  </si>
  <si>
    <t>Ekhparian</t>
  </si>
  <si>
    <t>Sanjakjian</t>
  </si>
  <si>
    <t>Gigavian</t>
  </si>
  <si>
    <t>Tezekjian</t>
  </si>
  <si>
    <t>Gazipian</t>
  </si>
  <si>
    <t>Torpilikian</t>
  </si>
  <si>
    <t>Ashtaraguentz</t>
  </si>
  <si>
    <t>Tchakmalian</t>
  </si>
  <si>
    <t>Yalanian</t>
  </si>
  <si>
    <t>Lafjian</t>
  </si>
  <si>
    <t>Geyikian</t>
  </si>
  <si>
    <t>Hanerjian</t>
  </si>
  <si>
    <t>Pertodian</t>
  </si>
  <si>
    <t>Hindjosian</t>
  </si>
  <si>
    <t>Abahouni</t>
  </si>
  <si>
    <t>Kentopian</t>
  </si>
  <si>
    <t>Agrandjian</t>
  </si>
  <si>
    <t>Kembelian</t>
  </si>
  <si>
    <t>Haikian</t>
  </si>
  <si>
    <t>Kizirboghosian</t>
  </si>
  <si>
    <t>Bagdanian</t>
  </si>
  <si>
    <t>Chachonian</t>
  </si>
  <si>
    <t>Tepirmeian</t>
  </si>
  <si>
    <t>Eisetian</t>
  </si>
  <si>
    <t>Mitilian</t>
  </si>
  <si>
    <t>Khetzanian</t>
  </si>
  <si>
    <t>Koortboghaian</t>
  </si>
  <si>
    <t>Oghidanian</t>
  </si>
  <si>
    <t>Toklakjian</t>
  </si>
  <si>
    <t>Reshurejian</t>
  </si>
  <si>
    <t>Dembrian</t>
  </si>
  <si>
    <t>Brousalian</t>
  </si>
  <si>
    <t>Keosababian</t>
  </si>
  <si>
    <t>Pakian</t>
  </si>
  <si>
    <t>Kanjagulian</t>
  </si>
  <si>
    <t>Dudessian [?]</t>
  </si>
  <si>
    <t>Hulunian</t>
  </si>
  <si>
    <t>Badvelihanouchian</t>
  </si>
  <si>
    <t>Khoursoyan</t>
  </si>
  <si>
    <t>Koulafjian</t>
  </si>
  <si>
    <t>Gaveyan</t>
  </si>
  <si>
    <t>Ballarian</t>
  </si>
  <si>
    <t>Bajakkeishian</t>
  </si>
  <si>
    <t>Bezzerides</t>
  </si>
  <si>
    <t>White</t>
  </si>
  <si>
    <t>Topangian</t>
  </si>
  <si>
    <t>Garinian</t>
  </si>
  <si>
    <t>Moushoushian</t>
  </si>
  <si>
    <t>Tatoulikian</t>
  </si>
  <si>
    <t>Khatounagian</t>
  </si>
  <si>
    <t>Kyarian</t>
  </si>
  <si>
    <t>Stefan</t>
  </si>
  <si>
    <t>Kemoian</t>
  </si>
  <si>
    <t>Guelg---ian</t>
  </si>
  <si>
    <t>Achachian</t>
  </si>
  <si>
    <t>Indzekarian</t>
  </si>
  <si>
    <t>Aravourian</t>
  </si>
  <si>
    <t>Ambekian</t>
  </si>
  <si>
    <t>Soukirian</t>
  </si>
  <si>
    <t>Simlijan</t>
  </si>
  <si>
    <t>Sofayan</t>
  </si>
  <si>
    <t>Tlvanian</t>
  </si>
  <si>
    <t>Varosian</t>
  </si>
  <si>
    <t>Manguelian</t>
  </si>
  <si>
    <t>Askoian</t>
  </si>
  <si>
    <t>Javolian</t>
  </si>
  <si>
    <t>Maskaladjian</t>
  </si>
  <si>
    <t>Karaghiogian</t>
  </si>
  <si>
    <t>Tozlian</t>
  </si>
  <si>
    <t>Thomas</t>
  </si>
  <si>
    <t>Sirikzian</t>
  </si>
  <si>
    <t>Sevian</t>
  </si>
  <si>
    <t>Oghlikian</t>
  </si>
  <si>
    <t>Khohararian</t>
  </si>
  <si>
    <t>Elognerian</t>
  </si>
  <si>
    <t>Sherbetzian</t>
  </si>
  <si>
    <t>Khorkhor</t>
  </si>
  <si>
    <t>Merdjingdjian</t>
  </si>
  <si>
    <t>Tafralian</t>
  </si>
  <si>
    <t>Kainakian</t>
  </si>
  <si>
    <t>Akliguian</t>
  </si>
  <si>
    <t>Oudjouzian</t>
  </si>
  <si>
    <t>Mourathanian</t>
  </si>
  <si>
    <t>Dangovian</t>
  </si>
  <si>
    <t>Dagderian</t>
  </si>
  <si>
    <t>Beradourian</t>
  </si>
  <si>
    <t>Courtian</t>
  </si>
  <si>
    <t>Ovasfapian</t>
  </si>
  <si>
    <t>Sudbayazian</t>
  </si>
  <si>
    <t>Abdian</t>
  </si>
  <si>
    <t>Roustamian</t>
  </si>
  <si>
    <t>Hadjieressian</t>
  </si>
  <si>
    <t>Okourian</t>
  </si>
  <si>
    <t>Tcharklian</t>
  </si>
  <si>
    <t>Davouljian</t>
  </si>
  <si>
    <t>Panjarjian</t>
  </si>
  <si>
    <t>Dombalagian</t>
  </si>
  <si>
    <t>Valavanian</t>
  </si>
  <si>
    <t>Denarian</t>
  </si>
  <si>
    <t>Vialaidjian</t>
  </si>
  <si>
    <t>Atashkarian</t>
  </si>
  <si>
    <t>K---oian</t>
  </si>
  <si>
    <t>Patchanian</t>
  </si>
  <si>
    <t>Eknadian</t>
  </si>
  <si>
    <t>Tchertchivedian</t>
  </si>
  <si>
    <t>Nakhoudian</t>
  </si>
  <si>
    <t>Dombourian</t>
  </si>
  <si>
    <t>Jakinigdjian</t>
  </si>
  <si>
    <t>Spartalian</t>
  </si>
  <si>
    <t>Yenidjalian</t>
  </si>
  <si>
    <t>Poshodian</t>
  </si>
  <si>
    <t>Poupian</t>
  </si>
  <si>
    <t>Mariemerjian</t>
  </si>
  <si>
    <t>Khazarkian</t>
  </si>
  <si>
    <t>Tassouzian</t>
  </si>
  <si>
    <t>Marangozian</t>
  </si>
  <si>
    <t>Vanerian</t>
  </si>
  <si>
    <t>Moskian</t>
  </si>
  <si>
    <t>Tuctejian</t>
  </si>
  <si>
    <t>Sarigiavourian</t>
  </si>
  <si>
    <t>Kassabashian</t>
  </si>
  <si>
    <t>Enginlian</t>
  </si>
  <si>
    <t>Didabanian</t>
  </si>
  <si>
    <t>Messeravian</t>
  </si>
  <si>
    <t>Astanian</t>
  </si>
  <si>
    <t>Maksabedian</t>
  </si>
  <si>
    <t>Topranyan</t>
  </si>
  <si>
    <t>Sourdjian</t>
  </si>
  <si>
    <t>Banklian</t>
  </si>
  <si>
    <t>Haystian [?]</t>
  </si>
  <si>
    <t>Makruhy</t>
  </si>
  <si>
    <t>Stringian</t>
  </si>
  <si>
    <t>Kayarlian</t>
  </si>
  <si>
    <t>Maldiguian</t>
  </si>
  <si>
    <t>Shahmiranian</t>
  </si>
  <si>
    <t>Gacharian</t>
  </si>
  <si>
    <t>Kefsizian</t>
  </si>
  <si>
    <t>Koyounian</t>
  </si>
  <si>
    <t>Darkalian</t>
  </si>
  <si>
    <t>Salibian</t>
  </si>
  <si>
    <t>Tadadjian</t>
  </si>
  <si>
    <t>Kartanian</t>
  </si>
  <si>
    <t>Vanzakesisian</t>
  </si>
  <si>
    <t>Djoughalian</t>
  </si>
  <si>
    <t>Garafarnia [?]</t>
  </si>
  <si>
    <t>Mouchmouchian</t>
  </si>
  <si>
    <t>Arkissian</t>
  </si>
  <si>
    <t>Cevobashian</t>
  </si>
  <si>
    <t>Arevshadian</t>
  </si>
  <si>
    <t>Zaghalian</t>
  </si>
  <si>
    <t>Haybatian</t>
  </si>
  <si>
    <t>Vahramian</t>
  </si>
  <si>
    <t>Ourghanjian</t>
  </si>
  <si>
    <t>Serengulian</t>
  </si>
  <si>
    <t>Kebardjian</t>
  </si>
  <si>
    <t>Martanjan</t>
  </si>
  <si>
    <t>Kurumlian</t>
  </si>
  <si>
    <t>Kelmekian</t>
  </si>
  <si>
    <t>Soghinikian</t>
  </si>
  <si>
    <t>Kisajian</t>
  </si>
  <si>
    <t>Bilinghian</t>
  </si>
  <si>
    <t>Gholdoian</t>
  </si>
  <si>
    <t>Roskarian</t>
  </si>
  <si>
    <t>Tosighian</t>
  </si>
  <si>
    <t>Vaghshinian</t>
  </si>
  <si>
    <t>Aghabarian</t>
  </si>
  <si>
    <t>Karassacoian</t>
  </si>
  <si>
    <t>Zanazarian</t>
  </si>
  <si>
    <t>Yenikoushoian</t>
  </si>
  <si>
    <t>Garabolian</t>
  </si>
  <si>
    <t>Abounosian</t>
  </si>
  <si>
    <t>Kayadian</t>
  </si>
  <si>
    <t>Sebilian</t>
  </si>
  <si>
    <t>Ambojian</t>
  </si>
  <si>
    <t>Toukdarian</t>
  </si>
  <si>
    <t>Damlamian</t>
  </si>
  <si>
    <t>Indjidjian</t>
  </si>
  <si>
    <t>Natanian</t>
  </si>
  <si>
    <t>Bademian</t>
  </si>
  <si>
    <t>Zambarkatian</t>
  </si>
  <si>
    <t>Djaldikian</t>
  </si>
  <si>
    <t>Oumedian</t>
  </si>
  <si>
    <t>Ibichian</t>
  </si>
  <si>
    <t>Karabashian</t>
  </si>
  <si>
    <t>Babalian</t>
  </si>
  <si>
    <t>Tozkonmazian</t>
  </si>
  <si>
    <t>Avadanian</t>
  </si>
  <si>
    <t>Horsigian</t>
  </si>
  <si>
    <t>Danichian</t>
  </si>
  <si>
    <t>Sintaxias [?]</t>
  </si>
  <si>
    <t>Tahtajian</t>
  </si>
  <si>
    <t>Aghabalian</t>
  </si>
  <si>
    <t>Konsolian</t>
  </si>
  <si>
    <t>Haretian</t>
  </si>
  <si>
    <t>Outzian</t>
  </si>
  <si>
    <t>Donagarabedian</t>
  </si>
  <si>
    <t>Donorian</t>
  </si>
  <si>
    <t>Ojakian</t>
  </si>
  <si>
    <t>Oumanian</t>
  </si>
  <si>
    <t>Kodjassarian</t>
  </si>
  <si>
    <t>Kalkanian</t>
  </si>
  <si>
    <t>Maghakjian</t>
  </si>
  <si>
    <t>Harboian</t>
  </si>
  <si>
    <t>Tegrarian</t>
  </si>
  <si>
    <t>Emilian</t>
  </si>
  <si>
    <t>Brazilian</t>
  </si>
  <si>
    <t>Derabian</t>
  </si>
  <si>
    <t>Geovkalayjian</t>
  </si>
  <si>
    <t>Artrighian</t>
  </si>
  <si>
    <t>Badabadian</t>
  </si>
  <si>
    <t>Keghlian</t>
  </si>
  <si>
    <t>Bodjarian</t>
  </si>
  <si>
    <t>Zowzanintjian</t>
  </si>
  <si>
    <t>Senaman</t>
  </si>
  <si>
    <t>Roushanian</t>
  </si>
  <si>
    <t>Kalavadjian</t>
  </si>
  <si>
    <t>Mamigian</t>
  </si>
  <si>
    <t>Chandigian</t>
  </si>
  <si>
    <t>Churgentch</t>
  </si>
  <si>
    <t>Moukarzel</t>
  </si>
  <si>
    <t>Madgashian</t>
  </si>
  <si>
    <t>Kuthnerian</t>
  </si>
  <si>
    <t>Ohassian</t>
  </si>
  <si>
    <t>Maguizoum</t>
  </si>
  <si>
    <t>Elmessekian</t>
  </si>
  <si>
    <t>Aragia</t>
  </si>
  <si>
    <t>Sartanian</t>
  </si>
  <si>
    <t>Lordikian</t>
  </si>
  <si>
    <t>Takelian</t>
  </si>
  <si>
    <t>Jabagjourian</t>
  </si>
  <si>
    <t>Surmelian</t>
  </si>
  <si>
    <t>Rashmajian</t>
  </si>
  <si>
    <t>Injasoulian</t>
  </si>
  <si>
    <t>Miadzinian</t>
  </si>
  <si>
    <t>Darboian</t>
  </si>
  <si>
    <t>Mousharian</t>
  </si>
  <si>
    <t>Missian</t>
  </si>
  <si>
    <t>Seralian</t>
  </si>
  <si>
    <t>Haralamboglou</t>
  </si>
  <si>
    <t>Korsikian</t>
  </si>
  <si>
    <t>Pojojian</t>
  </si>
  <si>
    <t>Shukurdumian</t>
  </si>
  <si>
    <t>Arestakanian</t>
  </si>
  <si>
    <t>Angaladian</t>
  </si>
  <si>
    <t>Chakmanian</t>
  </si>
  <si>
    <t>Glorian</t>
  </si>
  <si>
    <t>Algianak</t>
  </si>
  <si>
    <t>Efeyan</t>
  </si>
  <si>
    <t>Karslian</t>
  </si>
  <si>
    <t>Djoulikian</t>
  </si>
  <si>
    <t>Sasunlian</t>
  </si>
  <si>
    <t>Taoshnyian</t>
  </si>
  <si>
    <t>Tchaikouchian</t>
  </si>
  <si>
    <t>Aydeian</t>
  </si>
  <si>
    <t>Oflazian</t>
  </si>
  <si>
    <t>Sulukjian</t>
  </si>
  <si>
    <t>Kevalian</t>
  </si>
  <si>
    <t>Hinkarbeyendi</t>
  </si>
  <si>
    <t>Akamanian</t>
  </si>
  <si>
    <t>Partanian</t>
  </si>
  <si>
    <t>Varsavatian</t>
  </si>
  <si>
    <t>Gulmejian</t>
  </si>
  <si>
    <t>Tamzarian</t>
  </si>
  <si>
    <t>Grounkian</t>
  </si>
  <si>
    <t>Bidonian</t>
  </si>
  <si>
    <t>Caragullian</t>
  </si>
  <si>
    <t>Tztetzetchian</t>
  </si>
  <si>
    <t>Djoujanian</t>
  </si>
  <si>
    <t>Bahayan</t>
  </si>
  <si>
    <t>Goushian</t>
  </si>
  <si>
    <t>Anaradian</t>
  </si>
  <si>
    <t>Djelmagian</t>
  </si>
  <si>
    <t>Medetian</t>
  </si>
  <si>
    <t>Moorvartian</t>
  </si>
  <si>
    <t>Behanian</t>
  </si>
  <si>
    <t>Balasanian</t>
  </si>
  <si>
    <t>Senekerian</t>
  </si>
  <si>
    <t>Ballandian</t>
  </si>
  <si>
    <t>Kehigian</t>
  </si>
  <si>
    <t>Elmanian</t>
  </si>
  <si>
    <t>Bendjilian</t>
  </si>
  <si>
    <t>Johnson</t>
  </si>
  <si>
    <t>Linas</t>
  </si>
  <si>
    <t>Badivian</t>
  </si>
  <si>
    <t>Angounian</t>
  </si>
  <si>
    <t>Abdul Kerim</t>
  </si>
  <si>
    <t>Kavranjian</t>
  </si>
  <si>
    <t>Dedebal</t>
  </si>
  <si>
    <t>Sevkarian</t>
  </si>
  <si>
    <t>Koulbian</t>
  </si>
  <si>
    <t>Matols</t>
  </si>
  <si>
    <t>Kirkilian</t>
  </si>
  <si>
    <t>Baytarzian</t>
  </si>
  <si>
    <t>Assarlikian</t>
  </si>
  <si>
    <t>Hovkikian</t>
  </si>
  <si>
    <t>Godalazian</t>
  </si>
  <si>
    <t>Larchian</t>
  </si>
  <si>
    <t>Kulahlian</t>
  </si>
  <si>
    <t>Karasakalian</t>
  </si>
  <si>
    <t>Tartanian</t>
  </si>
  <si>
    <t>Djivakian</t>
  </si>
  <si>
    <t>Toutouzian</t>
  </si>
  <si>
    <t>Gulvartian</t>
  </si>
  <si>
    <t>Hachvanian</t>
  </si>
  <si>
    <t>Pondazian</t>
  </si>
  <si>
    <t>Lamanian</t>
  </si>
  <si>
    <t>Kuyudjian</t>
  </si>
  <si>
    <t>Terhanian</t>
  </si>
  <si>
    <t>Zertian</t>
  </si>
  <si>
    <t>Saroukhanian</t>
  </si>
  <si>
    <t>Joukjoukian</t>
  </si>
  <si>
    <t>Penagouni</t>
  </si>
  <si>
    <t>Feligian</t>
  </si>
  <si>
    <t>Bayaklian</t>
  </si>
  <si>
    <t>Dilaizian</t>
  </si>
  <si>
    <t>Harektchekoghian</t>
  </si>
  <si>
    <t>Nassanian</t>
  </si>
  <si>
    <t>Millar</t>
  </si>
  <si>
    <t>Gardenian</t>
  </si>
  <si>
    <t>Chrovian</t>
  </si>
  <si>
    <t>Pesendian</t>
  </si>
  <si>
    <t>Hamadian</t>
  </si>
  <si>
    <t>Djendoyan</t>
  </si>
  <si>
    <t>Sepedjian</t>
  </si>
  <si>
    <t>Sesagusian</t>
  </si>
  <si>
    <t>Terpouzian</t>
  </si>
  <si>
    <t>Bashajian</t>
  </si>
  <si>
    <t>Gardarian</t>
  </si>
  <si>
    <t>Glamian</t>
  </si>
  <si>
    <t>Eradian</t>
  </si>
  <si>
    <t>Shapshapian</t>
  </si>
  <si>
    <t>Karahanian</t>
  </si>
  <si>
    <t>Gulkaric [?]</t>
  </si>
  <si>
    <t>Tuntigian</t>
  </si>
  <si>
    <t>Kelchedjian</t>
  </si>
  <si>
    <t>Parazartian</t>
  </si>
  <si>
    <t>Karijanian</t>
  </si>
  <si>
    <t>Djelezian</t>
  </si>
  <si>
    <t>Hadykian</t>
  </si>
  <si>
    <t>Tsagaspanian</t>
  </si>
  <si>
    <t>Chapenderjian</t>
  </si>
  <si>
    <t>Jelasian</t>
  </si>
  <si>
    <t>Dana</t>
  </si>
  <si>
    <t>Senkinian</t>
  </si>
  <si>
    <t>Marvelian</t>
  </si>
  <si>
    <t>Goumoulian</t>
  </si>
  <si>
    <t>Ginginian</t>
  </si>
  <si>
    <t>Kachperouni</t>
  </si>
  <si>
    <t>Ketsitzinian</t>
  </si>
  <si>
    <t>Mousghajian</t>
  </si>
  <si>
    <t>Dervian</t>
  </si>
  <si>
    <t>Roubrai</t>
  </si>
  <si>
    <t>Vahouni</t>
  </si>
  <si>
    <t>Tarouchian</t>
  </si>
  <si>
    <t>Egitian</t>
  </si>
  <si>
    <t>Mandroian</t>
  </si>
  <si>
    <t>Glorigian</t>
  </si>
  <si>
    <t>Taferian</t>
  </si>
  <si>
    <t>Inzookian</t>
  </si>
  <si>
    <t>Erahanian</t>
  </si>
  <si>
    <t>Makinajian</t>
  </si>
  <si>
    <t>Gouroulian</t>
  </si>
  <si>
    <t>Shagvartian</t>
  </si>
  <si>
    <t>Fasiligian</t>
  </si>
  <si>
    <t>Tekirjian</t>
  </si>
  <si>
    <t>Sornigian</t>
  </si>
  <si>
    <t>Keshkelegian</t>
  </si>
  <si>
    <t>Eulukian</t>
  </si>
  <si>
    <t>Kechlakdjian</t>
  </si>
  <si>
    <t>Bozbedoian</t>
  </si>
  <si>
    <t>Henetzian</t>
  </si>
  <si>
    <t>Mergelian</t>
  </si>
  <si>
    <t>Karadachdjian</t>
  </si>
  <si>
    <t>Edwards</t>
  </si>
  <si>
    <t>Kojaminasian</t>
  </si>
  <si>
    <t>Caburian</t>
  </si>
  <si>
    <t>Miller</t>
  </si>
  <si>
    <t>Mazmalian</t>
  </si>
  <si>
    <t>Sandaljian</t>
  </si>
  <si>
    <t>Fags</t>
  </si>
  <si>
    <t>Araknazian</t>
  </si>
  <si>
    <t>Khelderian</t>
  </si>
  <si>
    <t>Khumrigian</t>
  </si>
  <si>
    <t>Kaltakian</t>
  </si>
  <si>
    <t>Miklidjian</t>
  </si>
  <si>
    <t>Mirkidjian</t>
  </si>
  <si>
    <t>Chefderian</t>
  </si>
  <si>
    <t>Djezikian</t>
  </si>
  <si>
    <t>Vartavian</t>
  </si>
  <si>
    <t>Benglian</t>
  </si>
  <si>
    <t>Karkokoian</t>
  </si>
  <si>
    <t>Medzizian</t>
  </si>
  <si>
    <t>Khoygoulian</t>
  </si>
  <si>
    <t>Parchigian</t>
  </si>
  <si>
    <t>Horsoyan</t>
  </si>
  <si>
    <t>Saridjamian</t>
  </si>
  <si>
    <t>Kouzikian</t>
  </si>
  <si>
    <t>Yarjatian</t>
  </si>
  <si>
    <t>Cholorian</t>
  </si>
  <si>
    <t>Shepiklian</t>
  </si>
  <si>
    <t>Taltamoujian</t>
  </si>
  <si>
    <t>Choughadarian</t>
  </si>
  <si>
    <t>Djadjikian</t>
  </si>
  <si>
    <t>Seghnoian</t>
  </si>
  <si>
    <t>Morissian</t>
  </si>
  <si>
    <t>Kildzi</t>
  </si>
  <si>
    <t>Hapsoujian</t>
  </si>
  <si>
    <t>Pokorsky</t>
  </si>
  <si>
    <t>Aznoian</t>
  </si>
  <si>
    <t>Ispendjian</t>
  </si>
  <si>
    <t>Mouchkambarian</t>
  </si>
  <si>
    <t>Khanlian</t>
  </si>
  <si>
    <t>Klokly</t>
  </si>
  <si>
    <t>Souloukanian</t>
  </si>
  <si>
    <t>Arzouchaldjian</t>
  </si>
  <si>
    <t>Azmelian</t>
  </si>
  <si>
    <t>Kumbalian</t>
  </si>
  <si>
    <t>Navasartian</t>
  </si>
  <si>
    <t>Soudourian</t>
  </si>
  <si>
    <t>Kajadjian</t>
  </si>
  <si>
    <t>Vetzigian</t>
  </si>
  <si>
    <t>Marganian</t>
  </si>
  <si>
    <t>Mahmadian</t>
  </si>
  <si>
    <t>Chalkadjian</t>
  </si>
  <si>
    <t>Lukerian</t>
  </si>
  <si>
    <t>Torpandjian</t>
  </si>
  <si>
    <t>Koultokian</t>
  </si>
  <si>
    <t>Segal</t>
  </si>
  <si>
    <t>Dobrachian</t>
  </si>
  <si>
    <t>Echingirighian</t>
  </si>
  <si>
    <t>Gharsoyan</t>
  </si>
  <si>
    <t>Nalkranian</t>
  </si>
  <si>
    <t>Lagarian</t>
  </si>
  <si>
    <t>Sinarian</t>
  </si>
  <si>
    <t>Theopourian</t>
  </si>
  <si>
    <t>Nazadourian</t>
  </si>
  <si>
    <t>Zaratziguian</t>
  </si>
  <si>
    <t>Shamdanjian</t>
  </si>
  <si>
    <t>Eskoo</t>
  </si>
  <si>
    <t>Eriaian</t>
  </si>
  <si>
    <t>Zanzanian</t>
  </si>
  <si>
    <t>Ardian [?]</t>
  </si>
  <si>
    <t>Povarian</t>
  </si>
  <si>
    <t>Taslakjian</t>
  </si>
  <si>
    <t>Mitzoian</t>
  </si>
  <si>
    <t>Misnegnian</t>
  </si>
  <si>
    <t>Jesserian</t>
  </si>
  <si>
    <t>Gheblikian</t>
  </si>
  <si>
    <t>Magasarian</t>
  </si>
  <si>
    <t>Batmanian</t>
  </si>
  <si>
    <t>Boutzourjian</t>
  </si>
  <si>
    <t>Sanasarian</t>
  </si>
  <si>
    <t>Ferigian</t>
  </si>
  <si>
    <t>Gurerrian</t>
  </si>
  <si>
    <t>Bagzadian</t>
  </si>
  <si>
    <t>Serpossian</t>
  </si>
  <si>
    <t>Deraglian</t>
  </si>
  <si>
    <t>Yigarjian</t>
  </si>
  <si>
    <t>Fchejian</t>
  </si>
  <si>
    <t>Kanzougian</t>
  </si>
  <si>
    <t>Tchalmalian</t>
  </si>
  <si>
    <t>Salmassian</t>
  </si>
  <si>
    <t>Ategian</t>
  </si>
  <si>
    <t>Bulian</t>
  </si>
  <si>
    <t>Diegalian</t>
  </si>
  <si>
    <t>Sirasian</t>
  </si>
  <si>
    <t>Kcherbegian</t>
  </si>
  <si>
    <t>Sapritchian</t>
  </si>
  <si>
    <t>Touloumjian</t>
  </si>
  <si>
    <t>Alvandian</t>
  </si>
  <si>
    <t>Moudoian</t>
  </si>
  <si>
    <t>Glavian</t>
  </si>
  <si>
    <t>Effendian</t>
  </si>
  <si>
    <t>Hisotian</t>
  </si>
  <si>
    <t>Papatsunian</t>
  </si>
  <si>
    <t>Tjian</t>
  </si>
  <si>
    <t>Felisian</t>
  </si>
  <si>
    <t>Kounpassian</t>
  </si>
  <si>
    <t>Yinguirian</t>
  </si>
  <si>
    <t>Sharabjian</t>
  </si>
  <si>
    <t>Hereklian</t>
  </si>
  <si>
    <t>Gedelian</t>
  </si>
  <si>
    <t>Yedidian</t>
  </si>
  <si>
    <t>Avagelian</t>
  </si>
  <si>
    <t>Baboghlian</t>
  </si>
  <si>
    <t>Karoukjian</t>
  </si>
  <si>
    <t>Zuladje</t>
  </si>
  <si>
    <t>Chakmishian</t>
  </si>
  <si>
    <t>Tandasian [?]</t>
  </si>
  <si>
    <t>Tariboghosian</t>
  </si>
  <si>
    <t>Rendjilian</t>
  </si>
  <si>
    <t>Vesnesian</t>
  </si>
  <si>
    <t>Kabacoubdgi</t>
  </si>
  <si>
    <t>Zerdichian</t>
  </si>
  <si>
    <t>Chamchikian</t>
  </si>
  <si>
    <t>Marosian</t>
  </si>
  <si>
    <t>Azarnian</t>
  </si>
  <si>
    <t>Jetimian</t>
  </si>
  <si>
    <t>Hanian</t>
  </si>
  <si>
    <t>Henton</t>
  </si>
  <si>
    <t>Ismidian</t>
  </si>
  <si>
    <t>Bariaktarian</t>
  </si>
  <si>
    <t>Tarabian</t>
  </si>
  <si>
    <t>Abouzetian</t>
  </si>
  <si>
    <t>Yersigian [?]</t>
  </si>
  <si>
    <t>Tchoumaklian</t>
  </si>
  <si>
    <t>Moursalian</t>
  </si>
  <si>
    <t>Karbarian</t>
  </si>
  <si>
    <t>Delphian</t>
  </si>
  <si>
    <t>Vaneskiayan</t>
  </si>
  <si>
    <t>Tanchootian</t>
  </si>
  <si>
    <t>Pochoghlian</t>
  </si>
  <si>
    <t>Terzimanougian</t>
  </si>
  <si>
    <t>Balkanian</t>
  </si>
  <si>
    <t>Terlian</t>
  </si>
  <si>
    <t>Banougan</t>
  </si>
  <si>
    <t>Damjian</t>
  </si>
  <si>
    <t>Ferjulian</t>
  </si>
  <si>
    <t>Gamitian</t>
  </si>
  <si>
    <t>Shevodian</t>
  </si>
  <si>
    <t>Pjshgian</t>
  </si>
  <si>
    <t>Kerkhanian</t>
  </si>
  <si>
    <t>Bagratouni</t>
  </si>
  <si>
    <t>Ergarian</t>
  </si>
  <si>
    <t>Karageorgian</t>
  </si>
  <si>
    <t>Parloussian</t>
  </si>
  <si>
    <t>Pirdelian</t>
  </si>
  <si>
    <t>Zakanian</t>
  </si>
  <si>
    <t>Pazoumian</t>
  </si>
  <si>
    <t>Khantamourian</t>
  </si>
  <si>
    <t>Dundesian</t>
  </si>
  <si>
    <t>Pons</t>
  </si>
  <si>
    <t>Kaszangiron</t>
  </si>
  <si>
    <t>Paparigian</t>
  </si>
  <si>
    <t>Abarian</t>
  </si>
  <si>
    <t>Nachalian</t>
  </si>
  <si>
    <t>Thomeleyan</t>
  </si>
  <si>
    <t>Lectamoorian</t>
  </si>
  <si>
    <t>Elias</t>
  </si>
  <si>
    <t>Tarvardian</t>
  </si>
  <si>
    <t>Khnjigian</t>
  </si>
  <si>
    <t>Shousharyan</t>
  </si>
  <si>
    <t>Manakjian</t>
  </si>
  <si>
    <t>Fishenkian</t>
  </si>
  <si>
    <t>Bella</t>
  </si>
  <si>
    <t>Bayroutian</t>
  </si>
  <si>
    <t>Karakatzikian</t>
  </si>
  <si>
    <t>Atchenakian</t>
  </si>
  <si>
    <t>Marakilian</t>
  </si>
  <si>
    <t>Yedikardashian</t>
  </si>
  <si>
    <t>Zildjian</t>
  </si>
  <si>
    <t>Montoghian</t>
  </si>
  <si>
    <t>Djodjikian</t>
  </si>
  <si>
    <t>Baboushian</t>
  </si>
  <si>
    <t>Sohomosian</t>
  </si>
  <si>
    <t>Mirmanian</t>
  </si>
  <si>
    <t>Levian</t>
  </si>
  <si>
    <t>Bourounsouzian</t>
  </si>
  <si>
    <t>Batzakosian</t>
  </si>
  <si>
    <t>Lazarides</t>
  </si>
  <si>
    <t>Ashanian</t>
  </si>
  <si>
    <t>Ketjian</t>
  </si>
  <si>
    <t>Takeldjian</t>
  </si>
  <si>
    <t>Papeligian</t>
  </si>
  <si>
    <t>Chenorkian</t>
  </si>
  <si>
    <t>Kaldrikian</t>
  </si>
  <si>
    <t>Sansikian</t>
  </si>
  <si>
    <t>Pashjian</t>
  </si>
  <si>
    <t>Manerian</t>
  </si>
  <si>
    <t>Azadjian</t>
  </si>
  <si>
    <t>Max</t>
  </si>
  <si>
    <t>Menziljian</t>
  </si>
  <si>
    <t>Ghagorian</t>
  </si>
  <si>
    <t>Kessimian</t>
  </si>
  <si>
    <t>Ichtukkashian</t>
  </si>
  <si>
    <t>Chalinian</t>
  </si>
  <si>
    <t>Garmourakian</t>
  </si>
  <si>
    <t>Djirjisian</t>
  </si>
  <si>
    <t>Chilhagopian</t>
  </si>
  <si>
    <t>Farra</t>
  </si>
  <si>
    <t>Garjedikian</t>
  </si>
  <si>
    <t>Patterson</t>
  </si>
  <si>
    <t>Ejadian</t>
  </si>
  <si>
    <t>Mongoufian</t>
  </si>
  <si>
    <t>Chederian</t>
  </si>
  <si>
    <t>Chortanian</t>
  </si>
  <si>
    <t>Khabarian</t>
  </si>
  <si>
    <t>Tohaftsian</t>
  </si>
  <si>
    <t>Bouldoukian</t>
  </si>
  <si>
    <t>Darmanian</t>
  </si>
  <si>
    <t>Herlian</t>
  </si>
  <si>
    <t>Dulgerian Krikorian</t>
  </si>
  <si>
    <t>Meriam Kouli</t>
  </si>
  <si>
    <t>Sadobian [?]</t>
  </si>
  <si>
    <t>Kudrshoian</t>
  </si>
  <si>
    <t>Halatzian</t>
  </si>
  <si>
    <t>Barklayan</t>
  </si>
  <si>
    <t>Yarbouzian</t>
  </si>
  <si>
    <t>Skirikzian</t>
  </si>
  <si>
    <t>Anastasian</t>
  </si>
  <si>
    <t>Gorgajian</t>
  </si>
  <si>
    <t>Madinigian</t>
  </si>
  <si>
    <t>Artarian</t>
  </si>
  <si>
    <t>Shanaian</t>
  </si>
  <si>
    <t>Heryian</t>
  </si>
  <si>
    <t>Tokmayan</t>
  </si>
  <si>
    <t>Sepertikian</t>
  </si>
  <si>
    <t>Sargochian</t>
  </si>
  <si>
    <t>Agounian</t>
  </si>
  <si>
    <t>Dartli</t>
  </si>
  <si>
    <t>Jinian</t>
  </si>
  <si>
    <t>Guerdan</t>
  </si>
  <si>
    <t>Sloyan</t>
  </si>
  <si>
    <t>Kafayan</t>
  </si>
  <si>
    <t>Bosnalian</t>
  </si>
  <si>
    <t>Tochikian</t>
  </si>
  <si>
    <t>Ergosian</t>
  </si>
  <si>
    <t>Tombazian</t>
  </si>
  <si>
    <t>Azinian</t>
  </si>
  <si>
    <t>Pastor</t>
  </si>
  <si>
    <t>Taslakian</t>
  </si>
  <si>
    <t>Bochoian</t>
  </si>
  <si>
    <t>Gulibjian</t>
  </si>
  <si>
    <t>Mesoumian</t>
  </si>
  <si>
    <t>Tsigouzian</t>
  </si>
  <si>
    <t>Sovaktzian</t>
  </si>
  <si>
    <t>Topal Arootian</t>
  </si>
  <si>
    <t>Hampashian</t>
  </si>
  <si>
    <t>Tretzianian</t>
  </si>
  <si>
    <t>Haramzadian</t>
  </si>
  <si>
    <t>Kekenekian</t>
  </si>
  <si>
    <t>Karaohanesian</t>
  </si>
  <si>
    <t>Assulian</t>
  </si>
  <si>
    <t>Karamardoian</t>
  </si>
  <si>
    <t>Chahlamian</t>
  </si>
  <si>
    <t>Yenazian</t>
  </si>
  <si>
    <t>Sermabeykian</t>
  </si>
  <si>
    <t>Minsildjian</t>
  </si>
  <si>
    <t>Arakarian</t>
  </si>
  <si>
    <t>Haraidian</t>
  </si>
  <si>
    <t>Yervantian</t>
  </si>
  <si>
    <t>Payaslian</t>
  </si>
  <si>
    <t>Kenprulian</t>
  </si>
  <si>
    <t>Karakeshishian</t>
  </si>
  <si>
    <t>Tangoukian</t>
  </si>
  <si>
    <t>Kechebeian</t>
  </si>
  <si>
    <t>Aghazadian</t>
  </si>
  <si>
    <t>Kavlakian</t>
  </si>
  <si>
    <t>Rushdoony</t>
  </si>
  <si>
    <t>Merdivendjian</t>
  </si>
  <si>
    <t>Nargueledjian</t>
  </si>
  <si>
    <t>Getsoian</t>
  </si>
  <si>
    <t>Karpouzian</t>
  </si>
  <si>
    <t>Doudian</t>
  </si>
  <si>
    <t>Gulvian</t>
  </si>
  <si>
    <t>Tartigian</t>
  </si>
  <si>
    <t>Tarlikian</t>
  </si>
  <si>
    <t>Alvartian</t>
  </si>
  <si>
    <t>Casagrande</t>
  </si>
  <si>
    <t>Edgarian</t>
  </si>
  <si>
    <t>Destagulian</t>
  </si>
  <si>
    <t>Kochazian</t>
  </si>
  <si>
    <t>Leradjian</t>
  </si>
  <si>
    <t>Sardissian</t>
  </si>
  <si>
    <t>Zoobalian</t>
  </si>
  <si>
    <t>Sagavakian</t>
  </si>
  <si>
    <t>Mark</t>
  </si>
  <si>
    <t>Jadjoian</t>
  </si>
  <si>
    <t>Paternayan</t>
  </si>
  <si>
    <t>Chungurian</t>
  </si>
  <si>
    <t>Djouanian</t>
  </si>
  <si>
    <t>Giaglian</t>
  </si>
  <si>
    <t>Tchagasbanian</t>
  </si>
  <si>
    <t>Papadopoulos</t>
  </si>
  <si>
    <t>Derarkian</t>
  </si>
  <si>
    <t>Chapoutian</t>
  </si>
  <si>
    <t>Aghavinian</t>
  </si>
  <si>
    <t>Karjajanian</t>
  </si>
  <si>
    <t>Malajikian</t>
  </si>
  <si>
    <t>Havgitian</t>
  </si>
  <si>
    <t>Ichkalatzian</t>
  </si>
  <si>
    <t>Nalchaian</t>
  </si>
  <si>
    <t>Kelagopian</t>
  </si>
  <si>
    <t>Kazanian</t>
  </si>
  <si>
    <t>Keltopian</t>
  </si>
  <si>
    <t>Bobosian</t>
  </si>
  <si>
    <t>Kougounian</t>
  </si>
  <si>
    <t>Shoghodian</t>
  </si>
  <si>
    <t>Kolsouzian</t>
  </si>
  <si>
    <t>Diahacaan [?]</t>
  </si>
  <si>
    <t>Polakian</t>
  </si>
  <si>
    <t>Mardourian</t>
  </si>
  <si>
    <t>Trebisian</t>
  </si>
  <si>
    <t>Kezdian</t>
  </si>
  <si>
    <t>Servesian</t>
  </si>
  <si>
    <t>Karakarian</t>
  </si>
  <si>
    <t>Toutkaljian</t>
  </si>
  <si>
    <t>Gansen</t>
  </si>
  <si>
    <t>Murvartian</t>
  </si>
  <si>
    <t>Dinihanian</t>
  </si>
  <si>
    <t>Skavalgian</t>
  </si>
  <si>
    <t>Shargabian</t>
  </si>
  <si>
    <t>Chgdian</t>
  </si>
  <si>
    <t>Bayrakdarian</t>
  </si>
  <si>
    <t>Ruzgerian</t>
  </si>
  <si>
    <t>Dajadian</t>
  </si>
  <si>
    <t>Kournozen [?]</t>
  </si>
  <si>
    <t>Simosian</t>
  </si>
  <si>
    <t>Debelian</t>
  </si>
  <si>
    <t>Ovajikian</t>
  </si>
  <si>
    <t>Outchkardashian</t>
  </si>
  <si>
    <t>Holnoyan</t>
  </si>
  <si>
    <t>Kodolazian</t>
  </si>
  <si>
    <t>Baliamazian</t>
  </si>
  <si>
    <t>Sabikian</t>
  </si>
  <si>
    <t>Kolosian</t>
  </si>
  <si>
    <t>Benjamin</t>
  </si>
  <si>
    <t>Shamagasian</t>
  </si>
  <si>
    <t>Vorumatirian [?]</t>
  </si>
  <si>
    <t>Katosian</t>
  </si>
  <si>
    <t>Zoubigian</t>
  </si>
  <si>
    <t>Sergatian</t>
  </si>
  <si>
    <t>Gaghjian</t>
  </si>
  <si>
    <t>Kouchakjian</t>
  </si>
  <si>
    <t>Arpe</t>
  </si>
  <si>
    <t>Zarvatian</t>
  </si>
  <si>
    <t>Harapeyan</t>
  </si>
  <si>
    <t>Demkasharian</t>
  </si>
  <si>
    <t>Popejoy</t>
  </si>
  <si>
    <t>Astardjian</t>
  </si>
  <si>
    <t>Kontanjan</t>
  </si>
  <si>
    <t>Mantashigian</t>
  </si>
  <si>
    <t>Gartazogian</t>
  </si>
  <si>
    <t>Jardarian</t>
  </si>
  <si>
    <t>Tcherenkdjian</t>
  </si>
  <si>
    <t>Sakian</t>
  </si>
  <si>
    <t>Dameyian</t>
  </si>
  <si>
    <t>Kherlopian</t>
  </si>
  <si>
    <t>Kantsanakian</t>
  </si>
  <si>
    <t>Koudazian</t>
  </si>
  <si>
    <t>Nastorian</t>
  </si>
  <si>
    <t>Matloubian</t>
  </si>
  <si>
    <t>Khoressian</t>
  </si>
  <si>
    <t>Columtzian</t>
  </si>
  <si>
    <t>Voucasian</t>
  </si>
  <si>
    <t>Djeridian</t>
  </si>
  <si>
    <t>Patapanian</t>
  </si>
  <si>
    <t>Simon</t>
  </si>
  <si>
    <t>Kaoutchian</t>
  </si>
  <si>
    <t>Ardashian</t>
  </si>
  <si>
    <t>Gernoian</t>
  </si>
  <si>
    <t>Bardassian</t>
  </si>
  <si>
    <t>Koskoian</t>
  </si>
  <si>
    <t>Evrenian</t>
  </si>
  <si>
    <t>Varsaverian</t>
  </si>
  <si>
    <t>Vemian</t>
  </si>
  <si>
    <t>Esajian</t>
  </si>
  <si>
    <t>Sabdalian</t>
  </si>
  <si>
    <t>Saladian</t>
  </si>
  <si>
    <t>Kekinian</t>
  </si>
  <si>
    <t>Postalian</t>
  </si>
  <si>
    <t>Melizian</t>
  </si>
  <si>
    <t>Teharkdjian [?]</t>
  </si>
  <si>
    <t>Sarozian</t>
  </si>
  <si>
    <t>Kherbawi</t>
  </si>
  <si>
    <t>Kuchganian</t>
  </si>
  <si>
    <t>Deshemejian</t>
  </si>
  <si>
    <t>Totoventz</t>
  </si>
  <si>
    <t>Abdoian</t>
  </si>
  <si>
    <t>Petchaklian</t>
  </si>
  <si>
    <t>Catsouni</t>
  </si>
  <si>
    <t>Lafangian</t>
  </si>
  <si>
    <t>Dezmanian</t>
  </si>
  <si>
    <t>Terjelian</t>
  </si>
  <si>
    <t>Kumkumian</t>
  </si>
  <si>
    <t>Wartarian</t>
  </si>
  <si>
    <t>Zerbekian</t>
  </si>
  <si>
    <t>Artakas</t>
  </si>
  <si>
    <t>Badjakadjian</t>
  </si>
  <si>
    <t>Indjenian</t>
  </si>
  <si>
    <t>Sinemian</t>
  </si>
  <si>
    <t>Savakian</t>
  </si>
  <si>
    <t>Shadarifian</t>
  </si>
  <si>
    <t>Tomboulian</t>
  </si>
  <si>
    <t>Viltikian</t>
  </si>
  <si>
    <t>Sanpioudzan [?]</t>
  </si>
  <si>
    <t>Pidadjian</t>
  </si>
  <si>
    <t>Daldabanian</t>
  </si>
  <si>
    <t>Fouksouzian</t>
  </si>
  <si>
    <t>Kherlakian</t>
  </si>
  <si>
    <t>Dertlian</t>
  </si>
  <si>
    <t>Djerakirdjian</t>
  </si>
  <si>
    <t>Hinderian</t>
  </si>
  <si>
    <t>Kinajarian</t>
  </si>
  <si>
    <t>Adourdjian</t>
  </si>
  <si>
    <t>Hazarshahian</t>
  </si>
  <si>
    <t>Zarboyajian</t>
  </si>
  <si>
    <t>Ashvanian</t>
  </si>
  <si>
    <t>Harvian</t>
  </si>
  <si>
    <t>Inekdjian</t>
  </si>
  <si>
    <t>Rachayan</t>
  </si>
  <si>
    <t>Parlakian</t>
  </si>
  <si>
    <t>Mecoman</t>
  </si>
  <si>
    <t>Yapalamian</t>
  </si>
  <si>
    <t>Beydadlian</t>
  </si>
  <si>
    <t>Sahanian</t>
  </si>
  <si>
    <t>Libarian</t>
  </si>
  <si>
    <t>Karnikjian</t>
  </si>
  <si>
    <t>Versatilly</t>
  </si>
  <si>
    <t>Djidedjian</t>
  </si>
  <si>
    <t>Chambian</t>
  </si>
  <si>
    <t>Topsakalian</t>
  </si>
  <si>
    <t>Chakermanian</t>
  </si>
  <si>
    <t>Dingiroglou</t>
  </si>
  <si>
    <t>Jarnmian</t>
  </si>
  <si>
    <t>Garanian</t>
  </si>
  <si>
    <t>Kapsimalian</t>
  </si>
  <si>
    <t>Saybassian</t>
  </si>
  <si>
    <t>Tantourian</t>
  </si>
  <si>
    <t>Dersadian</t>
  </si>
  <si>
    <t>Kintos</t>
  </si>
  <si>
    <t>Kavourian</t>
  </si>
  <si>
    <t>Targemanian</t>
  </si>
  <si>
    <t>Karafian</t>
  </si>
  <si>
    <t>Yeznakian</t>
  </si>
  <si>
    <t>Karazozian</t>
  </si>
  <si>
    <t>Saltadjian</t>
  </si>
  <si>
    <t>Dartly</t>
  </si>
  <si>
    <t>Kalabian</t>
  </si>
  <si>
    <t>Goshdoian</t>
  </si>
  <si>
    <t>Shalvajian</t>
  </si>
  <si>
    <t>Boshgazanian</t>
  </si>
  <si>
    <t>Khannesiglnazian [?]</t>
  </si>
  <si>
    <t>Feloyan</t>
  </si>
  <si>
    <t>Verghoizian</t>
  </si>
  <si>
    <t>Takarian</t>
  </si>
  <si>
    <t>Bejanian</t>
  </si>
  <si>
    <t>Devan</t>
  </si>
  <si>
    <t>Khorigian</t>
  </si>
  <si>
    <t>Choudaverdian</t>
  </si>
  <si>
    <t>Kolmounian</t>
  </si>
  <si>
    <t>Soldorian</t>
  </si>
  <si>
    <t>Artoun</t>
  </si>
  <si>
    <t>Zarounian</t>
  </si>
  <si>
    <t>Evereklian</t>
  </si>
  <si>
    <t>Sandanjan</t>
  </si>
  <si>
    <t>Caradizian</t>
  </si>
  <si>
    <t>Djemakian</t>
  </si>
  <si>
    <t>Marghdjarian</t>
  </si>
  <si>
    <t>Tulumian</t>
  </si>
  <si>
    <t>Djiredian [?]</t>
  </si>
  <si>
    <t>Kouroubalikian</t>
  </si>
  <si>
    <t>Takerdinian</t>
  </si>
  <si>
    <t>Aghabegian</t>
  </si>
  <si>
    <t>Noorsuzian</t>
  </si>
  <si>
    <t>Derooskian</t>
  </si>
  <si>
    <t>Muracban [?]</t>
  </si>
  <si>
    <t>Agabalekian</t>
  </si>
  <si>
    <t>Carandjian</t>
  </si>
  <si>
    <t>Trighinian</t>
  </si>
  <si>
    <t>Czoian</t>
  </si>
  <si>
    <t>Ezejdjian</t>
  </si>
  <si>
    <t>Bapapian</t>
  </si>
  <si>
    <t>Mallobian</t>
  </si>
  <si>
    <t>Chessovanian</t>
  </si>
  <si>
    <t>Hogian</t>
  </si>
  <si>
    <t>Alsharian</t>
  </si>
  <si>
    <t>Otchy</t>
  </si>
  <si>
    <t>Postandjian</t>
  </si>
  <si>
    <t>Emgigian</t>
  </si>
  <si>
    <t>Ngureljan</t>
  </si>
  <si>
    <t>Delborosian</t>
  </si>
  <si>
    <t>Zomtsukian</t>
  </si>
  <si>
    <t>Okneghian</t>
  </si>
  <si>
    <t>Mazulian</t>
  </si>
  <si>
    <t>Techgoian</t>
  </si>
  <si>
    <t>Mamoujian</t>
  </si>
  <si>
    <t>Gherdanian</t>
  </si>
  <si>
    <t>Ciotilin</t>
  </si>
  <si>
    <t>Dzeredian</t>
  </si>
  <si>
    <t>Babadourian</t>
  </si>
  <si>
    <t>Booian</t>
  </si>
  <si>
    <t>Hmayakian</t>
  </si>
  <si>
    <t>Dermaksizian</t>
  </si>
  <si>
    <t>Moscossian</t>
  </si>
  <si>
    <t>Neferian</t>
  </si>
  <si>
    <t>Rezirian</t>
  </si>
  <si>
    <t>Dezdzian</t>
  </si>
  <si>
    <t>Bokazanian</t>
  </si>
  <si>
    <t>Shinigjian</t>
  </si>
  <si>
    <t>Yplikjian</t>
  </si>
  <si>
    <t>Zavian</t>
  </si>
  <si>
    <t>Mejazian</t>
  </si>
  <si>
    <t>Zahiredjian</t>
  </si>
  <si>
    <t>Horopian</t>
  </si>
  <si>
    <t>Chamichian</t>
  </si>
  <si>
    <t>Mathdoojian</t>
  </si>
  <si>
    <t>Nachmi</t>
  </si>
  <si>
    <t>Vartazian</t>
  </si>
  <si>
    <t>Ourassian</t>
  </si>
  <si>
    <t>Fiaouzian</t>
  </si>
  <si>
    <t>Tarafian</t>
  </si>
  <si>
    <t>Kiloglanian</t>
  </si>
  <si>
    <t>Amodise</t>
  </si>
  <si>
    <t>Karayakoulian</t>
  </si>
  <si>
    <t>Magratze</t>
  </si>
  <si>
    <t>Sarkisoghlian</t>
  </si>
  <si>
    <t>Croissian</t>
  </si>
  <si>
    <t>Nabastakian</t>
  </si>
  <si>
    <t>Kojinolgi</t>
  </si>
  <si>
    <t>Goujoumian</t>
  </si>
  <si>
    <t>Jaschian</t>
  </si>
  <si>
    <t>Hatzassarian</t>
  </si>
  <si>
    <t>Stiguidduan</t>
  </si>
  <si>
    <t>Matavelian</t>
  </si>
  <si>
    <t>Katogian</t>
  </si>
  <si>
    <t>Penzeharian</t>
  </si>
  <si>
    <t>Otouzatian</t>
  </si>
  <si>
    <t>Sirentzian</t>
  </si>
  <si>
    <t>Delioglou</t>
  </si>
  <si>
    <t>Basteleiman</t>
  </si>
  <si>
    <t>Aratorian</t>
  </si>
  <si>
    <t>Mridjanian</t>
  </si>
  <si>
    <t>Bint Petros</t>
  </si>
  <si>
    <t>Nahajian</t>
  </si>
  <si>
    <t>Abakian</t>
  </si>
  <si>
    <t>Akrabian</t>
  </si>
  <si>
    <t>Arunderian</t>
  </si>
  <si>
    <t>Kouchousian</t>
  </si>
  <si>
    <t>Khortonian</t>
  </si>
  <si>
    <t>Madjinian</t>
  </si>
  <si>
    <t>Zarkikian</t>
  </si>
  <si>
    <t>Couzoukian</t>
  </si>
  <si>
    <t>Chendanian</t>
  </si>
  <si>
    <t>Savafion [?]</t>
  </si>
  <si>
    <t>Cijian</t>
  </si>
  <si>
    <t>Solomon</t>
  </si>
  <si>
    <t>Baroges</t>
  </si>
  <si>
    <t>Dinatosian</t>
  </si>
  <si>
    <t>Sanagian</t>
  </si>
  <si>
    <t>Dobabdjian</t>
  </si>
  <si>
    <t>Usinyan [?]</t>
  </si>
  <si>
    <t>Nalbourian [?]</t>
  </si>
  <si>
    <t>Vangatz</t>
  </si>
  <si>
    <t>Blanjian</t>
  </si>
  <si>
    <t>Deredves [?]</t>
  </si>
  <si>
    <t>Beyrourian</t>
  </si>
  <si>
    <t>Talbian</t>
  </si>
  <si>
    <t>Norromusakian</t>
  </si>
  <si>
    <t>Pash--- [?]</t>
  </si>
  <si>
    <t>Djamadanian</t>
  </si>
  <si>
    <t>Arnhalkoff [?]</t>
  </si>
  <si>
    <t>Shorre</t>
  </si>
  <si>
    <t>Kakabaian</t>
  </si>
  <si>
    <t>Kaz---ian</t>
  </si>
  <si>
    <t>Naboyan</t>
  </si>
  <si>
    <t>Brtkolurian [?]</t>
  </si>
  <si>
    <t>Menkparian</t>
  </si>
  <si>
    <t>Totvalian</t>
  </si>
  <si>
    <t>Mekinjanz</t>
  </si>
  <si>
    <t>Tashdenian</t>
  </si>
  <si>
    <t>Veradzine</t>
  </si>
  <si>
    <t>Dolonetian</t>
  </si>
  <si>
    <t>Kelian</t>
  </si>
  <si>
    <t>Artarmian [?]</t>
  </si>
  <si>
    <t>Tozoglian</t>
  </si>
  <si>
    <t>Famlian</t>
  </si>
  <si>
    <t>Gazaragaian</t>
  </si>
  <si>
    <t>Koyoghlian</t>
  </si>
  <si>
    <t>Tsotkiranian</t>
  </si>
  <si>
    <t>Ertantzi [?]</t>
  </si>
  <si>
    <t>Hitzikian</t>
  </si>
  <si>
    <t>Haratanibo [?]</t>
  </si>
  <si>
    <t>Mughdinian</t>
  </si>
  <si>
    <t>Pemijian</t>
  </si>
  <si>
    <t>Yezrassia [?]</t>
  </si>
  <si>
    <t>Harazadian</t>
  </si>
  <si>
    <t>Frendikian</t>
  </si>
  <si>
    <t>Yazipian</t>
  </si>
  <si>
    <t>Kegmozeian</t>
  </si>
  <si>
    <t>Faippea</t>
  </si>
  <si>
    <t>Keriant</t>
  </si>
  <si>
    <t>Tchotchenian</t>
  </si>
  <si>
    <t>Seframlianos [?]</t>
  </si>
  <si>
    <t>Ghaitandjian</t>
  </si>
  <si>
    <t>Isagossian [?]</t>
  </si>
  <si>
    <t>Yamanikian</t>
  </si>
  <si>
    <t>Issiklian</t>
  </si>
  <si>
    <t>Metsmsigian [?]</t>
  </si>
  <si>
    <t>Darvanian</t>
  </si>
  <si>
    <t>Ibarsatanian</t>
  </si>
  <si>
    <t>Juglisian</t>
  </si>
  <si>
    <t>Tambakdjian</t>
  </si>
  <si>
    <t>Saghdigian</t>
  </si>
  <si>
    <t>Gochtiginian</t>
  </si>
  <si>
    <t>Bileosian [?]</t>
  </si>
  <si>
    <t>Kaghtzrouni</t>
  </si>
  <si>
    <t>Pamzargian</t>
  </si>
  <si>
    <t>Tarakizian</t>
  </si>
  <si>
    <t>Baboulian</t>
  </si>
  <si>
    <t>Bechlighian</t>
  </si>
  <si>
    <t>Panochidigian</t>
  </si>
  <si>
    <t>Pacioymus [?]</t>
  </si>
  <si>
    <t>Sarkisian Simonian</t>
  </si>
  <si>
    <t>Pokishian</t>
  </si>
  <si>
    <t>Zuler</t>
  </si>
  <si>
    <t>Tsitsekian</t>
  </si>
  <si>
    <t>Incopvtian [?]</t>
  </si>
  <si>
    <t>Tartamizian</t>
  </si>
  <si>
    <t>Ckushaian</t>
  </si>
  <si>
    <t>Cherdjanian</t>
  </si>
  <si>
    <t>Sarmoussakian</t>
  </si>
  <si>
    <t>Sakatzortzian</t>
  </si>
  <si>
    <t>Gebag</t>
  </si>
  <si>
    <t>Balatanian</t>
  </si>
  <si>
    <t>Garafian</t>
  </si>
  <si>
    <t>Chephian</t>
  </si>
  <si>
    <t>Menozargo</t>
  </si>
  <si>
    <t>Anbarian</t>
  </si>
  <si>
    <t>Kochaglian</t>
  </si>
  <si>
    <t>Tchamchiguian</t>
  </si>
  <si>
    <t>Dardakgian</t>
  </si>
  <si>
    <t>Barber</t>
  </si>
  <si>
    <t>Noyenian [?]</t>
  </si>
  <si>
    <t>Sapliakjian</t>
  </si>
  <si>
    <t>Babkenian</t>
  </si>
  <si>
    <t>Tachikian</t>
  </si>
  <si>
    <t>Esdakian [?]</t>
  </si>
  <si>
    <t>Tsapkounian</t>
  </si>
  <si>
    <t>Nurkinian</t>
  </si>
  <si>
    <t>Enoskian</t>
  </si>
  <si>
    <t>Harbegian</t>
  </si>
  <si>
    <t>Asdoian</t>
  </si>
  <si>
    <t>Cardzinian</t>
  </si>
  <si>
    <t>Viadgian</t>
  </si>
  <si>
    <t>Henkelikian</t>
  </si>
  <si>
    <t>Yalkijian</t>
  </si>
  <si>
    <t>Herbekian</t>
  </si>
  <si>
    <t>Timourjian</t>
  </si>
  <si>
    <t>Hanzoumian</t>
  </si>
  <si>
    <t>Eselelegian</t>
  </si>
  <si>
    <t>Guemdjian</t>
  </si>
  <si>
    <t>Teldzian</t>
  </si>
  <si>
    <t>Sekerlian</t>
  </si>
  <si>
    <t>Aomanikian</t>
  </si>
  <si>
    <t>Mardullian</t>
  </si>
  <si>
    <t>Comshian</t>
  </si>
  <si>
    <t>Taharfoutian</t>
  </si>
  <si>
    <t>Gaglian</t>
  </si>
  <si>
    <t>Baratoglou</t>
  </si>
  <si>
    <t>Fitilian</t>
  </si>
  <si>
    <t>Gotziapapian</t>
  </si>
  <si>
    <t>Noumian</t>
  </si>
  <si>
    <t>Keotsian</t>
  </si>
  <si>
    <t>Shambegian</t>
  </si>
  <si>
    <t>Rateosian</t>
  </si>
  <si>
    <t>Djakodjian</t>
  </si>
  <si>
    <t>Kopkian</t>
  </si>
  <si>
    <t>Gelboyan</t>
  </si>
  <si>
    <t>Genkdjian</t>
  </si>
  <si>
    <t>Jehranian</t>
  </si>
  <si>
    <t>Torengian [?]</t>
  </si>
  <si>
    <t>Kebradamian</t>
  </si>
  <si>
    <t>Anapiossian</t>
  </si>
  <si>
    <t>Pistikian</t>
  </si>
  <si>
    <t>Merzinakian</t>
  </si>
  <si>
    <t>Hodotorosian</t>
  </si>
  <si>
    <t>Sitakian</t>
  </si>
  <si>
    <t>Khuzdian</t>
  </si>
  <si>
    <t>Tatiovian</t>
  </si>
  <si>
    <t>Bohorst [?]</t>
  </si>
  <si>
    <t>Azablarian</t>
  </si>
  <si>
    <t>Cacestchian</t>
  </si>
  <si>
    <t>Chimenian</t>
  </si>
  <si>
    <t>Hirzanian</t>
  </si>
  <si>
    <t>Andrianian</t>
  </si>
  <si>
    <t>Kayahamian</t>
  </si>
  <si>
    <t>Djirelekian</t>
  </si>
  <si>
    <t>Definchian</t>
  </si>
  <si>
    <t>Hartouchian</t>
  </si>
  <si>
    <t>Tendeken [?]</t>
  </si>
  <si>
    <t>Eshaja</t>
  </si>
  <si>
    <t>Chemediguian</t>
  </si>
  <si>
    <t>Tzndzalian</t>
  </si>
  <si>
    <t>Termoian</t>
  </si>
  <si>
    <t>Gortchukliyan</t>
  </si>
  <si>
    <t>Gahogian</t>
  </si>
  <si>
    <t>Jerjesian</t>
  </si>
  <si>
    <t>Batchegian</t>
  </si>
  <si>
    <t>Gedoyan</t>
  </si>
  <si>
    <t>Marsakian</t>
  </si>
  <si>
    <t>Tchartchafjian</t>
  </si>
  <si>
    <t>Jarmajian</t>
  </si>
  <si>
    <t>Khatiherian</t>
  </si>
  <si>
    <t>Aktigian</t>
  </si>
  <si>
    <t>Pisoyan</t>
  </si>
  <si>
    <t>Dermoian</t>
  </si>
  <si>
    <t>Kanzabedian</t>
  </si>
  <si>
    <t>Bozgourdian</t>
  </si>
  <si>
    <t>Agbeguian</t>
  </si>
  <si>
    <t>Gondesian</t>
  </si>
  <si>
    <t>Shalgamian</t>
  </si>
  <si>
    <t>Nomsaoglou</t>
  </si>
  <si>
    <t>Congirian</t>
  </si>
  <si>
    <t>Noubart Zarkarian</t>
  </si>
  <si>
    <t>Kalertiounian</t>
  </si>
  <si>
    <t>Ko---okian</t>
  </si>
  <si>
    <t>Prevadalian [?]</t>
  </si>
  <si>
    <t>Rochtourni</t>
  </si>
  <si>
    <t>Tsoucada [?]</t>
  </si>
  <si>
    <t>Bosbalian</t>
  </si>
  <si>
    <t>Arajanian</t>
  </si>
  <si>
    <t>Mikranthahian [?]</t>
  </si>
  <si>
    <t>Ahaglanian</t>
  </si>
  <si>
    <t>Yamarian</t>
  </si>
  <si>
    <t>Selpedian</t>
  </si>
  <si>
    <t>Noubantsian</t>
  </si>
  <si>
    <t>Malengizian</t>
  </si>
  <si>
    <t>Agsoliam</t>
  </si>
  <si>
    <t>Najanad [?]</t>
  </si>
  <si>
    <t>Shahbenderian</t>
  </si>
  <si>
    <t>Sourndeyan</t>
  </si>
  <si>
    <t>Agouchiktchian</t>
  </si>
  <si>
    <t>Camouzian</t>
  </si>
  <si>
    <t>Eastoyan [?]</t>
  </si>
  <si>
    <t>Hahoadjian [?]</t>
  </si>
  <si>
    <t>Erginesian</t>
  </si>
  <si>
    <t>Caruikitsian</t>
  </si>
  <si>
    <t>Jermandian</t>
  </si>
  <si>
    <t>Nerogan</t>
  </si>
  <si>
    <t>Arpamouratian</t>
  </si>
  <si>
    <t>Youssenian</t>
  </si>
  <si>
    <t>Kouroutjian</t>
  </si>
  <si>
    <t>Kiskanian</t>
  </si>
  <si>
    <t>Balvian</t>
  </si>
  <si>
    <t>Astounian</t>
  </si>
  <si>
    <t>Koinian [?]</t>
  </si>
  <si>
    <t>Putorian</t>
  </si>
  <si>
    <t>Welch</t>
  </si>
  <si>
    <t>Keznajarian</t>
  </si>
  <si>
    <t>Dschauriseratz</t>
  </si>
  <si>
    <t>Maudigian</t>
  </si>
  <si>
    <t>Derycerian</t>
  </si>
  <si>
    <t>Cashkavaljian</t>
  </si>
  <si>
    <t>Abdulaziz</t>
  </si>
  <si>
    <t>Saakof-Shirinof</t>
  </si>
  <si>
    <t>Manuk Artic</t>
  </si>
  <si>
    <t>Ghinofian [?]</t>
  </si>
  <si>
    <t>Lerdinian</t>
  </si>
  <si>
    <t>Editian</t>
  </si>
  <si>
    <t>Ariramingian [?]</t>
  </si>
  <si>
    <t>Bollesljian [?]</t>
  </si>
  <si>
    <t>Oghoulougkian</t>
  </si>
  <si>
    <t>Gargozian</t>
  </si>
  <si>
    <t>Mukeljantz</t>
  </si>
  <si>
    <t>Satorian</t>
  </si>
  <si>
    <t>Delinhagian</t>
  </si>
  <si>
    <t>Aoukadarian</t>
  </si>
  <si>
    <t>Anooshikian</t>
  </si>
  <si>
    <t>Mo---ian</t>
  </si>
  <si>
    <t>Sakljan</t>
  </si>
  <si>
    <t>Akamian</t>
  </si>
  <si>
    <t>Nalganian</t>
  </si>
  <si>
    <t>Zamirian</t>
  </si>
  <si>
    <t>Gohehi</t>
  </si>
  <si>
    <t>Bichkalian</t>
  </si>
  <si>
    <t>Topanian</t>
  </si>
  <si>
    <t>Domdigkian</t>
  </si>
  <si>
    <t>Coutnian</t>
  </si>
  <si>
    <t>Rizloyan</t>
  </si>
  <si>
    <t>Gernigian</t>
  </si>
  <si>
    <t>Himitian</t>
  </si>
  <si>
    <t>Chakudjian</t>
  </si>
  <si>
    <t>Gedidian</t>
  </si>
  <si>
    <t>Gavoglakian</t>
  </si>
  <si>
    <t>Kinaraharian</t>
  </si>
  <si>
    <t>Koladaritian</t>
  </si>
  <si>
    <t>Ishlegian</t>
  </si>
  <si>
    <t>Vouzouksian</t>
  </si>
  <si>
    <t>Agloudjian</t>
  </si>
  <si>
    <t>Adadian</t>
  </si>
  <si>
    <t>Panijian</t>
  </si>
  <si>
    <t>Kiabanjian</t>
  </si>
  <si>
    <t>Glidirian</t>
  </si>
  <si>
    <t>Idikian [?]</t>
  </si>
  <si>
    <t>Aumbashian</t>
  </si>
  <si>
    <t>Shahshapian</t>
  </si>
  <si>
    <t>Sham---ian</t>
  </si>
  <si>
    <t>Mairtoumanian</t>
  </si>
  <si>
    <t>Bahar</t>
  </si>
  <si>
    <t>Husseindjian</t>
  </si>
  <si>
    <t>Minaskarian [?]</t>
  </si>
  <si>
    <t>Sanlouktjan</t>
  </si>
  <si>
    <t>Paragouzian</t>
  </si>
  <si>
    <t>Meguerlian</t>
  </si>
  <si>
    <t>Kusposian</t>
  </si>
  <si>
    <t>Gezegoussian</t>
  </si>
  <si>
    <t>Shalimian</t>
  </si>
  <si>
    <t>Karadjaourian</t>
  </si>
  <si>
    <t>Kaldenian</t>
  </si>
  <si>
    <t>Ginas</t>
  </si>
  <si>
    <t>Erzinganian</t>
  </si>
  <si>
    <t>Sheradjenan</t>
  </si>
  <si>
    <t>Gorsudjoian</t>
  </si>
  <si>
    <t>Hollas</t>
  </si>
  <si>
    <t>Kerdidjian [?]</t>
  </si>
  <si>
    <t>Tunadjian</t>
  </si>
  <si>
    <t>Antarian</t>
  </si>
  <si>
    <t>Menzarian</t>
  </si>
  <si>
    <t>Nabikian</t>
  </si>
  <si>
    <t>Tsreghians [?]</t>
  </si>
  <si>
    <t>Der Kristopolian</t>
  </si>
  <si>
    <t>Tabocas [?]</t>
  </si>
  <si>
    <t>Bar [?]</t>
  </si>
  <si>
    <t>Terzipaghsarian</t>
  </si>
  <si>
    <t>Galoumian</t>
  </si>
  <si>
    <t>Barbertoroian</t>
  </si>
  <si>
    <t>Khorsikian</t>
  </si>
  <si>
    <t>Hiplian</t>
  </si>
  <si>
    <t>Lucian</t>
  </si>
  <si>
    <t>Kikijoff</t>
  </si>
  <si>
    <t>Cerchayan</t>
  </si>
  <si>
    <t>Samovian</t>
  </si>
  <si>
    <t>Yerawahd</t>
  </si>
  <si>
    <t>Yujeyan</t>
  </si>
  <si>
    <t>Goubegazian</t>
  </si>
  <si>
    <t>Amloian</t>
  </si>
  <si>
    <t>Kshdoian</t>
  </si>
  <si>
    <t>Erzeroukler</t>
  </si>
  <si>
    <t>Weiner</t>
  </si>
  <si>
    <t>Ajanaghian</t>
  </si>
  <si>
    <t>Ejovian</t>
  </si>
  <si>
    <t>Csalionmal</t>
  </si>
  <si>
    <t>Garis</t>
  </si>
  <si>
    <t>Itchmezian</t>
  </si>
  <si>
    <t>Margatcossian</t>
  </si>
  <si>
    <t>Kesnosjantz</t>
  </si>
  <si>
    <t>Nuchazeinguinian</t>
  </si>
  <si>
    <t>Taherian</t>
  </si>
  <si>
    <t>Sar---masian</t>
  </si>
  <si>
    <t>Zorabian</t>
  </si>
  <si>
    <t>Chaiajanian</t>
  </si>
  <si>
    <t>Khervian</t>
  </si>
  <si>
    <t>Toghnatzian</t>
  </si>
  <si>
    <t>Djijialian</t>
  </si>
  <si>
    <t>Ridlechian [?]</t>
  </si>
  <si>
    <t>Malhanian</t>
  </si>
  <si>
    <t>Djilis Kilian</t>
  </si>
  <si>
    <t>Alounian</t>
  </si>
  <si>
    <t>Harpapetian</t>
  </si>
  <si>
    <t>Tsoudoyan</t>
  </si>
  <si>
    <t>Larlian</t>
  </si>
  <si>
    <t>Dangassian</t>
  </si>
  <si>
    <t>Samsounian</t>
  </si>
  <si>
    <t>Higtayan</t>
  </si>
  <si>
    <t>Tyeamgatgian [?]</t>
  </si>
  <si>
    <t>Kouzoumian</t>
  </si>
  <si>
    <t>Yotnakhparian</t>
  </si>
  <si>
    <t>Ziragaspurian [?]</t>
  </si>
  <si>
    <t>Perkossian</t>
  </si>
  <si>
    <t>Khedevian</t>
  </si>
  <si>
    <t>Shibertikian</t>
  </si>
  <si>
    <t>Exchian [?]</t>
  </si>
  <si>
    <t>Hochoian</t>
  </si>
  <si>
    <t>Keumourdjian</t>
  </si>
  <si>
    <t>Cahmajian</t>
  </si>
  <si>
    <t>Rededian</t>
  </si>
  <si>
    <t>Bonasian</t>
  </si>
  <si>
    <t>Dezgehderian</t>
  </si>
  <si>
    <t>Gkogan</t>
  </si>
  <si>
    <t>Irpatserian</t>
  </si>
  <si>
    <t>Ergenol</t>
  </si>
  <si>
    <t>Trivian [?]</t>
  </si>
  <si>
    <t>Tetrighian</t>
  </si>
  <si>
    <t>Ayian</t>
  </si>
  <si>
    <t>Ofganian</t>
  </si>
  <si>
    <t>Donizian</t>
  </si>
  <si>
    <t>Khaizabedian</t>
  </si>
  <si>
    <t>Djemdjemia</t>
  </si>
  <si>
    <t>Ghoumirian [?]</t>
  </si>
  <si>
    <t>Bidimian [?]</t>
  </si>
  <si>
    <t>Kaciaugnan [?]</t>
  </si>
  <si>
    <t>Kasganian</t>
  </si>
  <si>
    <t>Cheigian</t>
  </si>
  <si>
    <t>Tavakelian</t>
  </si>
  <si>
    <t>Urgublian</t>
  </si>
  <si>
    <t>Gragijan</t>
  </si>
  <si>
    <t>Mounarian</t>
  </si>
  <si>
    <t>Kiourtsibassian</t>
  </si>
  <si>
    <t>Zortoghoulian</t>
  </si>
  <si>
    <t>Kaprechian</t>
  </si>
  <si>
    <t>Kastian</t>
  </si>
  <si>
    <t>Guden</t>
  </si>
  <si>
    <t>Herpechukian</t>
  </si>
  <si>
    <t>Nahlgrais</t>
  </si>
  <si>
    <t>Albagon</t>
  </si>
  <si>
    <t>Gabrack</t>
  </si>
  <si>
    <t>Martmanian</t>
  </si>
  <si>
    <t>Ghousian</t>
  </si>
  <si>
    <t>Badganoff</t>
  </si>
  <si>
    <t>Kassublastian</t>
  </si>
  <si>
    <t>Darbaran [?]</t>
  </si>
  <si>
    <t>Bashoomian</t>
  </si>
  <si>
    <t>Djorabanian</t>
  </si>
  <si>
    <t>Hakuian [?]</t>
  </si>
  <si>
    <t>Tartian</t>
  </si>
  <si>
    <t>Shibian</t>
  </si>
  <si>
    <t>Chazalfans</t>
  </si>
  <si>
    <t>Honingian [?]</t>
  </si>
  <si>
    <t>Kalagasian</t>
  </si>
  <si>
    <t>Hecknadioosian</t>
  </si>
  <si>
    <t>Chounginian</t>
  </si>
  <si>
    <t>Pantazian</t>
  </si>
  <si>
    <t>Yazanian</t>
  </si>
  <si>
    <t>Tasioglou</t>
  </si>
  <si>
    <t>Missakorjian</t>
  </si>
  <si>
    <t>Pelinian</t>
  </si>
  <si>
    <t>Latsinghian</t>
  </si>
  <si>
    <t>Mihertadian</t>
  </si>
  <si>
    <t>Zaven</t>
  </si>
  <si>
    <t>Khazazan</t>
  </si>
  <si>
    <t>Djinghirian</t>
  </si>
  <si>
    <t>Kazydian</t>
  </si>
  <si>
    <t>Tchirodian</t>
  </si>
  <si>
    <t>Haspanian</t>
  </si>
  <si>
    <t>Indekian</t>
  </si>
  <si>
    <t>Kilimlian</t>
  </si>
  <si>
    <t>Virahourian</t>
  </si>
  <si>
    <t>Mehkjavakian [?]</t>
  </si>
  <si>
    <t>Lordian</t>
  </si>
  <si>
    <t>Skabian</t>
  </si>
  <si>
    <t>Yacosian</t>
  </si>
  <si>
    <t>Melzigian</t>
  </si>
  <si>
    <t>T---ian</t>
  </si>
  <si>
    <t>Doganoglian</t>
  </si>
  <si>
    <t>Keuhnelian</t>
  </si>
  <si>
    <t>Ganuian</t>
  </si>
  <si>
    <t>Charogogorian</t>
  </si>
  <si>
    <t>Ballikopian</t>
  </si>
  <si>
    <t>Seliyanof</t>
  </si>
  <si>
    <t>Parpinian</t>
  </si>
  <si>
    <t>Khiltian</t>
  </si>
  <si>
    <t>Tchokaligian</t>
  </si>
  <si>
    <t>Benamedjian</t>
  </si>
  <si>
    <t>Roukassian</t>
  </si>
  <si>
    <t>Sulgunian</t>
  </si>
  <si>
    <t>Kensalian</t>
  </si>
  <si>
    <t>Negib</t>
  </si>
  <si>
    <t>Agakazarian</t>
  </si>
  <si>
    <t>Arfarzadoian [?]</t>
  </si>
  <si>
    <t>Gomiyian</t>
  </si>
  <si>
    <t>Katargian</t>
  </si>
  <si>
    <t>Gulohannesian</t>
  </si>
  <si>
    <t>Mantagounian</t>
  </si>
  <si>
    <t>Bazizian</t>
  </si>
  <si>
    <t>Stepoyan</t>
  </si>
  <si>
    <t>Aushelian</t>
  </si>
  <si>
    <t>Cequian [?]</t>
  </si>
  <si>
    <t>Sonaliay</t>
  </si>
  <si>
    <t>Garenokian</t>
  </si>
  <si>
    <t>Georgoukian</t>
  </si>
  <si>
    <t>Seboudounian</t>
  </si>
  <si>
    <t>Agyrlian</t>
  </si>
  <si>
    <t>Fouramigian</t>
  </si>
  <si>
    <t>Conmurt [?]</t>
  </si>
  <si>
    <t>Altoyan</t>
  </si>
  <si>
    <t>Tsirodian [?]</t>
  </si>
  <si>
    <t>Ichlemejian</t>
  </si>
  <si>
    <t>Dastanian</t>
  </si>
  <si>
    <t>Mulkoyun</t>
  </si>
  <si>
    <t>Horbadjian</t>
  </si>
  <si>
    <t>Bozyakhalian</t>
  </si>
  <si>
    <t>Kozarkelian</t>
  </si>
  <si>
    <t>Kalfat</t>
  </si>
  <si>
    <t>Wawshjan</t>
  </si>
  <si>
    <t>Narpounie</t>
  </si>
  <si>
    <t>Kroumian</t>
  </si>
  <si>
    <t>Houbrijoyan [?]</t>
  </si>
  <si>
    <t>Barakian</t>
  </si>
  <si>
    <t>Sunpatze</t>
  </si>
  <si>
    <t>Guldedian</t>
  </si>
  <si>
    <t>Hamakian</t>
  </si>
  <si>
    <t>Koghagian</t>
  </si>
  <si>
    <t>Zorgarabedian</t>
  </si>
  <si>
    <t>Ohoyan</t>
  </si>
  <si>
    <t>Sadakian</t>
  </si>
  <si>
    <t>Shishkoyan</t>
  </si>
  <si>
    <t>Narosian</t>
  </si>
  <si>
    <t>Tcharkazian</t>
  </si>
  <si>
    <t>Tchaglassian</t>
  </si>
  <si>
    <t>Kezirindzian</t>
  </si>
  <si>
    <t>Haberkian</t>
  </si>
  <si>
    <t>Vincent</t>
  </si>
  <si>
    <t>Houmaian</t>
  </si>
  <si>
    <t>Bey Bender</t>
  </si>
  <si>
    <t>Arvesian</t>
  </si>
  <si>
    <t>Redjeplian</t>
  </si>
  <si>
    <t>Sumuzian</t>
  </si>
  <si>
    <t>T---kilgran [?]</t>
  </si>
  <si>
    <t>Sarabedian</t>
  </si>
  <si>
    <t>Esiftsian</t>
  </si>
  <si>
    <t>Kolkadjian</t>
  </si>
  <si>
    <t>Tokmakian</t>
  </si>
  <si>
    <t>Samukjian</t>
  </si>
  <si>
    <t>Ibrakian</t>
  </si>
  <si>
    <t>Abjanakian</t>
  </si>
  <si>
    <t>Girerian</t>
  </si>
  <si>
    <t>Triknavossian</t>
  </si>
  <si>
    <t>Kirzazian</t>
  </si>
  <si>
    <t>Carounian</t>
  </si>
  <si>
    <t>Kitchibeyan</t>
  </si>
  <si>
    <t>Oropghian</t>
  </si>
  <si>
    <t>H---ian</t>
  </si>
  <si>
    <t>Kugerian</t>
  </si>
  <si>
    <t>Chamberlain</t>
  </si>
  <si>
    <t>Makhoyan</t>
  </si>
  <si>
    <t>Hendyan</t>
  </si>
  <si>
    <t>Makhtchikian</t>
  </si>
  <si>
    <t>Zirekion</t>
  </si>
  <si>
    <t>Obtarjsan</t>
  </si>
  <si>
    <t>Senekerimian</t>
  </si>
  <si>
    <t>Kelkevoyan</t>
  </si>
  <si>
    <t>Kistorian</t>
  </si>
  <si>
    <t>Chartioun</t>
  </si>
  <si>
    <t>Esefian</t>
  </si>
  <si>
    <t>Achoian</t>
  </si>
  <si>
    <t>Ouynoukian</t>
  </si>
  <si>
    <t>Ghamijian</t>
  </si>
  <si>
    <t>Kirketekian</t>
  </si>
  <si>
    <t>Damoorzian</t>
  </si>
  <si>
    <t>Enkoujantz</t>
  </si>
  <si>
    <t>Guechoudian</t>
  </si>
  <si>
    <t>Chapamtzian</t>
  </si>
  <si>
    <t>Ovsanian</t>
  </si>
  <si>
    <t>Aftaharian [?]</t>
  </si>
  <si>
    <t>Franklin</t>
  </si>
  <si>
    <t>Lewargis</t>
  </si>
  <si>
    <t>Moogatian [?]</t>
  </si>
  <si>
    <t>Barkibar</t>
  </si>
  <si>
    <t>Makassarian</t>
  </si>
  <si>
    <t>Dactijian</t>
  </si>
  <si>
    <t>Azranian [?]</t>
  </si>
  <si>
    <t>Ramza</t>
  </si>
  <si>
    <t>Dousdousian</t>
  </si>
  <si>
    <t>Chorarorian</t>
  </si>
  <si>
    <t>Torkourian [?]</t>
  </si>
  <si>
    <t>Emjian</t>
  </si>
  <si>
    <t>Elmartean</t>
  </si>
  <si>
    <t>Tsambarian</t>
  </si>
  <si>
    <t>Kasalian</t>
  </si>
  <si>
    <t>Gessalikian [?]</t>
  </si>
  <si>
    <t>Bashdelenian</t>
  </si>
  <si>
    <t>Egleugian</t>
  </si>
  <si>
    <t>Lomlomdjian</t>
  </si>
  <si>
    <t>Vroyan</t>
  </si>
  <si>
    <t>Tughiligian</t>
  </si>
  <si>
    <t>Koumanian</t>
  </si>
  <si>
    <t>Digdaneanz</t>
  </si>
  <si>
    <t>Matsoupian</t>
  </si>
  <si>
    <t>Voudogias [?]</t>
  </si>
  <si>
    <t>Kerssian</t>
  </si>
  <si>
    <t>Banigian [?]</t>
  </si>
  <si>
    <t>Goarian</t>
  </si>
  <si>
    <t>Courgubalian</t>
  </si>
  <si>
    <t>Naamian</t>
  </si>
  <si>
    <t>Kenseian</t>
  </si>
  <si>
    <t>Soigumanookian</t>
  </si>
  <si>
    <t>Kerorjian</t>
  </si>
  <si>
    <t>Poldoyan</t>
  </si>
  <si>
    <t>Fernichlian</t>
  </si>
  <si>
    <t>Hosloukjian</t>
  </si>
  <si>
    <t>Aymelian</t>
  </si>
  <si>
    <t>Shimon</t>
  </si>
  <si>
    <t>M---ian</t>
  </si>
  <si>
    <t>Jikengian</t>
  </si>
  <si>
    <t>Cholaim</t>
  </si>
  <si>
    <t>Aghatchirakian</t>
  </si>
  <si>
    <t>Tuntunian</t>
  </si>
  <si>
    <t>Magarachian</t>
  </si>
  <si>
    <t>Thiaoussian [?]</t>
  </si>
  <si>
    <t>Shim---</t>
  </si>
  <si>
    <t>Hajoubian</t>
  </si>
  <si>
    <t>Simmosisim</t>
  </si>
  <si>
    <t>Daloukeshian</t>
  </si>
  <si>
    <t>Kyerssmegian [?]</t>
  </si>
  <si>
    <t>Mechousian</t>
  </si>
  <si>
    <t>Velangohian</t>
  </si>
  <si>
    <t>Hadian [?]</t>
  </si>
  <si>
    <t>Gelgherian</t>
  </si>
  <si>
    <t>Islemgian</t>
  </si>
  <si>
    <t>Baiard</t>
  </si>
  <si>
    <t>Yaghenbian</t>
  </si>
  <si>
    <t>Ajevrian [?]</t>
  </si>
  <si>
    <t>Cheolbegian</t>
  </si>
  <si>
    <t>Harahanian</t>
  </si>
  <si>
    <t>Felalian</t>
  </si>
  <si>
    <t>Kaganthsim [?]</t>
  </si>
  <si>
    <t>Nehoyan</t>
  </si>
  <si>
    <t>Duycian [?]</t>
  </si>
  <si>
    <t>Ikidkhanian</t>
  </si>
  <si>
    <t>Derkobusdian</t>
  </si>
  <si>
    <t>Tademian</t>
  </si>
  <si>
    <t>Risthoone [?]</t>
  </si>
  <si>
    <t>Douderian</t>
  </si>
  <si>
    <t>Yanko</t>
  </si>
  <si>
    <t>Vorosian</t>
  </si>
  <si>
    <t>Daguestanyan</t>
  </si>
  <si>
    <t>Yargigian</t>
  </si>
  <si>
    <t>Adedikian</t>
  </si>
  <si>
    <t>Tchapidjian</t>
  </si>
  <si>
    <t>Fertchonian</t>
  </si>
  <si>
    <t>Capzouzian</t>
  </si>
  <si>
    <t>Gagridhian</t>
  </si>
  <si>
    <t>Haltrokian</t>
  </si>
  <si>
    <t>Heyakatchoian</t>
  </si>
  <si>
    <t>Dibarian</t>
  </si>
  <si>
    <t>Selakhorian</t>
  </si>
  <si>
    <t>Suros [?]</t>
  </si>
  <si>
    <t>Homassian</t>
  </si>
  <si>
    <t>Beporian</t>
  </si>
  <si>
    <t>Avinian</t>
  </si>
  <si>
    <t>Tortukian</t>
  </si>
  <si>
    <t>Barbasian</t>
  </si>
  <si>
    <t>Zajakian</t>
  </si>
  <si>
    <t>Sirakorzian</t>
  </si>
  <si>
    <t>Darghisian</t>
  </si>
  <si>
    <t>Zacoglian</t>
  </si>
  <si>
    <t>Ketchevorian</t>
  </si>
  <si>
    <t>Baarsalian</t>
  </si>
  <si>
    <t>Sassosian</t>
  </si>
  <si>
    <t>Seagarian</t>
  </si>
  <si>
    <t>Gregory</t>
  </si>
  <si>
    <t>Baghinkian</t>
  </si>
  <si>
    <t>Mokiagnian</t>
  </si>
  <si>
    <t>Stazian</t>
  </si>
  <si>
    <t>Mondjianian</t>
  </si>
  <si>
    <t>Tchouanian</t>
  </si>
  <si>
    <t>Seyahian</t>
  </si>
  <si>
    <t>Zokolian</t>
  </si>
  <si>
    <t>Bentamourian</t>
  </si>
  <si>
    <t>Hadigulian [?]</t>
  </si>
  <si>
    <t>Berghoian</t>
  </si>
  <si>
    <t>Tassalian</t>
  </si>
  <si>
    <t>Halikian</t>
  </si>
  <si>
    <t>Gerakhian</t>
  </si>
  <si>
    <t>Holgeman</t>
  </si>
  <si>
    <t>Zabarian</t>
  </si>
  <si>
    <t>Effendi</t>
  </si>
  <si>
    <t>Kislonican</t>
  </si>
  <si>
    <t>Markikian</t>
  </si>
  <si>
    <t>Medzbabian</t>
  </si>
  <si>
    <t>Turukhdjian</t>
  </si>
  <si>
    <t>Cerejian</t>
  </si>
  <si>
    <t>Rasperian</t>
  </si>
  <si>
    <t>Dabazian</t>
  </si>
  <si>
    <t>K---an</t>
  </si>
  <si>
    <t>Barfafian</t>
  </si>
  <si>
    <t>Charmagian</t>
  </si>
  <si>
    <t>Hudaverdian</t>
  </si>
  <si>
    <t>Moubayabian</t>
  </si>
  <si>
    <t>Karadjajan</t>
  </si>
  <si>
    <t>Alvarvinian</t>
  </si>
  <si>
    <t>Kayogian</t>
  </si>
  <si>
    <t>Salyandjian</t>
  </si>
  <si>
    <t>Tchoungousian</t>
  </si>
  <si>
    <t>Karafelian</t>
  </si>
  <si>
    <t>Morarevian</t>
  </si>
  <si>
    <t>Kesrigian</t>
  </si>
  <si>
    <t>Khagian</t>
  </si>
  <si>
    <t>Orounmar [?]</t>
  </si>
  <si>
    <t>Mentemedian</t>
  </si>
  <si>
    <t>B---jian</t>
  </si>
  <si>
    <t>Skaelxrion [?]</t>
  </si>
  <si>
    <t>Baroorianz</t>
  </si>
  <si>
    <t>Puteian</t>
  </si>
  <si>
    <t>Jorzazian</t>
  </si>
  <si>
    <t>Gogogian</t>
  </si>
  <si>
    <t>Vartasian [?]</t>
  </si>
  <si>
    <t>Galvian</t>
  </si>
  <si>
    <t>Kostandian</t>
  </si>
  <si>
    <t>Miskivorkian</t>
  </si>
  <si>
    <t>Bairanchian</t>
  </si>
  <si>
    <t>Sabarian</t>
  </si>
  <si>
    <t>Babatorosian</t>
  </si>
  <si>
    <t>Kersikian</t>
  </si>
  <si>
    <t>Chormian</t>
  </si>
  <si>
    <t>Chkerdonian</t>
  </si>
  <si>
    <t>Tsapoutian</t>
  </si>
  <si>
    <t>Daskaporian</t>
  </si>
  <si>
    <t>Chakalozian</t>
  </si>
  <si>
    <t>Zelinzilian</t>
  </si>
  <si>
    <t>Taneian</t>
  </si>
  <si>
    <t>Hidudian</t>
  </si>
  <si>
    <t>Kagigian</t>
  </si>
  <si>
    <t>Shemidiam</t>
  </si>
  <si>
    <t>Mostanian</t>
  </si>
  <si>
    <t>Mantactosglou</t>
  </si>
  <si>
    <t>Kristji [?]</t>
  </si>
  <si>
    <t>Kigian</t>
  </si>
  <si>
    <t>Charlalian</t>
  </si>
  <si>
    <t>Yankessian</t>
  </si>
  <si>
    <t>Dupentz</t>
  </si>
  <si>
    <t>Nagop</t>
  </si>
  <si>
    <t>Jierjian</t>
  </si>
  <si>
    <t>Meskelkian</t>
  </si>
  <si>
    <t>Anaforian</t>
  </si>
  <si>
    <t>Stoufexian</t>
  </si>
  <si>
    <t>Benatian [?]</t>
  </si>
  <si>
    <t>Kotanfian</t>
  </si>
  <si>
    <t>Shoroshans [?]</t>
  </si>
  <si>
    <t>Kikahdjan [?]</t>
  </si>
  <si>
    <t>Egilanian</t>
  </si>
  <si>
    <t>Metevalian</t>
  </si>
  <si>
    <t>Gerbojan</t>
  </si>
  <si>
    <t>Serbatian</t>
  </si>
  <si>
    <t>Kisboyan</t>
  </si>
  <si>
    <t>Khargigosellian</t>
  </si>
  <si>
    <t>Tchipidjian</t>
  </si>
  <si>
    <t>Canichian</t>
  </si>
  <si>
    <t>Bobavian</t>
  </si>
  <si>
    <t>Caranatzian</t>
  </si>
  <si>
    <t>Kemerjian</t>
  </si>
  <si>
    <t>Gousigian [?]</t>
  </si>
  <si>
    <t>Polokachatourian</t>
  </si>
  <si>
    <t>Aswerdzadouski</t>
  </si>
  <si>
    <t>Mursiguian</t>
  </si>
  <si>
    <t>Munigiar</t>
  </si>
  <si>
    <t>Possessian</t>
  </si>
  <si>
    <t>Cancadian</t>
  </si>
  <si>
    <t>Gazartchaouchian</t>
  </si>
  <si>
    <t>Araktian</t>
  </si>
  <si>
    <t>Fiavian</t>
  </si>
  <si>
    <t>Hezian</t>
  </si>
  <si>
    <t>Chamsarian</t>
  </si>
  <si>
    <t>Ergoronon [?]</t>
  </si>
  <si>
    <t>Magakian</t>
  </si>
  <si>
    <t>Feojian [?]</t>
  </si>
  <si>
    <t>Chatzininancian</t>
  </si>
  <si>
    <t>Verharian</t>
  </si>
  <si>
    <t>Jelalcoi</t>
  </si>
  <si>
    <t>Ghoostian</t>
  </si>
  <si>
    <t>Bachtelorian</t>
  </si>
  <si>
    <t>Dermergibos</t>
  </si>
  <si>
    <t>Gashanan</t>
  </si>
  <si>
    <t>Haskerian</t>
  </si>
  <si>
    <t>Rezvanian</t>
  </si>
  <si>
    <t>Nihan</t>
  </si>
  <si>
    <t>Narintchian</t>
  </si>
  <si>
    <t>Mickowski</t>
  </si>
  <si>
    <t>Nakapjian</t>
  </si>
  <si>
    <t>Tcheghladian</t>
  </si>
  <si>
    <t>Kosmisky</t>
  </si>
  <si>
    <t>Sayat</t>
  </si>
  <si>
    <t>Tejankjan</t>
  </si>
  <si>
    <t>Zarnikian</t>
  </si>
  <si>
    <t>Tchiblakian</t>
  </si>
  <si>
    <t>Mathatian</t>
  </si>
  <si>
    <t>Amingian</t>
  </si>
  <si>
    <t>Vishabazoum</t>
  </si>
  <si>
    <t>Gegharemian</t>
  </si>
  <si>
    <t>Beurekdjian</t>
  </si>
  <si>
    <t>Dilkigian</t>
  </si>
  <si>
    <t>Akian</t>
  </si>
  <si>
    <t>Gudirikian</t>
  </si>
  <si>
    <t>Bilbira [?]</t>
  </si>
  <si>
    <t>Delodian</t>
  </si>
  <si>
    <t>So---yan</t>
  </si>
  <si>
    <t>Tefeliantz</t>
  </si>
  <si>
    <t>Guzevian</t>
  </si>
  <si>
    <t>Blezi</t>
  </si>
  <si>
    <t>Sirkounian</t>
  </si>
  <si>
    <t>Handalian</t>
  </si>
  <si>
    <t>Erdzian</t>
  </si>
  <si>
    <t>Bajiboutzukian</t>
  </si>
  <si>
    <t>Cordzagadarian</t>
  </si>
  <si>
    <t>Haroupigian</t>
  </si>
  <si>
    <t>Tsementan</t>
  </si>
  <si>
    <t>Nenezian</t>
  </si>
  <si>
    <t>Aridjan</t>
  </si>
  <si>
    <t>Herdoyan</t>
  </si>
  <si>
    <t>Sramonias</t>
  </si>
  <si>
    <t>Ouzounkaprielian</t>
  </si>
  <si>
    <t>Seperdanian</t>
  </si>
  <si>
    <t>Patzanian</t>
  </si>
  <si>
    <t>Aigoulian</t>
  </si>
  <si>
    <t>Jehazirian</t>
  </si>
  <si>
    <t>Tsatsour</t>
  </si>
  <si>
    <t>Turbatian</t>
  </si>
  <si>
    <t>Chazinoglou</t>
  </si>
  <si>
    <t>Gatadian [?]</t>
  </si>
  <si>
    <t>Tozoglonian</t>
  </si>
  <si>
    <t>Avdalian</t>
  </si>
  <si>
    <t>Sirkejian</t>
  </si>
  <si>
    <t>Hacoian</t>
  </si>
  <si>
    <t>Silemian</t>
  </si>
  <si>
    <t>Soghanian</t>
  </si>
  <si>
    <t>Hajijanian</t>
  </si>
  <si>
    <t>Bookrojian</t>
  </si>
  <si>
    <t>Bajinadjian</t>
  </si>
  <si>
    <t>Alroghian [?]</t>
  </si>
  <si>
    <t>Azarbian [?]</t>
  </si>
  <si>
    <t>Rafaian</t>
  </si>
  <si>
    <t>Hagikisian</t>
  </si>
  <si>
    <t>Ac</t>
  </si>
  <si>
    <t>Carzia</t>
  </si>
  <si>
    <t>Sahakinosian</t>
  </si>
  <si>
    <t>Benedian [?]</t>
  </si>
  <si>
    <t>Kripritchian</t>
  </si>
  <si>
    <t>Kiokbassian</t>
  </si>
  <si>
    <t>Hoshaberian</t>
  </si>
  <si>
    <t>Aykherian</t>
  </si>
  <si>
    <t>Tzerenikian</t>
  </si>
  <si>
    <t>Caitongian</t>
  </si>
  <si>
    <t>Karagaugiarzan</t>
  </si>
  <si>
    <t>Sivantzian</t>
  </si>
  <si>
    <t>Mermerobian</t>
  </si>
  <si>
    <t>Kelfisian [?]</t>
  </si>
  <si>
    <t>Mantoian</t>
  </si>
  <si>
    <t>Nachabetian</t>
  </si>
  <si>
    <t>Harorsian [?]</t>
  </si>
  <si>
    <t>Hopiguian</t>
  </si>
  <si>
    <t>Achadonian</t>
  </si>
  <si>
    <t>Kanartian</t>
  </si>
  <si>
    <t>Hatfield</t>
  </si>
  <si>
    <t>Keohnelian</t>
  </si>
  <si>
    <t>Guerielian [?]</t>
  </si>
  <si>
    <t>Tsamagian</t>
  </si>
  <si>
    <t>Rustian</t>
  </si>
  <si>
    <t>Chahbauderian</t>
  </si>
  <si>
    <t>Petraki</t>
  </si>
  <si>
    <t>Gananbekian</t>
  </si>
  <si>
    <t>Kobajian</t>
  </si>
  <si>
    <t>Tzeratian</t>
  </si>
  <si>
    <t>Gorvetzian</t>
  </si>
  <si>
    <t>Ourdoglian</t>
  </si>
  <si>
    <t>Camiadurian</t>
  </si>
  <si>
    <t>Kavitian</t>
  </si>
  <si>
    <t>Pavlian</t>
  </si>
  <si>
    <t>Kozebatian</t>
  </si>
  <si>
    <t>Caradaggian</t>
  </si>
  <si>
    <t>Tchogandjian</t>
  </si>
  <si>
    <t>Kikatian</t>
  </si>
  <si>
    <t>Sarimanougian</t>
  </si>
  <si>
    <t>Belguedjian</t>
  </si>
  <si>
    <t>Chahirimian</t>
  </si>
  <si>
    <t>Tchojourian</t>
  </si>
  <si>
    <t>Araghikian</t>
  </si>
  <si>
    <t>Karasarkisian</t>
  </si>
  <si>
    <t>Zevlerian</t>
  </si>
  <si>
    <t>Fordezian</t>
  </si>
  <si>
    <t>Tujejian</t>
  </si>
  <si>
    <t>Djamkertmeian</t>
  </si>
  <si>
    <t>Perdahjian</t>
  </si>
  <si>
    <t>Doroudanian [?]</t>
  </si>
  <si>
    <t>Kenmurdjian</t>
  </si>
  <si>
    <t>Besten</t>
  </si>
  <si>
    <t>Samdanian</t>
  </si>
  <si>
    <t>Avrahajian</t>
  </si>
  <si>
    <t>Eulmesekian</t>
  </si>
  <si>
    <t>Sevdalian</t>
  </si>
  <si>
    <t>Khojajanian</t>
  </si>
  <si>
    <t>Hayalian</t>
  </si>
  <si>
    <t>Daigian</t>
  </si>
  <si>
    <t>Moxozian</t>
  </si>
  <si>
    <t>Pilarzadjantz</t>
  </si>
  <si>
    <t>Georzian</t>
  </si>
  <si>
    <t>Venstikian</t>
  </si>
  <si>
    <t>Davidson</t>
  </si>
  <si>
    <t>Alarian</t>
  </si>
  <si>
    <t>Mongoutchian</t>
  </si>
  <si>
    <t>Zlatjanz</t>
  </si>
  <si>
    <t>Deli Melkonian</t>
  </si>
  <si>
    <t>Hasanelian [?]</t>
  </si>
  <si>
    <t>Crichtoian</t>
  </si>
  <si>
    <t>Moussavian</t>
  </si>
  <si>
    <t>Hekimbashian</t>
  </si>
  <si>
    <t>Daghouian</t>
  </si>
  <si>
    <t>Dardaghanian</t>
  </si>
  <si>
    <t>Herhezerizian</t>
  </si>
  <si>
    <t>Hison</t>
  </si>
  <si>
    <t>Czachiszipianz [?]</t>
  </si>
  <si>
    <t>Chabberiter</t>
  </si>
  <si>
    <t>Yermetzian</t>
  </si>
  <si>
    <t>Karilian</t>
  </si>
  <si>
    <t>Mudjessemian</t>
  </si>
  <si>
    <t>Kandjikian</t>
  </si>
  <si>
    <t>Lulakian</t>
  </si>
  <si>
    <t>Derlessian</t>
  </si>
  <si>
    <t>Adeyfes [?]</t>
  </si>
  <si>
    <t>Samshoian</t>
  </si>
  <si>
    <t>Kastorian</t>
  </si>
  <si>
    <t>Kechinjan [?]</t>
  </si>
  <si>
    <t>Dennebian</t>
  </si>
  <si>
    <t>Saghdoujian</t>
  </si>
  <si>
    <t>Koldurian</t>
  </si>
  <si>
    <t>Punoian</t>
  </si>
  <si>
    <t>Gehenian</t>
  </si>
  <si>
    <t>Kefuguelian [?]</t>
  </si>
  <si>
    <t>Coutounian</t>
  </si>
  <si>
    <t>Kaylemotzian</t>
  </si>
  <si>
    <t>Tchermaguian</t>
  </si>
  <si>
    <t>Azmian</t>
  </si>
  <si>
    <t>Bavoukian</t>
  </si>
  <si>
    <t>Elmarian</t>
  </si>
  <si>
    <t>Teaslanian [?]</t>
  </si>
  <si>
    <t>Jancherian [?]</t>
  </si>
  <si>
    <t>Nasmanian</t>
  </si>
  <si>
    <t>Kirdiantz [?]</t>
  </si>
  <si>
    <t>Zampigian</t>
  </si>
  <si>
    <t>Hefian</t>
  </si>
  <si>
    <t>Giourerian [?]</t>
  </si>
  <si>
    <t>Chamdoglou</t>
  </si>
  <si>
    <t>Yorghanjian</t>
  </si>
  <si>
    <t>Hisusyan</t>
  </si>
  <si>
    <t>Shilinian</t>
  </si>
  <si>
    <t>Cheringhelian</t>
  </si>
  <si>
    <t>Daskouzian</t>
  </si>
  <si>
    <t>Dagourtjian</t>
  </si>
  <si>
    <t>Ourondjian</t>
  </si>
  <si>
    <t>Jezvezian</t>
  </si>
  <si>
    <t>Sumrian [?]</t>
  </si>
  <si>
    <t>Hokian</t>
  </si>
  <si>
    <t>Hinshian</t>
  </si>
  <si>
    <t>Haji Grizelian</t>
  </si>
  <si>
    <t>Yermirlian</t>
  </si>
  <si>
    <t>Canpalian</t>
  </si>
  <si>
    <t>Garsamany</t>
  </si>
  <si>
    <t>Bessagnian</t>
  </si>
  <si>
    <t>Tactakian</t>
  </si>
  <si>
    <t>Sourzinian</t>
  </si>
  <si>
    <t>Harjigurezian</t>
  </si>
  <si>
    <t>Ba---ian</t>
  </si>
  <si>
    <t>Yebipannian</t>
  </si>
  <si>
    <t>Hadzimardirossian</t>
  </si>
  <si>
    <t>Sirinigian</t>
  </si>
  <si>
    <t>Kovhkarian</t>
  </si>
  <si>
    <t>Arkas</t>
  </si>
  <si>
    <t>Chegirnian</t>
  </si>
  <si>
    <t>Terziboghosian</t>
  </si>
  <si>
    <t>Megrethian</t>
  </si>
  <si>
    <t>Bayassian</t>
  </si>
  <si>
    <t>Musadjian</t>
  </si>
  <si>
    <t>Bahchegulian</t>
  </si>
  <si>
    <t>Aghabardigian</t>
  </si>
  <si>
    <t>Richakjean</t>
  </si>
  <si>
    <t>Virissikian</t>
  </si>
  <si>
    <t>Koldjaklian</t>
  </si>
  <si>
    <t>Nirdelian</t>
  </si>
  <si>
    <t>Mourpourian</t>
  </si>
  <si>
    <t>Vervician</t>
  </si>
  <si>
    <t>Kholorian</t>
  </si>
  <si>
    <t>Touloumbadijian</t>
  </si>
  <si>
    <t>Bamgegian</t>
  </si>
  <si>
    <t>Gargorian</t>
  </si>
  <si>
    <t>Mezorian</t>
  </si>
  <si>
    <t>Daghadanian</t>
  </si>
  <si>
    <t>Federian [?]</t>
  </si>
  <si>
    <t>Ciodelbanian [?]</t>
  </si>
  <si>
    <t>Chepignian</t>
  </si>
  <si>
    <t>Ulnojian</t>
  </si>
  <si>
    <t>Douzarjian</t>
  </si>
  <si>
    <t>Deuchken</t>
  </si>
  <si>
    <t>Honomian</t>
  </si>
  <si>
    <t>Ykan</t>
  </si>
  <si>
    <t>Karajorian</t>
  </si>
  <si>
    <t>Kouchtokmayan</t>
  </si>
  <si>
    <t>Orpirzan</t>
  </si>
  <si>
    <t>Avdanoff</t>
  </si>
  <si>
    <t>Farsyan</t>
  </si>
  <si>
    <t>M-----</t>
  </si>
  <si>
    <t>Hintirian</t>
  </si>
  <si>
    <t>Givazurian</t>
  </si>
  <si>
    <t>Pallebian [?]</t>
  </si>
  <si>
    <t>Tavoian</t>
  </si>
  <si>
    <t>Madalian</t>
  </si>
  <si>
    <t>Pandarian</t>
  </si>
  <si>
    <t>Helbian</t>
  </si>
  <si>
    <t>Demosko [?]</t>
  </si>
  <si>
    <t>Souvartian</t>
  </si>
  <si>
    <t>Zalwabedian</t>
  </si>
  <si>
    <t>Yuhaigian [?]</t>
  </si>
  <si>
    <t>Kamatsadjian</t>
  </si>
  <si>
    <t>Hajadoulian</t>
  </si>
  <si>
    <t>Ovseian</t>
  </si>
  <si>
    <t>Hantsounian</t>
  </si>
  <si>
    <t>Vassian</t>
  </si>
  <si>
    <t>Tsarikzian [?]</t>
  </si>
  <si>
    <t>Behasian</t>
  </si>
  <si>
    <t>Karmendian</t>
  </si>
  <si>
    <t>Chulayar</t>
  </si>
  <si>
    <t>Bishar Kibarian</t>
  </si>
  <si>
    <t>Kandirkian</t>
  </si>
  <si>
    <t>Pernayan</t>
  </si>
  <si>
    <t>Palonnakian</t>
  </si>
  <si>
    <t>Vedian</t>
  </si>
  <si>
    <t>Enghemian</t>
  </si>
  <si>
    <t>Melik-Haroutiunian</t>
  </si>
  <si>
    <t>Cavassoglou</t>
  </si>
  <si>
    <t>Nassibian [?]</t>
  </si>
  <si>
    <t>Karaklatian</t>
  </si>
  <si>
    <t>Chouvanian</t>
  </si>
  <si>
    <t>Torasandjian</t>
  </si>
  <si>
    <t>Mouradikian</t>
  </si>
  <si>
    <t>Pezeyan</t>
  </si>
  <si>
    <t>Ekreklian</t>
  </si>
  <si>
    <t>Deumbeligian</t>
  </si>
  <si>
    <t>Zumrutian</t>
  </si>
  <si>
    <t>Paudomian</t>
  </si>
  <si>
    <t>Zadarigian</t>
  </si>
  <si>
    <t>Kolsukian</t>
  </si>
  <si>
    <t>Bajadian</t>
  </si>
  <si>
    <t>Ternasesian</t>
  </si>
  <si>
    <t>Schafa</t>
  </si>
  <si>
    <t>Pourountian [?]</t>
  </si>
  <si>
    <t>Bakohalanian [?]</t>
  </si>
  <si>
    <t>Lutikian</t>
  </si>
  <si>
    <t>Doughabet</t>
  </si>
  <si>
    <t>Almavivasian</t>
  </si>
  <si>
    <t>Chilikjian</t>
  </si>
  <si>
    <t>Chasozozian [?]</t>
  </si>
  <si>
    <t>Aborair</t>
  </si>
  <si>
    <t>Pirdarian</t>
  </si>
  <si>
    <t>Eskfayan</t>
  </si>
  <si>
    <t>Sirsorian</t>
  </si>
  <si>
    <t>Kheryasian</t>
  </si>
  <si>
    <t>Korganova</t>
  </si>
  <si>
    <t>Khizinian</t>
  </si>
  <si>
    <t>Pargavakian</t>
  </si>
  <si>
    <t>Barlanian</t>
  </si>
  <si>
    <t>Narsamian</t>
  </si>
  <si>
    <t>Dahalgian</t>
  </si>
  <si>
    <t>Artoukhanian</t>
  </si>
  <si>
    <t>Kazedjian</t>
  </si>
  <si>
    <t>Ferlamesian [?]</t>
  </si>
  <si>
    <t>K---ekian</t>
  </si>
  <si>
    <t>Setendjian</t>
  </si>
  <si>
    <t>Charookjian</t>
  </si>
  <si>
    <t>Baboutzakian</t>
  </si>
  <si>
    <t>Naslarion [?]</t>
  </si>
  <si>
    <t>Dechkoyan</t>
  </si>
  <si>
    <t>Fernadian</t>
  </si>
  <si>
    <t>Karashegianz</t>
  </si>
  <si>
    <t>Dervarjanian</t>
  </si>
  <si>
    <t>Pecktofdjian</t>
  </si>
  <si>
    <t>Ginack</t>
  </si>
  <si>
    <t>Patzarian</t>
  </si>
  <si>
    <t>Ourlikian</t>
  </si>
  <si>
    <t>Aliveokian</t>
  </si>
  <si>
    <t>Chiborian</t>
  </si>
  <si>
    <t>Jaksalian</t>
  </si>
  <si>
    <t>Tchartendjian</t>
  </si>
  <si>
    <t>Karayahoudian</t>
  </si>
  <si>
    <t>Suksujian</t>
  </si>
  <si>
    <t>Vribarian</t>
  </si>
  <si>
    <t>Deveyuzlian</t>
  </si>
  <si>
    <t>Pissikian</t>
  </si>
  <si>
    <t>Condili</t>
  </si>
  <si>
    <t>Hechtakoukian</t>
  </si>
  <si>
    <t>Pizigian</t>
  </si>
  <si>
    <t>Terzigambian</t>
  </si>
  <si>
    <t>Szalaglian</t>
  </si>
  <si>
    <t>Ordeniano</t>
  </si>
  <si>
    <t>Pechtingian</t>
  </si>
  <si>
    <t>Arjouyan</t>
  </si>
  <si>
    <t>Vouga</t>
  </si>
  <si>
    <t>Ohanidi</t>
  </si>
  <si>
    <t>Hopian</t>
  </si>
  <si>
    <t>Salkimian</t>
  </si>
  <si>
    <t>Hanamirian</t>
  </si>
  <si>
    <t>Centzalian [?]</t>
  </si>
  <si>
    <t>Hamgate [?]</t>
  </si>
  <si>
    <t>Vahgatsi</t>
  </si>
  <si>
    <t>Tehshadjian</t>
  </si>
  <si>
    <t>Sovadican [?]</t>
  </si>
  <si>
    <t>Wehian</t>
  </si>
  <si>
    <t>Bargarian</t>
  </si>
  <si>
    <t>Roetzatzi</t>
  </si>
  <si>
    <t>Ferzilian</t>
  </si>
  <si>
    <t>Djosirian [?]</t>
  </si>
  <si>
    <t>Yaghtigian</t>
  </si>
  <si>
    <t>Kesheshalian</t>
  </si>
  <si>
    <t>Fyfe</t>
  </si>
  <si>
    <t>Barzian [?]</t>
  </si>
  <si>
    <t>Haitadjian</t>
  </si>
  <si>
    <t>Valazian</t>
  </si>
  <si>
    <t>Bosguans [?]</t>
  </si>
  <si>
    <t>Hovandoian [?]</t>
  </si>
  <si>
    <t>Nargabeyan</t>
  </si>
  <si>
    <t>Anto [?]</t>
  </si>
  <si>
    <t>Ganchoyan</t>
  </si>
  <si>
    <t>Corolian</t>
  </si>
  <si>
    <t>Moumoughian</t>
  </si>
  <si>
    <t>Attsouzian</t>
  </si>
  <si>
    <t>Vahubian</t>
  </si>
  <si>
    <t>Mazpoutian</t>
  </si>
  <si>
    <t>Hostagian [?]</t>
  </si>
  <si>
    <t>Maskarian</t>
  </si>
  <si>
    <t>Eschahimos</t>
  </si>
  <si>
    <t>Charametian</t>
  </si>
  <si>
    <t>Tchirodgh</t>
  </si>
  <si>
    <t>Nevakian</t>
  </si>
  <si>
    <t>Norkilezian</t>
  </si>
  <si>
    <t>Ohaseplinan</t>
  </si>
  <si>
    <t>Mortier [?]</t>
  </si>
  <si>
    <t>Nazarhamboyan</t>
  </si>
  <si>
    <t>Kazalcosian [?]</t>
  </si>
  <si>
    <t>Balterian [?]</t>
  </si>
  <si>
    <t>Soolookjian</t>
  </si>
  <si>
    <t>Kharovian</t>
  </si>
  <si>
    <t>Kubijian</t>
  </si>
  <si>
    <t>Techeskazian [?]</t>
  </si>
  <si>
    <t>Tamzassan [?]</t>
  </si>
  <si>
    <t>Fabrikatovian</t>
  </si>
  <si>
    <t>Cababi</t>
  </si>
  <si>
    <t>Kasachadjadourian</t>
  </si>
  <si>
    <t>Heynatian</t>
  </si>
  <si>
    <t>Hebelbain</t>
  </si>
  <si>
    <t>Ragowian</t>
  </si>
  <si>
    <t>Chalmarian</t>
  </si>
  <si>
    <t>Sseerengian [?]</t>
  </si>
  <si>
    <t>Karag---</t>
  </si>
  <si>
    <t>Maream</t>
  </si>
  <si>
    <t>Guedjimain</t>
  </si>
  <si>
    <t>Vaukoufian [?]</t>
  </si>
  <si>
    <t>Nodarian</t>
  </si>
  <si>
    <t>Jeljelian</t>
  </si>
  <si>
    <t>Nadasian</t>
  </si>
  <si>
    <t>Toulazian</t>
  </si>
  <si>
    <t>Halolyan [?]</t>
  </si>
  <si>
    <t>Soungoudjian</t>
  </si>
  <si>
    <t>Kairaly</t>
  </si>
  <si>
    <t>Derdonassian</t>
  </si>
  <si>
    <t>Kiridjidjian</t>
  </si>
  <si>
    <t>Sunagian</t>
  </si>
  <si>
    <t>Tsivitian</t>
  </si>
  <si>
    <t>Fzaksouan [?]</t>
  </si>
  <si>
    <t>Nevrikhanian</t>
  </si>
  <si>
    <t>Hiboukakan</t>
  </si>
  <si>
    <t>Roussigian</t>
  </si>
  <si>
    <t>Karmonche</t>
  </si>
  <si>
    <t>Hameljan</t>
  </si>
  <si>
    <t>Eurushanian [?]</t>
  </si>
  <si>
    <t>Shuratozian</t>
  </si>
  <si>
    <t>Abatjanik</t>
  </si>
  <si>
    <t>Tovniastan</t>
  </si>
  <si>
    <t>Brinatian [?]</t>
  </si>
  <si>
    <t>Ezrakian</t>
  </si>
  <si>
    <t>Garbarian</t>
  </si>
  <si>
    <t>Kiznayian</t>
  </si>
  <si>
    <t>Zampian</t>
  </si>
  <si>
    <t>Techkloian</t>
  </si>
  <si>
    <t>Hormmian [?]</t>
  </si>
  <si>
    <t>Patougian</t>
  </si>
  <si>
    <t>Demertzirkian</t>
  </si>
  <si>
    <t>Barton</t>
  </si>
  <si>
    <t>Lambiri</t>
  </si>
  <si>
    <t>Aradion</t>
  </si>
  <si>
    <t>Hatergian</t>
  </si>
  <si>
    <t>Pourdjian</t>
  </si>
  <si>
    <t>Marobian</t>
  </si>
  <si>
    <t>Chavoian</t>
  </si>
  <si>
    <t>Poldgyan</t>
  </si>
  <si>
    <t>D---ian</t>
  </si>
  <si>
    <t>Arounian</t>
  </si>
  <si>
    <t>Dajalloyan</t>
  </si>
  <si>
    <t>Haynilian</t>
  </si>
  <si>
    <t>Kaimakamian</t>
  </si>
  <si>
    <t>Momesian</t>
  </si>
  <si>
    <t>Marellian</t>
  </si>
  <si>
    <t>Soukhtens</t>
  </si>
  <si>
    <t>Zanarjian</t>
  </si>
  <si>
    <t>Doskoian</t>
  </si>
  <si>
    <t>Tourova</t>
  </si>
  <si>
    <t>Kindirigi [?]</t>
  </si>
  <si>
    <t>Guenzionan</t>
  </si>
  <si>
    <t>Marzagnian</t>
  </si>
  <si>
    <t>Kourlokian</t>
  </si>
  <si>
    <t>Carabadjian</t>
  </si>
  <si>
    <t>Kazazbazazian</t>
  </si>
  <si>
    <t>Bengoltzian</t>
  </si>
  <si>
    <t>Kurk</t>
  </si>
  <si>
    <t>Mansoujian</t>
  </si>
  <si>
    <t>Randolph</t>
  </si>
  <si>
    <t>Dzaklisourian</t>
  </si>
  <si>
    <t>Kouvagoumian</t>
  </si>
  <si>
    <t>Antesjantz</t>
  </si>
  <si>
    <t>Abouadalian</t>
  </si>
  <si>
    <t>Narputian</t>
  </si>
  <si>
    <t>Paghaimdazian</t>
  </si>
  <si>
    <t>Gozuanian [?]</t>
  </si>
  <si>
    <t>Kelderian</t>
  </si>
  <si>
    <t>Yerocan</t>
  </si>
  <si>
    <t>Diadeiriam [?]</t>
  </si>
  <si>
    <t>Bolsetzian</t>
  </si>
  <si>
    <t>Zukemian</t>
  </si>
  <si>
    <t>---higui---</t>
  </si>
  <si>
    <t>Hiconsonian</t>
  </si>
  <si>
    <t>Malhalabian</t>
  </si>
  <si>
    <t>Zoumboglou</t>
  </si>
  <si>
    <t>Uskardassian</t>
  </si>
  <si>
    <t>Tchikritkian</t>
  </si>
  <si>
    <t>Zaiharian</t>
  </si>
  <si>
    <t>Eahnuzdjian</t>
  </si>
  <si>
    <t>Archderson [?]</t>
  </si>
  <si>
    <t>Sararian</t>
  </si>
  <si>
    <t>Babitian</t>
  </si>
  <si>
    <t>Zarakostian</t>
  </si>
  <si>
    <t>Purvoodian</t>
  </si>
  <si>
    <t>Bekigoglou</t>
  </si>
  <si>
    <t>Kager</t>
  </si>
  <si>
    <t>Mehanedjian</t>
  </si>
  <si>
    <t>Hatabian</t>
  </si>
  <si>
    <t>Pishtoptzian</t>
  </si>
  <si>
    <t>Sarlian</t>
  </si>
  <si>
    <t>Chiabrian</t>
  </si>
  <si>
    <t>Kakfajian</t>
  </si>
  <si>
    <t>Hodge</t>
  </si>
  <si>
    <t>Govdoumian</t>
  </si>
  <si>
    <t>Zadefian</t>
  </si>
  <si>
    <t>Balkalian</t>
  </si>
  <si>
    <t>Namghian</t>
  </si>
  <si>
    <t>Aredjian</t>
  </si>
  <si>
    <t>Dojiantzian [?]</t>
  </si>
  <si>
    <t>Makloudian</t>
  </si>
  <si>
    <t>Zoudabanian</t>
  </si>
  <si>
    <t>Camasian</t>
  </si>
  <si>
    <t>Benzoyan</t>
  </si>
  <si>
    <t>Shouchevar [?]</t>
  </si>
  <si>
    <t>Ezdikian</t>
  </si>
  <si>
    <t>Fouikadjian</t>
  </si>
  <si>
    <t>Paskewizjantz</t>
  </si>
  <si>
    <t>Hargoian</t>
  </si>
  <si>
    <t>Kulasdjian</t>
  </si>
  <si>
    <t>Dirit</t>
  </si>
  <si>
    <t>Chastazian</t>
  </si>
  <si>
    <t>Mesabedian</t>
  </si>
  <si>
    <t>Doramarki</t>
  </si>
  <si>
    <t>Pomaldian</t>
  </si>
  <si>
    <t>Kegesian</t>
  </si>
  <si>
    <t>Passenyan</t>
  </si>
  <si>
    <t>Cheroppian</t>
  </si>
  <si>
    <t>Basckia [?]</t>
  </si>
  <si>
    <t>Basbadourian</t>
  </si>
  <si>
    <t>Aladjalian</t>
  </si>
  <si>
    <t>Athayantz</t>
  </si>
  <si>
    <t>Manykjantz</t>
  </si>
  <si>
    <t>Astourigian</t>
  </si>
  <si>
    <t>Onil</t>
  </si>
  <si>
    <t>Esklendj</t>
  </si>
  <si>
    <t>Banouksian</t>
  </si>
  <si>
    <t>Kazarow Wartunjanz</t>
  </si>
  <si>
    <t>Nidolian</t>
  </si>
  <si>
    <t>Eordekian</t>
  </si>
  <si>
    <t>Tchifbarmakian</t>
  </si>
  <si>
    <t>Giolakia</t>
  </si>
  <si>
    <t>Evertisan</t>
  </si>
  <si>
    <t>Kiragomian</t>
  </si>
  <si>
    <t>Topbashian</t>
  </si>
  <si>
    <t>Genebrian</t>
  </si>
  <si>
    <t>Gohoian</t>
  </si>
  <si>
    <t>Lousibian</t>
  </si>
  <si>
    <t>Keuroghkouyan</t>
  </si>
  <si>
    <t>Raccachian</t>
  </si>
  <si>
    <t>Terechatian [?]</t>
  </si>
  <si>
    <t>Tchakinakehian</t>
  </si>
  <si>
    <t>Sadachian</t>
  </si>
  <si>
    <t>Kepteian</t>
  </si>
  <si>
    <t>Korolanian</t>
  </si>
  <si>
    <t>Topalmatoian</t>
  </si>
  <si>
    <t>Kaspazion [?]</t>
  </si>
  <si>
    <t>Deunduian</t>
  </si>
  <si>
    <t>Roudwanlyan</t>
  </si>
  <si>
    <t>Tsartazian</t>
  </si>
  <si>
    <t>Aslidzian</t>
  </si>
  <si>
    <t>Gusalimian</t>
  </si>
  <si>
    <t>Poonarian</t>
  </si>
  <si>
    <t>M---essian</t>
  </si>
  <si>
    <t>Ispahanian</t>
  </si>
  <si>
    <t>Cazdaghlian</t>
  </si>
  <si>
    <t>Mitanelian</t>
  </si>
  <si>
    <t>Kenybashian</t>
  </si>
  <si>
    <t>Sadaghigian</t>
  </si>
  <si>
    <t>Razarian</t>
  </si>
  <si>
    <t>Mushoian</t>
  </si>
  <si>
    <t>Tahdahian</t>
  </si>
  <si>
    <t>Siroghian</t>
  </si>
  <si>
    <t>Pousmoyan</t>
  </si>
  <si>
    <t>Chehiantz</t>
  </si>
  <si>
    <t>Tsitsinian</t>
  </si>
  <si>
    <t>Veltigian</t>
  </si>
  <si>
    <t>Bojakian</t>
  </si>
  <si>
    <t>Yenghenosian</t>
  </si>
  <si>
    <t>Vallandian</t>
  </si>
  <si>
    <t>Moukloyan</t>
  </si>
  <si>
    <t>Shauralian</t>
  </si>
  <si>
    <t>Zehni Bakalian</t>
  </si>
  <si>
    <t>Karafesian</t>
  </si>
  <si>
    <t>Aftandikiantz</t>
  </si>
  <si>
    <t>Jokar</t>
  </si>
  <si>
    <t>Tookhtooian</t>
  </si>
  <si>
    <t>Martjian [?]</t>
  </si>
  <si>
    <t>Idinian</t>
  </si>
  <si>
    <t>Pargentzian</t>
  </si>
  <si>
    <t>Dirantrias</t>
  </si>
  <si>
    <t>Balkapanian</t>
  </si>
  <si>
    <t>Yachoudian</t>
  </si>
  <si>
    <t>Tunnjan [?]</t>
  </si>
  <si>
    <t>Vokeans</t>
  </si>
  <si>
    <t>Nayan</t>
  </si>
  <si>
    <t>Corelijaof</t>
  </si>
  <si>
    <t>Skijian</t>
  </si>
  <si>
    <t>Megsimanougian [?]</t>
  </si>
  <si>
    <t>Keufterian</t>
  </si>
  <si>
    <t>Shaninian</t>
  </si>
  <si>
    <t>Sopajian</t>
  </si>
  <si>
    <t>Zuakow</t>
  </si>
  <si>
    <t>-osseboff [?]</t>
  </si>
  <si>
    <t>Seharigian</t>
  </si>
  <si>
    <t>Yighitian</t>
  </si>
  <si>
    <t>Geokjian</t>
  </si>
  <si>
    <t>Nachchadjian</t>
  </si>
  <si>
    <t>Mursarian</t>
  </si>
  <si>
    <t>Jerenival [?]</t>
  </si>
  <si>
    <t>Hitchian</t>
  </si>
  <si>
    <t>Agochikian</t>
  </si>
  <si>
    <t>Passanian</t>
  </si>
  <si>
    <t>Cherbekian</t>
  </si>
  <si>
    <t>Aoucharian</t>
  </si>
  <si>
    <t>Marvogian</t>
  </si>
  <si>
    <t>Ehenberzien</t>
  </si>
  <si>
    <t>Takoochi</t>
  </si>
  <si>
    <t>Veillerian</t>
  </si>
  <si>
    <t>Delibashian</t>
  </si>
  <si>
    <t>Halyanakian</t>
  </si>
  <si>
    <t>Zopahamian [?]</t>
  </si>
  <si>
    <t>Cheroginian</t>
  </si>
  <si>
    <t>Ghoughounjan</t>
  </si>
  <si>
    <t>Yakledessa [?]</t>
  </si>
  <si>
    <t>Vekibian</t>
  </si>
  <si>
    <t>Houroumian</t>
  </si>
  <si>
    <t>Korello [?]</t>
  </si>
  <si>
    <t>Malmardian</t>
  </si>
  <si>
    <t>Balicotsoyan</t>
  </si>
  <si>
    <t>Cahaian [?]</t>
  </si>
  <si>
    <t>Paoulian</t>
  </si>
  <si>
    <t>Karakoudjian</t>
  </si>
  <si>
    <t>Madjerekian</t>
  </si>
  <si>
    <t>Mahoulian</t>
  </si>
  <si>
    <t>Shashkalian</t>
  </si>
  <si>
    <t>Chenjoyan</t>
  </si>
  <si>
    <t>Housomian</t>
  </si>
  <si>
    <t>Gulamilian</t>
  </si>
  <si>
    <t>Natourian</t>
  </si>
  <si>
    <t>Jouyoudjian</t>
  </si>
  <si>
    <t>Alankerian</t>
  </si>
  <si>
    <t>Khosgsian [?]</t>
  </si>
  <si>
    <t>Yoragian</t>
  </si>
  <si>
    <t>Kekimiom</t>
  </si>
  <si>
    <t>Dougarof</t>
  </si>
  <si>
    <t>Katzalian</t>
  </si>
  <si>
    <t>Djigherikian</t>
  </si>
  <si>
    <t>Ladikian</t>
  </si>
  <si>
    <t>Garabossian</t>
  </si>
  <si>
    <t>Chardjafjian [?]</t>
  </si>
  <si>
    <t>Antosian</t>
  </si>
  <si>
    <t>Perley</t>
  </si>
  <si>
    <t>Tmatchyan [?]</t>
  </si>
  <si>
    <t>Ginian [?]</t>
  </si>
  <si>
    <t>Keldedian [?]</t>
  </si>
  <si>
    <t>Kelyacoubian</t>
  </si>
  <si>
    <t>Injemian</t>
  </si>
  <si>
    <t>Baaatoff [?]</t>
  </si>
  <si>
    <t>Cotzabekian</t>
  </si>
  <si>
    <t>Skunalian</t>
  </si>
  <si>
    <t>Herogian</t>
  </si>
  <si>
    <t>Yilyian</t>
  </si>
  <si>
    <t>Totovian</t>
  </si>
  <si>
    <t>Vergian</t>
  </si>
  <si>
    <t>Muazakanian</t>
  </si>
  <si>
    <t>Kapiloian</t>
  </si>
  <si>
    <t>Parfajejian</t>
  </si>
  <si>
    <t>Katazian</t>
  </si>
  <si>
    <t>Tersimanian</t>
  </si>
  <si>
    <t>Kalassakalian</t>
  </si>
  <si>
    <t>Teyrugian [?]</t>
  </si>
  <si>
    <t>Ahmedoff</t>
  </si>
  <si>
    <t>Delibaronian</t>
  </si>
  <si>
    <t>Shalalengian</t>
  </si>
  <si>
    <t>Keteskian</t>
  </si>
  <si>
    <t>Diremjian</t>
  </si>
  <si>
    <t>Maleptshian</t>
  </si>
  <si>
    <t>Koulinkian</t>
  </si>
  <si>
    <t>Hitchcock</t>
  </si>
  <si>
    <t>Daghlarian</t>
  </si>
  <si>
    <t>Hosiam [?]</t>
  </si>
  <si>
    <t>Jronoia</t>
  </si>
  <si>
    <t>Kassavranian</t>
  </si>
  <si>
    <t>Erziganian</t>
  </si>
  <si>
    <t>Amaziris|Arabaj---</t>
  </si>
  <si>
    <t>Chilaslanian</t>
  </si>
  <si>
    <t>Kazarhiark</t>
  </si>
  <si>
    <t>Daievian</t>
  </si>
  <si>
    <t>Zanbakdjian</t>
  </si>
  <si>
    <t>Chabishian</t>
  </si>
  <si>
    <t>Tuvergian</t>
  </si>
  <si>
    <t>Fesshanelian</t>
  </si>
  <si>
    <t>Idian</t>
  </si>
  <si>
    <t>Djibrikjian</t>
  </si>
  <si>
    <t>Guertojan</t>
  </si>
  <si>
    <t>Tekekemian</t>
  </si>
  <si>
    <t>Chazalpof</t>
  </si>
  <si>
    <t>Tosmadian</t>
  </si>
  <si>
    <t>Vaytajan</t>
  </si>
  <si>
    <t>Toukaslean</t>
  </si>
  <si>
    <t>Turnughian</t>
  </si>
  <si>
    <t>Djemdejmian</t>
  </si>
  <si>
    <t>Kasandusian [?]</t>
  </si>
  <si>
    <t>Yournagtzan [?]</t>
  </si>
  <si>
    <t>Muchlig</t>
  </si>
  <si>
    <t>Norchentzian</t>
  </si>
  <si>
    <t>Shatafian</t>
  </si>
  <si>
    <t>Giondjian</t>
  </si>
  <si>
    <t>Aselgian</t>
  </si>
  <si>
    <t>Chaktsigian</t>
  </si>
  <si>
    <t>Simoundjtian</t>
  </si>
  <si>
    <t>Tonershinoghian</t>
  </si>
  <si>
    <t>Ogrian</t>
  </si>
  <si>
    <t>Zerarjian</t>
  </si>
  <si>
    <t>Apap [?]</t>
  </si>
  <si>
    <t>Mouressian</t>
  </si>
  <si>
    <t>Pantchoupian</t>
  </si>
  <si>
    <t>Sorolanian</t>
  </si>
  <si>
    <t>Hariroonian</t>
  </si>
  <si>
    <t>Mandehlian</t>
  </si>
  <si>
    <t>Gozmazian</t>
  </si>
  <si>
    <t>Katsouni</t>
  </si>
  <si>
    <t>Hubasian</t>
  </si>
  <si>
    <t>Kutushian</t>
  </si>
  <si>
    <t>Djoudikian</t>
  </si>
  <si>
    <t>Kaukovooudanian [?]</t>
  </si>
  <si>
    <t>Costane</t>
  </si>
  <si>
    <t>Dijinanian</t>
  </si>
  <si>
    <t>Konlartian [?]</t>
  </si>
  <si>
    <t>Cavasian [?]</t>
  </si>
  <si>
    <t>Ammanijian [?]</t>
  </si>
  <si>
    <t>Motelyan</t>
  </si>
  <si>
    <t>Aramarkian [?]</t>
  </si>
  <si>
    <t>Mastanyan</t>
  </si>
  <si>
    <t>Hashmizade</t>
  </si>
  <si>
    <t>Zakiemian</t>
  </si>
  <si>
    <t>Haialian</t>
  </si>
  <si>
    <t>Chervichian</t>
  </si>
  <si>
    <t>Georgandjian</t>
  </si>
  <si>
    <t>Tukulian</t>
  </si>
  <si>
    <t>Savgulian</t>
  </si>
  <si>
    <t>Muschitz</t>
  </si>
  <si>
    <t>Omgoudyan [?]</t>
  </si>
  <si>
    <t>Vapazian</t>
  </si>
  <si>
    <t>Varoian</t>
  </si>
  <si>
    <t>Mazabian</t>
  </si>
  <si>
    <t>Nisiangian</t>
  </si>
  <si>
    <t>Khanaskmazian</t>
  </si>
  <si>
    <t>Suppikian</t>
  </si>
  <si>
    <t>Kaloglanian</t>
  </si>
  <si>
    <t>Marganan</t>
  </si>
  <si>
    <t>Berdjouhi</t>
  </si>
  <si>
    <t>Cludronikian</t>
  </si>
  <si>
    <t>Jikann [?]</t>
  </si>
  <si>
    <t>Dochigian</t>
  </si>
  <si>
    <t>Susmeyan</t>
  </si>
  <si>
    <t>Khootchapian</t>
  </si>
  <si>
    <t>Noyaman [?]</t>
  </si>
  <si>
    <t>Sorgarguian</t>
  </si>
  <si>
    <t>Guervoyan</t>
  </si>
  <si>
    <t>Eramica</t>
  </si>
  <si>
    <t>Hungassian</t>
  </si>
  <si>
    <t>Peorjoryan</t>
  </si>
  <si>
    <t>Bedevesian</t>
  </si>
  <si>
    <t>Kankanian</t>
  </si>
  <si>
    <t>Dagdagulian</t>
  </si>
  <si>
    <t>Sakrar [?]</t>
  </si>
  <si>
    <t>Chinavanian</t>
  </si>
  <si>
    <t>Tsiblakian</t>
  </si>
  <si>
    <t>Ersigian</t>
  </si>
  <si>
    <t>Ganafian</t>
  </si>
  <si>
    <t>Chacmian [?]</t>
  </si>
  <si>
    <t>Malzamajian</t>
  </si>
  <si>
    <t>Girdignian</t>
  </si>
  <si>
    <t>Mirrirrian</t>
  </si>
  <si>
    <t>Tehonlian</t>
  </si>
  <si>
    <t>Askekian</t>
  </si>
  <si>
    <t>Tofoyan</t>
  </si>
  <si>
    <t>Karabalakian</t>
  </si>
  <si>
    <t>Ohmiakian</t>
  </si>
  <si>
    <t>Hayayan</t>
  </si>
  <si>
    <t>Zopabrounican</t>
  </si>
  <si>
    <t>Gulragias</t>
  </si>
  <si>
    <t>Khalavian</t>
  </si>
  <si>
    <t>Kogdzian</t>
  </si>
  <si>
    <t>Gulemirzian</t>
  </si>
  <si>
    <t>Madrogian</t>
  </si>
  <si>
    <t>Tsiraotsian</t>
  </si>
  <si>
    <t>Dermercherdinian</t>
  </si>
  <si>
    <t>Tahamian</t>
  </si>
  <si>
    <t>Minarkian</t>
  </si>
  <si>
    <t>Tsebelian</t>
  </si>
  <si>
    <t>Pussiguian</t>
  </si>
  <si>
    <t>Vazoian</t>
  </si>
  <si>
    <t>Igidbashian</t>
  </si>
  <si>
    <t>Derdoian</t>
  </si>
  <si>
    <t>Ayessian</t>
  </si>
  <si>
    <t>Behtebrian</t>
  </si>
  <si>
    <t>Gobliyan</t>
  </si>
  <si>
    <t>Shikatian</t>
  </si>
  <si>
    <t>Mavolian</t>
  </si>
  <si>
    <t>Bozbighikian</t>
  </si>
  <si>
    <t>Batian</t>
  </si>
  <si>
    <t>Kajabedian [?]</t>
  </si>
  <si>
    <t>Mesetsian</t>
  </si>
  <si>
    <t>Sapsuzian</t>
  </si>
  <si>
    <t>Patapoutian</t>
  </si>
  <si>
    <t>Tildjamian</t>
  </si>
  <si>
    <t>Courigian</t>
  </si>
  <si>
    <t>Parodiessian</t>
  </si>
  <si>
    <t>Yaninglitsian</t>
  </si>
  <si>
    <t>Serimajian</t>
  </si>
  <si>
    <t>Merganossian</t>
  </si>
  <si>
    <t>Ahoadian [?]</t>
  </si>
  <si>
    <t>Gagasbanian</t>
  </si>
  <si>
    <t>Kostoghlonian</t>
  </si>
  <si>
    <t>Myar [?]</t>
  </si>
  <si>
    <t>Singarian</t>
  </si>
  <si>
    <t>Chartlian</t>
  </si>
  <si>
    <t>Parvian</t>
  </si>
  <si>
    <t>Warinian [?]</t>
  </si>
  <si>
    <t>Karadozian</t>
  </si>
  <si>
    <t>Akokoian</t>
  </si>
  <si>
    <t>Arabkartzian</t>
  </si>
  <si>
    <t>Ertewjantz</t>
  </si>
  <si>
    <t>Choogligian</t>
  </si>
  <si>
    <t>Loucanian</t>
  </si>
  <si>
    <t>Sakoew-Geworkian</t>
  </si>
  <si>
    <t>Tsift [?] Doudakian</t>
  </si>
  <si>
    <t>Bilbian</t>
  </si>
  <si>
    <t>Karagulezian</t>
  </si>
  <si>
    <t>Erkiptian</t>
  </si>
  <si>
    <t>Kolorian</t>
  </si>
  <si>
    <t>Dankaian</t>
  </si>
  <si>
    <t>Eski Chechirlian</t>
  </si>
  <si>
    <t>Sratbatsian</t>
  </si>
  <si>
    <t>Padmassian</t>
  </si>
  <si>
    <t>Gulparzerjantz</t>
  </si>
  <si>
    <t>Chostoroff</t>
  </si>
  <si>
    <t>Mahsietian</t>
  </si>
  <si>
    <t>Terpoo</t>
  </si>
  <si>
    <t>Hagop-Topalian</t>
  </si>
  <si>
    <t>Dianian</t>
  </si>
  <si>
    <t>Marshall</t>
  </si>
  <si>
    <t>Ermoche</t>
  </si>
  <si>
    <t>Nahbazian</t>
  </si>
  <si>
    <t>Chahtamian</t>
  </si>
  <si>
    <t>Beneush [?]</t>
  </si>
  <si>
    <t>Hasibalian</t>
  </si>
  <si>
    <t>Ashkharonnion</t>
  </si>
  <si>
    <t>Gulzapian</t>
  </si>
  <si>
    <t>Hidikian</t>
  </si>
  <si>
    <t>Berbermanoukian</t>
  </si>
  <si>
    <t>Mahakonian [?]</t>
  </si>
  <si>
    <t>Yahnizian</t>
  </si>
  <si>
    <t>Tsakoupran</t>
  </si>
  <si>
    <t>Coyounian</t>
  </si>
  <si>
    <t>Tantian [?]</t>
  </si>
  <si>
    <t>Helalzadsian</t>
  </si>
  <si>
    <t>Sahrouni</t>
  </si>
  <si>
    <t>Tarpikian</t>
  </si>
  <si>
    <t>Delhatzoglou</t>
  </si>
  <si>
    <t>Vitchenian</t>
  </si>
  <si>
    <t>Atlasian</t>
  </si>
  <si>
    <t>Nissian</t>
  </si>
  <si>
    <t>Bantzetzian</t>
  </si>
  <si>
    <t>Kelartinian</t>
  </si>
  <si>
    <t>Djigoyan</t>
  </si>
  <si>
    <t>Barralian</t>
  </si>
  <si>
    <t>Argyrian</t>
  </si>
  <si>
    <t>Delbedian</t>
  </si>
  <si>
    <t>Jadjinian</t>
  </si>
  <si>
    <t>Bosbedorjan</t>
  </si>
  <si>
    <t>Pilderian</t>
  </si>
  <si>
    <t>Mirzarhanian</t>
  </si>
  <si>
    <t>Kenchkerian</t>
  </si>
  <si>
    <t>Murasian</t>
  </si>
  <si>
    <t>Chinogosian</t>
  </si>
  <si>
    <t>Kourchandjian</t>
  </si>
  <si>
    <t>Karzagadarian [?]</t>
  </si>
  <si>
    <t>Kerdejian</t>
  </si>
  <si>
    <t>Chatzimargossian</t>
  </si>
  <si>
    <t>Basaman</t>
  </si>
  <si>
    <t>Anzanian</t>
  </si>
  <si>
    <t>Hovas</t>
  </si>
  <si>
    <t>Tesrakian</t>
  </si>
  <si>
    <t>Derraganian</t>
  </si>
  <si>
    <t>Auld</t>
  </si>
  <si>
    <t>Morzonian</t>
  </si>
  <si>
    <t>Nasitian</t>
  </si>
  <si>
    <t>Deli Baltaian</t>
  </si>
  <si>
    <t>Barbanian</t>
  </si>
  <si>
    <t>Matchoukian</t>
  </si>
  <si>
    <t>Zofauvan</t>
  </si>
  <si>
    <t>Kuiasian [?]</t>
  </si>
  <si>
    <t>Matsonian</t>
  </si>
  <si>
    <t>Chabedian</t>
  </si>
  <si>
    <t>Hacarmazian</t>
  </si>
  <si>
    <t>Aykanian</t>
  </si>
  <si>
    <t>Evkhanian</t>
  </si>
  <si>
    <t>S---itlian</t>
  </si>
  <si>
    <t>Gemobshian</t>
  </si>
  <si>
    <t>Angelian</t>
  </si>
  <si>
    <t>Candoian</t>
  </si>
  <si>
    <t>Zezdanian</t>
  </si>
  <si>
    <t>Khaznadjian</t>
  </si>
  <si>
    <t>Koundilikian</t>
  </si>
  <si>
    <t>Klutumian</t>
  </si>
  <si>
    <t>Abatjisinonian</t>
  </si>
  <si>
    <t>Mechanian</t>
  </si>
  <si>
    <t>Kulorian</t>
  </si>
  <si>
    <t>Kroybalkian</t>
  </si>
  <si>
    <t>Minania</t>
  </si>
  <si>
    <t>Denkian</t>
  </si>
  <si>
    <t>Comos</t>
  </si>
  <si>
    <t>Sepjerian [?]</t>
  </si>
  <si>
    <t>Kotchnantz [?]</t>
  </si>
  <si>
    <t>Djagnantarian</t>
  </si>
  <si>
    <t>Crosby</t>
  </si>
  <si>
    <t>Munrian</t>
  </si>
  <si>
    <t>Kadjmanian</t>
  </si>
  <si>
    <t>Mekhsiboyan</t>
  </si>
  <si>
    <t>Bepoyan</t>
  </si>
  <si>
    <t>Puculan [?]</t>
  </si>
  <si>
    <t>Alan</t>
  </si>
  <si>
    <t>Mahsesekian</t>
  </si>
  <si>
    <t>Oskelian</t>
  </si>
  <si>
    <t>Djulyesian</t>
  </si>
  <si>
    <t>Annasian</t>
  </si>
  <si>
    <t>Demouriantz</t>
  </si>
  <si>
    <t>Leperdanian</t>
  </si>
  <si>
    <t>Taitkouchion [?]</t>
  </si>
  <si>
    <t>Eardikian</t>
  </si>
  <si>
    <t>Karadjozian</t>
  </si>
  <si>
    <t>Sehoian</t>
  </si>
  <si>
    <t>Steele</t>
  </si>
  <si>
    <t>Fronsian [?]</t>
  </si>
  <si>
    <t>Jejourbian</t>
  </si>
  <si>
    <t>Handjadeian</t>
  </si>
  <si>
    <t>Nooadian [?]</t>
  </si>
  <si>
    <t>Servelian</t>
  </si>
  <si>
    <t>Hamperzoukian</t>
  </si>
  <si>
    <t>Argabetian</t>
  </si>
  <si>
    <t>Tchilohanian</t>
  </si>
  <si>
    <t>Dilarian</t>
  </si>
  <si>
    <t>Poulanian</t>
  </si>
  <si>
    <t>Kunkian</t>
  </si>
  <si>
    <t>Kabbenjian</t>
  </si>
  <si>
    <t>Rounjouklian</t>
  </si>
  <si>
    <t>Dizirian</t>
  </si>
  <si>
    <t>Yersessian</t>
  </si>
  <si>
    <t>Masrafian</t>
  </si>
  <si>
    <t>Tobazian</t>
  </si>
  <si>
    <t>Vegdjioglou</t>
  </si>
  <si>
    <t>Jodjian [?]</t>
  </si>
  <si>
    <t>Doiojian</t>
  </si>
  <si>
    <t>Meltsian</t>
  </si>
  <si>
    <t>Giouduyanoglou</t>
  </si>
  <si>
    <t>Djavdjavian</t>
  </si>
  <si>
    <t>Abahikian [?]</t>
  </si>
  <si>
    <t>Mourghain</t>
  </si>
  <si>
    <t>Kesselezian</t>
  </si>
  <si>
    <t>M---liana</t>
  </si>
  <si>
    <t>Mandinioutz [?]</t>
  </si>
  <si>
    <t>Guefeyan</t>
  </si>
  <si>
    <t>Chertavian</t>
  </si>
  <si>
    <t>Bidilikian</t>
  </si>
  <si>
    <t>Nabaskian</t>
  </si>
  <si>
    <t>Kichlakdjian</t>
  </si>
  <si>
    <t>Gileian</t>
  </si>
  <si>
    <t>Terziniguian</t>
  </si>
  <si>
    <t>Vourtoutian</t>
  </si>
  <si>
    <t>Lajoyan</t>
  </si>
  <si>
    <t>Baghramian</t>
  </si>
  <si>
    <t>Gemlaksizian</t>
  </si>
  <si>
    <t>Nakmorian</t>
  </si>
  <si>
    <t>Partaventian</t>
  </si>
  <si>
    <t>Matibajian</t>
  </si>
  <si>
    <t>Meliksarkisian</t>
  </si>
  <si>
    <t>Ouzounoklawan</t>
  </si>
  <si>
    <t>Marassero</t>
  </si>
  <si>
    <t>Matchoian</t>
  </si>
  <si>
    <t>Chatoukashian</t>
  </si>
  <si>
    <t>Gumbrikian</t>
  </si>
  <si>
    <t>Hagoian</t>
  </si>
  <si>
    <t>Ovduessian</t>
  </si>
  <si>
    <t>Mugian</t>
  </si>
  <si>
    <t>Kadirglian</t>
  </si>
  <si>
    <t>Zulgian</t>
  </si>
  <si>
    <t>Galian</t>
  </si>
  <si>
    <t>Zinkian</t>
  </si>
  <si>
    <t>Tnanian</t>
  </si>
  <si>
    <t>Ghecisian</t>
  </si>
  <si>
    <t>Harsavarian</t>
  </si>
  <si>
    <t>Sciahan</t>
  </si>
  <si>
    <t>Debergian</t>
  </si>
  <si>
    <t>Ramzi</t>
  </si>
  <si>
    <t>Turginagian</t>
  </si>
  <si>
    <t>Chahnamian</t>
  </si>
  <si>
    <t>Silghinian</t>
  </si>
  <si>
    <t>Devupirilian [?]</t>
  </si>
  <si>
    <t>Anegop</t>
  </si>
  <si>
    <t>Djeldakian</t>
  </si>
  <si>
    <t>Sourpetian</t>
  </si>
  <si>
    <t>Citsimagian</t>
  </si>
  <si>
    <t>Kalvakian</t>
  </si>
  <si>
    <t>Khodizoff</t>
  </si>
  <si>
    <t>Eshdelian</t>
  </si>
  <si>
    <t>Ratzian</t>
  </si>
  <si>
    <t>Omrougian</t>
  </si>
  <si>
    <t>Kojobian</t>
  </si>
  <si>
    <t>Hamparchourian</t>
  </si>
  <si>
    <t>Hunter</t>
  </si>
  <si>
    <t>Ausherian</t>
  </si>
  <si>
    <t>Sarikjoglou</t>
  </si>
  <si>
    <t>Avlian</t>
  </si>
  <si>
    <t>Chirmayan</t>
  </si>
  <si>
    <t>Tokorian</t>
  </si>
  <si>
    <t>Chacy</t>
  </si>
  <si>
    <t>Dadelian</t>
  </si>
  <si>
    <t>Girgalian</t>
  </si>
  <si>
    <t>Alkarian</t>
  </si>
  <si>
    <t>Kerkbeshian</t>
  </si>
  <si>
    <t>Gernanian</t>
  </si>
  <si>
    <t>Ayrasian</t>
  </si>
  <si>
    <t>Nakahoian [?]</t>
  </si>
  <si>
    <t>Dicharchian</t>
  </si>
  <si>
    <t>Vouvounikian</t>
  </si>
  <si>
    <t>Emkjian [?]</t>
  </si>
  <si>
    <t>Maikhanajian</t>
  </si>
  <si>
    <t>Kowbakian</t>
  </si>
  <si>
    <t>Tchagagian</t>
  </si>
  <si>
    <t>Nuslian</t>
  </si>
  <si>
    <t>Diginanian</t>
  </si>
  <si>
    <t>Djichanchalian</t>
  </si>
  <si>
    <t>Dabourian</t>
  </si>
  <si>
    <t>Bagligian</t>
  </si>
  <si>
    <t>Mechevan</t>
  </si>
  <si>
    <t>Caftanian</t>
  </si>
  <si>
    <t>Patrikian</t>
  </si>
  <si>
    <t>Fokjian</t>
  </si>
  <si>
    <t>Lranian</t>
  </si>
  <si>
    <t>Lazian</t>
  </si>
  <si>
    <t>Kejiyian [?]</t>
  </si>
  <si>
    <t>Hamahian</t>
  </si>
  <si>
    <t>Kadifjian</t>
  </si>
  <si>
    <t>Agimikian</t>
  </si>
  <si>
    <t>Paoludat [?]</t>
  </si>
  <si>
    <t>Osbijian</t>
  </si>
  <si>
    <t>Zmeroukhdian</t>
  </si>
  <si>
    <t>Sagenien [?]</t>
  </si>
  <si>
    <t>Tepegozian</t>
  </si>
  <si>
    <t>Karrigan</t>
  </si>
  <si>
    <t>Choochakian</t>
  </si>
  <si>
    <t>Arounderian</t>
  </si>
  <si>
    <t>Perebeian</t>
  </si>
  <si>
    <t>Amouchian</t>
  </si>
  <si>
    <t>Mesadzian</t>
  </si>
  <si>
    <t>Kayan [?]</t>
  </si>
  <si>
    <t>Harsoutomnian</t>
  </si>
  <si>
    <t>Wechsler</t>
  </si>
  <si>
    <t>Kolodian</t>
  </si>
  <si>
    <t>Tchydernian</t>
  </si>
  <si>
    <t>Dobakian</t>
  </si>
  <si>
    <t>Troshaguirian</t>
  </si>
  <si>
    <t>Heukelekian</t>
  </si>
  <si>
    <t>Teranian</t>
  </si>
  <si>
    <t>Nartanian [?]</t>
  </si>
  <si>
    <t>Subenkian</t>
  </si>
  <si>
    <t>Terzihadiyan</t>
  </si>
  <si>
    <t>Simpatian</t>
  </si>
  <si>
    <t>Gorcoonian [?]</t>
  </si>
  <si>
    <t>Shamshapian</t>
  </si>
  <si>
    <t>Astanikian</t>
  </si>
  <si>
    <t>Haaikian</t>
  </si>
  <si>
    <t>Bedoudian</t>
  </si>
  <si>
    <t>Masonian [?]</t>
  </si>
  <si>
    <t>Tutaranian</t>
  </si>
  <si>
    <t>Dashdiraguian</t>
  </si>
  <si>
    <t>Touhtalimian</t>
  </si>
  <si>
    <t>Tsomadarian</t>
  </si>
  <si>
    <t>Derbredavian</t>
  </si>
  <si>
    <t>Evdjikian</t>
  </si>
  <si>
    <t>Bapilian [?]</t>
  </si>
  <si>
    <t>Guerbedjian</t>
  </si>
  <si>
    <t>Touanikian</t>
  </si>
  <si>
    <t>Gurlekian</t>
  </si>
  <si>
    <t>Hekekian</t>
  </si>
  <si>
    <t>Oustardinian</t>
  </si>
  <si>
    <t>Akchantzi</t>
  </si>
  <si>
    <t>Cokrian</t>
  </si>
  <si>
    <t>Tchanshmadjian</t>
  </si>
  <si>
    <t>Harzerigom [?]</t>
  </si>
  <si>
    <t>Telessimian</t>
  </si>
  <si>
    <t>Norazian</t>
  </si>
  <si>
    <t>Asimian</t>
  </si>
  <si>
    <t>Wentzel</t>
  </si>
  <si>
    <t>Karadediyan</t>
  </si>
  <si>
    <t>Varsanian</t>
  </si>
  <si>
    <t>Saadetian</t>
  </si>
  <si>
    <t>Aradimian</t>
  </si>
  <si>
    <t>Mouhousian</t>
  </si>
  <si>
    <t>Chassirian</t>
  </si>
  <si>
    <t>Araktzian</t>
  </si>
  <si>
    <t>Martirigian</t>
  </si>
  <si>
    <t>Ashian</t>
  </si>
  <si>
    <t>Amerisan</t>
  </si>
  <si>
    <t>Bafralian</t>
  </si>
  <si>
    <t>Sekerjian</t>
  </si>
  <si>
    <t>Tenghiofsian</t>
  </si>
  <si>
    <t>Gu---n</t>
  </si>
  <si>
    <t>Baklahvian [?]</t>
  </si>
  <si>
    <t>Joseph</t>
  </si>
  <si>
    <t>Keskinian</t>
  </si>
  <si>
    <t>Magayov</t>
  </si>
  <si>
    <t>Finjanjian</t>
  </si>
  <si>
    <t>Tsacoogian</t>
  </si>
  <si>
    <t>Caradian</t>
  </si>
  <si>
    <t>Lentiyan</t>
  </si>
  <si>
    <t>Giapoukian</t>
  </si>
  <si>
    <t>Banadonian</t>
  </si>
  <si>
    <t>Feopilian</t>
  </si>
  <si>
    <t>Wogarian</t>
  </si>
  <si>
    <t>Gudlozian</t>
  </si>
  <si>
    <t>Shahimouradian</t>
  </si>
  <si>
    <t>Chopalian</t>
  </si>
  <si>
    <t>Kirgotzian</t>
  </si>
  <si>
    <t>Barbarchian</t>
  </si>
  <si>
    <t>Chatcheressian</t>
  </si>
  <si>
    <t>Rajarian</t>
  </si>
  <si>
    <t>Karagemian</t>
  </si>
  <si>
    <t>Voubarque</t>
  </si>
  <si>
    <t>Teponasyantz</t>
  </si>
  <si>
    <t>Ohanjanian</t>
  </si>
  <si>
    <t>Ijian</t>
  </si>
  <si>
    <t>Salerian</t>
  </si>
  <si>
    <t>Johanian [?]</t>
  </si>
  <si>
    <t>Razkerian</t>
  </si>
  <si>
    <t>Saydjian</t>
  </si>
  <si>
    <t>Shahboudakian</t>
  </si>
  <si>
    <t>Degouzian</t>
  </si>
  <si>
    <t>Zersian</t>
  </si>
  <si>
    <t>Agiocian [?]</t>
  </si>
  <si>
    <t>Tchaprastian</t>
  </si>
  <si>
    <t>Gubrian</t>
  </si>
  <si>
    <t>Muklesian</t>
  </si>
  <si>
    <t>Chooharmatian</t>
  </si>
  <si>
    <t>Paromaan [?]</t>
  </si>
  <si>
    <t>Tzabakian</t>
  </si>
  <si>
    <t>Denbeughian</t>
  </si>
  <si>
    <t>Kelkelian</t>
  </si>
  <si>
    <t>Stanoyan</t>
  </si>
  <si>
    <t>Donabashian</t>
  </si>
  <si>
    <t>Doukberjian</t>
  </si>
  <si>
    <t>Tziloglian</t>
  </si>
  <si>
    <t>Yodanian</t>
  </si>
  <si>
    <t>Tchaldirian</t>
  </si>
  <si>
    <t>Zanoian</t>
  </si>
  <si>
    <t>Tchlemedjian</t>
  </si>
  <si>
    <t>Adadourian</t>
  </si>
  <si>
    <t>Kunanian [?]</t>
  </si>
  <si>
    <t>Zavitian</t>
  </si>
  <si>
    <t>Chouraklian</t>
  </si>
  <si>
    <t>Granian</t>
  </si>
  <si>
    <t>Degajerian</t>
  </si>
  <si>
    <t>Yourekjan</t>
  </si>
  <si>
    <t>Shamkeljian</t>
  </si>
  <si>
    <t>Kytanian [?]</t>
  </si>
  <si>
    <t>Mechefedjian</t>
  </si>
  <si>
    <t>Baghinian</t>
  </si>
  <si>
    <t>Alipagaryan</t>
  </si>
  <si>
    <t>Esketlian</t>
  </si>
  <si>
    <t>Kojababian</t>
  </si>
  <si>
    <t>Jamharian [?]</t>
  </si>
  <si>
    <t>Magarosian</t>
  </si>
  <si>
    <t>Albertian</t>
  </si>
  <si>
    <t>Kourbukian</t>
  </si>
  <si>
    <t>Tizmanian</t>
  </si>
  <si>
    <t>Maitcan</t>
  </si>
  <si>
    <t>Rismanian</t>
  </si>
  <si>
    <t>Srakorgian</t>
  </si>
  <si>
    <t>Khupian</t>
  </si>
  <si>
    <t>Hkurcrjin [?]</t>
  </si>
  <si>
    <t>Keraljan</t>
  </si>
  <si>
    <t>Trespakhanian</t>
  </si>
  <si>
    <t>Yardjian</t>
  </si>
  <si>
    <t>Artin Khamakian</t>
  </si>
  <si>
    <t>Tsenazian</t>
  </si>
  <si>
    <t>Manousakian</t>
  </si>
  <si>
    <t>Ghedranian</t>
  </si>
  <si>
    <t>Idabra</t>
  </si>
  <si>
    <t>Yaiban</t>
  </si>
  <si>
    <t>Hututian</t>
  </si>
  <si>
    <t>Takrosian</t>
  </si>
  <si>
    <t>Yurdjian</t>
  </si>
  <si>
    <t>Ribarian</t>
  </si>
  <si>
    <t>Bazakan [?]</t>
  </si>
  <si>
    <t>Guldurikian</t>
  </si>
  <si>
    <t>Zabouchian</t>
  </si>
  <si>
    <t>Hatoumian</t>
  </si>
  <si>
    <t>Karounthian</t>
  </si>
  <si>
    <t>Yangounian</t>
  </si>
  <si>
    <t>Temourasian</t>
  </si>
  <si>
    <t>Pouchian</t>
  </si>
  <si>
    <t>Kiferzian [?]</t>
  </si>
  <si>
    <t>Planjian</t>
  </si>
  <si>
    <t>Doujandjian</t>
  </si>
  <si>
    <t>Hromosian [?]</t>
  </si>
  <si>
    <t>Gawyan</t>
  </si>
  <si>
    <t>Crechrian</t>
  </si>
  <si>
    <t>Sekovian</t>
  </si>
  <si>
    <t>Meklolian</t>
  </si>
  <si>
    <t>Fosian</t>
  </si>
  <si>
    <t>Tehitchekdjia</t>
  </si>
  <si>
    <t>Teossian</t>
  </si>
  <si>
    <t>Ispekasian</t>
  </si>
  <si>
    <t>Kourountzian</t>
  </si>
  <si>
    <t>Megmarian</t>
  </si>
  <si>
    <t>Herebogossian</t>
  </si>
  <si>
    <t>Bujihian [?]</t>
  </si>
  <si>
    <t>Ferseklian [?]</t>
  </si>
  <si>
    <t>Choukadar</t>
  </si>
  <si>
    <t>Haivagian</t>
  </si>
  <si>
    <t>Kirimlian</t>
  </si>
  <si>
    <t>Siloyan</t>
  </si>
  <si>
    <t>Vitanessian</t>
  </si>
  <si>
    <t>Tsotsarkissian</t>
  </si>
  <si>
    <t>Dehouzlian</t>
  </si>
  <si>
    <t>Dijiranian</t>
  </si>
  <si>
    <t>Charshoudian</t>
  </si>
  <si>
    <t>Sahterian</t>
  </si>
  <si>
    <t>Chasmayan</t>
  </si>
  <si>
    <t>Douvian</t>
  </si>
  <si>
    <t>Galenkdigian</t>
  </si>
  <si>
    <t>Kurnalian</t>
  </si>
  <si>
    <t>Kaiskian</t>
  </si>
  <si>
    <t>Nemsherlian</t>
  </si>
  <si>
    <t>Margopian</t>
  </si>
  <si>
    <t>Simitrian</t>
  </si>
  <si>
    <t>Guerndjian</t>
  </si>
  <si>
    <t>Tranoghian</t>
  </si>
  <si>
    <t>Georghigian [?]</t>
  </si>
  <si>
    <t>Huchkarduchian [?]</t>
  </si>
  <si>
    <t>Lingiriyan</t>
  </si>
  <si>
    <t>Diritian</t>
  </si>
  <si>
    <t>Gelalian</t>
  </si>
  <si>
    <t>Kynretian [?]</t>
  </si>
  <si>
    <t>Jataelian</t>
  </si>
  <si>
    <t>Zalemian</t>
  </si>
  <si>
    <t>Meghrouni</t>
  </si>
  <si>
    <t>Hambian</t>
  </si>
  <si>
    <t>Kenftagian</t>
  </si>
  <si>
    <t>Kolakekian</t>
  </si>
  <si>
    <t>Chasian</t>
  </si>
  <si>
    <t>Goudjian</t>
  </si>
  <si>
    <t>Zochigian</t>
  </si>
  <si>
    <t>Jenjighoukian</t>
  </si>
  <si>
    <t>Angejoogian</t>
  </si>
  <si>
    <t>Ochanian</t>
  </si>
  <si>
    <t>Der Aparian</t>
  </si>
  <si>
    <t>Andjikian</t>
  </si>
  <si>
    <t>Eutagian [?]</t>
  </si>
  <si>
    <t>Parsentzian</t>
  </si>
  <si>
    <t>Vegneian</t>
  </si>
  <si>
    <t>Kurdipan</t>
  </si>
  <si>
    <t>Almoukhanian</t>
  </si>
  <si>
    <t>Managia</t>
  </si>
  <si>
    <t>Sarakalian</t>
  </si>
  <si>
    <t>Choragagoian</t>
  </si>
  <si>
    <t>Manskian</t>
  </si>
  <si>
    <t>Telmestrof</t>
  </si>
  <si>
    <t>Algouichian</t>
  </si>
  <si>
    <t>Amisian</t>
  </si>
  <si>
    <t>Saribekoff</t>
  </si>
  <si>
    <t>Sadim</t>
  </si>
  <si>
    <t>Shateroanessian</t>
  </si>
  <si>
    <t>Koorginian</t>
  </si>
  <si>
    <t>Benanian [?]</t>
  </si>
  <si>
    <t>Mengenedjean</t>
  </si>
  <si>
    <t>Thifgurnerzian</t>
  </si>
  <si>
    <t>Nazsoian</t>
  </si>
  <si>
    <t>Kopouchian</t>
  </si>
  <si>
    <t>Zahinian</t>
  </si>
  <si>
    <t>Aguitian</t>
  </si>
  <si>
    <t>Charvir</t>
  </si>
  <si>
    <t>Kronorebrian [?]</t>
  </si>
  <si>
    <t>Yessergian</t>
  </si>
  <si>
    <t>Nikorian</t>
  </si>
  <si>
    <t>Mirzegantsian</t>
  </si>
  <si>
    <t>Gaprechian</t>
  </si>
  <si>
    <t>Aglimian</t>
  </si>
  <si>
    <t>Gotchamparian</t>
  </si>
  <si>
    <t>Tcharvouch</t>
  </si>
  <si>
    <t>Sebastian</t>
  </si>
  <si>
    <t>Boyarezian [?]</t>
  </si>
  <si>
    <t>Kizilkechichian</t>
  </si>
  <si>
    <t>Sinabian</t>
  </si>
  <si>
    <t>Merkounian</t>
  </si>
  <si>
    <t>Melik-Khachadourian</t>
  </si>
  <si>
    <t>Charadian</t>
  </si>
  <si>
    <t>Abagnian</t>
  </si>
  <si>
    <t>Chapshapian</t>
  </si>
  <si>
    <t>Newjikian</t>
  </si>
  <si>
    <t>Bourounlian</t>
  </si>
  <si>
    <t>Postuldjian</t>
  </si>
  <si>
    <t>Yaylanian</t>
  </si>
  <si>
    <t>Scis</t>
  </si>
  <si>
    <t>Bahramoushian</t>
  </si>
  <si>
    <t>Halbian</t>
  </si>
  <si>
    <t>Guirgerian</t>
  </si>
  <si>
    <t>Mekselian</t>
  </si>
  <si>
    <t>Tchelesbaschian</t>
  </si>
  <si>
    <t>Jepmesupian [?]</t>
  </si>
  <si>
    <t>Karalokian</t>
  </si>
  <si>
    <t>Lambigian</t>
  </si>
  <si>
    <t>Nablatian</t>
  </si>
  <si>
    <t>Tarmchan [?]</t>
  </si>
  <si>
    <t>Kinkdjian</t>
  </si>
  <si>
    <t>Anazian</t>
  </si>
  <si>
    <t>Tabandjian</t>
  </si>
  <si>
    <t>Eshow</t>
  </si>
  <si>
    <t>Megsasian</t>
  </si>
  <si>
    <t>Garkoudian</t>
  </si>
  <si>
    <t>Gobejan</t>
  </si>
  <si>
    <t>Morsian</t>
  </si>
  <si>
    <t>Pusgulian</t>
  </si>
  <si>
    <t>Dadooligian</t>
  </si>
  <si>
    <t>Marsian [?]</t>
  </si>
  <si>
    <t>Amania</t>
  </si>
  <si>
    <t>Der Soanianz</t>
  </si>
  <si>
    <t>Avagianian</t>
  </si>
  <si>
    <t>Bersimajian</t>
  </si>
  <si>
    <t>Soutelian</t>
  </si>
  <si>
    <t>Inekelo</t>
  </si>
  <si>
    <t>Tissidjian</t>
  </si>
  <si>
    <t>Menguerdjian</t>
  </si>
  <si>
    <t>Barsona</t>
  </si>
  <si>
    <t>Tirikellian</t>
  </si>
  <si>
    <t>Eklirkioglou</t>
  </si>
  <si>
    <t>Bitgijian</t>
  </si>
  <si>
    <t>Yinguidirian</t>
  </si>
  <si>
    <t>Sowadorff</t>
  </si>
  <si>
    <t>Hezarifend</t>
  </si>
  <si>
    <t>Markenisian</t>
  </si>
  <si>
    <t>Hurbuykian</t>
  </si>
  <si>
    <t>Natjan</t>
  </si>
  <si>
    <t>Santa Simenian</t>
  </si>
  <si>
    <t>Ketokigian [?]</t>
  </si>
  <si>
    <t>Bayentz</t>
  </si>
  <si>
    <t>Ghemalmazian</t>
  </si>
  <si>
    <t>Hedr---</t>
  </si>
  <si>
    <t>Kanladian</t>
  </si>
  <si>
    <t>Deliboghosian</t>
  </si>
  <si>
    <t>Ani---yan</t>
  </si>
  <si>
    <t>Guekian</t>
  </si>
  <si>
    <t>Karadoumanian</t>
  </si>
  <si>
    <t>Emlakian</t>
  </si>
  <si>
    <t>Dersimendyan</t>
  </si>
  <si>
    <t>Karahagopian</t>
  </si>
  <si>
    <t>Vichacayan</t>
  </si>
  <si>
    <t>Zarmatzian</t>
  </si>
  <si>
    <t>Jauzek</t>
  </si>
  <si>
    <t>Trabizonlian</t>
  </si>
  <si>
    <t>Zelveian</t>
  </si>
  <si>
    <t>Dabis</t>
  </si>
  <si>
    <t>Hatosian</t>
  </si>
  <si>
    <t>Aghovian</t>
  </si>
  <si>
    <t>Diarian</t>
  </si>
  <si>
    <t>Avjian</t>
  </si>
  <si>
    <t>Engourdan</t>
  </si>
  <si>
    <t>Basalian</t>
  </si>
  <si>
    <t>Oknanian</t>
  </si>
  <si>
    <t>Sacherian</t>
  </si>
  <si>
    <t>Churipian</t>
  </si>
  <si>
    <t>Yazeditter</t>
  </si>
  <si>
    <t>Chabalian</t>
  </si>
  <si>
    <t>Sarzinsian</t>
  </si>
  <si>
    <t>Hortodoghian</t>
  </si>
  <si>
    <t>Salibi</t>
  </si>
  <si>
    <t>Defaidzan</t>
  </si>
  <si>
    <t>Dgaronkian</t>
  </si>
  <si>
    <t>Gerimian</t>
  </si>
  <si>
    <t>Yardarian</t>
  </si>
  <si>
    <t>Yerelikian [?]</t>
  </si>
  <si>
    <t>Bichkirjian</t>
  </si>
  <si>
    <t>Achedarian</t>
  </si>
  <si>
    <t>Kaykemian</t>
  </si>
  <si>
    <t>Kargaian</t>
  </si>
  <si>
    <t>Danadkian</t>
  </si>
  <si>
    <t>Kuftajian</t>
  </si>
  <si>
    <t>Kerboghosian</t>
  </si>
  <si>
    <t>Mourtavitian [?]</t>
  </si>
  <si>
    <t>Mouselgian</t>
  </si>
  <si>
    <t>Tantalion</t>
  </si>
  <si>
    <t>Kachikemanian</t>
  </si>
  <si>
    <t>Dourgoutian</t>
  </si>
  <si>
    <t>Sooltaian</t>
  </si>
  <si>
    <t>Beuian</t>
  </si>
  <si>
    <t>Kustsuchian</t>
  </si>
  <si>
    <t>Topaltorosian</t>
  </si>
  <si>
    <t>Endjoughian</t>
  </si>
  <si>
    <t>Kaprasian</t>
  </si>
  <si>
    <t>Kointsian</t>
  </si>
  <si>
    <t>Akoukian</t>
  </si>
  <si>
    <t>Kugnidjian</t>
  </si>
  <si>
    <t>Cadorian [?]</t>
  </si>
  <si>
    <t>Ismoyan</t>
  </si>
  <si>
    <t>Miressian [?]</t>
  </si>
  <si>
    <t>Tozlosyan</t>
  </si>
  <si>
    <t>Tezekian</t>
  </si>
  <si>
    <t>Vajanian</t>
  </si>
  <si>
    <t>Bildaians</t>
  </si>
  <si>
    <t>Nunikian</t>
  </si>
  <si>
    <t>Kambarasian</t>
  </si>
  <si>
    <t>Hadjiminian</t>
  </si>
  <si>
    <t>Gakarian</t>
  </si>
  <si>
    <t>Migirhatian [?]</t>
  </si>
  <si>
    <t>Helmonizzian</t>
  </si>
  <si>
    <t>Hambolean</t>
  </si>
  <si>
    <t>Assadkhanian</t>
  </si>
  <si>
    <t>Irgatian [?]</t>
  </si>
  <si>
    <t>Kirmonyan</t>
  </si>
  <si>
    <t>Kankadian</t>
  </si>
  <si>
    <t>Chabinian</t>
  </si>
  <si>
    <t>Minian</t>
  </si>
  <si>
    <t>Cimarian</t>
  </si>
  <si>
    <t>Benatorosian</t>
  </si>
  <si>
    <t>Apirchan</t>
  </si>
  <si>
    <t>Metacsorlian [?]</t>
  </si>
  <si>
    <t>Melkonoff-Eghisiantz</t>
  </si>
  <si>
    <t>Haratgian</t>
  </si>
  <si>
    <t>Chenebian</t>
  </si>
  <si>
    <t>Isbetcherian</t>
  </si>
  <si>
    <t>Charberian</t>
  </si>
  <si>
    <t>Derlarian</t>
  </si>
  <si>
    <t>Daltalian</t>
  </si>
  <si>
    <t>Bahjebanian</t>
  </si>
  <si>
    <t>Ohnvian</t>
  </si>
  <si>
    <t>Zulatian [?]</t>
  </si>
  <si>
    <t>Mancouvian</t>
  </si>
  <si>
    <t>Ogroyan</t>
  </si>
  <si>
    <t>Jiossakian</t>
  </si>
  <si>
    <t>Youdiyian</t>
  </si>
  <si>
    <t>Knaraharian</t>
  </si>
  <si>
    <t>Tsilinghian</t>
  </si>
  <si>
    <t>Carsamien</t>
  </si>
  <si>
    <t>Lontegian</t>
  </si>
  <si>
    <t>Kelsgaelogain</t>
  </si>
  <si>
    <t>Dernbalaguian [?]</t>
  </si>
  <si>
    <t>Markian</t>
  </si>
  <si>
    <t>Baimdirian</t>
  </si>
  <si>
    <t>Hidimjan</t>
  </si>
  <si>
    <t>Janfarian</t>
  </si>
  <si>
    <t>Kirdagorian</t>
  </si>
  <si>
    <t>Toumelian</t>
  </si>
  <si>
    <t>Takhikian</t>
  </si>
  <si>
    <t>Kospoian</t>
  </si>
  <si>
    <t>Bicakarian</t>
  </si>
  <si>
    <t>Kuchabedintg [?]</t>
  </si>
  <si>
    <t>Islirian</t>
  </si>
  <si>
    <t>Sevtarjian</t>
  </si>
  <si>
    <t>Bochigian</t>
  </si>
  <si>
    <t>Sohresgian</t>
  </si>
  <si>
    <t>Mitran</t>
  </si>
  <si>
    <t>Barkevian</t>
  </si>
  <si>
    <t>Nazarbekian</t>
  </si>
  <si>
    <t>Levghiran [?]</t>
  </si>
  <si>
    <t>Hatchetus</t>
  </si>
  <si>
    <t>Tocholian</t>
  </si>
  <si>
    <t>Silvayan</t>
  </si>
  <si>
    <t>Maksigaroyan</t>
  </si>
  <si>
    <t>Serbogossian</t>
  </si>
  <si>
    <t>Alexander</t>
  </si>
  <si>
    <t>Gerberian</t>
  </si>
  <si>
    <t>Tojrisian</t>
  </si>
  <si>
    <t>Nephian</t>
  </si>
  <si>
    <t>Tadjan</t>
  </si>
  <si>
    <t>Nazarnigoian</t>
  </si>
  <si>
    <t>Eliceian</t>
  </si>
  <si>
    <t>Yasesian</t>
  </si>
  <si>
    <t>Tonojantz</t>
  </si>
  <si>
    <t>Terbekian [?]</t>
  </si>
  <si>
    <t>Sulinan</t>
  </si>
  <si>
    <t>Saratirzian [Terzian]</t>
  </si>
  <si>
    <t>Sharvaian</t>
  </si>
  <si>
    <t>Lakian</t>
  </si>
  <si>
    <t>Goutzukchakian</t>
  </si>
  <si>
    <t>Bagradanian</t>
  </si>
  <si>
    <t>Parmkoyan</t>
  </si>
  <si>
    <t>Chahmian [?]</t>
  </si>
  <si>
    <t>Sortjetsian</t>
  </si>
  <si>
    <t>Chelasouzian</t>
  </si>
  <si>
    <t>Goudarian</t>
  </si>
  <si>
    <t>Kviazian</t>
  </si>
  <si>
    <t>Babb</t>
  </si>
  <si>
    <t>Radojow</t>
  </si>
  <si>
    <t>Hashazian</t>
  </si>
  <si>
    <t>Reulian</t>
  </si>
  <si>
    <t>Tajovian [?]</t>
  </si>
  <si>
    <t>Keghan</t>
  </si>
  <si>
    <t>Ballinchakian</t>
  </si>
  <si>
    <t>Djirnikian</t>
  </si>
  <si>
    <t>Tamclian</t>
  </si>
  <si>
    <t>Knabedjian</t>
  </si>
  <si>
    <t>Yelleian</t>
  </si>
  <si>
    <t>Operian</t>
  </si>
  <si>
    <t>Chachguinian</t>
  </si>
  <si>
    <t>Tzolayan</t>
  </si>
  <si>
    <t>Balkavanian</t>
  </si>
  <si>
    <t>Barbabertian</t>
  </si>
  <si>
    <t>Vitzichian</t>
  </si>
  <si>
    <t>Matinian</t>
  </si>
  <si>
    <t>Kasfasian</t>
  </si>
  <si>
    <t>Djeuherian</t>
  </si>
  <si>
    <t>Cotsonian</t>
  </si>
  <si>
    <t>Pusjian</t>
  </si>
  <si>
    <t>Djendermian</t>
  </si>
  <si>
    <t>Djin-Tchakmekian</t>
  </si>
  <si>
    <t>Hommarian</t>
  </si>
  <si>
    <t>Chervadian</t>
  </si>
  <si>
    <t>Djebekerian</t>
  </si>
  <si>
    <t>Tsatalian</t>
  </si>
  <si>
    <t>Chionekjan [?]</t>
  </si>
  <si>
    <t>Shantechian</t>
  </si>
  <si>
    <t>Hadepjan [?]</t>
  </si>
  <si>
    <t>Haialian [?]</t>
  </si>
  <si>
    <t>Kouriganian</t>
  </si>
  <si>
    <t>Alanyan</t>
  </si>
  <si>
    <t>Bosyahanian</t>
  </si>
  <si>
    <t>Kaniazian</t>
  </si>
  <si>
    <t>Last Name (Std.)</t>
  </si>
  <si>
    <t>%</t>
  </si>
  <si>
    <t>Rank</t>
  </si>
  <si>
    <t>4-Jan-1928</t>
  </si>
  <si>
    <t>22-Aug-1928</t>
  </si>
  <si>
    <t>28-Aug-1928</t>
  </si>
  <si>
    <t>27-Oct-1890</t>
  </si>
  <si>
    <t>11-Dec-1927</t>
  </si>
  <si>
    <t>7-Dec-1927</t>
  </si>
  <si>
    <t>Siboney</t>
  </si>
  <si>
    <t>23-Mar-1926</t>
  </si>
  <si>
    <t>9-Jun-1930</t>
  </si>
  <si>
    <t>3-Jun-1930</t>
  </si>
  <si>
    <t>9-Jul-1914</t>
  </si>
  <si>
    <t>8-Aug-1931</t>
  </si>
  <si>
    <t>16-Aug-1931</t>
  </si>
  <si>
    <t>22-Oct-1928</t>
  </si>
  <si>
    <t>Kamarima</t>
  </si>
  <si>
    <t>30-Dec-1920</t>
  </si>
  <si>
    <t>Jun-1897</t>
  </si>
  <si>
    <t>Manchester Trader</t>
  </si>
  <si>
    <t>28-Dec-1905</t>
  </si>
  <si>
    <t>7-Jul-1929</t>
  </si>
  <si>
    <t>15-Jun-1929</t>
  </si>
  <si>
    <t>8-Jul-1921</t>
  </si>
  <si>
    <t>Montserrat</t>
  </si>
  <si>
    <t>Barcelona</t>
  </si>
  <si>
    <t>25-Dec-1915</t>
  </si>
  <si>
    <t>11-Jan-1916</t>
  </si>
  <si>
    <t>28-Aug-1907</t>
  </si>
  <si>
    <t>13-Oct-1936</t>
  </si>
  <si>
    <t>29-Sep-1936</t>
  </si>
  <si>
    <t>24-Dec-1918</t>
  </si>
  <si>
    <t>21-Sep-1927</t>
  </si>
  <si>
    <t>28-Sep-1927</t>
  </si>
  <si>
    <t>30-Jun-1933</t>
  </si>
  <si>
    <t>14-Jul-1933</t>
  </si>
  <si>
    <t>25-Apr-1914</t>
  </si>
  <si>
    <t>20-Apr-1926</t>
  </si>
  <si>
    <t>Sado Maru</t>
  </si>
  <si>
    <t>20-Dec-1916</t>
  </si>
  <si>
    <t>5-Jan-1917</t>
  </si>
  <si>
    <t>18-Dec-1928</t>
  </si>
  <si>
    <t>25-Dec-1928</t>
  </si>
  <si>
    <t>5-Apr-1905</t>
  </si>
  <si>
    <t>2-May-1911</t>
  </si>
  <si>
    <t>10-May-1939</t>
  </si>
  <si>
    <t>4-May-1939</t>
  </si>
  <si>
    <t>London (via Le Havre)</t>
  </si>
  <si>
    <t>12-Jul-1886</t>
  </si>
  <si>
    <t>7-Nov-1913</t>
  </si>
  <si>
    <t>28-May-1921</t>
  </si>
  <si>
    <t>Tongariro</t>
  </si>
  <si>
    <t>Quebec, QC</t>
  </si>
  <si>
    <t>21-Sep-1898</t>
  </si>
  <si>
    <t>20-Mar-1902</t>
  </si>
  <si>
    <t>31-Mar-1902</t>
  </si>
  <si>
    <t>4-Dec-1895</t>
  </si>
  <si>
    <t>22-Dec-1910</t>
  </si>
  <si>
    <t>9-Feb-1911</t>
  </si>
  <si>
    <t>10-Apr-1911</t>
  </si>
  <si>
    <t>23-Apr-1911</t>
  </si>
  <si>
    <t>15-Jan-1912</t>
  </si>
  <si>
    <t>5-Aug-1912</t>
  </si>
  <si>
    <t>29-Sep-1912</t>
  </si>
  <si>
    <t>15-Nov-1912</t>
  </si>
  <si>
    <t>7-Jan-1914</t>
  </si>
  <si>
    <t>15-Jan-1914</t>
  </si>
  <si>
    <t>11-Jan-1923</t>
  </si>
  <si>
    <t>6-Feb-1923</t>
  </si>
  <si>
    <t>13-May-1914</t>
  </si>
  <si>
    <t>27-Jun-1915</t>
  </si>
  <si>
    <t>7-Jul-1915</t>
  </si>
  <si>
    <t>23-Jun-1923</t>
  </si>
  <si>
    <t>Volendam</t>
  </si>
  <si>
    <t>30-Dec-1925</t>
  </si>
  <si>
    <t>9-Jan-1926</t>
  </si>
  <si>
    <t>26-May-1932</t>
  </si>
  <si>
    <t>1-May-1932</t>
  </si>
  <si>
    <t>24-Jun-1919</t>
  </si>
  <si>
    <t>21-Oct-1931</t>
  </si>
  <si>
    <t>12-Oct-1927</t>
  </si>
  <si>
    <t>24-Nov-1923</t>
  </si>
  <si>
    <t>29-Jan-1924</t>
  </si>
  <si>
    <t>21-Aug-1922</t>
  </si>
  <si>
    <t>6-Jul-1922</t>
  </si>
  <si>
    <t>15-Jan-1930</t>
  </si>
  <si>
    <t>23-Jan-1930</t>
  </si>
  <si>
    <t>Tyrrhenia</t>
  </si>
  <si>
    <t>22-Oct-1938</t>
  </si>
  <si>
    <t>13-Oct-1938</t>
  </si>
  <si>
    <t>18-Sep-1929</t>
  </si>
  <si>
    <t>24-Sep-1929</t>
  </si>
  <si>
    <t>19-Dec-1929</t>
  </si>
  <si>
    <t>1-Jan-1930</t>
  </si>
  <si>
    <t>2-Jul-1926</t>
  </si>
  <si>
    <t>7-Aug-1926</t>
  </si>
  <si>
    <t>2-Dec-1930</t>
  </si>
  <si>
    <t>15-Nov-1930</t>
  </si>
  <si>
    <t>Regina</t>
  </si>
  <si>
    <t>17-Aug-1923</t>
  </si>
  <si>
    <t>25-Aug-1923</t>
  </si>
  <si>
    <t>22-Jul-1914</t>
  </si>
  <si>
    <t>20-Oct-1920</t>
  </si>
  <si>
    <t>24-May-1921</t>
  </si>
  <si>
    <t>30-Aug-1939</t>
  </si>
  <si>
    <t>4-Sep-1939</t>
  </si>
  <si>
    <t>Pan America</t>
  </si>
  <si>
    <t>12-Dec-1923</t>
  </si>
  <si>
    <t>American Legion</t>
  </si>
  <si>
    <t>4-Aug-1925</t>
  </si>
  <si>
    <t>17-Aug-1925</t>
  </si>
  <si>
    <t>27-Feb-1912</t>
  </si>
  <si>
    <t>13-Aug-1925</t>
  </si>
  <si>
    <t>Monterrey</t>
  </si>
  <si>
    <t>19-May-1926</t>
  </si>
  <si>
    <t>28-May-1926</t>
  </si>
  <si>
    <t>3-Dec-1929</t>
  </si>
  <si>
    <t>14-Nov-1929</t>
  </si>
  <si>
    <t>3-Nov-1926</t>
  </si>
  <si>
    <t>1-Mar-1927</t>
  </si>
  <si>
    <t>17-Mar-1927</t>
  </si>
  <si>
    <t>25-Jul-1906</t>
  </si>
  <si>
    <t>Empress of Britain</t>
  </si>
  <si>
    <t>24-Mar-1921</t>
  </si>
  <si>
    <t>31-Mar-1921</t>
  </si>
  <si>
    <t>8-May-1925</t>
  </si>
  <si>
    <t>17-May-1925</t>
  </si>
  <si>
    <t>Edward Hill</t>
  </si>
  <si>
    <t>4-Jun-1868</t>
  </si>
  <si>
    <t>Ethiopia</t>
  </si>
  <si>
    <t>16-Nov-1874</t>
  </si>
  <si>
    <t>11-May-1876</t>
  </si>
  <si>
    <t>City of Richmond</t>
  </si>
  <si>
    <t>6-Nov-1877</t>
  </si>
  <si>
    <t>4-Jan-1929</t>
  </si>
  <si>
    <t>25-May-1932</t>
  </si>
  <si>
    <t>9-Apr-1899</t>
  </si>
  <si>
    <t>8-Feb-1932</t>
  </si>
  <si>
    <t>Piedras Negras, COA, Mexico</t>
  </si>
  <si>
    <t>Eagle Pass, TX</t>
  </si>
  <si>
    <t>19-Jun-1925</t>
  </si>
  <si>
    <t>24-May-1928</t>
  </si>
  <si>
    <t>19-Jan-1925</t>
  </si>
  <si>
    <t>CREW</t>
  </si>
  <si>
    <t>29-Mar-1938</t>
  </si>
  <si>
    <t>22-Dec-1911</t>
  </si>
  <si>
    <t>12-Sep-1916</t>
  </si>
  <si>
    <t>18-Nov-1891</t>
  </si>
  <si>
    <t>27-Oct-1912</t>
  </si>
  <si>
    <t>10-Dec-1926</t>
  </si>
  <si>
    <t>6-Feb-1921</t>
  </si>
  <si>
    <t>31-Oct-1912</t>
  </si>
  <si>
    <t>24-Mar-1903</t>
  </si>
  <si>
    <t>28-Jun-1923</t>
  </si>
  <si>
    <t>15-Oct-1932</t>
  </si>
  <si>
    <t>25-Oct-1932</t>
  </si>
  <si>
    <t>Sultana</t>
  </si>
  <si>
    <t>1-Dec-1853</t>
  </si>
  <si>
    <t>2-Sep-1929</t>
  </si>
  <si>
    <t>Jean Jadot</t>
  </si>
  <si>
    <t>20-Oct-1930</t>
  </si>
  <si>
    <t>1-Nov-1930</t>
  </si>
  <si>
    <t>30-Aug-1929</t>
  </si>
  <si>
    <t>24-Sep-1926</t>
  </si>
  <si>
    <t>20-Jan-1914</t>
  </si>
  <si>
    <t>23-Sep-1936</t>
  </si>
  <si>
    <t>8-Jul-1930</t>
  </si>
  <si>
    <t xml:space="preserve">ImmigrantID   </t>
  </si>
  <si>
    <t>PassengerLastName</t>
  </si>
  <si>
    <t>PassengerFirstName</t>
  </si>
  <si>
    <t>BOSN-21JUN1907-3-13-0015</t>
  </si>
  <si>
    <t>Aslanian</t>
  </si>
  <si>
    <t>Karnik</t>
  </si>
  <si>
    <t>BOSN-21JUN1907-3-13-0016</t>
  </si>
  <si>
    <t>Samoulian</t>
  </si>
  <si>
    <t>Artin</t>
  </si>
  <si>
    <t>CTOR-10SEP1904-3-J-0009</t>
  </si>
  <si>
    <t>Katchik [Khachadourian]</t>
  </si>
  <si>
    <t>Sarkis</t>
  </si>
  <si>
    <t>CTOR-10SEP1904-3-J-0010</t>
  </si>
  <si>
    <t>Jakobian</t>
  </si>
  <si>
    <t>Rupen</t>
  </si>
  <si>
    <t>CTOR-10SEP1904-3-J-0011</t>
  </si>
  <si>
    <t>Heranouch</t>
  </si>
  <si>
    <t>CTOR-10SEP1904-3-J-0012</t>
  </si>
  <si>
    <t>Sisak</t>
  </si>
  <si>
    <t>CTOR-10SEP1904-3-J-0013</t>
  </si>
  <si>
    <t>Alessando</t>
  </si>
  <si>
    <t>SULT-01DEC1853-0-1-0002</t>
  </si>
  <si>
    <t>Hatchadurien</t>
  </si>
  <si>
    <t>SULT-01DEC1853-0-1-0003</t>
  </si>
  <si>
    <t>Antranighian</t>
  </si>
  <si>
    <t>SULT-01DEC1853-0-1-0005</t>
  </si>
  <si>
    <t>Martana</t>
  </si>
  <si>
    <t>Solemac</t>
  </si>
  <si>
    <t>select ShipName, DestinationDate, ImmigrantID, PassengerLastName, PassengerFirstName from mainstaging where DestinationDate &lt;= "1910-12-31" order by DestinationDate, ImmigrantID</t>
  </si>
  <si>
    <t>ShipName</t>
  </si>
  <si>
    <t xml:space="preserve">DestinationDate   </t>
  </si>
  <si>
    <t>1853-12-01</t>
  </si>
  <si>
    <t>1904-09-10</t>
  </si>
  <si>
    <t>1907-06-21</t>
  </si>
  <si>
    <t>20-Sep-1900</t>
  </si>
  <si>
    <t>1-Oct-1900</t>
  </si>
  <si>
    <t>25-Feb-1896</t>
  </si>
  <si>
    <t>10-Feb-1928</t>
  </si>
  <si>
    <t>19-Feb-1928</t>
  </si>
  <si>
    <t>21-Dec-1927</t>
  </si>
  <si>
    <t>15-Dec-1927</t>
  </si>
  <si>
    <t>La Bourdonnais</t>
  </si>
  <si>
    <t>29-Oct-1927</t>
  </si>
  <si>
    <t>10-Nov-1927</t>
  </si>
  <si>
    <t>8-Feb-1924</t>
  </si>
  <si>
    <t>25-Oct-1927</t>
  </si>
  <si>
    <t>12-Nov-1927</t>
  </si>
  <si>
    <t>Taiyo Maru</t>
  </si>
  <si>
    <t>20-Aug-1924</t>
  </si>
  <si>
    <t>5-Aug-1924</t>
  </si>
  <si>
    <t>1-Mar-1922</t>
  </si>
  <si>
    <t>1-Nov-1905</t>
  </si>
  <si>
    <t>13-Nov-1905</t>
  </si>
  <si>
    <t>18-Jan-1929</t>
  </si>
  <si>
    <t>7-Dec-1925</t>
  </si>
  <si>
    <t>4-May-1887</t>
  </si>
  <si>
    <t>17-May-1887</t>
  </si>
  <si>
    <t>Regina d'Italia</t>
  </si>
  <si>
    <t>4-Aug-1909</t>
  </si>
  <si>
    <t>20-Sep-1905</t>
  </si>
  <si>
    <t>13-Feb-1906</t>
  </si>
  <si>
    <t>28-Feb-1906</t>
  </si>
  <si>
    <t>29-Nov-1905</t>
  </si>
  <si>
    <t>1-Aug-1907</t>
  </si>
  <si>
    <t>3-May-1920</t>
  </si>
  <si>
    <t>7-Feb-1903</t>
  </si>
  <si>
    <t>17-Feb-1903</t>
  </si>
  <si>
    <t>9-Apr-1924</t>
  </si>
  <si>
    <t>17-Nov-1911</t>
  </si>
  <si>
    <t>24-May-1920</t>
  </si>
  <si>
    <t>Marglen</t>
  </si>
  <si>
    <t>27-May-1923</t>
  </si>
  <si>
    <t>30-Nov-1904</t>
  </si>
  <si>
    <t>25-Jul-1904</t>
  </si>
  <si>
    <t>9-Jun-1925</t>
  </si>
  <si>
    <t>28-Jun-1925</t>
  </si>
  <si>
    <t>24-Dec-1919</t>
  </si>
  <si>
    <t>18-Nov-1903</t>
  </si>
  <si>
    <t>9-Sep-1903</t>
  </si>
  <si>
    <t>25-Sep-1903</t>
  </si>
  <si>
    <t>14-Feb-1924</t>
  </si>
  <si>
    <t>22-Feb-1924</t>
  </si>
  <si>
    <t>15-Aug-1935</t>
  </si>
  <si>
    <t>22-Aug-1935</t>
  </si>
  <si>
    <t>15-Aug-1913</t>
  </si>
  <si>
    <t>12-May-1902</t>
  </si>
  <si>
    <t>11-Feb-1910</t>
  </si>
  <si>
    <t>1-Oct-1911</t>
  </si>
  <si>
    <t>13-Apr-1916</t>
  </si>
  <si>
    <t>6-May-1916</t>
  </si>
  <si>
    <t>24-Jan-1917</t>
  </si>
  <si>
    <t>7-May-1925</t>
  </si>
  <si>
    <t>28-Oct-1931</t>
  </si>
  <si>
    <t>3-Nov-1931</t>
  </si>
  <si>
    <t>13-Jul-1927</t>
  </si>
  <si>
    <t>24-Aug-1921</t>
  </si>
  <si>
    <t>3-Nov-1924</t>
  </si>
  <si>
    <t>24-Apr-1916</t>
  </si>
  <si>
    <t>2-May-1923</t>
  </si>
  <si>
    <t>13-May-1923</t>
  </si>
  <si>
    <t>18-Nov-1917</t>
  </si>
  <si>
    <t>14-Sep-1918</t>
  </si>
  <si>
    <t>3-May-1925</t>
  </si>
  <si>
    <t>7-Nov-1925</t>
  </si>
  <si>
    <t>13-Nov-1927</t>
  </si>
  <si>
    <t>24-May-1924</t>
  </si>
  <si>
    <t>Royal Edward</t>
  </si>
  <si>
    <t>Avonmouth</t>
  </si>
  <si>
    <t>14-Jan-1914</t>
  </si>
  <si>
    <t>27-Nov-1925</t>
  </si>
  <si>
    <t>27-Mar-1925</t>
  </si>
  <si>
    <t>3-Apr-1925</t>
  </si>
  <si>
    <t>12-Apr-1925</t>
  </si>
  <si>
    <t>9-Apr-1925</t>
  </si>
  <si>
    <t>Montroyal</t>
  </si>
  <si>
    <t>25-Mar-1925</t>
  </si>
  <si>
    <t>26-Mar-1925</t>
  </si>
  <si>
    <t>15-Apr-1925</t>
  </si>
  <si>
    <t>26-Apr-1925</t>
  </si>
  <si>
    <t>22-Apr-1925</t>
  </si>
  <si>
    <t>30-Apr-1925</t>
  </si>
  <si>
    <t>16-Apr-1925</t>
  </si>
  <si>
    <t>25-Apr-1925</t>
  </si>
  <si>
    <t>31-Oct-1933</t>
  </si>
  <si>
    <t>15-Aug-1923</t>
  </si>
  <si>
    <t>22-Aug-1923</t>
  </si>
  <si>
    <t>18-May-1911</t>
  </si>
  <si>
    <t>7-Jun-1904</t>
  </si>
  <si>
    <t>xx-Jun-1904</t>
  </si>
  <si>
    <t>27-Mar-1924</t>
  </si>
  <si>
    <t>7-Apr-1924</t>
  </si>
  <si>
    <t>20-Jul-1906</t>
  </si>
  <si>
    <t>5-Jan-1891</t>
  </si>
  <si>
    <t>21-Feb-1920</t>
  </si>
  <si>
    <t>14-Mar-1930</t>
  </si>
  <si>
    <t>28-Feb-1930</t>
  </si>
  <si>
    <t>0-Jun-1903</t>
  </si>
  <si>
    <t>18-Oct-1933</t>
  </si>
  <si>
    <t>24-Oct-1933</t>
  </si>
  <si>
    <t>18-May-1912</t>
  </si>
  <si>
    <t>13-Mar-1929</t>
  </si>
  <si>
    <t>16-Mar-1906</t>
  </si>
  <si>
    <t>9-Sep-1909</t>
  </si>
  <si>
    <t>5-Jul-1912</t>
  </si>
  <si>
    <t>8-Feb-1928</t>
  </si>
  <si>
    <t>Orizaba</t>
  </si>
  <si>
    <t>Conte Biancamano</t>
  </si>
  <si>
    <t>31-May-1930</t>
  </si>
  <si>
    <t>President Adams</t>
  </si>
  <si>
    <t>20-Oct-1926</t>
  </si>
  <si>
    <t>24-Aug-1923</t>
  </si>
  <si>
    <t>19-Sep-1889</t>
  </si>
  <si>
    <t>4-Mar-1925</t>
  </si>
  <si>
    <t>25-Feb-1925</t>
  </si>
  <si>
    <t>14-Nov-1924</t>
  </si>
  <si>
    <t>Vistizza</t>
  </si>
  <si>
    <t>2-Feb-1905</t>
  </si>
  <si>
    <t>8-Mar-1904</t>
  </si>
  <si>
    <t>10-Jun-1896</t>
  </si>
  <si>
    <t>1-Dec-1910</t>
  </si>
  <si>
    <t>MJST-01DEC1910-1-2-0011</t>
  </si>
  <si>
    <t>photos/591.jpg</t>
  </si>
  <si>
    <t>Mihran Asadour Tatarian</t>
  </si>
  <si>
    <t>6-Mar-1908</t>
  </si>
  <si>
    <t>Lake Simcoe</t>
  </si>
  <si>
    <t>7-Jul-1904</t>
  </si>
  <si>
    <t>22-Jul-1904</t>
  </si>
  <si>
    <t>26-Apr-1906</t>
  </si>
  <si>
    <t>19-May-1910</t>
  </si>
  <si>
    <t>11-Oct-1910</t>
  </si>
  <si>
    <t>3-Nov-1910</t>
  </si>
  <si>
    <t>24-Oct-1913</t>
  </si>
  <si>
    <t>24-Jul-1913</t>
  </si>
  <si>
    <t>12-Nov-1915</t>
  </si>
  <si>
    <t>29-Nov-1915</t>
  </si>
  <si>
    <t>14-Nov-1904</t>
  </si>
  <si>
    <t>Hannover</t>
  </si>
  <si>
    <t>14-Dec-1911</t>
  </si>
  <si>
    <t>29-Dec-1901</t>
  </si>
  <si>
    <t>28-Sep-1926</t>
  </si>
  <si>
    <t>16-May-1927</t>
  </si>
  <si>
    <t>10-May-1927</t>
  </si>
  <si>
    <t>27-Aug-1927</t>
  </si>
  <si>
    <t>22-Jul-1922</t>
  </si>
  <si>
    <t>27-Aug-1907</t>
  </si>
  <si>
    <t>16-Mar-1914</t>
  </si>
  <si>
    <t>Prinz Adalbert</t>
  </si>
  <si>
    <t>28-Mar-1914</t>
  </si>
  <si>
    <t>27-Aug-1896</t>
  </si>
  <si>
    <t>3-Jun-1913</t>
  </si>
  <si>
    <t>8-Feb-1905</t>
  </si>
  <si>
    <t>Heredia</t>
  </si>
  <si>
    <t>5-Sep-1925</t>
  </si>
  <si>
    <t>7-Sep-1925</t>
  </si>
  <si>
    <t>8-Dec-1912</t>
  </si>
  <si>
    <t>23-Aug-1904</t>
  </si>
  <si>
    <t>2-Sep-1904</t>
  </si>
  <si>
    <t>26-Feb-1906</t>
  </si>
  <si>
    <t>17-Aug-1913</t>
  </si>
  <si>
    <t>12-Aug-1922</t>
  </si>
  <si>
    <t>19-Aug-1922</t>
  </si>
  <si>
    <t>31-Oct-1898</t>
  </si>
  <si>
    <t>30-Jan-1915</t>
  </si>
  <si>
    <t>11-Feb-1915</t>
  </si>
  <si>
    <t>Corcovado</t>
  </si>
  <si>
    <t>Lahn</t>
  </si>
  <si>
    <t>4-Sep-1903</t>
  </si>
  <si>
    <t>16-Sep-1903</t>
  </si>
  <si>
    <t>13-Mar-1924</t>
  </si>
  <si>
    <t>Victoria</t>
  </si>
  <si>
    <t>21-Nov-1903</t>
  </si>
  <si>
    <t>added 1 to Steerage</t>
  </si>
  <si>
    <t>25-Oct-1911</t>
  </si>
  <si>
    <t>7-Nov-1911</t>
  </si>
  <si>
    <t>3-Jan-1929</t>
  </si>
  <si>
    <t>23-Jan-1929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</si>
</sst>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0.0%"/>
    <numFmt numFmtId="167" formatCode="[$-409]d\-mmm\-yyyy;@"/>
    <numFmt numFmtId="168" formatCode="_(* #,##0.00_);_(* \(#,##0.00\);_(* \-??_);_(@_)"/>
    <numFmt numFmtId="169" formatCode="_(* #,##0_);_(* \(#,##0\);_(* \-??_);_(@_)"/>
  </numFmts>
  <fonts count="14" x14ac:knownFonts="1">
    <font>
      <sz val="10"/>
      <color indexed="8"/>
      <name val="Arial"/>
      <family val="2"/>
    </font>
    <font>
      <sz val="10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rgb="FF235A81"/>
      <name val="Arial"/>
      <family val="2"/>
    </font>
    <font>
      <sz val="10"/>
      <color rgb="FF444444"/>
      <name val="Arial"/>
      <family val="2"/>
    </font>
    <font>
      <sz val="10"/>
      <color rgb="FF770088"/>
      <name val="Arial"/>
      <family val="2"/>
    </font>
    <font>
      <sz val="10"/>
      <color rgb="FFAA1111"/>
      <name val="Arial"/>
      <family val="2"/>
    </font>
    <font>
      <vertAlign val="superscript"/>
      <sz val="10"/>
      <color indexed="8"/>
      <name val="Arial"/>
      <family val="2"/>
    </font>
    <font>
      <b/>
      <sz val="12"/>
      <color indexed="8"/>
      <name val="Arial"/>
      <family val="2"/>
    </font>
    <font>
      <strike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43" fontId="1" fillId="0" borderId="0" applyFill="0" applyBorder="0" applyAlignment="0" applyProtection="0"/>
    <xf numFmtId="0" fontId="6" fillId="0" borderId="0"/>
    <xf numFmtId="168" fontId="1" fillId="0" borderId="0"/>
    <xf numFmtId="9" fontId="6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vertical="center"/>
    </xf>
    <xf numFmtId="37" fontId="1" fillId="0" borderId="0" xfId="1" applyNumberFormat="1" applyAlignment="1">
      <alignment vertical="center"/>
    </xf>
    <xf numFmtId="165" fontId="1" fillId="0" borderId="0" xfId="1" applyNumberForma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37" fontId="1" fillId="0" borderId="0" xfId="1" applyNumberFormat="1" applyFill="1" applyAlignment="1">
      <alignment vertical="center"/>
    </xf>
    <xf numFmtId="0" fontId="3" fillId="0" borderId="0" xfId="0" applyFont="1" applyAlignment="1">
      <alignment vertical="center"/>
    </xf>
    <xf numFmtId="37" fontId="4" fillId="0" borderId="0" xfId="1" applyNumberFormat="1" applyFont="1" applyAlignment="1">
      <alignment vertical="center"/>
    </xf>
    <xf numFmtId="37" fontId="4" fillId="2" borderId="0" xfId="1" applyNumberFormat="1" applyFont="1" applyFill="1" applyAlignment="1">
      <alignment vertical="center"/>
    </xf>
    <xf numFmtId="165" fontId="4" fillId="0" borderId="0" xfId="1" applyNumberFormat="1" applyFont="1" applyFill="1" applyAlignment="1">
      <alignment vertical="center"/>
    </xf>
    <xf numFmtId="166" fontId="0" fillId="0" borderId="0" xfId="0" applyNumberFormat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" fillId="0" borderId="0" xfId="1" applyNumberFormat="1" applyAlignment="1">
      <alignment vertical="center"/>
    </xf>
    <xf numFmtId="166" fontId="0" fillId="0" borderId="0" xfId="0" applyNumberFormat="1" applyAlignment="1">
      <alignment horizontal="left" vertical="center"/>
    </xf>
    <xf numFmtId="37" fontId="4" fillId="0" borderId="0" xfId="1" applyNumberFormat="1" applyFont="1" applyAlignment="1">
      <alignment horizontal="center" vertical="center"/>
    </xf>
    <xf numFmtId="165" fontId="4" fillId="0" borderId="0" xfId="1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0" fontId="6" fillId="0" borderId="0" xfId="2" applyAlignment="1">
      <alignment vertical="center"/>
    </xf>
    <xf numFmtId="37" fontId="1" fillId="0" borderId="0" xfId="3" applyNumberFormat="1" applyAlignment="1">
      <alignment vertical="center"/>
    </xf>
    <xf numFmtId="169" fontId="1" fillId="0" borderId="0" xfId="3" applyNumberFormat="1" applyAlignment="1">
      <alignment vertical="center"/>
    </xf>
    <xf numFmtId="0" fontId="6" fillId="0" borderId="0" xfId="2" applyAlignment="1">
      <alignment horizontal="center" vertical="center"/>
    </xf>
    <xf numFmtId="0" fontId="6" fillId="0" borderId="0" xfId="2" applyAlignment="1">
      <alignment horizontal="left" vertical="center"/>
    </xf>
    <xf numFmtId="0" fontId="3" fillId="0" borderId="0" xfId="2" applyFont="1" applyAlignment="1">
      <alignment vertical="center"/>
    </xf>
    <xf numFmtId="0" fontId="3" fillId="0" borderId="0" xfId="2" applyFont="1" applyAlignment="1">
      <alignment horizontal="center" vertical="center"/>
    </xf>
    <xf numFmtId="0" fontId="3" fillId="0" borderId="0" xfId="2" applyFont="1" applyAlignment="1">
      <alignment horizontal="left" vertical="center"/>
    </xf>
    <xf numFmtId="0" fontId="0" fillId="0" borderId="0" xfId="2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49" fontId="6" fillId="0" borderId="0" xfId="2" applyNumberFormat="1" applyAlignment="1">
      <alignment horizontal="left" vertical="center"/>
    </xf>
    <xf numFmtId="49" fontId="0" fillId="0" borderId="0" xfId="2" applyNumberFormat="1" applyFont="1" applyAlignment="1">
      <alignment horizontal="left" vertical="center"/>
    </xf>
    <xf numFmtId="49" fontId="3" fillId="0" borderId="0" xfId="2" applyNumberFormat="1" applyFont="1" applyAlignment="1">
      <alignment horizontal="left" vertical="center"/>
    </xf>
    <xf numFmtId="164" fontId="0" fillId="0" borderId="0" xfId="0" applyNumberFormat="1" applyAlignment="1">
      <alignment vertical="center"/>
    </xf>
    <xf numFmtId="0" fontId="0" fillId="0" borderId="0" xfId="2" applyFont="1" applyAlignment="1">
      <alignment vertical="center"/>
    </xf>
    <xf numFmtId="3" fontId="0" fillId="0" borderId="0" xfId="0" applyNumberFormat="1" applyAlignment="1">
      <alignment vertical="center"/>
    </xf>
    <xf numFmtId="3" fontId="0" fillId="0" borderId="0" xfId="0" applyNumberFormat="1" applyAlignment="1">
      <alignment horizontal="left" vertical="center"/>
    </xf>
    <xf numFmtId="3" fontId="3" fillId="0" borderId="0" xfId="0" applyNumberFormat="1" applyFont="1" applyAlignment="1">
      <alignment vertical="center"/>
    </xf>
    <xf numFmtId="166" fontId="0" fillId="0" borderId="0" xfId="4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0" fontId="7" fillId="0" borderId="0" xfId="0" applyFont="1"/>
    <xf numFmtId="165" fontId="1" fillId="0" borderId="0" xfId="1" applyNumberFormat="1"/>
    <xf numFmtId="165" fontId="4" fillId="0" borderId="0" xfId="1" applyNumberFormat="1" applyFont="1" applyAlignment="1">
      <alignment horizontal="center"/>
    </xf>
    <xf numFmtId="165" fontId="0" fillId="0" borderId="0" xfId="0" applyNumberFormat="1"/>
    <xf numFmtId="9" fontId="0" fillId="0" borderId="0" xfId="4" applyFont="1"/>
    <xf numFmtId="9" fontId="3" fillId="0" borderId="0" xfId="4" quotePrefix="1" applyFont="1" applyAlignment="1">
      <alignment horizontal="center"/>
    </xf>
    <xf numFmtId="9" fontId="3" fillId="0" borderId="0" xfId="4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/>
    <xf numFmtId="37" fontId="4" fillId="0" borderId="0" xfId="1" applyNumberFormat="1" applyFont="1" applyBorder="1" applyAlignment="1">
      <alignment vertical="center"/>
    </xf>
    <xf numFmtId="165" fontId="4" fillId="3" borderId="0" xfId="1" applyNumberFormat="1" applyFont="1" applyFill="1" applyAlignment="1">
      <alignment vertical="center"/>
    </xf>
    <xf numFmtId="165" fontId="4" fillId="0" borderId="0" xfId="1" applyNumberFormat="1" applyFont="1" applyAlignment="1">
      <alignment vertical="center"/>
    </xf>
    <xf numFmtId="37" fontId="4" fillId="4" borderId="0" xfId="1" applyNumberFormat="1" applyFont="1" applyFill="1" applyAlignment="1">
      <alignment vertical="center"/>
    </xf>
    <xf numFmtId="0" fontId="3" fillId="0" borderId="0" xfId="0" applyFont="1" applyAlignment="1">
      <alignment horizontal="center" vertical="center" textRotation="180"/>
    </xf>
    <xf numFmtId="0" fontId="12" fillId="0" borderId="0" xfId="0" applyFont="1" applyAlignment="1">
      <alignment vertical="top"/>
    </xf>
    <xf numFmtId="0" fontId="0" fillId="0" borderId="0" xfId="0" applyAlignment="1">
      <alignment vertical="top"/>
    </xf>
    <xf numFmtId="0" fontId="3" fillId="0" borderId="0" xfId="0" applyFont="1" applyAlignment="1">
      <alignment horizontal="center" vertical="top"/>
    </xf>
    <xf numFmtId="3" fontId="3" fillId="0" borderId="0" xfId="0" applyNumberFormat="1" applyFont="1"/>
    <xf numFmtId="3" fontId="3" fillId="0" borderId="0" xfId="0" applyNumberFormat="1" applyFont="1" applyAlignment="1">
      <alignment horizontal="center"/>
    </xf>
    <xf numFmtId="3" fontId="0" fillId="0" borderId="0" xfId="0" applyNumberFormat="1"/>
    <xf numFmtId="3" fontId="0" fillId="3" borderId="0" xfId="0" applyNumberFormat="1" applyFill="1"/>
    <xf numFmtId="10" fontId="3" fillId="0" borderId="0" xfId="4" applyNumberFormat="1" applyFont="1"/>
    <xf numFmtId="10" fontId="3" fillId="0" borderId="0" xfId="4" quotePrefix="1" applyNumberFormat="1" applyFont="1" applyAlignment="1">
      <alignment horizontal="center"/>
    </xf>
    <xf numFmtId="10" fontId="0" fillId="0" borderId="0" xfId="4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0" fontId="13" fillId="0" borderId="0" xfId="0" applyFont="1"/>
    <xf numFmtId="0" fontId="0" fillId="5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0" borderId="0" xfId="0" applyFont="1" applyAlignment="1">
      <alignment horizontal="center" vertical="center" textRotation="180"/>
    </xf>
    <xf numFmtId="165" fontId="4" fillId="0" borderId="0" xfId="1" applyNumberFormat="1" applyFont="1" applyBorder="1" applyAlignment="1">
      <alignment horizontal="center" vertical="center"/>
    </xf>
    <xf numFmtId="37" fontId="4" fillId="0" borderId="0" xfId="1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/>
    </xf>
  </cellXfs>
  <cellStyles count="5">
    <cellStyle name="Comma" xfId="1" builtinId="3"/>
    <cellStyle name="Excel Built-in Comma" xfId="3"/>
    <cellStyle name="Excel Built-in Normal" xfId="2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http://localhost/phpmyadmin/sql.php?db=armenianimmigrants&amp;table=military&amp;sql_query=select+birthcountry,+birthvsp,+EyeColor,+count(*)+as+total+from+military+where+birthcountry+%3c%3e+%22%22+and+eyecolor+%3c%3e+%22%22+and+conflict+%3D+%22WW1%22+group+by+BirthCountry,+birthvsp,+eyecolor++%0aORDER+BY+%60birthvsp%60++DESC&amp;session_max_rows=all&amp;is_browse_distinct=0&amp;token=6638563609ad8b45e6ca294b1034bc8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</xdr:colOff>
      <xdr:row>3</xdr:row>
      <xdr:rowOff>7620</xdr:rowOff>
    </xdr:to>
    <xdr:pic>
      <xdr:nvPicPr>
        <xdr:cNvPr id="2" name="Picture 1" descr="Ascendi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3</xdr:row>
      <xdr:rowOff>0</xdr:rowOff>
    </xdr:from>
    <xdr:to>
      <xdr:col>0</xdr:col>
      <xdr:colOff>22860</xdr:colOff>
      <xdr:row>3</xdr:row>
      <xdr:rowOff>7620</xdr:rowOff>
    </xdr:to>
    <xdr:pic>
      <xdr:nvPicPr>
        <xdr:cNvPr id="3" name="Picture 2" descr="Ascendi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67056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3</xdr:row>
      <xdr:rowOff>0</xdr:rowOff>
    </xdr:from>
    <xdr:to>
      <xdr:col>0</xdr:col>
      <xdr:colOff>38100</xdr:colOff>
      <xdr:row>3</xdr:row>
      <xdr:rowOff>7620</xdr:rowOff>
    </xdr:to>
    <xdr:pic>
      <xdr:nvPicPr>
        <xdr:cNvPr id="4" name="Picture 3" descr="Ascendi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670560"/>
          <a:ext cx="7620" cy="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main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Z6892"/>
  <sheetViews>
    <sheetView tabSelected="1" topLeftCell="A943" zoomScaleNormal="100" workbookViewId="0">
      <selection activeCell="L955" sqref="L955"/>
    </sheetView>
  </sheetViews>
  <sheetFormatPr defaultColWidth="8.88671875" defaultRowHeight="13.2" x14ac:dyDescent="0.25"/>
  <cols>
    <col min="1" max="1" width="2.6640625" style="11" customWidth="1"/>
    <col min="2" max="2" width="17.33203125" style="11" customWidth="1"/>
    <col min="3" max="3" width="20.6640625" style="11" customWidth="1"/>
    <col min="4" max="4" width="18.6640625" style="11" customWidth="1"/>
    <col min="5" max="5" width="12.6640625" style="39" customWidth="1"/>
    <col min="6" max="6" width="18.6640625" style="11" customWidth="1"/>
    <col min="7" max="7" width="12.6640625" style="39" customWidth="1"/>
    <col min="8" max="12" width="8.6640625" style="7" customWidth="1"/>
    <col min="13" max="13" width="8.6640625" style="8" customWidth="1"/>
    <col min="14" max="14" width="6.6640625" style="8" customWidth="1"/>
    <col min="15" max="15" width="12.6640625" style="11" customWidth="1"/>
    <col min="16" max="16" width="8.88671875" style="16" hidden="1" customWidth="1"/>
    <col min="17" max="18" width="5.33203125" style="16" hidden="1" customWidth="1"/>
    <col min="19" max="19" width="5.33203125" style="16" customWidth="1"/>
    <col min="20" max="20" width="8.88671875" style="12" customWidth="1"/>
    <col min="21" max="23" width="8.88671875" style="46"/>
    <col min="24" max="24" width="8.109375" style="46" customWidth="1"/>
    <col min="25" max="16384" width="8.88671875" style="11"/>
  </cols>
  <sheetData>
    <row r="1" spans="2:26" s="6" customFormat="1" ht="17.399999999999999" x14ac:dyDescent="0.25">
      <c r="B1" s="6" t="s">
        <v>5206</v>
      </c>
      <c r="E1" s="38"/>
      <c r="G1" s="38"/>
      <c r="H1" s="7"/>
      <c r="I1" s="7"/>
      <c r="J1" s="7"/>
      <c r="K1" s="7"/>
      <c r="L1" s="7"/>
      <c r="M1" s="8"/>
      <c r="N1" s="8"/>
      <c r="P1" s="9"/>
      <c r="Q1" s="9"/>
      <c r="R1" s="9"/>
      <c r="S1" s="9"/>
      <c r="T1" s="10"/>
      <c r="U1" s="50"/>
      <c r="V1" s="50"/>
      <c r="W1" s="50"/>
      <c r="X1" s="50"/>
    </row>
    <row r="2" spans="2:26" s="6" customFormat="1" ht="18" customHeight="1" x14ac:dyDescent="0.25">
      <c r="B2" s="6" t="s">
        <v>1683</v>
      </c>
      <c r="E2" s="38"/>
      <c r="G2" s="38"/>
      <c r="H2" s="7"/>
      <c r="I2" s="7"/>
      <c r="J2" s="7"/>
      <c r="K2" s="7"/>
      <c r="L2" s="7"/>
      <c r="M2" s="8"/>
      <c r="N2" s="8"/>
      <c r="P2" s="65"/>
      <c r="Q2" s="81" t="s">
        <v>1684</v>
      </c>
      <c r="R2" s="81" t="s">
        <v>1685</v>
      </c>
      <c r="S2" s="81" t="s">
        <v>1686</v>
      </c>
      <c r="T2" s="10"/>
      <c r="U2" s="50"/>
      <c r="V2" s="50"/>
      <c r="W2" s="50"/>
      <c r="X2" s="50"/>
    </row>
    <row r="3" spans="2:26" x14ac:dyDescent="0.25">
      <c r="P3" s="65"/>
      <c r="Q3" s="81"/>
      <c r="R3" s="81"/>
      <c r="S3" s="81"/>
    </row>
    <row r="4" spans="2:26" s="13" customFormat="1" x14ac:dyDescent="0.25">
      <c r="B4" s="13" t="s">
        <v>1687</v>
      </c>
      <c r="C4" s="13" t="s">
        <v>1688</v>
      </c>
      <c r="D4" s="13" t="s">
        <v>1689</v>
      </c>
      <c r="E4" s="14" t="s">
        <v>1689</v>
      </c>
      <c r="F4" s="13" t="s">
        <v>1690</v>
      </c>
      <c r="G4" s="14" t="s">
        <v>1690</v>
      </c>
      <c r="H4" s="83" t="s">
        <v>1691</v>
      </c>
      <c r="I4" s="83"/>
      <c r="J4" s="83"/>
      <c r="K4" s="83"/>
      <c r="L4" s="83"/>
      <c r="M4" s="82" t="s">
        <v>1909</v>
      </c>
      <c r="N4" s="82"/>
      <c r="P4" s="65"/>
      <c r="Q4" s="81"/>
      <c r="R4" s="81"/>
      <c r="S4" s="81"/>
      <c r="T4" s="15"/>
      <c r="U4" s="51"/>
      <c r="V4" s="51"/>
      <c r="W4" s="51"/>
      <c r="X4" s="51"/>
      <c r="Z4" s="16"/>
    </row>
    <row r="5" spans="2:26" s="13" customFormat="1" x14ac:dyDescent="0.25">
      <c r="B5" s="13" t="s">
        <v>1692</v>
      </c>
      <c r="C5" s="13" t="s">
        <v>1693</v>
      </c>
      <c r="D5" s="13" t="s">
        <v>1694</v>
      </c>
      <c r="E5" s="14" t="s">
        <v>1695</v>
      </c>
      <c r="F5" s="13" t="s">
        <v>1694</v>
      </c>
      <c r="G5" s="14" t="s">
        <v>1695</v>
      </c>
      <c r="H5" s="26">
        <v>1</v>
      </c>
      <c r="I5" s="26">
        <v>2</v>
      </c>
      <c r="J5" s="26">
        <v>3</v>
      </c>
      <c r="K5" s="26" t="s">
        <v>11273</v>
      </c>
      <c r="L5" s="26" t="s">
        <v>1696</v>
      </c>
      <c r="M5" s="27" t="s">
        <v>406</v>
      </c>
      <c r="N5" s="27" t="s">
        <v>405</v>
      </c>
      <c r="O5" s="13" t="s">
        <v>1697</v>
      </c>
      <c r="P5" s="65"/>
      <c r="Q5" s="81"/>
      <c r="R5" s="81"/>
      <c r="S5" s="81"/>
      <c r="T5" s="15"/>
      <c r="U5" s="51" t="s">
        <v>1881</v>
      </c>
      <c r="V5" s="51" t="s">
        <v>1702</v>
      </c>
      <c r="W5" s="51" t="s">
        <v>194</v>
      </c>
      <c r="X5" s="51" t="s">
        <v>3728</v>
      </c>
      <c r="Z5" s="16"/>
    </row>
    <row r="6" spans="2:26" x14ac:dyDescent="0.25">
      <c r="U6" s="46" t="str">
        <f>IF($O6=U$5,$L6,"")</f>
        <v/>
      </c>
      <c r="V6" s="46" t="str">
        <f>IF($O6=V$5,$L6,"")</f>
        <v/>
      </c>
      <c r="W6" s="46" t="str">
        <f>IF($O6=W$5,$L6,"")</f>
        <v/>
      </c>
      <c r="X6" s="46" t="str">
        <f>IF($O6=X$5,$L6,"")</f>
        <v/>
      </c>
    </row>
    <row r="7" spans="2:26" x14ac:dyDescent="0.25">
      <c r="B7" s="11" t="str">
        <f t="shared" ref="B7:B16" si="0">CONCATENATE("ACRO","-",LEFT(P7,2),UPPER(MID(P7,4,3)),RIGHT(P7,4))</f>
        <v>ACRO-25JUN1921</v>
      </c>
      <c r="C7" s="11" t="s">
        <v>3058</v>
      </c>
      <c r="D7" s="11" t="s">
        <v>2808</v>
      </c>
      <c r="E7" s="39" t="s">
        <v>3167</v>
      </c>
      <c r="F7" s="11" t="s">
        <v>1700</v>
      </c>
      <c r="G7" s="39" t="s">
        <v>3166</v>
      </c>
      <c r="H7" s="7">
        <v>16</v>
      </c>
      <c r="J7" s="17">
        <f>113+5</f>
        <v>118</v>
      </c>
      <c r="K7" s="17"/>
      <c r="L7" s="7">
        <f t="shared" ref="L7:L23" si="1">SUM(H7:K7)</f>
        <v>134</v>
      </c>
      <c r="M7" s="8">
        <v>1</v>
      </c>
      <c r="N7" s="8">
        <f t="shared" ref="N7:N16" si="2">IF(L7&gt;0,1,"")</f>
        <v>1</v>
      </c>
      <c r="O7" s="11" t="s">
        <v>1702</v>
      </c>
      <c r="P7" s="16" t="str">
        <f t="shared" ref="P7:P16" si="3">IF(LEN(G7)=10,CONCATENATE("0",G7),G7)</f>
        <v>25-Jun-1921</v>
      </c>
      <c r="R7" s="16" t="str">
        <f t="shared" ref="R7:S23" si="4">IF($L7&gt;0,"x","")</f>
        <v>x</v>
      </c>
      <c r="S7" s="16" t="str">
        <f t="shared" si="4"/>
        <v>x</v>
      </c>
      <c r="U7" s="46" t="str">
        <f t="shared" ref="U7:X118" si="5">IF($O7=U$5,$L7,"")</f>
        <v/>
      </c>
      <c r="V7" s="46">
        <f t="shared" si="5"/>
        <v>134</v>
      </c>
      <c r="W7" s="46" t="str">
        <f t="shared" si="5"/>
        <v/>
      </c>
      <c r="X7" s="46" t="str">
        <f t="shared" si="5"/>
        <v/>
      </c>
    </row>
    <row r="8" spans="2:26" x14ac:dyDescent="0.25">
      <c r="B8" s="11" t="str">
        <f t="shared" si="0"/>
        <v>ACRO-25JUN1921</v>
      </c>
      <c r="C8" s="11" t="s">
        <v>3058</v>
      </c>
      <c r="D8" s="11" t="s">
        <v>847</v>
      </c>
      <c r="E8" s="39" t="s">
        <v>3735</v>
      </c>
      <c r="F8" s="11" t="s">
        <v>1700</v>
      </c>
      <c r="G8" s="39" t="s">
        <v>3166</v>
      </c>
      <c r="J8" s="17">
        <v>10</v>
      </c>
      <c r="K8" s="17"/>
      <c r="L8" s="7">
        <f t="shared" si="1"/>
        <v>10</v>
      </c>
      <c r="M8" s="8">
        <v>1</v>
      </c>
      <c r="N8" s="8">
        <f t="shared" si="2"/>
        <v>1</v>
      </c>
      <c r="O8" s="11" t="s">
        <v>1702</v>
      </c>
      <c r="P8" s="16" t="str">
        <f t="shared" si="3"/>
        <v>25-Jun-1921</v>
      </c>
      <c r="R8" s="16" t="str">
        <f t="shared" si="4"/>
        <v>x</v>
      </c>
      <c r="S8" s="16" t="str">
        <f t="shared" si="4"/>
        <v>x</v>
      </c>
      <c r="U8" s="46" t="str">
        <f t="shared" si="5"/>
        <v/>
      </c>
      <c r="V8" s="46">
        <f t="shared" si="5"/>
        <v>10</v>
      </c>
      <c r="W8" s="46" t="str">
        <f t="shared" si="5"/>
        <v/>
      </c>
      <c r="X8" s="46" t="str">
        <f t="shared" si="5"/>
        <v/>
      </c>
    </row>
    <row r="9" spans="2:26" x14ac:dyDescent="0.25">
      <c r="B9" s="11" t="str">
        <f t="shared" si="0"/>
        <v>ACRO-01SEP1921</v>
      </c>
      <c r="C9" s="11" t="s">
        <v>3058</v>
      </c>
      <c r="D9" s="11" t="s">
        <v>2808</v>
      </c>
      <c r="E9" s="39" t="s">
        <v>3059</v>
      </c>
      <c r="F9" s="11" t="s">
        <v>1700</v>
      </c>
      <c r="G9" s="39" t="s">
        <v>1134</v>
      </c>
      <c r="H9" s="7">
        <f>18+3</f>
        <v>21</v>
      </c>
      <c r="J9" s="17">
        <v>82</v>
      </c>
      <c r="K9" s="17"/>
      <c r="L9" s="7">
        <f t="shared" si="1"/>
        <v>103</v>
      </c>
      <c r="M9" s="8">
        <v>1</v>
      </c>
      <c r="N9" s="8">
        <f t="shared" si="2"/>
        <v>1</v>
      </c>
      <c r="O9" s="11" t="s">
        <v>1702</v>
      </c>
      <c r="P9" s="16" t="str">
        <f t="shared" si="3"/>
        <v>01-Sep-1921</v>
      </c>
      <c r="R9" s="16" t="str">
        <f t="shared" si="4"/>
        <v>x</v>
      </c>
      <c r="S9" s="16" t="str">
        <f t="shared" si="4"/>
        <v>x</v>
      </c>
      <c r="U9" s="46" t="str">
        <f t="shared" si="5"/>
        <v/>
      </c>
      <c r="V9" s="46">
        <f t="shared" si="5"/>
        <v>103</v>
      </c>
      <c r="W9" s="46" t="str">
        <f t="shared" si="5"/>
        <v/>
      </c>
      <c r="X9" s="46" t="str">
        <f t="shared" si="5"/>
        <v/>
      </c>
    </row>
    <row r="10" spans="2:26" x14ac:dyDescent="0.25">
      <c r="B10" s="11" t="str">
        <f t="shared" si="0"/>
        <v>ACRO-01SEP1921</v>
      </c>
      <c r="C10" s="11" t="s">
        <v>3058</v>
      </c>
      <c r="D10" s="11" t="s">
        <v>847</v>
      </c>
      <c r="E10" s="39" t="s">
        <v>3013</v>
      </c>
      <c r="F10" s="11" t="s">
        <v>1700</v>
      </c>
      <c r="G10" s="39" t="s">
        <v>1134</v>
      </c>
      <c r="H10" s="7">
        <v>0</v>
      </c>
      <c r="J10" s="17">
        <v>13</v>
      </c>
      <c r="K10" s="17"/>
      <c r="L10" s="7">
        <f t="shared" si="1"/>
        <v>13</v>
      </c>
      <c r="M10" s="8">
        <v>1</v>
      </c>
      <c r="N10" s="8">
        <f t="shared" si="2"/>
        <v>1</v>
      </c>
      <c r="O10" s="11" t="s">
        <v>1702</v>
      </c>
      <c r="P10" s="16" t="str">
        <f t="shared" si="3"/>
        <v>01-Sep-1921</v>
      </c>
      <c r="R10" s="16" t="str">
        <f t="shared" si="4"/>
        <v>x</v>
      </c>
      <c r="S10" s="16" t="str">
        <f t="shared" si="4"/>
        <v>x</v>
      </c>
      <c r="U10" s="46" t="str">
        <f t="shared" si="5"/>
        <v/>
      </c>
      <c r="V10" s="46">
        <f t="shared" si="5"/>
        <v>13</v>
      </c>
      <c r="W10" s="46" t="str">
        <f t="shared" si="5"/>
        <v/>
      </c>
      <c r="X10" s="46" t="str">
        <f t="shared" si="5"/>
        <v/>
      </c>
    </row>
    <row r="11" spans="2:26" x14ac:dyDescent="0.25">
      <c r="B11" s="11" t="str">
        <f t="shared" si="0"/>
        <v>ACRO-01SEP1921</v>
      </c>
      <c r="C11" s="11" t="s">
        <v>3058</v>
      </c>
      <c r="D11" s="11" t="s">
        <v>1906</v>
      </c>
      <c r="E11" s="39" t="s">
        <v>3060</v>
      </c>
      <c r="F11" s="11" t="s">
        <v>1700</v>
      </c>
      <c r="G11" s="39" t="s">
        <v>1134</v>
      </c>
      <c r="H11" s="7">
        <v>0</v>
      </c>
      <c r="J11" s="17">
        <v>5</v>
      </c>
      <c r="K11" s="17"/>
      <c r="L11" s="7">
        <f t="shared" si="1"/>
        <v>5</v>
      </c>
      <c r="M11" s="8">
        <v>1</v>
      </c>
      <c r="N11" s="8">
        <f t="shared" si="2"/>
        <v>1</v>
      </c>
      <c r="O11" s="11" t="s">
        <v>1702</v>
      </c>
      <c r="P11" s="16" t="str">
        <f t="shared" si="3"/>
        <v>01-Sep-1921</v>
      </c>
      <c r="R11" s="16" t="str">
        <f t="shared" si="4"/>
        <v>x</v>
      </c>
      <c r="S11" s="16" t="str">
        <f t="shared" si="4"/>
        <v>x</v>
      </c>
      <c r="U11" s="46" t="str">
        <f t="shared" si="5"/>
        <v/>
      </c>
      <c r="V11" s="46">
        <f t="shared" si="5"/>
        <v>5</v>
      </c>
      <c r="W11" s="46" t="str">
        <f t="shared" si="5"/>
        <v/>
      </c>
      <c r="X11" s="46" t="str">
        <f t="shared" si="5"/>
        <v/>
      </c>
    </row>
    <row r="12" spans="2:26" x14ac:dyDescent="0.25">
      <c r="B12" s="11" t="str">
        <f t="shared" si="0"/>
        <v>ACRO-01SEP1921</v>
      </c>
      <c r="C12" s="11" t="s">
        <v>3058</v>
      </c>
      <c r="D12" s="11" t="s">
        <v>3342</v>
      </c>
      <c r="E12" s="39" t="s">
        <v>3991</v>
      </c>
      <c r="F12" s="11" t="s">
        <v>1700</v>
      </c>
      <c r="G12" s="39" t="s">
        <v>1134</v>
      </c>
      <c r="J12" s="17">
        <v>1</v>
      </c>
      <c r="K12" s="17"/>
      <c r="L12" s="7">
        <f t="shared" si="1"/>
        <v>1</v>
      </c>
      <c r="M12" s="8">
        <v>1</v>
      </c>
      <c r="N12" s="8">
        <f t="shared" si="2"/>
        <v>1</v>
      </c>
      <c r="O12" s="11" t="s">
        <v>1702</v>
      </c>
      <c r="P12" s="16" t="str">
        <f t="shared" si="3"/>
        <v>01-Sep-1921</v>
      </c>
      <c r="R12" s="16" t="str">
        <f t="shared" si="4"/>
        <v>x</v>
      </c>
      <c r="S12" s="16" t="str">
        <f t="shared" si="4"/>
        <v>x</v>
      </c>
      <c r="U12" s="46" t="str">
        <f t="shared" si="5"/>
        <v/>
      </c>
      <c r="V12" s="46">
        <f t="shared" si="5"/>
        <v>1</v>
      </c>
      <c r="W12" s="46" t="str">
        <f t="shared" si="5"/>
        <v/>
      </c>
      <c r="X12" s="46" t="str">
        <f t="shared" si="5"/>
        <v/>
      </c>
    </row>
    <row r="13" spans="2:26" x14ac:dyDescent="0.25">
      <c r="B13" s="11" t="str">
        <f t="shared" si="0"/>
        <v>ACRO-11NOV1921</v>
      </c>
      <c r="C13" s="11" t="s">
        <v>3058</v>
      </c>
      <c r="D13" s="11" t="s">
        <v>2808</v>
      </c>
      <c r="E13" s="39" t="s">
        <v>3733</v>
      </c>
      <c r="F13" s="11" t="s">
        <v>1700</v>
      </c>
      <c r="G13" s="39" t="s">
        <v>2836</v>
      </c>
      <c r="I13" s="7">
        <f>18+2</f>
        <v>20</v>
      </c>
      <c r="J13" s="17">
        <f>50+2</f>
        <v>52</v>
      </c>
      <c r="K13" s="17"/>
      <c r="L13" s="7">
        <f t="shared" si="1"/>
        <v>72</v>
      </c>
      <c r="M13" s="8">
        <v>1</v>
      </c>
      <c r="N13" s="8">
        <f t="shared" si="2"/>
        <v>1</v>
      </c>
      <c r="O13" s="11" t="s">
        <v>3728</v>
      </c>
      <c r="P13" s="16" t="str">
        <f t="shared" si="3"/>
        <v>11-Nov-1921</v>
      </c>
      <c r="R13" s="16" t="str">
        <f t="shared" si="4"/>
        <v>x</v>
      </c>
      <c r="S13" s="16" t="str">
        <f t="shared" si="4"/>
        <v>x</v>
      </c>
      <c r="U13" s="46" t="str">
        <f t="shared" si="5"/>
        <v/>
      </c>
      <c r="V13" s="46" t="str">
        <f t="shared" si="5"/>
        <v/>
      </c>
      <c r="W13" s="46" t="str">
        <f t="shared" si="5"/>
        <v/>
      </c>
      <c r="X13" s="46">
        <f t="shared" si="5"/>
        <v>72</v>
      </c>
    </row>
    <row r="14" spans="2:26" x14ac:dyDescent="0.25">
      <c r="B14" s="11" t="str">
        <f t="shared" si="0"/>
        <v>ACRO-11NOV1921</v>
      </c>
      <c r="C14" s="11" t="s">
        <v>3058</v>
      </c>
      <c r="D14" s="11" t="s">
        <v>1906</v>
      </c>
      <c r="E14" s="39" t="s">
        <v>3734</v>
      </c>
      <c r="F14" s="11" t="s">
        <v>1700</v>
      </c>
      <c r="G14" s="39" t="s">
        <v>2836</v>
      </c>
      <c r="I14" s="7">
        <v>0</v>
      </c>
      <c r="J14" s="17">
        <v>10</v>
      </c>
      <c r="K14" s="17"/>
      <c r="L14" s="7">
        <f t="shared" si="1"/>
        <v>10</v>
      </c>
      <c r="M14" s="8">
        <v>1</v>
      </c>
      <c r="N14" s="8">
        <f t="shared" si="2"/>
        <v>1</v>
      </c>
      <c r="O14" s="11" t="s">
        <v>3728</v>
      </c>
      <c r="P14" s="16" t="str">
        <f t="shared" si="3"/>
        <v>11-Nov-1921</v>
      </c>
      <c r="R14" s="16" t="str">
        <f t="shared" si="4"/>
        <v>x</v>
      </c>
      <c r="S14" s="16" t="str">
        <f t="shared" si="4"/>
        <v>x</v>
      </c>
      <c r="U14" s="46" t="str">
        <f t="shared" si="5"/>
        <v/>
      </c>
      <c r="V14" s="46" t="str">
        <f t="shared" si="5"/>
        <v/>
      </c>
      <c r="W14" s="46" t="str">
        <f t="shared" si="5"/>
        <v/>
      </c>
      <c r="X14" s="46">
        <f t="shared" si="5"/>
        <v>10</v>
      </c>
    </row>
    <row r="15" spans="2:26" x14ac:dyDescent="0.25">
      <c r="B15" s="11" t="str">
        <f t="shared" si="0"/>
        <v>ACRO-24JAN1922</v>
      </c>
      <c r="C15" s="11" t="s">
        <v>3058</v>
      </c>
      <c r="D15" s="11" t="s">
        <v>2808</v>
      </c>
      <c r="E15" s="39" t="s">
        <v>3632</v>
      </c>
      <c r="F15" s="11" t="s">
        <v>1700</v>
      </c>
      <c r="G15" s="39" t="s">
        <v>3732</v>
      </c>
      <c r="H15" s="7">
        <v>0</v>
      </c>
      <c r="I15" s="7">
        <f>6+3</f>
        <v>9</v>
      </c>
      <c r="J15" s="17">
        <v>7</v>
      </c>
      <c r="K15" s="17"/>
      <c r="L15" s="7">
        <f t="shared" si="1"/>
        <v>16</v>
      </c>
      <c r="M15" s="8">
        <v>1</v>
      </c>
      <c r="N15" s="8">
        <f t="shared" si="2"/>
        <v>1</v>
      </c>
      <c r="O15" s="11" t="s">
        <v>3728</v>
      </c>
      <c r="P15" s="16" t="str">
        <f t="shared" si="3"/>
        <v>24-Jan-1922</v>
      </c>
      <c r="R15" s="16" t="str">
        <f t="shared" si="4"/>
        <v>x</v>
      </c>
      <c r="S15" s="16" t="str">
        <f t="shared" si="4"/>
        <v>x</v>
      </c>
      <c r="U15" s="46" t="str">
        <f t="shared" si="5"/>
        <v/>
      </c>
      <c r="V15" s="46" t="str">
        <f t="shared" si="5"/>
        <v/>
      </c>
      <c r="W15" s="46" t="str">
        <f t="shared" si="5"/>
        <v/>
      </c>
      <c r="X15" s="46">
        <f t="shared" si="5"/>
        <v>16</v>
      </c>
    </row>
    <row r="16" spans="2:26" x14ac:dyDescent="0.25">
      <c r="B16" s="11" t="str">
        <f t="shared" si="0"/>
        <v>ACRO-10APR1922</v>
      </c>
      <c r="C16" s="11" t="s">
        <v>3058</v>
      </c>
      <c r="D16" s="11" t="s">
        <v>2808</v>
      </c>
      <c r="E16" s="39" t="s">
        <v>3762</v>
      </c>
      <c r="F16" s="11" t="s">
        <v>1700</v>
      </c>
      <c r="G16" s="39" t="s">
        <v>3761</v>
      </c>
      <c r="I16" s="7">
        <v>18</v>
      </c>
      <c r="J16" s="17">
        <f>20+2</f>
        <v>22</v>
      </c>
      <c r="K16" s="17"/>
      <c r="L16" s="7">
        <f t="shared" si="1"/>
        <v>40</v>
      </c>
      <c r="M16" s="8">
        <v>1</v>
      </c>
      <c r="N16" s="8">
        <f t="shared" si="2"/>
        <v>1</v>
      </c>
      <c r="O16" s="11" t="s">
        <v>3728</v>
      </c>
      <c r="P16" s="16" t="str">
        <f t="shared" si="3"/>
        <v>10-Apr-1922</v>
      </c>
      <c r="R16" s="16" t="str">
        <f t="shared" si="4"/>
        <v>x</v>
      </c>
      <c r="S16" s="16" t="str">
        <f t="shared" si="4"/>
        <v>x</v>
      </c>
      <c r="U16" s="46" t="str">
        <f t="shared" si="5"/>
        <v/>
      </c>
      <c r="V16" s="46" t="str">
        <f t="shared" si="5"/>
        <v/>
      </c>
      <c r="W16" s="46" t="str">
        <f t="shared" si="5"/>
        <v/>
      </c>
      <c r="X16" s="46">
        <f t="shared" si="5"/>
        <v>40</v>
      </c>
    </row>
    <row r="17" spans="2:24" x14ac:dyDescent="0.25">
      <c r="B17" s="11" t="str">
        <f t="shared" ref="B17:B22" si="6">CONCATENATE("ACRO","-",LEFT(P17,2),UPPER(MID(P17,4,3)),RIGHT(P17,4))</f>
        <v>ACRO-10APR1922</v>
      </c>
      <c r="C17" s="11" t="s">
        <v>3058</v>
      </c>
      <c r="D17" s="11" t="s">
        <v>847</v>
      </c>
      <c r="E17" s="39" t="s">
        <v>3763</v>
      </c>
      <c r="F17" s="11" t="s">
        <v>1700</v>
      </c>
      <c r="G17" s="39" t="s">
        <v>3761</v>
      </c>
      <c r="I17" s="7">
        <v>2</v>
      </c>
      <c r="J17" s="17">
        <f>2+2</f>
        <v>4</v>
      </c>
      <c r="K17" s="17"/>
      <c r="L17" s="7">
        <f t="shared" si="1"/>
        <v>6</v>
      </c>
      <c r="M17" s="8">
        <v>1</v>
      </c>
      <c r="N17" s="8">
        <f t="shared" ref="N17:N22" si="7">IF(L17&gt;0,1,"")</f>
        <v>1</v>
      </c>
      <c r="O17" s="11" t="s">
        <v>3728</v>
      </c>
      <c r="P17" s="16" t="str">
        <f t="shared" ref="P17:P22" si="8">IF(LEN(G17)=10,CONCATENATE("0",G17),G17)</f>
        <v>10-Apr-1922</v>
      </c>
      <c r="R17" s="16" t="str">
        <f t="shared" si="4"/>
        <v>x</v>
      </c>
      <c r="S17" s="16" t="str">
        <f t="shared" si="4"/>
        <v>x</v>
      </c>
      <c r="U17" s="46" t="str">
        <f t="shared" si="5"/>
        <v/>
      </c>
      <c r="V17" s="46" t="str">
        <f t="shared" si="5"/>
        <v/>
      </c>
      <c r="W17" s="46" t="str">
        <f t="shared" si="5"/>
        <v/>
      </c>
      <c r="X17" s="46">
        <f t="shared" si="5"/>
        <v>6</v>
      </c>
    </row>
    <row r="18" spans="2:24" x14ac:dyDescent="0.25">
      <c r="B18" s="11" t="str">
        <f t="shared" si="6"/>
        <v>ACRO-07JUL1922</v>
      </c>
      <c r="C18" s="11" t="s">
        <v>3058</v>
      </c>
      <c r="D18" s="11" t="s">
        <v>2808</v>
      </c>
      <c r="E18" s="39" t="s">
        <v>3789</v>
      </c>
      <c r="F18" s="11" t="s">
        <v>1700</v>
      </c>
      <c r="G18" s="39" t="s">
        <v>3787</v>
      </c>
      <c r="I18" s="7">
        <v>41</v>
      </c>
      <c r="J18" s="17">
        <v>51</v>
      </c>
      <c r="K18" s="17"/>
      <c r="L18" s="7">
        <f t="shared" si="1"/>
        <v>92</v>
      </c>
      <c r="M18" s="8">
        <v>1</v>
      </c>
      <c r="N18" s="8">
        <f t="shared" si="7"/>
        <v>1</v>
      </c>
      <c r="O18" s="11" t="s">
        <v>3728</v>
      </c>
      <c r="P18" s="16" t="str">
        <f t="shared" si="8"/>
        <v>07-Jul-1922</v>
      </c>
      <c r="R18" s="16" t="str">
        <f t="shared" si="4"/>
        <v>x</v>
      </c>
      <c r="S18" s="16" t="str">
        <f t="shared" si="4"/>
        <v>x</v>
      </c>
      <c r="U18" s="46" t="str">
        <f t="shared" si="5"/>
        <v/>
      </c>
      <c r="V18" s="46" t="str">
        <f t="shared" si="5"/>
        <v/>
      </c>
      <c r="W18" s="46" t="str">
        <f t="shared" si="5"/>
        <v/>
      </c>
      <c r="X18" s="46">
        <f t="shared" si="5"/>
        <v>92</v>
      </c>
    </row>
    <row r="19" spans="2:24" x14ac:dyDescent="0.25">
      <c r="B19" s="11" t="str">
        <f t="shared" si="6"/>
        <v>ACRO-07JUL1922</v>
      </c>
      <c r="C19" s="11" t="s">
        <v>3058</v>
      </c>
      <c r="D19" s="11" t="s">
        <v>847</v>
      </c>
      <c r="E19" s="39" t="s">
        <v>3788</v>
      </c>
      <c r="F19" s="11" t="s">
        <v>1700</v>
      </c>
      <c r="G19" s="39" t="s">
        <v>3787</v>
      </c>
      <c r="I19" s="7">
        <v>0</v>
      </c>
      <c r="J19" s="17">
        <v>6</v>
      </c>
      <c r="K19" s="17"/>
      <c r="L19" s="7">
        <f t="shared" si="1"/>
        <v>6</v>
      </c>
      <c r="M19" s="8">
        <v>1</v>
      </c>
      <c r="N19" s="8">
        <f t="shared" si="7"/>
        <v>1</v>
      </c>
      <c r="O19" s="11" t="s">
        <v>3728</v>
      </c>
      <c r="P19" s="16" t="str">
        <f t="shared" si="8"/>
        <v>07-Jul-1922</v>
      </c>
      <c r="R19" s="16" t="str">
        <f t="shared" si="4"/>
        <v>x</v>
      </c>
      <c r="S19" s="16" t="str">
        <f t="shared" si="4"/>
        <v>x</v>
      </c>
      <c r="U19" s="46" t="str">
        <f t="shared" si="5"/>
        <v/>
      </c>
      <c r="V19" s="46" t="str">
        <f t="shared" si="5"/>
        <v/>
      </c>
      <c r="W19" s="46" t="str">
        <f t="shared" si="5"/>
        <v/>
      </c>
      <c r="X19" s="46">
        <f t="shared" si="5"/>
        <v>6</v>
      </c>
    </row>
    <row r="20" spans="2:24" x14ac:dyDescent="0.25">
      <c r="B20" s="11" t="str">
        <f t="shared" si="6"/>
        <v>ACRO-01SEP1922</v>
      </c>
      <c r="C20" s="11" t="s">
        <v>3058</v>
      </c>
      <c r="D20" s="11" t="s">
        <v>2808</v>
      </c>
      <c r="E20" s="39" t="s">
        <v>3827</v>
      </c>
      <c r="F20" s="11" t="s">
        <v>1700</v>
      </c>
      <c r="G20" s="39" t="s">
        <v>2079</v>
      </c>
      <c r="I20" s="7">
        <f>45+4</f>
        <v>49</v>
      </c>
      <c r="J20" s="17">
        <f>184+4</f>
        <v>188</v>
      </c>
      <c r="K20" s="17"/>
      <c r="L20" s="7">
        <f t="shared" si="1"/>
        <v>237</v>
      </c>
      <c r="M20" s="8">
        <v>1</v>
      </c>
      <c r="N20" s="8">
        <f t="shared" si="7"/>
        <v>1</v>
      </c>
      <c r="O20" s="11" t="s">
        <v>3728</v>
      </c>
      <c r="P20" s="16" t="str">
        <f t="shared" si="8"/>
        <v>01-Sep-1922</v>
      </c>
      <c r="R20" s="16" t="str">
        <f t="shared" si="4"/>
        <v>x</v>
      </c>
      <c r="S20" s="16" t="str">
        <f t="shared" si="4"/>
        <v>x</v>
      </c>
      <c r="U20" s="46" t="str">
        <f t="shared" si="5"/>
        <v/>
      </c>
      <c r="V20" s="46" t="str">
        <f t="shared" si="5"/>
        <v/>
      </c>
      <c r="W20" s="46" t="str">
        <f t="shared" si="5"/>
        <v/>
      </c>
      <c r="X20" s="46">
        <f t="shared" si="5"/>
        <v>237</v>
      </c>
    </row>
    <row r="21" spans="2:24" x14ac:dyDescent="0.25">
      <c r="B21" s="11" t="str">
        <f t="shared" si="6"/>
        <v>ACRO-01SEP1922</v>
      </c>
      <c r="C21" s="11" t="s">
        <v>3058</v>
      </c>
      <c r="D21" s="11" t="s">
        <v>847</v>
      </c>
      <c r="E21" s="39" t="s">
        <v>3271</v>
      </c>
      <c r="F21" s="11" t="s">
        <v>1700</v>
      </c>
      <c r="G21" s="39" t="s">
        <v>2079</v>
      </c>
      <c r="I21" s="7">
        <v>3</v>
      </c>
      <c r="J21" s="17">
        <v>14</v>
      </c>
      <c r="K21" s="17"/>
      <c r="L21" s="7">
        <f t="shared" si="1"/>
        <v>17</v>
      </c>
      <c r="M21" s="8">
        <v>1</v>
      </c>
      <c r="N21" s="8">
        <f t="shared" si="7"/>
        <v>1</v>
      </c>
      <c r="O21" s="11" t="s">
        <v>1702</v>
      </c>
      <c r="P21" s="16" t="str">
        <f t="shared" si="8"/>
        <v>01-Sep-1922</v>
      </c>
      <c r="R21" s="16" t="str">
        <f t="shared" si="4"/>
        <v>x</v>
      </c>
      <c r="S21" s="16" t="str">
        <f t="shared" si="4"/>
        <v>x</v>
      </c>
      <c r="U21" s="46" t="str">
        <f t="shared" si="5"/>
        <v/>
      </c>
      <c r="V21" s="46">
        <f t="shared" si="5"/>
        <v>17</v>
      </c>
      <c r="W21" s="46" t="str">
        <f t="shared" si="5"/>
        <v/>
      </c>
      <c r="X21" s="46" t="str">
        <f t="shared" si="5"/>
        <v/>
      </c>
    </row>
    <row r="22" spans="2:24" x14ac:dyDescent="0.25">
      <c r="B22" s="11" t="str">
        <f t="shared" si="6"/>
        <v>ACRO-15JAN1923</v>
      </c>
      <c r="C22" s="11" t="s">
        <v>3058</v>
      </c>
      <c r="D22" s="11" t="s">
        <v>847</v>
      </c>
      <c r="E22" s="39" t="s">
        <v>3935</v>
      </c>
      <c r="F22" s="11" t="s">
        <v>1700</v>
      </c>
      <c r="G22" s="39" t="s">
        <v>3933</v>
      </c>
      <c r="I22" s="7">
        <v>11</v>
      </c>
      <c r="J22" s="17">
        <v>55</v>
      </c>
      <c r="K22" s="17"/>
      <c r="L22" s="7">
        <f t="shared" si="1"/>
        <v>66</v>
      </c>
      <c r="M22" s="8">
        <v>1</v>
      </c>
      <c r="N22" s="8">
        <f t="shared" si="7"/>
        <v>1</v>
      </c>
      <c r="O22" s="11" t="s">
        <v>3728</v>
      </c>
      <c r="P22" s="16" t="str">
        <f t="shared" si="8"/>
        <v>15-Jan-1923</v>
      </c>
      <c r="R22" s="16" t="str">
        <f t="shared" si="4"/>
        <v>x</v>
      </c>
      <c r="S22" s="16" t="str">
        <f t="shared" si="4"/>
        <v>x</v>
      </c>
      <c r="U22" s="46" t="str">
        <f t="shared" si="5"/>
        <v/>
      </c>
      <c r="V22" s="46" t="str">
        <f t="shared" si="5"/>
        <v/>
      </c>
      <c r="W22" s="46" t="str">
        <f t="shared" si="5"/>
        <v/>
      </c>
      <c r="X22" s="46">
        <f t="shared" si="5"/>
        <v>66</v>
      </c>
    </row>
    <row r="23" spans="2:24" x14ac:dyDescent="0.25">
      <c r="B23" s="11" t="str">
        <f>CONCATENATE("ACRO","-",LEFT(P23,2),UPPER(MID(P23,4,3)),RIGHT(P23,4))</f>
        <v>ACRO-15JAN1923</v>
      </c>
      <c r="C23" s="11" t="s">
        <v>3058</v>
      </c>
      <c r="D23" s="11" t="s">
        <v>1906</v>
      </c>
      <c r="E23" s="39" t="s">
        <v>3934</v>
      </c>
      <c r="F23" s="11" t="s">
        <v>1700</v>
      </c>
      <c r="G23" s="39" t="s">
        <v>3933</v>
      </c>
      <c r="I23" s="7">
        <v>8</v>
      </c>
      <c r="J23" s="17">
        <v>13</v>
      </c>
      <c r="K23" s="17"/>
      <c r="L23" s="7">
        <f t="shared" si="1"/>
        <v>21</v>
      </c>
      <c r="M23" s="8">
        <v>1</v>
      </c>
      <c r="N23" s="8">
        <f>IF(L23&gt;0,1,"")</f>
        <v>1</v>
      </c>
      <c r="O23" s="11" t="s">
        <v>3728</v>
      </c>
      <c r="P23" s="16" t="str">
        <f>IF(LEN(G23)=10,CONCATENATE("0",G23),G23)</f>
        <v>15-Jan-1923</v>
      </c>
      <c r="R23" s="16" t="str">
        <f t="shared" si="4"/>
        <v>x</v>
      </c>
      <c r="S23" s="16" t="str">
        <f t="shared" si="4"/>
        <v>x</v>
      </c>
      <c r="U23" s="46" t="str">
        <f t="shared" si="5"/>
        <v/>
      </c>
      <c r="V23" s="46" t="str">
        <f t="shared" si="5"/>
        <v/>
      </c>
      <c r="W23" s="46" t="str">
        <f t="shared" si="5"/>
        <v/>
      </c>
      <c r="X23" s="46">
        <f t="shared" si="5"/>
        <v>21</v>
      </c>
    </row>
    <row r="24" spans="2:24" x14ac:dyDescent="0.25">
      <c r="N24" s="8" t="str">
        <f>IF(R24="x",1,"")</f>
        <v/>
      </c>
      <c r="U24" s="46" t="str">
        <f t="shared" si="5"/>
        <v/>
      </c>
      <c r="V24" s="46" t="str">
        <f t="shared" si="5"/>
        <v/>
      </c>
      <c r="W24" s="46" t="str">
        <f t="shared" si="5"/>
        <v/>
      </c>
      <c r="X24" s="46" t="str">
        <f t="shared" si="5"/>
        <v/>
      </c>
    </row>
    <row r="25" spans="2:24" x14ac:dyDescent="0.25">
      <c r="B25" s="18"/>
      <c r="C25" s="18"/>
      <c r="D25" s="18"/>
      <c r="E25" s="40"/>
      <c r="F25" s="18"/>
      <c r="G25" s="40"/>
      <c r="H25" s="7">
        <f t="shared" ref="H25:N25" si="9">SUM(H7:H24)</f>
        <v>37</v>
      </c>
      <c r="I25" s="7">
        <f t="shared" si="9"/>
        <v>161</v>
      </c>
      <c r="J25" s="7">
        <f>SUM(J7:J24)</f>
        <v>651</v>
      </c>
      <c r="K25" s="7">
        <f t="shared" si="9"/>
        <v>0</v>
      </c>
      <c r="L25" s="7">
        <f t="shared" si="9"/>
        <v>849</v>
      </c>
      <c r="M25" s="7">
        <f t="shared" si="9"/>
        <v>17</v>
      </c>
      <c r="N25" s="7">
        <f t="shared" si="9"/>
        <v>17</v>
      </c>
      <c r="O25" s="18"/>
      <c r="P25" s="13"/>
      <c r="Q25" s="13"/>
      <c r="S25" s="13"/>
      <c r="T25" s="15"/>
      <c r="U25" s="46" t="str">
        <f t="shared" si="5"/>
        <v/>
      </c>
      <c r="V25" s="46" t="str">
        <f t="shared" si="5"/>
        <v/>
      </c>
      <c r="W25" s="46" t="str">
        <f t="shared" si="5"/>
        <v/>
      </c>
      <c r="X25" s="46" t="str">
        <f t="shared" si="5"/>
        <v/>
      </c>
    </row>
    <row r="26" spans="2:24" x14ac:dyDescent="0.25">
      <c r="B26" s="18"/>
      <c r="C26" s="18"/>
      <c r="D26" s="18"/>
      <c r="E26" s="40"/>
      <c r="F26" s="18"/>
      <c r="G26" s="40"/>
      <c r="N26" s="8" t="str">
        <f>IF(R26="x",1,"")</f>
        <v/>
      </c>
      <c r="O26" s="18"/>
      <c r="P26" s="13"/>
      <c r="Q26" s="13"/>
      <c r="R26" s="13"/>
      <c r="S26" s="13"/>
      <c r="T26" s="15"/>
      <c r="U26" s="46" t="str">
        <f t="shared" ref="U26:X30" si="10">IF($O26=U$5,$L26,"")</f>
        <v/>
      </c>
      <c r="V26" s="46" t="str">
        <f t="shared" si="10"/>
        <v/>
      </c>
      <c r="W26" s="46" t="str">
        <f t="shared" si="10"/>
        <v/>
      </c>
      <c r="X26" s="46" t="str">
        <f t="shared" si="10"/>
        <v/>
      </c>
    </row>
    <row r="27" spans="2:24" x14ac:dyDescent="0.25">
      <c r="B27" s="18"/>
      <c r="C27" s="18"/>
      <c r="D27" s="18"/>
      <c r="E27" s="40"/>
      <c r="F27" s="18"/>
      <c r="G27" s="18"/>
      <c r="N27" s="8" t="str">
        <f>IF(R27="x",1,"")</f>
        <v/>
      </c>
      <c r="O27" s="18"/>
      <c r="P27" s="13"/>
      <c r="Q27" s="13"/>
      <c r="R27" s="13"/>
      <c r="S27" s="13"/>
      <c r="T27" s="15"/>
      <c r="U27" s="46" t="str">
        <f t="shared" si="10"/>
        <v/>
      </c>
      <c r="V27" s="46" t="str">
        <f t="shared" si="10"/>
        <v/>
      </c>
      <c r="W27" s="46" t="str">
        <f t="shared" si="10"/>
        <v/>
      </c>
      <c r="X27" s="46" t="str">
        <f t="shared" si="10"/>
        <v/>
      </c>
    </row>
    <row r="28" spans="2:24" x14ac:dyDescent="0.25">
      <c r="B28" s="11" t="str">
        <f>CONCATENATE("ADRA","-",LEFT(P28,2),UPPER(MID(P28,4,3)),RIGHT(P28,4))</f>
        <v>ADRA-12JUN1897</v>
      </c>
      <c r="C28" s="11" t="s">
        <v>684</v>
      </c>
      <c r="D28" s="11" t="s">
        <v>1699</v>
      </c>
      <c r="F28" s="11" t="s">
        <v>1700</v>
      </c>
      <c r="G28" s="39" t="s">
        <v>450</v>
      </c>
      <c r="J28" s="17">
        <v>28</v>
      </c>
      <c r="K28" s="17"/>
      <c r="L28" s="7">
        <f>SUM(H28:K28)</f>
        <v>28</v>
      </c>
      <c r="M28" s="8">
        <v>1</v>
      </c>
      <c r="N28" s="8">
        <f>IF(L28&gt;0,1,"")</f>
        <v>1</v>
      </c>
      <c r="O28" s="11" t="s">
        <v>1702</v>
      </c>
      <c r="P28" s="16" t="str">
        <f>IF(LEN(G28)=10,CONCATENATE("0",G28),G28)</f>
        <v>12-Jun-1897</v>
      </c>
      <c r="R28" s="16" t="str">
        <f>IF($L28&gt;0,"x","")</f>
        <v>x</v>
      </c>
      <c r="S28" s="16" t="str">
        <f>IF($L28&gt;0,"x","")</f>
        <v>x</v>
      </c>
      <c r="U28" s="46" t="str">
        <f t="shared" si="10"/>
        <v/>
      </c>
      <c r="V28" s="46">
        <f t="shared" si="10"/>
        <v>28</v>
      </c>
      <c r="W28" s="46" t="str">
        <f t="shared" si="10"/>
        <v/>
      </c>
      <c r="X28" s="46" t="str">
        <f t="shared" si="10"/>
        <v/>
      </c>
    </row>
    <row r="29" spans="2:24" x14ac:dyDescent="0.25">
      <c r="N29" s="8" t="str">
        <f>IF(R29="x",1,"")</f>
        <v/>
      </c>
      <c r="U29" s="46" t="str">
        <f t="shared" si="10"/>
        <v/>
      </c>
      <c r="V29" s="46" t="str">
        <f t="shared" si="10"/>
        <v/>
      </c>
      <c r="W29" s="46" t="str">
        <f t="shared" si="10"/>
        <v/>
      </c>
      <c r="X29" s="46" t="str">
        <f t="shared" si="10"/>
        <v/>
      </c>
    </row>
    <row r="30" spans="2:24" x14ac:dyDescent="0.25">
      <c r="B30" s="18"/>
      <c r="C30" s="18"/>
      <c r="D30" s="18"/>
      <c r="E30" s="40"/>
      <c r="F30" s="18"/>
      <c r="G30" s="40"/>
      <c r="H30" s="7">
        <f t="shared" ref="H30:N30" si="11">SUM(H28:H29)</f>
        <v>0</v>
      </c>
      <c r="I30" s="7">
        <f t="shared" si="11"/>
        <v>0</v>
      </c>
      <c r="J30" s="7">
        <f>SUM(J28:J29)</f>
        <v>28</v>
      </c>
      <c r="K30" s="7">
        <f t="shared" si="11"/>
        <v>0</v>
      </c>
      <c r="L30" s="7">
        <f t="shared" si="11"/>
        <v>28</v>
      </c>
      <c r="M30" s="7">
        <f t="shared" si="11"/>
        <v>1</v>
      </c>
      <c r="N30" s="7">
        <f t="shared" si="11"/>
        <v>1</v>
      </c>
      <c r="O30" s="18"/>
      <c r="P30" s="13"/>
      <c r="Q30" s="13"/>
      <c r="S30" s="13"/>
      <c r="T30" s="15"/>
      <c r="U30" s="46" t="str">
        <f t="shared" si="10"/>
        <v/>
      </c>
      <c r="V30" s="46" t="str">
        <f t="shared" si="10"/>
        <v/>
      </c>
      <c r="W30" s="46" t="str">
        <f t="shared" si="10"/>
        <v/>
      </c>
      <c r="X30" s="46" t="str">
        <f t="shared" si="10"/>
        <v/>
      </c>
    </row>
    <row r="31" spans="2:24" x14ac:dyDescent="0.25">
      <c r="B31" s="18"/>
      <c r="C31" s="18"/>
      <c r="D31" s="18"/>
      <c r="E31" s="40"/>
      <c r="F31" s="18"/>
      <c r="G31" s="40"/>
      <c r="N31" s="8" t="str">
        <f>IF(R31="x",1,"")</f>
        <v/>
      </c>
      <c r="O31" s="18"/>
      <c r="P31" s="13"/>
      <c r="Q31" s="13"/>
      <c r="R31" s="13"/>
      <c r="S31" s="13"/>
      <c r="T31" s="15"/>
      <c r="U31" s="46" t="str">
        <f t="shared" si="5"/>
        <v/>
      </c>
      <c r="V31" s="46" t="str">
        <f t="shared" si="5"/>
        <v/>
      </c>
      <c r="W31" s="46" t="str">
        <f t="shared" si="5"/>
        <v/>
      </c>
      <c r="X31" s="46" t="str">
        <f t="shared" si="5"/>
        <v/>
      </c>
    </row>
    <row r="32" spans="2:24" x14ac:dyDescent="0.25">
      <c r="B32" s="18"/>
      <c r="C32" s="18"/>
      <c r="D32" s="18"/>
      <c r="E32" s="40"/>
      <c r="F32" s="18"/>
      <c r="G32" s="40"/>
      <c r="N32" s="8" t="str">
        <f>IF(R32="x",1,"")</f>
        <v/>
      </c>
      <c r="O32" s="18"/>
      <c r="P32" s="13"/>
      <c r="Q32" s="13"/>
      <c r="R32" s="13"/>
      <c r="S32" s="13"/>
      <c r="T32" s="15"/>
      <c r="U32" s="46" t="str">
        <f t="shared" si="5"/>
        <v/>
      </c>
      <c r="V32" s="46" t="str">
        <f t="shared" si="5"/>
        <v/>
      </c>
      <c r="W32" s="46" t="str">
        <f t="shared" si="5"/>
        <v/>
      </c>
      <c r="X32" s="46" t="str">
        <f t="shared" si="5"/>
        <v/>
      </c>
    </row>
    <row r="33" spans="2:24" x14ac:dyDescent="0.25">
      <c r="B33" s="11" t="str">
        <f t="shared" ref="B33:B39" si="12">CONCATENATE("ADRI","-",LEFT(P33,2),UPPER(MID(P33,4,3)),RIGHT(P33,4))</f>
        <v>ADRI-03OCT1907</v>
      </c>
      <c r="C33" s="11" t="s">
        <v>3114</v>
      </c>
      <c r="D33" s="11" t="s">
        <v>2224</v>
      </c>
      <c r="E33" s="39" t="s">
        <v>3694</v>
      </c>
      <c r="F33" s="11" t="s">
        <v>1700</v>
      </c>
      <c r="G33" s="39" t="s">
        <v>3693</v>
      </c>
      <c r="H33" s="7">
        <v>0</v>
      </c>
      <c r="I33" s="7">
        <v>0</v>
      </c>
      <c r="J33" s="17">
        <v>6</v>
      </c>
      <c r="K33" s="17"/>
      <c r="L33" s="7">
        <f t="shared" ref="L33:L39" si="13">SUM(H33:K33)</f>
        <v>6</v>
      </c>
      <c r="M33" s="8">
        <v>1</v>
      </c>
      <c r="N33" s="8">
        <f t="shared" ref="N33:N39" si="14">IF(L33&gt;0,1,"")</f>
        <v>1</v>
      </c>
      <c r="O33" s="11" t="s">
        <v>1702</v>
      </c>
      <c r="P33" s="16" t="str">
        <f t="shared" ref="P33:P39" si="15">IF(LEN(G33)=10,CONCATENATE("0",G33),G33)</f>
        <v>03-Oct-1907</v>
      </c>
      <c r="R33" s="16" t="str">
        <f t="shared" ref="R33:S45" si="16">IF($L33&gt;0,"x","")</f>
        <v>x</v>
      </c>
      <c r="S33" s="16" t="str">
        <f t="shared" si="16"/>
        <v>x</v>
      </c>
      <c r="U33" s="46" t="str">
        <f t="shared" si="5"/>
        <v/>
      </c>
      <c r="V33" s="46">
        <f t="shared" si="5"/>
        <v>6</v>
      </c>
      <c r="W33" s="46" t="str">
        <f t="shared" si="5"/>
        <v/>
      </c>
      <c r="X33" s="46" t="str">
        <f t="shared" si="5"/>
        <v/>
      </c>
    </row>
    <row r="34" spans="2:24" x14ac:dyDescent="0.25">
      <c r="B34" s="11" t="str">
        <f t="shared" si="12"/>
        <v>ADRI-01NOV1907</v>
      </c>
      <c r="C34" s="11" t="s">
        <v>3114</v>
      </c>
      <c r="D34" s="11" t="s">
        <v>2224</v>
      </c>
      <c r="E34" s="39" t="s">
        <v>5844</v>
      </c>
      <c r="F34" s="11" t="s">
        <v>1700</v>
      </c>
      <c r="G34" s="39" t="s">
        <v>3324</v>
      </c>
      <c r="H34" s="7">
        <v>0</v>
      </c>
      <c r="I34" s="7">
        <v>2</v>
      </c>
      <c r="J34" s="17">
        <v>1</v>
      </c>
      <c r="K34" s="17"/>
      <c r="L34" s="7">
        <f t="shared" si="13"/>
        <v>3</v>
      </c>
      <c r="M34" s="8">
        <v>1</v>
      </c>
      <c r="N34" s="8">
        <f t="shared" si="14"/>
        <v>1</v>
      </c>
      <c r="O34" s="11" t="s">
        <v>1702</v>
      </c>
      <c r="P34" s="16" t="str">
        <f t="shared" si="15"/>
        <v>01-Nov-1907</v>
      </c>
      <c r="R34" s="16" t="str">
        <f t="shared" si="16"/>
        <v>x</v>
      </c>
      <c r="S34" s="16" t="str">
        <f t="shared" si="16"/>
        <v>x</v>
      </c>
      <c r="U34" s="46" t="str">
        <f t="shared" ref="U34:X37" si="17">IF($O34=U$5,$L34,"")</f>
        <v/>
      </c>
      <c r="V34" s="46">
        <f t="shared" si="17"/>
        <v>3</v>
      </c>
      <c r="W34" s="46" t="str">
        <f t="shared" si="17"/>
        <v/>
      </c>
      <c r="X34" s="46" t="str">
        <f t="shared" si="17"/>
        <v/>
      </c>
    </row>
    <row r="35" spans="2:24" x14ac:dyDescent="0.25">
      <c r="B35" s="11" t="str">
        <f t="shared" si="12"/>
        <v>ADRI-20FEB1908</v>
      </c>
      <c r="C35" s="11" t="s">
        <v>3114</v>
      </c>
      <c r="D35" s="11" t="s">
        <v>2224</v>
      </c>
      <c r="E35" s="39" t="s">
        <v>5145</v>
      </c>
      <c r="F35" s="11" t="s">
        <v>1700</v>
      </c>
      <c r="G35" s="39" t="s">
        <v>5146</v>
      </c>
      <c r="H35" s="7">
        <v>0</v>
      </c>
      <c r="J35" s="17">
        <v>1</v>
      </c>
      <c r="K35" s="17"/>
      <c r="L35" s="7">
        <f t="shared" si="13"/>
        <v>1</v>
      </c>
      <c r="M35" s="8">
        <v>1</v>
      </c>
      <c r="N35" s="8">
        <f t="shared" si="14"/>
        <v>1</v>
      </c>
      <c r="O35" s="11" t="s">
        <v>1702</v>
      </c>
      <c r="P35" s="16" t="str">
        <f t="shared" si="15"/>
        <v>20-Feb-1908</v>
      </c>
      <c r="R35" s="16" t="str">
        <f t="shared" si="16"/>
        <v>x</v>
      </c>
      <c r="S35" s="16" t="str">
        <f t="shared" si="16"/>
        <v>x</v>
      </c>
      <c r="U35" s="46" t="str">
        <f t="shared" si="17"/>
        <v/>
      </c>
      <c r="V35" s="46">
        <f t="shared" si="17"/>
        <v>1</v>
      </c>
      <c r="W35" s="46" t="str">
        <f t="shared" si="17"/>
        <v/>
      </c>
      <c r="X35" s="46" t="str">
        <f t="shared" si="17"/>
        <v/>
      </c>
    </row>
    <row r="36" spans="2:24" x14ac:dyDescent="0.25">
      <c r="B36" s="11" t="str">
        <f t="shared" si="12"/>
        <v>ADRI-24DEC1908</v>
      </c>
      <c r="C36" s="11" t="s">
        <v>3114</v>
      </c>
      <c r="D36" s="11" t="s">
        <v>3619</v>
      </c>
      <c r="E36" s="39" t="s">
        <v>5776</v>
      </c>
      <c r="F36" s="11" t="s">
        <v>1700</v>
      </c>
      <c r="G36" s="39" t="s">
        <v>5777</v>
      </c>
      <c r="H36" s="7">
        <v>0</v>
      </c>
      <c r="I36" s="7">
        <v>7</v>
      </c>
      <c r="J36" s="17">
        <v>0</v>
      </c>
      <c r="K36" s="17"/>
      <c r="L36" s="7">
        <f t="shared" si="13"/>
        <v>7</v>
      </c>
      <c r="M36" s="8">
        <v>1</v>
      </c>
      <c r="N36" s="8">
        <f t="shared" si="14"/>
        <v>1</v>
      </c>
      <c r="O36" s="11" t="s">
        <v>1702</v>
      </c>
      <c r="P36" s="16" t="str">
        <f t="shared" si="15"/>
        <v>24-Dec-1908</v>
      </c>
      <c r="R36" s="16" t="str">
        <f t="shared" si="16"/>
        <v>x</v>
      </c>
      <c r="S36" s="16" t="str">
        <f t="shared" si="16"/>
        <v>x</v>
      </c>
      <c r="U36" s="46" t="str">
        <f t="shared" si="17"/>
        <v/>
      </c>
      <c r="V36" s="46">
        <f t="shared" si="17"/>
        <v>7</v>
      </c>
      <c r="W36" s="46" t="str">
        <f t="shared" si="17"/>
        <v/>
      </c>
      <c r="X36" s="46" t="str">
        <f t="shared" si="17"/>
        <v/>
      </c>
    </row>
    <row r="37" spans="2:24" x14ac:dyDescent="0.25">
      <c r="B37" s="11" t="str">
        <f>CONCATENATE("ADRI","-",LEFT(P37,2),UPPER(MID(P37,4,3)),RIGHT(P37,4))</f>
        <v>ADRI-23APR1909</v>
      </c>
      <c r="C37" s="11" t="s">
        <v>3114</v>
      </c>
      <c r="D37" s="11" t="s">
        <v>3619</v>
      </c>
      <c r="E37" s="39" t="s">
        <v>5945</v>
      </c>
      <c r="F37" s="11" t="s">
        <v>1700</v>
      </c>
      <c r="G37" s="39" t="s">
        <v>5946</v>
      </c>
      <c r="H37" s="7">
        <v>0</v>
      </c>
      <c r="I37" s="7">
        <v>0</v>
      </c>
      <c r="J37" s="17">
        <f>3+9</f>
        <v>12</v>
      </c>
      <c r="K37" s="17"/>
      <c r="L37" s="7">
        <f>SUM(H37:K37)</f>
        <v>12</v>
      </c>
      <c r="M37" s="8">
        <v>1</v>
      </c>
      <c r="N37" s="8">
        <f>IF(L37&gt;0,1,"")</f>
        <v>1</v>
      </c>
      <c r="O37" s="11" t="s">
        <v>1702</v>
      </c>
      <c r="P37" s="16" t="str">
        <f>IF(LEN(G37)=10,CONCATENATE("0",G37),G37)</f>
        <v>23-Apr-1909</v>
      </c>
      <c r="R37" s="16" t="str">
        <f t="shared" si="16"/>
        <v>x</v>
      </c>
      <c r="S37" s="16" t="str">
        <f t="shared" si="16"/>
        <v>x</v>
      </c>
      <c r="U37" s="46" t="str">
        <f t="shared" si="17"/>
        <v/>
      </c>
      <c r="V37" s="46">
        <f t="shared" si="17"/>
        <v>12</v>
      </c>
      <c r="W37" s="46" t="str">
        <f t="shared" si="17"/>
        <v/>
      </c>
      <c r="X37" s="46" t="str">
        <f t="shared" si="17"/>
        <v/>
      </c>
    </row>
    <row r="38" spans="2:24" x14ac:dyDescent="0.25">
      <c r="B38" s="11" t="str">
        <f t="shared" si="12"/>
        <v>ADRI-17JUN1909</v>
      </c>
      <c r="C38" s="11" t="s">
        <v>3114</v>
      </c>
      <c r="D38" s="11" t="s">
        <v>2224</v>
      </c>
      <c r="E38" s="39" t="s">
        <v>3840</v>
      </c>
      <c r="F38" s="11" t="s">
        <v>1700</v>
      </c>
      <c r="G38" s="39" t="s">
        <v>3839</v>
      </c>
      <c r="H38" s="7">
        <v>0</v>
      </c>
      <c r="I38" s="7">
        <v>0</v>
      </c>
      <c r="J38" s="17">
        <v>3</v>
      </c>
      <c r="K38" s="17"/>
      <c r="L38" s="7">
        <f t="shared" si="13"/>
        <v>3</v>
      </c>
      <c r="M38" s="8">
        <v>1</v>
      </c>
      <c r="N38" s="8">
        <f t="shared" si="14"/>
        <v>1</v>
      </c>
      <c r="O38" s="11" t="s">
        <v>1702</v>
      </c>
      <c r="P38" s="16" t="str">
        <f t="shared" si="15"/>
        <v>17-Jun-1909</v>
      </c>
      <c r="R38" s="16" t="str">
        <f t="shared" si="16"/>
        <v>x</v>
      </c>
      <c r="S38" s="16" t="str">
        <f t="shared" si="16"/>
        <v>x</v>
      </c>
      <c r="U38" s="46" t="str">
        <f t="shared" si="5"/>
        <v/>
      </c>
      <c r="V38" s="46">
        <f t="shared" si="5"/>
        <v>3</v>
      </c>
      <c r="W38" s="46" t="str">
        <f t="shared" si="5"/>
        <v/>
      </c>
      <c r="X38" s="46" t="str">
        <f t="shared" si="5"/>
        <v/>
      </c>
    </row>
    <row r="39" spans="2:24" x14ac:dyDescent="0.25">
      <c r="B39" s="11" t="str">
        <f t="shared" si="12"/>
        <v>ADRI-15JUL1909</v>
      </c>
      <c r="C39" s="11" t="s">
        <v>3114</v>
      </c>
      <c r="D39" s="11" t="s">
        <v>2224</v>
      </c>
      <c r="E39" s="39" t="s">
        <v>3842</v>
      </c>
      <c r="F39" s="11" t="s">
        <v>1700</v>
      </c>
      <c r="G39" s="39" t="s">
        <v>3843</v>
      </c>
      <c r="H39" s="7">
        <v>0</v>
      </c>
      <c r="I39" s="7">
        <v>0</v>
      </c>
      <c r="J39" s="17">
        <v>1</v>
      </c>
      <c r="K39" s="17"/>
      <c r="L39" s="7">
        <f t="shared" si="13"/>
        <v>1</v>
      </c>
      <c r="M39" s="8">
        <v>1</v>
      </c>
      <c r="N39" s="8">
        <f t="shared" si="14"/>
        <v>1</v>
      </c>
      <c r="O39" s="11" t="s">
        <v>1702</v>
      </c>
      <c r="P39" s="16" t="str">
        <f t="shared" si="15"/>
        <v>15-Jul-1909</v>
      </c>
      <c r="R39" s="16" t="str">
        <f t="shared" si="16"/>
        <v>x</v>
      </c>
      <c r="S39" s="16" t="str">
        <f t="shared" si="16"/>
        <v>x</v>
      </c>
      <c r="U39" s="46" t="str">
        <f t="shared" si="5"/>
        <v/>
      </c>
      <c r="V39" s="46">
        <f t="shared" si="5"/>
        <v>1</v>
      </c>
      <c r="W39" s="46" t="str">
        <f t="shared" si="5"/>
        <v/>
      </c>
      <c r="X39" s="46" t="str">
        <f t="shared" si="5"/>
        <v/>
      </c>
    </row>
    <row r="40" spans="2:24" x14ac:dyDescent="0.25">
      <c r="B40" s="11" t="str">
        <f t="shared" ref="B40:B48" si="18">CONCATENATE("ADRI","-",LEFT(P40,2),UPPER(MID(P40,4,3)),RIGHT(P40,4))</f>
        <v>ADRI-07OCT1909</v>
      </c>
      <c r="C40" s="11" t="s">
        <v>3114</v>
      </c>
      <c r="D40" s="11" t="s">
        <v>2224</v>
      </c>
      <c r="E40" s="39" t="s">
        <v>3844</v>
      </c>
      <c r="F40" s="11" t="s">
        <v>1700</v>
      </c>
      <c r="G40" s="39" t="s">
        <v>3305</v>
      </c>
      <c r="H40" s="7">
        <v>0</v>
      </c>
      <c r="I40" s="7">
        <v>0</v>
      </c>
      <c r="J40" s="17">
        <v>6</v>
      </c>
      <c r="K40" s="17"/>
      <c r="L40" s="7">
        <f t="shared" ref="L40:L48" si="19">SUM(H40:K40)</f>
        <v>6</v>
      </c>
      <c r="M40" s="8">
        <v>1</v>
      </c>
      <c r="N40" s="8">
        <f t="shared" ref="N40:N48" si="20">IF(L40&gt;0,1,"")</f>
        <v>1</v>
      </c>
      <c r="O40" s="11" t="s">
        <v>1702</v>
      </c>
      <c r="P40" s="16" t="str">
        <f t="shared" ref="P40:P48" si="21">IF(LEN(G40)=10,CONCATENATE("0",G40),G40)</f>
        <v>07-Oct-1909</v>
      </c>
      <c r="R40" s="16" t="str">
        <f t="shared" si="16"/>
        <v>x</v>
      </c>
      <c r="S40" s="16" t="str">
        <f t="shared" si="16"/>
        <v>x</v>
      </c>
      <c r="U40" s="46" t="str">
        <f t="shared" ref="U40:V46" si="22">IF($O40=U$5,$L40,"")</f>
        <v/>
      </c>
      <c r="V40" s="46">
        <f t="shared" si="22"/>
        <v>6</v>
      </c>
      <c r="W40" s="46" t="str">
        <f t="shared" ref="W40:X48" si="23">IF($O40=W$5,$L40,"")</f>
        <v/>
      </c>
      <c r="X40" s="46" t="str">
        <f t="shared" si="23"/>
        <v/>
      </c>
    </row>
    <row r="41" spans="2:24" x14ac:dyDescent="0.25">
      <c r="B41" s="11" t="str">
        <f t="shared" si="18"/>
        <v>ADRI-01APR1910</v>
      </c>
      <c r="C41" s="11" t="s">
        <v>3114</v>
      </c>
      <c r="D41" s="11" t="s">
        <v>2224</v>
      </c>
      <c r="E41" s="39" t="s">
        <v>4924</v>
      </c>
      <c r="F41" s="11" t="s">
        <v>1700</v>
      </c>
      <c r="G41" s="39" t="s">
        <v>3961</v>
      </c>
      <c r="H41" s="7">
        <v>0</v>
      </c>
      <c r="I41" s="7">
        <v>0</v>
      </c>
      <c r="J41" s="17">
        <v>3</v>
      </c>
      <c r="K41" s="17"/>
      <c r="L41" s="7">
        <f t="shared" si="19"/>
        <v>3</v>
      </c>
      <c r="M41" s="8">
        <v>1</v>
      </c>
      <c r="N41" s="8">
        <f t="shared" si="20"/>
        <v>1</v>
      </c>
      <c r="O41" s="11" t="s">
        <v>1702</v>
      </c>
      <c r="P41" s="16" t="str">
        <f t="shared" si="21"/>
        <v>01-Apr-1910</v>
      </c>
      <c r="R41" s="16" t="str">
        <f t="shared" si="16"/>
        <v>x</v>
      </c>
      <c r="S41" s="16" t="str">
        <f t="shared" si="16"/>
        <v>x</v>
      </c>
      <c r="U41" s="46" t="str">
        <f t="shared" si="22"/>
        <v/>
      </c>
      <c r="V41" s="46">
        <f t="shared" si="22"/>
        <v>3</v>
      </c>
      <c r="W41" s="46" t="str">
        <f t="shared" si="23"/>
        <v/>
      </c>
      <c r="X41" s="46" t="str">
        <f t="shared" si="23"/>
        <v/>
      </c>
    </row>
    <row r="42" spans="2:24" x14ac:dyDescent="0.25">
      <c r="B42" s="11" t="str">
        <f t="shared" si="18"/>
        <v>ADRI-29SEP1911</v>
      </c>
      <c r="C42" s="11" t="s">
        <v>3114</v>
      </c>
      <c r="D42" s="11" t="s">
        <v>2097</v>
      </c>
      <c r="E42" s="39" t="s">
        <v>5177</v>
      </c>
      <c r="F42" s="11" t="s">
        <v>1700</v>
      </c>
      <c r="G42" s="39" t="s">
        <v>5260</v>
      </c>
      <c r="H42" s="7">
        <v>0</v>
      </c>
      <c r="I42" s="7">
        <v>3</v>
      </c>
      <c r="J42" s="17">
        <v>0</v>
      </c>
      <c r="K42" s="17"/>
      <c r="L42" s="7">
        <f t="shared" si="19"/>
        <v>3</v>
      </c>
      <c r="M42" s="8">
        <v>1</v>
      </c>
      <c r="N42" s="8">
        <f t="shared" si="20"/>
        <v>1</v>
      </c>
      <c r="O42" s="11" t="s">
        <v>1702</v>
      </c>
      <c r="P42" s="16" t="str">
        <f t="shared" si="21"/>
        <v>29-Sep-1911</v>
      </c>
      <c r="R42" s="16" t="str">
        <f t="shared" si="16"/>
        <v>x</v>
      </c>
      <c r="S42" s="16" t="str">
        <f t="shared" si="16"/>
        <v>x</v>
      </c>
      <c r="U42" s="46" t="str">
        <f t="shared" si="22"/>
        <v/>
      </c>
      <c r="V42" s="46">
        <f t="shared" si="22"/>
        <v>3</v>
      </c>
      <c r="W42" s="46" t="str">
        <f t="shared" si="23"/>
        <v/>
      </c>
      <c r="X42" s="46" t="str">
        <f t="shared" si="23"/>
        <v/>
      </c>
    </row>
    <row r="43" spans="2:24" x14ac:dyDescent="0.25">
      <c r="B43" s="11" t="str">
        <f>CONCATENATE("ADRI","-",LEFT(P43,2),UPPER(MID(P43,4,3)),RIGHT(P43,4))</f>
        <v>ADRI-05SEP1913</v>
      </c>
      <c r="C43" s="11" t="s">
        <v>3114</v>
      </c>
      <c r="D43" s="11" t="s">
        <v>2097</v>
      </c>
      <c r="E43" s="39" t="s">
        <v>5805</v>
      </c>
      <c r="F43" s="11" t="s">
        <v>1700</v>
      </c>
      <c r="G43" s="39" t="s">
        <v>6222</v>
      </c>
      <c r="H43" s="7">
        <v>0</v>
      </c>
      <c r="I43" s="7">
        <v>0</v>
      </c>
      <c r="J43" s="17">
        <v>2</v>
      </c>
      <c r="K43" s="17"/>
      <c r="L43" s="7">
        <f>SUM(H43:K43)</f>
        <v>2</v>
      </c>
      <c r="M43" s="8">
        <v>1</v>
      </c>
      <c r="N43" s="8">
        <f>IF(L43&gt;0,1,"")</f>
        <v>1</v>
      </c>
      <c r="O43" s="11" t="s">
        <v>1702</v>
      </c>
      <c r="P43" s="16" t="str">
        <f>IF(LEN(G43)=10,CONCATENATE("0",G43),G43)</f>
        <v>05-Sep-1913</v>
      </c>
      <c r="R43" s="16" t="str">
        <f t="shared" si="16"/>
        <v>x</v>
      </c>
      <c r="S43" s="16" t="str">
        <f t="shared" si="16"/>
        <v>x</v>
      </c>
      <c r="U43" s="46" t="str">
        <f t="shared" si="22"/>
        <v/>
      </c>
      <c r="V43" s="46">
        <f t="shared" si="22"/>
        <v>2</v>
      </c>
      <c r="W43" s="46" t="str">
        <f t="shared" si="23"/>
        <v/>
      </c>
      <c r="X43" s="46" t="str">
        <f t="shared" si="23"/>
        <v/>
      </c>
    </row>
    <row r="44" spans="2:24" x14ac:dyDescent="0.25">
      <c r="B44" s="11" t="str">
        <f>CONCATENATE("ADRI","-",LEFT(P44,2),UPPER(MID(P44,4,3)),RIGHT(P44,4))</f>
        <v>ADRI-22NOV1913</v>
      </c>
      <c r="C44" s="11" t="s">
        <v>3114</v>
      </c>
      <c r="D44" s="11" t="s">
        <v>2097</v>
      </c>
      <c r="E44" s="39" t="s">
        <v>2530</v>
      </c>
      <c r="F44" s="11" t="s">
        <v>1700</v>
      </c>
      <c r="G44" s="39" t="s">
        <v>2364</v>
      </c>
      <c r="H44" s="7">
        <v>0</v>
      </c>
      <c r="I44" s="7">
        <v>0</v>
      </c>
      <c r="J44" s="17">
        <v>2</v>
      </c>
      <c r="K44" s="17"/>
      <c r="L44" s="7">
        <f>SUM(H44:K44)</f>
        <v>2</v>
      </c>
      <c r="M44" s="8">
        <v>1</v>
      </c>
      <c r="N44" s="8">
        <f>IF(L44&gt;0,1,"")</f>
        <v>1</v>
      </c>
      <c r="O44" s="11" t="s">
        <v>1702</v>
      </c>
      <c r="P44" s="16" t="str">
        <f>IF(LEN(G44)=10,CONCATENATE("0",G44),G44)</f>
        <v>22-Nov-1913</v>
      </c>
      <c r="R44" s="16" t="str">
        <f t="shared" si="16"/>
        <v>x</v>
      </c>
      <c r="S44" s="16" t="str">
        <f t="shared" si="16"/>
        <v>x</v>
      </c>
      <c r="U44" s="46" t="str">
        <f t="shared" si="22"/>
        <v/>
      </c>
      <c r="V44" s="46">
        <f t="shared" si="22"/>
        <v>2</v>
      </c>
      <c r="W44" s="46" t="str">
        <f t="shared" si="23"/>
        <v/>
      </c>
      <c r="X44" s="46" t="str">
        <f t="shared" si="23"/>
        <v/>
      </c>
    </row>
    <row r="45" spans="2:24" x14ac:dyDescent="0.25">
      <c r="B45" s="11" t="str">
        <f>CONCATENATE("ADRI","-",LEFT(P45,2),UPPER(MID(P45,4,3)),RIGHT(P45,4))</f>
        <v>ADRI-28DEC1919</v>
      </c>
      <c r="C45" s="11" t="s">
        <v>3114</v>
      </c>
      <c r="D45" s="11" t="s">
        <v>3619</v>
      </c>
      <c r="E45" s="39" t="s">
        <v>5530</v>
      </c>
      <c r="F45" s="11" t="s">
        <v>1700</v>
      </c>
      <c r="G45" s="39" t="s">
        <v>5531</v>
      </c>
      <c r="H45" s="7">
        <v>0</v>
      </c>
      <c r="I45" s="7">
        <v>1</v>
      </c>
      <c r="J45" s="17">
        <v>0</v>
      </c>
      <c r="K45" s="17"/>
      <c r="L45" s="7">
        <f>SUM(H45:K45)</f>
        <v>1</v>
      </c>
      <c r="M45" s="8">
        <v>1</v>
      </c>
      <c r="N45" s="8">
        <f>IF(L45&gt;0,1,"")</f>
        <v>1</v>
      </c>
      <c r="O45" s="11" t="s">
        <v>1702</v>
      </c>
      <c r="P45" s="16" t="str">
        <f>IF(LEN(G45)=10,CONCATENATE("0",G45),G45)</f>
        <v>28-Dec-1919</v>
      </c>
      <c r="R45" s="16" t="str">
        <f t="shared" si="16"/>
        <v>x</v>
      </c>
      <c r="S45" s="16" t="str">
        <f t="shared" si="16"/>
        <v>x</v>
      </c>
      <c r="U45" s="46" t="str">
        <f t="shared" si="22"/>
        <v/>
      </c>
      <c r="V45" s="46">
        <f t="shared" si="22"/>
        <v>1</v>
      </c>
      <c r="W45" s="46" t="str">
        <f t="shared" si="23"/>
        <v/>
      </c>
      <c r="X45" s="46" t="str">
        <f t="shared" si="23"/>
        <v/>
      </c>
    </row>
    <row r="46" spans="2:24" x14ac:dyDescent="0.25">
      <c r="B46" s="11" t="str">
        <f t="shared" si="18"/>
        <v>ADRI-08FEB1920</v>
      </c>
      <c r="C46" s="11" t="s">
        <v>3114</v>
      </c>
      <c r="D46" s="11" t="s">
        <v>2224</v>
      </c>
      <c r="E46" s="39" t="s">
        <v>3644</v>
      </c>
      <c r="F46" s="11" t="s">
        <v>1700</v>
      </c>
      <c r="G46" s="39" t="s">
        <v>3645</v>
      </c>
      <c r="H46" s="7">
        <v>1</v>
      </c>
      <c r="I46" s="7">
        <v>0</v>
      </c>
      <c r="J46" s="17">
        <f>21+1</f>
        <v>22</v>
      </c>
      <c r="K46" s="17"/>
      <c r="L46" s="7">
        <f t="shared" si="19"/>
        <v>23</v>
      </c>
      <c r="M46" s="8">
        <v>1</v>
      </c>
      <c r="N46" s="8">
        <f t="shared" si="20"/>
        <v>1</v>
      </c>
      <c r="O46" s="11" t="s">
        <v>1702</v>
      </c>
      <c r="P46" s="16" t="str">
        <f t="shared" si="21"/>
        <v>08-Feb-1920</v>
      </c>
      <c r="R46" s="16" t="str">
        <f t="shared" ref="R46:S51" si="24">IF($L46&gt;0,"x","")</f>
        <v>x</v>
      </c>
      <c r="S46" s="16" t="str">
        <f t="shared" si="24"/>
        <v>x</v>
      </c>
      <c r="U46" s="46" t="str">
        <f t="shared" si="22"/>
        <v/>
      </c>
      <c r="V46" s="46">
        <f t="shared" si="22"/>
        <v>23</v>
      </c>
      <c r="W46" s="46" t="str">
        <f t="shared" si="23"/>
        <v/>
      </c>
      <c r="X46" s="46" t="str">
        <f t="shared" si="23"/>
        <v/>
      </c>
    </row>
    <row r="47" spans="2:24" x14ac:dyDescent="0.25">
      <c r="B47" s="11" t="str">
        <f t="shared" si="18"/>
        <v>ADRI-12MAR1920</v>
      </c>
      <c r="C47" s="11" t="s">
        <v>3114</v>
      </c>
      <c r="D47" s="11" t="s">
        <v>2224</v>
      </c>
      <c r="E47" s="39" t="s">
        <v>4996</v>
      </c>
      <c r="F47" s="11" t="s">
        <v>1700</v>
      </c>
      <c r="G47" s="39" t="s">
        <v>4997</v>
      </c>
      <c r="H47" s="7">
        <v>0</v>
      </c>
      <c r="I47" s="7">
        <v>0</v>
      </c>
      <c r="J47" s="17">
        <v>3</v>
      </c>
      <c r="K47" s="17"/>
      <c r="L47" s="7">
        <f t="shared" si="19"/>
        <v>3</v>
      </c>
      <c r="M47" s="8">
        <v>1</v>
      </c>
      <c r="N47" s="8">
        <f t="shared" si="20"/>
        <v>1</v>
      </c>
      <c r="O47" s="11" t="s">
        <v>1702</v>
      </c>
      <c r="P47" s="16" t="str">
        <f t="shared" si="21"/>
        <v>12-Mar-1920</v>
      </c>
      <c r="R47" s="16" t="str">
        <f t="shared" si="24"/>
        <v>x</v>
      </c>
      <c r="S47" s="16" t="str">
        <f t="shared" si="24"/>
        <v>x</v>
      </c>
      <c r="U47" s="46" t="str">
        <f t="shared" si="5"/>
        <v/>
      </c>
      <c r="V47" s="46">
        <f t="shared" si="5"/>
        <v>3</v>
      </c>
      <c r="W47" s="46" t="str">
        <f t="shared" si="23"/>
        <v/>
      </c>
      <c r="X47" s="46" t="str">
        <f t="shared" si="23"/>
        <v/>
      </c>
    </row>
    <row r="48" spans="2:24" x14ac:dyDescent="0.25">
      <c r="B48" s="11" t="str">
        <f t="shared" si="18"/>
        <v>ADRI-21MAY1920</v>
      </c>
      <c r="C48" s="11" t="s">
        <v>3114</v>
      </c>
      <c r="D48" s="11" t="s">
        <v>2224</v>
      </c>
      <c r="E48" s="39" t="s">
        <v>2802</v>
      </c>
      <c r="F48" s="11" t="s">
        <v>1700</v>
      </c>
      <c r="G48" s="39" t="s">
        <v>1584</v>
      </c>
      <c r="H48" s="7">
        <v>0</v>
      </c>
      <c r="I48" s="7">
        <v>0</v>
      </c>
      <c r="J48" s="17">
        <v>54</v>
      </c>
      <c r="K48" s="17"/>
      <c r="L48" s="7">
        <f t="shared" si="19"/>
        <v>54</v>
      </c>
      <c r="M48" s="8">
        <v>1</v>
      </c>
      <c r="N48" s="8">
        <f t="shared" si="20"/>
        <v>1</v>
      </c>
      <c r="O48" s="11" t="s">
        <v>1702</v>
      </c>
      <c r="P48" s="16" t="str">
        <f t="shared" si="21"/>
        <v>21-May-1920</v>
      </c>
      <c r="R48" s="16" t="str">
        <f t="shared" si="24"/>
        <v>x</v>
      </c>
      <c r="S48" s="16" t="str">
        <f t="shared" si="24"/>
        <v>x</v>
      </c>
      <c r="U48" s="46" t="str">
        <f>IF($O48=U$5,$L48,"")</f>
        <v/>
      </c>
      <c r="V48" s="46">
        <f>IF($O48=V$5,$L48,"")</f>
        <v>54</v>
      </c>
      <c r="W48" s="46" t="str">
        <f t="shared" si="23"/>
        <v/>
      </c>
      <c r="X48" s="46" t="str">
        <f t="shared" si="23"/>
        <v/>
      </c>
    </row>
    <row r="49" spans="2:24" x14ac:dyDescent="0.25">
      <c r="B49" s="11" t="str">
        <f t="shared" ref="B49:B56" si="25">CONCATENATE("ADRI","-",LEFT(P49,2),UPPER(MID(P49,4,3)),RIGHT(P49,4))</f>
        <v>ADRI-25JUN1920</v>
      </c>
      <c r="C49" s="11" t="s">
        <v>3114</v>
      </c>
      <c r="D49" s="11" t="s">
        <v>2224</v>
      </c>
      <c r="E49" s="39" t="s">
        <v>4526</v>
      </c>
      <c r="F49" s="11" t="s">
        <v>1700</v>
      </c>
      <c r="G49" s="39" t="s">
        <v>2568</v>
      </c>
      <c r="H49" s="7">
        <v>0</v>
      </c>
      <c r="I49" s="7">
        <v>0</v>
      </c>
      <c r="J49" s="17">
        <v>117</v>
      </c>
      <c r="K49" s="17"/>
      <c r="L49" s="7">
        <f t="shared" ref="L49:L56" si="26">SUM(H49:K49)</f>
        <v>117</v>
      </c>
      <c r="M49" s="8">
        <v>1</v>
      </c>
      <c r="N49" s="8">
        <f t="shared" ref="N49:N56" si="27">IF(L49&gt;0,1,"")</f>
        <v>1</v>
      </c>
      <c r="O49" s="11" t="s">
        <v>1702</v>
      </c>
      <c r="P49" s="16" t="str">
        <f t="shared" ref="P49:P56" si="28">IF(LEN(G49)=10,CONCATENATE("0",G49),G49)</f>
        <v>25-Jun-1920</v>
      </c>
      <c r="R49" s="16" t="str">
        <f t="shared" si="24"/>
        <v>x</v>
      </c>
      <c r="S49" s="16" t="str">
        <f t="shared" si="24"/>
        <v>x</v>
      </c>
      <c r="U49" s="46" t="str">
        <f t="shared" si="5"/>
        <v/>
      </c>
      <c r="V49" s="46">
        <f t="shared" si="5"/>
        <v>117</v>
      </c>
      <c r="W49" s="46" t="str">
        <f t="shared" si="5"/>
        <v/>
      </c>
      <c r="X49" s="46" t="str">
        <f t="shared" si="5"/>
        <v/>
      </c>
    </row>
    <row r="50" spans="2:24" x14ac:dyDescent="0.25">
      <c r="B50" s="11" t="str">
        <f>CONCATENATE("ADRI","-",LEFT(P50,2),UPPER(MID(P50,4,3)),RIGHT(P50,4))</f>
        <v>ADRI-12NOV1920</v>
      </c>
      <c r="C50" s="11" t="s">
        <v>3114</v>
      </c>
      <c r="D50" s="11" t="s">
        <v>2224</v>
      </c>
      <c r="E50" s="39" t="s">
        <v>5765</v>
      </c>
      <c r="F50" s="11" t="s">
        <v>1700</v>
      </c>
      <c r="G50" s="39" t="s">
        <v>5766</v>
      </c>
      <c r="H50" s="7">
        <v>0</v>
      </c>
      <c r="I50" s="7">
        <v>0</v>
      </c>
      <c r="J50" s="17">
        <v>15</v>
      </c>
      <c r="K50" s="17"/>
      <c r="L50" s="7">
        <f>SUM(H50:K50)</f>
        <v>15</v>
      </c>
      <c r="M50" s="8">
        <v>1</v>
      </c>
      <c r="N50" s="8">
        <f>IF(L50&gt;0,1,"")</f>
        <v>1</v>
      </c>
      <c r="O50" s="11" t="s">
        <v>1702</v>
      </c>
      <c r="P50" s="16" t="str">
        <f>IF(LEN(G50)=10,CONCATENATE("0",G50),G50)</f>
        <v>12-Nov-1920</v>
      </c>
      <c r="R50" s="16" t="str">
        <f t="shared" si="24"/>
        <v>x</v>
      </c>
      <c r="S50" s="16" t="str">
        <f t="shared" si="24"/>
        <v>x</v>
      </c>
      <c r="U50" s="46" t="str">
        <f>IF($O50=U$5,$L50,"")</f>
        <v/>
      </c>
      <c r="V50" s="46">
        <f>IF($O50=V$5,$L50,"")</f>
        <v>15</v>
      </c>
      <c r="W50" s="46" t="str">
        <f>IF($O50=W$5,$L50,"")</f>
        <v/>
      </c>
      <c r="X50" s="46" t="str">
        <f>IF($O50=X$5,$L50,"")</f>
        <v/>
      </c>
    </row>
    <row r="51" spans="2:24" x14ac:dyDescent="0.25">
      <c r="B51" s="11" t="str">
        <f t="shared" si="25"/>
        <v>ADRI-10DEC1920</v>
      </c>
      <c r="C51" s="11" t="s">
        <v>3114</v>
      </c>
      <c r="D51" s="11" t="s">
        <v>3619</v>
      </c>
      <c r="E51" s="39" t="s">
        <v>4375</v>
      </c>
      <c r="F51" s="11" t="s">
        <v>1700</v>
      </c>
      <c r="G51" s="39" t="s">
        <v>4376</v>
      </c>
      <c r="H51" s="7">
        <f>1+1</f>
        <v>2</v>
      </c>
      <c r="I51" s="7">
        <f>2+1</f>
        <v>3</v>
      </c>
      <c r="J51" s="17">
        <f>10+1</f>
        <v>11</v>
      </c>
      <c r="K51" s="17"/>
      <c r="L51" s="7">
        <f t="shared" si="26"/>
        <v>16</v>
      </c>
      <c r="M51" s="8">
        <v>1</v>
      </c>
      <c r="N51" s="8">
        <f t="shared" si="27"/>
        <v>1</v>
      </c>
      <c r="O51" s="11" t="s">
        <v>1702</v>
      </c>
      <c r="P51" s="16" t="str">
        <f t="shared" si="28"/>
        <v>10-Dec-1920</v>
      </c>
      <c r="R51" s="16" t="str">
        <f t="shared" si="24"/>
        <v>x</v>
      </c>
      <c r="S51" s="16" t="str">
        <f t="shared" si="24"/>
        <v>x</v>
      </c>
      <c r="U51" s="46" t="str">
        <f t="shared" si="5"/>
        <v/>
      </c>
      <c r="V51" s="46">
        <f t="shared" si="5"/>
        <v>16</v>
      </c>
      <c r="W51" s="46" t="str">
        <f t="shared" si="5"/>
        <v/>
      </c>
      <c r="X51" s="46" t="str">
        <f t="shared" si="5"/>
        <v/>
      </c>
    </row>
    <row r="52" spans="2:24" x14ac:dyDescent="0.25">
      <c r="B52" s="11" t="str">
        <f t="shared" si="25"/>
        <v>ADRI-15JAN1921</v>
      </c>
      <c r="C52" s="11" t="s">
        <v>3114</v>
      </c>
      <c r="D52" s="11" t="s">
        <v>2224</v>
      </c>
      <c r="E52" s="39" t="s">
        <v>3628</v>
      </c>
      <c r="F52" s="11" t="s">
        <v>1700</v>
      </c>
      <c r="G52" s="39" t="s">
        <v>2055</v>
      </c>
      <c r="H52" s="7">
        <v>1</v>
      </c>
      <c r="I52" s="7">
        <v>3</v>
      </c>
      <c r="J52" s="17">
        <v>55</v>
      </c>
      <c r="K52" s="17"/>
      <c r="L52" s="7">
        <f t="shared" si="26"/>
        <v>59</v>
      </c>
      <c r="M52" s="8">
        <v>1</v>
      </c>
      <c r="N52" s="8">
        <f t="shared" si="27"/>
        <v>1</v>
      </c>
      <c r="O52" s="11" t="s">
        <v>1702</v>
      </c>
      <c r="P52" s="16" t="str">
        <f t="shared" si="28"/>
        <v>15-Jan-1921</v>
      </c>
      <c r="R52" s="16" t="str">
        <f t="shared" ref="R52:S57" si="29">IF($L52&gt;0,"x","")</f>
        <v>x</v>
      </c>
      <c r="S52" s="16" t="str">
        <f t="shared" si="29"/>
        <v>x</v>
      </c>
      <c r="U52" s="46" t="str">
        <f t="shared" si="5"/>
        <v/>
      </c>
      <c r="V52" s="46">
        <f t="shared" si="5"/>
        <v>59</v>
      </c>
      <c r="W52" s="46" t="str">
        <f t="shared" si="5"/>
        <v/>
      </c>
      <c r="X52" s="46" t="str">
        <f t="shared" si="5"/>
        <v/>
      </c>
    </row>
    <row r="53" spans="2:24" x14ac:dyDescent="0.25">
      <c r="B53" s="11" t="str">
        <f t="shared" si="25"/>
        <v>ADRI-12FEB1921</v>
      </c>
      <c r="C53" s="11" t="s">
        <v>3114</v>
      </c>
      <c r="D53" s="11" t="s">
        <v>2224</v>
      </c>
      <c r="E53" s="39" t="s">
        <v>3113</v>
      </c>
      <c r="F53" s="11" t="s">
        <v>1700</v>
      </c>
      <c r="G53" s="39" t="s">
        <v>1597</v>
      </c>
      <c r="H53" s="7">
        <f>1+2</f>
        <v>3</v>
      </c>
      <c r="I53" s="7">
        <v>0</v>
      </c>
      <c r="J53" s="17">
        <v>8</v>
      </c>
      <c r="K53" s="17"/>
      <c r="L53" s="7">
        <f t="shared" si="26"/>
        <v>11</v>
      </c>
      <c r="M53" s="8">
        <v>1</v>
      </c>
      <c r="N53" s="8">
        <f t="shared" si="27"/>
        <v>1</v>
      </c>
      <c r="O53" s="11" t="s">
        <v>1702</v>
      </c>
      <c r="P53" s="16" t="str">
        <f t="shared" si="28"/>
        <v>12-Feb-1921</v>
      </c>
      <c r="R53" s="16" t="str">
        <f t="shared" si="29"/>
        <v>x</v>
      </c>
      <c r="S53" s="16" t="str">
        <f t="shared" si="29"/>
        <v>x</v>
      </c>
      <c r="U53" s="46" t="str">
        <f t="shared" si="5"/>
        <v/>
      </c>
      <c r="V53" s="46">
        <f t="shared" si="5"/>
        <v>11</v>
      </c>
      <c r="W53" s="46" t="str">
        <f t="shared" si="5"/>
        <v/>
      </c>
      <c r="X53" s="46" t="str">
        <f t="shared" si="5"/>
        <v/>
      </c>
    </row>
    <row r="54" spans="2:24" x14ac:dyDescent="0.25">
      <c r="B54" s="11" t="str">
        <f t="shared" si="25"/>
        <v>ADRI-08APR1924</v>
      </c>
      <c r="C54" s="11" t="s">
        <v>3114</v>
      </c>
      <c r="D54" s="11" t="s">
        <v>3395</v>
      </c>
      <c r="E54" s="39" t="s">
        <v>5439</v>
      </c>
      <c r="F54" s="11" t="s">
        <v>1700</v>
      </c>
      <c r="G54" s="39" t="s">
        <v>1174</v>
      </c>
      <c r="H54" s="7">
        <v>0</v>
      </c>
      <c r="I54" s="7">
        <v>1</v>
      </c>
      <c r="J54" s="17">
        <v>1</v>
      </c>
      <c r="K54" s="17"/>
      <c r="L54" s="7">
        <f t="shared" si="26"/>
        <v>2</v>
      </c>
      <c r="M54" s="8">
        <v>1</v>
      </c>
      <c r="N54" s="8">
        <f t="shared" si="27"/>
        <v>1</v>
      </c>
      <c r="O54" s="11" t="s">
        <v>1702</v>
      </c>
      <c r="P54" s="16" t="str">
        <f t="shared" si="28"/>
        <v>08-Apr-1924</v>
      </c>
      <c r="R54" s="16" t="str">
        <f t="shared" si="29"/>
        <v>x</v>
      </c>
      <c r="S54" s="16" t="str">
        <f t="shared" si="29"/>
        <v>x</v>
      </c>
      <c r="U54" s="46" t="str">
        <f t="shared" ref="U54:X55" si="30">IF($O54=U$5,$L54,"")</f>
        <v/>
      </c>
      <c r="V54" s="46">
        <f t="shared" si="30"/>
        <v>2</v>
      </c>
      <c r="W54" s="46" t="str">
        <f t="shared" si="30"/>
        <v/>
      </c>
      <c r="X54" s="46" t="str">
        <f t="shared" si="30"/>
        <v/>
      </c>
    </row>
    <row r="55" spans="2:24" x14ac:dyDescent="0.25">
      <c r="B55" s="11" t="str">
        <f>CONCATENATE("ADRI","-",LEFT(P55,2),UPPER(MID(P55,4,3)),RIGHT(P55,4))</f>
        <v>ADRI-23FEB1928</v>
      </c>
      <c r="C55" s="11" t="s">
        <v>3114</v>
      </c>
      <c r="D55" s="11" t="s">
        <v>3395</v>
      </c>
      <c r="E55" s="39" t="s">
        <v>4444</v>
      </c>
      <c r="F55" s="11" t="s">
        <v>1700</v>
      </c>
      <c r="G55" s="39" t="s">
        <v>4445</v>
      </c>
      <c r="H55" s="7">
        <v>0</v>
      </c>
      <c r="I55" s="7">
        <v>2</v>
      </c>
      <c r="J55" s="17">
        <v>5</v>
      </c>
      <c r="K55" s="17"/>
      <c r="L55" s="7">
        <f>SUM(H55:K55)</f>
        <v>7</v>
      </c>
      <c r="M55" s="8">
        <v>1</v>
      </c>
      <c r="N55" s="8">
        <f>IF(L55&gt;0,1,"")</f>
        <v>1</v>
      </c>
      <c r="O55" s="11" t="s">
        <v>1702</v>
      </c>
      <c r="P55" s="16" t="str">
        <f>IF(LEN(G55)=10,CONCATENATE("0",G55),G55)</f>
        <v>23-Feb-1928</v>
      </c>
      <c r="R55" s="16" t="str">
        <f t="shared" si="29"/>
        <v>x</v>
      </c>
      <c r="S55" s="16" t="str">
        <f t="shared" si="29"/>
        <v>x</v>
      </c>
      <c r="U55" s="46" t="str">
        <f t="shared" si="30"/>
        <v/>
      </c>
      <c r="V55" s="46">
        <f t="shared" si="30"/>
        <v>7</v>
      </c>
      <c r="W55" s="46" t="str">
        <f t="shared" si="30"/>
        <v/>
      </c>
      <c r="X55" s="46" t="str">
        <f t="shared" si="30"/>
        <v/>
      </c>
    </row>
    <row r="56" spans="2:24" x14ac:dyDescent="0.25">
      <c r="B56" s="11" t="str">
        <f t="shared" si="25"/>
        <v>ADRI-11APR1928</v>
      </c>
      <c r="C56" s="11" t="s">
        <v>3114</v>
      </c>
      <c r="D56" s="11" t="s">
        <v>3395</v>
      </c>
      <c r="E56" s="39" t="s">
        <v>5747</v>
      </c>
      <c r="F56" s="11" t="s">
        <v>1700</v>
      </c>
      <c r="G56" s="39" t="s">
        <v>5748</v>
      </c>
      <c r="H56" s="7">
        <v>0</v>
      </c>
      <c r="I56" s="7">
        <v>2</v>
      </c>
      <c r="J56" s="17">
        <v>2</v>
      </c>
      <c r="K56" s="17"/>
      <c r="L56" s="7">
        <f t="shared" si="26"/>
        <v>4</v>
      </c>
      <c r="M56" s="8">
        <v>1</v>
      </c>
      <c r="N56" s="8">
        <f t="shared" si="27"/>
        <v>1</v>
      </c>
      <c r="O56" s="11" t="s">
        <v>1702</v>
      </c>
      <c r="P56" s="16" t="str">
        <f t="shared" si="28"/>
        <v>11-Apr-1928</v>
      </c>
      <c r="R56" s="16" t="str">
        <f t="shared" si="29"/>
        <v>x</v>
      </c>
      <c r="S56" s="16" t="str">
        <f t="shared" si="29"/>
        <v>x</v>
      </c>
      <c r="U56" s="46" t="str">
        <f t="shared" si="5"/>
        <v/>
      </c>
      <c r="V56" s="46">
        <f t="shared" si="5"/>
        <v>4</v>
      </c>
      <c r="W56" s="46" t="str">
        <f t="shared" si="5"/>
        <v/>
      </c>
      <c r="X56" s="46" t="str">
        <f t="shared" si="5"/>
        <v/>
      </c>
    </row>
    <row r="57" spans="2:24" x14ac:dyDescent="0.25">
      <c r="B57" s="11" t="str">
        <f>CONCATENATE("ADRI","-",LEFT(P57,2),UPPER(MID(P57,4,3)),RIGHT(P57,4))</f>
        <v>ADRI-05MAR1930</v>
      </c>
      <c r="C57" s="11" t="s">
        <v>3114</v>
      </c>
      <c r="D57" s="11" t="s">
        <v>3395</v>
      </c>
      <c r="E57" s="39" t="s">
        <v>6041</v>
      </c>
      <c r="F57" s="11" t="s">
        <v>1700</v>
      </c>
      <c r="G57" s="39" t="s">
        <v>6042</v>
      </c>
      <c r="H57" s="7">
        <v>0</v>
      </c>
      <c r="J57" s="17">
        <f>1+1</f>
        <v>2</v>
      </c>
      <c r="K57" s="17"/>
      <c r="L57" s="7">
        <f>SUM(H57:K57)</f>
        <v>2</v>
      </c>
      <c r="M57" s="8">
        <v>1</v>
      </c>
      <c r="N57" s="8">
        <f>IF(L57&gt;0,1,"")</f>
        <v>1</v>
      </c>
      <c r="O57" s="11" t="s">
        <v>1702</v>
      </c>
      <c r="P57" s="16" t="str">
        <f>IF(LEN(G57)=10,CONCATENATE("0",G57),G57)</f>
        <v>05-Mar-1930</v>
      </c>
      <c r="R57" s="16" t="str">
        <f t="shared" si="29"/>
        <v>x</v>
      </c>
      <c r="S57" s="16" t="str">
        <f t="shared" si="29"/>
        <v>x</v>
      </c>
      <c r="U57" s="46" t="str">
        <f>IF($O57=U$5,$L57,"")</f>
        <v/>
      </c>
      <c r="V57" s="46">
        <f>IF($O57=V$5,$L57,"")</f>
        <v>2</v>
      </c>
      <c r="W57" s="46" t="str">
        <f>IF($O57=W$5,$L57,"")</f>
        <v/>
      </c>
      <c r="X57" s="46" t="str">
        <f>IF($O57=X$5,$L57,"")</f>
        <v/>
      </c>
    </row>
    <row r="58" spans="2:24" x14ac:dyDescent="0.25">
      <c r="N58" s="8" t="str">
        <f>IF(R58="x",1,"")</f>
        <v/>
      </c>
      <c r="U58" s="46" t="str">
        <f t="shared" si="5"/>
        <v/>
      </c>
      <c r="V58" s="46" t="str">
        <f t="shared" si="5"/>
        <v/>
      </c>
      <c r="W58" s="46" t="str">
        <f t="shared" si="5"/>
        <v/>
      </c>
      <c r="X58" s="46" t="str">
        <f t="shared" si="5"/>
        <v/>
      </c>
    </row>
    <row r="59" spans="2:24" x14ac:dyDescent="0.25">
      <c r="B59" s="18"/>
      <c r="C59" s="18"/>
      <c r="D59" s="18"/>
      <c r="E59" s="40"/>
      <c r="F59" s="18"/>
      <c r="G59" s="40"/>
      <c r="H59" s="7">
        <f t="shared" ref="H59:N59" si="31">SUM(H33:H58)</f>
        <v>7</v>
      </c>
      <c r="I59" s="7">
        <f t="shared" si="31"/>
        <v>24</v>
      </c>
      <c r="J59" s="7">
        <f>SUM(J33:J58)</f>
        <v>332</v>
      </c>
      <c r="K59" s="7">
        <f t="shared" si="31"/>
        <v>0</v>
      </c>
      <c r="L59" s="7">
        <f>SUM(L33:L58)</f>
        <v>363</v>
      </c>
      <c r="M59" s="7">
        <f t="shared" si="31"/>
        <v>25</v>
      </c>
      <c r="N59" s="7">
        <f t="shared" si="31"/>
        <v>25</v>
      </c>
      <c r="O59" s="18"/>
      <c r="P59" s="13"/>
      <c r="Q59" s="13"/>
      <c r="S59" s="13"/>
      <c r="T59" s="15"/>
      <c r="U59" s="46" t="str">
        <f t="shared" si="5"/>
        <v/>
      </c>
      <c r="V59" s="46" t="str">
        <f t="shared" si="5"/>
        <v/>
      </c>
      <c r="W59" s="46" t="str">
        <f t="shared" si="5"/>
        <v/>
      </c>
      <c r="X59" s="46" t="str">
        <f t="shared" si="5"/>
        <v/>
      </c>
    </row>
    <row r="60" spans="2:24" x14ac:dyDescent="0.25">
      <c r="B60" s="18"/>
      <c r="C60" s="18"/>
      <c r="D60" s="18"/>
      <c r="E60" s="40"/>
      <c r="F60" s="18"/>
      <c r="G60" s="40"/>
      <c r="N60" s="8" t="str">
        <f>IF(R60="x",1,"")</f>
        <v/>
      </c>
      <c r="O60" s="18"/>
      <c r="P60" s="13"/>
      <c r="Q60" s="13"/>
      <c r="R60" s="13"/>
      <c r="S60" s="13"/>
      <c r="T60" s="15"/>
      <c r="U60" s="46" t="str">
        <f t="shared" si="5"/>
        <v/>
      </c>
      <c r="V60" s="46" t="str">
        <f t="shared" si="5"/>
        <v/>
      </c>
      <c r="W60" s="46" t="str">
        <f t="shared" si="5"/>
        <v/>
      </c>
      <c r="X60" s="46" t="str">
        <f t="shared" si="5"/>
        <v/>
      </c>
    </row>
    <row r="61" spans="2:24" x14ac:dyDescent="0.25">
      <c r="B61" s="18"/>
      <c r="C61" s="18"/>
      <c r="D61" s="18"/>
      <c r="E61" s="40"/>
      <c r="F61" s="18"/>
      <c r="G61" s="40"/>
      <c r="N61" s="8" t="str">
        <f>IF(R61="x",1,"")</f>
        <v/>
      </c>
      <c r="O61" s="18"/>
      <c r="P61" s="13"/>
      <c r="Q61" s="13"/>
      <c r="R61" s="13"/>
      <c r="S61" s="13"/>
      <c r="T61" s="15"/>
      <c r="U61" s="46" t="str">
        <f t="shared" si="5"/>
        <v/>
      </c>
      <c r="V61" s="46" t="str">
        <f t="shared" si="5"/>
        <v/>
      </c>
      <c r="W61" s="46" t="str">
        <f t="shared" si="5"/>
        <v/>
      </c>
      <c r="X61" s="46" t="str">
        <f t="shared" si="5"/>
        <v/>
      </c>
    </row>
    <row r="62" spans="2:24" x14ac:dyDescent="0.25">
      <c r="B62" s="11" t="str">
        <f>CONCATENATE("ALBA","-",LEFT(P62,2),UPPER(MID(P62,4,3)),RIGHT(P62,4))</f>
        <v>ALBA-19OCT1895</v>
      </c>
      <c r="C62" s="11" t="s">
        <v>114</v>
      </c>
      <c r="D62" s="11" t="s">
        <v>1699</v>
      </c>
      <c r="F62" s="11" t="s">
        <v>1700</v>
      </c>
      <c r="G62" s="39" t="s">
        <v>5780</v>
      </c>
      <c r="J62" s="17">
        <v>16</v>
      </c>
      <c r="K62" s="17"/>
      <c r="L62" s="7">
        <f>SUM(H62:K62)</f>
        <v>16</v>
      </c>
      <c r="M62" s="8">
        <v>1</v>
      </c>
      <c r="N62" s="8">
        <f>IF(L62&gt;0,1,"")</f>
        <v>1</v>
      </c>
      <c r="O62" s="11" t="s">
        <v>1702</v>
      </c>
      <c r="P62" s="16" t="str">
        <f>IF(LEN(G62)=10,CONCATENATE("0",G62),G62)</f>
        <v>19-Oct-1895</v>
      </c>
      <c r="R62" s="16" t="str">
        <f t="shared" ref="R62:S65" si="32">IF($L62&gt;0,"x","")</f>
        <v>x</v>
      </c>
      <c r="S62" s="16" t="str">
        <f t="shared" si="32"/>
        <v>x</v>
      </c>
      <c r="U62" s="46" t="str">
        <f t="shared" si="5"/>
        <v/>
      </c>
      <c r="V62" s="46">
        <f t="shared" si="5"/>
        <v>16</v>
      </c>
      <c r="W62" s="46" t="str">
        <f t="shared" si="5"/>
        <v/>
      </c>
      <c r="X62" s="46" t="str">
        <f t="shared" si="5"/>
        <v/>
      </c>
    </row>
    <row r="63" spans="2:24" x14ac:dyDescent="0.25">
      <c r="B63" s="11" t="str">
        <f>CONCATENATE("ALBA","-",LEFT(P63,2),UPPER(MID(P63,4,3)),RIGHT(P63,4))</f>
        <v>ALBA-16DEC1895</v>
      </c>
      <c r="C63" s="11" t="s">
        <v>114</v>
      </c>
      <c r="D63" s="11" t="s">
        <v>1699</v>
      </c>
      <c r="F63" s="11" t="s">
        <v>1700</v>
      </c>
      <c r="G63" s="39" t="s">
        <v>3297</v>
      </c>
      <c r="J63" s="17">
        <v>18</v>
      </c>
      <c r="K63" s="17"/>
      <c r="L63" s="7">
        <f>SUM(H63:K63)</f>
        <v>18</v>
      </c>
      <c r="M63" s="8">
        <v>1</v>
      </c>
      <c r="N63" s="8">
        <f>IF(L63&gt;0,1,"")</f>
        <v>1</v>
      </c>
      <c r="O63" s="11" t="s">
        <v>1702</v>
      </c>
      <c r="P63" s="16" t="str">
        <f>IF(LEN(G63)=10,CONCATENATE("0",G63),G63)</f>
        <v>16-Dec-1895</v>
      </c>
      <c r="R63" s="16" t="str">
        <f t="shared" si="32"/>
        <v>x</v>
      </c>
      <c r="S63" s="16" t="str">
        <f t="shared" si="32"/>
        <v>x</v>
      </c>
      <c r="U63" s="46" t="str">
        <f t="shared" ref="U63:X65" si="33">IF($O63=U$5,$L63,"")</f>
        <v/>
      </c>
      <c r="V63" s="46">
        <f t="shared" si="33"/>
        <v>18</v>
      </c>
      <c r="W63" s="46" t="str">
        <f t="shared" si="33"/>
        <v/>
      </c>
      <c r="X63" s="46" t="str">
        <f t="shared" si="33"/>
        <v/>
      </c>
    </row>
    <row r="64" spans="2:24" x14ac:dyDescent="0.25">
      <c r="B64" s="11" t="str">
        <f>CONCATENATE("ALBA","-",LEFT(P64,2),UPPER(MID(P64,4,3)),RIGHT(P64,4))</f>
        <v>ALBA-10JUN1896</v>
      </c>
      <c r="C64" s="11" t="s">
        <v>114</v>
      </c>
      <c r="D64" s="11" t="s">
        <v>1699</v>
      </c>
      <c r="F64" s="11" t="s">
        <v>1700</v>
      </c>
      <c r="G64" s="39" t="s">
        <v>11455</v>
      </c>
      <c r="J64" s="17">
        <v>22</v>
      </c>
      <c r="K64" s="17"/>
      <c r="L64" s="7">
        <f>SUM(H64:K64)</f>
        <v>22</v>
      </c>
      <c r="M64" s="8">
        <v>1</v>
      </c>
      <c r="N64" s="8">
        <f>IF(L64&gt;0,1,"")</f>
        <v>1</v>
      </c>
      <c r="O64" s="11" t="s">
        <v>1702</v>
      </c>
      <c r="P64" s="16" t="str">
        <f>IF(LEN(G64)=10,CONCATENATE("0",G64),G64)</f>
        <v>10-Jun-1896</v>
      </c>
      <c r="R64" s="16" t="str">
        <f t="shared" si="32"/>
        <v>x</v>
      </c>
      <c r="S64" s="16" t="str">
        <f t="shared" si="32"/>
        <v>x</v>
      </c>
      <c r="U64" s="46" t="str">
        <f t="shared" si="33"/>
        <v/>
      </c>
      <c r="V64" s="46">
        <f t="shared" si="33"/>
        <v>22</v>
      </c>
      <c r="W64" s="46" t="str">
        <f t="shared" si="33"/>
        <v/>
      </c>
      <c r="X64" s="46" t="str">
        <f t="shared" si="33"/>
        <v/>
      </c>
    </row>
    <row r="65" spans="2:24" x14ac:dyDescent="0.25">
      <c r="B65" s="11" t="str">
        <f>CONCATENATE("ALBA","-",LEFT(P65,2),UPPER(MID(P65,4,3)),RIGHT(P65,4))</f>
        <v>ALBA-09FEB1897</v>
      </c>
      <c r="C65" s="11" t="s">
        <v>114</v>
      </c>
      <c r="D65" s="11" t="s">
        <v>1699</v>
      </c>
      <c r="F65" s="11" t="s">
        <v>1700</v>
      </c>
      <c r="G65" s="39" t="s">
        <v>5714</v>
      </c>
      <c r="J65" s="17">
        <v>6</v>
      </c>
      <c r="K65" s="17"/>
      <c r="L65" s="7">
        <f>SUM(H65:K65)</f>
        <v>6</v>
      </c>
      <c r="M65" s="8">
        <v>1</v>
      </c>
      <c r="N65" s="8">
        <f>IF(L65&gt;0,1,"")</f>
        <v>1</v>
      </c>
      <c r="O65" s="11" t="s">
        <v>1702</v>
      </c>
      <c r="P65" s="16" t="str">
        <f>IF(LEN(G65)=10,CONCATENATE("0",G65),G65)</f>
        <v>09-Feb-1897</v>
      </c>
      <c r="R65" s="16" t="str">
        <f t="shared" si="32"/>
        <v>x</v>
      </c>
      <c r="S65" s="16" t="str">
        <f t="shared" si="32"/>
        <v>x</v>
      </c>
      <c r="U65" s="46" t="str">
        <f t="shared" si="33"/>
        <v/>
      </c>
      <c r="V65" s="46">
        <f t="shared" si="33"/>
        <v>6</v>
      </c>
      <c r="W65" s="46" t="str">
        <f t="shared" si="33"/>
        <v/>
      </c>
      <c r="X65" s="46" t="str">
        <f t="shared" si="33"/>
        <v/>
      </c>
    </row>
    <row r="66" spans="2:24" x14ac:dyDescent="0.25">
      <c r="N66" s="8" t="str">
        <f>IF(R66="x",1,"")</f>
        <v/>
      </c>
      <c r="U66" s="46" t="str">
        <f t="shared" si="5"/>
        <v/>
      </c>
      <c r="V66" s="46" t="str">
        <f t="shared" si="5"/>
        <v/>
      </c>
      <c r="W66" s="46" t="str">
        <f t="shared" si="5"/>
        <v/>
      </c>
      <c r="X66" s="46" t="str">
        <f t="shared" si="5"/>
        <v/>
      </c>
    </row>
    <row r="67" spans="2:24" x14ac:dyDescent="0.25">
      <c r="B67" s="18"/>
      <c r="C67" s="18"/>
      <c r="D67" s="18"/>
      <c r="E67" s="40"/>
      <c r="F67" s="18"/>
      <c r="G67" s="40"/>
      <c r="H67" s="7">
        <f t="shared" ref="H67:N67" si="34">SUM(H62:H66)</f>
        <v>0</v>
      </c>
      <c r="I67" s="7">
        <f t="shared" si="34"/>
        <v>0</v>
      </c>
      <c r="J67" s="7">
        <f>SUM(J62:J66)</f>
        <v>62</v>
      </c>
      <c r="K67" s="7">
        <f t="shared" si="34"/>
        <v>0</v>
      </c>
      <c r="L67" s="7">
        <f t="shared" si="34"/>
        <v>62</v>
      </c>
      <c r="M67" s="7">
        <f t="shared" si="34"/>
        <v>4</v>
      </c>
      <c r="N67" s="7">
        <f t="shared" si="34"/>
        <v>4</v>
      </c>
      <c r="O67" s="18"/>
      <c r="P67" s="13"/>
      <c r="Q67" s="13"/>
      <c r="S67" s="13"/>
      <c r="T67" s="15"/>
      <c r="U67" s="46" t="str">
        <f t="shared" si="5"/>
        <v/>
      </c>
      <c r="V67" s="46" t="str">
        <f t="shared" si="5"/>
        <v/>
      </c>
      <c r="W67" s="46" t="str">
        <f t="shared" si="5"/>
        <v/>
      </c>
      <c r="X67" s="46" t="str">
        <f t="shared" si="5"/>
        <v/>
      </c>
    </row>
    <row r="68" spans="2:24" x14ac:dyDescent="0.25">
      <c r="B68" s="18"/>
      <c r="C68" s="18"/>
      <c r="D68" s="18"/>
      <c r="E68" s="40"/>
      <c r="F68" s="18"/>
      <c r="G68" s="40"/>
      <c r="N68" s="8" t="str">
        <f>IF(R68="x",1,"")</f>
        <v/>
      </c>
      <c r="O68" s="18"/>
      <c r="P68" s="13"/>
      <c r="Q68" s="13"/>
      <c r="R68" s="13"/>
      <c r="S68" s="13"/>
      <c r="T68" s="15"/>
      <c r="U68" s="46" t="str">
        <f t="shared" ref="U68:X72" si="35">IF($O68=U$5,$L68,"")</f>
        <v/>
      </c>
      <c r="V68" s="46" t="str">
        <f t="shared" si="35"/>
        <v/>
      </c>
      <c r="W68" s="46" t="str">
        <f t="shared" si="35"/>
        <v/>
      </c>
      <c r="X68" s="46" t="str">
        <f t="shared" si="35"/>
        <v/>
      </c>
    </row>
    <row r="69" spans="2:24" x14ac:dyDescent="0.25">
      <c r="B69" s="18"/>
      <c r="C69" s="18"/>
      <c r="D69" s="18"/>
      <c r="E69" s="40"/>
      <c r="F69" s="18"/>
      <c r="G69" s="40"/>
      <c r="N69" s="8" t="str">
        <f>IF(R69="x",1,"")</f>
        <v/>
      </c>
      <c r="O69" s="18"/>
      <c r="P69" s="13"/>
      <c r="Q69" s="13"/>
      <c r="R69" s="13"/>
      <c r="S69" s="13"/>
      <c r="T69" s="15"/>
      <c r="U69" s="46" t="str">
        <f t="shared" si="35"/>
        <v/>
      </c>
      <c r="V69" s="46" t="str">
        <f t="shared" si="35"/>
        <v/>
      </c>
      <c r="W69" s="46" t="str">
        <f t="shared" si="35"/>
        <v/>
      </c>
      <c r="X69" s="46" t="str">
        <f t="shared" si="35"/>
        <v/>
      </c>
    </row>
    <row r="70" spans="2:24" x14ac:dyDescent="0.25">
      <c r="B70" s="11" t="str">
        <f>CONCATENATE("ALEG","-",LEFT(P70,2),UPPER(MID(P70,4,3)),RIGHT(P70,4))</f>
        <v>ALEG-01AUG1923</v>
      </c>
      <c r="C70" s="11" t="s">
        <v>4439</v>
      </c>
      <c r="D70" s="11" t="s">
        <v>6239</v>
      </c>
      <c r="E70" s="39" t="s">
        <v>4440</v>
      </c>
      <c r="F70" s="11" t="s">
        <v>1700</v>
      </c>
      <c r="G70" s="39" t="s">
        <v>2970</v>
      </c>
      <c r="H70" s="7">
        <f>2+1</f>
        <v>3</v>
      </c>
      <c r="J70" s="17"/>
      <c r="K70" s="17"/>
      <c r="L70" s="7">
        <f>SUM(H70:K70)</f>
        <v>3</v>
      </c>
      <c r="M70" s="8">
        <v>1</v>
      </c>
      <c r="N70" s="8">
        <f>IF(L70&gt;0,1,"")</f>
        <v>1</v>
      </c>
      <c r="O70" s="11" t="s">
        <v>1702</v>
      </c>
      <c r="P70" s="16" t="str">
        <f>IF(LEN(G70)=10,CONCATENATE("0",G70),G70)</f>
        <v>01-Aug-1923</v>
      </c>
      <c r="R70" s="16" t="str">
        <f>IF($L70&gt;0,"x","")</f>
        <v>x</v>
      </c>
      <c r="S70" s="16" t="str">
        <f>IF($L70&gt;0,"x","")</f>
        <v>x</v>
      </c>
      <c r="U70" s="46" t="str">
        <f t="shared" si="35"/>
        <v/>
      </c>
      <c r="V70" s="46">
        <f t="shared" si="35"/>
        <v>3</v>
      </c>
      <c r="W70" s="46" t="str">
        <f t="shared" si="35"/>
        <v/>
      </c>
      <c r="X70" s="46" t="str">
        <f t="shared" si="35"/>
        <v/>
      </c>
    </row>
    <row r="71" spans="2:24" x14ac:dyDescent="0.25">
      <c r="N71" s="8" t="str">
        <f>IF(R71="x",1,"")</f>
        <v/>
      </c>
      <c r="U71" s="46" t="str">
        <f t="shared" si="35"/>
        <v/>
      </c>
      <c r="V71" s="46" t="str">
        <f t="shared" si="35"/>
        <v/>
      </c>
      <c r="W71" s="46" t="str">
        <f t="shared" si="35"/>
        <v/>
      </c>
      <c r="X71" s="46" t="str">
        <f t="shared" si="35"/>
        <v/>
      </c>
    </row>
    <row r="72" spans="2:24" x14ac:dyDescent="0.25">
      <c r="B72" s="18"/>
      <c r="C72" s="18"/>
      <c r="D72" s="18"/>
      <c r="E72" s="40"/>
      <c r="F72" s="18"/>
      <c r="G72" s="40"/>
      <c r="H72" s="7">
        <f t="shared" ref="H72:N72" si="36">SUM(H70:H71)</f>
        <v>3</v>
      </c>
      <c r="I72" s="7">
        <f t="shared" si="36"/>
        <v>0</v>
      </c>
      <c r="J72" s="7">
        <f>SUM(J70:J71)</f>
        <v>0</v>
      </c>
      <c r="K72" s="7">
        <f t="shared" si="36"/>
        <v>0</v>
      </c>
      <c r="L72" s="7">
        <f t="shared" si="36"/>
        <v>3</v>
      </c>
      <c r="M72" s="7">
        <f t="shared" si="36"/>
        <v>1</v>
      </c>
      <c r="N72" s="7">
        <f t="shared" si="36"/>
        <v>1</v>
      </c>
      <c r="O72" s="18"/>
      <c r="P72" s="13"/>
      <c r="Q72" s="13"/>
      <c r="S72" s="13"/>
      <c r="T72" s="15"/>
      <c r="U72" s="46" t="str">
        <f t="shared" si="35"/>
        <v/>
      </c>
      <c r="V72" s="46" t="str">
        <f t="shared" si="35"/>
        <v/>
      </c>
      <c r="W72" s="46" t="str">
        <f t="shared" si="35"/>
        <v/>
      </c>
      <c r="X72" s="46" t="str">
        <f t="shared" si="35"/>
        <v/>
      </c>
    </row>
    <row r="73" spans="2:24" x14ac:dyDescent="0.25">
      <c r="B73" s="18"/>
      <c r="C73" s="18"/>
      <c r="D73" s="18"/>
      <c r="E73" s="40"/>
      <c r="F73" s="18"/>
      <c r="G73" s="40"/>
      <c r="N73" s="8" t="str">
        <f>IF(R73="x",1,"")</f>
        <v/>
      </c>
      <c r="O73" s="18"/>
      <c r="P73" s="13"/>
      <c r="Q73" s="13"/>
      <c r="R73" s="13"/>
      <c r="S73" s="13"/>
      <c r="T73" s="15"/>
      <c r="U73" s="46" t="str">
        <f t="shared" si="5"/>
        <v/>
      </c>
      <c r="V73" s="46" t="str">
        <f t="shared" si="5"/>
        <v/>
      </c>
      <c r="W73" s="46" t="str">
        <f t="shared" si="5"/>
        <v/>
      </c>
      <c r="X73" s="46" t="str">
        <f t="shared" si="5"/>
        <v/>
      </c>
    </row>
    <row r="74" spans="2:24" x14ac:dyDescent="0.25">
      <c r="B74" s="18"/>
      <c r="C74" s="18"/>
      <c r="D74" s="18"/>
      <c r="E74" s="40"/>
      <c r="F74" s="18"/>
      <c r="G74" s="40"/>
      <c r="N74" s="8" t="str">
        <f>IF(R74="x",1,"")</f>
        <v/>
      </c>
      <c r="O74" s="18"/>
      <c r="P74" s="13"/>
      <c r="Q74" s="13"/>
      <c r="R74" s="13"/>
      <c r="S74" s="13"/>
      <c r="T74" s="15"/>
      <c r="U74" s="46" t="str">
        <f t="shared" si="5"/>
        <v/>
      </c>
      <c r="V74" s="46" t="str">
        <f t="shared" si="5"/>
        <v/>
      </c>
      <c r="W74" s="46" t="str">
        <f t="shared" si="5"/>
        <v/>
      </c>
      <c r="X74" s="46" t="str">
        <f t="shared" si="5"/>
        <v/>
      </c>
    </row>
    <row r="75" spans="2:24" x14ac:dyDescent="0.25">
      <c r="B75" s="11" t="str">
        <f t="shared" ref="B75:B81" si="37">CONCATENATE("ALES","-",LEFT(P75,2),UPPER(MID(P75,4,3)),RIGHT(P75,4))</f>
        <v>ALES-26AUG1884</v>
      </c>
      <c r="C75" s="11" t="s">
        <v>4964</v>
      </c>
      <c r="F75" s="11" t="s">
        <v>1700</v>
      </c>
      <c r="G75" s="39" t="s">
        <v>6017</v>
      </c>
      <c r="J75" s="17">
        <v>5</v>
      </c>
      <c r="K75" s="17"/>
      <c r="L75" s="7">
        <f t="shared" ref="L75:L81" si="38">SUM(H75:K75)</f>
        <v>5</v>
      </c>
      <c r="M75" s="8">
        <v>1</v>
      </c>
      <c r="N75" s="8">
        <f t="shared" ref="N75:N81" si="39">IF(L75&gt;0,1,"")</f>
        <v>1</v>
      </c>
      <c r="O75" s="11" t="s">
        <v>1702</v>
      </c>
      <c r="P75" s="16" t="str">
        <f t="shared" ref="P75:P81" si="40">IF(LEN(G75)=10,CONCATENATE("0",G75),G75)</f>
        <v>26-Aug-1884</v>
      </c>
      <c r="R75" s="16" t="str">
        <f>IF($L75&gt;0,"x","")</f>
        <v>x</v>
      </c>
      <c r="S75" s="16" t="str">
        <f>IF($L75&gt;0,"x","")</f>
        <v>x</v>
      </c>
      <c r="U75" s="46" t="str">
        <f t="shared" si="5"/>
        <v/>
      </c>
      <c r="V75" s="46">
        <f t="shared" si="5"/>
        <v>5</v>
      </c>
      <c r="W75" s="46" t="str">
        <f t="shared" si="5"/>
        <v/>
      </c>
      <c r="X75" s="46" t="str">
        <f t="shared" si="5"/>
        <v/>
      </c>
    </row>
    <row r="76" spans="2:24" x14ac:dyDescent="0.25">
      <c r="B76" s="11" t="str">
        <f t="shared" si="37"/>
        <v>ALES-10JUN1929</v>
      </c>
      <c r="C76" s="11" t="s">
        <v>4964</v>
      </c>
      <c r="D76" s="11" t="s">
        <v>2808</v>
      </c>
      <c r="E76" s="39" t="s">
        <v>6165</v>
      </c>
      <c r="F76" s="11" t="s">
        <v>1700</v>
      </c>
      <c r="G76" s="39" t="s">
        <v>6166</v>
      </c>
      <c r="H76" s="7">
        <v>4</v>
      </c>
      <c r="J76" s="17">
        <v>3</v>
      </c>
      <c r="K76" s="17"/>
      <c r="L76" s="7">
        <f t="shared" si="38"/>
        <v>7</v>
      </c>
      <c r="M76" s="8">
        <v>1</v>
      </c>
      <c r="N76" s="8">
        <f t="shared" si="39"/>
        <v>1</v>
      </c>
      <c r="O76" s="11" t="s">
        <v>1702</v>
      </c>
      <c r="P76" s="16" t="str">
        <f t="shared" si="40"/>
        <v>10-Jun-1929</v>
      </c>
      <c r="R76" s="16" t="str">
        <f>IF($L76&gt;0,"x","")</f>
        <v>x</v>
      </c>
      <c r="S76" s="16" t="str">
        <f>IF($L76&gt;0,"x","")</f>
        <v>x</v>
      </c>
      <c r="U76" s="46" t="str">
        <f t="shared" ref="U76:X77" si="41">IF($O76=U$5,$L76,"")</f>
        <v/>
      </c>
      <c r="V76" s="46">
        <f t="shared" si="41"/>
        <v>7</v>
      </c>
      <c r="W76" s="46" t="str">
        <f t="shared" si="41"/>
        <v/>
      </c>
      <c r="X76" s="46" t="str">
        <f t="shared" si="41"/>
        <v/>
      </c>
    </row>
    <row r="77" spans="2:24" x14ac:dyDescent="0.25">
      <c r="B77" s="11" t="str">
        <f t="shared" si="37"/>
        <v>ALES-11SEP1929</v>
      </c>
      <c r="C77" s="11" t="s">
        <v>4964</v>
      </c>
      <c r="D77" s="11" t="s">
        <v>2808</v>
      </c>
      <c r="E77" s="39" t="s">
        <v>5645</v>
      </c>
      <c r="F77" s="11" t="s">
        <v>1602</v>
      </c>
      <c r="G77" s="39" t="s">
        <v>5498</v>
      </c>
      <c r="H77" s="7">
        <v>9</v>
      </c>
      <c r="J77" s="17">
        <v>14</v>
      </c>
      <c r="K77" s="17"/>
      <c r="L77" s="7">
        <f t="shared" si="38"/>
        <v>23</v>
      </c>
      <c r="M77" s="8">
        <v>1</v>
      </c>
      <c r="N77" s="8">
        <f t="shared" si="39"/>
        <v>1</v>
      </c>
      <c r="O77" s="11" t="s">
        <v>1702</v>
      </c>
      <c r="P77" s="16" t="str">
        <f t="shared" si="40"/>
        <v>11-Sep-1929</v>
      </c>
      <c r="R77" s="16" t="str">
        <f t="shared" ref="R77:S81" si="42">IF($L77&gt;0,"x","")</f>
        <v>x</v>
      </c>
      <c r="S77" s="16" t="str">
        <f t="shared" si="42"/>
        <v>x</v>
      </c>
      <c r="U77" s="46" t="str">
        <f t="shared" si="41"/>
        <v/>
      </c>
      <c r="V77" s="46">
        <f t="shared" si="41"/>
        <v>23</v>
      </c>
      <c r="W77" s="46" t="str">
        <f t="shared" si="41"/>
        <v/>
      </c>
      <c r="X77" s="46" t="str">
        <f t="shared" si="41"/>
        <v/>
      </c>
    </row>
    <row r="78" spans="2:24" x14ac:dyDescent="0.25">
      <c r="B78" s="11" t="str">
        <f t="shared" si="37"/>
        <v>ALES-14DEC1929</v>
      </c>
      <c r="C78" s="11" t="s">
        <v>4964</v>
      </c>
      <c r="D78" s="11" t="s">
        <v>4965</v>
      </c>
      <c r="E78" s="39" t="s">
        <v>4966</v>
      </c>
      <c r="F78" s="11" t="s">
        <v>1602</v>
      </c>
      <c r="G78" s="39" t="s">
        <v>4967</v>
      </c>
      <c r="H78" s="7">
        <v>3</v>
      </c>
      <c r="J78" s="17">
        <v>0</v>
      </c>
      <c r="K78" s="17"/>
      <c r="L78" s="7">
        <f t="shared" si="38"/>
        <v>3</v>
      </c>
      <c r="M78" s="8">
        <v>1</v>
      </c>
      <c r="N78" s="8">
        <f t="shared" si="39"/>
        <v>1</v>
      </c>
      <c r="O78" s="11" t="s">
        <v>1702</v>
      </c>
      <c r="P78" s="16" t="str">
        <f t="shared" si="40"/>
        <v>14-Dec-1929</v>
      </c>
      <c r="R78" s="16" t="str">
        <f t="shared" si="42"/>
        <v>x</v>
      </c>
      <c r="S78" s="16" t="str">
        <f t="shared" si="42"/>
        <v>x</v>
      </c>
      <c r="U78" s="46" t="str">
        <f t="shared" ref="U78:X81" si="43">IF($O78=U$5,$L78,"")</f>
        <v/>
      </c>
      <c r="V78" s="46">
        <f t="shared" si="43"/>
        <v>3</v>
      </c>
      <c r="W78" s="46" t="str">
        <f t="shared" si="43"/>
        <v/>
      </c>
      <c r="X78" s="46" t="str">
        <f t="shared" si="43"/>
        <v/>
      </c>
    </row>
    <row r="79" spans="2:24" x14ac:dyDescent="0.25">
      <c r="B79" s="11" t="str">
        <f>CONCATENATE("ALES","-",LEFT(P79,2),UPPER(MID(P79,4,3)),RIGHT(P79,4))</f>
        <v>ALES-14MAR1930</v>
      </c>
      <c r="C79" s="11" t="s">
        <v>4964</v>
      </c>
      <c r="D79" s="11" t="s">
        <v>870</v>
      </c>
      <c r="E79" s="39" t="s">
        <v>11432</v>
      </c>
      <c r="F79" s="11" t="s">
        <v>1602</v>
      </c>
      <c r="G79" s="39" t="s">
        <v>11431</v>
      </c>
      <c r="H79" s="7">
        <v>11</v>
      </c>
      <c r="J79" s="17">
        <v>9</v>
      </c>
      <c r="K79" s="17"/>
      <c r="L79" s="7">
        <f>SUM(H79:K79)</f>
        <v>20</v>
      </c>
      <c r="M79" s="8">
        <v>1</v>
      </c>
      <c r="N79" s="8">
        <f>IF(L79&gt;0,1,"")</f>
        <v>1</v>
      </c>
      <c r="O79" s="11" t="s">
        <v>1702</v>
      </c>
      <c r="P79" s="16" t="str">
        <f>IF(LEN(G79)=10,CONCATENATE("0",G79),G79)</f>
        <v>14-Mar-1930</v>
      </c>
      <c r="R79" s="16" t="str">
        <f t="shared" si="42"/>
        <v>x</v>
      </c>
      <c r="S79" s="16" t="str">
        <f t="shared" si="42"/>
        <v>x</v>
      </c>
      <c r="U79" s="46" t="str">
        <f t="shared" si="43"/>
        <v/>
      </c>
      <c r="V79" s="46">
        <f t="shared" si="43"/>
        <v>20</v>
      </c>
      <c r="W79" s="46" t="str">
        <f t="shared" si="43"/>
        <v/>
      </c>
      <c r="X79" s="46" t="str">
        <f t="shared" si="43"/>
        <v/>
      </c>
    </row>
    <row r="80" spans="2:24" x14ac:dyDescent="0.25">
      <c r="B80" s="11" t="str">
        <f t="shared" si="37"/>
        <v>ALES-10JUN1930</v>
      </c>
      <c r="C80" s="11" t="s">
        <v>4964</v>
      </c>
      <c r="D80" s="11" t="s">
        <v>2808</v>
      </c>
      <c r="E80" s="39" t="s">
        <v>4974</v>
      </c>
      <c r="F80" s="11" t="s">
        <v>1602</v>
      </c>
      <c r="G80" s="39" t="s">
        <v>4975</v>
      </c>
      <c r="H80" s="7">
        <v>4</v>
      </c>
      <c r="J80" s="17">
        <v>3</v>
      </c>
      <c r="K80" s="17"/>
      <c r="L80" s="7">
        <f t="shared" si="38"/>
        <v>7</v>
      </c>
      <c r="M80" s="8">
        <v>1</v>
      </c>
      <c r="N80" s="8">
        <f t="shared" si="39"/>
        <v>1</v>
      </c>
      <c r="O80" s="11" t="s">
        <v>1702</v>
      </c>
      <c r="P80" s="16" t="str">
        <f t="shared" si="40"/>
        <v>10-Jun-1930</v>
      </c>
      <c r="R80" s="16" t="str">
        <f t="shared" si="42"/>
        <v>x</v>
      </c>
      <c r="S80" s="16" t="str">
        <f t="shared" si="42"/>
        <v>x</v>
      </c>
      <c r="U80" s="46" t="str">
        <f t="shared" si="43"/>
        <v/>
      </c>
      <c r="V80" s="46">
        <f t="shared" si="43"/>
        <v>7</v>
      </c>
      <c r="W80" s="46" t="str">
        <f t="shared" si="43"/>
        <v/>
      </c>
      <c r="X80" s="46" t="str">
        <f t="shared" si="43"/>
        <v/>
      </c>
    </row>
    <row r="81" spans="2:24" x14ac:dyDescent="0.25">
      <c r="B81" s="11" t="str">
        <f t="shared" si="37"/>
        <v>ALES-02DEC1930</v>
      </c>
      <c r="C81" s="11" t="s">
        <v>4964</v>
      </c>
      <c r="D81" s="11" t="s">
        <v>847</v>
      </c>
      <c r="E81" s="39" t="s">
        <v>11227</v>
      </c>
      <c r="F81" s="11" t="s">
        <v>1602</v>
      </c>
      <c r="G81" s="39" t="s">
        <v>11226</v>
      </c>
      <c r="H81" s="7">
        <v>6</v>
      </c>
      <c r="J81" s="17">
        <v>4</v>
      </c>
      <c r="K81" s="17"/>
      <c r="L81" s="7">
        <f t="shared" si="38"/>
        <v>10</v>
      </c>
      <c r="M81" s="8">
        <v>1</v>
      </c>
      <c r="N81" s="8">
        <f t="shared" si="39"/>
        <v>1</v>
      </c>
      <c r="O81" s="11" t="s">
        <v>1702</v>
      </c>
      <c r="P81" s="16" t="str">
        <f t="shared" si="40"/>
        <v>02-Dec-1930</v>
      </c>
      <c r="R81" s="16" t="str">
        <f t="shared" si="42"/>
        <v>x</v>
      </c>
      <c r="S81" s="16" t="str">
        <f t="shared" si="42"/>
        <v>x</v>
      </c>
      <c r="U81" s="46" t="str">
        <f t="shared" si="43"/>
        <v/>
      </c>
      <c r="V81" s="46">
        <f t="shared" si="43"/>
        <v>10</v>
      </c>
      <c r="W81" s="46" t="str">
        <f t="shared" si="43"/>
        <v/>
      </c>
      <c r="X81" s="46" t="str">
        <f t="shared" si="43"/>
        <v/>
      </c>
    </row>
    <row r="82" spans="2:24" x14ac:dyDescent="0.25">
      <c r="N82" s="8" t="str">
        <f>IF(R82="x",1,"")</f>
        <v/>
      </c>
      <c r="U82" s="46" t="str">
        <f t="shared" si="5"/>
        <v/>
      </c>
      <c r="V82" s="46" t="str">
        <f t="shared" si="5"/>
        <v/>
      </c>
      <c r="W82" s="46" t="str">
        <f t="shared" si="5"/>
        <v/>
      </c>
      <c r="X82" s="46" t="str">
        <f t="shared" si="5"/>
        <v/>
      </c>
    </row>
    <row r="83" spans="2:24" x14ac:dyDescent="0.25">
      <c r="B83" s="18"/>
      <c r="C83" s="18"/>
      <c r="D83" s="18"/>
      <c r="E83" s="40"/>
      <c r="F83" s="18"/>
      <c r="G83" s="40"/>
      <c r="H83" s="7">
        <f t="shared" ref="H83:N83" si="44">SUM(H75:H82)</f>
        <v>37</v>
      </c>
      <c r="I83" s="7">
        <f t="shared" si="44"/>
        <v>0</v>
      </c>
      <c r="J83" s="7">
        <f>SUM(J75:J82)</f>
        <v>38</v>
      </c>
      <c r="K83" s="7">
        <f t="shared" si="44"/>
        <v>0</v>
      </c>
      <c r="L83" s="7">
        <f t="shared" si="44"/>
        <v>75</v>
      </c>
      <c r="M83" s="7">
        <f t="shared" si="44"/>
        <v>7</v>
      </c>
      <c r="N83" s="7">
        <f t="shared" si="44"/>
        <v>7</v>
      </c>
      <c r="O83" s="18"/>
      <c r="P83" s="13"/>
      <c r="Q83" s="13"/>
      <c r="S83" s="13"/>
      <c r="T83" s="15"/>
      <c r="U83" s="46" t="str">
        <f t="shared" si="5"/>
        <v/>
      </c>
      <c r="V83" s="46" t="str">
        <f t="shared" si="5"/>
        <v/>
      </c>
      <c r="W83" s="46" t="str">
        <f t="shared" si="5"/>
        <v/>
      </c>
      <c r="X83" s="46" t="str">
        <f t="shared" si="5"/>
        <v/>
      </c>
    </row>
    <row r="84" spans="2:24" x14ac:dyDescent="0.25">
      <c r="B84" s="18"/>
      <c r="C84" s="18"/>
      <c r="D84" s="18"/>
      <c r="E84" s="40"/>
      <c r="F84" s="18"/>
      <c r="G84" s="40"/>
      <c r="N84" s="8" t="str">
        <f>IF(R84="x",1,"")</f>
        <v/>
      </c>
      <c r="O84" s="18"/>
      <c r="P84" s="13"/>
      <c r="Q84" s="13"/>
      <c r="R84" s="13"/>
      <c r="S84" s="13"/>
      <c r="T84" s="15"/>
      <c r="U84" s="46" t="str">
        <f t="shared" si="5"/>
        <v/>
      </c>
      <c r="V84" s="46" t="str">
        <f t="shared" si="5"/>
        <v/>
      </c>
      <c r="W84" s="46" t="str">
        <f t="shared" si="5"/>
        <v/>
      </c>
      <c r="X84" s="46" t="str">
        <f t="shared" si="5"/>
        <v/>
      </c>
    </row>
    <row r="85" spans="2:24" x14ac:dyDescent="0.25">
      <c r="B85" s="18"/>
      <c r="C85" s="18"/>
      <c r="D85" s="18"/>
      <c r="E85" s="40"/>
      <c r="F85" s="18"/>
      <c r="G85" s="40"/>
      <c r="N85" s="8" t="str">
        <f>IF(R85="x",1,"")</f>
        <v/>
      </c>
      <c r="O85" s="18"/>
      <c r="P85" s="13"/>
      <c r="Q85" s="13"/>
      <c r="R85" s="13"/>
      <c r="S85" s="13"/>
      <c r="T85" s="15"/>
      <c r="U85" s="46" t="str">
        <f t="shared" si="5"/>
        <v/>
      </c>
      <c r="V85" s="46" t="str">
        <f t="shared" si="5"/>
        <v/>
      </c>
      <c r="W85" s="46" t="str">
        <f t="shared" si="5"/>
        <v/>
      </c>
      <c r="X85" s="46" t="str">
        <f t="shared" si="5"/>
        <v/>
      </c>
    </row>
    <row r="86" spans="2:24" x14ac:dyDescent="0.25">
      <c r="B86" s="11" t="str">
        <f>CONCATENATE("ALGE","-",LEFT(P86,2),UPPER(MID(P86,4,3)),RIGHT(P86,4))</f>
        <v>ALGE-10JAN1905</v>
      </c>
      <c r="C86" s="11" t="s">
        <v>3557</v>
      </c>
      <c r="D86" s="11" t="s">
        <v>3007</v>
      </c>
      <c r="E86" s="39" t="s">
        <v>3558</v>
      </c>
      <c r="F86" s="11" t="s">
        <v>1700</v>
      </c>
      <c r="G86" s="39" t="s">
        <v>3345</v>
      </c>
      <c r="H86" s="7">
        <v>0</v>
      </c>
      <c r="I86" s="7">
        <v>0</v>
      </c>
      <c r="J86" s="17">
        <v>6</v>
      </c>
      <c r="K86" s="17"/>
      <c r="L86" s="7">
        <f>SUM(H86:K86)</f>
        <v>6</v>
      </c>
      <c r="M86" s="8">
        <v>1</v>
      </c>
      <c r="N86" s="8">
        <f>IF(L86&gt;0,1,"")</f>
        <v>1</v>
      </c>
      <c r="O86" s="11" t="s">
        <v>1702</v>
      </c>
      <c r="P86" s="16" t="str">
        <f>IF(LEN(G86)=10,CONCATENATE("0",G86),G86)</f>
        <v>10-Jan-1905</v>
      </c>
      <c r="R86" s="16" t="str">
        <f t="shared" ref="R86:S88" si="45">IF($L86&gt;0,"x","")</f>
        <v>x</v>
      </c>
      <c r="S86" s="16" t="str">
        <f t="shared" si="45"/>
        <v>x</v>
      </c>
      <c r="U86" s="46" t="str">
        <f t="shared" si="5"/>
        <v/>
      </c>
      <c r="V86" s="46">
        <f t="shared" si="5"/>
        <v>6</v>
      </c>
      <c r="W86" s="46" t="str">
        <f t="shared" si="5"/>
        <v/>
      </c>
      <c r="X86" s="46" t="str">
        <f t="shared" si="5"/>
        <v/>
      </c>
    </row>
    <row r="87" spans="2:24" x14ac:dyDescent="0.25">
      <c r="B87" s="11" t="str">
        <f>CONCATENATE("ALGE","-",LEFT(P87,2),UPPER(MID(P87,4,3)),RIGHT(P87,4))</f>
        <v>ALGE-03JUN1907</v>
      </c>
      <c r="C87" s="11" t="s">
        <v>3557</v>
      </c>
      <c r="D87" s="11" t="s">
        <v>3007</v>
      </c>
      <c r="E87" s="39" t="s">
        <v>4081</v>
      </c>
      <c r="F87" s="11" t="s">
        <v>1700</v>
      </c>
      <c r="G87" s="39" t="s">
        <v>4082</v>
      </c>
      <c r="J87" s="17">
        <v>5</v>
      </c>
      <c r="K87" s="17"/>
      <c r="L87" s="7">
        <f>SUM(H87:K87)</f>
        <v>5</v>
      </c>
      <c r="M87" s="8">
        <v>1</v>
      </c>
      <c r="N87" s="8">
        <f>IF(L87&gt;0,1,"")</f>
        <v>1</v>
      </c>
      <c r="O87" s="11" t="s">
        <v>1702</v>
      </c>
      <c r="P87" s="16" t="str">
        <f>IF(LEN(G87)=10,CONCATENATE("0",G87),G87)</f>
        <v>03-Jun-1907</v>
      </c>
      <c r="R87" s="16" t="str">
        <f t="shared" si="45"/>
        <v>x</v>
      </c>
      <c r="S87" s="16" t="str">
        <f t="shared" si="45"/>
        <v>x</v>
      </c>
      <c r="U87" s="46" t="str">
        <f>IF($O87=U$5,$L87,"")</f>
        <v/>
      </c>
      <c r="V87" s="46">
        <f>IF($O87=V$5,$L87,"")</f>
        <v>5</v>
      </c>
      <c r="W87" s="46" t="str">
        <f>IF($O87=W$5,$L87,"")</f>
        <v/>
      </c>
      <c r="X87" s="46" t="str">
        <f>IF($O87=X$5,$L87,"")</f>
        <v/>
      </c>
    </row>
    <row r="88" spans="2:24" x14ac:dyDescent="0.25">
      <c r="B88" s="11" t="str">
        <f>CONCATENATE("ALGE","-",LEFT(P88,2),UPPER(MID(P88,4,3)),RIGHT(P88,4))</f>
        <v>ALGE-07JAN1908</v>
      </c>
      <c r="C88" s="11" t="s">
        <v>3557</v>
      </c>
      <c r="D88" s="11" t="s">
        <v>3832</v>
      </c>
      <c r="E88" s="39" t="s">
        <v>5309</v>
      </c>
      <c r="F88" s="11" t="s">
        <v>1700</v>
      </c>
      <c r="G88" s="39" t="s">
        <v>3601</v>
      </c>
      <c r="H88" s="7">
        <v>0</v>
      </c>
      <c r="J88" s="17">
        <v>13</v>
      </c>
      <c r="K88" s="17"/>
      <c r="L88" s="7">
        <f>SUM(H88:K88)</f>
        <v>13</v>
      </c>
      <c r="M88" s="8">
        <v>1</v>
      </c>
      <c r="N88" s="8">
        <f>IF(L88&gt;0,1,"")</f>
        <v>1</v>
      </c>
      <c r="O88" s="11" t="s">
        <v>1702</v>
      </c>
      <c r="P88" s="16" t="str">
        <f>IF(LEN(G88)=10,CONCATENATE("0",G88),G88)</f>
        <v>07-Jan-1908</v>
      </c>
      <c r="R88" s="16" t="str">
        <f t="shared" si="45"/>
        <v>x</v>
      </c>
      <c r="S88" s="16" t="str">
        <f t="shared" si="45"/>
        <v>x</v>
      </c>
      <c r="U88" s="46" t="str">
        <f t="shared" si="5"/>
        <v/>
      </c>
      <c r="V88" s="46">
        <f t="shared" si="5"/>
        <v>13</v>
      </c>
      <c r="W88" s="46" t="str">
        <f t="shared" si="5"/>
        <v/>
      </c>
      <c r="X88" s="46" t="str">
        <f t="shared" si="5"/>
        <v/>
      </c>
    </row>
    <row r="89" spans="2:24" x14ac:dyDescent="0.25">
      <c r="N89" s="8" t="str">
        <f>IF(R89="x",1,"")</f>
        <v/>
      </c>
      <c r="U89" s="46" t="str">
        <f t="shared" si="5"/>
        <v/>
      </c>
      <c r="V89" s="46" t="str">
        <f t="shared" si="5"/>
        <v/>
      </c>
      <c r="W89" s="46" t="str">
        <f t="shared" si="5"/>
        <v/>
      </c>
      <c r="X89" s="46" t="str">
        <f t="shared" si="5"/>
        <v/>
      </c>
    </row>
    <row r="90" spans="2:24" x14ac:dyDescent="0.25">
      <c r="B90" s="18"/>
      <c r="C90" s="18"/>
      <c r="D90" s="18"/>
      <c r="E90" s="40"/>
      <c r="F90" s="18"/>
      <c r="G90" s="40"/>
      <c r="H90" s="7">
        <f t="shared" ref="H90:N90" si="46">SUM(H86:H89)</f>
        <v>0</v>
      </c>
      <c r="I90" s="7">
        <f t="shared" si="46"/>
        <v>0</v>
      </c>
      <c r="J90" s="7">
        <f>SUM(J86:J89)</f>
        <v>24</v>
      </c>
      <c r="K90" s="7">
        <f t="shared" si="46"/>
        <v>0</v>
      </c>
      <c r="L90" s="7">
        <f t="shared" si="46"/>
        <v>24</v>
      </c>
      <c r="M90" s="7">
        <f t="shared" si="46"/>
        <v>3</v>
      </c>
      <c r="N90" s="7">
        <f t="shared" si="46"/>
        <v>3</v>
      </c>
      <c r="O90" s="18"/>
      <c r="P90" s="13"/>
      <c r="Q90" s="13"/>
      <c r="S90" s="13"/>
      <c r="T90" s="15"/>
      <c r="U90" s="46" t="str">
        <f t="shared" si="5"/>
        <v/>
      </c>
      <c r="V90" s="46" t="str">
        <f t="shared" si="5"/>
        <v/>
      </c>
      <c r="W90" s="46" t="str">
        <f t="shared" si="5"/>
        <v/>
      </c>
      <c r="X90" s="46" t="str">
        <f t="shared" si="5"/>
        <v/>
      </c>
    </row>
    <row r="91" spans="2:24" x14ac:dyDescent="0.25">
      <c r="B91" s="18"/>
      <c r="C91" s="18"/>
      <c r="D91" s="18"/>
      <c r="E91" s="40"/>
      <c r="F91" s="18"/>
      <c r="G91" s="40"/>
      <c r="N91" s="8" t="str">
        <f>IF(R91="x",1,"")</f>
        <v/>
      </c>
      <c r="O91" s="18"/>
      <c r="P91" s="13"/>
      <c r="Q91" s="13"/>
      <c r="R91" s="13"/>
      <c r="S91" s="13"/>
      <c r="T91" s="15"/>
      <c r="U91" s="46" t="str">
        <f t="shared" si="5"/>
        <v/>
      </c>
      <c r="V91" s="46" t="str">
        <f t="shared" si="5"/>
        <v/>
      </c>
      <c r="W91" s="46" t="str">
        <f t="shared" si="5"/>
        <v/>
      </c>
      <c r="X91" s="46" t="str">
        <f t="shared" si="5"/>
        <v/>
      </c>
    </row>
    <row r="92" spans="2:24" x14ac:dyDescent="0.25">
      <c r="B92" s="18"/>
      <c r="C92" s="18"/>
      <c r="D92" s="18"/>
      <c r="E92" s="40"/>
      <c r="F92" s="18"/>
      <c r="G92" s="40"/>
      <c r="N92" s="8" t="str">
        <f>IF(R92="x",1,"")</f>
        <v/>
      </c>
      <c r="O92" s="18"/>
      <c r="P92" s="13"/>
      <c r="Q92" s="13"/>
      <c r="R92" s="13"/>
      <c r="S92" s="13"/>
      <c r="T92" s="15"/>
      <c r="U92" s="46" t="str">
        <f t="shared" si="5"/>
        <v/>
      </c>
      <c r="V92" s="46" t="str">
        <f t="shared" si="5"/>
        <v/>
      </c>
      <c r="W92" s="46" t="str">
        <f t="shared" si="5"/>
        <v/>
      </c>
      <c r="X92" s="46" t="str">
        <f t="shared" si="5"/>
        <v/>
      </c>
    </row>
    <row r="93" spans="2:24" x14ac:dyDescent="0.25">
      <c r="B93" s="11" t="str">
        <f t="shared" ref="B93:B105" si="47">CONCATENATE("ALIC","-",LEFT(P93,2),UPPER(MID(P93,4,3)),RIGHT(P93,4))</f>
        <v>ALIC-01OCT1909</v>
      </c>
      <c r="C93" s="11" t="s">
        <v>3101</v>
      </c>
      <c r="D93" s="11" t="s">
        <v>1906</v>
      </c>
      <c r="E93" s="39" t="s">
        <v>3482</v>
      </c>
      <c r="F93" s="11" t="s">
        <v>1700</v>
      </c>
      <c r="G93" s="39" t="s">
        <v>5613</v>
      </c>
      <c r="H93" s="7">
        <v>0</v>
      </c>
      <c r="I93" s="7">
        <v>0</v>
      </c>
      <c r="J93" s="17">
        <v>101</v>
      </c>
      <c r="K93" s="17"/>
      <c r="L93" s="7">
        <f t="shared" ref="L93:L105" si="48">SUM(H93:K93)</f>
        <v>101</v>
      </c>
      <c r="M93" s="8">
        <v>1</v>
      </c>
      <c r="N93" s="8">
        <f t="shared" ref="N93:N105" si="49">IF(L93&gt;0,1,"")</f>
        <v>1</v>
      </c>
      <c r="O93" s="11" t="s">
        <v>1702</v>
      </c>
      <c r="P93" s="16" t="str">
        <f t="shared" ref="P93:P105" si="50">IF(LEN(G93)=10,CONCATENATE("0",G93),G93)</f>
        <v>01-Oct-1909</v>
      </c>
      <c r="R93" s="16" t="str">
        <f>IF($L93&gt;0,"x","")</f>
        <v>x</v>
      </c>
      <c r="S93" s="16" t="str">
        <f>IF($L93&gt;0,"x","")</f>
        <v>x</v>
      </c>
      <c r="U93" s="46" t="str">
        <f t="shared" si="5"/>
        <v/>
      </c>
      <c r="V93" s="46">
        <f t="shared" si="5"/>
        <v>101</v>
      </c>
      <c r="W93" s="46" t="str">
        <f t="shared" si="5"/>
        <v/>
      </c>
      <c r="X93" s="46" t="str">
        <f t="shared" si="5"/>
        <v/>
      </c>
    </row>
    <row r="94" spans="2:24" x14ac:dyDescent="0.25">
      <c r="B94" s="11" t="str">
        <f>CONCATENATE("ALIC","-",LEFT(P94,2),UPPER(MID(P94,4,3)),RIGHT(P94,4))</f>
        <v>ALIC-17NOV1909</v>
      </c>
      <c r="C94" s="11" t="s">
        <v>3101</v>
      </c>
      <c r="D94" s="11" t="s">
        <v>1906</v>
      </c>
      <c r="E94" s="39" t="s">
        <v>1848</v>
      </c>
      <c r="F94" s="11" t="s">
        <v>1700</v>
      </c>
      <c r="G94" s="39" t="s">
        <v>3848</v>
      </c>
      <c r="I94" s="7">
        <v>0</v>
      </c>
      <c r="J94" s="17">
        <v>34</v>
      </c>
      <c r="K94" s="17"/>
      <c r="L94" s="7">
        <f>SUM(H94:K94)</f>
        <v>34</v>
      </c>
      <c r="M94" s="8">
        <v>1</v>
      </c>
      <c r="N94" s="8">
        <f>IF(L94&gt;0,1,"")</f>
        <v>1</v>
      </c>
      <c r="O94" s="11" t="s">
        <v>1702</v>
      </c>
      <c r="P94" s="16" t="str">
        <f>IF(LEN(G94)=10,CONCATENATE("0",G94),G94)</f>
        <v>17-Nov-1909</v>
      </c>
      <c r="R94" s="16" t="str">
        <f>IF($L94&gt;0,"x","")</f>
        <v>x</v>
      </c>
      <c r="S94" s="16" t="str">
        <f>IF($L94&gt;0,"x","")</f>
        <v>x</v>
      </c>
      <c r="U94" s="46" t="str">
        <f t="shared" ref="U94:X95" si="51">IF($O94=U$5,$L94,"")</f>
        <v/>
      </c>
      <c r="V94" s="46">
        <f t="shared" si="51"/>
        <v>34</v>
      </c>
      <c r="W94" s="46" t="str">
        <f t="shared" si="51"/>
        <v/>
      </c>
      <c r="X94" s="46" t="str">
        <f t="shared" si="51"/>
        <v/>
      </c>
    </row>
    <row r="95" spans="2:24" x14ac:dyDescent="0.25">
      <c r="B95" s="11" t="str">
        <f>CONCATENATE("ALIC","-",LEFT(P95,2),UPPER(MID(P95,4,3)),RIGHT(P95,4))</f>
        <v>ALIC-07JAN1910</v>
      </c>
      <c r="C95" s="11" t="s">
        <v>3101</v>
      </c>
      <c r="D95" s="11" t="s">
        <v>1906</v>
      </c>
      <c r="E95" s="39" t="s">
        <v>3103</v>
      </c>
      <c r="F95" s="11" t="s">
        <v>1700</v>
      </c>
      <c r="G95" s="39" t="s">
        <v>3102</v>
      </c>
      <c r="H95" s="7">
        <v>0</v>
      </c>
      <c r="I95" s="7">
        <v>0</v>
      </c>
      <c r="J95" s="17">
        <v>52</v>
      </c>
      <c r="K95" s="17"/>
      <c r="L95" s="7">
        <f>SUM(H95:K95)</f>
        <v>52</v>
      </c>
      <c r="M95" s="8">
        <v>1</v>
      </c>
      <c r="N95" s="8">
        <f>IF(L95&gt;0,1,"")</f>
        <v>1</v>
      </c>
      <c r="O95" s="11" t="s">
        <v>1702</v>
      </c>
      <c r="P95" s="16" t="str">
        <f>IF(LEN(G95)=10,CONCATENATE("0",G95),G95)</f>
        <v>07-Jan-1910</v>
      </c>
      <c r="R95" s="16" t="str">
        <f t="shared" ref="R95:S106" si="52">IF($L95&gt;0,"x","")</f>
        <v>x</v>
      </c>
      <c r="S95" s="16" t="str">
        <f t="shared" si="52"/>
        <v>x</v>
      </c>
      <c r="U95" s="46" t="str">
        <f t="shared" si="51"/>
        <v/>
      </c>
      <c r="V95" s="46">
        <f t="shared" si="51"/>
        <v>52</v>
      </c>
      <c r="W95" s="46" t="str">
        <f t="shared" si="51"/>
        <v/>
      </c>
      <c r="X95" s="46" t="str">
        <f t="shared" si="51"/>
        <v/>
      </c>
    </row>
    <row r="96" spans="2:24" x14ac:dyDescent="0.25">
      <c r="B96" s="11" t="str">
        <f>CONCATENATE("ALIC","-",LEFT(P96,2),UPPER(MID(P96,4,3)),RIGHT(P96,4))</f>
        <v>ALIC-28FEB1910</v>
      </c>
      <c r="C96" s="11" t="s">
        <v>3101</v>
      </c>
      <c r="D96" s="11" t="s">
        <v>1906</v>
      </c>
      <c r="E96" s="39" t="s">
        <v>5488</v>
      </c>
      <c r="F96" s="11" t="s">
        <v>1700</v>
      </c>
      <c r="G96" s="39" t="s">
        <v>1489</v>
      </c>
      <c r="I96" s="7">
        <v>2</v>
      </c>
      <c r="J96" s="17">
        <v>20</v>
      </c>
      <c r="K96" s="17"/>
      <c r="L96" s="7">
        <f>SUM(H96:K96)</f>
        <v>22</v>
      </c>
      <c r="M96" s="8">
        <v>1</v>
      </c>
      <c r="N96" s="8">
        <f>IF(L96&gt;0,1,"")</f>
        <v>1</v>
      </c>
      <c r="O96" s="11" t="s">
        <v>1702</v>
      </c>
      <c r="P96" s="16" t="str">
        <f>IF(LEN(G96)=10,CONCATENATE("0",G96),G96)</f>
        <v>28-Feb-1910</v>
      </c>
      <c r="R96" s="16" t="str">
        <f t="shared" si="52"/>
        <v>x</v>
      </c>
      <c r="S96" s="16" t="str">
        <f t="shared" si="52"/>
        <v>x</v>
      </c>
      <c r="U96" s="46" t="str">
        <f t="shared" ref="U96:X97" si="53">IF($O96=U$5,$L96,"")</f>
        <v/>
      </c>
      <c r="V96" s="46">
        <f t="shared" si="53"/>
        <v>22</v>
      </c>
      <c r="W96" s="46" t="str">
        <f t="shared" si="53"/>
        <v/>
      </c>
      <c r="X96" s="46" t="str">
        <f t="shared" si="53"/>
        <v/>
      </c>
    </row>
    <row r="97" spans="2:24" x14ac:dyDescent="0.25">
      <c r="B97" s="11" t="str">
        <f>CONCATENATE("ALIC","-",LEFT(P97,2),UPPER(MID(P97,4,3)),RIGHT(P97,4))</f>
        <v>ALIC-01JUN1910</v>
      </c>
      <c r="C97" s="11" t="s">
        <v>3101</v>
      </c>
      <c r="D97" s="11" t="s">
        <v>1906</v>
      </c>
      <c r="E97" s="39" t="s">
        <v>5344</v>
      </c>
      <c r="F97" s="11" t="s">
        <v>1700</v>
      </c>
      <c r="G97" s="39" t="s">
        <v>5345</v>
      </c>
      <c r="H97" s="7">
        <v>0</v>
      </c>
      <c r="I97" s="7">
        <v>0</v>
      </c>
      <c r="J97" s="17">
        <v>11</v>
      </c>
      <c r="K97" s="17"/>
      <c r="L97" s="7">
        <f>SUM(H97:K97)</f>
        <v>11</v>
      </c>
      <c r="M97" s="8">
        <v>1</v>
      </c>
      <c r="N97" s="8">
        <f>IF(L97&gt;0,1,"")</f>
        <v>1</v>
      </c>
      <c r="O97" s="11" t="s">
        <v>1702</v>
      </c>
      <c r="P97" s="16" t="str">
        <f>IF(LEN(G97)=10,CONCATENATE("0",G97),G97)</f>
        <v>01-Jun-1910</v>
      </c>
      <c r="R97" s="16" t="str">
        <f t="shared" si="52"/>
        <v>x</v>
      </c>
      <c r="S97" s="16" t="str">
        <f t="shared" si="52"/>
        <v>x</v>
      </c>
      <c r="U97" s="46" t="str">
        <f t="shared" si="53"/>
        <v/>
      </c>
      <c r="V97" s="46">
        <f t="shared" si="53"/>
        <v>11</v>
      </c>
      <c r="W97" s="46" t="str">
        <f t="shared" si="53"/>
        <v/>
      </c>
      <c r="X97" s="46" t="str">
        <f t="shared" si="53"/>
        <v/>
      </c>
    </row>
    <row r="98" spans="2:24" x14ac:dyDescent="0.25">
      <c r="B98" s="11" t="str">
        <f t="shared" si="47"/>
        <v>ALIC-05OCT1910</v>
      </c>
      <c r="C98" s="11" t="s">
        <v>3101</v>
      </c>
      <c r="D98" s="11" t="s">
        <v>1906</v>
      </c>
      <c r="E98" s="39" t="s">
        <v>3506</v>
      </c>
      <c r="F98" s="11" t="s">
        <v>1700</v>
      </c>
      <c r="G98" s="39" t="s">
        <v>3505</v>
      </c>
      <c r="H98" s="7">
        <v>0</v>
      </c>
      <c r="I98" s="7">
        <v>0</v>
      </c>
      <c r="J98" s="17">
        <v>18</v>
      </c>
      <c r="K98" s="17"/>
      <c r="L98" s="7">
        <f t="shared" si="48"/>
        <v>18</v>
      </c>
      <c r="M98" s="8">
        <v>1</v>
      </c>
      <c r="N98" s="8">
        <f t="shared" si="49"/>
        <v>1</v>
      </c>
      <c r="O98" s="11" t="s">
        <v>1702</v>
      </c>
      <c r="P98" s="16" t="str">
        <f t="shared" si="50"/>
        <v>05-Oct-1910</v>
      </c>
      <c r="R98" s="16" t="str">
        <f t="shared" si="52"/>
        <v>x</v>
      </c>
      <c r="S98" s="16" t="str">
        <f t="shared" si="52"/>
        <v>x</v>
      </c>
      <c r="U98" s="46" t="str">
        <f t="shared" si="5"/>
        <v/>
      </c>
      <c r="V98" s="46">
        <f t="shared" si="5"/>
        <v>18</v>
      </c>
      <c r="W98" s="46" t="str">
        <f t="shared" si="5"/>
        <v/>
      </c>
      <c r="X98" s="46" t="str">
        <f t="shared" si="5"/>
        <v/>
      </c>
    </row>
    <row r="99" spans="2:24" x14ac:dyDescent="0.25">
      <c r="B99" s="11" t="str">
        <f>CONCATENATE("ALIC","-",LEFT(P99,2),UPPER(MID(P99,4,3)),RIGHT(P99,4))</f>
        <v>ALIC-07JUN1911</v>
      </c>
      <c r="C99" s="11" t="s">
        <v>3101</v>
      </c>
      <c r="D99" s="11" t="s">
        <v>1906</v>
      </c>
      <c r="E99" s="39" t="s">
        <v>1506</v>
      </c>
      <c r="F99" s="11" t="s">
        <v>1700</v>
      </c>
      <c r="G99" s="39" t="s">
        <v>884</v>
      </c>
      <c r="H99" s="7">
        <v>0</v>
      </c>
      <c r="I99" s="7">
        <v>3</v>
      </c>
      <c r="J99" s="17">
        <v>17</v>
      </c>
      <c r="K99" s="17"/>
      <c r="L99" s="7">
        <f>SUM(H99:K99)</f>
        <v>20</v>
      </c>
      <c r="M99" s="8">
        <v>1</v>
      </c>
      <c r="N99" s="8">
        <f>IF(L99&gt;0,1,"")</f>
        <v>1</v>
      </c>
      <c r="O99" s="11" t="s">
        <v>1702</v>
      </c>
      <c r="P99" s="16" t="str">
        <f>IF(LEN(G99)=10,CONCATENATE("0",G99),G99)</f>
        <v>07-Jun-1911</v>
      </c>
      <c r="R99" s="16" t="str">
        <f t="shared" si="52"/>
        <v>x</v>
      </c>
      <c r="S99" s="16" t="str">
        <f t="shared" si="52"/>
        <v>x</v>
      </c>
      <c r="U99" s="46" t="str">
        <f>IF($O99=U$5,$L99,"")</f>
        <v/>
      </c>
      <c r="V99" s="46">
        <f>IF($O99=V$5,$L99,"")</f>
        <v>20</v>
      </c>
      <c r="W99" s="46" t="str">
        <f>IF($O99=W$5,$L99,"")</f>
        <v/>
      </c>
      <c r="X99" s="46" t="str">
        <f>IF($O99=X$5,$L99,"")</f>
        <v/>
      </c>
    </row>
    <row r="100" spans="2:24" x14ac:dyDescent="0.25">
      <c r="B100" s="11" t="str">
        <f t="shared" si="47"/>
        <v>ALIC-20SEP1911</v>
      </c>
      <c r="C100" s="11" t="s">
        <v>3101</v>
      </c>
      <c r="D100" s="11" t="s">
        <v>1906</v>
      </c>
      <c r="E100" s="39" t="s">
        <v>903</v>
      </c>
      <c r="F100" s="11" t="s">
        <v>1700</v>
      </c>
      <c r="G100" s="39" t="s">
        <v>3814</v>
      </c>
      <c r="H100" s="7">
        <v>0</v>
      </c>
      <c r="I100" s="7">
        <v>0</v>
      </c>
      <c r="J100" s="17">
        <v>25</v>
      </c>
      <c r="K100" s="17"/>
      <c r="L100" s="7">
        <f t="shared" si="48"/>
        <v>25</v>
      </c>
      <c r="M100" s="8">
        <v>1</v>
      </c>
      <c r="N100" s="8">
        <f t="shared" si="49"/>
        <v>1</v>
      </c>
      <c r="O100" s="11" t="s">
        <v>1702</v>
      </c>
      <c r="P100" s="16" t="str">
        <f t="shared" si="50"/>
        <v>20-Sep-1911</v>
      </c>
      <c r="R100" s="16" t="str">
        <f t="shared" si="52"/>
        <v>x</v>
      </c>
      <c r="S100" s="16" t="str">
        <f t="shared" si="52"/>
        <v>x</v>
      </c>
      <c r="U100" s="46" t="str">
        <f t="shared" si="5"/>
        <v/>
      </c>
      <c r="V100" s="46">
        <f t="shared" si="5"/>
        <v>25</v>
      </c>
      <c r="W100" s="46" t="str">
        <f t="shared" si="5"/>
        <v/>
      </c>
      <c r="X100" s="46" t="str">
        <f t="shared" si="5"/>
        <v/>
      </c>
    </row>
    <row r="101" spans="2:24" x14ac:dyDescent="0.25">
      <c r="B101" s="11" t="str">
        <f t="shared" si="47"/>
        <v>ALIC-14MAR1912</v>
      </c>
      <c r="C101" s="11" t="s">
        <v>3101</v>
      </c>
      <c r="D101" s="11" t="s">
        <v>1906</v>
      </c>
      <c r="E101" s="39" t="s">
        <v>1318</v>
      </c>
      <c r="F101" s="11" t="s">
        <v>1700</v>
      </c>
      <c r="G101" s="39" t="s">
        <v>2050</v>
      </c>
      <c r="I101" s="7">
        <v>2</v>
      </c>
      <c r="J101" s="17">
        <v>33</v>
      </c>
      <c r="K101" s="17"/>
      <c r="L101" s="7">
        <f t="shared" si="48"/>
        <v>35</v>
      </c>
      <c r="M101" s="8">
        <v>1</v>
      </c>
      <c r="N101" s="8">
        <f t="shared" si="49"/>
        <v>1</v>
      </c>
      <c r="O101" s="11" t="s">
        <v>1702</v>
      </c>
      <c r="P101" s="16" t="str">
        <f t="shared" si="50"/>
        <v>14-Mar-1912</v>
      </c>
      <c r="R101" s="16" t="str">
        <f t="shared" si="52"/>
        <v>x</v>
      </c>
      <c r="S101" s="16" t="str">
        <f t="shared" si="52"/>
        <v>x</v>
      </c>
      <c r="U101" s="46" t="str">
        <f t="shared" si="5"/>
        <v/>
      </c>
      <c r="V101" s="46">
        <f t="shared" si="5"/>
        <v>35</v>
      </c>
      <c r="W101" s="46" t="str">
        <f t="shared" si="5"/>
        <v/>
      </c>
      <c r="X101" s="46" t="str">
        <f t="shared" si="5"/>
        <v/>
      </c>
    </row>
    <row r="102" spans="2:24" x14ac:dyDescent="0.25">
      <c r="B102" s="11" t="str">
        <f t="shared" si="47"/>
        <v>ALIC-03MAY1912</v>
      </c>
      <c r="C102" s="11" t="s">
        <v>3101</v>
      </c>
      <c r="D102" s="11" t="s">
        <v>1906</v>
      </c>
      <c r="E102" s="39" t="s">
        <v>3355</v>
      </c>
      <c r="F102" s="11" t="s">
        <v>1700</v>
      </c>
      <c r="G102" s="39" t="s">
        <v>4012</v>
      </c>
      <c r="H102" s="7">
        <v>0</v>
      </c>
      <c r="I102" s="7">
        <v>0</v>
      </c>
      <c r="J102" s="17">
        <v>17</v>
      </c>
      <c r="K102" s="17"/>
      <c r="L102" s="7">
        <f t="shared" si="48"/>
        <v>17</v>
      </c>
      <c r="M102" s="8">
        <v>1</v>
      </c>
      <c r="N102" s="8">
        <f t="shared" si="49"/>
        <v>1</v>
      </c>
      <c r="O102" s="11" t="s">
        <v>1702</v>
      </c>
      <c r="P102" s="16" t="str">
        <f t="shared" si="50"/>
        <v>03-May-1912</v>
      </c>
      <c r="R102" s="16" t="str">
        <f t="shared" si="52"/>
        <v>x</v>
      </c>
      <c r="S102" s="16" t="str">
        <f t="shared" si="52"/>
        <v>x</v>
      </c>
      <c r="U102" s="46" t="str">
        <f t="shared" si="5"/>
        <v/>
      </c>
      <c r="V102" s="46">
        <f t="shared" si="5"/>
        <v>17</v>
      </c>
      <c r="W102" s="46" t="str">
        <f t="shared" si="5"/>
        <v/>
      </c>
      <c r="X102" s="46" t="str">
        <f t="shared" si="5"/>
        <v/>
      </c>
    </row>
    <row r="103" spans="2:24" x14ac:dyDescent="0.25">
      <c r="B103" s="11" t="str">
        <f t="shared" si="47"/>
        <v>ALIC-10SEP1912</v>
      </c>
      <c r="C103" s="11" t="s">
        <v>3101</v>
      </c>
      <c r="D103" s="11" t="s">
        <v>1906</v>
      </c>
      <c r="E103" s="39" t="s">
        <v>3972</v>
      </c>
      <c r="F103" s="11" t="s">
        <v>1700</v>
      </c>
      <c r="G103" s="39" t="s">
        <v>4503</v>
      </c>
      <c r="I103" s="7">
        <v>0</v>
      </c>
      <c r="J103" s="17">
        <v>74</v>
      </c>
      <c r="K103" s="17"/>
      <c r="L103" s="7">
        <f t="shared" si="48"/>
        <v>74</v>
      </c>
      <c r="M103" s="8">
        <v>1</v>
      </c>
      <c r="N103" s="8">
        <f t="shared" si="49"/>
        <v>1</v>
      </c>
      <c r="O103" s="11" t="s">
        <v>1702</v>
      </c>
      <c r="P103" s="16" t="str">
        <f t="shared" si="50"/>
        <v>10-Sep-1912</v>
      </c>
      <c r="R103" s="16" t="str">
        <f t="shared" si="52"/>
        <v>x</v>
      </c>
      <c r="S103" s="16" t="str">
        <f t="shared" si="52"/>
        <v>x</v>
      </c>
      <c r="U103" s="46" t="str">
        <f t="shared" si="5"/>
        <v/>
      </c>
      <c r="V103" s="46">
        <f t="shared" si="5"/>
        <v>74</v>
      </c>
      <c r="W103" s="46" t="str">
        <f t="shared" si="5"/>
        <v/>
      </c>
      <c r="X103" s="46" t="str">
        <f t="shared" si="5"/>
        <v/>
      </c>
    </row>
    <row r="104" spans="2:24" x14ac:dyDescent="0.25">
      <c r="B104" s="11" t="str">
        <f>CONCATENATE("ALIC","-",LEFT(P104,2),UPPER(MID(P104,4,3)),RIGHT(P104,4))</f>
        <v>ALIC-30OCT1912</v>
      </c>
      <c r="C104" s="11" t="s">
        <v>3101</v>
      </c>
      <c r="D104" s="11" t="s">
        <v>1906</v>
      </c>
      <c r="E104" s="39" t="s">
        <v>1004</v>
      </c>
      <c r="F104" s="11" t="s">
        <v>1700</v>
      </c>
      <c r="G104" s="39" t="s">
        <v>92</v>
      </c>
      <c r="H104" s="7">
        <v>0</v>
      </c>
      <c r="I104" s="7">
        <v>2</v>
      </c>
      <c r="J104" s="17">
        <f>173+7+9</f>
        <v>189</v>
      </c>
      <c r="K104" s="17"/>
      <c r="L104" s="7">
        <f>SUM(H104:K104)</f>
        <v>191</v>
      </c>
      <c r="M104" s="8">
        <v>1</v>
      </c>
      <c r="N104" s="8">
        <f>IF(L104&gt;0,1,"")</f>
        <v>1</v>
      </c>
      <c r="O104" s="11" t="s">
        <v>1702</v>
      </c>
      <c r="P104" s="16" t="str">
        <f>IF(LEN(G104)=10,CONCATENATE("0",G104),G104)</f>
        <v>30-Oct-1912</v>
      </c>
      <c r="R104" s="16" t="str">
        <f t="shared" si="52"/>
        <v>x</v>
      </c>
      <c r="S104" s="16" t="str">
        <f t="shared" si="52"/>
        <v>x</v>
      </c>
      <c r="U104" s="46" t="str">
        <f t="shared" si="5"/>
        <v/>
      </c>
      <c r="V104" s="46">
        <f t="shared" si="5"/>
        <v>191</v>
      </c>
      <c r="W104" s="46" t="str">
        <f t="shared" si="5"/>
        <v/>
      </c>
      <c r="X104" s="46" t="str">
        <f t="shared" si="5"/>
        <v/>
      </c>
    </row>
    <row r="105" spans="2:24" x14ac:dyDescent="0.25">
      <c r="B105" s="11" t="str">
        <f t="shared" si="47"/>
        <v>ALIC-19DEC1912</v>
      </c>
      <c r="C105" s="11" t="s">
        <v>3101</v>
      </c>
      <c r="D105" s="11" t="s">
        <v>1906</v>
      </c>
      <c r="E105" s="39" t="s">
        <v>2763</v>
      </c>
      <c r="F105" s="11" t="s">
        <v>1700</v>
      </c>
      <c r="G105" s="39" t="s">
        <v>3705</v>
      </c>
      <c r="H105" s="7">
        <v>0</v>
      </c>
      <c r="I105" s="7">
        <v>0</v>
      </c>
      <c r="J105" s="17">
        <v>119</v>
      </c>
      <c r="K105" s="17"/>
      <c r="L105" s="7">
        <f t="shared" si="48"/>
        <v>119</v>
      </c>
      <c r="M105" s="8">
        <v>1</v>
      </c>
      <c r="N105" s="8">
        <f t="shared" si="49"/>
        <v>1</v>
      </c>
      <c r="O105" s="11" t="s">
        <v>1702</v>
      </c>
      <c r="P105" s="16" t="str">
        <f t="shared" si="50"/>
        <v>19-Dec-1912</v>
      </c>
      <c r="R105" s="16" t="str">
        <f t="shared" si="52"/>
        <v>x</v>
      </c>
      <c r="S105" s="16" t="str">
        <f t="shared" si="52"/>
        <v>x</v>
      </c>
      <c r="U105" s="46" t="str">
        <f t="shared" si="5"/>
        <v/>
      </c>
      <c r="V105" s="46">
        <f t="shared" si="5"/>
        <v>119</v>
      </c>
      <c r="W105" s="46" t="str">
        <f t="shared" si="5"/>
        <v/>
      </c>
      <c r="X105" s="46" t="str">
        <f t="shared" si="5"/>
        <v/>
      </c>
    </row>
    <row r="106" spans="2:24" x14ac:dyDescent="0.25">
      <c r="B106" s="11" t="str">
        <f>CONCATENATE("ALIC","-",LEFT(P106,2),UPPER(MID(P106,4,3)),RIGHT(P106,4))</f>
        <v>ALIC-18MAR1913</v>
      </c>
      <c r="C106" s="11" t="s">
        <v>3101</v>
      </c>
      <c r="D106" s="11" t="s">
        <v>1906</v>
      </c>
      <c r="E106" s="39" t="s">
        <v>1920</v>
      </c>
      <c r="F106" s="11" t="s">
        <v>1700</v>
      </c>
      <c r="G106" s="39" t="s">
        <v>5279</v>
      </c>
      <c r="I106" s="7">
        <v>0</v>
      </c>
      <c r="J106" s="17">
        <v>73</v>
      </c>
      <c r="K106" s="17"/>
      <c r="L106" s="7">
        <f>SUM(H106:K106)</f>
        <v>73</v>
      </c>
      <c r="M106" s="8">
        <v>1</v>
      </c>
      <c r="N106" s="8">
        <f>IF(L106&gt;0,1,"")</f>
        <v>1</v>
      </c>
      <c r="O106" s="11" t="s">
        <v>1702</v>
      </c>
      <c r="P106" s="16" t="str">
        <f>IF(LEN(G106)=10,CONCATENATE("0",G106),G106)</f>
        <v>18-Mar-1913</v>
      </c>
      <c r="R106" s="16" t="str">
        <f t="shared" si="52"/>
        <v>x</v>
      </c>
      <c r="S106" s="16" t="str">
        <f t="shared" si="52"/>
        <v>x</v>
      </c>
      <c r="U106" s="46" t="str">
        <f t="shared" si="5"/>
        <v/>
      </c>
      <c r="V106" s="46">
        <f t="shared" si="5"/>
        <v>73</v>
      </c>
      <c r="W106" s="46" t="str">
        <f t="shared" si="5"/>
        <v/>
      </c>
      <c r="X106" s="46" t="str">
        <f>IF($O106=X$5,$L106,"")</f>
        <v/>
      </c>
    </row>
    <row r="107" spans="2:24" x14ac:dyDescent="0.25">
      <c r="N107" s="8" t="str">
        <f>IF(R107="x",1,"")</f>
        <v/>
      </c>
      <c r="U107" s="46" t="str">
        <f t="shared" si="5"/>
        <v/>
      </c>
      <c r="V107" s="46" t="str">
        <f t="shared" si="5"/>
        <v/>
      </c>
      <c r="W107" s="46" t="str">
        <f t="shared" si="5"/>
        <v/>
      </c>
      <c r="X107" s="46" t="str">
        <f t="shared" si="5"/>
        <v/>
      </c>
    </row>
    <row r="108" spans="2:24" x14ac:dyDescent="0.25">
      <c r="B108" s="18"/>
      <c r="C108" s="18"/>
      <c r="D108" s="18"/>
      <c r="E108" s="40"/>
      <c r="F108" s="18"/>
      <c r="G108" s="40"/>
      <c r="H108" s="7">
        <f t="shared" ref="H108:N108" si="54">SUM(H93:H107)</f>
        <v>0</v>
      </c>
      <c r="I108" s="7">
        <f t="shared" si="54"/>
        <v>9</v>
      </c>
      <c r="J108" s="7">
        <f>SUM(J93:J107)</f>
        <v>783</v>
      </c>
      <c r="K108" s="7">
        <f t="shared" si="54"/>
        <v>0</v>
      </c>
      <c r="L108" s="7">
        <f t="shared" si="54"/>
        <v>792</v>
      </c>
      <c r="M108" s="7">
        <f t="shared" si="54"/>
        <v>14</v>
      </c>
      <c r="N108" s="7">
        <f t="shared" si="54"/>
        <v>14</v>
      </c>
      <c r="O108" s="18"/>
      <c r="P108" s="13"/>
      <c r="Q108" s="13"/>
      <c r="S108" s="13"/>
      <c r="T108" s="15"/>
      <c r="U108" s="46" t="str">
        <f t="shared" si="5"/>
        <v/>
      </c>
      <c r="V108" s="46" t="str">
        <f t="shared" si="5"/>
        <v/>
      </c>
      <c r="W108" s="46" t="str">
        <f t="shared" si="5"/>
        <v/>
      </c>
      <c r="X108" s="46" t="str">
        <f t="shared" si="5"/>
        <v/>
      </c>
    </row>
    <row r="109" spans="2:24" x14ac:dyDescent="0.25">
      <c r="B109" s="18"/>
      <c r="C109" s="18"/>
      <c r="D109" s="18"/>
      <c r="E109" s="40"/>
      <c r="F109" s="18"/>
      <c r="G109" s="40"/>
      <c r="N109" s="8" t="str">
        <f>IF(R109="x",1,"")</f>
        <v/>
      </c>
      <c r="O109" s="18"/>
      <c r="P109" s="13"/>
      <c r="Q109" s="13"/>
      <c r="R109" s="13"/>
      <c r="S109" s="13"/>
      <c r="T109" s="15"/>
      <c r="U109" s="46" t="str">
        <f t="shared" si="5"/>
        <v/>
      </c>
      <c r="V109" s="46" t="str">
        <f t="shared" si="5"/>
        <v/>
      </c>
      <c r="W109" s="46" t="str">
        <f t="shared" si="5"/>
        <v/>
      </c>
      <c r="X109" s="46" t="str">
        <f t="shared" si="5"/>
        <v/>
      </c>
    </row>
    <row r="110" spans="2:24" x14ac:dyDescent="0.25">
      <c r="B110" s="18"/>
      <c r="C110" s="18"/>
      <c r="D110" s="18"/>
      <c r="E110" s="40"/>
      <c r="F110" s="18"/>
      <c r="G110" s="40"/>
      <c r="N110" s="8" t="str">
        <f>IF(R110="x",1,"")</f>
        <v/>
      </c>
      <c r="O110" s="18"/>
      <c r="P110" s="13"/>
      <c r="Q110" s="13"/>
      <c r="R110" s="13"/>
      <c r="S110" s="13"/>
      <c r="T110" s="15"/>
      <c r="U110" s="46" t="str">
        <f t="shared" ref="U110:X114" si="55">IF($O110=U$5,$L110,"")</f>
        <v/>
      </c>
      <c r="V110" s="46" t="str">
        <f t="shared" si="55"/>
        <v/>
      </c>
      <c r="W110" s="46" t="str">
        <f t="shared" si="55"/>
        <v/>
      </c>
      <c r="X110" s="46" t="str">
        <f t="shared" si="55"/>
        <v/>
      </c>
    </row>
    <row r="111" spans="2:24" x14ac:dyDescent="0.25">
      <c r="B111" s="11" t="str">
        <f>CONCATENATE("ALLR","-",LEFT(P111,2),UPPER(MID(P111,4,3)),RIGHT(P111,4))</f>
        <v>ALLR-07JUN1897</v>
      </c>
      <c r="C111" s="11" t="s">
        <v>3341</v>
      </c>
      <c r="D111" s="11" t="s">
        <v>2224</v>
      </c>
      <c r="F111" s="11" t="s">
        <v>1700</v>
      </c>
      <c r="G111" s="39" t="s">
        <v>22</v>
      </c>
      <c r="H111" s="7">
        <v>0</v>
      </c>
      <c r="I111" s="7">
        <v>0</v>
      </c>
      <c r="J111" s="17">
        <v>10</v>
      </c>
      <c r="K111" s="17"/>
      <c r="L111" s="7">
        <f>SUM(H111:K111)</f>
        <v>10</v>
      </c>
      <c r="M111" s="8">
        <v>1</v>
      </c>
      <c r="N111" s="8">
        <f>IF(L111&gt;0,1,"")</f>
        <v>1</v>
      </c>
      <c r="O111" s="11" t="s">
        <v>1702</v>
      </c>
      <c r="P111" s="16" t="str">
        <f>IF(LEN(G111)=10,CONCATENATE("0",G111),G111)</f>
        <v>07-Jun-1897</v>
      </c>
      <c r="R111" s="16" t="str">
        <f>IF($L111&gt;0,"x","")</f>
        <v>x</v>
      </c>
      <c r="S111" s="16" t="str">
        <f>IF($L111&gt;0,"x","")</f>
        <v>x</v>
      </c>
      <c r="U111" s="46" t="str">
        <f t="shared" si="55"/>
        <v/>
      </c>
      <c r="V111" s="46">
        <f t="shared" si="55"/>
        <v>10</v>
      </c>
      <c r="W111" s="46" t="str">
        <f t="shared" si="55"/>
        <v/>
      </c>
      <c r="X111" s="46" t="str">
        <f>IF($O111=X$5,$L111,"")</f>
        <v/>
      </c>
    </row>
    <row r="112" spans="2:24" x14ac:dyDescent="0.25">
      <c r="B112" s="11" t="str">
        <f>CONCATENATE("ALLR","-",LEFT(P112,2),UPPER(MID(P112,4,3)),RIGHT(P112,4))</f>
        <v>ALLR-10SEP1902</v>
      </c>
      <c r="C112" s="11" t="s">
        <v>3341</v>
      </c>
      <c r="D112" s="11" t="s">
        <v>3342</v>
      </c>
      <c r="E112" s="39" t="s">
        <v>3343</v>
      </c>
      <c r="F112" s="11" t="s">
        <v>1700</v>
      </c>
      <c r="G112" s="39" t="s">
        <v>3344</v>
      </c>
      <c r="J112" s="17">
        <v>8</v>
      </c>
      <c r="K112" s="17"/>
      <c r="L112" s="7">
        <f>SUM(H112:K112)</f>
        <v>8</v>
      </c>
      <c r="M112" s="8">
        <v>1</v>
      </c>
      <c r="N112" s="8">
        <f>IF(L112&gt;0,1,"")</f>
        <v>1</v>
      </c>
      <c r="O112" s="11" t="s">
        <v>1702</v>
      </c>
      <c r="P112" s="16" t="str">
        <f>IF(LEN(G112)=10,CONCATENATE("0",G112),G112)</f>
        <v>10-Sep-1902</v>
      </c>
      <c r="R112" s="16" t="str">
        <f>IF($L112&gt;0,"x","")</f>
        <v>x</v>
      </c>
      <c r="S112" s="16" t="str">
        <f>IF($L112&gt;0,"x","")</f>
        <v>x</v>
      </c>
      <c r="U112" s="46" t="str">
        <f t="shared" si="55"/>
        <v/>
      </c>
      <c r="V112" s="46">
        <f t="shared" si="55"/>
        <v>8</v>
      </c>
      <c r="W112" s="46" t="str">
        <f t="shared" si="55"/>
        <v/>
      </c>
      <c r="X112" s="46" t="str">
        <f>IF($O112=X$5,$L112,"")</f>
        <v/>
      </c>
    </row>
    <row r="113" spans="2:26" x14ac:dyDescent="0.25">
      <c r="N113" s="8" t="str">
        <f>IF(R113="x",1,"")</f>
        <v/>
      </c>
      <c r="U113" s="46" t="str">
        <f t="shared" si="55"/>
        <v/>
      </c>
      <c r="V113" s="46" t="str">
        <f t="shared" si="55"/>
        <v/>
      </c>
      <c r="W113" s="46" t="str">
        <f t="shared" si="55"/>
        <v/>
      </c>
      <c r="X113" s="46" t="str">
        <f>IF($O113=X$5,$L113,"")</f>
        <v/>
      </c>
    </row>
    <row r="114" spans="2:26" x14ac:dyDescent="0.25">
      <c r="B114" s="18"/>
      <c r="C114" s="18"/>
      <c r="D114" s="18"/>
      <c r="E114" s="40"/>
      <c r="F114" s="18"/>
      <c r="G114" s="40"/>
      <c r="H114" s="7">
        <f t="shared" ref="H114:N114" si="56">SUM(H111:H113)</f>
        <v>0</v>
      </c>
      <c r="I114" s="7">
        <f t="shared" si="56"/>
        <v>0</v>
      </c>
      <c r="J114" s="7">
        <f>SUM(J111:J113)</f>
        <v>18</v>
      </c>
      <c r="K114" s="7">
        <f t="shared" si="56"/>
        <v>0</v>
      </c>
      <c r="L114" s="7">
        <f t="shared" si="56"/>
        <v>18</v>
      </c>
      <c r="M114" s="7">
        <f t="shared" si="56"/>
        <v>2</v>
      </c>
      <c r="N114" s="7">
        <f t="shared" si="56"/>
        <v>2</v>
      </c>
      <c r="O114" s="18"/>
      <c r="P114" s="13"/>
      <c r="Q114" s="13"/>
      <c r="S114" s="13"/>
      <c r="T114" s="15"/>
      <c r="U114" s="46" t="str">
        <f t="shared" si="55"/>
        <v/>
      </c>
      <c r="V114" s="46" t="str">
        <f t="shared" si="55"/>
        <v/>
      </c>
      <c r="W114" s="46" t="str">
        <f t="shared" si="55"/>
        <v/>
      </c>
      <c r="X114" s="46" t="str">
        <f t="shared" si="55"/>
        <v/>
      </c>
    </row>
    <row r="115" spans="2:26" x14ac:dyDescent="0.25">
      <c r="B115" s="18"/>
      <c r="C115" s="18"/>
      <c r="D115" s="18"/>
      <c r="E115" s="40"/>
      <c r="F115" s="18"/>
      <c r="G115" s="40"/>
      <c r="N115" s="8" t="str">
        <f>IF(R115="x",1,"")</f>
        <v/>
      </c>
      <c r="O115" s="18"/>
      <c r="P115" s="13"/>
      <c r="Q115" s="13"/>
      <c r="R115" s="13"/>
      <c r="S115" s="13"/>
      <c r="T115" s="15"/>
      <c r="U115" s="46" t="str">
        <f t="shared" si="5"/>
        <v/>
      </c>
      <c r="V115" s="46" t="str">
        <f t="shared" si="5"/>
        <v/>
      </c>
      <c r="W115" s="46" t="str">
        <f t="shared" si="5"/>
        <v/>
      </c>
      <c r="X115" s="46" t="str">
        <f t="shared" si="5"/>
        <v/>
      </c>
    </row>
    <row r="116" spans="2:26" x14ac:dyDescent="0.25">
      <c r="B116" s="11" t="str">
        <f>CONCATENATE("AMLF","-",LEFT(P116,2),UPPER(MID(P116,4,3)),RIGHT(P116,4))</f>
        <v>AMLF-09SEP1895</v>
      </c>
      <c r="C116" s="11" t="s">
        <v>115</v>
      </c>
      <c r="D116" s="11" t="s">
        <v>1699</v>
      </c>
      <c r="F116" s="11" t="s">
        <v>1700</v>
      </c>
      <c r="G116" s="39" t="s">
        <v>2139</v>
      </c>
      <c r="J116" s="17">
        <v>1</v>
      </c>
      <c r="K116" s="17"/>
      <c r="L116" s="7">
        <f>SUM(H116:K116)</f>
        <v>1</v>
      </c>
      <c r="M116" s="8">
        <v>1</v>
      </c>
      <c r="N116" s="8">
        <f>IF(L116&gt;0,1,"")</f>
        <v>1</v>
      </c>
      <c r="O116" s="11" t="s">
        <v>1702</v>
      </c>
      <c r="P116" s="16" t="str">
        <f>IF(LEN(G116)=10,CONCATENATE("0",G116),G116)</f>
        <v>09-Sep-1895</v>
      </c>
      <c r="R116" s="16" t="str">
        <f>IF($L116&gt;0,"x","")</f>
        <v>x</v>
      </c>
      <c r="S116" s="16" t="str">
        <f>IF($L116&gt;0,"x","")</f>
        <v>x</v>
      </c>
      <c r="U116" s="46" t="str">
        <f t="shared" si="5"/>
        <v/>
      </c>
      <c r="V116" s="46">
        <f t="shared" si="5"/>
        <v>1</v>
      </c>
      <c r="W116" s="46" t="str">
        <f t="shared" si="5"/>
        <v/>
      </c>
      <c r="X116" s="46" t="str">
        <f>IF($O116=X$5,$L116,"")</f>
        <v/>
      </c>
    </row>
    <row r="117" spans="2:26" x14ac:dyDescent="0.25">
      <c r="B117" s="11" t="str">
        <f>CONCATENATE("AMLF","-",LEFT(P117,2),UPPER(MID(P117,4,3)),RIGHT(P117,4))</f>
        <v>AMLF-31DEC1895</v>
      </c>
      <c r="C117" s="11" t="s">
        <v>115</v>
      </c>
      <c r="D117" s="11" t="s">
        <v>1699</v>
      </c>
      <c r="F117" s="11" t="s">
        <v>1700</v>
      </c>
      <c r="G117" s="39" t="s">
        <v>6082</v>
      </c>
      <c r="J117" s="17">
        <v>10</v>
      </c>
      <c r="K117" s="17"/>
      <c r="L117" s="7">
        <f>SUM(H117:K117)</f>
        <v>10</v>
      </c>
      <c r="M117" s="8">
        <v>1</v>
      </c>
      <c r="N117" s="8">
        <f>IF(L117&gt;0,1,"")</f>
        <v>1</v>
      </c>
      <c r="O117" s="11" t="s">
        <v>1702</v>
      </c>
      <c r="P117" s="16" t="str">
        <f>IF(LEN(G117)=10,CONCATENATE("0",G117),G117)</f>
        <v>31-Dec-1895</v>
      </c>
      <c r="R117" s="16" t="str">
        <f>IF($L117&gt;0,"x","")</f>
        <v>x</v>
      </c>
      <c r="S117" s="16" t="str">
        <f>IF($L117&gt;0,"x","")</f>
        <v>x</v>
      </c>
      <c r="U117" s="46" t="str">
        <f>IF($O117=U$5,$L117,"")</f>
        <v/>
      </c>
      <c r="V117" s="46">
        <f>IF($O117=V$5,$L117,"")</f>
        <v>10</v>
      </c>
      <c r="W117" s="46" t="str">
        <f>IF($O117=W$5,$L117,"")</f>
        <v/>
      </c>
      <c r="X117" s="46" t="str">
        <f>IF($O117=X$5,$L117,"")</f>
        <v/>
      </c>
    </row>
    <row r="118" spans="2:26" x14ac:dyDescent="0.25">
      <c r="N118" s="8" t="str">
        <f>IF(R118="x",1,"")</f>
        <v/>
      </c>
      <c r="U118" s="46" t="str">
        <f t="shared" si="5"/>
        <v/>
      </c>
      <c r="V118" s="46" t="str">
        <f t="shared" si="5"/>
        <v/>
      </c>
      <c r="W118" s="46" t="str">
        <f t="shared" si="5"/>
        <v/>
      </c>
      <c r="X118" s="46" t="str">
        <f>IF($O118=X$5,$L118,"")</f>
        <v/>
      </c>
    </row>
    <row r="119" spans="2:26" x14ac:dyDescent="0.25">
      <c r="B119" s="18"/>
      <c r="C119" s="18"/>
      <c r="D119" s="18"/>
      <c r="E119" s="40"/>
      <c r="F119" s="18"/>
      <c r="G119" s="40"/>
      <c r="H119" s="7">
        <f t="shared" ref="H119:N119" si="57">SUM(H116:H118)</f>
        <v>0</v>
      </c>
      <c r="I119" s="7">
        <f t="shared" si="57"/>
        <v>0</v>
      </c>
      <c r="J119" s="7">
        <f>SUM(J116:J118)</f>
        <v>11</v>
      </c>
      <c r="K119" s="7">
        <f t="shared" si="57"/>
        <v>0</v>
      </c>
      <c r="L119" s="7">
        <f t="shared" si="57"/>
        <v>11</v>
      </c>
      <c r="M119" s="7">
        <f t="shared" si="57"/>
        <v>2</v>
      </c>
      <c r="N119" s="7">
        <f t="shared" si="57"/>
        <v>2</v>
      </c>
      <c r="O119" s="18"/>
      <c r="P119" s="13"/>
      <c r="Q119" s="13"/>
      <c r="S119" s="13"/>
      <c r="T119" s="15"/>
      <c r="U119" s="46" t="str">
        <f t="shared" ref="U119:X198" si="58">IF($O119=U$5,$L119,"")</f>
        <v/>
      </c>
      <c r="V119" s="46" t="str">
        <f t="shared" si="58"/>
        <v/>
      </c>
      <c r="W119" s="46" t="str">
        <f t="shared" si="58"/>
        <v/>
      </c>
      <c r="X119" s="46" t="str">
        <f t="shared" si="58"/>
        <v/>
      </c>
    </row>
    <row r="120" spans="2:26" x14ac:dyDescent="0.25">
      <c r="B120" s="18"/>
      <c r="C120" s="18"/>
      <c r="D120" s="18"/>
      <c r="E120" s="40"/>
      <c r="F120" s="18"/>
      <c r="G120" s="40"/>
      <c r="N120" s="8" t="str">
        <f>IF(R120="x",1,"")</f>
        <v/>
      </c>
      <c r="O120" s="18"/>
      <c r="P120" s="13"/>
      <c r="Q120" s="13"/>
      <c r="R120" s="13"/>
      <c r="S120" s="13"/>
      <c r="T120" s="15"/>
      <c r="U120" s="46" t="str">
        <f t="shared" si="58"/>
        <v/>
      </c>
      <c r="V120" s="46" t="str">
        <f t="shared" si="58"/>
        <v/>
      </c>
      <c r="W120" s="46" t="str">
        <f t="shared" si="58"/>
        <v/>
      </c>
      <c r="X120" s="46" t="str">
        <f t="shared" si="58"/>
        <v/>
      </c>
    </row>
    <row r="121" spans="2:26" x14ac:dyDescent="0.25">
      <c r="B121" s="18"/>
      <c r="C121" s="18"/>
      <c r="D121" s="18"/>
      <c r="E121" s="40"/>
      <c r="F121" s="18"/>
      <c r="G121" s="40"/>
      <c r="N121" s="8" t="str">
        <f>IF(R121="x",1,"")</f>
        <v/>
      </c>
      <c r="O121" s="18"/>
      <c r="P121" s="13"/>
      <c r="Q121" s="13"/>
      <c r="R121" s="13"/>
      <c r="S121" s="13"/>
      <c r="T121" s="15"/>
      <c r="U121" s="46" t="str">
        <f t="shared" si="58"/>
        <v/>
      </c>
      <c r="V121" s="46" t="str">
        <f t="shared" si="58"/>
        <v/>
      </c>
      <c r="W121" s="46" t="str">
        <f t="shared" si="58"/>
        <v/>
      </c>
      <c r="X121" s="46" t="str">
        <f t="shared" si="58"/>
        <v/>
      </c>
    </row>
    <row r="122" spans="2:26" x14ac:dyDescent="0.25">
      <c r="B122" s="11" t="str">
        <f t="shared" ref="B122:B131" si="59">CONCATENATE("AMER","-",LEFT(P122,2),UPPER(MID(P122,4,3)),RIGHT(P122,4))</f>
        <v>AMER-10JUL1907</v>
      </c>
      <c r="C122" s="11" t="s">
        <v>3381</v>
      </c>
      <c r="D122" s="11" t="s">
        <v>870</v>
      </c>
      <c r="E122" s="39" t="s">
        <v>3383</v>
      </c>
      <c r="F122" s="11" t="s">
        <v>1700</v>
      </c>
      <c r="G122" s="39" t="s">
        <v>3382</v>
      </c>
      <c r="H122" s="7">
        <v>0</v>
      </c>
      <c r="J122" s="17">
        <v>7</v>
      </c>
      <c r="K122" s="17"/>
      <c r="L122" s="7">
        <f t="shared" ref="L122:L131" si="60">SUM(H122:K122)</f>
        <v>7</v>
      </c>
      <c r="M122" s="8">
        <v>1</v>
      </c>
      <c r="N122" s="8">
        <f t="shared" ref="N122:N131" si="61">IF(L122&gt;0,1,"")</f>
        <v>1</v>
      </c>
      <c r="O122" s="11" t="s">
        <v>1702</v>
      </c>
      <c r="P122" s="16" t="str">
        <f t="shared" ref="P122:P131" si="62">IF(LEN(G122)=10,CONCATENATE("0",G122),G122)</f>
        <v>10-Jul-1907</v>
      </c>
      <c r="R122" s="16" t="str">
        <f t="shared" ref="R122:S132" si="63">IF($L122&gt;0,"x","")</f>
        <v>x</v>
      </c>
      <c r="S122" s="16" t="str">
        <f t="shared" si="63"/>
        <v>x</v>
      </c>
      <c r="U122" s="46" t="str">
        <f t="shared" si="58"/>
        <v/>
      </c>
      <c r="V122" s="46">
        <f t="shared" si="58"/>
        <v>7</v>
      </c>
      <c r="W122" s="46" t="str">
        <f t="shared" si="58"/>
        <v/>
      </c>
      <c r="X122" s="46" t="str">
        <f t="shared" si="58"/>
        <v/>
      </c>
    </row>
    <row r="123" spans="2:26" x14ac:dyDescent="0.25">
      <c r="B123" s="11" t="str">
        <f>CONCATENATE("AMER","-",LEFT(P123,2),UPPER(MID(P123,4,3)),RIGHT(P123,4))</f>
        <v>AMER-19AUG1909</v>
      </c>
      <c r="C123" s="11" t="s">
        <v>3381</v>
      </c>
      <c r="D123" s="11" t="s">
        <v>3007</v>
      </c>
      <c r="E123" s="39" t="s">
        <v>865</v>
      </c>
      <c r="F123" s="11" t="s">
        <v>1700</v>
      </c>
      <c r="G123" s="39" t="s">
        <v>5097</v>
      </c>
      <c r="H123" s="7">
        <v>0</v>
      </c>
      <c r="J123" s="17">
        <v>13</v>
      </c>
      <c r="K123" s="17"/>
      <c r="L123" s="7">
        <f>SUM(H123:K123)</f>
        <v>13</v>
      </c>
      <c r="M123" s="8">
        <v>1</v>
      </c>
      <c r="N123" s="8">
        <f>IF(L123&gt;0,1,"")</f>
        <v>1</v>
      </c>
      <c r="O123" s="11" t="s">
        <v>1702</v>
      </c>
      <c r="P123" s="16" t="str">
        <f>IF(LEN(G123)=10,CONCATENATE("0",G123),G123)</f>
        <v>19-Aug-1909</v>
      </c>
      <c r="R123" s="16" t="str">
        <f t="shared" si="63"/>
        <v>x</v>
      </c>
      <c r="S123" s="16" t="str">
        <f t="shared" si="63"/>
        <v>x</v>
      </c>
      <c r="U123" s="46" t="str">
        <f t="shared" ref="U123:X124" si="64">IF($O123=U$5,$L123,"")</f>
        <v/>
      </c>
      <c r="V123" s="46">
        <f t="shared" si="64"/>
        <v>13</v>
      </c>
      <c r="W123" s="46" t="str">
        <f t="shared" si="64"/>
        <v/>
      </c>
      <c r="X123" s="46" t="str">
        <f t="shared" si="64"/>
        <v/>
      </c>
    </row>
    <row r="124" spans="2:26" x14ac:dyDescent="0.25">
      <c r="B124" s="11" t="str">
        <f>CONCATENATE("AMER","-",LEFT(P124,2),UPPER(MID(P124,4,3)),RIGHT(P124,4))</f>
        <v>AMER-29JUN1910</v>
      </c>
      <c r="C124" s="11" t="s">
        <v>3381</v>
      </c>
      <c r="D124" s="11" t="s">
        <v>3007</v>
      </c>
      <c r="E124" s="39" t="s">
        <v>2927</v>
      </c>
      <c r="F124" s="11" t="s">
        <v>1700</v>
      </c>
      <c r="G124" s="39" t="s">
        <v>3023</v>
      </c>
      <c r="H124" s="7">
        <v>9</v>
      </c>
      <c r="J124" s="17">
        <v>11</v>
      </c>
      <c r="K124" s="17"/>
      <c r="L124" s="7">
        <f>SUM(H124:K124)</f>
        <v>20</v>
      </c>
      <c r="M124" s="8">
        <v>1</v>
      </c>
      <c r="N124" s="8">
        <f>IF(L124&gt;0,1,"")</f>
        <v>1</v>
      </c>
      <c r="O124" s="11" t="s">
        <v>1702</v>
      </c>
      <c r="P124" s="16" t="str">
        <f>IF(LEN(G124)=10,CONCATENATE("0",G124),G124)</f>
        <v>29-Jun-1910</v>
      </c>
      <c r="R124" s="16" t="str">
        <f t="shared" si="63"/>
        <v>x</v>
      </c>
      <c r="S124" s="16" t="str">
        <f t="shared" si="63"/>
        <v>x</v>
      </c>
      <c r="U124" s="46" t="str">
        <f t="shared" si="64"/>
        <v/>
      </c>
      <c r="V124" s="46">
        <f t="shared" si="64"/>
        <v>20</v>
      </c>
      <c r="W124" s="46" t="str">
        <f t="shared" si="64"/>
        <v/>
      </c>
      <c r="X124" s="46" t="str">
        <f t="shared" si="64"/>
        <v/>
      </c>
    </row>
    <row r="125" spans="2:26" x14ac:dyDescent="0.25">
      <c r="B125" s="11" t="str">
        <f t="shared" si="59"/>
        <v>AMER-09MAR1916</v>
      </c>
      <c r="C125" s="11" t="s">
        <v>3381</v>
      </c>
      <c r="D125" s="11" t="s">
        <v>3217</v>
      </c>
      <c r="E125" s="39" t="s">
        <v>4148</v>
      </c>
      <c r="F125" s="11" t="s">
        <v>1700</v>
      </c>
      <c r="G125" s="39" t="s">
        <v>4149</v>
      </c>
      <c r="H125" s="7">
        <v>0</v>
      </c>
      <c r="J125" s="17">
        <v>45</v>
      </c>
      <c r="K125" s="17"/>
      <c r="L125" s="7">
        <f t="shared" si="60"/>
        <v>45</v>
      </c>
      <c r="M125" s="8">
        <v>1</v>
      </c>
      <c r="N125" s="8">
        <f t="shared" si="61"/>
        <v>1</v>
      </c>
      <c r="O125" s="11" t="s">
        <v>1702</v>
      </c>
      <c r="P125" s="16" t="str">
        <f t="shared" si="62"/>
        <v>09-Mar-1916</v>
      </c>
      <c r="R125" s="16" t="str">
        <f t="shared" si="63"/>
        <v>x</v>
      </c>
      <c r="S125" s="16" t="str">
        <f t="shared" si="63"/>
        <v>x</v>
      </c>
      <c r="U125" s="46" t="str">
        <f t="shared" si="58"/>
        <v/>
      </c>
      <c r="V125" s="46">
        <f t="shared" si="58"/>
        <v>45</v>
      </c>
      <c r="W125" s="46" t="str">
        <f t="shared" si="58"/>
        <v/>
      </c>
      <c r="X125" s="46" t="str">
        <f t="shared" si="58"/>
        <v/>
      </c>
      <c r="Z125" s="11" t="s">
        <v>4150</v>
      </c>
    </row>
    <row r="126" spans="2:26" x14ac:dyDescent="0.25">
      <c r="B126" s="11" t="str">
        <f t="shared" si="59"/>
        <v>AMER-14JAN1923</v>
      </c>
      <c r="C126" s="11" t="s">
        <v>3381</v>
      </c>
      <c r="D126" s="11" t="s">
        <v>2224</v>
      </c>
      <c r="E126" s="39" t="s">
        <v>4431</v>
      </c>
      <c r="F126" s="11" t="s">
        <v>1700</v>
      </c>
      <c r="G126" s="39" t="s">
        <v>4432</v>
      </c>
      <c r="H126" s="7">
        <v>0</v>
      </c>
      <c r="I126" s="7">
        <v>0</v>
      </c>
      <c r="J126" s="17">
        <f>2+2</f>
        <v>4</v>
      </c>
      <c r="K126" s="17"/>
      <c r="L126" s="7">
        <f t="shared" si="60"/>
        <v>4</v>
      </c>
      <c r="M126" s="8">
        <v>1</v>
      </c>
      <c r="N126" s="8">
        <f t="shared" si="61"/>
        <v>1</v>
      </c>
      <c r="O126" s="11" t="s">
        <v>1702</v>
      </c>
      <c r="P126" s="16" t="str">
        <f t="shared" si="62"/>
        <v>14-Jan-1923</v>
      </c>
      <c r="R126" s="16" t="str">
        <f t="shared" si="63"/>
        <v>x</v>
      </c>
      <c r="S126" s="16" t="str">
        <f t="shared" si="63"/>
        <v>x</v>
      </c>
      <c r="U126" s="46" t="str">
        <f>IF($O126=U$5,$L126,"")</f>
        <v/>
      </c>
      <c r="V126" s="46">
        <f>IF($O126=V$5,$L126,"")</f>
        <v>4</v>
      </c>
      <c r="W126" s="46" t="str">
        <f>IF($O126=W$5,$L126,"")</f>
        <v/>
      </c>
      <c r="X126" s="46" t="str">
        <f>IF($O126=X$5,$L126,"")</f>
        <v/>
      </c>
    </row>
    <row r="127" spans="2:26" x14ac:dyDescent="0.25">
      <c r="B127" s="11" t="str">
        <f t="shared" si="59"/>
        <v>AMER-26JUN1923</v>
      </c>
      <c r="C127" s="11" t="s">
        <v>3381</v>
      </c>
      <c r="D127" s="11" t="s">
        <v>2224</v>
      </c>
      <c r="E127" s="39" t="s">
        <v>5015</v>
      </c>
      <c r="F127" s="11" t="s">
        <v>1700</v>
      </c>
      <c r="G127" s="39" t="s">
        <v>5016</v>
      </c>
      <c r="I127" s="7">
        <v>1</v>
      </c>
      <c r="J127" s="17">
        <f>3+1</f>
        <v>4</v>
      </c>
      <c r="K127" s="17"/>
      <c r="L127" s="7">
        <f t="shared" si="60"/>
        <v>5</v>
      </c>
      <c r="M127" s="8">
        <v>1</v>
      </c>
      <c r="N127" s="8">
        <f t="shared" si="61"/>
        <v>1</v>
      </c>
      <c r="O127" s="11" t="s">
        <v>1702</v>
      </c>
      <c r="P127" s="16" t="str">
        <f t="shared" si="62"/>
        <v>26-Jun-1923</v>
      </c>
      <c r="R127" s="16" t="str">
        <f t="shared" si="63"/>
        <v>x</v>
      </c>
      <c r="S127" s="16" t="str">
        <f t="shared" si="63"/>
        <v>x</v>
      </c>
      <c r="U127" s="46" t="str">
        <f t="shared" si="58"/>
        <v/>
      </c>
      <c r="V127" s="46">
        <f t="shared" si="58"/>
        <v>5</v>
      </c>
      <c r="W127" s="46" t="str">
        <f t="shared" si="58"/>
        <v/>
      </c>
      <c r="X127" s="46" t="str">
        <f t="shared" si="58"/>
        <v/>
      </c>
    </row>
    <row r="128" spans="2:26" x14ac:dyDescent="0.25">
      <c r="B128" s="11" t="str">
        <f>CONCATENATE("AMER","-",LEFT(P128,2),UPPER(MID(P128,4,3)),RIGHT(P128,4))</f>
        <v>AMER-01AUG1923</v>
      </c>
      <c r="C128" s="11" t="s">
        <v>3381</v>
      </c>
      <c r="D128" s="11" t="s">
        <v>3217</v>
      </c>
      <c r="E128" s="39" t="s">
        <v>2844</v>
      </c>
      <c r="F128" s="11" t="s">
        <v>1700</v>
      </c>
      <c r="G128" s="39" t="s">
        <v>2970</v>
      </c>
      <c r="H128" s="7">
        <v>0</v>
      </c>
      <c r="I128" s="7">
        <v>0</v>
      </c>
      <c r="J128" s="17">
        <v>14</v>
      </c>
      <c r="K128" s="17"/>
      <c r="L128" s="7">
        <f>SUM(H128:K128)</f>
        <v>14</v>
      </c>
      <c r="M128" s="8">
        <v>1</v>
      </c>
      <c r="N128" s="8">
        <f>IF(L128&gt;0,1,"")</f>
        <v>1</v>
      </c>
      <c r="O128" s="11" t="s">
        <v>1702</v>
      </c>
      <c r="P128" s="16" t="str">
        <f>IF(LEN(G128)=10,CONCATENATE("0",G128),G128)</f>
        <v>01-Aug-1923</v>
      </c>
      <c r="R128" s="16" t="str">
        <f t="shared" si="63"/>
        <v>x</v>
      </c>
      <c r="S128" s="16" t="str">
        <f t="shared" si="63"/>
        <v>x</v>
      </c>
      <c r="U128" s="46" t="str">
        <f>IF($O128=U$5,$L128,"")</f>
        <v/>
      </c>
      <c r="V128" s="46">
        <f>IF($O128=V$5,$L128,"")</f>
        <v>14</v>
      </c>
      <c r="W128" s="46" t="str">
        <f>IF($O128=W$5,$L128,"")</f>
        <v/>
      </c>
      <c r="X128" s="46" t="str">
        <f>IF($O128=X$5,$L128,"")</f>
        <v/>
      </c>
    </row>
    <row r="129" spans="2:24" x14ac:dyDescent="0.25">
      <c r="B129" s="11" t="str">
        <f t="shared" si="59"/>
        <v>AMER-15AUG1925</v>
      </c>
      <c r="C129" s="11" t="s">
        <v>3381</v>
      </c>
      <c r="D129" s="11" t="s">
        <v>2224</v>
      </c>
      <c r="E129" s="39" t="s">
        <v>4457</v>
      </c>
      <c r="F129" s="11" t="s">
        <v>1700</v>
      </c>
      <c r="G129" s="39" t="s">
        <v>4458</v>
      </c>
      <c r="H129" s="7">
        <v>0</v>
      </c>
      <c r="J129" s="17">
        <f>4+6</f>
        <v>10</v>
      </c>
      <c r="K129" s="17"/>
      <c r="L129" s="7">
        <f t="shared" si="60"/>
        <v>10</v>
      </c>
      <c r="M129" s="8">
        <v>1</v>
      </c>
      <c r="N129" s="8">
        <f t="shared" si="61"/>
        <v>1</v>
      </c>
      <c r="O129" s="11" t="s">
        <v>1702</v>
      </c>
      <c r="P129" s="16" t="str">
        <f t="shared" si="62"/>
        <v>15-Aug-1925</v>
      </c>
      <c r="R129" s="16" t="str">
        <f t="shared" si="63"/>
        <v>x</v>
      </c>
      <c r="S129" s="16" t="str">
        <f t="shared" si="63"/>
        <v>x</v>
      </c>
      <c r="U129" s="46" t="str">
        <f t="shared" ref="U129:X130" si="65">IF($O129=U$5,$L129,"")</f>
        <v/>
      </c>
      <c r="V129" s="46">
        <f t="shared" si="65"/>
        <v>10</v>
      </c>
      <c r="W129" s="46" t="str">
        <f t="shared" si="65"/>
        <v/>
      </c>
      <c r="X129" s="46" t="str">
        <f t="shared" si="65"/>
        <v/>
      </c>
    </row>
    <row r="130" spans="2:24" x14ac:dyDescent="0.25">
      <c r="B130" s="11" t="str">
        <f>CONCATENATE("AMER","-",LEFT(P130,2),UPPER(MID(P130,4,3)),RIGHT(P130,4))</f>
        <v>AMER-18NOV1925</v>
      </c>
      <c r="C130" s="11" t="s">
        <v>3381</v>
      </c>
      <c r="D130" s="11" t="s">
        <v>2224</v>
      </c>
      <c r="E130" s="39" t="s">
        <v>5914</v>
      </c>
      <c r="F130" s="11" t="s">
        <v>1700</v>
      </c>
      <c r="G130" s="39" t="s">
        <v>5915</v>
      </c>
      <c r="H130" s="7">
        <v>1</v>
      </c>
      <c r="J130" s="17">
        <v>0</v>
      </c>
      <c r="K130" s="17"/>
      <c r="L130" s="7">
        <f>SUM(H130:K130)</f>
        <v>1</v>
      </c>
      <c r="M130" s="8">
        <v>1</v>
      </c>
      <c r="N130" s="8">
        <f>IF(L130&gt;0,1,"")</f>
        <v>1</v>
      </c>
      <c r="O130" s="11" t="s">
        <v>1702</v>
      </c>
      <c r="P130" s="16" t="str">
        <f>IF(LEN(G130)=10,CONCATENATE("0",G130),G130)</f>
        <v>18-Nov-1925</v>
      </c>
      <c r="R130" s="16" t="str">
        <f t="shared" si="63"/>
        <v>x</v>
      </c>
      <c r="S130" s="16" t="str">
        <f t="shared" si="63"/>
        <v>x</v>
      </c>
      <c r="U130" s="46" t="str">
        <f t="shared" si="65"/>
        <v/>
      </c>
      <c r="V130" s="46">
        <f t="shared" si="65"/>
        <v>1</v>
      </c>
      <c r="W130" s="46" t="str">
        <f t="shared" si="65"/>
        <v/>
      </c>
      <c r="X130" s="46" t="str">
        <f t="shared" si="65"/>
        <v/>
      </c>
    </row>
    <row r="131" spans="2:24" x14ac:dyDescent="0.25">
      <c r="B131" s="11" t="str">
        <f t="shared" si="59"/>
        <v>AMER-26JAN1929</v>
      </c>
      <c r="C131" s="11" t="s">
        <v>3381</v>
      </c>
      <c r="D131" s="11" t="s">
        <v>2224</v>
      </c>
      <c r="E131" s="39" t="s">
        <v>4534</v>
      </c>
      <c r="F131" s="11" t="s">
        <v>1700</v>
      </c>
      <c r="G131" s="39" t="s">
        <v>4535</v>
      </c>
      <c r="H131" s="7">
        <v>1</v>
      </c>
      <c r="J131" s="17">
        <v>0</v>
      </c>
      <c r="K131" s="17"/>
      <c r="L131" s="7">
        <f t="shared" si="60"/>
        <v>1</v>
      </c>
      <c r="M131" s="8">
        <v>1</v>
      </c>
      <c r="N131" s="8">
        <f t="shared" si="61"/>
        <v>1</v>
      </c>
      <c r="O131" s="11" t="s">
        <v>1702</v>
      </c>
      <c r="P131" s="16" t="str">
        <f t="shared" si="62"/>
        <v>26-Jan-1929</v>
      </c>
      <c r="R131" s="16" t="str">
        <f t="shared" si="63"/>
        <v>x</v>
      </c>
      <c r="S131" s="16" t="str">
        <f t="shared" si="63"/>
        <v>x</v>
      </c>
      <c r="U131" s="46" t="str">
        <f t="shared" si="58"/>
        <v/>
      </c>
      <c r="V131" s="46">
        <f t="shared" si="58"/>
        <v>1</v>
      </c>
      <c r="W131" s="46" t="str">
        <f t="shared" si="58"/>
        <v/>
      </c>
      <c r="X131" s="46" t="str">
        <f t="shared" si="58"/>
        <v/>
      </c>
    </row>
    <row r="132" spans="2:24" x14ac:dyDescent="0.25">
      <c r="B132" s="11" t="str">
        <f>CONCATENATE("AMER","-",LEFT(P132,2),UPPER(MID(P132,4,3)),RIGHT(P132,4))</f>
        <v>AMER-22AUG1930</v>
      </c>
      <c r="C132" s="11" t="s">
        <v>3381</v>
      </c>
      <c r="D132" s="11" t="s">
        <v>2224</v>
      </c>
      <c r="E132" s="39" t="s">
        <v>6188</v>
      </c>
      <c r="F132" s="11" t="s">
        <v>1700</v>
      </c>
      <c r="G132" s="39" t="s">
        <v>6189</v>
      </c>
      <c r="H132" s="7">
        <v>0</v>
      </c>
      <c r="J132" s="17">
        <v>1</v>
      </c>
      <c r="K132" s="17"/>
      <c r="L132" s="7">
        <f>SUM(H132:K132)</f>
        <v>1</v>
      </c>
      <c r="M132" s="8">
        <v>1</v>
      </c>
      <c r="N132" s="8">
        <f>IF(L132&gt;0,1,"")</f>
        <v>1</v>
      </c>
      <c r="O132" s="11" t="s">
        <v>1702</v>
      </c>
      <c r="P132" s="16" t="str">
        <f>IF(LEN(G132)=10,CONCATENATE("0",G132),G132)</f>
        <v>22-Aug-1930</v>
      </c>
      <c r="R132" s="16" t="str">
        <f t="shared" si="63"/>
        <v>x</v>
      </c>
      <c r="S132" s="16" t="str">
        <f t="shared" si="63"/>
        <v>x</v>
      </c>
      <c r="U132" s="46" t="str">
        <f>IF($O132=U$5,$L132,"")</f>
        <v/>
      </c>
      <c r="V132" s="46">
        <f>IF($O132=V$5,$L132,"")</f>
        <v>1</v>
      </c>
      <c r="W132" s="46" t="str">
        <f>IF($O132=W$5,$L132,"")</f>
        <v/>
      </c>
      <c r="X132" s="46" t="str">
        <f>IF($O132=X$5,$L132,"")</f>
        <v/>
      </c>
    </row>
    <row r="133" spans="2:24" x14ac:dyDescent="0.25">
      <c r="N133" s="8" t="str">
        <f>IF(R133="x",1,"")</f>
        <v/>
      </c>
      <c r="U133" s="46" t="str">
        <f t="shared" si="58"/>
        <v/>
      </c>
      <c r="V133" s="46" t="str">
        <f t="shared" si="58"/>
        <v/>
      </c>
      <c r="W133" s="46" t="str">
        <f t="shared" si="58"/>
        <v/>
      </c>
      <c r="X133" s="46" t="str">
        <f t="shared" si="58"/>
        <v/>
      </c>
    </row>
    <row r="134" spans="2:24" x14ac:dyDescent="0.25">
      <c r="B134" s="18"/>
      <c r="C134" s="18"/>
      <c r="D134" s="18"/>
      <c r="E134" s="40"/>
      <c r="F134" s="18"/>
      <c r="G134" s="40"/>
      <c r="H134" s="7">
        <f t="shared" ref="H134:N134" si="66">SUM(H122:H133)</f>
        <v>11</v>
      </c>
      <c r="I134" s="7">
        <f t="shared" si="66"/>
        <v>1</v>
      </c>
      <c r="J134" s="7">
        <f>SUM(J122:J133)</f>
        <v>109</v>
      </c>
      <c r="K134" s="7">
        <f t="shared" si="66"/>
        <v>0</v>
      </c>
      <c r="L134" s="7">
        <f t="shared" si="66"/>
        <v>121</v>
      </c>
      <c r="M134" s="7">
        <f t="shared" si="66"/>
        <v>11</v>
      </c>
      <c r="N134" s="7">
        <f t="shared" si="66"/>
        <v>11</v>
      </c>
      <c r="O134" s="18"/>
      <c r="P134" s="13"/>
      <c r="Q134" s="13"/>
      <c r="S134" s="13"/>
      <c r="T134" s="15"/>
      <c r="U134" s="46" t="str">
        <f t="shared" si="58"/>
        <v/>
      </c>
      <c r="V134" s="46" t="str">
        <f t="shared" si="58"/>
        <v/>
      </c>
      <c r="W134" s="46" t="str">
        <f t="shared" si="58"/>
        <v/>
      </c>
      <c r="X134" s="46" t="str">
        <f t="shared" si="58"/>
        <v/>
      </c>
    </row>
    <row r="135" spans="2:24" x14ac:dyDescent="0.25">
      <c r="B135" s="18"/>
      <c r="C135" s="18"/>
      <c r="D135" s="18"/>
      <c r="E135" s="40"/>
      <c r="F135" s="18"/>
      <c r="G135" s="40"/>
      <c r="N135" s="8" t="str">
        <f>IF(R135="x",1,"")</f>
        <v/>
      </c>
      <c r="O135" s="18"/>
      <c r="P135" s="13"/>
      <c r="Q135" s="13"/>
      <c r="R135" s="13"/>
      <c r="S135" s="13"/>
      <c r="T135" s="15"/>
      <c r="U135" s="46" t="str">
        <f t="shared" ref="U135:X139" si="67">IF($O135=U$5,$L135,"")</f>
        <v/>
      </c>
      <c r="V135" s="46" t="str">
        <f t="shared" si="67"/>
        <v/>
      </c>
      <c r="W135" s="46" t="str">
        <f t="shared" si="67"/>
        <v/>
      </c>
      <c r="X135" s="46" t="str">
        <f t="shared" si="67"/>
        <v/>
      </c>
    </row>
    <row r="136" spans="2:24" x14ac:dyDescent="0.25">
      <c r="B136" s="18"/>
      <c r="C136" s="18"/>
      <c r="D136" s="18"/>
      <c r="E136" s="40"/>
      <c r="F136" s="18"/>
      <c r="G136" s="40"/>
      <c r="N136" s="8" t="str">
        <f>IF(R136="x",1,"")</f>
        <v/>
      </c>
      <c r="O136" s="18"/>
      <c r="P136" s="13"/>
      <c r="Q136" s="13"/>
      <c r="R136" s="13"/>
      <c r="S136" s="13"/>
      <c r="T136" s="15"/>
      <c r="U136" s="46" t="str">
        <f t="shared" si="67"/>
        <v/>
      </c>
      <c r="V136" s="46" t="str">
        <f t="shared" si="67"/>
        <v/>
      </c>
      <c r="W136" s="46" t="str">
        <f t="shared" si="67"/>
        <v/>
      </c>
      <c r="X136" s="46" t="str">
        <f t="shared" si="67"/>
        <v/>
      </c>
    </row>
    <row r="137" spans="2:24" x14ac:dyDescent="0.25">
      <c r="B137" s="11" t="str">
        <f>CONCATENATE("AMLG","-",LEFT(P137,2),UPPER(MID(P137,4,3)),RIGHT(P137,4))</f>
        <v>AMLG-17AUG1925</v>
      </c>
      <c r="C137" s="11" t="s">
        <v>11238</v>
      </c>
      <c r="D137" s="11" t="s">
        <v>3543</v>
      </c>
      <c r="E137" s="39" t="s">
        <v>11239</v>
      </c>
      <c r="F137" s="11" t="s">
        <v>1700</v>
      </c>
      <c r="G137" s="39" t="s">
        <v>11240</v>
      </c>
      <c r="H137" s="7">
        <v>0</v>
      </c>
      <c r="J137" s="17">
        <v>5</v>
      </c>
      <c r="K137" s="17"/>
      <c r="L137" s="7">
        <f>SUM(H137:K137)</f>
        <v>5</v>
      </c>
      <c r="M137" s="8">
        <v>1</v>
      </c>
      <c r="N137" s="8">
        <f>IF(L137&gt;0,1,"")</f>
        <v>1</v>
      </c>
      <c r="O137" s="11" t="s">
        <v>1702</v>
      </c>
      <c r="P137" s="16" t="str">
        <f>IF(LEN(G137)=10,CONCATENATE("0",G137),G137)</f>
        <v>17-Aug-1925</v>
      </c>
      <c r="R137" s="16" t="str">
        <f>IF($L137&gt;0,"x","")</f>
        <v>x</v>
      </c>
      <c r="S137" s="16" t="str">
        <f>IF($L137&gt;0,"x","")</f>
        <v>x</v>
      </c>
      <c r="U137" s="46" t="str">
        <f t="shared" si="67"/>
        <v/>
      </c>
      <c r="V137" s="46">
        <f t="shared" si="67"/>
        <v>5</v>
      </c>
      <c r="W137" s="46" t="str">
        <f t="shared" si="67"/>
        <v/>
      </c>
      <c r="X137" s="46" t="str">
        <f t="shared" si="67"/>
        <v/>
      </c>
    </row>
    <row r="138" spans="2:24" x14ac:dyDescent="0.25">
      <c r="N138" s="8" t="str">
        <f>IF(R138="x",1,"")</f>
        <v/>
      </c>
      <c r="U138" s="46" t="str">
        <f t="shared" si="67"/>
        <v/>
      </c>
      <c r="V138" s="46" t="str">
        <f t="shared" si="67"/>
        <v/>
      </c>
      <c r="W138" s="46" t="str">
        <f t="shared" si="67"/>
        <v/>
      </c>
      <c r="X138" s="46" t="str">
        <f t="shared" si="67"/>
        <v/>
      </c>
    </row>
    <row r="139" spans="2:24" x14ac:dyDescent="0.25">
      <c r="B139" s="18"/>
      <c r="C139" s="18"/>
      <c r="D139" s="18"/>
      <c r="E139" s="40"/>
      <c r="F139" s="18"/>
      <c r="G139" s="40"/>
      <c r="H139" s="7">
        <f t="shared" ref="H139:N139" si="68">SUM(H137:H138)</f>
        <v>0</v>
      </c>
      <c r="I139" s="7">
        <f t="shared" si="68"/>
        <v>0</v>
      </c>
      <c r="J139" s="7">
        <f>SUM(J137:J138)</f>
        <v>5</v>
      </c>
      <c r="K139" s="7">
        <f t="shared" si="68"/>
        <v>0</v>
      </c>
      <c r="L139" s="7">
        <f t="shared" si="68"/>
        <v>5</v>
      </c>
      <c r="M139" s="7">
        <f t="shared" si="68"/>
        <v>1</v>
      </c>
      <c r="N139" s="7">
        <f t="shared" si="68"/>
        <v>1</v>
      </c>
      <c r="O139" s="18"/>
      <c r="P139" s="13"/>
      <c r="Q139" s="13"/>
      <c r="S139" s="13"/>
      <c r="T139" s="15"/>
      <c r="U139" s="46" t="str">
        <f t="shared" si="67"/>
        <v/>
      </c>
      <c r="V139" s="46" t="str">
        <f t="shared" si="67"/>
        <v/>
      </c>
      <c r="W139" s="46" t="str">
        <f t="shared" si="67"/>
        <v/>
      </c>
      <c r="X139" s="46" t="str">
        <f t="shared" si="67"/>
        <v/>
      </c>
    </row>
    <row r="140" spans="2:24" x14ac:dyDescent="0.25">
      <c r="B140" s="18"/>
      <c r="C140" s="18"/>
      <c r="D140" s="18"/>
      <c r="E140" s="40"/>
      <c r="F140" s="18"/>
      <c r="G140" s="40"/>
      <c r="N140" s="8" t="str">
        <f>IF(R140="x",1,"")</f>
        <v/>
      </c>
      <c r="O140" s="18"/>
      <c r="P140" s="13"/>
      <c r="Q140" s="13"/>
      <c r="R140" s="13"/>
      <c r="S140" s="13"/>
      <c r="T140" s="15"/>
      <c r="U140" s="46" t="str">
        <f t="shared" si="58"/>
        <v/>
      </c>
      <c r="V140" s="46" t="str">
        <f t="shared" si="58"/>
        <v/>
      </c>
      <c r="W140" s="46" t="str">
        <f t="shared" si="58"/>
        <v/>
      </c>
      <c r="X140" s="46" t="str">
        <f t="shared" si="58"/>
        <v/>
      </c>
    </row>
    <row r="141" spans="2:24" x14ac:dyDescent="0.25">
      <c r="B141" s="18"/>
      <c r="C141" s="18"/>
      <c r="D141" s="18"/>
      <c r="E141" s="40"/>
      <c r="F141" s="18"/>
      <c r="G141" s="40"/>
      <c r="N141" s="8" t="str">
        <f>IF(R141="x",1,"")</f>
        <v/>
      </c>
      <c r="O141" s="18"/>
      <c r="P141" s="13"/>
      <c r="Q141" s="13"/>
      <c r="R141" s="13"/>
      <c r="S141" s="13"/>
      <c r="T141" s="15"/>
      <c r="U141" s="46" t="str">
        <f t="shared" si="58"/>
        <v/>
      </c>
      <c r="V141" s="46" t="str">
        <f t="shared" si="58"/>
        <v/>
      </c>
      <c r="W141" s="46" t="str">
        <f t="shared" si="58"/>
        <v/>
      </c>
      <c r="X141" s="46" t="str">
        <f t="shared" si="58"/>
        <v/>
      </c>
    </row>
    <row r="142" spans="2:24" x14ac:dyDescent="0.25">
      <c r="B142" s="11" t="str">
        <f>CONCATENATE("AMRK","-",LEFT(P142,2),UPPER(MID(P142,4,3)),RIGHT(P142,4))</f>
        <v>AMRK-17JUN1907</v>
      </c>
      <c r="C142" s="11" t="s">
        <v>3478</v>
      </c>
      <c r="D142" s="11" t="s">
        <v>2224</v>
      </c>
      <c r="E142" s="39" t="s">
        <v>3385</v>
      </c>
      <c r="F142" s="11" t="s">
        <v>1700</v>
      </c>
      <c r="G142" s="39" t="s">
        <v>3354</v>
      </c>
      <c r="H142" s="7">
        <v>0</v>
      </c>
      <c r="I142" s="7">
        <v>0</v>
      </c>
      <c r="J142" s="17">
        <v>15</v>
      </c>
      <c r="K142" s="17"/>
      <c r="L142" s="7">
        <f>SUM(H142:K142)</f>
        <v>15</v>
      </c>
      <c r="M142" s="8">
        <v>1</v>
      </c>
      <c r="N142" s="8">
        <f>IF(L142&gt;0,1,"")</f>
        <v>1</v>
      </c>
      <c r="O142" s="11" t="s">
        <v>1702</v>
      </c>
      <c r="P142" s="16" t="str">
        <f>IF(LEN(G142)=10,CONCATENATE("0",G142),G142)</f>
        <v>17-Jun-1907</v>
      </c>
      <c r="R142" s="16" t="str">
        <f t="shared" ref="R142:S145" si="69">IF($L142&gt;0,"x","")</f>
        <v>x</v>
      </c>
      <c r="S142" s="16" t="str">
        <f t="shared" si="69"/>
        <v>x</v>
      </c>
      <c r="U142" s="46" t="str">
        <f t="shared" si="58"/>
        <v/>
      </c>
      <c r="V142" s="46">
        <f t="shared" si="58"/>
        <v>15</v>
      </c>
      <c r="W142" s="46" t="str">
        <f t="shared" si="58"/>
        <v/>
      </c>
      <c r="X142" s="46" t="str">
        <f t="shared" si="58"/>
        <v/>
      </c>
    </row>
    <row r="143" spans="2:24" x14ac:dyDescent="0.25">
      <c r="B143" s="11" t="str">
        <f>CONCATENATE("AMRK","-",LEFT(P143,2),UPPER(MID(P143,4,3)),RIGHT(P143,4))</f>
        <v>AMRK-13JUL1907</v>
      </c>
      <c r="C143" s="11" t="s">
        <v>3478</v>
      </c>
      <c r="D143" s="11" t="s">
        <v>2224</v>
      </c>
      <c r="E143" s="39" t="s">
        <v>3686</v>
      </c>
      <c r="F143" s="11" t="s">
        <v>1700</v>
      </c>
      <c r="G143" s="39" t="s">
        <v>1458</v>
      </c>
      <c r="H143" s="7">
        <v>0</v>
      </c>
      <c r="I143" s="7">
        <v>1</v>
      </c>
      <c r="J143" s="17">
        <v>5</v>
      </c>
      <c r="K143" s="17"/>
      <c r="L143" s="7">
        <f>SUM(H143:K143)</f>
        <v>6</v>
      </c>
      <c r="M143" s="8">
        <v>1</v>
      </c>
      <c r="N143" s="8">
        <f>IF(L143&gt;0,1,"")</f>
        <v>1</v>
      </c>
      <c r="O143" s="11" t="s">
        <v>1702</v>
      </c>
      <c r="P143" s="16" t="str">
        <f>IF(LEN(G143)=10,CONCATENATE("0",G143),G143)</f>
        <v>13-Jul-1907</v>
      </c>
      <c r="R143" s="16" t="str">
        <f t="shared" si="69"/>
        <v>x</v>
      </c>
      <c r="S143" s="16" t="str">
        <f t="shared" si="69"/>
        <v>x</v>
      </c>
      <c r="U143" s="46" t="str">
        <f>IF($O143=U$5,$L143,"")</f>
        <v/>
      </c>
      <c r="V143" s="46">
        <f>IF($O143=V$5,$L143,"")</f>
        <v>6</v>
      </c>
      <c r="W143" s="46" t="str">
        <f>IF($O143=W$5,$L143,"")</f>
        <v/>
      </c>
      <c r="X143" s="46" t="str">
        <f>IF($O143=X$5,$L143,"")</f>
        <v/>
      </c>
    </row>
    <row r="144" spans="2:24" x14ac:dyDescent="0.25">
      <c r="B144" s="11" t="str">
        <f>CONCATENATE("AMRK","-",LEFT(P144,2),UPPER(MID(P144,4,3)),RIGHT(P144,4))</f>
        <v>AMRK-07APR1913</v>
      </c>
      <c r="C144" s="11" t="s">
        <v>3478</v>
      </c>
      <c r="D144" s="11" t="s">
        <v>3134</v>
      </c>
      <c r="E144" s="39" t="s">
        <v>2772</v>
      </c>
      <c r="F144" s="11" t="s">
        <v>1700</v>
      </c>
      <c r="G144" s="39" t="s">
        <v>5350</v>
      </c>
      <c r="H144" s="7">
        <v>0</v>
      </c>
      <c r="I144" s="7">
        <v>0</v>
      </c>
      <c r="J144" s="17">
        <v>17</v>
      </c>
      <c r="K144" s="17"/>
      <c r="L144" s="7">
        <f>SUM(H144:K144)</f>
        <v>17</v>
      </c>
      <c r="M144" s="8">
        <v>1</v>
      </c>
      <c r="N144" s="8">
        <f>IF(L144&gt;0,1,"")</f>
        <v>1</v>
      </c>
      <c r="O144" s="11" t="s">
        <v>1702</v>
      </c>
      <c r="P144" s="16" t="str">
        <f>IF(LEN(G144)=10,CONCATENATE("0",G144),G144)</f>
        <v>07-Apr-1913</v>
      </c>
      <c r="R144" s="16" t="str">
        <f t="shared" si="69"/>
        <v>x</v>
      </c>
      <c r="S144" s="16" t="str">
        <f t="shared" si="69"/>
        <v>x</v>
      </c>
      <c r="U144" s="46" t="str">
        <f t="shared" ref="U144:X145" si="70">IF($O144=U$5,$L144,"")</f>
        <v/>
      </c>
      <c r="V144" s="46">
        <f t="shared" si="70"/>
        <v>17</v>
      </c>
      <c r="W144" s="46" t="str">
        <f t="shared" si="70"/>
        <v/>
      </c>
      <c r="X144" s="46" t="str">
        <f t="shared" si="70"/>
        <v/>
      </c>
    </row>
    <row r="145" spans="2:26" x14ac:dyDescent="0.25">
      <c r="B145" s="11" t="str">
        <f>CONCATENATE("AMRK","-",LEFT(P145,2),UPPER(MID(P145,4,3)),RIGHT(P145,4))</f>
        <v>AMRK-07APR1913</v>
      </c>
      <c r="C145" s="11" t="s">
        <v>3478</v>
      </c>
      <c r="D145" s="11" t="s">
        <v>2224</v>
      </c>
      <c r="E145" s="39" t="s">
        <v>5351</v>
      </c>
      <c r="F145" s="11" t="s">
        <v>1700</v>
      </c>
      <c r="G145" s="39" t="s">
        <v>5350</v>
      </c>
      <c r="H145" s="7">
        <v>0</v>
      </c>
      <c r="I145" s="7">
        <v>0</v>
      </c>
      <c r="J145" s="17">
        <v>0</v>
      </c>
      <c r="K145" s="17"/>
      <c r="L145" s="7">
        <f>SUM(H145:K145)</f>
        <v>0</v>
      </c>
      <c r="M145" s="8">
        <v>1</v>
      </c>
      <c r="N145" s="8" t="str">
        <f>IF(L145&gt;0,1,"")</f>
        <v/>
      </c>
      <c r="O145" s="11" t="s">
        <v>1702</v>
      </c>
      <c r="P145" s="16" t="str">
        <f>IF(LEN(G145)=10,CONCATENATE("0",G145),G145)</f>
        <v>07-Apr-1913</v>
      </c>
      <c r="R145" s="16" t="str">
        <f t="shared" si="69"/>
        <v/>
      </c>
      <c r="S145" s="16" t="str">
        <f t="shared" si="69"/>
        <v/>
      </c>
      <c r="U145" s="46" t="str">
        <f t="shared" si="70"/>
        <v/>
      </c>
      <c r="V145" s="46">
        <f t="shared" si="70"/>
        <v>0</v>
      </c>
      <c r="W145" s="46" t="str">
        <f t="shared" si="70"/>
        <v/>
      </c>
      <c r="X145" s="46" t="str">
        <f t="shared" si="70"/>
        <v/>
      </c>
    </row>
    <row r="146" spans="2:26" x14ac:dyDescent="0.25">
      <c r="N146" s="8" t="str">
        <f>IF(R146="x",1,"")</f>
        <v/>
      </c>
      <c r="U146" s="46" t="str">
        <f t="shared" si="58"/>
        <v/>
      </c>
      <c r="V146" s="46" t="str">
        <f t="shared" si="58"/>
        <v/>
      </c>
      <c r="W146" s="46" t="str">
        <f t="shared" si="58"/>
        <v/>
      </c>
      <c r="X146" s="46" t="str">
        <f t="shared" si="58"/>
        <v/>
      </c>
    </row>
    <row r="147" spans="2:26" x14ac:dyDescent="0.25">
      <c r="B147" s="18"/>
      <c r="C147" s="18"/>
      <c r="D147" s="18"/>
      <c r="E147" s="40"/>
      <c r="F147" s="18"/>
      <c r="G147" s="40"/>
      <c r="H147" s="7">
        <f t="shared" ref="H147:N147" si="71">SUM(H142:H146)</f>
        <v>0</v>
      </c>
      <c r="I147" s="7">
        <f t="shared" si="71"/>
        <v>1</v>
      </c>
      <c r="J147" s="7">
        <f>SUM(J142:J146)</f>
        <v>37</v>
      </c>
      <c r="K147" s="7">
        <f t="shared" si="71"/>
        <v>0</v>
      </c>
      <c r="L147" s="7">
        <f t="shared" si="71"/>
        <v>38</v>
      </c>
      <c r="M147" s="7">
        <f t="shared" si="71"/>
        <v>4</v>
      </c>
      <c r="N147" s="7">
        <f t="shared" si="71"/>
        <v>3</v>
      </c>
      <c r="O147" s="18"/>
      <c r="P147" s="13"/>
      <c r="Q147" s="13"/>
      <c r="S147" s="13"/>
      <c r="T147" s="15"/>
      <c r="U147" s="46" t="str">
        <f t="shared" si="58"/>
        <v/>
      </c>
      <c r="V147" s="46" t="str">
        <f t="shared" si="58"/>
        <v/>
      </c>
      <c r="W147" s="46" t="str">
        <f t="shared" si="58"/>
        <v/>
      </c>
      <c r="X147" s="46" t="str">
        <f t="shared" si="58"/>
        <v/>
      </c>
    </row>
    <row r="148" spans="2:26" s="18" customFormat="1" x14ac:dyDescent="0.25">
      <c r="E148" s="40"/>
      <c r="G148" s="40"/>
      <c r="H148" s="7"/>
      <c r="I148" s="7"/>
      <c r="J148" s="7"/>
      <c r="K148" s="7"/>
      <c r="L148" s="7"/>
      <c r="M148" s="8"/>
      <c r="N148" s="8" t="str">
        <f>IF(R148="x",1,"")</f>
        <v/>
      </c>
      <c r="P148" s="13"/>
      <c r="Q148" s="13"/>
      <c r="R148" s="13"/>
      <c r="S148" s="13"/>
      <c r="T148" s="15"/>
      <c r="U148" s="46" t="str">
        <f t="shared" si="58"/>
        <v/>
      </c>
      <c r="V148" s="46" t="str">
        <f t="shared" si="58"/>
        <v/>
      </c>
      <c r="W148" s="46" t="str">
        <f t="shared" si="58"/>
        <v/>
      </c>
      <c r="X148" s="46" t="str">
        <f t="shared" si="58"/>
        <v/>
      </c>
      <c r="Z148" s="11"/>
    </row>
    <row r="149" spans="2:26" s="18" customFormat="1" x14ac:dyDescent="0.25">
      <c r="E149" s="40"/>
      <c r="G149" s="40"/>
      <c r="H149" s="7"/>
      <c r="I149" s="7"/>
      <c r="J149" s="7"/>
      <c r="K149" s="7"/>
      <c r="L149" s="7"/>
      <c r="M149" s="8"/>
      <c r="N149" s="8" t="str">
        <f>IF(R149="x",1,"")</f>
        <v/>
      </c>
      <c r="P149" s="13"/>
      <c r="Q149" s="13"/>
      <c r="R149" s="13"/>
      <c r="S149" s="13"/>
      <c r="T149" s="15"/>
      <c r="U149" s="46" t="str">
        <f t="shared" si="58"/>
        <v/>
      </c>
      <c r="V149" s="46" t="str">
        <f t="shared" si="58"/>
        <v/>
      </c>
      <c r="W149" s="46" t="str">
        <f t="shared" si="58"/>
        <v/>
      </c>
      <c r="X149" s="46" t="str">
        <f t="shared" si="58"/>
        <v/>
      </c>
      <c r="Z149" s="11"/>
    </row>
    <row r="150" spans="2:26" x14ac:dyDescent="0.25">
      <c r="B150" s="11" t="str">
        <f>CONCATENATE("AMST","-",LEFT(P150,2),UPPER(MID(P150,4,3)),RIGHT(P150,4))</f>
        <v>AMST-17AUG1889</v>
      </c>
      <c r="C150" s="11" t="s">
        <v>2102</v>
      </c>
      <c r="D150" s="11" t="s">
        <v>2102</v>
      </c>
      <c r="F150" s="11" t="s">
        <v>1700</v>
      </c>
      <c r="G150" s="39" t="s">
        <v>5282</v>
      </c>
      <c r="H150" s="7">
        <v>0</v>
      </c>
      <c r="I150" s="7">
        <v>0</v>
      </c>
      <c r="J150" s="7">
        <v>7</v>
      </c>
      <c r="L150" s="7">
        <f t="shared" ref="L150:L161" si="72">SUM(H150:K150)</f>
        <v>7</v>
      </c>
      <c r="M150" s="8">
        <v>1</v>
      </c>
      <c r="N150" s="8">
        <f>IF(L150&gt;0,1,"")</f>
        <v>1</v>
      </c>
      <c r="O150" s="11" t="s">
        <v>1702</v>
      </c>
      <c r="P150" s="16" t="str">
        <f t="shared" ref="P150:P161" si="73">IF(LEN(G150)=10,CONCATENATE("0",G150),G150)</f>
        <v>17-Aug-1889</v>
      </c>
      <c r="R150" s="16" t="str">
        <f>IF($L150&gt;0,"x","")</f>
        <v>x</v>
      </c>
      <c r="S150" s="16" t="str">
        <f>IF($L150&gt;0,"x","")</f>
        <v>x</v>
      </c>
      <c r="U150" s="46" t="str">
        <f t="shared" si="58"/>
        <v/>
      </c>
      <c r="V150" s="46">
        <f t="shared" si="58"/>
        <v>7</v>
      </c>
      <c r="W150" s="46" t="str">
        <f t="shared" si="58"/>
        <v/>
      </c>
      <c r="X150" s="46" t="str">
        <f t="shared" si="58"/>
        <v/>
      </c>
      <c r="Z150" s="11" t="s">
        <v>2251</v>
      </c>
    </row>
    <row r="151" spans="2:26" x14ac:dyDescent="0.25">
      <c r="B151" s="11" t="str">
        <f>CONCATENATE("AMST","-",LEFT(P151,2),UPPER(MID(P151,4,3)),RIGHT(P151,4))</f>
        <v>AMST-26JAN1892</v>
      </c>
      <c r="C151" s="11" t="s">
        <v>2102</v>
      </c>
      <c r="D151" s="11" t="s">
        <v>3455</v>
      </c>
      <c r="F151" s="11" t="s">
        <v>1700</v>
      </c>
      <c r="G151" s="39" t="s">
        <v>2108</v>
      </c>
      <c r="H151" s="7">
        <v>0</v>
      </c>
      <c r="I151" s="7">
        <v>0</v>
      </c>
      <c r="J151" s="7">
        <v>6</v>
      </c>
      <c r="L151" s="7">
        <f>SUM(H151:K151)</f>
        <v>6</v>
      </c>
      <c r="M151" s="8">
        <v>1</v>
      </c>
      <c r="N151" s="8">
        <f>IF(L151&gt;0,1,"")</f>
        <v>1</v>
      </c>
      <c r="O151" s="11" t="s">
        <v>1702</v>
      </c>
      <c r="P151" s="16" t="str">
        <f>IF(LEN(G151)=10,CONCATENATE("0",G151),G151)</f>
        <v>26-Jan-1892</v>
      </c>
      <c r="R151" s="16" t="str">
        <f t="shared" ref="R151:S214" si="74">IF($L151&gt;0,"x","")</f>
        <v>x</v>
      </c>
      <c r="S151" s="16" t="str">
        <f t="shared" si="74"/>
        <v>x</v>
      </c>
      <c r="U151" s="46" t="str">
        <f>IF($O151=U$5,$L151,"")</f>
        <v/>
      </c>
      <c r="V151" s="46">
        <f>IF($O151=V$5,$L151,"")</f>
        <v>6</v>
      </c>
      <c r="W151" s="46" t="str">
        <f>IF($O151=W$5,$L151,"")</f>
        <v/>
      </c>
      <c r="X151" s="46" t="str">
        <f>IF($O151=X$5,$L151,"")</f>
        <v/>
      </c>
      <c r="Z151" s="11" t="s">
        <v>2251</v>
      </c>
    </row>
    <row r="152" spans="2:26" x14ac:dyDescent="0.25">
      <c r="B152" s="11" t="str">
        <f t="shared" ref="B152:B236" si="75">CONCATENATE("AMST","-",LEFT(P152,2),UPPER(MID(P152,4,3)),RIGHT(P152,4))</f>
        <v>AMST-05MAR1892</v>
      </c>
      <c r="C152" s="11" t="s">
        <v>2102</v>
      </c>
      <c r="D152" s="11" t="s">
        <v>3455</v>
      </c>
      <c r="F152" s="11" t="s">
        <v>1700</v>
      </c>
      <c r="G152" s="39" t="s">
        <v>2109</v>
      </c>
      <c r="H152" s="7">
        <v>0</v>
      </c>
      <c r="I152" s="7">
        <v>0</v>
      </c>
      <c r="J152" s="7">
        <v>0</v>
      </c>
      <c r="L152" s="7">
        <f t="shared" si="72"/>
        <v>0</v>
      </c>
      <c r="M152" s="8">
        <v>1</v>
      </c>
      <c r="N152" s="8" t="str">
        <f t="shared" ref="N152:N215" si="76">IF(L152&gt;0,1,"")</f>
        <v/>
      </c>
      <c r="O152" s="11" t="s">
        <v>1702</v>
      </c>
      <c r="P152" s="16" t="str">
        <f t="shared" si="73"/>
        <v>05-Mar-1892</v>
      </c>
      <c r="R152" s="16" t="str">
        <f t="shared" si="74"/>
        <v/>
      </c>
      <c r="S152" s="16" t="str">
        <f t="shared" si="74"/>
        <v/>
      </c>
      <c r="U152" s="46" t="str">
        <f t="shared" si="58"/>
        <v/>
      </c>
      <c r="V152" s="46">
        <f t="shared" si="58"/>
        <v>0</v>
      </c>
      <c r="W152" s="46" t="str">
        <f t="shared" si="58"/>
        <v/>
      </c>
      <c r="X152" s="46" t="str">
        <f t="shared" si="58"/>
        <v/>
      </c>
    </row>
    <row r="153" spans="2:26" x14ac:dyDescent="0.25">
      <c r="B153" s="11" t="str">
        <f t="shared" si="75"/>
        <v>AMST-18APR1892</v>
      </c>
      <c r="C153" s="11" t="s">
        <v>2102</v>
      </c>
      <c r="D153" s="11" t="s">
        <v>3455</v>
      </c>
      <c r="F153" s="11" t="s">
        <v>1700</v>
      </c>
      <c r="G153" s="39" t="s">
        <v>2110</v>
      </c>
      <c r="H153" s="7">
        <v>0</v>
      </c>
      <c r="I153" s="7">
        <v>0</v>
      </c>
      <c r="J153" s="7">
        <v>0</v>
      </c>
      <c r="L153" s="7">
        <f t="shared" si="72"/>
        <v>0</v>
      </c>
      <c r="M153" s="8">
        <v>1</v>
      </c>
      <c r="N153" s="8" t="str">
        <f t="shared" si="76"/>
        <v/>
      </c>
      <c r="O153" s="11" t="s">
        <v>1702</v>
      </c>
      <c r="P153" s="16" t="str">
        <f t="shared" si="73"/>
        <v>18-Apr-1892</v>
      </c>
      <c r="R153" s="16" t="str">
        <f t="shared" si="74"/>
        <v/>
      </c>
      <c r="S153" s="16" t="str">
        <f t="shared" si="74"/>
        <v/>
      </c>
      <c r="U153" s="46" t="str">
        <f t="shared" si="58"/>
        <v/>
      </c>
      <c r="V153" s="46">
        <f t="shared" si="58"/>
        <v>0</v>
      </c>
      <c r="W153" s="46" t="str">
        <f t="shared" si="58"/>
        <v/>
      </c>
      <c r="X153" s="46" t="str">
        <f t="shared" si="58"/>
        <v/>
      </c>
    </row>
    <row r="154" spans="2:26" x14ac:dyDescent="0.25">
      <c r="B154" s="11" t="str">
        <f t="shared" si="75"/>
        <v>AMST-31MAY1892</v>
      </c>
      <c r="C154" s="11" t="s">
        <v>2102</v>
      </c>
      <c r="D154" s="11" t="s">
        <v>3455</v>
      </c>
      <c r="F154" s="11" t="s">
        <v>1700</v>
      </c>
      <c r="G154" s="39" t="s">
        <v>2111</v>
      </c>
      <c r="H154" s="7">
        <v>0</v>
      </c>
      <c r="I154" s="7">
        <v>0</v>
      </c>
      <c r="J154" s="17">
        <v>0</v>
      </c>
      <c r="K154" s="17"/>
      <c r="L154" s="7">
        <f t="shared" si="72"/>
        <v>0</v>
      </c>
      <c r="M154" s="8">
        <v>1</v>
      </c>
      <c r="N154" s="8" t="str">
        <f t="shared" si="76"/>
        <v/>
      </c>
      <c r="O154" s="11" t="s">
        <v>1702</v>
      </c>
      <c r="P154" s="16" t="str">
        <f t="shared" si="73"/>
        <v>31-May-1892</v>
      </c>
      <c r="R154" s="16" t="str">
        <f t="shared" si="74"/>
        <v/>
      </c>
      <c r="S154" s="16" t="str">
        <f t="shared" si="74"/>
        <v/>
      </c>
      <c r="U154" s="46" t="str">
        <f t="shared" si="58"/>
        <v/>
      </c>
      <c r="V154" s="46">
        <f t="shared" si="58"/>
        <v>0</v>
      </c>
      <c r="W154" s="46" t="str">
        <f t="shared" si="58"/>
        <v/>
      </c>
      <c r="X154" s="46" t="str">
        <f t="shared" si="58"/>
        <v/>
      </c>
    </row>
    <row r="155" spans="2:26" x14ac:dyDescent="0.25">
      <c r="B155" s="11" t="str">
        <f t="shared" si="75"/>
        <v>AMST-09JUL1892</v>
      </c>
      <c r="C155" s="11" t="s">
        <v>2102</v>
      </c>
      <c r="D155" s="11" t="s">
        <v>3455</v>
      </c>
      <c r="F155" s="11" t="s">
        <v>1700</v>
      </c>
      <c r="G155" s="39" t="s">
        <v>2112</v>
      </c>
      <c r="H155" s="7">
        <v>0</v>
      </c>
      <c r="I155" s="7">
        <v>0</v>
      </c>
      <c r="J155" s="17">
        <v>0</v>
      </c>
      <c r="K155" s="17"/>
      <c r="L155" s="7">
        <f t="shared" si="72"/>
        <v>0</v>
      </c>
      <c r="M155" s="8">
        <v>1</v>
      </c>
      <c r="N155" s="8" t="str">
        <f t="shared" si="76"/>
        <v/>
      </c>
      <c r="O155" s="11" t="s">
        <v>1702</v>
      </c>
      <c r="P155" s="16" t="str">
        <f t="shared" si="73"/>
        <v>09-Jul-1892</v>
      </c>
      <c r="R155" s="16" t="str">
        <f t="shared" si="74"/>
        <v/>
      </c>
      <c r="S155" s="16" t="str">
        <f t="shared" si="74"/>
        <v/>
      </c>
      <c r="U155" s="46" t="str">
        <f t="shared" si="58"/>
        <v/>
      </c>
      <c r="V155" s="46">
        <f t="shared" si="58"/>
        <v>0</v>
      </c>
      <c r="W155" s="46" t="str">
        <f t="shared" si="58"/>
        <v/>
      </c>
      <c r="X155" s="46" t="str">
        <f t="shared" si="58"/>
        <v/>
      </c>
    </row>
    <row r="156" spans="2:26" x14ac:dyDescent="0.25">
      <c r="B156" s="11" t="str">
        <f t="shared" si="75"/>
        <v>AMST-22AUG1892</v>
      </c>
      <c r="C156" s="11" t="s">
        <v>2102</v>
      </c>
      <c r="D156" s="11" t="s">
        <v>3455</v>
      </c>
      <c r="F156" s="11" t="s">
        <v>1700</v>
      </c>
      <c r="G156" s="39" t="s">
        <v>2113</v>
      </c>
      <c r="H156" s="7">
        <v>0</v>
      </c>
      <c r="I156" s="7">
        <v>0</v>
      </c>
      <c r="J156" s="17">
        <v>1</v>
      </c>
      <c r="K156" s="17"/>
      <c r="L156" s="7">
        <f t="shared" si="72"/>
        <v>1</v>
      </c>
      <c r="M156" s="8">
        <v>1</v>
      </c>
      <c r="N156" s="8">
        <f t="shared" si="76"/>
        <v>1</v>
      </c>
      <c r="O156" s="11" t="s">
        <v>1702</v>
      </c>
      <c r="P156" s="16" t="str">
        <f t="shared" si="73"/>
        <v>22-Aug-1892</v>
      </c>
      <c r="R156" s="16" t="str">
        <f t="shared" si="74"/>
        <v>x</v>
      </c>
      <c r="S156" s="16" t="str">
        <f t="shared" si="74"/>
        <v>x</v>
      </c>
      <c r="U156" s="46" t="str">
        <f t="shared" si="58"/>
        <v/>
      </c>
      <c r="V156" s="46">
        <f t="shared" si="58"/>
        <v>1</v>
      </c>
      <c r="W156" s="46" t="str">
        <f t="shared" si="58"/>
        <v/>
      </c>
      <c r="X156" s="46" t="str">
        <f t="shared" si="58"/>
        <v/>
      </c>
    </row>
    <row r="157" spans="2:26" x14ac:dyDescent="0.25">
      <c r="B157" s="11" t="str">
        <f t="shared" si="75"/>
        <v>AMST-03OCT1892</v>
      </c>
      <c r="C157" s="11" t="s">
        <v>2102</v>
      </c>
      <c r="D157" s="11" t="s">
        <v>3455</v>
      </c>
      <c r="F157" s="11" t="s">
        <v>1700</v>
      </c>
      <c r="G157" s="39" t="s">
        <v>2114</v>
      </c>
      <c r="H157" s="7">
        <v>0</v>
      </c>
      <c r="I157" s="7">
        <v>0</v>
      </c>
      <c r="J157" s="17">
        <v>0</v>
      </c>
      <c r="K157" s="17"/>
      <c r="L157" s="7">
        <f t="shared" si="72"/>
        <v>0</v>
      </c>
      <c r="M157" s="8">
        <v>1</v>
      </c>
      <c r="N157" s="8" t="str">
        <f t="shared" si="76"/>
        <v/>
      </c>
      <c r="O157" s="11" t="s">
        <v>1702</v>
      </c>
      <c r="P157" s="16" t="str">
        <f t="shared" si="73"/>
        <v>03-Oct-1892</v>
      </c>
      <c r="R157" s="16" t="str">
        <f t="shared" si="74"/>
        <v/>
      </c>
      <c r="S157" s="16" t="str">
        <f t="shared" si="74"/>
        <v/>
      </c>
      <c r="U157" s="46" t="str">
        <f t="shared" si="58"/>
        <v/>
      </c>
      <c r="V157" s="46">
        <f t="shared" si="58"/>
        <v>0</v>
      </c>
      <c r="W157" s="46" t="str">
        <f t="shared" si="58"/>
        <v/>
      </c>
      <c r="X157" s="46" t="str">
        <f t="shared" si="58"/>
        <v/>
      </c>
    </row>
    <row r="158" spans="2:26" x14ac:dyDescent="0.25">
      <c r="B158" s="11" t="str">
        <f t="shared" si="75"/>
        <v>AMST-16NOV1892</v>
      </c>
      <c r="C158" s="11" t="s">
        <v>2102</v>
      </c>
      <c r="D158" s="11" t="s">
        <v>3455</v>
      </c>
      <c r="F158" s="11" t="s">
        <v>1700</v>
      </c>
      <c r="G158" s="39" t="s">
        <v>2115</v>
      </c>
      <c r="H158" s="7">
        <v>0</v>
      </c>
      <c r="I158" s="7">
        <v>0</v>
      </c>
      <c r="J158" s="17">
        <v>0</v>
      </c>
      <c r="K158" s="17"/>
      <c r="L158" s="7">
        <f t="shared" si="72"/>
        <v>0</v>
      </c>
      <c r="M158" s="8">
        <v>1</v>
      </c>
      <c r="N158" s="8" t="str">
        <f t="shared" si="76"/>
        <v/>
      </c>
      <c r="O158" s="11" t="s">
        <v>1702</v>
      </c>
      <c r="P158" s="16" t="str">
        <f t="shared" si="73"/>
        <v>16-Nov-1892</v>
      </c>
      <c r="R158" s="16" t="str">
        <f t="shared" si="74"/>
        <v/>
      </c>
      <c r="S158" s="16" t="str">
        <f t="shared" si="74"/>
        <v/>
      </c>
      <c r="U158" s="46" t="str">
        <f t="shared" si="58"/>
        <v/>
      </c>
      <c r="V158" s="46">
        <f t="shared" si="58"/>
        <v>0</v>
      </c>
      <c r="W158" s="46" t="str">
        <f t="shared" si="58"/>
        <v/>
      </c>
      <c r="X158" s="46" t="str">
        <f t="shared" si="58"/>
        <v/>
      </c>
    </row>
    <row r="159" spans="2:26" x14ac:dyDescent="0.25">
      <c r="B159" s="11" t="str">
        <f t="shared" si="75"/>
        <v>AMST-29APR1893</v>
      </c>
      <c r="C159" s="11" t="s">
        <v>2102</v>
      </c>
      <c r="D159" s="11" t="s">
        <v>3455</v>
      </c>
      <c r="F159" s="11" t="s">
        <v>1700</v>
      </c>
      <c r="G159" s="39" t="s">
        <v>2116</v>
      </c>
      <c r="H159" s="7">
        <v>0</v>
      </c>
      <c r="I159" s="7">
        <v>0</v>
      </c>
      <c r="J159" s="17">
        <v>0</v>
      </c>
      <c r="K159" s="17"/>
      <c r="L159" s="7">
        <f t="shared" si="72"/>
        <v>0</v>
      </c>
      <c r="M159" s="8">
        <v>1</v>
      </c>
      <c r="N159" s="8" t="str">
        <f t="shared" si="76"/>
        <v/>
      </c>
      <c r="O159" s="11" t="s">
        <v>1702</v>
      </c>
      <c r="P159" s="16" t="str">
        <f t="shared" si="73"/>
        <v>29-Apr-1893</v>
      </c>
      <c r="R159" s="16" t="str">
        <f t="shared" si="74"/>
        <v/>
      </c>
      <c r="S159" s="16" t="str">
        <f t="shared" si="74"/>
        <v/>
      </c>
      <c r="U159" s="46" t="str">
        <f t="shared" si="58"/>
        <v/>
      </c>
      <c r="V159" s="46">
        <f t="shared" si="58"/>
        <v>0</v>
      </c>
      <c r="W159" s="46" t="str">
        <f t="shared" si="58"/>
        <v/>
      </c>
      <c r="X159" s="46" t="str">
        <f t="shared" si="58"/>
        <v/>
      </c>
    </row>
    <row r="160" spans="2:26" x14ac:dyDescent="0.25">
      <c r="B160" s="11" t="str">
        <f t="shared" si="75"/>
        <v>AMST-12JUN1893</v>
      </c>
      <c r="C160" s="11" t="s">
        <v>2102</v>
      </c>
      <c r="D160" s="11" t="s">
        <v>3455</v>
      </c>
      <c r="F160" s="11" t="s">
        <v>1700</v>
      </c>
      <c r="G160" s="39" t="s">
        <v>2117</v>
      </c>
      <c r="H160" s="7">
        <v>0</v>
      </c>
      <c r="I160" s="7">
        <v>0</v>
      </c>
      <c r="J160" s="17">
        <v>0</v>
      </c>
      <c r="K160" s="17"/>
      <c r="L160" s="7">
        <f t="shared" si="72"/>
        <v>0</v>
      </c>
      <c r="M160" s="8">
        <v>1</v>
      </c>
      <c r="N160" s="8" t="str">
        <f t="shared" si="76"/>
        <v/>
      </c>
      <c r="O160" s="11" t="s">
        <v>1702</v>
      </c>
      <c r="P160" s="16" t="str">
        <f t="shared" si="73"/>
        <v>12-Jun-1893</v>
      </c>
      <c r="R160" s="16" t="str">
        <f t="shared" si="74"/>
        <v/>
      </c>
      <c r="S160" s="16" t="str">
        <f t="shared" si="74"/>
        <v/>
      </c>
      <c r="U160" s="46" t="str">
        <f t="shared" si="58"/>
        <v/>
      </c>
      <c r="V160" s="46">
        <f t="shared" si="58"/>
        <v>0</v>
      </c>
      <c r="W160" s="46" t="str">
        <f t="shared" si="58"/>
        <v/>
      </c>
      <c r="X160" s="46" t="str">
        <f t="shared" si="58"/>
        <v/>
      </c>
    </row>
    <row r="161" spans="2:24" x14ac:dyDescent="0.25">
      <c r="B161" s="11" t="str">
        <f t="shared" si="75"/>
        <v>AMST-18JUL1893</v>
      </c>
      <c r="C161" s="11" t="s">
        <v>2102</v>
      </c>
      <c r="D161" s="11" t="s">
        <v>3455</v>
      </c>
      <c r="F161" s="11" t="s">
        <v>1700</v>
      </c>
      <c r="G161" s="39" t="s">
        <v>2118</v>
      </c>
      <c r="H161" s="7">
        <v>0</v>
      </c>
      <c r="I161" s="7">
        <v>0</v>
      </c>
      <c r="J161" s="17">
        <v>0</v>
      </c>
      <c r="K161" s="17"/>
      <c r="L161" s="7">
        <f t="shared" si="72"/>
        <v>0</v>
      </c>
      <c r="M161" s="8">
        <v>1</v>
      </c>
      <c r="N161" s="8" t="str">
        <f t="shared" si="76"/>
        <v/>
      </c>
      <c r="O161" s="11" t="s">
        <v>1702</v>
      </c>
      <c r="P161" s="16" t="str">
        <f t="shared" si="73"/>
        <v>18-Jul-1893</v>
      </c>
      <c r="R161" s="16" t="str">
        <f t="shared" si="74"/>
        <v/>
      </c>
      <c r="S161" s="16" t="str">
        <f t="shared" si="74"/>
        <v/>
      </c>
      <c r="U161" s="46" t="str">
        <f t="shared" si="58"/>
        <v/>
      </c>
      <c r="V161" s="46">
        <f t="shared" si="58"/>
        <v>0</v>
      </c>
      <c r="W161" s="46" t="str">
        <f t="shared" si="58"/>
        <v/>
      </c>
      <c r="X161" s="46" t="str">
        <f t="shared" si="58"/>
        <v/>
      </c>
    </row>
    <row r="162" spans="2:24" x14ac:dyDescent="0.25">
      <c r="B162" s="11" t="str">
        <f t="shared" si="75"/>
        <v>AMST-21AUG1893</v>
      </c>
      <c r="C162" s="11" t="s">
        <v>2102</v>
      </c>
      <c r="D162" s="11" t="s">
        <v>3455</v>
      </c>
      <c r="F162" s="11" t="s">
        <v>1700</v>
      </c>
      <c r="G162" s="39" t="s">
        <v>2119</v>
      </c>
      <c r="H162" s="7">
        <v>0</v>
      </c>
      <c r="I162" s="7">
        <v>0</v>
      </c>
      <c r="J162" s="17">
        <v>0</v>
      </c>
      <c r="K162" s="17"/>
      <c r="L162" s="7">
        <f t="shared" ref="L162:L167" si="77">SUM(H162:K162)</f>
        <v>0</v>
      </c>
      <c r="M162" s="8">
        <v>1</v>
      </c>
      <c r="N162" s="8" t="str">
        <f t="shared" si="76"/>
        <v/>
      </c>
      <c r="O162" s="11" t="s">
        <v>1702</v>
      </c>
      <c r="P162" s="16" t="str">
        <f t="shared" ref="P162:P167" si="78">IF(LEN(G162)=10,CONCATENATE("0",G162),G162)</f>
        <v>21-Aug-1893</v>
      </c>
      <c r="R162" s="16" t="str">
        <f t="shared" si="74"/>
        <v/>
      </c>
      <c r="S162" s="16" t="str">
        <f t="shared" si="74"/>
        <v/>
      </c>
      <c r="U162" s="46" t="str">
        <f t="shared" si="58"/>
        <v/>
      </c>
      <c r="V162" s="46">
        <f t="shared" si="58"/>
        <v>0</v>
      </c>
      <c r="W162" s="46" t="str">
        <f t="shared" si="58"/>
        <v/>
      </c>
      <c r="X162" s="46" t="str">
        <f t="shared" si="58"/>
        <v/>
      </c>
    </row>
    <row r="163" spans="2:24" x14ac:dyDescent="0.25">
      <c r="B163" s="11" t="str">
        <f t="shared" si="75"/>
        <v>AMST-25SEP1893</v>
      </c>
      <c r="C163" s="11" t="s">
        <v>2102</v>
      </c>
      <c r="D163" s="11" t="s">
        <v>3455</v>
      </c>
      <c r="F163" s="11" t="s">
        <v>1700</v>
      </c>
      <c r="G163" s="39" t="s">
        <v>2120</v>
      </c>
      <c r="H163" s="7">
        <v>0</v>
      </c>
      <c r="I163" s="7">
        <v>0</v>
      </c>
      <c r="J163" s="17">
        <v>0</v>
      </c>
      <c r="K163" s="17"/>
      <c r="L163" s="7">
        <f t="shared" si="77"/>
        <v>0</v>
      </c>
      <c r="M163" s="8">
        <v>1</v>
      </c>
      <c r="N163" s="8" t="str">
        <f t="shared" si="76"/>
        <v/>
      </c>
      <c r="O163" s="11" t="s">
        <v>1702</v>
      </c>
      <c r="P163" s="16" t="str">
        <f t="shared" si="78"/>
        <v>25-Sep-1893</v>
      </c>
      <c r="R163" s="16" t="str">
        <f t="shared" si="74"/>
        <v/>
      </c>
      <c r="S163" s="16" t="str">
        <f t="shared" si="74"/>
        <v/>
      </c>
      <c r="U163" s="46" t="str">
        <f t="shared" si="58"/>
        <v/>
      </c>
      <c r="V163" s="46">
        <f t="shared" si="58"/>
        <v>0</v>
      </c>
      <c r="W163" s="46" t="str">
        <f t="shared" si="58"/>
        <v/>
      </c>
      <c r="X163" s="46" t="str">
        <f t="shared" si="58"/>
        <v/>
      </c>
    </row>
    <row r="164" spans="2:24" x14ac:dyDescent="0.25">
      <c r="B164" s="11" t="str">
        <f t="shared" si="75"/>
        <v>AMST-30OCT1893</v>
      </c>
      <c r="C164" s="11" t="s">
        <v>2102</v>
      </c>
      <c r="D164" s="11" t="s">
        <v>3455</v>
      </c>
      <c r="F164" s="11" t="s">
        <v>1700</v>
      </c>
      <c r="G164" s="39" t="s">
        <v>2121</v>
      </c>
      <c r="H164" s="7">
        <v>0</v>
      </c>
      <c r="I164" s="7">
        <v>0</v>
      </c>
      <c r="J164" s="17">
        <v>0</v>
      </c>
      <c r="K164" s="17"/>
      <c r="L164" s="7">
        <f t="shared" si="77"/>
        <v>0</v>
      </c>
      <c r="M164" s="8">
        <v>1</v>
      </c>
      <c r="N164" s="8" t="str">
        <f t="shared" si="76"/>
        <v/>
      </c>
      <c r="O164" s="11" t="s">
        <v>1702</v>
      </c>
      <c r="P164" s="16" t="str">
        <f t="shared" si="78"/>
        <v>30-Oct-1893</v>
      </c>
      <c r="R164" s="16" t="str">
        <f t="shared" si="74"/>
        <v/>
      </c>
      <c r="S164" s="16" t="str">
        <f t="shared" si="74"/>
        <v/>
      </c>
      <c r="U164" s="46" t="str">
        <f t="shared" si="58"/>
        <v/>
      </c>
      <c r="V164" s="46">
        <f t="shared" si="58"/>
        <v>0</v>
      </c>
      <c r="W164" s="46" t="str">
        <f t="shared" si="58"/>
        <v/>
      </c>
      <c r="X164" s="46" t="str">
        <f t="shared" si="58"/>
        <v/>
      </c>
    </row>
    <row r="165" spans="2:24" x14ac:dyDescent="0.25">
      <c r="B165" s="11" t="str">
        <f t="shared" si="75"/>
        <v>AMST-12DEC1893</v>
      </c>
      <c r="C165" s="11" t="s">
        <v>2102</v>
      </c>
      <c r="D165" s="11" t="s">
        <v>3455</v>
      </c>
      <c r="F165" s="11" t="s">
        <v>1700</v>
      </c>
      <c r="G165" s="39" t="s">
        <v>2122</v>
      </c>
      <c r="H165" s="7">
        <v>0</v>
      </c>
      <c r="I165" s="7">
        <v>0</v>
      </c>
      <c r="J165" s="17">
        <v>0</v>
      </c>
      <c r="K165" s="17"/>
      <c r="L165" s="7">
        <f t="shared" si="77"/>
        <v>0</v>
      </c>
      <c r="M165" s="8">
        <v>1</v>
      </c>
      <c r="N165" s="8" t="str">
        <f t="shared" si="76"/>
        <v/>
      </c>
      <c r="O165" s="11" t="s">
        <v>1702</v>
      </c>
      <c r="P165" s="16" t="str">
        <f t="shared" si="78"/>
        <v>12-Dec-1893</v>
      </c>
      <c r="R165" s="16" t="str">
        <f t="shared" si="74"/>
        <v/>
      </c>
      <c r="S165" s="16" t="str">
        <f t="shared" si="74"/>
        <v/>
      </c>
      <c r="U165" s="46" t="str">
        <f t="shared" si="58"/>
        <v/>
      </c>
      <c r="V165" s="46">
        <f t="shared" si="58"/>
        <v>0</v>
      </c>
      <c r="W165" s="46" t="str">
        <f t="shared" si="58"/>
        <v/>
      </c>
      <c r="X165" s="46" t="str">
        <f t="shared" si="58"/>
        <v/>
      </c>
    </row>
    <row r="166" spans="2:24" x14ac:dyDescent="0.25">
      <c r="B166" s="11" t="str">
        <f t="shared" si="75"/>
        <v>AMST-17JAN1894</v>
      </c>
      <c r="C166" s="11" t="s">
        <v>2102</v>
      </c>
      <c r="D166" s="11" t="s">
        <v>3455</v>
      </c>
      <c r="F166" s="11" t="s">
        <v>1700</v>
      </c>
      <c r="G166" s="39" t="s">
        <v>2123</v>
      </c>
      <c r="H166" s="7">
        <v>0</v>
      </c>
      <c r="I166" s="7">
        <v>0</v>
      </c>
      <c r="J166" s="17">
        <v>1</v>
      </c>
      <c r="K166" s="17"/>
      <c r="L166" s="7">
        <f t="shared" si="77"/>
        <v>1</v>
      </c>
      <c r="M166" s="8">
        <v>1</v>
      </c>
      <c r="N166" s="8">
        <f t="shared" si="76"/>
        <v>1</v>
      </c>
      <c r="O166" s="11" t="s">
        <v>1702</v>
      </c>
      <c r="P166" s="16" t="str">
        <f t="shared" si="78"/>
        <v>17-Jan-1894</v>
      </c>
      <c r="R166" s="16" t="str">
        <f t="shared" si="74"/>
        <v>x</v>
      </c>
      <c r="S166" s="16" t="str">
        <f t="shared" si="74"/>
        <v>x</v>
      </c>
      <c r="U166" s="46" t="str">
        <f t="shared" si="58"/>
        <v/>
      </c>
      <c r="V166" s="46">
        <f t="shared" si="58"/>
        <v>1</v>
      </c>
      <c r="W166" s="46" t="str">
        <f t="shared" si="58"/>
        <v/>
      </c>
      <c r="X166" s="46" t="str">
        <f t="shared" si="58"/>
        <v/>
      </c>
    </row>
    <row r="167" spans="2:24" x14ac:dyDescent="0.25">
      <c r="B167" s="11" t="str">
        <f t="shared" si="75"/>
        <v>AMST-26FEB1894</v>
      </c>
      <c r="C167" s="11" t="s">
        <v>2102</v>
      </c>
      <c r="D167" s="11" t="s">
        <v>3455</v>
      </c>
      <c r="F167" s="11" t="s">
        <v>1700</v>
      </c>
      <c r="G167" s="39" t="s">
        <v>2124</v>
      </c>
      <c r="H167" s="7">
        <v>0</v>
      </c>
      <c r="I167" s="7">
        <v>0</v>
      </c>
      <c r="J167" s="17">
        <v>0</v>
      </c>
      <c r="K167" s="17"/>
      <c r="L167" s="7">
        <f t="shared" si="77"/>
        <v>0</v>
      </c>
      <c r="M167" s="8">
        <v>1</v>
      </c>
      <c r="N167" s="8" t="str">
        <f t="shared" si="76"/>
        <v/>
      </c>
      <c r="O167" s="11" t="s">
        <v>1702</v>
      </c>
      <c r="P167" s="16" t="str">
        <f t="shared" si="78"/>
        <v>26-Feb-1894</v>
      </c>
      <c r="R167" s="16" t="str">
        <f t="shared" si="74"/>
        <v/>
      </c>
      <c r="S167" s="16" t="str">
        <f t="shared" si="74"/>
        <v/>
      </c>
      <c r="U167" s="46" t="str">
        <f t="shared" si="58"/>
        <v/>
      </c>
      <c r="V167" s="46">
        <f t="shared" si="58"/>
        <v>0</v>
      </c>
      <c r="W167" s="46" t="str">
        <f t="shared" si="58"/>
        <v/>
      </c>
      <c r="X167" s="46" t="str">
        <f t="shared" si="58"/>
        <v/>
      </c>
    </row>
    <row r="168" spans="2:24" x14ac:dyDescent="0.25">
      <c r="B168" s="11" t="str">
        <f t="shared" si="75"/>
        <v>AMST-03APR1894</v>
      </c>
      <c r="C168" s="11" t="s">
        <v>2102</v>
      </c>
      <c r="D168" s="11" t="s">
        <v>3455</v>
      </c>
      <c r="F168" s="11" t="s">
        <v>1700</v>
      </c>
      <c r="G168" s="39" t="s">
        <v>2125</v>
      </c>
      <c r="H168" s="7">
        <v>0</v>
      </c>
      <c r="I168" s="7">
        <v>0</v>
      </c>
      <c r="J168" s="17">
        <v>1</v>
      </c>
      <c r="K168" s="17"/>
      <c r="L168" s="7">
        <f t="shared" ref="L168:L174" si="79">SUM(H168:K168)</f>
        <v>1</v>
      </c>
      <c r="M168" s="8">
        <v>1</v>
      </c>
      <c r="N168" s="8">
        <f t="shared" si="76"/>
        <v>1</v>
      </c>
      <c r="O168" s="11" t="s">
        <v>1702</v>
      </c>
      <c r="P168" s="16" t="str">
        <f t="shared" ref="P168:P174" si="80">IF(LEN(G168)=10,CONCATENATE("0",G168),G168)</f>
        <v>03-Apr-1894</v>
      </c>
      <c r="R168" s="16" t="str">
        <f t="shared" si="74"/>
        <v>x</v>
      </c>
      <c r="S168" s="16" t="str">
        <f t="shared" si="74"/>
        <v>x</v>
      </c>
      <c r="U168" s="46" t="str">
        <f t="shared" si="58"/>
        <v/>
      </c>
      <c r="V168" s="46">
        <f t="shared" si="58"/>
        <v>1</v>
      </c>
      <c r="W168" s="46" t="str">
        <f t="shared" si="58"/>
        <v/>
      </c>
      <c r="X168" s="46" t="str">
        <f t="shared" si="58"/>
        <v/>
      </c>
    </row>
    <row r="169" spans="2:24" x14ac:dyDescent="0.25">
      <c r="B169" s="11" t="str">
        <f t="shared" si="75"/>
        <v>AMST-07MAY1894</v>
      </c>
      <c r="C169" s="11" t="s">
        <v>2102</v>
      </c>
      <c r="D169" s="11" t="s">
        <v>3455</v>
      </c>
      <c r="F169" s="11" t="s">
        <v>1700</v>
      </c>
      <c r="G169" s="39" t="s">
        <v>2126</v>
      </c>
      <c r="H169" s="7">
        <v>0</v>
      </c>
      <c r="I169" s="7">
        <v>0</v>
      </c>
      <c r="J169" s="17">
        <v>1</v>
      </c>
      <c r="K169" s="17"/>
      <c r="L169" s="7">
        <f t="shared" si="79"/>
        <v>1</v>
      </c>
      <c r="M169" s="8">
        <v>1</v>
      </c>
      <c r="N169" s="8">
        <f t="shared" si="76"/>
        <v>1</v>
      </c>
      <c r="O169" s="11" t="s">
        <v>1702</v>
      </c>
      <c r="P169" s="16" t="str">
        <f t="shared" si="80"/>
        <v>07-May-1894</v>
      </c>
      <c r="R169" s="16" t="str">
        <f t="shared" si="74"/>
        <v>x</v>
      </c>
      <c r="S169" s="16" t="str">
        <f t="shared" si="74"/>
        <v>x</v>
      </c>
      <c r="U169" s="46" t="str">
        <f t="shared" si="58"/>
        <v/>
      </c>
      <c r="V169" s="46">
        <f t="shared" si="58"/>
        <v>1</v>
      </c>
      <c r="W169" s="46" t="str">
        <f t="shared" si="58"/>
        <v/>
      </c>
      <c r="X169" s="46" t="str">
        <f t="shared" si="58"/>
        <v/>
      </c>
    </row>
    <row r="170" spans="2:24" x14ac:dyDescent="0.25">
      <c r="B170" s="11" t="str">
        <f t="shared" si="75"/>
        <v>AMST-11JUN1894</v>
      </c>
      <c r="C170" s="11" t="s">
        <v>2102</v>
      </c>
      <c r="D170" s="11" t="s">
        <v>3455</v>
      </c>
      <c r="F170" s="11" t="s">
        <v>1700</v>
      </c>
      <c r="G170" s="39" t="s">
        <v>2127</v>
      </c>
      <c r="H170" s="7">
        <v>0</v>
      </c>
      <c r="I170" s="7">
        <v>0</v>
      </c>
      <c r="J170" s="17">
        <v>0</v>
      </c>
      <c r="K170" s="17"/>
      <c r="L170" s="7">
        <f t="shared" si="79"/>
        <v>0</v>
      </c>
      <c r="M170" s="8">
        <v>1</v>
      </c>
      <c r="N170" s="8" t="str">
        <f t="shared" si="76"/>
        <v/>
      </c>
      <c r="O170" s="11" t="s">
        <v>1702</v>
      </c>
      <c r="P170" s="16" t="str">
        <f t="shared" si="80"/>
        <v>11-Jun-1894</v>
      </c>
      <c r="R170" s="16" t="str">
        <f t="shared" si="74"/>
        <v/>
      </c>
      <c r="S170" s="16" t="str">
        <f t="shared" si="74"/>
        <v/>
      </c>
      <c r="U170" s="46" t="str">
        <f t="shared" si="58"/>
        <v/>
      </c>
      <c r="V170" s="46">
        <f t="shared" si="58"/>
        <v>0</v>
      </c>
      <c r="W170" s="46" t="str">
        <f t="shared" si="58"/>
        <v/>
      </c>
      <c r="X170" s="46" t="str">
        <f t="shared" si="58"/>
        <v/>
      </c>
    </row>
    <row r="171" spans="2:24" x14ac:dyDescent="0.25">
      <c r="B171" s="11" t="str">
        <f t="shared" si="75"/>
        <v>AMST-16JUL1894</v>
      </c>
      <c r="C171" s="11" t="s">
        <v>2102</v>
      </c>
      <c r="D171" s="11" t="s">
        <v>3455</v>
      </c>
      <c r="F171" s="11" t="s">
        <v>1700</v>
      </c>
      <c r="G171" s="39" t="s">
        <v>2128</v>
      </c>
      <c r="H171" s="7">
        <v>0</v>
      </c>
      <c r="I171" s="7">
        <v>0</v>
      </c>
      <c r="J171" s="17">
        <v>0</v>
      </c>
      <c r="K171" s="17"/>
      <c r="L171" s="7">
        <f t="shared" si="79"/>
        <v>0</v>
      </c>
      <c r="M171" s="8">
        <v>1</v>
      </c>
      <c r="N171" s="8" t="str">
        <f t="shared" si="76"/>
        <v/>
      </c>
      <c r="O171" s="11" t="s">
        <v>1702</v>
      </c>
      <c r="P171" s="16" t="str">
        <f t="shared" si="80"/>
        <v>16-Jul-1894</v>
      </c>
      <c r="R171" s="16" t="str">
        <f t="shared" si="74"/>
        <v/>
      </c>
      <c r="S171" s="16" t="str">
        <f t="shared" si="74"/>
        <v/>
      </c>
      <c r="U171" s="46" t="str">
        <f t="shared" si="58"/>
        <v/>
      </c>
      <c r="V171" s="46">
        <f t="shared" si="58"/>
        <v>0</v>
      </c>
      <c r="W171" s="46" t="str">
        <f t="shared" si="58"/>
        <v/>
      </c>
      <c r="X171" s="46" t="str">
        <f t="shared" si="58"/>
        <v/>
      </c>
    </row>
    <row r="172" spans="2:24" x14ac:dyDescent="0.25">
      <c r="B172" s="11" t="str">
        <f t="shared" si="75"/>
        <v>AMST-20AUG1894</v>
      </c>
      <c r="C172" s="11" t="s">
        <v>2102</v>
      </c>
      <c r="D172" s="11" t="s">
        <v>3455</v>
      </c>
      <c r="F172" s="11" t="s">
        <v>1700</v>
      </c>
      <c r="G172" s="39" t="s">
        <v>2129</v>
      </c>
      <c r="H172" s="7">
        <v>0</v>
      </c>
      <c r="I172" s="7">
        <v>0</v>
      </c>
      <c r="J172" s="17">
        <v>1</v>
      </c>
      <c r="K172" s="17"/>
      <c r="L172" s="7">
        <f t="shared" si="79"/>
        <v>1</v>
      </c>
      <c r="M172" s="8">
        <v>1</v>
      </c>
      <c r="N172" s="8">
        <f t="shared" si="76"/>
        <v>1</v>
      </c>
      <c r="O172" s="11" t="s">
        <v>1702</v>
      </c>
      <c r="P172" s="16" t="str">
        <f t="shared" si="80"/>
        <v>20-Aug-1894</v>
      </c>
      <c r="R172" s="16" t="str">
        <f t="shared" si="74"/>
        <v>x</v>
      </c>
      <c r="S172" s="16" t="str">
        <f t="shared" si="74"/>
        <v>x</v>
      </c>
      <c r="U172" s="46" t="str">
        <f t="shared" si="58"/>
        <v/>
      </c>
      <c r="V172" s="46">
        <f t="shared" si="58"/>
        <v>1</v>
      </c>
      <c r="W172" s="46" t="str">
        <f t="shared" si="58"/>
        <v/>
      </c>
      <c r="X172" s="46" t="str">
        <f t="shared" si="58"/>
        <v/>
      </c>
    </row>
    <row r="173" spans="2:24" x14ac:dyDescent="0.25">
      <c r="B173" s="11" t="str">
        <f t="shared" si="75"/>
        <v>AMST-24SEP1894</v>
      </c>
      <c r="C173" s="11" t="s">
        <v>2102</v>
      </c>
      <c r="D173" s="11" t="s">
        <v>3455</v>
      </c>
      <c r="F173" s="11" t="s">
        <v>1700</v>
      </c>
      <c r="G173" s="39" t="s">
        <v>2130</v>
      </c>
      <c r="H173" s="7">
        <v>0</v>
      </c>
      <c r="I173" s="7">
        <v>0</v>
      </c>
      <c r="J173" s="17">
        <v>0</v>
      </c>
      <c r="K173" s="17"/>
      <c r="L173" s="7">
        <f t="shared" si="79"/>
        <v>0</v>
      </c>
      <c r="M173" s="8">
        <v>1</v>
      </c>
      <c r="N173" s="8" t="str">
        <f t="shared" si="76"/>
        <v/>
      </c>
      <c r="O173" s="11" t="s">
        <v>1702</v>
      </c>
      <c r="P173" s="16" t="str">
        <f t="shared" si="80"/>
        <v>24-Sep-1894</v>
      </c>
      <c r="R173" s="16" t="str">
        <f t="shared" si="74"/>
        <v/>
      </c>
      <c r="S173" s="16" t="str">
        <f t="shared" si="74"/>
        <v/>
      </c>
      <c r="U173" s="46" t="str">
        <f t="shared" si="58"/>
        <v/>
      </c>
      <c r="V173" s="46">
        <f t="shared" si="58"/>
        <v>0</v>
      </c>
      <c r="W173" s="46" t="str">
        <f t="shared" si="58"/>
        <v/>
      </c>
      <c r="X173" s="46" t="str">
        <f t="shared" si="58"/>
        <v/>
      </c>
    </row>
    <row r="174" spans="2:24" x14ac:dyDescent="0.25">
      <c r="B174" s="11" t="str">
        <f t="shared" si="75"/>
        <v>AMST-07NOV1894</v>
      </c>
      <c r="C174" s="11" t="s">
        <v>2102</v>
      </c>
      <c r="D174" s="11" t="s">
        <v>3455</v>
      </c>
      <c r="F174" s="11" t="s">
        <v>1700</v>
      </c>
      <c r="G174" s="39" t="s">
        <v>2131</v>
      </c>
      <c r="H174" s="7">
        <v>0</v>
      </c>
      <c r="I174" s="7">
        <v>0</v>
      </c>
      <c r="J174" s="17">
        <v>0</v>
      </c>
      <c r="K174" s="17"/>
      <c r="L174" s="7">
        <f t="shared" si="79"/>
        <v>0</v>
      </c>
      <c r="M174" s="8">
        <v>1</v>
      </c>
      <c r="N174" s="8" t="str">
        <f t="shared" si="76"/>
        <v/>
      </c>
      <c r="O174" s="11" t="s">
        <v>1702</v>
      </c>
      <c r="P174" s="16" t="str">
        <f t="shared" si="80"/>
        <v>07-Nov-1894</v>
      </c>
      <c r="R174" s="16" t="str">
        <f t="shared" si="74"/>
        <v/>
      </c>
      <c r="S174" s="16" t="str">
        <f t="shared" si="74"/>
        <v/>
      </c>
      <c r="U174" s="46" t="str">
        <f t="shared" si="58"/>
        <v/>
      </c>
      <c r="V174" s="46">
        <f t="shared" si="58"/>
        <v>0</v>
      </c>
      <c r="W174" s="46" t="str">
        <f t="shared" si="58"/>
        <v/>
      </c>
      <c r="X174" s="46" t="str">
        <f t="shared" si="58"/>
        <v/>
      </c>
    </row>
    <row r="175" spans="2:24" x14ac:dyDescent="0.25">
      <c r="B175" s="11" t="str">
        <f t="shared" si="75"/>
        <v>AMST-11DEC1894</v>
      </c>
      <c r="C175" s="11" t="s">
        <v>2102</v>
      </c>
      <c r="D175" s="11" t="s">
        <v>3455</v>
      </c>
      <c r="F175" s="11" t="s">
        <v>1700</v>
      </c>
      <c r="G175" s="39" t="s">
        <v>2132</v>
      </c>
      <c r="H175" s="7">
        <v>0</v>
      </c>
      <c r="I175" s="7">
        <v>0</v>
      </c>
      <c r="J175" s="17">
        <v>1</v>
      </c>
      <c r="K175" s="17"/>
      <c r="L175" s="7">
        <f t="shared" ref="L175:L184" si="81">SUM(H175:K175)</f>
        <v>1</v>
      </c>
      <c r="M175" s="8">
        <v>1</v>
      </c>
      <c r="N175" s="8">
        <f t="shared" si="76"/>
        <v>1</v>
      </c>
      <c r="O175" s="11" t="s">
        <v>1702</v>
      </c>
      <c r="P175" s="16" t="str">
        <f t="shared" ref="P175:P184" si="82">IF(LEN(G175)=10,CONCATENATE("0",G175),G175)</f>
        <v>11-Dec-1894</v>
      </c>
      <c r="R175" s="16" t="str">
        <f t="shared" si="74"/>
        <v>x</v>
      </c>
      <c r="S175" s="16" t="str">
        <f t="shared" si="74"/>
        <v>x</v>
      </c>
      <c r="U175" s="46" t="str">
        <f t="shared" si="58"/>
        <v/>
      </c>
      <c r="V175" s="46">
        <f t="shared" si="58"/>
        <v>1</v>
      </c>
      <c r="W175" s="46" t="str">
        <f t="shared" si="58"/>
        <v/>
      </c>
      <c r="X175" s="46" t="str">
        <f t="shared" si="58"/>
        <v/>
      </c>
    </row>
    <row r="176" spans="2:24" x14ac:dyDescent="0.25">
      <c r="B176" s="11" t="str">
        <f t="shared" si="75"/>
        <v>AMST-25JAN1895</v>
      </c>
      <c r="C176" s="11" t="s">
        <v>2102</v>
      </c>
      <c r="D176" s="11" t="s">
        <v>3455</v>
      </c>
      <c r="F176" s="11" t="s">
        <v>1700</v>
      </c>
      <c r="G176" s="39" t="s">
        <v>2133</v>
      </c>
      <c r="H176" s="7">
        <v>0</v>
      </c>
      <c r="I176" s="7">
        <v>0</v>
      </c>
      <c r="J176" s="17">
        <v>2</v>
      </c>
      <c r="K176" s="17"/>
      <c r="L176" s="7">
        <f t="shared" si="81"/>
        <v>2</v>
      </c>
      <c r="M176" s="8">
        <v>1</v>
      </c>
      <c r="N176" s="8">
        <f t="shared" si="76"/>
        <v>1</v>
      </c>
      <c r="O176" s="11" t="s">
        <v>1702</v>
      </c>
      <c r="P176" s="16" t="str">
        <f t="shared" si="82"/>
        <v>25-Jan-1895</v>
      </c>
      <c r="R176" s="16" t="str">
        <f t="shared" si="74"/>
        <v>x</v>
      </c>
      <c r="S176" s="16" t="str">
        <f t="shared" si="74"/>
        <v>x</v>
      </c>
      <c r="U176" s="46" t="str">
        <f t="shared" si="58"/>
        <v/>
      </c>
      <c r="V176" s="46">
        <f t="shared" si="58"/>
        <v>2</v>
      </c>
      <c r="W176" s="46" t="str">
        <f t="shared" si="58"/>
        <v/>
      </c>
      <c r="X176" s="46" t="str">
        <f t="shared" si="58"/>
        <v/>
      </c>
    </row>
    <row r="177" spans="2:24" x14ac:dyDescent="0.25">
      <c r="B177" s="11" t="str">
        <f t="shared" si="75"/>
        <v>AMST-13MAR1895</v>
      </c>
      <c r="C177" s="11" t="s">
        <v>2102</v>
      </c>
      <c r="D177" s="11" t="s">
        <v>3455</v>
      </c>
      <c r="F177" s="11" t="s">
        <v>1700</v>
      </c>
      <c r="G177" s="39" t="s">
        <v>2134</v>
      </c>
      <c r="H177" s="7">
        <v>0</v>
      </c>
      <c r="I177" s="7">
        <v>0</v>
      </c>
      <c r="J177" s="17">
        <v>0</v>
      </c>
      <c r="K177" s="17"/>
      <c r="L177" s="7">
        <f t="shared" si="81"/>
        <v>0</v>
      </c>
      <c r="M177" s="8">
        <v>1</v>
      </c>
      <c r="N177" s="8" t="str">
        <f t="shared" si="76"/>
        <v/>
      </c>
      <c r="O177" s="11" t="s">
        <v>1702</v>
      </c>
      <c r="P177" s="16" t="str">
        <f t="shared" si="82"/>
        <v>13-Mar-1895</v>
      </c>
      <c r="R177" s="16" t="str">
        <f t="shared" si="74"/>
        <v/>
      </c>
      <c r="S177" s="16" t="str">
        <f t="shared" si="74"/>
        <v/>
      </c>
      <c r="U177" s="46" t="str">
        <f t="shared" si="58"/>
        <v/>
      </c>
      <c r="V177" s="46">
        <f t="shared" si="58"/>
        <v>0</v>
      </c>
      <c r="W177" s="46" t="str">
        <f t="shared" si="58"/>
        <v/>
      </c>
      <c r="X177" s="46" t="str">
        <f t="shared" si="58"/>
        <v/>
      </c>
    </row>
    <row r="178" spans="2:24" x14ac:dyDescent="0.25">
      <c r="B178" s="11" t="str">
        <f t="shared" si="75"/>
        <v>AMST-22APR1895</v>
      </c>
      <c r="C178" s="11" t="s">
        <v>2102</v>
      </c>
      <c r="D178" s="11" t="s">
        <v>3455</v>
      </c>
      <c r="F178" s="11" t="s">
        <v>1700</v>
      </c>
      <c r="G178" s="39" t="s">
        <v>2135</v>
      </c>
      <c r="H178" s="7">
        <v>0</v>
      </c>
      <c r="I178" s="7">
        <v>0</v>
      </c>
      <c r="J178" s="17">
        <v>5</v>
      </c>
      <c r="K178" s="17"/>
      <c r="L178" s="7">
        <f t="shared" si="81"/>
        <v>5</v>
      </c>
      <c r="M178" s="8">
        <v>1</v>
      </c>
      <c r="N178" s="8">
        <f t="shared" si="76"/>
        <v>1</v>
      </c>
      <c r="O178" s="11" t="s">
        <v>1702</v>
      </c>
      <c r="P178" s="16" t="str">
        <f t="shared" si="82"/>
        <v>22-Apr-1895</v>
      </c>
      <c r="R178" s="16" t="str">
        <f t="shared" si="74"/>
        <v>x</v>
      </c>
      <c r="S178" s="16" t="str">
        <f t="shared" si="74"/>
        <v>x</v>
      </c>
      <c r="U178" s="46" t="str">
        <f t="shared" si="58"/>
        <v/>
      </c>
      <c r="V178" s="46">
        <f t="shared" si="58"/>
        <v>5</v>
      </c>
      <c r="W178" s="46" t="str">
        <f t="shared" si="58"/>
        <v/>
      </c>
      <c r="X178" s="46" t="str">
        <f t="shared" si="58"/>
        <v/>
      </c>
    </row>
    <row r="179" spans="2:24" x14ac:dyDescent="0.25">
      <c r="B179" s="11" t="str">
        <f t="shared" si="75"/>
        <v>AMST-27MAY1895</v>
      </c>
      <c r="C179" s="11" t="s">
        <v>2102</v>
      </c>
      <c r="D179" s="11" t="s">
        <v>3455</v>
      </c>
      <c r="F179" s="11" t="s">
        <v>1700</v>
      </c>
      <c r="G179" s="39" t="s">
        <v>2136</v>
      </c>
      <c r="H179" s="7">
        <v>0</v>
      </c>
      <c r="I179" s="7">
        <v>0</v>
      </c>
      <c r="J179" s="17">
        <v>1</v>
      </c>
      <c r="K179" s="17"/>
      <c r="L179" s="7">
        <f t="shared" si="81"/>
        <v>1</v>
      </c>
      <c r="M179" s="8">
        <v>1</v>
      </c>
      <c r="N179" s="8">
        <f t="shared" si="76"/>
        <v>1</v>
      </c>
      <c r="O179" s="11" t="s">
        <v>1702</v>
      </c>
      <c r="P179" s="16" t="str">
        <f t="shared" si="82"/>
        <v>27-May-1895</v>
      </c>
      <c r="R179" s="16" t="str">
        <f t="shared" si="74"/>
        <v>x</v>
      </c>
      <c r="S179" s="16" t="str">
        <f t="shared" si="74"/>
        <v>x</v>
      </c>
      <c r="U179" s="46" t="str">
        <f t="shared" si="58"/>
        <v/>
      </c>
      <c r="V179" s="46">
        <f t="shared" si="58"/>
        <v>1</v>
      </c>
      <c r="W179" s="46" t="str">
        <f t="shared" si="58"/>
        <v/>
      </c>
      <c r="X179" s="46" t="str">
        <f t="shared" si="58"/>
        <v/>
      </c>
    </row>
    <row r="180" spans="2:24" x14ac:dyDescent="0.25">
      <c r="B180" s="11" t="str">
        <f t="shared" si="75"/>
        <v>AMST-01JUL1895</v>
      </c>
      <c r="C180" s="11" t="s">
        <v>2102</v>
      </c>
      <c r="D180" s="11" t="s">
        <v>3455</v>
      </c>
      <c r="F180" s="11" t="s">
        <v>1700</v>
      </c>
      <c r="G180" s="39" t="s">
        <v>2137</v>
      </c>
      <c r="H180" s="7">
        <v>0</v>
      </c>
      <c r="I180" s="7">
        <v>0</v>
      </c>
      <c r="J180" s="17">
        <v>0</v>
      </c>
      <c r="K180" s="17"/>
      <c r="L180" s="7">
        <f t="shared" si="81"/>
        <v>0</v>
      </c>
      <c r="M180" s="8">
        <v>1</v>
      </c>
      <c r="N180" s="8" t="str">
        <f t="shared" si="76"/>
        <v/>
      </c>
      <c r="O180" s="11" t="s">
        <v>1702</v>
      </c>
      <c r="P180" s="16" t="str">
        <f t="shared" si="82"/>
        <v>01-Jul-1895</v>
      </c>
      <c r="R180" s="16" t="str">
        <f t="shared" si="74"/>
        <v/>
      </c>
      <c r="S180" s="16" t="str">
        <f t="shared" si="74"/>
        <v/>
      </c>
      <c r="U180" s="46" t="str">
        <f t="shared" si="58"/>
        <v/>
      </c>
      <c r="V180" s="46">
        <f t="shared" si="58"/>
        <v>0</v>
      </c>
      <c r="W180" s="46" t="str">
        <f t="shared" si="58"/>
        <v/>
      </c>
      <c r="X180" s="46" t="str">
        <f t="shared" si="58"/>
        <v/>
      </c>
    </row>
    <row r="181" spans="2:24" x14ac:dyDescent="0.25">
      <c r="B181" s="11" t="str">
        <f t="shared" si="75"/>
        <v>AMST-05AUG1895</v>
      </c>
      <c r="C181" s="11" t="s">
        <v>2102</v>
      </c>
      <c r="D181" s="11" t="s">
        <v>3455</v>
      </c>
      <c r="F181" s="11" t="s">
        <v>1700</v>
      </c>
      <c r="G181" s="39" t="s">
        <v>2138</v>
      </c>
      <c r="H181" s="7">
        <v>0</v>
      </c>
      <c r="I181" s="7">
        <v>0</v>
      </c>
      <c r="J181" s="17">
        <v>0</v>
      </c>
      <c r="K181" s="17"/>
      <c r="L181" s="7">
        <f t="shared" si="81"/>
        <v>0</v>
      </c>
      <c r="M181" s="8">
        <v>1</v>
      </c>
      <c r="N181" s="8" t="str">
        <f t="shared" si="76"/>
        <v/>
      </c>
      <c r="O181" s="11" t="s">
        <v>1702</v>
      </c>
      <c r="P181" s="16" t="str">
        <f t="shared" si="82"/>
        <v>05-Aug-1895</v>
      </c>
      <c r="R181" s="16" t="str">
        <f t="shared" si="74"/>
        <v/>
      </c>
      <c r="S181" s="16" t="str">
        <f t="shared" si="74"/>
        <v/>
      </c>
      <c r="U181" s="46" t="str">
        <f t="shared" si="58"/>
        <v/>
      </c>
      <c r="V181" s="46">
        <f t="shared" si="58"/>
        <v>0</v>
      </c>
      <c r="W181" s="46" t="str">
        <f t="shared" si="58"/>
        <v/>
      </c>
      <c r="X181" s="46" t="str">
        <f t="shared" si="58"/>
        <v/>
      </c>
    </row>
    <row r="182" spans="2:24" x14ac:dyDescent="0.25">
      <c r="B182" s="11" t="str">
        <f t="shared" si="75"/>
        <v>AMST-09SEP1895</v>
      </c>
      <c r="C182" s="11" t="s">
        <v>2102</v>
      </c>
      <c r="D182" s="11" t="s">
        <v>3455</v>
      </c>
      <c r="F182" s="11" t="s">
        <v>1700</v>
      </c>
      <c r="G182" s="39" t="s">
        <v>2139</v>
      </c>
      <c r="H182" s="7">
        <v>0</v>
      </c>
      <c r="I182" s="7">
        <v>0</v>
      </c>
      <c r="J182" s="17">
        <v>4</v>
      </c>
      <c r="K182" s="17"/>
      <c r="L182" s="7">
        <f t="shared" si="81"/>
        <v>4</v>
      </c>
      <c r="M182" s="8">
        <v>1</v>
      </c>
      <c r="N182" s="8">
        <f t="shared" si="76"/>
        <v>1</v>
      </c>
      <c r="O182" s="11" t="s">
        <v>1702</v>
      </c>
      <c r="P182" s="16" t="str">
        <f t="shared" si="82"/>
        <v>09-Sep-1895</v>
      </c>
      <c r="R182" s="16" t="str">
        <f t="shared" si="74"/>
        <v>x</v>
      </c>
      <c r="S182" s="16" t="str">
        <f t="shared" si="74"/>
        <v>x</v>
      </c>
      <c r="U182" s="46" t="str">
        <f t="shared" si="58"/>
        <v/>
      </c>
      <c r="V182" s="46">
        <f t="shared" si="58"/>
        <v>4</v>
      </c>
      <c r="W182" s="46" t="str">
        <f t="shared" si="58"/>
        <v/>
      </c>
      <c r="X182" s="46" t="str">
        <f t="shared" si="58"/>
        <v/>
      </c>
    </row>
    <row r="183" spans="2:24" x14ac:dyDescent="0.25">
      <c r="B183" s="11" t="str">
        <f t="shared" si="75"/>
        <v>AMST-17OCT1895</v>
      </c>
      <c r="C183" s="11" t="s">
        <v>2102</v>
      </c>
      <c r="D183" s="11" t="s">
        <v>3455</v>
      </c>
      <c r="F183" s="11" t="s">
        <v>1700</v>
      </c>
      <c r="G183" s="39" t="s">
        <v>2140</v>
      </c>
      <c r="H183" s="7">
        <v>0</v>
      </c>
      <c r="I183" s="7">
        <v>0</v>
      </c>
      <c r="J183" s="17">
        <v>15</v>
      </c>
      <c r="K183" s="17"/>
      <c r="L183" s="7">
        <f t="shared" si="81"/>
        <v>15</v>
      </c>
      <c r="M183" s="8">
        <v>1</v>
      </c>
      <c r="N183" s="8">
        <f t="shared" si="76"/>
        <v>1</v>
      </c>
      <c r="O183" s="11" t="s">
        <v>1702</v>
      </c>
      <c r="P183" s="16" t="str">
        <f t="shared" si="82"/>
        <v>17-Oct-1895</v>
      </c>
      <c r="R183" s="16" t="str">
        <f t="shared" si="74"/>
        <v>x</v>
      </c>
      <c r="S183" s="16" t="str">
        <f t="shared" si="74"/>
        <v>x</v>
      </c>
      <c r="U183" s="46" t="str">
        <f t="shared" si="58"/>
        <v/>
      </c>
      <c r="V183" s="46">
        <f t="shared" si="58"/>
        <v>15</v>
      </c>
      <c r="W183" s="46" t="str">
        <f t="shared" si="58"/>
        <v/>
      </c>
      <c r="X183" s="46" t="str">
        <f t="shared" si="58"/>
        <v/>
      </c>
    </row>
    <row r="184" spans="2:24" x14ac:dyDescent="0.25">
      <c r="B184" s="11" t="str">
        <f t="shared" si="75"/>
        <v>AMST-20NOV1895</v>
      </c>
      <c r="C184" s="11" t="s">
        <v>2102</v>
      </c>
      <c r="D184" s="11" t="s">
        <v>3455</v>
      </c>
      <c r="F184" s="11" t="s">
        <v>1700</v>
      </c>
      <c r="G184" s="39" t="s">
        <v>2141</v>
      </c>
      <c r="H184" s="7">
        <v>0</v>
      </c>
      <c r="I184" s="7">
        <v>0</v>
      </c>
      <c r="J184" s="17">
        <v>0</v>
      </c>
      <c r="K184" s="17"/>
      <c r="L184" s="7">
        <f t="shared" si="81"/>
        <v>0</v>
      </c>
      <c r="M184" s="8">
        <v>1</v>
      </c>
      <c r="N184" s="8" t="str">
        <f t="shared" si="76"/>
        <v/>
      </c>
      <c r="O184" s="11" t="s">
        <v>1702</v>
      </c>
      <c r="P184" s="16" t="str">
        <f t="shared" si="82"/>
        <v>20-Nov-1895</v>
      </c>
      <c r="R184" s="16" t="str">
        <f t="shared" si="74"/>
        <v/>
      </c>
      <c r="S184" s="16" t="str">
        <f t="shared" si="74"/>
        <v/>
      </c>
      <c r="U184" s="46" t="str">
        <f t="shared" si="58"/>
        <v/>
      </c>
      <c r="V184" s="46">
        <f t="shared" si="58"/>
        <v>0</v>
      </c>
      <c r="W184" s="46" t="str">
        <f t="shared" si="58"/>
        <v/>
      </c>
      <c r="X184" s="46" t="str">
        <f t="shared" si="58"/>
        <v/>
      </c>
    </row>
    <row r="185" spans="2:24" x14ac:dyDescent="0.25">
      <c r="B185" s="11" t="str">
        <f t="shared" si="75"/>
        <v>AMST-24DEC1895</v>
      </c>
      <c r="C185" s="11" t="s">
        <v>2102</v>
      </c>
      <c r="D185" s="11" t="s">
        <v>3455</v>
      </c>
      <c r="F185" s="11" t="s">
        <v>1700</v>
      </c>
      <c r="G185" s="39" t="s">
        <v>2142</v>
      </c>
      <c r="H185" s="7">
        <v>0</v>
      </c>
      <c r="I185" s="7">
        <v>0</v>
      </c>
      <c r="J185" s="17">
        <v>0</v>
      </c>
      <c r="K185" s="17"/>
      <c r="L185" s="7">
        <f t="shared" ref="L185:L197" si="83">SUM(H185:K185)</f>
        <v>0</v>
      </c>
      <c r="M185" s="8">
        <v>1</v>
      </c>
      <c r="N185" s="8" t="str">
        <f t="shared" si="76"/>
        <v/>
      </c>
      <c r="O185" s="11" t="s">
        <v>1702</v>
      </c>
      <c r="P185" s="16" t="str">
        <f t="shared" ref="P185:P197" si="84">IF(LEN(G185)=10,CONCATENATE("0",G185),G185)</f>
        <v>24-Dec-1895</v>
      </c>
      <c r="R185" s="16" t="str">
        <f t="shared" si="74"/>
        <v/>
      </c>
      <c r="S185" s="16" t="str">
        <f t="shared" si="74"/>
        <v/>
      </c>
      <c r="U185" s="46" t="str">
        <f t="shared" si="58"/>
        <v/>
      </c>
      <c r="V185" s="46">
        <f t="shared" si="58"/>
        <v>0</v>
      </c>
      <c r="W185" s="46" t="str">
        <f t="shared" si="58"/>
        <v/>
      </c>
      <c r="X185" s="46" t="str">
        <f t="shared" si="58"/>
        <v/>
      </c>
    </row>
    <row r="186" spans="2:24" x14ac:dyDescent="0.25">
      <c r="B186" s="11" t="str">
        <f t="shared" si="75"/>
        <v>AMST-05FEB1896</v>
      </c>
      <c r="C186" s="11" t="s">
        <v>2102</v>
      </c>
      <c r="D186" s="11" t="s">
        <v>3455</v>
      </c>
      <c r="F186" s="11" t="s">
        <v>1700</v>
      </c>
      <c r="G186" s="39" t="s">
        <v>2143</v>
      </c>
      <c r="H186" s="7">
        <v>0</v>
      </c>
      <c r="I186" s="7">
        <v>0</v>
      </c>
      <c r="J186" s="17">
        <v>0</v>
      </c>
      <c r="K186" s="17"/>
      <c r="L186" s="7">
        <f t="shared" si="83"/>
        <v>0</v>
      </c>
      <c r="M186" s="8">
        <v>1</v>
      </c>
      <c r="N186" s="8" t="str">
        <f t="shared" si="76"/>
        <v/>
      </c>
      <c r="O186" s="11" t="s">
        <v>1702</v>
      </c>
      <c r="P186" s="16" t="str">
        <f t="shared" si="84"/>
        <v>05-Feb-1896</v>
      </c>
      <c r="R186" s="16" t="str">
        <f t="shared" si="74"/>
        <v/>
      </c>
      <c r="S186" s="16" t="str">
        <f t="shared" si="74"/>
        <v/>
      </c>
      <c r="U186" s="46" t="str">
        <f t="shared" si="58"/>
        <v/>
      </c>
      <c r="V186" s="46">
        <f t="shared" si="58"/>
        <v>0</v>
      </c>
      <c r="W186" s="46" t="str">
        <f t="shared" si="58"/>
        <v/>
      </c>
      <c r="X186" s="46" t="str">
        <f t="shared" si="58"/>
        <v/>
      </c>
    </row>
    <row r="187" spans="2:24" x14ac:dyDescent="0.25">
      <c r="B187" s="11" t="str">
        <f t="shared" si="75"/>
        <v>AMST-10MAR1896</v>
      </c>
      <c r="C187" s="11" t="s">
        <v>2102</v>
      </c>
      <c r="D187" s="11" t="s">
        <v>3455</v>
      </c>
      <c r="F187" s="11" t="s">
        <v>1700</v>
      </c>
      <c r="G187" s="39" t="s">
        <v>2144</v>
      </c>
      <c r="H187" s="7">
        <v>0</v>
      </c>
      <c r="I187" s="7">
        <v>0</v>
      </c>
      <c r="J187" s="17">
        <v>0</v>
      </c>
      <c r="K187" s="17"/>
      <c r="L187" s="7">
        <f t="shared" si="83"/>
        <v>0</v>
      </c>
      <c r="M187" s="8">
        <v>1</v>
      </c>
      <c r="N187" s="8" t="str">
        <f t="shared" si="76"/>
        <v/>
      </c>
      <c r="O187" s="11" t="s">
        <v>1702</v>
      </c>
      <c r="P187" s="16" t="str">
        <f t="shared" si="84"/>
        <v>10-Mar-1896</v>
      </c>
      <c r="R187" s="16" t="str">
        <f t="shared" si="74"/>
        <v/>
      </c>
      <c r="S187" s="16" t="str">
        <f t="shared" si="74"/>
        <v/>
      </c>
      <c r="U187" s="46" t="str">
        <f t="shared" si="58"/>
        <v/>
      </c>
      <c r="V187" s="46">
        <f t="shared" si="58"/>
        <v>0</v>
      </c>
      <c r="W187" s="46" t="str">
        <f t="shared" si="58"/>
        <v/>
      </c>
      <c r="X187" s="46" t="str">
        <f t="shared" si="58"/>
        <v/>
      </c>
    </row>
    <row r="188" spans="2:24" x14ac:dyDescent="0.25">
      <c r="B188" s="11" t="str">
        <f t="shared" si="75"/>
        <v>AMST-14APR1896</v>
      </c>
      <c r="C188" s="11" t="s">
        <v>2102</v>
      </c>
      <c r="D188" s="11" t="s">
        <v>3455</v>
      </c>
      <c r="F188" s="11" t="s">
        <v>1700</v>
      </c>
      <c r="G188" s="39" t="s">
        <v>2145</v>
      </c>
      <c r="H188" s="7">
        <v>0</v>
      </c>
      <c r="I188" s="7">
        <v>0</v>
      </c>
      <c r="J188" s="17">
        <v>0</v>
      </c>
      <c r="K188" s="17"/>
      <c r="L188" s="7">
        <f t="shared" si="83"/>
        <v>0</v>
      </c>
      <c r="M188" s="8">
        <v>1</v>
      </c>
      <c r="N188" s="8" t="str">
        <f t="shared" si="76"/>
        <v/>
      </c>
      <c r="O188" s="11" t="s">
        <v>1702</v>
      </c>
      <c r="P188" s="16" t="str">
        <f t="shared" si="84"/>
        <v>14-Apr-1896</v>
      </c>
      <c r="R188" s="16" t="str">
        <f t="shared" si="74"/>
        <v/>
      </c>
      <c r="S188" s="16" t="str">
        <f t="shared" si="74"/>
        <v/>
      </c>
      <c r="U188" s="46" t="str">
        <f t="shared" si="58"/>
        <v/>
      </c>
      <c r="V188" s="46">
        <f t="shared" si="58"/>
        <v>0</v>
      </c>
      <c r="W188" s="46" t="str">
        <f t="shared" si="58"/>
        <v/>
      </c>
      <c r="X188" s="46" t="str">
        <f t="shared" si="58"/>
        <v/>
      </c>
    </row>
    <row r="189" spans="2:24" x14ac:dyDescent="0.25">
      <c r="B189" s="11" t="str">
        <f t="shared" si="75"/>
        <v>AMST-18MAY1896</v>
      </c>
      <c r="C189" s="11" t="s">
        <v>2102</v>
      </c>
      <c r="D189" s="11" t="s">
        <v>3455</v>
      </c>
      <c r="F189" s="11" t="s">
        <v>1700</v>
      </c>
      <c r="G189" s="39" t="s">
        <v>2146</v>
      </c>
      <c r="H189" s="7">
        <v>0</v>
      </c>
      <c r="I189" s="7">
        <v>0</v>
      </c>
      <c r="J189" s="17">
        <v>7</v>
      </c>
      <c r="K189" s="17"/>
      <c r="L189" s="7">
        <f t="shared" si="83"/>
        <v>7</v>
      </c>
      <c r="M189" s="8">
        <v>1</v>
      </c>
      <c r="N189" s="8">
        <f t="shared" si="76"/>
        <v>1</v>
      </c>
      <c r="O189" s="11" t="s">
        <v>1702</v>
      </c>
      <c r="P189" s="16" t="str">
        <f t="shared" si="84"/>
        <v>18-May-1896</v>
      </c>
      <c r="R189" s="16" t="str">
        <f t="shared" si="74"/>
        <v>x</v>
      </c>
      <c r="S189" s="16" t="str">
        <f t="shared" si="74"/>
        <v>x</v>
      </c>
      <c r="U189" s="46" t="str">
        <f t="shared" si="58"/>
        <v/>
      </c>
      <c r="V189" s="46">
        <f t="shared" si="58"/>
        <v>7</v>
      </c>
      <c r="W189" s="46" t="str">
        <f t="shared" si="58"/>
        <v/>
      </c>
      <c r="X189" s="46" t="str">
        <f t="shared" si="58"/>
        <v/>
      </c>
    </row>
    <row r="190" spans="2:24" x14ac:dyDescent="0.25">
      <c r="B190" s="11" t="str">
        <f t="shared" si="75"/>
        <v>AMST-23JUN1896</v>
      </c>
      <c r="C190" s="11" t="s">
        <v>2102</v>
      </c>
      <c r="D190" s="11" t="s">
        <v>3455</v>
      </c>
      <c r="F190" s="11" t="s">
        <v>1700</v>
      </c>
      <c r="G190" s="39" t="s">
        <v>2147</v>
      </c>
      <c r="H190" s="7">
        <v>0</v>
      </c>
      <c r="I190" s="7">
        <v>0</v>
      </c>
      <c r="J190" s="17">
        <v>4</v>
      </c>
      <c r="K190" s="17"/>
      <c r="L190" s="7">
        <f t="shared" si="83"/>
        <v>4</v>
      </c>
      <c r="M190" s="8">
        <v>1</v>
      </c>
      <c r="N190" s="8">
        <f t="shared" si="76"/>
        <v>1</v>
      </c>
      <c r="O190" s="11" t="s">
        <v>1702</v>
      </c>
      <c r="P190" s="16" t="str">
        <f t="shared" si="84"/>
        <v>23-Jun-1896</v>
      </c>
      <c r="R190" s="16" t="str">
        <f t="shared" si="74"/>
        <v>x</v>
      </c>
      <c r="S190" s="16" t="str">
        <f t="shared" si="74"/>
        <v>x</v>
      </c>
      <c r="U190" s="46" t="str">
        <f t="shared" si="58"/>
        <v/>
      </c>
      <c r="V190" s="46">
        <f t="shared" si="58"/>
        <v>4</v>
      </c>
      <c r="W190" s="46" t="str">
        <f t="shared" si="58"/>
        <v/>
      </c>
      <c r="X190" s="46" t="str">
        <f t="shared" si="58"/>
        <v/>
      </c>
    </row>
    <row r="191" spans="2:24" x14ac:dyDescent="0.25">
      <c r="B191" s="11" t="str">
        <f t="shared" si="75"/>
        <v>AMST-27JUL1896</v>
      </c>
      <c r="C191" s="11" t="s">
        <v>2102</v>
      </c>
      <c r="D191" s="11" t="s">
        <v>3455</v>
      </c>
      <c r="F191" s="11" t="s">
        <v>1700</v>
      </c>
      <c r="G191" s="39" t="s">
        <v>2148</v>
      </c>
      <c r="H191" s="7">
        <v>0</v>
      </c>
      <c r="I191" s="7">
        <v>0</v>
      </c>
      <c r="J191" s="17">
        <v>10</v>
      </c>
      <c r="K191" s="17"/>
      <c r="L191" s="7">
        <f t="shared" si="83"/>
        <v>10</v>
      </c>
      <c r="M191" s="8">
        <v>1</v>
      </c>
      <c r="N191" s="8">
        <f t="shared" si="76"/>
        <v>1</v>
      </c>
      <c r="O191" s="11" t="s">
        <v>1702</v>
      </c>
      <c r="P191" s="16" t="str">
        <f t="shared" si="84"/>
        <v>27-Jul-1896</v>
      </c>
      <c r="R191" s="16" t="str">
        <f t="shared" si="74"/>
        <v>x</v>
      </c>
      <c r="S191" s="16" t="str">
        <f t="shared" si="74"/>
        <v>x</v>
      </c>
      <c r="U191" s="46" t="str">
        <f t="shared" si="58"/>
        <v/>
      </c>
      <c r="V191" s="46">
        <f t="shared" si="58"/>
        <v>10</v>
      </c>
      <c r="W191" s="46" t="str">
        <f t="shared" si="58"/>
        <v/>
      </c>
      <c r="X191" s="46" t="str">
        <f t="shared" si="58"/>
        <v/>
      </c>
    </row>
    <row r="192" spans="2:24" x14ac:dyDescent="0.25">
      <c r="B192" s="11" t="str">
        <f t="shared" si="75"/>
        <v>AMST-31AUG1896</v>
      </c>
      <c r="C192" s="11" t="s">
        <v>2102</v>
      </c>
      <c r="D192" s="11" t="s">
        <v>3455</v>
      </c>
      <c r="F192" s="11" t="s">
        <v>1700</v>
      </c>
      <c r="G192" s="39" t="s">
        <v>2149</v>
      </c>
      <c r="H192" s="7">
        <v>0</v>
      </c>
      <c r="I192" s="7">
        <v>0</v>
      </c>
      <c r="J192" s="17">
        <v>7</v>
      </c>
      <c r="K192" s="17"/>
      <c r="L192" s="7">
        <f t="shared" si="83"/>
        <v>7</v>
      </c>
      <c r="M192" s="8">
        <v>1</v>
      </c>
      <c r="N192" s="8">
        <f t="shared" si="76"/>
        <v>1</v>
      </c>
      <c r="O192" s="11" t="s">
        <v>1702</v>
      </c>
      <c r="P192" s="16" t="str">
        <f t="shared" si="84"/>
        <v>31-Aug-1896</v>
      </c>
      <c r="R192" s="16" t="str">
        <f t="shared" si="74"/>
        <v>x</v>
      </c>
      <c r="S192" s="16" t="str">
        <f t="shared" si="74"/>
        <v>x</v>
      </c>
      <c r="U192" s="46" t="str">
        <f t="shared" si="58"/>
        <v/>
      </c>
      <c r="V192" s="46">
        <f t="shared" si="58"/>
        <v>7</v>
      </c>
      <c r="W192" s="46" t="str">
        <f t="shared" si="58"/>
        <v/>
      </c>
      <c r="X192" s="46" t="str">
        <f t="shared" si="58"/>
        <v/>
      </c>
    </row>
    <row r="193" spans="2:24" x14ac:dyDescent="0.25">
      <c r="B193" s="11" t="str">
        <f t="shared" si="75"/>
        <v>AMST-07OCT1896</v>
      </c>
      <c r="C193" s="11" t="s">
        <v>2102</v>
      </c>
      <c r="D193" s="11" t="s">
        <v>3455</v>
      </c>
      <c r="F193" s="11" t="s">
        <v>1700</v>
      </c>
      <c r="G193" s="39" t="s">
        <v>2150</v>
      </c>
      <c r="H193" s="7">
        <v>0</v>
      </c>
      <c r="I193" s="7">
        <v>2</v>
      </c>
      <c r="J193" s="17">
        <v>20</v>
      </c>
      <c r="K193" s="17"/>
      <c r="L193" s="7">
        <f t="shared" si="83"/>
        <v>22</v>
      </c>
      <c r="M193" s="8">
        <v>1</v>
      </c>
      <c r="N193" s="8">
        <f t="shared" si="76"/>
        <v>1</v>
      </c>
      <c r="O193" s="11" t="s">
        <v>1702</v>
      </c>
      <c r="P193" s="16" t="str">
        <f t="shared" si="84"/>
        <v>07-Oct-1896</v>
      </c>
      <c r="R193" s="16" t="str">
        <f t="shared" si="74"/>
        <v>x</v>
      </c>
      <c r="S193" s="16" t="str">
        <f t="shared" si="74"/>
        <v>x</v>
      </c>
      <c r="U193" s="46" t="str">
        <f t="shared" si="58"/>
        <v/>
      </c>
      <c r="V193" s="46">
        <f t="shared" si="58"/>
        <v>22</v>
      </c>
      <c r="W193" s="46" t="str">
        <f t="shared" si="58"/>
        <v/>
      </c>
      <c r="X193" s="46" t="str">
        <f t="shared" si="58"/>
        <v/>
      </c>
    </row>
    <row r="194" spans="2:24" x14ac:dyDescent="0.25">
      <c r="B194" s="11" t="str">
        <f t="shared" si="75"/>
        <v>AMST-01DEC1896</v>
      </c>
      <c r="C194" s="11" t="s">
        <v>2102</v>
      </c>
      <c r="D194" s="11" t="s">
        <v>3455</v>
      </c>
      <c r="F194" s="11" t="s">
        <v>1700</v>
      </c>
      <c r="G194" s="39" t="s">
        <v>2151</v>
      </c>
      <c r="H194" s="7">
        <v>0</v>
      </c>
      <c r="I194" s="7">
        <v>0</v>
      </c>
      <c r="J194" s="17">
        <v>0</v>
      </c>
      <c r="K194" s="17"/>
      <c r="L194" s="7">
        <f t="shared" si="83"/>
        <v>0</v>
      </c>
      <c r="M194" s="8">
        <v>1</v>
      </c>
      <c r="N194" s="8" t="str">
        <f t="shared" si="76"/>
        <v/>
      </c>
      <c r="O194" s="11" t="s">
        <v>1702</v>
      </c>
      <c r="P194" s="16" t="str">
        <f t="shared" si="84"/>
        <v>01-Dec-1896</v>
      </c>
      <c r="R194" s="16" t="str">
        <f t="shared" si="74"/>
        <v/>
      </c>
      <c r="S194" s="16" t="str">
        <f t="shared" si="74"/>
        <v/>
      </c>
      <c r="U194" s="46" t="str">
        <f t="shared" si="58"/>
        <v/>
      </c>
      <c r="V194" s="46">
        <f t="shared" si="58"/>
        <v>0</v>
      </c>
      <c r="W194" s="46" t="str">
        <f t="shared" si="58"/>
        <v/>
      </c>
      <c r="X194" s="46" t="str">
        <f t="shared" si="58"/>
        <v/>
      </c>
    </row>
    <row r="195" spans="2:24" x14ac:dyDescent="0.25">
      <c r="B195" s="11" t="str">
        <f t="shared" si="75"/>
        <v>AMST-12JAN1897</v>
      </c>
      <c r="C195" s="11" t="s">
        <v>2102</v>
      </c>
      <c r="D195" s="11" t="s">
        <v>3455</v>
      </c>
      <c r="F195" s="11" t="s">
        <v>1700</v>
      </c>
      <c r="G195" s="39" t="s">
        <v>2152</v>
      </c>
      <c r="H195" s="7">
        <v>0</v>
      </c>
      <c r="I195" s="7">
        <v>0</v>
      </c>
      <c r="J195" s="17">
        <v>0</v>
      </c>
      <c r="K195" s="17"/>
      <c r="L195" s="7">
        <f t="shared" si="83"/>
        <v>0</v>
      </c>
      <c r="M195" s="8">
        <v>1</v>
      </c>
      <c r="N195" s="8" t="str">
        <f t="shared" si="76"/>
        <v/>
      </c>
      <c r="O195" s="11" t="s">
        <v>1702</v>
      </c>
      <c r="P195" s="16" t="str">
        <f t="shared" si="84"/>
        <v>12-Jan-1897</v>
      </c>
      <c r="R195" s="16" t="str">
        <f t="shared" si="74"/>
        <v/>
      </c>
      <c r="S195" s="16" t="str">
        <f t="shared" si="74"/>
        <v/>
      </c>
      <c r="U195" s="46" t="str">
        <f t="shared" si="58"/>
        <v/>
      </c>
      <c r="V195" s="46">
        <f t="shared" si="58"/>
        <v>0</v>
      </c>
      <c r="W195" s="46" t="str">
        <f t="shared" si="58"/>
        <v/>
      </c>
      <c r="X195" s="46" t="str">
        <f t="shared" si="58"/>
        <v/>
      </c>
    </row>
    <row r="196" spans="2:24" x14ac:dyDescent="0.25">
      <c r="B196" s="11" t="str">
        <f t="shared" si="75"/>
        <v>AMST-03MAR1897</v>
      </c>
      <c r="C196" s="11" t="s">
        <v>2102</v>
      </c>
      <c r="D196" s="11" t="s">
        <v>3455</v>
      </c>
      <c r="F196" s="11" t="s">
        <v>1700</v>
      </c>
      <c r="G196" s="39" t="s">
        <v>2153</v>
      </c>
      <c r="H196" s="7">
        <v>0</v>
      </c>
      <c r="I196" s="7">
        <v>0</v>
      </c>
      <c r="J196" s="17">
        <v>0</v>
      </c>
      <c r="K196" s="17"/>
      <c r="L196" s="7">
        <f t="shared" si="83"/>
        <v>0</v>
      </c>
      <c r="M196" s="8">
        <v>1</v>
      </c>
      <c r="N196" s="8" t="str">
        <f t="shared" si="76"/>
        <v/>
      </c>
      <c r="O196" s="11" t="s">
        <v>1702</v>
      </c>
      <c r="P196" s="16" t="str">
        <f t="shared" si="84"/>
        <v>03-Mar-1897</v>
      </c>
      <c r="R196" s="16" t="str">
        <f t="shared" si="74"/>
        <v/>
      </c>
      <c r="S196" s="16" t="str">
        <f t="shared" si="74"/>
        <v/>
      </c>
      <c r="U196" s="46" t="str">
        <f t="shared" si="58"/>
        <v/>
      </c>
      <c r="V196" s="46">
        <f t="shared" si="58"/>
        <v>0</v>
      </c>
      <c r="W196" s="46" t="str">
        <f t="shared" si="58"/>
        <v/>
      </c>
      <c r="X196" s="46" t="str">
        <f t="shared" si="58"/>
        <v/>
      </c>
    </row>
    <row r="197" spans="2:24" x14ac:dyDescent="0.25">
      <c r="B197" s="11" t="str">
        <f t="shared" si="75"/>
        <v>AMST-07APR1897</v>
      </c>
      <c r="C197" s="11" t="s">
        <v>2102</v>
      </c>
      <c r="D197" s="11" t="s">
        <v>3455</v>
      </c>
      <c r="F197" s="11" t="s">
        <v>1700</v>
      </c>
      <c r="G197" s="39" t="s">
        <v>2154</v>
      </c>
      <c r="H197" s="7">
        <v>0</v>
      </c>
      <c r="I197" s="7">
        <v>0</v>
      </c>
      <c r="J197" s="17">
        <v>4</v>
      </c>
      <c r="K197" s="17"/>
      <c r="L197" s="7">
        <f t="shared" si="83"/>
        <v>4</v>
      </c>
      <c r="M197" s="8">
        <v>1</v>
      </c>
      <c r="N197" s="8">
        <f t="shared" si="76"/>
        <v>1</v>
      </c>
      <c r="O197" s="11" t="s">
        <v>1702</v>
      </c>
      <c r="P197" s="16" t="str">
        <f t="shared" si="84"/>
        <v>07-Apr-1897</v>
      </c>
      <c r="R197" s="16" t="str">
        <f t="shared" si="74"/>
        <v>x</v>
      </c>
      <c r="S197" s="16" t="str">
        <f t="shared" si="74"/>
        <v>x</v>
      </c>
      <c r="U197" s="46" t="str">
        <f t="shared" si="58"/>
        <v/>
      </c>
      <c r="V197" s="46">
        <f t="shared" si="58"/>
        <v>4</v>
      </c>
      <c r="W197" s="46" t="str">
        <f t="shared" si="58"/>
        <v/>
      </c>
      <c r="X197" s="46" t="str">
        <f t="shared" si="58"/>
        <v/>
      </c>
    </row>
    <row r="198" spans="2:24" x14ac:dyDescent="0.25">
      <c r="B198" s="11" t="str">
        <f t="shared" ref="B198:B205" si="85">CONCATENATE("AMST","-",LEFT(P198,2),UPPER(MID(P198,4,3)),RIGHT(P198,4))</f>
        <v>AMST-10MAY1897</v>
      </c>
      <c r="C198" s="11" t="s">
        <v>2102</v>
      </c>
      <c r="D198" s="11" t="s">
        <v>3455</v>
      </c>
      <c r="F198" s="11" t="s">
        <v>1700</v>
      </c>
      <c r="G198" s="39" t="s">
        <v>2155</v>
      </c>
      <c r="H198" s="7">
        <v>0</v>
      </c>
      <c r="I198" s="7">
        <v>0</v>
      </c>
      <c r="J198" s="17">
        <v>3</v>
      </c>
      <c r="K198" s="17"/>
      <c r="L198" s="7">
        <f t="shared" ref="L198:L205" si="86">SUM(H198:K198)</f>
        <v>3</v>
      </c>
      <c r="M198" s="8">
        <v>1</v>
      </c>
      <c r="N198" s="8">
        <f t="shared" si="76"/>
        <v>1</v>
      </c>
      <c r="O198" s="11" t="s">
        <v>1702</v>
      </c>
      <c r="P198" s="16" t="str">
        <f t="shared" ref="P198:P205" si="87">IF(LEN(G198)=10,CONCATENATE("0",G198),G198)</f>
        <v>10-May-1897</v>
      </c>
      <c r="R198" s="16" t="str">
        <f t="shared" si="74"/>
        <v>x</v>
      </c>
      <c r="S198" s="16" t="str">
        <f t="shared" si="74"/>
        <v>x</v>
      </c>
      <c r="U198" s="46" t="str">
        <f t="shared" si="58"/>
        <v/>
      </c>
      <c r="V198" s="46">
        <f t="shared" si="58"/>
        <v>3</v>
      </c>
      <c r="W198" s="46" t="str">
        <f t="shared" si="58"/>
        <v/>
      </c>
      <c r="X198" s="46" t="str">
        <f>IF($O198=X$5,$L198,"")</f>
        <v/>
      </c>
    </row>
    <row r="199" spans="2:24" x14ac:dyDescent="0.25">
      <c r="B199" s="11" t="str">
        <f t="shared" si="85"/>
        <v>AMST-20JUN1897</v>
      </c>
      <c r="C199" s="11" t="s">
        <v>2102</v>
      </c>
      <c r="D199" s="11" t="s">
        <v>3455</v>
      </c>
      <c r="E199" s="39" t="s">
        <v>2162</v>
      </c>
      <c r="F199" s="11" t="s">
        <v>1700</v>
      </c>
      <c r="G199" s="39" t="s">
        <v>2156</v>
      </c>
      <c r="J199" s="17">
        <v>4</v>
      </c>
      <c r="K199" s="17"/>
      <c r="L199" s="7">
        <f t="shared" si="86"/>
        <v>4</v>
      </c>
      <c r="M199" s="8">
        <v>1</v>
      </c>
      <c r="N199" s="8">
        <f t="shared" si="76"/>
        <v>1</v>
      </c>
      <c r="O199" s="11" t="s">
        <v>1702</v>
      </c>
      <c r="P199" s="16" t="str">
        <f t="shared" si="87"/>
        <v>20-Jun-1897</v>
      </c>
      <c r="R199" s="16" t="str">
        <f t="shared" si="74"/>
        <v>x</v>
      </c>
      <c r="S199" s="16" t="str">
        <f t="shared" si="74"/>
        <v>x</v>
      </c>
      <c r="U199" s="46" t="str">
        <f t="shared" ref="U199:X282" si="88">IF($O199=U$5,$L199,"")</f>
        <v/>
      </c>
      <c r="V199" s="46">
        <f t="shared" si="88"/>
        <v>4</v>
      </c>
      <c r="W199" s="46" t="str">
        <f t="shared" si="88"/>
        <v/>
      </c>
      <c r="X199" s="46" t="str">
        <f t="shared" si="88"/>
        <v/>
      </c>
    </row>
    <row r="200" spans="2:24" x14ac:dyDescent="0.25">
      <c r="B200" s="11" t="str">
        <f t="shared" si="85"/>
        <v>AMST-25JUL1897</v>
      </c>
      <c r="C200" s="11" t="s">
        <v>2102</v>
      </c>
      <c r="D200" s="11" t="s">
        <v>3455</v>
      </c>
      <c r="F200" s="11" t="s">
        <v>1700</v>
      </c>
      <c r="G200" s="39" t="s">
        <v>2157</v>
      </c>
      <c r="J200" s="17">
        <v>25</v>
      </c>
      <c r="K200" s="17"/>
      <c r="L200" s="7">
        <f t="shared" si="86"/>
        <v>25</v>
      </c>
      <c r="M200" s="8">
        <v>1</v>
      </c>
      <c r="N200" s="8">
        <f t="shared" si="76"/>
        <v>1</v>
      </c>
      <c r="O200" s="11" t="s">
        <v>1702</v>
      </c>
      <c r="P200" s="16" t="str">
        <f t="shared" si="87"/>
        <v>25-Jul-1897</v>
      </c>
      <c r="R200" s="16" t="str">
        <f t="shared" si="74"/>
        <v>x</v>
      </c>
      <c r="S200" s="16" t="str">
        <f t="shared" si="74"/>
        <v>x</v>
      </c>
      <c r="U200" s="46" t="str">
        <f t="shared" si="88"/>
        <v/>
      </c>
      <c r="V200" s="46">
        <f t="shared" si="88"/>
        <v>25</v>
      </c>
      <c r="W200" s="46" t="str">
        <f t="shared" si="88"/>
        <v/>
      </c>
      <c r="X200" s="46" t="str">
        <f t="shared" si="88"/>
        <v/>
      </c>
    </row>
    <row r="201" spans="2:24" x14ac:dyDescent="0.25">
      <c r="B201" s="11" t="str">
        <f t="shared" si="85"/>
        <v>AMST-01SEP1897</v>
      </c>
      <c r="C201" s="11" t="s">
        <v>2102</v>
      </c>
      <c r="D201" s="11" t="s">
        <v>3455</v>
      </c>
      <c r="F201" s="11" t="s">
        <v>1700</v>
      </c>
      <c r="G201" s="39" t="s">
        <v>2158</v>
      </c>
      <c r="J201" s="17">
        <v>0</v>
      </c>
      <c r="K201" s="17"/>
      <c r="L201" s="7">
        <f t="shared" si="86"/>
        <v>0</v>
      </c>
      <c r="M201" s="8">
        <v>1</v>
      </c>
      <c r="N201" s="8" t="str">
        <f t="shared" si="76"/>
        <v/>
      </c>
      <c r="O201" s="11" t="s">
        <v>1702</v>
      </c>
      <c r="P201" s="16" t="str">
        <f t="shared" si="87"/>
        <v>01-Sep-1897</v>
      </c>
      <c r="R201" s="16" t="str">
        <f t="shared" si="74"/>
        <v/>
      </c>
      <c r="S201" s="16" t="str">
        <f t="shared" si="74"/>
        <v/>
      </c>
      <c r="U201" s="46" t="str">
        <f t="shared" si="88"/>
        <v/>
      </c>
      <c r="V201" s="46">
        <f t="shared" si="88"/>
        <v>0</v>
      </c>
      <c r="W201" s="46" t="str">
        <f t="shared" si="88"/>
        <v/>
      </c>
      <c r="X201" s="46" t="str">
        <f t="shared" si="88"/>
        <v/>
      </c>
    </row>
    <row r="202" spans="2:24" x14ac:dyDescent="0.25">
      <c r="B202" s="11" t="str">
        <f t="shared" si="85"/>
        <v>AMST-07OCT1897</v>
      </c>
      <c r="C202" s="11" t="s">
        <v>2102</v>
      </c>
      <c r="D202" s="11" t="s">
        <v>3455</v>
      </c>
      <c r="F202" s="11" t="s">
        <v>1700</v>
      </c>
      <c r="G202" s="39" t="s">
        <v>2159</v>
      </c>
      <c r="J202" s="17">
        <v>0</v>
      </c>
      <c r="K202" s="17"/>
      <c r="L202" s="7">
        <f t="shared" si="86"/>
        <v>0</v>
      </c>
      <c r="M202" s="8">
        <v>1</v>
      </c>
      <c r="N202" s="8" t="str">
        <f t="shared" si="76"/>
        <v/>
      </c>
      <c r="O202" s="11" t="s">
        <v>1702</v>
      </c>
      <c r="P202" s="16" t="str">
        <f t="shared" si="87"/>
        <v>07-Oct-1897</v>
      </c>
      <c r="R202" s="16" t="str">
        <f t="shared" si="74"/>
        <v/>
      </c>
      <c r="S202" s="16" t="str">
        <f t="shared" si="74"/>
        <v/>
      </c>
      <c r="U202" s="46" t="str">
        <f t="shared" si="88"/>
        <v/>
      </c>
      <c r="V202" s="46">
        <f t="shared" si="88"/>
        <v>0</v>
      </c>
      <c r="W202" s="46" t="str">
        <f t="shared" si="88"/>
        <v/>
      </c>
      <c r="X202" s="46" t="str">
        <f t="shared" si="88"/>
        <v/>
      </c>
    </row>
    <row r="203" spans="2:24" x14ac:dyDescent="0.25">
      <c r="B203" s="11" t="str">
        <f t="shared" si="85"/>
        <v>AMST-19NOV1897</v>
      </c>
      <c r="C203" s="11" t="s">
        <v>2102</v>
      </c>
      <c r="D203" s="11" t="s">
        <v>3455</v>
      </c>
      <c r="F203" s="11" t="s">
        <v>1700</v>
      </c>
      <c r="G203" s="39" t="s">
        <v>2160</v>
      </c>
      <c r="J203" s="17">
        <v>0</v>
      </c>
      <c r="K203" s="17"/>
      <c r="L203" s="7">
        <f t="shared" si="86"/>
        <v>0</v>
      </c>
      <c r="M203" s="8">
        <v>1</v>
      </c>
      <c r="N203" s="8" t="str">
        <f t="shared" si="76"/>
        <v/>
      </c>
      <c r="O203" s="11" t="s">
        <v>1702</v>
      </c>
      <c r="P203" s="16" t="str">
        <f t="shared" si="87"/>
        <v>19-Nov-1897</v>
      </c>
      <c r="R203" s="16" t="str">
        <f t="shared" si="74"/>
        <v/>
      </c>
      <c r="S203" s="16" t="str">
        <f t="shared" si="74"/>
        <v/>
      </c>
      <c r="U203" s="46" t="str">
        <f t="shared" si="88"/>
        <v/>
      </c>
      <c r="V203" s="46">
        <f t="shared" si="88"/>
        <v>0</v>
      </c>
      <c r="W203" s="46" t="str">
        <f t="shared" si="88"/>
        <v/>
      </c>
      <c r="X203" s="46" t="str">
        <f t="shared" si="88"/>
        <v/>
      </c>
    </row>
    <row r="204" spans="2:24" x14ac:dyDescent="0.25">
      <c r="B204" s="11" t="str">
        <f t="shared" si="85"/>
        <v>AMST-23DEC1897</v>
      </c>
      <c r="C204" s="11" t="s">
        <v>2102</v>
      </c>
      <c r="D204" s="11" t="s">
        <v>3455</v>
      </c>
      <c r="E204" s="39" t="s">
        <v>2163</v>
      </c>
      <c r="F204" s="11" t="s">
        <v>1700</v>
      </c>
      <c r="G204" s="39" t="s">
        <v>2161</v>
      </c>
      <c r="J204" s="17">
        <v>0</v>
      </c>
      <c r="K204" s="17"/>
      <c r="L204" s="7">
        <f t="shared" si="86"/>
        <v>0</v>
      </c>
      <c r="M204" s="8">
        <v>1</v>
      </c>
      <c r="N204" s="8" t="str">
        <f t="shared" si="76"/>
        <v/>
      </c>
      <c r="O204" s="11" t="s">
        <v>1702</v>
      </c>
      <c r="P204" s="16" t="str">
        <f t="shared" si="87"/>
        <v>23-Dec-1897</v>
      </c>
      <c r="R204" s="16" t="str">
        <f t="shared" si="74"/>
        <v/>
      </c>
      <c r="S204" s="16" t="str">
        <f t="shared" si="74"/>
        <v/>
      </c>
      <c r="U204" s="46" t="str">
        <f t="shared" si="88"/>
        <v/>
      </c>
      <c r="V204" s="46">
        <f t="shared" si="88"/>
        <v>0</v>
      </c>
      <c r="W204" s="46" t="str">
        <f t="shared" si="88"/>
        <v/>
      </c>
      <c r="X204" s="46" t="str">
        <f t="shared" si="88"/>
        <v/>
      </c>
    </row>
    <row r="205" spans="2:24" x14ac:dyDescent="0.25">
      <c r="B205" s="11" t="str">
        <f t="shared" si="85"/>
        <v>AMST-22JAN1898</v>
      </c>
      <c r="C205" s="11" t="s">
        <v>2102</v>
      </c>
      <c r="D205" s="11" t="s">
        <v>3455</v>
      </c>
      <c r="E205" s="39" t="s">
        <v>2164</v>
      </c>
      <c r="F205" s="11" t="s">
        <v>1700</v>
      </c>
      <c r="G205" s="39" t="s">
        <v>2165</v>
      </c>
      <c r="J205" s="17">
        <v>0</v>
      </c>
      <c r="K205" s="17"/>
      <c r="L205" s="7">
        <f t="shared" si="86"/>
        <v>0</v>
      </c>
      <c r="M205" s="8">
        <v>1</v>
      </c>
      <c r="N205" s="8" t="str">
        <f t="shared" si="76"/>
        <v/>
      </c>
      <c r="O205" s="11" t="s">
        <v>1702</v>
      </c>
      <c r="P205" s="16" t="str">
        <f t="shared" si="87"/>
        <v>22-Jan-1898</v>
      </c>
      <c r="R205" s="16" t="str">
        <f t="shared" si="74"/>
        <v/>
      </c>
      <c r="S205" s="16" t="str">
        <f t="shared" si="74"/>
        <v/>
      </c>
      <c r="U205" s="46" t="str">
        <f t="shared" si="88"/>
        <v/>
      </c>
      <c r="V205" s="46">
        <f t="shared" si="88"/>
        <v>0</v>
      </c>
      <c r="W205" s="46" t="str">
        <f t="shared" si="88"/>
        <v/>
      </c>
      <c r="X205" s="46" t="str">
        <f t="shared" si="88"/>
        <v/>
      </c>
    </row>
    <row r="206" spans="2:24" x14ac:dyDescent="0.25">
      <c r="B206" s="11" t="str">
        <f t="shared" ref="B206:B217" si="89">CONCATENATE("AMST","-",LEFT(P206,2),UPPER(MID(P206,4,3)),RIGHT(P206,4))</f>
        <v>AMST-23FEB1898</v>
      </c>
      <c r="C206" s="11" t="s">
        <v>2102</v>
      </c>
      <c r="D206" s="11" t="s">
        <v>3455</v>
      </c>
      <c r="E206" s="39" t="s">
        <v>2174</v>
      </c>
      <c r="F206" s="11" t="s">
        <v>1700</v>
      </c>
      <c r="G206" s="39" t="s">
        <v>2166</v>
      </c>
      <c r="J206" s="17">
        <v>6</v>
      </c>
      <c r="K206" s="17"/>
      <c r="L206" s="7">
        <f t="shared" ref="L206:L217" si="90">SUM(H206:K206)</f>
        <v>6</v>
      </c>
      <c r="M206" s="8">
        <v>1</v>
      </c>
      <c r="N206" s="8">
        <f t="shared" si="76"/>
        <v>1</v>
      </c>
      <c r="O206" s="11" t="s">
        <v>1702</v>
      </c>
      <c r="P206" s="16" t="str">
        <f t="shared" ref="P206:P217" si="91">IF(LEN(G206)=10,CONCATENATE("0",G206),G206)</f>
        <v>23-Feb-1898</v>
      </c>
      <c r="R206" s="16" t="str">
        <f t="shared" si="74"/>
        <v>x</v>
      </c>
      <c r="S206" s="16" t="str">
        <f t="shared" si="74"/>
        <v>x</v>
      </c>
      <c r="U206" s="46" t="str">
        <f t="shared" si="88"/>
        <v/>
      </c>
      <c r="V206" s="46">
        <f t="shared" si="88"/>
        <v>6</v>
      </c>
      <c r="W206" s="46" t="str">
        <f t="shared" si="88"/>
        <v/>
      </c>
      <c r="X206" s="46" t="str">
        <f t="shared" si="88"/>
        <v/>
      </c>
    </row>
    <row r="207" spans="2:24" x14ac:dyDescent="0.25">
      <c r="B207" s="11" t="str">
        <f t="shared" si="89"/>
        <v>AMST-20APR1898</v>
      </c>
      <c r="C207" s="11" t="s">
        <v>2102</v>
      </c>
      <c r="D207" s="11" t="s">
        <v>3455</v>
      </c>
      <c r="E207" s="39" t="s">
        <v>2175</v>
      </c>
      <c r="F207" s="11" t="s">
        <v>1700</v>
      </c>
      <c r="G207" s="39" t="s">
        <v>2167</v>
      </c>
      <c r="J207" s="17">
        <v>1</v>
      </c>
      <c r="K207" s="17"/>
      <c r="L207" s="7">
        <f t="shared" si="90"/>
        <v>1</v>
      </c>
      <c r="M207" s="8">
        <v>1</v>
      </c>
      <c r="N207" s="8">
        <f t="shared" si="76"/>
        <v>1</v>
      </c>
      <c r="O207" s="11" t="s">
        <v>1702</v>
      </c>
      <c r="P207" s="16" t="str">
        <f t="shared" si="91"/>
        <v>20-Apr-1898</v>
      </c>
      <c r="R207" s="16" t="str">
        <f t="shared" si="74"/>
        <v>x</v>
      </c>
      <c r="S207" s="16" t="str">
        <f t="shared" si="74"/>
        <v>x</v>
      </c>
      <c r="U207" s="46" t="str">
        <f t="shared" si="88"/>
        <v/>
      </c>
      <c r="V207" s="46">
        <f t="shared" si="88"/>
        <v>1</v>
      </c>
      <c r="W207" s="46" t="str">
        <f t="shared" si="88"/>
        <v/>
      </c>
      <c r="X207" s="46" t="str">
        <f t="shared" si="88"/>
        <v/>
      </c>
    </row>
    <row r="208" spans="2:24" x14ac:dyDescent="0.25">
      <c r="B208" s="11" t="str">
        <f t="shared" si="89"/>
        <v>AMST-24MAY1898</v>
      </c>
      <c r="C208" s="11" t="s">
        <v>2102</v>
      </c>
      <c r="D208" s="11" t="s">
        <v>3455</v>
      </c>
      <c r="E208" s="39" t="s">
        <v>2176</v>
      </c>
      <c r="F208" s="11" t="s">
        <v>1700</v>
      </c>
      <c r="G208" s="39" t="s">
        <v>2168</v>
      </c>
      <c r="J208" s="17">
        <v>1</v>
      </c>
      <c r="K208" s="17"/>
      <c r="L208" s="7">
        <f t="shared" si="90"/>
        <v>1</v>
      </c>
      <c r="M208" s="8">
        <v>1</v>
      </c>
      <c r="N208" s="8">
        <f t="shared" si="76"/>
        <v>1</v>
      </c>
      <c r="O208" s="11" t="s">
        <v>1702</v>
      </c>
      <c r="P208" s="16" t="str">
        <f t="shared" si="91"/>
        <v>24-May-1898</v>
      </c>
      <c r="R208" s="16" t="str">
        <f t="shared" si="74"/>
        <v>x</v>
      </c>
      <c r="S208" s="16" t="str">
        <f t="shared" si="74"/>
        <v>x</v>
      </c>
      <c r="U208" s="46" t="str">
        <f t="shared" si="88"/>
        <v/>
      </c>
      <c r="V208" s="46">
        <f t="shared" si="88"/>
        <v>1</v>
      </c>
      <c r="W208" s="46" t="str">
        <f t="shared" si="88"/>
        <v/>
      </c>
      <c r="X208" s="46" t="str">
        <f t="shared" si="88"/>
        <v/>
      </c>
    </row>
    <row r="209" spans="2:24" x14ac:dyDescent="0.25">
      <c r="B209" s="11" t="str">
        <f t="shared" si="89"/>
        <v>AMST-28JUN1898</v>
      </c>
      <c r="C209" s="11" t="s">
        <v>2102</v>
      </c>
      <c r="D209" s="11" t="s">
        <v>3455</v>
      </c>
      <c r="E209" s="39" t="s">
        <v>2177</v>
      </c>
      <c r="F209" s="11" t="s">
        <v>1700</v>
      </c>
      <c r="G209" s="39" t="s">
        <v>2169</v>
      </c>
      <c r="J209" s="17">
        <v>8</v>
      </c>
      <c r="K209" s="17"/>
      <c r="L209" s="7">
        <f t="shared" si="90"/>
        <v>8</v>
      </c>
      <c r="M209" s="8">
        <v>1</v>
      </c>
      <c r="N209" s="8">
        <f t="shared" si="76"/>
        <v>1</v>
      </c>
      <c r="O209" s="11" t="s">
        <v>1702</v>
      </c>
      <c r="P209" s="16" t="str">
        <f t="shared" si="91"/>
        <v>28-Jun-1898</v>
      </c>
      <c r="R209" s="16" t="str">
        <f t="shared" si="74"/>
        <v>x</v>
      </c>
      <c r="S209" s="16" t="str">
        <f t="shared" si="74"/>
        <v>x</v>
      </c>
      <c r="U209" s="46" t="str">
        <f t="shared" si="88"/>
        <v/>
      </c>
      <c r="V209" s="46">
        <f t="shared" si="88"/>
        <v>8</v>
      </c>
      <c r="W209" s="46" t="str">
        <f t="shared" si="88"/>
        <v/>
      </c>
      <c r="X209" s="46" t="str">
        <f t="shared" si="88"/>
        <v/>
      </c>
    </row>
    <row r="210" spans="2:24" x14ac:dyDescent="0.25">
      <c r="B210" s="11" t="str">
        <f t="shared" si="89"/>
        <v>AMST-01AUG1898</v>
      </c>
      <c r="C210" s="11" t="s">
        <v>2102</v>
      </c>
      <c r="D210" s="11" t="s">
        <v>3455</v>
      </c>
      <c r="F210" s="11" t="s">
        <v>1700</v>
      </c>
      <c r="G210" s="39" t="s">
        <v>2170</v>
      </c>
      <c r="J210" s="17">
        <v>0</v>
      </c>
      <c r="K210" s="17"/>
      <c r="L210" s="7">
        <f t="shared" si="90"/>
        <v>0</v>
      </c>
      <c r="M210" s="8">
        <v>1</v>
      </c>
      <c r="N210" s="8" t="str">
        <f t="shared" si="76"/>
        <v/>
      </c>
      <c r="O210" s="11" t="s">
        <v>1702</v>
      </c>
      <c r="P210" s="16" t="str">
        <f t="shared" si="91"/>
        <v>01-Aug-1898</v>
      </c>
      <c r="R210" s="16" t="str">
        <f t="shared" si="74"/>
        <v/>
      </c>
      <c r="S210" s="16" t="str">
        <f t="shared" si="74"/>
        <v/>
      </c>
      <c r="U210" s="46" t="str">
        <f t="shared" si="88"/>
        <v/>
      </c>
      <c r="V210" s="46">
        <f t="shared" si="88"/>
        <v>0</v>
      </c>
      <c r="W210" s="46" t="str">
        <f t="shared" si="88"/>
        <v/>
      </c>
      <c r="X210" s="46" t="str">
        <f t="shared" si="88"/>
        <v/>
      </c>
    </row>
    <row r="211" spans="2:24" x14ac:dyDescent="0.25">
      <c r="B211" s="11" t="str">
        <f t="shared" si="89"/>
        <v>AMST-08SEP1898</v>
      </c>
      <c r="C211" s="11" t="s">
        <v>2102</v>
      </c>
      <c r="D211" s="11" t="s">
        <v>3455</v>
      </c>
      <c r="E211" s="39" t="s">
        <v>2178</v>
      </c>
      <c r="F211" s="11" t="s">
        <v>1700</v>
      </c>
      <c r="G211" s="39" t="s">
        <v>2171</v>
      </c>
      <c r="J211" s="17">
        <v>0</v>
      </c>
      <c r="K211" s="17"/>
      <c r="L211" s="7">
        <f t="shared" si="90"/>
        <v>0</v>
      </c>
      <c r="M211" s="8">
        <v>1</v>
      </c>
      <c r="N211" s="8" t="str">
        <f t="shared" si="76"/>
        <v/>
      </c>
      <c r="O211" s="11" t="s">
        <v>1702</v>
      </c>
      <c r="P211" s="16" t="str">
        <f t="shared" si="91"/>
        <v>08-Sep-1898</v>
      </c>
      <c r="R211" s="16" t="str">
        <f t="shared" si="74"/>
        <v/>
      </c>
      <c r="S211" s="16" t="str">
        <f t="shared" si="74"/>
        <v/>
      </c>
      <c r="U211" s="46" t="str">
        <f t="shared" si="88"/>
        <v/>
      </c>
      <c r="V211" s="46">
        <f t="shared" si="88"/>
        <v>0</v>
      </c>
      <c r="W211" s="46" t="str">
        <f t="shared" si="88"/>
        <v/>
      </c>
      <c r="X211" s="46" t="str">
        <f t="shared" si="88"/>
        <v/>
      </c>
    </row>
    <row r="212" spans="2:24" x14ac:dyDescent="0.25">
      <c r="B212" s="11" t="str">
        <f t="shared" si="89"/>
        <v>AMST-20OCT1898</v>
      </c>
      <c r="C212" s="11" t="s">
        <v>2102</v>
      </c>
      <c r="D212" s="11" t="s">
        <v>3455</v>
      </c>
      <c r="F212" s="11" t="s">
        <v>1700</v>
      </c>
      <c r="G212" s="39" t="s">
        <v>2172</v>
      </c>
      <c r="J212" s="17">
        <v>0</v>
      </c>
      <c r="K212" s="17"/>
      <c r="L212" s="7">
        <f t="shared" si="90"/>
        <v>0</v>
      </c>
      <c r="M212" s="8">
        <v>1</v>
      </c>
      <c r="N212" s="8" t="str">
        <f t="shared" si="76"/>
        <v/>
      </c>
      <c r="O212" s="11" t="s">
        <v>1702</v>
      </c>
      <c r="P212" s="16" t="str">
        <f t="shared" si="91"/>
        <v>20-Oct-1898</v>
      </c>
      <c r="R212" s="16" t="str">
        <f t="shared" si="74"/>
        <v/>
      </c>
      <c r="S212" s="16" t="str">
        <f t="shared" si="74"/>
        <v/>
      </c>
      <c r="U212" s="46" t="str">
        <f t="shared" si="88"/>
        <v/>
      </c>
      <c r="V212" s="46">
        <f t="shared" si="88"/>
        <v>0</v>
      </c>
      <c r="W212" s="46" t="str">
        <f t="shared" si="88"/>
        <v/>
      </c>
      <c r="X212" s="46" t="str">
        <f t="shared" si="88"/>
        <v/>
      </c>
    </row>
    <row r="213" spans="2:24" x14ac:dyDescent="0.25">
      <c r="B213" s="11" t="str">
        <f t="shared" si="89"/>
        <v>AMST-13DEC1898</v>
      </c>
      <c r="C213" s="11" t="s">
        <v>2102</v>
      </c>
      <c r="D213" s="11" t="s">
        <v>3455</v>
      </c>
      <c r="E213" s="39" t="s">
        <v>2179</v>
      </c>
      <c r="F213" s="11" t="s">
        <v>1700</v>
      </c>
      <c r="G213" s="39" t="s">
        <v>2173</v>
      </c>
      <c r="J213" s="17">
        <v>0</v>
      </c>
      <c r="K213" s="17"/>
      <c r="L213" s="7">
        <f t="shared" si="90"/>
        <v>0</v>
      </c>
      <c r="M213" s="8">
        <v>1</v>
      </c>
      <c r="N213" s="8" t="str">
        <f t="shared" si="76"/>
        <v/>
      </c>
      <c r="O213" s="11" t="s">
        <v>1702</v>
      </c>
      <c r="P213" s="16" t="str">
        <f t="shared" si="91"/>
        <v>13-Dec-1898</v>
      </c>
      <c r="R213" s="16" t="str">
        <f t="shared" si="74"/>
        <v/>
      </c>
      <c r="S213" s="16" t="str">
        <f t="shared" si="74"/>
        <v/>
      </c>
      <c r="U213" s="46" t="str">
        <f t="shared" si="88"/>
        <v/>
      </c>
      <c r="V213" s="46">
        <f t="shared" si="88"/>
        <v>0</v>
      </c>
      <c r="W213" s="46" t="str">
        <f t="shared" si="88"/>
        <v/>
      </c>
      <c r="X213" s="46" t="str">
        <f t="shared" si="88"/>
        <v/>
      </c>
    </row>
    <row r="214" spans="2:24" x14ac:dyDescent="0.25">
      <c r="B214" s="11" t="str">
        <f t="shared" si="89"/>
        <v>AMST-18JAN1899</v>
      </c>
      <c r="C214" s="11" t="s">
        <v>2102</v>
      </c>
      <c r="D214" s="11" t="s">
        <v>3455</v>
      </c>
      <c r="E214" s="39" t="s">
        <v>2180</v>
      </c>
      <c r="F214" s="11" t="s">
        <v>1700</v>
      </c>
      <c r="G214" s="39" t="s">
        <v>2181</v>
      </c>
      <c r="J214" s="17">
        <v>0</v>
      </c>
      <c r="K214" s="17"/>
      <c r="L214" s="7">
        <f t="shared" si="90"/>
        <v>0</v>
      </c>
      <c r="M214" s="8">
        <v>1</v>
      </c>
      <c r="N214" s="8" t="str">
        <f t="shared" si="76"/>
        <v/>
      </c>
      <c r="O214" s="11" t="s">
        <v>1702</v>
      </c>
      <c r="P214" s="16" t="str">
        <f t="shared" si="91"/>
        <v>18-Jan-1899</v>
      </c>
      <c r="R214" s="16" t="str">
        <f t="shared" si="74"/>
        <v/>
      </c>
      <c r="S214" s="16" t="str">
        <f t="shared" si="74"/>
        <v/>
      </c>
      <c r="U214" s="46" t="str">
        <f t="shared" si="88"/>
        <v/>
      </c>
      <c r="V214" s="46">
        <f t="shared" si="88"/>
        <v>0</v>
      </c>
      <c r="W214" s="46" t="str">
        <f t="shared" si="88"/>
        <v/>
      </c>
      <c r="X214" s="46" t="str">
        <f t="shared" si="88"/>
        <v/>
      </c>
    </row>
    <row r="215" spans="2:24" x14ac:dyDescent="0.25">
      <c r="B215" s="11" t="str">
        <f t="shared" si="89"/>
        <v>AMST-23FEB1899</v>
      </c>
      <c r="C215" s="11" t="s">
        <v>2102</v>
      </c>
      <c r="D215" s="11" t="s">
        <v>3455</v>
      </c>
      <c r="E215" s="39" t="s">
        <v>2191</v>
      </c>
      <c r="F215" s="11" t="s">
        <v>1700</v>
      </c>
      <c r="G215" s="39" t="s">
        <v>2182</v>
      </c>
      <c r="J215" s="17">
        <v>0</v>
      </c>
      <c r="K215" s="17"/>
      <c r="L215" s="7">
        <f t="shared" si="90"/>
        <v>0</v>
      </c>
      <c r="M215" s="8">
        <v>1</v>
      </c>
      <c r="N215" s="8" t="str">
        <f t="shared" si="76"/>
        <v/>
      </c>
      <c r="O215" s="11" t="s">
        <v>1702</v>
      </c>
      <c r="P215" s="16" t="str">
        <f t="shared" si="91"/>
        <v>23-Feb-1899</v>
      </c>
      <c r="R215" s="16" t="str">
        <f t="shared" ref="R215:S236" si="92">IF($L215&gt;0,"x","")</f>
        <v/>
      </c>
      <c r="S215" s="16" t="str">
        <f t="shared" si="92"/>
        <v/>
      </c>
      <c r="U215" s="46" t="str">
        <f t="shared" si="88"/>
        <v/>
      </c>
      <c r="V215" s="46">
        <f t="shared" si="88"/>
        <v>0</v>
      </c>
      <c r="W215" s="46" t="str">
        <f t="shared" si="88"/>
        <v/>
      </c>
      <c r="X215" s="46" t="str">
        <f t="shared" si="88"/>
        <v/>
      </c>
    </row>
    <row r="216" spans="2:24" x14ac:dyDescent="0.25">
      <c r="B216" s="11" t="str">
        <f t="shared" si="89"/>
        <v>AMST-05APR1899</v>
      </c>
      <c r="C216" s="11" t="s">
        <v>2102</v>
      </c>
      <c r="D216" s="11" t="s">
        <v>3455</v>
      </c>
      <c r="E216" s="39" t="s">
        <v>2192</v>
      </c>
      <c r="F216" s="11" t="s">
        <v>1700</v>
      </c>
      <c r="G216" s="39" t="s">
        <v>2183</v>
      </c>
      <c r="J216" s="17">
        <v>7</v>
      </c>
      <c r="K216" s="17"/>
      <c r="L216" s="7">
        <f t="shared" si="90"/>
        <v>7</v>
      </c>
      <c r="M216" s="8">
        <v>1</v>
      </c>
      <c r="N216" s="8">
        <f t="shared" ref="N216:N236" si="93">IF(L216&gt;0,1,"")</f>
        <v>1</v>
      </c>
      <c r="O216" s="11" t="s">
        <v>1702</v>
      </c>
      <c r="P216" s="16" t="str">
        <f t="shared" si="91"/>
        <v>05-Apr-1899</v>
      </c>
      <c r="R216" s="16" t="str">
        <f t="shared" si="92"/>
        <v>x</v>
      </c>
      <c r="S216" s="16" t="str">
        <f t="shared" si="92"/>
        <v>x</v>
      </c>
      <c r="U216" s="46" t="str">
        <f t="shared" si="88"/>
        <v/>
      </c>
      <c r="V216" s="46">
        <f t="shared" si="88"/>
        <v>7</v>
      </c>
      <c r="W216" s="46" t="str">
        <f t="shared" si="88"/>
        <v/>
      </c>
      <c r="X216" s="46" t="str">
        <f t="shared" si="88"/>
        <v/>
      </c>
    </row>
    <row r="217" spans="2:24" x14ac:dyDescent="0.25">
      <c r="B217" s="11" t="str">
        <f t="shared" si="89"/>
        <v>AMST-10MAY1899</v>
      </c>
      <c r="C217" s="11" t="s">
        <v>2102</v>
      </c>
      <c r="D217" s="11" t="s">
        <v>3455</v>
      </c>
      <c r="E217" s="39" t="s">
        <v>2193</v>
      </c>
      <c r="F217" s="11" t="s">
        <v>1700</v>
      </c>
      <c r="G217" s="39" t="s">
        <v>2184</v>
      </c>
      <c r="J217" s="17">
        <v>2</v>
      </c>
      <c r="K217" s="17"/>
      <c r="L217" s="7">
        <f t="shared" si="90"/>
        <v>2</v>
      </c>
      <c r="M217" s="8">
        <v>1</v>
      </c>
      <c r="N217" s="8">
        <f t="shared" si="93"/>
        <v>1</v>
      </c>
      <c r="O217" s="11" t="s">
        <v>1702</v>
      </c>
      <c r="P217" s="16" t="str">
        <f t="shared" si="91"/>
        <v>10-May-1899</v>
      </c>
      <c r="R217" s="16" t="str">
        <f t="shared" si="92"/>
        <v>x</v>
      </c>
      <c r="S217" s="16" t="str">
        <f t="shared" si="92"/>
        <v>x</v>
      </c>
      <c r="U217" s="46" t="str">
        <f t="shared" si="88"/>
        <v/>
      </c>
      <c r="V217" s="46">
        <f t="shared" si="88"/>
        <v>2</v>
      </c>
      <c r="W217" s="46" t="str">
        <f t="shared" si="88"/>
        <v/>
      </c>
      <c r="X217" s="46" t="str">
        <f t="shared" si="88"/>
        <v/>
      </c>
    </row>
    <row r="218" spans="2:24" x14ac:dyDescent="0.25">
      <c r="B218" s="11" t="str">
        <f t="shared" ref="B218:B226" si="94">CONCATENATE("AMST","-",LEFT(P218,2),UPPER(MID(P218,4,3)),RIGHT(P218,4))</f>
        <v>AMST-12JUN1899</v>
      </c>
      <c r="C218" s="11" t="s">
        <v>2102</v>
      </c>
      <c r="D218" s="11" t="s">
        <v>3455</v>
      </c>
      <c r="E218" s="39" t="s">
        <v>2194</v>
      </c>
      <c r="F218" s="11" t="s">
        <v>1700</v>
      </c>
      <c r="G218" s="39" t="s">
        <v>2185</v>
      </c>
      <c r="J218" s="17">
        <v>3</v>
      </c>
      <c r="K218" s="17"/>
      <c r="L218" s="7">
        <f t="shared" ref="L218:L226" si="95">SUM(H218:K218)</f>
        <v>3</v>
      </c>
      <c r="M218" s="8">
        <v>1</v>
      </c>
      <c r="N218" s="8">
        <f t="shared" si="93"/>
        <v>1</v>
      </c>
      <c r="O218" s="11" t="s">
        <v>1702</v>
      </c>
      <c r="P218" s="16" t="str">
        <f t="shared" ref="P218:P226" si="96">IF(LEN(G218)=10,CONCATENATE("0",G218),G218)</f>
        <v>12-Jun-1899</v>
      </c>
      <c r="R218" s="16" t="str">
        <f t="shared" si="92"/>
        <v>x</v>
      </c>
      <c r="S218" s="16" t="str">
        <f t="shared" si="92"/>
        <v>x</v>
      </c>
      <c r="U218" s="46" t="str">
        <f t="shared" si="88"/>
        <v/>
      </c>
      <c r="V218" s="46">
        <f t="shared" si="88"/>
        <v>3</v>
      </c>
      <c r="W218" s="46" t="str">
        <f t="shared" si="88"/>
        <v/>
      </c>
      <c r="X218" s="46" t="str">
        <f t="shared" si="88"/>
        <v/>
      </c>
    </row>
    <row r="219" spans="2:24" x14ac:dyDescent="0.25">
      <c r="B219" s="11" t="str">
        <f t="shared" si="94"/>
        <v>AMST-18JUL1899</v>
      </c>
      <c r="C219" s="11" t="s">
        <v>2102</v>
      </c>
      <c r="D219" s="11" t="s">
        <v>3455</v>
      </c>
      <c r="E219" s="39" t="s">
        <v>2195</v>
      </c>
      <c r="F219" s="11" t="s">
        <v>1700</v>
      </c>
      <c r="G219" s="39" t="s">
        <v>2186</v>
      </c>
      <c r="J219" s="17">
        <v>0</v>
      </c>
      <c r="K219" s="17"/>
      <c r="L219" s="7">
        <f t="shared" si="95"/>
        <v>0</v>
      </c>
      <c r="M219" s="8">
        <v>1</v>
      </c>
      <c r="N219" s="8" t="str">
        <f t="shared" si="93"/>
        <v/>
      </c>
      <c r="O219" s="11" t="s">
        <v>1702</v>
      </c>
      <c r="P219" s="16" t="str">
        <f t="shared" si="96"/>
        <v>18-Jul-1899</v>
      </c>
      <c r="R219" s="16" t="str">
        <f t="shared" si="92"/>
        <v/>
      </c>
      <c r="S219" s="16" t="str">
        <f t="shared" si="92"/>
        <v/>
      </c>
      <c r="U219" s="46" t="str">
        <f t="shared" si="88"/>
        <v/>
      </c>
      <c r="V219" s="46">
        <f t="shared" si="88"/>
        <v>0</v>
      </c>
      <c r="W219" s="46" t="str">
        <f t="shared" si="88"/>
        <v/>
      </c>
      <c r="X219" s="46" t="str">
        <f t="shared" si="88"/>
        <v/>
      </c>
    </row>
    <row r="220" spans="2:24" x14ac:dyDescent="0.25">
      <c r="B220" s="11" t="str">
        <f t="shared" si="94"/>
        <v>AMST-22AUG1899</v>
      </c>
      <c r="C220" s="11" t="s">
        <v>2102</v>
      </c>
      <c r="D220" s="11" t="s">
        <v>3455</v>
      </c>
      <c r="E220" s="39" t="s">
        <v>2196</v>
      </c>
      <c r="F220" s="11" t="s">
        <v>1700</v>
      </c>
      <c r="G220" s="39" t="s">
        <v>2187</v>
      </c>
      <c r="J220" s="17">
        <v>2</v>
      </c>
      <c r="K220" s="17"/>
      <c r="L220" s="7">
        <f t="shared" si="95"/>
        <v>2</v>
      </c>
      <c r="M220" s="8">
        <v>1</v>
      </c>
      <c r="N220" s="8">
        <f t="shared" si="93"/>
        <v>1</v>
      </c>
      <c r="O220" s="11" t="s">
        <v>1702</v>
      </c>
      <c r="P220" s="16" t="str">
        <f t="shared" si="96"/>
        <v>22-Aug-1899</v>
      </c>
      <c r="R220" s="16" t="str">
        <f t="shared" si="92"/>
        <v>x</v>
      </c>
      <c r="S220" s="16" t="str">
        <f t="shared" si="92"/>
        <v>x</v>
      </c>
      <c r="U220" s="46" t="str">
        <f t="shared" si="88"/>
        <v/>
      </c>
      <c r="V220" s="46">
        <f t="shared" si="88"/>
        <v>2</v>
      </c>
      <c r="W220" s="46" t="str">
        <f t="shared" si="88"/>
        <v/>
      </c>
      <c r="X220" s="46" t="str">
        <f t="shared" si="88"/>
        <v/>
      </c>
    </row>
    <row r="221" spans="2:24" x14ac:dyDescent="0.25">
      <c r="B221" s="11" t="str">
        <f t="shared" si="94"/>
        <v>AMST-03OCT1899</v>
      </c>
      <c r="C221" s="11" t="s">
        <v>2102</v>
      </c>
      <c r="D221" s="11" t="s">
        <v>3455</v>
      </c>
      <c r="E221" s="39" t="s">
        <v>2197</v>
      </c>
      <c r="F221" s="11" t="s">
        <v>1700</v>
      </c>
      <c r="G221" s="39" t="s">
        <v>2188</v>
      </c>
      <c r="J221" s="17">
        <v>3</v>
      </c>
      <c r="K221" s="17"/>
      <c r="L221" s="7">
        <f t="shared" si="95"/>
        <v>3</v>
      </c>
      <c r="M221" s="8">
        <v>1</v>
      </c>
      <c r="N221" s="8">
        <f t="shared" si="93"/>
        <v>1</v>
      </c>
      <c r="O221" s="11" t="s">
        <v>1702</v>
      </c>
      <c r="P221" s="16" t="str">
        <f t="shared" si="96"/>
        <v>03-Oct-1899</v>
      </c>
      <c r="R221" s="16" t="str">
        <f t="shared" si="92"/>
        <v>x</v>
      </c>
      <c r="S221" s="16" t="str">
        <f t="shared" si="92"/>
        <v>x</v>
      </c>
      <c r="U221" s="46" t="str">
        <f t="shared" si="88"/>
        <v/>
      </c>
      <c r="V221" s="46">
        <f t="shared" si="88"/>
        <v>3</v>
      </c>
      <c r="W221" s="46" t="str">
        <f t="shared" si="88"/>
        <v/>
      </c>
      <c r="X221" s="46" t="str">
        <f t="shared" si="88"/>
        <v/>
      </c>
    </row>
    <row r="222" spans="2:24" x14ac:dyDescent="0.25">
      <c r="B222" s="11" t="str">
        <f t="shared" si="94"/>
        <v>AMST-09NOV1899</v>
      </c>
      <c r="C222" s="11" t="s">
        <v>2102</v>
      </c>
      <c r="D222" s="11" t="s">
        <v>3455</v>
      </c>
      <c r="E222" s="39" t="s">
        <v>2198</v>
      </c>
      <c r="F222" s="11" t="s">
        <v>1700</v>
      </c>
      <c r="G222" s="39" t="s">
        <v>2189</v>
      </c>
      <c r="J222" s="17">
        <v>1</v>
      </c>
      <c r="K222" s="17"/>
      <c r="L222" s="7">
        <f t="shared" si="95"/>
        <v>1</v>
      </c>
      <c r="M222" s="8">
        <v>1</v>
      </c>
      <c r="N222" s="8">
        <f t="shared" si="93"/>
        <v>1</v>
      </c>
      <c r="O222" s="11" t="s">
        <v>1702</v>
      </c>
      <c r="P222" s="16" t="str">
        <f t="shared" si="96"/>
        <v>09-Nov-1899</v>
      </c>
      <c r="R222" s="16" t="str">
        <f t="shared" si="92"/>
        <v>x</v>
      </c>
      <c r="S222" s="16" t="str">
        <f t="shared" si="92"/>
        <v>x</v>
      </c>
      <c r="U222" s="46" t="str">
        <f t="shared" si="88"/>
        <v/>
      </c>
      <c r="V222" s="46">
        <f t="shared" si="88"/>
        <v>1</v>
      </c>
      <c r="W222" s="46" t="str">
        <f t="shared" si="88"/>
        <v/>
      </c>
      <c r="X222" s="46" t="str">
        <f t="shared" si="88"/>
        <v/>
      </c>
    </row>
    <row r="223" spans="2:24" x14ac:dyDescent="0.25">
      <c r="B223" s="11" t="str">
        <f t="shared" si="94"/>
        <v>AMST-12DEC1899</v>
      </c>
      <c r="C223" s="11" t="s">
        <v>2102</v>
      </c>
      <c r="D223" s="11" t="s">
        <v>3455</v>
      </c>
      <c r="E223" s="39" t="s">
        <v>2199</v>
      </c>
      <c r="F223" s="11" t="s">
        <v>1700</v>
      </c>
      <c r="G223" s="39" t="s">
        <v>2190</v>
      </c>
      <c r="J223" s="17">
        <v>3</v>
      </c>
      <c r="K223" s="17"/>
      <c r="L223" s="7">
        <f t="shared" si="95"/>
        <v>3</v>
      </c>
      <c r="M223" s="8">
        <v>1</v>
      </c>
      <c r="N223" s="8">
        <f t="shared" si="93"/>
        <v>1</v>
      </c>
      <c r="O223" s="11" t="s">
        <v>1702</v>
      </c>
      <c r="P223" s="16" t="str">
        <f t="shared" si="96"/>
        <v>12-Dec-1899</v>
      </c>
      <c r="R223" s="16" t="str">
        <f t="shared" si="92"/>
        <v>x</v>
      </c>
      <c r="S223" s="16" t="str">
        <f t="shared" si="92"/>
        <v>x</v>
      </c>
      <c r="U223" s="46" t="str">
        <f t="shared" si="88"/>
        <v/>
      </c>
      <c r="V223" s="46">
        <f t="shared" si="88"/>
        <v>3</v>
      </c>
      <c r="W223" s="46" t="str">
        <f t="shared" si="88"/>
        <v/>
      </c>
      <c r="X223" s="46" t="str">
        <f t="shared" si="88"/>
        <v/>
      </c>
    </row>
    <row r="224" spans="2:24" x14ac:dyDescent="0.25">
      <c r="B224" s="11" t="str">
        <f t="shared" si="94"/>
        <v>AMST-17JAN1900</v>
      </c>
      <c r="C224" s="11" t="s">
        <v>2102</v>
      </c>
      <c r="D224" s="11" t="s">
        <v>3455</v>
      </c>
      <c r="E224" s="39" t="s">
        <v>2208</v>
      </c>
      <c r="F224" s="11" t="s">
        <v>1700</v>
      </c>
      <c r="G224" s="39" t="s">
        <v>2200</v>
      </c>
      <c r="J224" s="17">
        <v>0</v>
      </c>
      <c r="K224" s="17"/>
      <c r="L224" s="7">
        <f t="shared" si="95"/>
        <v>0</v>
      </c>
      <c r="M224" s="8">
        <v>1</v>
      </c>
      <c r="N224" s="8" t="str">
        <f t="shared" si="93"/>
        <v/>
      </c>
      <c r="O224" s="11" t="s">
        <v>1702</v>
      </c>
      <c r="P224" s="16" t="str">
        <f t="shared" si="96"/>
        <v>17-Jan-1900</v>
      </c>
      <c r="R224" s="16" t="str">
        <f t="shared" si="92"/>
        <v/>
      </c>
      <c r="S224" s="16" t="str">
        <f t="shared" si="92"/>
        <v/>
      </c>
      <c r="U224" s="46" t="str">
        <f t="shared" si="88"/>
        <v/>
      </c>
      <c r="V224" s="46">
        <f t="shared" si="88"/>
        <v>0</v>
      </c>
      <c r="W224" s="46" t="str">
        <f t="shared" si="88"/>
        <v/>
      </c>
      <c r="X224" s="46" t="str">
        <f t="shared" si="88"/>
        <v/>
      </c>
    </row>
    <row r="225" spans="2:26" x14ac:dyDescent="0.25">
      <c r="B225" s="11" t="str">
        <f t="shared" si="94"/>
        <v>AMST-18APR1900</v>
      </c>
      <c r="C225" s="11" t="s">
        <v>2102</v>
      </c>
      <c r="D225" s="11" t="s">
        <v>3455</v>
      </c>
      <c r="E225" s="39" t="s">
        <v>2209</v>
      </c>
      <c r="F225" s="11" t="s">
        <v>1700</v>
      </c>
      <c r="G225" s="39" t="s">
        <v>2201</v>
      </c>
      <c r="J225" s="17">
        <v>1</v>
      </c>
      <c r="K225" s="17"/>
      <c r="L225" s="7">
        <f t="shared" si="95"/>
        <v>1</v>
      </c>
      <c r="M225" s="8">
        <v>1</v>
      </c>
      <c r="N225" s="8">
        <f t="shared" si="93"/>
        <v>1</v>
      </c>
      <c r="O225" s="11" t="s">
        <v>1702</v>
      </c>
      <c r="P225" s="16" t="str">
        <f t="shared" si="96"/>
        <v>18-Apr-1900</v>
      </c>
      <c r="R225" s="16" t="str">
        <f t="shared" si="92"/>
        <v>x</v>
      </c>
      <c r="S225" s="16" t="str">
        <f t="shared" si="92"/>
        <v>x</v>
      </c>
      <c r="U225" s="46" t="str">
        <f t="shared" si="88"/>
        <v/>
      </c>
      <c r="V225" s="46">
        <f t="shared" si="88"/>
        <v>1</v>
      </c>
      <c r="W225" s="46" t="str">
        <f t="shared" si="88"/>
        <v/>
      </c>
      <c r="X225" s="46" t="str">
        <f t="shared" si="88"/>
        <v/>
      </c>
    </row>
    <row r="226" spans="2:26" x14ac:dyDescent="0.25">
      <c r="B226" s="11" t="str">
        <f t="shared" si="94"/>
        <v>AMST-22MAY1900</v>
      </c>
      <c r="C226" s="11" t="s">
        <v>2102</v>
      </c>
      <c r="D226" s="11" t="s">
        <v>3455</v>
      </c>
      <c r="E226" s="39" t="s">
        <v>2210</v>
      </c>
      <c r="F226" s="11" t="s">
        <v>1700</v>
      </c>
      <c r="G226" s="39" t="s">
        <v>2202</v>
      </c>
      <c r="J226" s="17">
        <v>1</v>
      </c>
      <c r="K226" s="17"/>
      <c r="L226" s="7">
        <f t="shared" si="95"/>
        <v>1</v>
      </c>
      <c r="M226" s="8">
        <v>1</v>
      </c>
      <c r="N226" s="8">
        <f t="shared" si="93"/>
        <v>1</v>
      </c>
      <c r="O226" s="11" t="s">
        <v>1702</v>
      </c>
      <c r="P226" s="16" t="str">
        <f t="shared" si="96"/>
        <v>22-May-1900</v>
      </c>
      <c r="R226" s="16" t="str">
        <f t="shared" si="92"/>
        <v>x</v>
      </c>
      <c r="S226" s="16" t="str">
        <f t="shared" si="92"/>
        <v>x</v>
      </c>
      <c r="U226" s="46" t="str">
        <f t="shared" si="88"/>
        <v/>
      </c>
      <c r="V226" s="46">
        <f t="shared" si="88"/>
        <v>1</v>
      </c>
      <c r="W226" s="46" t="str">
        <f t="shared" si="88"/>
        <v/>
      </c>
      <c r="X226" s="46" t="str">
        <f t="shared" si="88"/>
        <v/>
      </c>
    </row>
    <row r="227" spans="2:26" x14ac:dyDescent="0.25">
      <c r="B227" s="11" t="str">
        <f>CONCATENATE("AMST","-",LEFT(P227,2),UPPER(MID(P227,4,3)),RIGHT(P227,4))</f>
        <v>AMST-07AUG1900</v>
      </c>
      <c r="C227" s="11" t="s">
        <v>2102</v>
      </c>
      <c r="D227" s="11" t="s">
        <v>3455</v>
      </c>
      <c r="E227" s="39" t="s">
        <v>2211</v>
      </c>
      <c r="F227" s="11" t="s">
        <v>1700</v>
      </c>
      <c r="G227" s="39" t="s">
        <v>2203</v>
      </c>
      <c r="J227" s="17">
        <v>0</v>
      </c>
      <c r="K227" s="17"/>
      <c r="L227" s="7">
        <f t="shared" ref="L227:L236" si="97">SUM(H227:K227)</f>
        <v>0</v>
      </c>
      <c r="M227" s="8">
        <v>1</v>
      </c>
      <c r="N227" s="8" t="str">
        <f t="shared" si="93"/>
        <v/>
      </c>
      <c r="O227" s="11" t="s">
        <v>1702</v>
      </c>
      <c r="P227" s="16" t="str">
        <f t="shared" ref="P227:P236" si="98">IF(LEN(G227)=10,CONCATENATE("0",G227),G227)</f>
        <v>07-Aug-1900</v>
      </c>
      <c r="R227" s="16" t="str">
        <f t="shared" si="92"/>
        <v/>
      </c>
      <c r="S227" s="16" t="str">
        <f t="shared" si="92"/>
        <v/>
      </c>
      <c r="U227" s="46" t="str">
        <f t="shared" si="88"/>
        <v/>
      </c>
      <c r="V227" s="46">
        <f t="shared" si="88"/>
        <v>0</v>
      </c>
      <c r="W227" s="46" t="str">
        <f t="shared" si="88"/>
        <v/>
      </c>
      <c r="X227" s="46" t="str">
        <f t="shared" si="88"/>
        <v/>
      </c>
    </row>
    <row r="228" spans="2:26" x14ac:dyDescent="0.25">
      <c r="B228" s="11" t="str">
        <f>CONCATENATE("AMST","-",LEFT(P228,2),UPPER(MID(P228,4,3)),RIGHT(P228,4))</f>
        <v>AMST-11SEP1900</v>
      </c>
      <c r="C228" s="11" t="s">
        <v>2102</v>
      </c>
      <c r="D228" s="11" t="s">
        <v>3455</v>
      </c>
      <c r="E228" s="39" t="s">
        <v>2212</v>
      </c>
      <c r="F228" s="11" t="s">
        <v>1700</v>
      </c>
      <c r="G228" s="39" t="s">
        <v>2204</v>
      </c>
      <c r="J228" s="17">
        <v>14</v>
      </c>
      <c r="K228" s="17"/>
      <c r="L228" s="7">
        <f t="shared" si="97"/>
        <v>14</v>
      </c>
      <c r="M228" s="8">
        <v>1</v>
      </c>
      <c r="N228" s="8">
        <f t="shared" si="93"/>
        <v>1</v>
      </c>
      <c r="O228" s="11" t="s">
        <v>1702</v>
      </c>
      <c r="P228" s="16" t="str">
        <f t="shared" si="98"/>
        <v>11-Sep-1900</v>
      </c>
      <c r="R228" s="16" t="str">
        <f t="shared" si="92"/>
        <v>x</v>
      </c>
      <c r="S228" s="16" t="str">
        <f t="shared" si="92"/>
        <v>x</v>
      </c>
      <c r="U228" s="46" t="str">
        <f t="shared" si="88"/>
        <v/>
      </c>
      <c r="V228" s="46">
        <f t="shared" si="88"/>
        <v>14</v>
      </c>
      <c r="W228" s="46" t="str">
        <f t="shared" si="88"/>
        <v/>
      </c>
      <c r="X228" s="46" t="str">
        <f t="shared" si="88"/>
        <v/>
      </c>
    </row>
    <row r="229" spans="2:26" x14ac:dyDescent="0.25">
      <c r="B229" s="11" t="str">
        <f>CONCATENATE("AMST","-",LEFT(P229,2),UPPER(MID(P229,4,3)),RIGHT(P229,4))</f>
        <v>AMST-16OCT1900</v>
      </c>
      <c r="C229" s="11" t="s">
        <v>2102</v>
      </c>
      <c r="D229" s="11" t="s">
        <v>3455</v>
      </c>
      <c r="E229" s="39" t="s">
        <v>2213</v>
      </c>
      <c r="F229" s="11" t="s">
        <v>1700</v>
      </c>
      <c r="G229" s="39" t="s">
        <v>2205</v>
      </c>
      <c r="J229" s="17">
        <v>7</v>
      </c>
      <c r="K229" s="17"/>
      <c r="L229" s="7">
        <f t="shared" si="97"/>
        <v>7</v>
      </c>
      <c r="M229" s="8">
        <v>1</v>
      </c>
      <c r="N229" s="8">
        <f t="shared" si="93"/>
        <v>1</v>
      </c>
      <c r="O229" s="11" t="s">
        <v>1702</v>
      </c>
      <c r="P229" s="16" t="str">
        <f t="shared" si="98"/>
        <v>16-Oct-1900</v>
      </c>
      <c r="R229" s="16" t="str">
        <f t="shared" si="92"/>
        <v>x</v>
      </c>
      <c r="S229" s="16" t="str">
        <f t="shared" si="92"/>
        <v>x</v>
      </c>
      <c r="U229" s="46" t="str">
        <f t="shared" si="88"/>
        <v/>
      </c>
      <c r="V229" s="46">
        <f t="shared" si="88"/>
        <v>7</v>
      </c>
      <c r="W229" s="46" t="str">
        <f t="shared" si="88"/>
        <v/>
      </c>
      <c r="X229" s="46" t="str">
        <f t="shared" si="88"/>
        <v/>
      </c>
    </row>
    <row r="230" spans="2:26" x14ac:dyDescent="0.25">
      <c r="B230" s="11" t="str">
        <f>CONCATENATE("AMST","-",LEFT(P230,2),UPPER(MID(P230,4,3)),RIGHT(P230,4))</f>
        <v>AMST-22NOV1900</v>
      </c>
      <c r="C230" s="11" t="s">
        <v>2102</v>
      </c>
      <c r="D230" s="11" t="s">
        <v>3455</v>
      </c>
      <c r="E230" s="39" t="s">
        <v>2214</v>
      </c>
      <c r="F230" s="11" t="s">
        <v>1700</v>
      </c>
      <c r="G230" s="39" t="s">
        <v>2206</v>
      </c>
      <c r="J230" s="17">
        <v>1</v>
      </c>
      <c r="K230" s="17"/>
      <c r="L230" s="7">
        <f t="shared" si="97"/>
        <v>1</v>
      </c>
      <c r="M230" s="8">
        <v>1</v>
      </c>
      <c r="N230" s="8">
        <f t="shared" si="93"/>
        <v>1</v>
      </c>
      <c r="O230" s="11" t="s">
        <v>1702</v>
      </c>
      <c r="P230" s="16" t="str">
        <f t="shared" si="98"/>
        <v>22-Nov-1900</v>
      </c>
      <c r="R230" s="16" t="str">
        <f t="shared" si="92"/>
        <v>x</v>
      </c>
      <c r="S230" s="16" t="str">
        <f t="shared" si="92"/>
        <v>x</v>
      </c>
      <c r="U230" s="46" t="str">
        <f t="shared" si="88"/>
        <v/>
      </c>
      <c r="V230" s="46">
        <f t="shared" si="88"/>
        <v>1</v>
      </c>
      <c r="W230" s="46" t="str">
        <f t="shared" si="88"/>
        <v/>
      </c>
      <c r="X230" s="46" t="str">
        <f t="shared" si="88"/>
        <v/>
      </c>
    </row>
    <row r="231" spans="2:26" x14ac:dyDescent="0.25">
      <c r="B231" s="11" t="str">
        <f>CONCATENATE("AMST","-",LEFT(P231,2),UPPER(MID(P231,4,3)),RIGHT(P231,4))</f>
        <v>AMST-02-DE1900</v>
      </c>
      <c r="C231" s="11" t="s">
        <v>2102</v>
      </c>
      <c r="D231" s="11" t="s">
        <v>3455</v>
      </c>
      <c r="E231" s="39" t="s">
        <v>2215</v>
      </c>
      <c r="F231" s="11" t="s">
        <v>1700</v>
      </c>
      <c r="G231" s="39" t="s">
        <v>2207</v>
      </c>
      <c r="J231" s="17">
        <v>0</v>
      </c>
      <c r="K231" s="17"/>
      <c r="L231" s="7">
        <f t="shared" si="97"/>
        <v>0</v>
      </c>
      <c r="M231" s="8">
        <v>1</v>
      </c>
      <c r="N231" s="8" t="str">
        <f t="shared" si="93"/>
        <v/>
      </c>
      <c r="O231" s="11" t="s">
        <v>1702</v>
      </c>
      <c r="P231" s="16" t="str">
        <f t="shared" si="98"/>
        <v>026-Dec1900</v>
      </c>
      <c r="R231" s="16" t="str">
        <f t="shared" si="92"/>
        <v/>
      </c>
      <c r="S231" s="16" t="str">
        <f t="shared" si="92"/>
        <v/>
      </c>
      <c r="U231" s="46" t="str">
        <f t="shared" si="88"/>
        <v/>
      </c>
      <c r="V231" s="46">
        <f t="shared" si="88"/>
        <v>0</v>
      </c>
      <c r="W231" s="46" t="str">
        <f t="shared" si="88"/>
        <v/>
      </c>
      <c r="X231" s="46" t="str">
        <f t="shared" si="88"/>
        <v/>
      </c>
    </row>
    <row r="232" spans="2:26" x14ac:dyDescent="0.25">
      <c r="B232" s="11" t="str">
        <f t="shared" si="75"/>
        <v>AMST-30JAN1901</v>
      </c>
      <c r="C232" s="11" t="s">
        <v>2102</v>
      </c>
      <c r="D232" s="11" t="s">
        <v>3455</v>
      </c>
      <c r="E232" s="39" t="s">
        <v>2106</v>
      </c>
      <c r="F232" s="11" t="s">
        <v>1700</v>
      </c>
      <c r="G232" s="39" t="s">
        <v>2107</v>
      </c>
      <c r="J232" s="17">
        <v>2</v>
      </c>
      <c r="K232" s="17"/>
      <c r="L232" s="7">
        <f t="shared" si="97"/>
        <v>2</v>
      </c>
      <c r="M232" s="8">
        <v>1</v>
      </c>
      <c r="N232" s="8">
        <f t="shared" si="93"/>
        <v>1</v>
      </c>
      <c r="O232" s="11" t="s">
        <v>1702</v>
      </c>
      <c r="P232" s="16" t="str">
        <f t="shared" si="98"/>
        <v>30-Jan-1901</v>
      </c>
      <c r="R232" s="16" t="str">
        <f t="shared" si="92"/>
        <v>x</v>
      </c>
      <c r="S232" s="16" t="str">
        <f t="shared" si="92"/>
        <v>x</v>
      </c>
      <c r="U232" s="46" t="str">
        <f t="shared" si="88"/>
        <v/>
      </c>
      <c r="V232" s="46">
        <f t="shared" si="88"/>
        <v>2</v>
      </c>
      <c r="W232" s="46" t="str">
        <f t="shared" si="88"/>
        <v/>
      </c>
      <c r="X232" s="46" t="str">
        <f t="shared" si="88"/>
        <v/>
      </c>
    </row>
    <row r="233" spans="2:26" x14ac:dyDescent="0.25">
      <c r="B233" s="11" t="str">
        <f>CONCATENATE("AMST","-",LEFT(P233,2),UPPER(MID(P233,4,3)),RIGHT(P233,4))</f>
        <v>AMST-12NOV1901</v>
      </c>
      <c r="C233" s="11" t="s">
        <v>2102</v>
      </c>
      <c r="D233" s="11" t="s">
        <v>2103</v>
      </c>
      <c r="E233" s="39" t="s">
        <v>5035</v>
      </c>
      <c r="F233" s="11" t="s">
        <v>1700</v>
      </c>
      <c r="G233" s="39" t="s">
        <v>5036</v>
      </c>
      <c r="J233" s="7">
        <v>12</v>
      </c>
      <c r="L233" s="7">
        <f>SUM(H233:K233)</f>
        <v>12</v>
      </c>
      <c r="M233" s="8">
        <v>1</v>
      </c>
      <c r="N233" s="8">
        <f>IF(L233&gt;0,1,"")</f>
        <v>1</v>
      </c>
      <c r="O233" s="11" t="s">
        <v>1702</v>
      </c>
      <c r="P233" s="16" t="str">
        <f>IF(LEN(G233)=10,CONCATENATE("0",G233),G233)</f>
        <v>12-Nov-1901</v>
      </c>
      <c r="R233" s="16" t="str">
        <f t="shared" si="92"/>
        <v>x</v>
      </c>
      <c r="S233" s="16" t="str">
        <f t="shared" si="92"/>
        <v>x</v>
      </c>
      <c r="U233" s="46" t="str">
        <f>IF($O233=U$5,$L233,"")</f>
        <v/>
      </c>
      <c r="V233" s="46">
        <f>IF($O233=V$5,$L233,"")</f>
        <v>12</v>
      </c>
      <c r="W233" s="46" t="str">
        <f>IF($O233=W$5,$L233,"")</f>
        <v/>
      </c>
      <c r="X233" s="46" t="str">
        <f>IF($O233=X$5,$L233,"")</f>
        <v/>
      </c>
      <c r="Z233" s="11" t="s">
        <v>3348</v>
      </c>
    </row>
    <row r="234" spans="2:26" x14ac:dyDescent="0.25">
      <c r="B234" s="11" t="str">
        <f>CONCATENATE("AMST","-",LEFT(P234,2),UPPER(MID(P234,4,3)),RIGHT(P234,4))</f>
        <v>AMST-24DEC1902</v>
      </c>
      <c r="C234" s="11" t="s">
        <v>2102</v>
      </c>
      <c r="D234" s="11" t="s">
        <v>2103</v>
      </c>
      <c r="E234" s="39" t="s">
        <v>3347</v>
      </c>
      <c r="F234" s="11" t="s">
        <v>1700</v>
      </c>
      <c r="G234" s="39" t="s">
        <v>3346</v>
      </c>
      <c r="J234" s="7">
        <v>10</v>
      </c>
      <c r="L234" s="7">
        <f>SUM(H234:K234)</f>
        <v>10</v>
      </c>
      <c r="M234" s="8">
        <v>1</v>
      </c>
      <c r="N234" s="8">
        <f>IF(L234&gt;0,1,"")</f>
        <v>1</v>
      </c>
      <c r="O234" s="11" t="s">
        <v>1702</v>
      </c>
      <c r="P234" s="16" t="str">
        <f>IF(LEN(G234)=10,CONCATENATE("0",G234),G234)</f>
        <v>24-Dec-1902</v>
      </c>
      <c r="R234" s="16" t="str">
        <f t="shared" si="92"/>
        <v>x</v>
      </c>
      <c r="S234" s="16" t="str">
        <f t="shared" si="92"/>
        <v>x</v>
      </c>
      <c r="U234" s="46" t="str">
        <f t="shared" si="88"/>
        <v/>
      </c>
      <c r="V234" s="46">
        <f t="shared" si="88"/>
        <v>10</v>
      </c>
      <c r="W234" s="46" t="str">
        <f t="shared" si="88"/>
        <v/>
      </c>
      <c r="X234" s="46" t="str">
        <f t="shared" si="88"/>
        <v/>
      </c>
      <c r="Z234" s="11" t="s">
        <v>3348</v>
      </c>
    </row>
    <row r="235" spans="2:26" x14ac:dyDescent="0.25">
      <c r="B235" s="11" t="str">
        <f>CONCATENATE("AMST","-",LEFT(P235,2),UPPER(MID(P235,4,3)),RIGHT(P235,4))</f>
        <v>AMST-31JAN1903</v>
      </c>
      <c r="C235" s="11" t="s">
        <v>2102</v>
      </c>
      <c r="D235" s="11" t="s">
        <v>2103</v>
      </c>
      <c r="E235" s="39" t="s">
        <v>1382</v>
      </c>
      <c r="F235" s="11" t="s">
        <v>1700</v>
      </c>
      <c r="G235" s="39" t="s">
        <v>745</v>
      </c>
      <c r="I235" s="7">
        <v>0</v>
      </c>
      <c r="J235" s="7">
        <v>1</v>
      </c>
      <c r="L235" s="7">
        <f>SUM(H235:K235)</f>
        <v>1</v>
      </c>
      <c r="M235" s="8">
        <v>1</v>
      </c>
      <c r="N235" s="8">
        <f>IF(L235&gt;0,1,"")</f>
        <v>1</v>
      </c>
      <c r="O235" s="11" t="s">
        <v>1702</v>
      </c>
      <c r="P235" s="16" t="str">
        <f>IF(LEN(G235)=10,CONCATENATE("0",G235),G235)</f>
        <v>31-Jan-1903</v>
      </c>
      <c r="R235" s="16" t="str">
        <f t="shared" si="92"/>
        <v>x</v>
      </c>
      <c r="S235" s="16" t="str">
        <f t="shared" si="92"/>
        <v>x</v>
      </c>
      <c r="U235" s="46" t="str">
        <f t="shared" si="88"/>
        <v/>
      </c>
      <c r="V235" s="46">
        <f t="shared" si="88"/>
        <v>1</v>
      </c>
      <c r="W235" s="46" t="str">
        <f t="shared" si="88"/>
        <v/>
      </c>
      <c r="X235" s="46" t="str">
        <f t="shared" si="88"/>
        <v/>
      </c>
    </row>
    <row r="236" spans="2:26" x14ac:dyDescent="0.25">
      <c r="B236" s="11" t="str">
        <f t="shared" si="75"/>
        <v>AMST-09MAR1903</v>
      </c>
      <c r="C236" s="11" t="s">
        <v>2102</v>
      </c>
      <c r="D236" s="11" t="s">
        <v>2103</v>
      </c>
      <c r="E236" s="39" t="s">
        <v>2104</v>
      </c>
      <c r="F236" s="11" t="s">
        <v>1700</v>
      </c>
      <c r="G236" s="39" t="s">
        <v>2105</v>
      </c>
      <c r="H236" s="7">
        <v>0</v>
      </c>
      <c r="I236" s="7">
        <v>0</v>
      </c>
      <c r="J236" s="7">
        <v>8</v>
      </c>
      <c r="L236" s="7">
        <f t="shared" si="97"/>
        <v>8</v>
      </c>
      <c r="M236" s="8">
        <v>1</v>
      </c>
      <c r="N236" s="8">
        <f t="shared" si="93"/>
        <v>1</v>
      </c>
      <c r="O236" s="11" t="s">
        <v>1702</v>
      </c>
      <c r="P236" s="16" t="str">
        <f t="shared" si="98"/>
        <v>09-Mar-1903</v>
      </c>
      <c r="R236" s="16" t="str">
        <f t="shared" si="92"/>
        <v>x</v>
      </c>
      <c r="S236" s="16" t="str">
        <f t="shared" si="92"/>
        <v>x</v>
      </c>
      <c r="U236" s="46" t="str">
        <f t="shared" si="88"/>
        <v/>
      </c>
      <c r="V236" s="46">
        <f t="shared" si="88"/>
        <v>8</v>
      </c>
      <c r="W236" s="46" t="str">
        <f t="shared" si="88"/>
        <v/>
      </c>
      <c r="X236" s="46" t="str">
        <f t="shared" si="88"/>
        <v/>
      </c>
    </row>
    <row r="237" spans="2:26" x14ac:dyDescent="0.25">
      <c r="N237" s="8" t="str">
        <f>IF(R237="x",1,"")</f>
        <v/>
      </c>
      <c r="U237" s="46" t="str">
        <f t="shared" si="88"/>
        <v/>
      </c>
      <c r="V237" s="46" t="str">
        <f t="shared" si="88"/>
        <v/>
      </c>
      <c r="W237" s="46" t="str">
        <f t="shared" si="88"/>
        <v/>
      </c>
      <c r="X237" s="46" t="str">
        <f t="shared" si="88"/>
        <v/>
      </c>
    </row>
    <row r="238" spans="2:26" s="18" customFormat="1" x14ac:dyDescent="0.25">
      <c r="E238" s="40"/>
      <c r="G238" s="40"/>
      <c r="H238" s="7">
        <f t="shared" ref="H238:N238" si="99">SUM(H150:H237)</f>
        <v>0</v>
      </c>
      <c r="I238" s="7">
        <f t="shared" si="99"/>
        <v>2</v>
      </c>
      <c r="J238" s="7">
        <f>SUM(J150:J237)</f>
        <v>224</v>
      </c>
      <c r="K238" s="7">
        <f t="shared" si="99"/>
        <v>0</v>
      </c>
      <c r="L238" s="7">
        <f t="shared" si="99"/>
        <v>226</v>
      </c>
      <c r="M238" s="8">
        <f t="shared" si="99"/>
        <v>87</v>
      </c>
      <c r="N238" s="8">
        <f t="shared" si="99"/>
        <v>43</v>
      </c>
      <c r="P238" s="13"/>
      <c r="Q238" s="13"/>
      <c r="R238" s="13"/>
      <c r="S238" s="13"/>
      <c r="T238" s="15"/>
      <c r="U238" s="46" t="str">
        <f t="shared" si="88"/>
        <v/>
      </c>
      <c r="V238" s="46" t="str">
        <f t="shared" si="88"/>
        <v/>
      </c>
      <c r="W238" s="46" t="str">
        <f t="shared" si="88"/>
        <v/>
      </c>
      <c r="X238" s="46" t="str">
        <f t="shared" si="88"/>
        <v/>
      </c>
      <c r="Z238" s="11"/>
    </row>
    <row r="239" spans="2:26" x14ac:dyDescent="0.25">
      <c r="B239" s="18"/>
      <c r="C239" s="18"/>
      <c r="D239" s="18"/>
      <c r="E239" s="40"/>
      <c r="F239" s="18"/>
      <c r="G239" s="40"/>
      <c r="N239" s="8" t="str">
        <f>IF(R239="x",1,"")</f>
        <v/>
      </c>
      <c r="O239" s="18"/>
      <c r="P239" s="13"/>
      <c r="Q239" s="13"/>
      <c r="R239" s="13"/>
      <c r="S239" s="13"/>
      <c r="T239" s="15"/>
      <c r="U239" s="46" t="str">
        <f t="shared" si="88"/>
        <v/>
      </c>
      <c r="V239" s="46" t="str">
        <f t="shared" si="88"/>
        <v/>
      </c>
      <c r="W239" s="46" t="str">
        <f t="shared" si="88"/>
        <v/>
      </c>
      <c r="X239" s="46" t="str">
        <f t="shared" si="88"/>
        <v/>
      </c>
    </row>
    <row r="240" spans="2:26" x14ac:dyDescent="0.25">
      <c r="B240" s="18"/>
      <c r="C240" s="18"/>
      <c r="D240" s="18"/>
      <c r="E240" s="40"/>
      <c r="F240" s="18"/>
      <c r="G240" s="40"/>
      <c r="N240" s="8" t="str">
        <f>IF(R240="x",1,"")</f>
        <v/>
      </c>
      <c r="O240" s="18"/>
      <c r="P240" s="13"/>
      <c r="Q240" s="13"/>
      <c r="R240" s="13"/>
      <c r="S240" s="13"/>
      <c r="T240" s="15"/>
      <c r="U240" s="46" t="str">
        <f t="shared" si="88"/>
        <v/>
      </c>
      <c r="V240" s="46" t="str">
        <f t="shared" si="88"/>
        <v/>
      </c>
      <c r="W240" s="46" t="str">
        <f t="shared" si="88"/>
        <v/>
      </c>
      <c r="X240" s="46" t="str">
        <f t="shared" si="88"/>
        <v/>
      </c>
    </row>
    <row r="241" spans="2:24" x14ac:dyDescent="0.25">
      <c r="B241" s="11" t="str">
        <f>CONCATENATE("ANCO","-",LEFT(P241,2),UPPER(MID(P241,4,3)),RIGHT(P241,4))</f>
        <v>ANCO-21JAN1910</v>
      </c>
      <c r="C241" s="11" t="s">
        <v>3254</v>
      </c>
      <c r="D241" s="11" t="s">
        <v>3007</v>
      </c>
      <c r="E241" s="39" t="s">
        <v>2326</v>
      </c>
      <c r="F241" s="11" t="s">
        <v>1700</v>
      </c>
      <c r="G241" s="39" t="s">
        <v>5388</v>
      </c>
      <c r="H241" s="7">
        <v>0</v>
      </c>
      <c r="J241" s="17">
        <v>22</v>
      </c>
      <c r="K241" s="17"/>
      <c r="L241" s="7">
        <f>SUM(H241:K241)</f>
        <v>22</v>
      </c>
      <c r="M241" s="8">
        <v>1</v>
      </c>
      <c r="N241" s="8">
        <f>IF(L241&gt;0,1,"")</f>
        <v>1</v>
      </c>
      <c r="O241" s="11" t="s">
        <v>1702</v>
      </c>
      <c r="P241" s="16" t="str">
        <f>IF(LEN(G241)=10,CONCATENATE("0",G241),G241)</f>
        <v>21-Jan-1910</v>
      </c>
      <c r="R241" s="16" t="str">
        <f t="shared" ref="R241:S243" si="100">IF($L241&gt;0,"x","")</f>
        <v>x</v>
      </c>
      <c r="S241" s="16" t="str">
        <f t="shared" si="100"/>
        <v>x</v>
      </c>
      <c r="U241" s="46" t="str">
        <f t="shared" si="88"/>
        <v/>
      </c>
      <c r="V241" s="46">
        <f t="shared" si="88"/>
        <v>22</v>
      </c>
      <c r="W241" s="46" t="str">
        <f t="shared" si="88"/>
        <v/>
      </c>
      <c r="X241" s="46" t="str">
        <f t="shared" si="88"/>
        <v/>
      </c>
    </row>
    <row r="242" spans="2:24" x14ac:dyDescent="0.25">
      <c r="B242" s="11" t="str">
        <f>CONCATENATE("ANCO","-",LEFT(P242,2),UPPER(MID(P242,4,3)),RIGHT(P242,4))</f>
        <v>ANCO-12APR1910</v>
      </c>
      <c r="C242" s="11" t="s">
        <v>3254</v>
      </c>
      <c r="D242" s="11" t="s">
        <v>3007</v>
      </c>
      <c r="E242" s="39" t="s">
        <v>3255</v>
      </c>
      <c r="F242" s="11" t="s">
        <v>1700</v>
      </c>
      <c r="G242" s="39" t="s">
        <v>2678</v>
      </c>
      <c r="H242" s="7">
        <v>0</v>
      </c>
      <c r="J242" s="17">
        <v>19</v>
      </c>
      <c r="K242" s="17"/>
      <c r="L242" s="7">
        <f>SUM(H242:K242)</f>
        <v>19</v>
      </c>
      <c r="M242" s="8">
        <v>1</v>
      </c>
      <c r="N242" s="8">
        <f>IF(L242&gt;0,1,"")</f>
        <v>1</v>
      </c>
      <c r="O242" s="11" t="s">
        <v>1702</v>
      </c>
      <c r="P242" s="16" t="str">
        <f>IF(LEN(G242)=10,CONCATENATE("0",G242),G242)</f>
        <v>12-Apr-1910</v>
      </c>
      <c r="R242" s="16" t="str">
        <f t="shared" si="100"/>
        <v>x</v>
      </c>
      <c r="S242" s="16" t="str">
        <f t="shared" si="100"/>
        <v>x</v>
      </c>
      <c r="U242" s="46" t="str">
        <f>IF($O242=U$5,$L242,"")</f>
        <v/>
      </c>
      <c r="V242" s="46">
        <f>IF($O242=V$5,$L242,"")</f>
        <v>19</v>
      </c>
      <c r="W242" s="46" t="str">
        <f>IF($O242=W$5,$L242,"")</f>
        <v/>
      </c>
      <c r="X242" s="46" t="str">
        <f>IF($O242=X$5,$L242,"")</f>
        <v/>
      </c>
    </row>
    <row r="243" spans="2:24" x14ac:dyDescent="0.25">
      <c r="B243" s="11" t="str">
        <f>CONCATENATE("ANCO","-",LEFT(P243,2),UPPER(MID(P243,4,3)),RIGHT(P243,4))</f>
        <v>ANCO-27AUG1912</v>
      </c>
      <c r="C243" s="11" t="s">
        <v>3254</v>
      </c>
      <c r="D243" s="11" t="s">
        <v>3007</v>
      </c>
      <c r="E243" s="39" t="s">
        <v>994</v>
      </c>
      <c r="F243" s="11" t="s">
        <v>1700</v>
      </c>
      <c r="G243" s="39" t="s">
        <v>1902</v>
      </c>
      <c r="H243" s="7">
        <v>0</v>
      </c>
      <c r="I243" s="7">
        <v>0</v>
      </c>
      <c r="J243" s="17">
        <v>10</v>
      </c>
      <c r="K243" s="17"/>
      <c r="L243" s="7">
        <f>SUM(H243:K243)</f>
        <v>10</v>
      </c>
      <c r="M243" s="8">
        <v>1</v>
      </c>
      <c r="N243" s="8">
        <f>IF(L243&gt;0,1,"")</f>
        <v>1</v>
      </c>
      <c r="O243" s="11" t="s">
        <v>1702</v>
      </c>
      <c r="P243" s="16" t="str">
        <f>IF(LEN(G243)=10,CONCATENATE("0",G243),G243)</f>
        <v>27-Aug-1912</v>
      </c>
      <c r="R243" s="16" t="str">
        <f t="shared" si="100"/>
        <v>x</v>
      </c>
      <c r="S243" s="16" t="str">
        <f t="shared" si="100"/>
        <v>x</v>
      </c>
      <c r="U243" s="46" t="str">
        <f t="shared" ref="U243:X244" si="101">IF($O243=U$5,$L243,"")</f>
        <v/>
      </c>
      <c r="V243" s="46">
        <f t="shared" si="101"/>
        <v>10</v>
      </c>
      <c r="W243" s="46" t="str">
        <f t="shared" si="101"/>
        <v/>
      </c>
      <c r="X243" s="46" t="str">
        <f t="shared" si="101"/>
        <v/>
      </c>
    </row>
    <row r="244" spans="2:24" x14ac:dyDescent="0.25">
      <c r="B244" s="11" t="str">
        <f>CONCATENATE("ANCO","-",LEFT(P244,2),UPPER(MID(P244,4,3)),RIGHT(P244,4))</f>
        <v>ANCO-18SEP1914</v>
      </c>
      <c r="C244" s="11" t="s">
        <v>3254</v>
      </c>
      <c r="D244" s="11" t="s">
        <v>3007</v>
      </c>
      <c r="E244" s="39" t="s">
        <v>5253</v>
      </c>
      <c r="F244" s="11" t="s">
        <v>1700</v>
      </c>
      <c r="G244" s="39" t="s">
        <v>5254</v>
      </c>
      <c r="H244" s="7">
        <v>0</v>
      </c>
      <c r="I244" s="7">
        <v>0</v>
      </c>
      <c r="J244" s="17">
        <v>5</v>
      </c>
      <c r="K244" s="17"/>
      <c r="L244" s="7">
        <f>SUM(H244:K244)</f>
        <v>5</v>
      </c>
      <c r="M244" s="8">
        <v>1</v>
      </c>
      <c r="N244" s="8">
        <f>IF(L244&gt;0,1,"")</f>
        <v>1</v>
      </c>
      <c r="O244" s="11" t="s">
        <v>1702</v>
      </c>
      <c r="P244" s="16" t="str">
        <f>IF(LEN(G244)=10,CONCATENATE("0",G244),G244)</f>
        <v>18-Sep-1914</v>
      </c>
      <c r="R244" s="16" t="str">
        <f>IF($L244&gt;0,"x","")</f>
        <v>x</v>
      </c>
      <c r="S244" s="16" t="str">
        <f>IF($L244&gt;0,"x","")</f>
        <v>x</v>
      </c>
      <c r="U244" s="46" t="str">
        <f t="shared" si="101"/>
        <v/>
      </c>
      <c r="V244" s="46">
        <f t="shared" si="101"/>
        <v>5</v>
      </c>
      <c r="W244" s="46" t="str">
        <f t="shared" si="101"/>
        <v/>
      </c>
      <c r="X244" s="46" t="str">
        <f t="shared" si="101"/>
        <v/>
      </c>
    </row>
    <row r="245" spans="2:24" x14ac:dyDescent="0.25">
      <c r="N245" s="8" t="str">
        <f>IF(R245="x",1,"")</f>
        <v/>
      </c>
      <c r="U245" s="46" t="str">
        <f t="shared" si="88"/>
        <v/>
      </c>
      <c r="V245" s="46" t="str">
        <f t="shared" si="88"/>
        <v/>
      </c>
      <c r="W245" s="46" t="str">
        <f t="shared" si="88"/>
        <v/>
      </c>
      <c r="X245" s="46" t="str">
        <f t="shared" si="88"/>
        <v/>
      </c>
    </row>
    <row r="246" spans="2:24" x14ac:dyDescent="0.25">
      <c r="B246" s="18"/>
      <c r="C246" s="18"/>
      <c r="D246" s="18"/>
      <c r="E246" s="40"/>
      <c r="F246" s="18"/>
      <c r="G246" s="40"/>
      <c r="H246" s="7">
        <f t="shared" ref="H246:N246" si="102">SUM(H241:H245)</f>
        <v>0</v>
      </c>
      <c r="I246" s="7">
        <f t="shared" si="102"/>
        <v>0</v>
      </c>
      <c r="J246" s="7">
        <f>SUM(J241:J245)</f>
        <v>56</v>
      </c>
      <c r="K246" s="7">
        <f t="shared" si="102"/>
        <v>0</v>
      </c>
      <c r="L246" s="7">
        <f t="shared" si="102"/>
        <v>56</v>
      </c>
      <c r="M246" s="7">
        <f t="shared" si="102"/>
        <v>4</v>
      </c>
      <c r="N246" s="7">
        <f t="shared" si="102"/>
        <v>4</v>
      </c>
      <c r="O246" s="18"/>
      <c r="P246" s="13"/>
      <c r="Q246" s="13"/>
      <c r="S246" s="13"/>
      <c r="T246" s="15"/>
      <c r="U246" s="46" t="str">
        <f t="shared" si="88"/>
        <v/>
      </c>
      <c r="V246" s="46" t="str">
        <f t="shared" si="88"/>
        <v/>
      </c>
      <c r="W246" s="46" t="str">
        <f t="shared" si="88"/>
        <v/>
      </c>
      <c r="X246" s="46" t="str">
        <f t="shared" si="88"/>
        <v/>
      </c>
    </row>
    <row r="247" spans="2:24" x14ac:dyDescent="0.25">
      <c r="B247" s="18"/>
      <c r="C247" s="18"/>
      <c r="D247" s="18"/>
      <c r="E247" s="40"/>
      <c r="F247" s="18"/>
      <c r="G247" s="40"/>
      <c r="N247" s="8" t="str">
        <f>IF(R247="x",1,"")</f>
        <v/>
      </c>
      <c r="O247" s="18"/>
      <c r="P247" s="13"/>
      <c r="Q247" s="13"/>
      <c r="R247" s="13"/>
      <c r="S247" s="13"/>
      <c r="T247" s="15"/>
      <c r="U247" s="46" t="str">
        <f t="shared" si="88"/>
        <v/>
      </c>
      <c r="V247" s="46" t="str">
        <f t="shared" si="88"/>
        <v/>
      </c>
      <c r="W247" s="46" t="str">
        <f t="shared" si="88"/>
        <v/>
      </c>
      <c r="X247" s="46" t="str">
        <f t="shared" si="88"/>
        <v/>
      </c>
    </row>
    <row r="248" spans="2:24" x14ac:dyDescent="0.25">
      <c r="B248" s="18"/>
      <c r="C248" s="18"/>
      <c r="D248" s="18"/>
      <c r="E248" s="40"/>
      <c r="F248" s="18"/>
      <c r="G248" s="40"/>
      <c r="N248" s="8" t="str">
        <f>IF(R248="x",1,"")</f>
        <v/>
      </c>
      <c r="O248" s="18"/>
      <c r="P248" s="13"/>
      <c r="Q248" s="13"/>
      <c r="R248" s="13"/>
      <c r="S248" s="13"/>
      <c r="T248" s="15"/>
      <c r="U248" s="46" t="str">
        <f t="shared" si="88"/>
        <v/>
      </c>
      <c r="V248" s="46" t="str">
        <f t="shared" si="88"/>
        <v/>
      </c>
      <c r="W248" s="46" t="str">
        <f t="shared" si="88"/>
        <v/>
      </c>
      <c r="X248" s="46" t="str">
        <f t="shared" si="88"/>
        <v/>
      </c>
    </row>
    <row r="249" spans="2:24" x14ac:dyDescent="0.25">
      <c r="B249" s="11" t="str">
        <f>CONCATENATE("ANDA","-",LEFT(P249,2),UPPER(MID(P249,4,3)),RIGHT(P249,4))</f>
        <v>ANDA-22MAR1897</v>
      </c>
      <c r="C249" s="11" t="s">
        <v>4097</v>
      </c>
      <c r="D249" s="11" t="s">
        <v>1699</v>
      </c>
      <c r="F249" s="11" t="s">
        <v>1700</v>
      </c>
      <c r="G249" s="39" t="s">
        <v>273</v>
      </c>
      <c r="H249" s="7">
        <v>0</v>
      </c>
      <c r="I249" s="7">
        <v>0</v>
      </c>
      <c r="J249" s="17">
        <v>10</v>
      </c>
      <c r="K249" s="17"/>
      <c r="L249" s="7">
        <f>SUM(H249:K249)</f>
        <v>10</v>
      </c>
      <c r="M249" s="8">
        <v>1</v>
      </c>
      <c r="N249" s="8">
        <f>IF(L249&gt;0,1,"")</f>
        <v>1</v>
      </c>
      <c r="O249" s="11" t="s">
        <v>1702</v>
      </c>
      <c r="P249" s="16" t="str">
        <f>IF(LEN(G249)=10,CONCATENATE("0",G249),G249)</f>
        <v>22-Mar-1897</v>
      </c>
      <c r="R249" s="16" t="str">
        <f>IF($L249&gt;0,"x","")</f>
        <v>x</v>
      </c>
      <c r="S249" s="16" t="str">
        <f>IF($L249&gt;0,"x","")</f>
        <v>x</v>
      </c>
      <c r="U249" s="46" t="str">
        <f t="shared" si="88"/>
        <v/>
      </c>
      <c r="V249" s="46">
        <f t="shared" si="88"/>
        <v>10</v>
      </c>
      <c r="W249" s="46" t="str">
        <f t="shared" si="88"/>
        <v/>
      </c>
      <c r="X249" s="46" t="str">
        <f t="shared" si="88"/>
        <v/>
      </c>
    </row>
    <row r="250" spans="2:24" x14ac:dyDescent="0.25">
      <c r="N250" s="8" t="str">
        <f>IF(R250="x",1,"")</f>
        <v/>
      </c>
      <c r="U250" s="46" t="str">
        <f t="shared" si="88"/>
        <v/>
      </c>
      <c r="V250" s="46" t="str">
        <f t="shared" si="88"/>
        <v/>
      </c>
      <c r="W250" s="46" t="str">
        <f t="shared" si="88"/>
        <v/>
      </c>
      <c r="X250" s="46" t="str">
        <f t="shared" si="88"/>
        <v/>
      </c>
    </row>
    <row r="251" spans="2:24" x14ac:dyDescent="0.25">
      <c r="B251" s="18"/>
      <c r="C251" s="18"/>
      <c r="D251" s="18"/>
      <c r="E251" s="40"/>
      <c r="F251" s="18"/>
      <c r="G251" s="40"/>
      <c r="H251" s="7">
        <f t="shared" ref="H251:N251" si="103">SUM(H249:H250)</f>
        <v>0</v>
      </c>
      <c r="I251" s="7">
        <f t="shared" si="103"/>
        <v>0</v>
      </c>
      <c r="J251" s="7">
        <f>SUM(J249:J250)</f>
        <v>10</v>
      </c>
      <c r="K251" s="7">
        <f t="shared" si="103"/>
        <v>0</v>
      </c>
      <c r="L251" s="7">
        <f t="shared" si="103"/>
        <v>10</v>
      </c>
      <c r="M251" s="7">
        <f t="shared" si="103"/>
        <v>1</v>
      </c>
      <c r="N251" s="7">
        <f t="shared" si="103"/>
        <v>1</v>
      </c>
      <c r="O251" s="18"/>
      <c r="P251" s="13"/>
      <c r="Q251" s="13"/>
      <c r="S251" s="13"/>
      <c r="T251" s="15"/>
      <c r="U251" s="46" t="str">
        <f t="shared" si="88"/>
        <v/>
      </c>
      <c r="V251" s="46" t="str">
        <f t="shared" si="88"/>
        <v/>
      </c>
      <c r="W251" s="46" t="str">
        <f t="shared" si="88"/>
        <v/>
      </c>
      <c r="X251" s="46" t="str">
        <f t="shared" si="88"/>
        <v/>
      </c>
    </row>
    <row r="252" spans="2:24" x14ac:dyDescent="0.25">
      <c r="B252" s="18"/>
      <c r="C252" s="18"/>
      <c r="D252" s="18"/>
      <c r="E252" s="40"/>
      <c r="F252" s="18"/>
      <c r="G252" s="40"/>
      <c r="N252" s="8" t="str">
        <f>IF(R252="x",1,"")</f>
        <v/>
      </c>
      <c r="O252" s="18"/>
      <c r="P252" s="13"/>
      <c r="Q252" s="13"/>
      <c r="R252" s="13"/>
      <c r="S252" s="13"/>
      <c r="T252" s="15"/>
      <c r="U252" s="46" t="str">
        <f t="shared" ref="U252:X256" si="104">IF($O252=U$5,$L252,"")</f>
        <v/>
      </c>
      <c r="V252" s="46" t="str">
        <f t="shared" si="104"/>
        <v/>
      </c>
      <c r="W252" s="46" t="str">
        <f t="shared" si="104"/>
        <v/>
      </c>
      <c r="X252" s="46" t="str">
        <f t="shared" si="104"/>
        <v/>
      </c>
    </row>
    <row r="253" spans="2:24" x14ac:dyDescent="0.25">
      <c r="B253" s="18"/>
      <c r="C253" s="18"/>
      <c r="D253" s="18"/>
      <c r="E253" s="40"/>
      <c r="F253" s="18"/>
      <c r="G253" s="40"/>
      <c r="N253" s="8" t="str">
        <f>IF(R253="x",1,"")</f>
        <v/>
      </c>
      <c r="O253" s="18"/>
      <c r="P253" s="13"/>
      <c r="Q253" s="13"/>
      <c r="R253" s="13"/>
      <c r="S253" s="13"/>
      <c r="T253" s="15"/>
      <c r="U253" s="46" t="str">
        <f t="shared" si="104"/>
        <v/>
      </c>
      <c r="V253" s="46" t="str">
        <f t="shared" si="104"/>
        <v/>
      </c>
      <c r="W253" s="46" t="str">
        <f t="shared" si="104"/>
        <v/>
      </c>
      <c r="X253" s="46" t="str">
        <f t="shared" si="104"/>
        <v/>
      </c>
    </row>
    <row r="254" spans="2:24" x14ac:dyDescent="0.25">
      <c r="B254" s="11" t="str">
        <f>CONCATENATE("ANDN","-",LEFT(P254,2),UPPER(MID(P254,4,3)),RIGHT(P254,4))</f>
        <v>ANDN-02JUN1929</v>
      </c>
      <c r="C254" s="11" t="s">
        <v>4836</v>
      </c>
      <c r="D254" s="11" t="s">
        <v>2097</v>
      </c>
      <c r="E254" s="39" t="s">
        <v>4837</v>
      </c>
      <c r="F254" s="11" t="s">
        <v>2813</v>
      </c>
      <c r="G254" s="39" t="s">
        <v>4838</v>
      </c>
      <c r="H254" s="7">
        <v>0</v>
      </c>
      <c r="J254" s="17">
        <v>1</v>
      </c>
      <c r="K254" s="17"/>
      <c r="L254" s="7">
        <f>SUM(H254:K254)</f>
        <v>1</v>
      </c>
      <c r="M254" s="8">
        <v>1</v>
      </c>
      <c r="N254" s="8">
        <f>IF(L254&gt;0,1,"")</f>
        <v>1</v>
      </c>
      <c r="O254" s="11" t="s">
        <v>1702</v>
      </c>
      <c r="P254" s="16" t="str">
        <f>IF(LEN(G254)=10,CONCATENATE("0",G254),G254)</f>
        <v>02-Jun-1929</v>
      </c>
      <c r="R254" s="16" t="str">
        <f>IF($L254&gt;0,"x","")</f>
        <v>x</v>
      </c>
      <c r="S254" s="16" t="str">
        <f>IF($L254&gt;0,"x","")</f>
        <v>x</v>
      </c>
      <c r="U254" s="46" t="str">
        <f t="shared" si="104"/>
        <v/>
      </c>
      <c r="V254" s="46">
        <f t="shared" si="104"/>
        <v>1</v>
      </c>
      <c r="W254" s="46" t="str">
        <f t="shared" si="104"/>
        <v/>
      </c>
      <c r="X254" s="46" t="str">
        <f t="shared" si="104"/>
        <v/>
      </c>
    </row>
    <row r="255" spans="2:24" x14ac:dyDescent="0.25">
      <c r="N255" s="8" t="str">
        <f>IF(R255="x",1,"")</f>
        <v/>
      </c>
      <c r="U255" s="46" t="str">
        <f t="shared" si="104"/>
        <v/>
      </c>
      <c r="V255" s="46" t="str">
        <f t="shared" si="104"/>
        <v/>
      </c>
      <c r="W255" s="46" t="str">
        <f t="shared" si="104"/>
        <v/>
      </c>
      <c r="X255" s="46" t="str">
        <f t="shared" si="104"/>
        <v/>
      </c>
    </row>
    <row r="256" spans="2:24" x14ac:dyDescent="0.25">
      <c r="B256" s="18"/>
      <c r="C256" s="18"/>
      <c r="D256" s="18"/>
      <c r="E256" s="40"/>
      <c r="F256" s="18"/>
      <c r="G256" s="40"/>
      <c r="H256" s="7">
        <f t="shared" ref="H256:N256" si="105">SUM(H254:H255)</f>
        <v>0</v>
      </c>
      <c r="I256" s="7">
        <f t="shared" si="105"/>
        <v>0</v>
      </c>
      <c r="J256" s="7">
        <f>SUM(J254:J255)</f>
        <v>1</v>
      </c>
      <c r="K256" s="7">
        <f t="shared" si="105"/>
        <v>0</v>
      </c>
      <c r="L256" s="7">
        <f t="shared" si="105"/>
        <v>1</v>
      </c>
      <c r="M256" s="7">
        <f t="shared" si="105"/>
        <v>1</v>
      </c>
      <c r="N256" s="7">
        <f t="shared" si="105"/>
        <v>1</v>
      </c>
      <c r="O256" s="18"/>
      <c r="P256" s="13"/>
      <c r="Q256" s="13"/>
      <c r="S256" s="13"/>
      <c r="T256" s="15"/>
      <c r="U256" s="46" t="str">
        <f t="shared" si="104"/>
        <v/>
      </c>
      <c r="V256" s="46" t="str">
        <f t="shared" si="104"/>
        <v/>
      </c>
      <c r="W256" s="46" t="str">
        <f t="shared" si="104"/>
        <v/>
      </c>
      <c r="X256" s="46" t="str">
        <f t="shared" si="104"/>
        <v/>
      </c>
    </row>
    <row r="257" spans="2:24" x14ac:dyDescent="0.25">
      <c r="B257" s="18"/>
      <c r="C257" s="18"/>
      <c r="D257" s="18"/>
      <c r="E257" s="40"/>
      <c r="F257" s="18"/>
      <c r="G257" s="40"/>
      <c r="N257" s="8" t="str">
        <f>IF(R257="x",1,"")</f>
        <v/>
      </c>
      <c r="O257" s="18"/>
      <c r="P257" s="13"/>
      <c r="Q257" s="13"/>
      <c r="R257" s="13"/>
      <c r="S257" s="13"/>
      <c r="T257" s="15"/>
      <c r="U257" s="46" t="str">
        <f t="shared" ref="U257:X264" si="106">IF($O257=U$5,$L257,"")</f>
        <v/>
      </c>
      <c r="V257" s="46" t="str">
        <f t="shared" si="106"/>
        <v/>
      </c>
      <c r="W257" s="46" t="str">
        <f t="shared" si="106"/>
        <v/>
      </c>
      <c r="X257" s="46" t="str">
        <f t="shared" si="106"/>
        <v/>
      </c>
    </row>
    <row r="258" spans="2:24" x14ac:dyDescent="0.25">
      <c r="B258" s="18"/>
      <c r="C258" s="18"/>
      <c r="D258" s="18"/>
      <c r="E258" s="40"/>
      <c r="F258" s="18"/>
      <c r="G258" s="40"/>
      <c r="N258" s="8" t="str">
        <f>IF(R258="x",1,"")</f>
        <v/>
      </c>
      <c r="O258" s="18"/>
      <c r="P258" s="13"/>
      <c r="Q258" s="13"/>
      <c r="R258" s="13"/>
      <c r="S258" s="13"/>
      <c r="T258" s="15"/>
      <c r="U258" s="46" t="str">
        <f t="shared" si="106"/>
        <v/>
      </c>
      <c r="V258" s="46" t="str">
        <f t="shared" si="106"/>
        <v/>
      </c>
      <c r="W258" s="46" t="str">
        <f t="shared" si="106"/>
        <v/>
      </c>
      <c r="X258" s="46" t="str">
        <f t="shared" si="106"/>
        <v/>
      </c>
    </row>
    <row r="259" spans="2:24" x14ac:dyDescent="0.25">
      <c r="B259" s="11" t="str">
        <f>CONCATENATE("ANTN","-",LEFT(P259,2),UPPER(MID(P259,4,3)),RIGHT(P259,4))</f>
        <v>ANTN-01JUL1923</v>
      </c>
      <c r="C259" s="11" t="s">
        <v>5553</v>
      </c>
      <c r="D259" s="11" t="s">
        <v>2224</v>
      </c>
      <c r="E259" s="39" t="s">
        <v>5554</v>
      </c>
      <c r="F259" s="11" t="s">
        <v>2813</v>
      </c>
      <c r="G259" s="39" t="s">
        <v>3130</v>
      </c>
      <c r="I259" s="7">
        <v>28</v>
      </c>
      <c r="J259" s="17"/>
      <c r="K259" s="17"/>
      <c r="L259" s="7">
        <f>SUM(H259:K259)</f>
        <v>28</v>
      </c>
      <c r="M259" s="8">
        <v>1</v>
      </c>
      <c r="N259" s="8">
        <f>IF(L259&gt;0,1,"")</f>
        <v>1</v>
      </c>
      <c r="O259" s="11" t="s">
        <v>1702</v>
      </c>
      <c r="P259" s="16" t="str">
        <f>IF(LEN(G259)=10,CONCATENATE("0",G259),G259)</f>
        <v>01-Jul-1923</v>
      </c>
      <c r="R259" s="16" t="str">
        <f t="shared" ref="R259:S262" si="107">IF($L259&gt;0,"x","")</f>
        <v>x</v>
      </c>
      <c r="S259" s="16" t="str">
        <f t="shared" si="107"/>
        <v>x</v>
      </c>
      <c r="U259" s="46" t="str">
        <f t="shared" si="106"/>
        <v/>
      </c>
      <c r="V259" s="46">
        <f t="shared" si="106"/>
        <v>28</v>
      </c>
      <c r="W259" s="46" t="str">
        <f t="shared" si="106"/>
        <v/>
      </c>
      <c r="X259" s="46" t="str">
        <f t="shared" si="106"/>
        <v/>
      </c>
    </row>
    <row r="260" spans="2:24" x14ac:dyDescent="0.25">
      <c r="B260" s="11" t="str">
        <f>CONCATENATE("ANTN","-",LEFT(P260,2),UPPER(MID(P260,4,3)),RIGHT(P260,4))</f>
        <v>ANTN-22FEB1924</v>
      </c>
      <c r="C260" s="11" t="s">
        <v>5553</v>
      </c>
      <c r="D260" s="11" t="s">
        <v>2224</v>
      </c>
      <c r="E260" s="39" t="s">
        <v>11377</v>
      </c>
      <c r="F260" s="11" t="s">
        <v>2904</v>
      </c>
      <c r="G260" s="39" t="s">
        <v>11378</v>
      </c>
      <c r="J260" s="17">
        <v>2</v>
      </c>
      <c r="K260" s="17"/>
      <c r="L260" s="7">
        <f>SUM(H260:K260)</f>
        <v>2</v>
      </c>
      <c r="M260" s="8">
        <v>1</v>
      </c>
      <c r="N260" s="8">
        <f>IF(L260&gt;0,1,"")</f>
        <v>1</v>
      </c>
      <c r="O260" s="11" t="s">
        <v>1702</v>
      </c>
      <c r="P260" s="16" t="str">
        <f>IF(LEN(G260)=10,CONCATENATE("0",G260),G260)</f>
        <v>22-Feb-1924</v>
      </c>
      <c r="R260" s="16" t="str">
        <f t="shared" si="107"/>
        <v>x</v>
      </c>
      <c r="S260" s="16" t="str">
        <f t="shared" si="107"/>
        <v>x</v>
      </c>
      <c r="U260" s="46" t="str">
        <f t="shared" si="106"/>
        <v/>
      </c>
      <c r="V260" s="46">
        <f t="shared" si="106"/>
        <v>2</v>
      </c>
      <c r="W260" s="46" t="str">
        <f t="shared" si="106"/>
        <v/>
      </c>
      <c r="X260" s="46" t="str">
        <f t="shared" si="106"/>
        <v/>
      </c>
    </row>
    <row r="261" spans="2:24" x14ac:dyDescent="0.25">
      <c r="B261" s="11" t="str">
        <f>CONCATENATE("ANTN","-",LEFT(P261,2),UPPER(MID(P261,4,3)),RIGHT(P261,4))</f>
        <v>ANTN-07APR1924</v>
      </c>
      <c r="C261" s="11" t="s">
        <v>5553</v>
      </c>
      <c r="D261" s="11" t="s">
        <v>2224</v>
      </c>
      <c r="E261" s="39" t="s">
        <v>11426</v>
      </c>
      <c r="F261" s="11" t="s">
        <v>4980</v>
      </c>
      <c r="G261" s="39" t="s">
        <v>11427</v>
      </c>
      <c r="I261" s="7">
        <v>3</v>
      </c>
      <c r="J261" s="17">
        <v>0</v>
      </c>
      <c r="K261" s="17"/>
      <c r="L261" s="7">
        <f>SUM(H261:K261)</f>
        <v>3</v>
      </c>
      <c r="M261" s="8">
        <v>1</v>
      </c>
      <c r="N261" s="8">
        <f>IF(L261&gt;0,1,"")</f>
        <v>1</v>
      </c>
      <c r="O261" s="11" t="s">
        <v>1702</v>
      </c>
      <c r="P261" s="16" t="str">
        <f>IF(LEN(G261)=10,CONCATENATE("0",G261),G261)</f>
        <v>07-Apr-1924</v>
      </c>
      <c r="R261" s="16" t="str">
        <f t="shared" si="107"/>
        <v>x</v>
      </c>
      <c r="S261" s="16" t="str">
        <f t="shared" si="107"/>
        <v>x</v>
      </c>
      <c r="U261" s="46" t="str">
        <f t="shared" si="106"/>
        <v/>
      </c>
      <c r="V261" s="46">
        <f t="shared" si="106"/>
        <v>3</v>
      </c>
      <c r="W261" s="46" t="str">
        <f t="shared" si="106"/>
        <v/>
      </c>
      <c r="X261" s="46" t="str">
        <f t="shared" si="106"/>
        <v/>
      </c>
    </row>
    <row r="262" spans="2:24" x14ac:dyDescent="0.25">
      <c r="B262" s="11" t="str">
        <f>CONCATENATE("ANTN","-",LEFT(P262,2),UPPER(MID(P262,4,3)),RIGHT(P262,4))</f>
        <v>ANTN-03MAY1925</v>
      </c>
      <c r="C262" s="11" t="s">
        <v>5553</v>
      </c>
      <c r="D262" s="11" t="s">
        <v>2224</v>
      </c>
      <c r="E262" s="39" t="s">
        <v>3937</v>
      </c>
      <c r="F262" s="11" t="s">
        <v>2813</v>
      </c>
      <c r="G262" s="39" t="s">
        <v>11399</v>
      </c>
      <c r="H262" s="7">
        <v>0</v>
      </c>
      <c r="J262" s="17">
        <v>1</v>
      </c>
      <c r="K262" s="17"/>
      <c r="L262" s="7">
        <f>SUM(H262:K262)</f>
        <v>1</v>
      </c>
      <c r="M262" s="8">
        <v>1</v>
      </c>
      <c r="N262" s="8">
        <f>IF(L262&gt;0,1,"")</f>
        <v>1</v>
      </c>
      <c r="O262" s="11" t="s">
        <v>1702</v>
      </c>
      <c r="P262" s="16" t="str">
        <f>IF(LEN(G262)=10,CONCATENATE("0",G262),G262)</f>
        <v>03-May-1925</v>
      </c>
      <c r="R262" s="16" t="str">
        <f t="shared" si="107"/>
        <v>x</v>
      </c>
      <c r="S262" s="16" t="str">
        <f t="shared" si="107"/>
        <v>x</v>
      </c>
      <c r="U262" s="46" t="str">
        <f t="shared" si="106"/>
        <v/>
      </c>
      <c r="V262" s="46">
        <f t="shared" si="106"/>
        <v>1</v>
      </c>
      <c r="W262" s="46" t="str">
        <f t="shared" si="106"/>
        <v/>
      </c>
      <c r="X262" s="46" t="str">
        <f t="shared" si="106"/>
        <v/>
      </c>
    </row>
    <row r="263" spans="2:24" x14ac:dyDescent="0.25">
      <c r="N263" s="8" t="str">
        <f>IF(R263="x",1,"")</f>
        <v/>
      </c>
      <c r="U263" s="46" t="str">
        <f t="shared" si="106"/>
        <v/>
      </c>
      <c r="V263" s="46" t="str">
        <f t="shared" si="106"/>
        <v/>
      </c>
      <c r="W263" s="46" t="str">
        <f t="shared" si="106"/>
        <v/>
      </c>
      <c r="X263" s="46" t="str">
        <f t="shared" si="106"/>
        <v/>
      </c>
    </row>
    <row r="264" spans="2:24" x14ac:dyDescent="0.25">
      <c r="B264" s="18"/>
      <c r="C264" s="18"/>
      <c r="D264" s="18"/>
      <c r="E264" s="40"/>
      <c r="F264" s="18"/>
      <c r="G264" s="40"/>
      <c r="H264" s="7">
        <f t="shared" ref="H264:N264" si="108">SUM(H259:H263)</f>
        <v>0</v>
      </c>
      <c r="I264" s="7">
        <f t="shared" si="108"/>
        <v>31</v>
      </c>
      <c r="J264" s="7">
        <f>SUM(J259:J263)</f>
        <v>3</v>
      </c>
      <c r="K264" s="7">
        <f t="shared" si="108"/>
        <v>0</v>
      </c>
      <c r="L264" s="7">
        <f t="shared" si="108"/>
        <v>34</v>
      </c>
      <c r="M264" s="7">
        <f t="shared" si="108"/>
        <v>4</v>
      </c>
      <c r="N264" s="7">
        <f t="shared" si="108"/>
        <v>4</v>
      </c>
      <c r="O264" s="18"/>
      <c r="P264" s="13"/>
      <c r="Q264" s="13"/>
      <c r="S264" s="13"/>
      <c r="T264" s="15"/>
      <c r="U264" s="46" t="str">
        <f t="shared" si="106"/>
        <v/>
      </c>
      <c r="V264" s="46" t="str">
        <f t="shared" si="106"/>
        <v/>
      </c>
      <c r="W264" s="46" t="str">
        <f t="shared" si="106"/>
        <v/>
      </c>
      <c r="X264" s="46" t="str">
        <f t="shared" si="106"/>
        <v/>
      </c>
    </row>
    <row r="265" spans="2:24" x14ac:dyDescent="0.25">
      <c r="B265" s="18"/>
      <c r="C265" s="18"/>
      <c r="D265" s="18"/>
      <c r="E265" s="40"/>
      <c r="F265" s="18"/>
      <c r="G265" s="40"/>
      <c r="N265" s="8" t="str">
        <f>IF(R265="x",1,"")</f>
        <v/>
      </c>
      <c r="O265" s="18"/>
      <c r="P265" s="13"/>
      <c r="Q265" s="13"/>
      <c r="R265" s="13"/>
      <c r="S265" s="13"/>
      <c r="T265" s="15"/>
      <c r="U265" s="46" t="str">
        <f t="shared" si="88"/>
        <v/>
      </c>
      <c r="V265" s="46" t="str">
        <f t="shared" si="88"/>
        <v/>
      </c>
      <c r="W265" s="46" t="str">
        <f t="shared" si="88"/>
        <v/>
      </c>
      <c r="X265" s="46" t="str">
        <f t="shared" si="88"/>
        <v/>
      </c>
    </row>
    <row r="266" spans="2:24" x14ac:dyDescent="0.25">
      <c r="B266" s="18"/>
      <c r="C266" s="18"/>
      <c r="D266" s="18"/>
      <c r="E266" s="40"/>
      <c r="F266" s="18"/>
      <c r="G266" s="40"/>
      <c r="N266" s="8" t="str">
        <f>IF(R266="x",1,"")</f>
        <v/>
      </c>
      <c r="O266" s="18"/>
      <c r="P266" s="13"/>
      <c r="Q266" s="13"/>
      <c r="R266" s="13"/>
      <c r="S266" s="13"/>
      <c r="T266" s="15"/>
      <c r="U266" s="46" t="str">
        <f t="shared" si="88"/>
        <v/>
      </c>
      <c r="V266" s="46" t="str">
        <f t="shared" si="88"/>
        <v/>
      </c>
      <c r="W266" s="46" t="str">
        <f t="shared" si="88"/>
        <v/>
      </c>
      <c r="X266" s="46" t="str">
        <f t="shared" si="88"/>
        <v/>
      </c>
    </row>
    <row r="267" spans="2:24" x14ac:dyDescent="0.25">
      <c r="B267" s="11" t="str">
        <f>CONCATENATE("AQIL","-",LEFT(P267,2),UPPER(MID(P267,4,3)),RIGHT(P267,4))</f>
        <v>AQIL-03DEC1908</v>
      </c>
      <c r="C267" s="11" t="s">
        <v>3878</v>
      </c>
      <c r="D267" s="11" t="s">
        <v>3879</v>
      </c>
      <c r="E267" s="39" t="s">
        <v>1227</v>
      </c>
      <c r="F267" s="11" t="s">
        <v>3039</v>
      </c>
      <c r="G267" s="39" t="s">
        <v>3880</v>
      </c>
      <c r="J267" s="17">
        <v>1</v>
      </c>
      <c r="K267" s="17"/>
      <c r="L267" s="7">
        <f>SUM(H267:K267)</f>
        <v>1</v>
      </c>
      <c r="M267" s="8">
        <v>1</v>
      </c>
      <c r="N267" s="8">
        <f>IF(L267&gt;0,1,"")</f>
        <v>1</v>
      </c>
      <c r="O267" s="11" t="s">
        <v>1702</v>
      </c>
      <c r="P267" s="16" t="str">
        <f>IF(LEN(G267)=10,CONCATENATE("0",G267),G267)</f>
        <v>03-Dec-1908</v>
      </c>
      <c r="R267" s="16" t="str">
        <f>IF($L267&gt;0,"x","")</f>
        <v>x</v>
      </c>
      <c r="S267" s="16" t="str">
        <f>IF($L267&gt;0,"x","")</f>
        <v>x</v>
      </c>
      <c r="U267" s="46" t="str">
        <f t="shared" si="88"/>
        <v/>
      </c>
      <c r="V267" s="46">
        <f t="shared" si="88"/>
        <v>1</v>
      </c>
      <c r="W267" s="46" t="str">
        <f t="shared" si="88"/>
        <v/>
      </c>
      <c r="X267" s="46" t="str">
        <f t="shared" si="88"/>
        <v/>
      </c>
    </row>
    <row r="268" spans="2:24" x14ac:dyDescent="0.25">
      <c r="N268" s="8" t="str">
        <f>IF(R268="x",1,"")</f>
        <v/>
      </c>
      <c r="U268" s="46" t="str">
        <f t="shared" si="88"/>
        <v/>
      </c>
      <c r="V268" s="46" t="str">
        <f t="shared" si="88"/>
        <v/>
      </c>
      <c r="W268" s="46" t="str">
        <f t="shared" si="88"/>
        <v/>
      </c>
      <c r="X268" s="46" t="str">
        <f t="shared" si="88"/>
        <v/>
      </c>
    </row>
    <row r="269" spans="2:24" x14ac:dyDescent="0.25">
      <c r="B269" s="18"/>
      <c r="C269" s="18"/>
      <c r="D269" s="18"/>
      <c r="E269" s="40"/>
      <c r="F269" s="18"/>
      <c r="G269" s="40"/>
      <c r="H269" s="7">
        <f t="shared" ref="H269:N269" si="109">SUM(H267:H268)</f>
        <v>0</v>
      </c>
      <c r="I269" s="7">
        <f t="shared" si="109"/>
        <v>0</v>
      </c>
      <c r="J269" s="7">
        <f>SUM(J267:J268)</f>
        <v>1</v>
      </c>
      <c r="K269" s="7">
        <f t="shared" si="109"/>
        <v>0</v>
      </c>
      <c r="L269" s="7">
        <f t="shared" si="109"/>
        <v>1</v>
      </c>
      <c r="M269" s="7">
        <f t="shared" si="109"/>
        <v>1</v>
      </c>
      <c r="N269" s="7">
        <f t="shared" si="109"/>
        <v>1</v>
      </c>
      <c r="O269" s="18"/>
      <c r="P269" s="13"/>
      <c r="Q269" s="13"/>
      <c r="S269" s="13"/>
      <c r="T269" s="15"/>
      <c r="U269" s="46" t="str">
        <f t="shared" si="88"/>
        <v/>
      </c>
      <c r="V269" s="46" t="str">
        <f t="shared" si="88"/>
        <v/>
      </c>
      <c r="W269" s="46" t="str">
        <f t="shared" si="88"/>
        <v/>
      </c>
      <c r="X269" s="46" t="str">
        <f t="shared" si="88"/>
        <v/>
      </c>
    </row>
    <row r="270" spans="2:24" x14ac:dyDescent="0.25">
      <c r="B270" s="18"/>
      <c r="C270" s="18"/>
      <c r="D270" s="18"/>
      <c r="E270" s="40"/>
      <c r="F270" s="18"/>
      <c r="G270" s="40"/>
      <c r="N270" s="8" t="str">
        <f>IF(R270="x",1,"")</f>
        <v/>
      </c>
      <c r="O270" s="18"/>
      <c r="P270" s="13"/>
      <c r="Q270" s="13"/>
      <c r="R270" s="13"/>
      <c r="S270" s="13"/>
      <c r="T270" s="15"/>
      <c r="U270" s="46" t="str">
        <f t="shared" si="88"/>
        <v/>
      </c>
      <c r="V270" s="46" t="str">
        <f t="shared" si="88"/>
        <v/>
      </c>
      <c r="W270" s="46" t="str">
        <f t="shared" si="88"/>
        <v/>
      </c>
      <c r="X270" s="46" t="str">
        <f t="shared" si="88"/>
        <v/>
      </c>
    </row>
    <row r="271" spans="2:24" x14ac:dyDescent="0.25">
      <c r="B271" s="18"/>
      <c r="C271" s="18"/>
      <c r="D271" s="18"/>
      <c r="E271" s="40"/>
      <c r="F271" s="18"/>
      <c r="G271" s="40"/>
      <c r="N271" s="8" t="str">
        <f>IF(R271="x",1,"")</f>
        <v/>
      </c>
      <c r="O271" s="18"/>
      <c r="P271" s="13"/>
      <c r="Q271" s="13"/>
      <c r="R271" s="13"/>
      <c r="S271" s="13"/>
      <c r="T271" s="15"/>
      <c r="U271" s="46" t="str">
        <f t="shared" si="88"/>
        <v/>
      </c>
      <c r="V271" s="46" t="str">
        <f t="shared" si="88"/>
        <v/>
      </c>
      <c r="W271" s="46" t="str">
        <f t="shared" si="88"/>
        <v/>
      </c>
      <c r="X271" s="46" t="str">
        <f t="shared" si="88"/>
        <v/>
      </c>
    </row>
    <row r="272" spans="2:24" x14ac:dyDescent="0.25">
      <c r="B272" s="11" t="str">
        <f t="shared" ref="B272:B290" si="110">CONCATENATE("AQUI","-",LEFT(P272,2),UPPER(MID(P272,4,3)),RIGHT(P272,4))</f>
        <v>AQUI-21AUG1920</v>
      </c>
      <c r="C272" s="11" t="s">
        <v>3522</v>
      </c>
      <c r="D272" s="11" t="s">
        <v>3894</v>
      </c>
      <c r="E272" s="39" t="s">
        <v>4155</v>
      </c>
      <c r="F272" s="11" t="s">
        <v>1700</v>
      </c>
      <c r="G272" s="39" t="s">
        <v>1587</v>
      </c>
      <c r="H272" s="7">
        <v>0</v>
      </c>
      <c r="I272" s="7">
        <v>6</v>
      </c>
      <c r="J272" s="17">
        <v>1</v>
      </c>
      <c r="K272" s="17"/>
      <c r="L272" s="7">
        <f t="shared" ref="L272:L290" si="111">SUM(H272:K272)</f>
        <v>7</v>
      </c>
      <c r="M272" s="8">
        <v>1</v>
      </c>
      <c r="N272" s="8">
        <f t="shared" ref="N272:N290" si="112">IF(L272&gt;0,1,"")</f>
        <v>1</v>
      </c>
      <c r="O272" s="11" t="s">
        <v>1702</v>
      </c>
      <c r="P272" s="16" t="str">
        <f t="shared" ref="P272:P290" si="113">IF(LEN(G272)=10,CONCATENATE("0",G272),G272)</f>
        <v>21-Aug-1920</v>
      </c>
      <c r="R272" s="16" t="str">
        <f>IF($L272&gt;0,"x","")</f>
        <v>x</v>
      </c>
      <c r="S272" s="16" t="str">
        <f>IF($L272&gt;0,"x","")</f>
        <v>x</v>
      </c>
      <c r="U272" s="46" t="str">
        <f>IF($O272=U$5,$L272,"")</f>
        <v/>
      </c>
      <c r="V272" s="46">
        <f>IF($O272=V$5,$L272,"")</f>
        <v>7</v>
      </c>
      <c r="W272" s="46" t="str">
        <f>IF($O272=W$5,$L272,"")</f>
        <v/>
      </c>
      <c r="X272" s="46" t="str">
        <f>IF($O272=X$5,$L272,"")</f>
        <v/>
      </c>
    </row>
    <row r="273" spans="2:24" x14ac:dyDescent="0.25">
      <c r="B273" s="11" t="str">
        <f t="shared" si="110"/>
        <v>AQUI-20NOV1920</v>
      </c>
      <c r="C273" s="11" t="s">
        <v>3522</v>
      </c>
      <c r="D273" s="11" t="s">
        <v>3894</v>
      </c>
      <c r="E273" s="39" t="s">
        <v>1595</v>
      </c>
      <c r="F273" s="11" t="s">
        <v>1700</v>
      </c>
      <c r="G273" s="39" t="s">
        <v>2042</v>
      </c>
      <c r="H273" s="7">
        <f>2+2</f>
        <v>4</v>
      </c>
      <c r="I273" s="7">
        <v>0</v>
      </c>
      <c r="J273" s="17">
        <f>4+2</f>
        <v>6</v>
      </c>
      <c r="K273" s="17"/>
      <c r="L273" s="7">
        <f t="shared" si="111"/>
        <v>10</v>
      </c>
      <c r="M273" s="8">
        <v>1</v>
      </c>
      <c r="N273" s="8">
        <f t="shared" si="112"/>
        <v>1</v>
      </c>
      <c r="O273" s="11" t="s">
        <v>1702</v>
      </c>
      <c r="P273" s="16" t="str">
        <f t="shared" si="113"/>
        <v>20-Nov-1920</v>
      </c>
      <c r="R273" s="16" t="str">
        <f t="shared" ref="R273:S278" si="114">IF($L273&gt;0,"x","")</f>
        <v>x</v>
      </c>
      <c r="S273" s="16" t="str">
        <f t="shared" si="114"/>
        <v>x</v>
      </c>
      <c r="U273" s="46" t="str">
        <f t="shared" si="88"/>
        <v/>
      </c>
      <c r="V273" s="46">
        <f t="shared" si="88"/>
        <v>10</v>
      </c>
      <c r="W273" s="46" t="str">
        <f t="shared" si="88"/>
        <v/>
      </c>
      <c r="X273" s="46" t="str">
        <f t="shared" si="88"/>
        <v/>
      </c>
    </row>
    <row r="274" spans="2:24" x14ac:dyDescent="0.25">
      <c r="B274" s="11" t="str">
        <f t="shared" si="110"/>
        <v>AQUI-30JAN1921</v>
      </c>
      <c r="C274" s="11" t="s">
        <v>3522</v>
      </c>
      <c r="D274" s="11" t="s">
        <v>2224</v>
      </c>
      <c r="E274" s="39" t="s">
        <v>2433</v>
      </c>
      <c r="F274" s="11" t="s">
        <v>1700</v>
      </c>
      <c r="G274" s="39" t="s">
        <v>4167</v>
      </c>
      <c r="H274" s="7">
        <v>2</v>
      </c>
      <c r="I274" s="7">
        <f>0+2</f>
        <v>2</v>
      </c>
      <c r="J274" s="17">
        <f>12+3</f>
        <v>15</v>
      </c>
      <c r="K274" s="17"/>
      <c r="L274" s="7">
        <f t="shared" si="111"/>
        <v>19</v>
      </c>
      <c r="M274" s="8">
        <v>1</v>
      </c>
      <c r="N274" s="8">
        <f t="shared" si="112"/>
        <v>1</v>
      </c>
      <c r="O274" s="11" t="s">
        <v>1702</v>
      </c>
      <c r="P274" s="16" t="str">
        <f t="shared" si="113"/>
        <v>30-Jan-1921</v>
      </c>
      <c r="R274" s="16" t="str">
        <f t="shared" si="114"/>
        <v>x</v>
      </c>
      <c r="S274" s="16" t="str">
        <f t="shared" si="114"/>
        <v>x</v>
      </c>
      <c r="U274" s="46" t="str">
        <f t="shared" si="88"/>
        <v/>
      </c>
      <c r="V274" s="46">
        <f t="shared" si="88"/>
        <v>19</v>
      </c>
      <c r="W274" s="46" t="str">
        <f t="shared" si="88"/>
        <v/>
      </c>
      <c r="X274" s="46" t="str">
        <f t="shared" si="88"/>
        <v/>
      </c>
    </row>
    <row r="275" spans="2:24" x14ac:dyDescent="0.25">
      <c r="B275" s="11" t="str">
        <f t="shared" si="110"/>
        <v>AQUI-22FEB1921</v>
      </c>
      <c r="C275" s="11" t="s">
        <v>3522</v>
      </c>
      <c r="D275" s="11" t="s">
        <v>2224</v>
      </c>
      <c r="E275" s="39" t="s">
        <v>3523</v>
      </c>
      <c r="F275" s="11" t="s">
        <v>1700</v>
      </c>
      <c r="G275" s="39" t="s">
        <v>1590</v>
      </c>
      <c r="H275" s="7">
        <v>0</v>
      </c>
      <c r="I275" s="7">
        <v>0</v>
      </c>
      <c r="J275" s="17">
        <f>9+1</f>
        <v>10</v>
      </c>
      <c r="K275" s="17"/>
      <c r="L275" s="7">
        <f t="shared" si="111"/>
        <v>10</v>
      </c>
      <c r="M275" s="8">
        <v>1</v>
      </c>
      <c r="N275" s="8">
        <f t="shared" si="112"/>
        <v>1</v>
      </c>
      <c r="O275" s="11" t="s">
        <v>1702</v>
      </c>
      <c r="P275" s="16" t="str">
        <f t="shared" si="113"/>
        <v>22-Feb-1921</v>
      </c>
      <c r="R275" s="16" t="str">
        <f t="shared" si="114"/>
        <v>x</v>
      </c>
      <c r="S275" s="16" t="str">
        <f t="shared" si="114"/>
        <v>x</v>
      </c>
      <c r="U275" s="46" t="str">
        <f t="shared" si="88"/>
        <v/>
      </c>
      <c r="V275" s="46">
        <f t="shared" si="88"/>
        <v>10</v>
      </c>
      <c r="W275" s="46" t="str">
        <f t="shared" si="88"/>
        <v/>
      </c>
      <c r="X275" s="46" t="str">
        <f t="shared" si="88"/>
        <v/>
      </c>
    </row>
    <row r="276" spans="2:24" x14ac:dyDescent="0.25">
      <c r="B276" s="11" t="str">
        <f t="shared" si="110"/>
        <v>AQUI-19MAR1921</v>
      </c>
      <c r="C276" s="11" t="s">
        <v>3522</v>
      </c>
      <c r="D276" s="11" t="s">
        <v>3894</v>
      </c>
      <c r="E276" s="39" t="s">
        <v>1598</v>
      </c>
      <c r="F276" s="11" t="s">
        <v>1700</v>
      </c>
      <c r="G276" s="39" t="s">
        <v>2434</v>
      </c>
      <c r="H276" s="7">
        <v>0</v>
      </c>
      <c r="I276" s="7">
        <v>2</v>
      </c>
      <c r="J276" s="17">
        <f>1+2</f>
        <v>3</v>
      </c>
      <c r="K276" s="17"/>
      <c r="L276" s="7">
        <f t="shared" si="111"/>
        <v>5</v>
      </c>
      <c r="M276" s="8">
        <v>1</v>
      </c>
      <c r="N276" s="8">
        <f t="shared" si="112"/>
        <v>1</v>
      </c>
      <c r="O276" s="11" t="s">
        <v>1702</v>
      </c>
      <c r="P276" s="16" t="str">
        <f t="shared" si="113"/>
        <v>19-Mar-1921</v>
      </c>
      <c r="R276" s="16" t="str">
        <f t="shared" si="114"/>
        <v>x</v>
      </c>
      <c r="S276" s="16" t="str">
        <f t="shared" si="114"/>
        <v>x</v>
      </c>
      <c r="U276" s="46" t="str">
        <f t="shared" si="88"/>
        <v/>
      </c>
      <c r="V276" s="46">
        <f t="shared" si="88"/>
        <v>5</v>
      </c>
      <c r="W276" s="46" t="str">
        <f t="shared" si="88"/>
        <v/>
      </c>
      <c r="X276" s="46" t="str">
        <f t="shared" si="88"/>
        <v/>
      </c>
    </row>
    <row r="277" spans="2:24" x14ac:dyDescent="0.25">
      <c r="B277" s="11" t="str">
        <f>CONCATENATE("AQUI","-",LEFT(P277,2),UPPER(MID(P277,4,3)),RIGHT(P277,4))</f>
        <v>AQUI-09APR1921</v>
      </c>
      <c r="C277" s="11" t="s">
        <v>3522</v>
      </c>
      <c r="D277" s="11" t="s">
        <v>2224</v>
      </c>
      <c r="E277" s="39" t="s">
        <v>4253</v>
      </c>
      <c r="F277" s="11" t="s">
        <v>1700</v>
      </c>
      <c r="G277" s="39" t="s">
        <v>4533</v>
      </c>
      <c r="H277" s="7">
        <v>0</v>
      </c>
      <c r="I277" s="7">
        <v>0</v>
      </c>
      <c r="J277" s="17">
        <f>2+2</f>
        <v>4</v>
      </c>
      <c r="K277" s="17"/>
      <c r="L277" s="7">
        <f>SUM(H277:K277)</f>
        <v>4</v>
      </c>
      <c r="M277" s="8">
        <v>1</v>
      </c>
      <c r="N277" s="8">
        <f>IF(L277&gt;0,1,"")</f>
        <v>1</v>
      </c>
      <c r="O277" s="11" t="s">
        <v>1702</v>
      </c>
      <c r="P277" s="16" t="str">
        <f>IF(LEN(G277)=10,CONCATENATE("0",G277),G277)</f>
        <v>09-Apr-1921</v>
      </c>
      <c r="R277" s="16" t="str">
        <f t="shared" si="114"/>
        <v>x</v>
      </c>
      <c r="S277" s="16" t="str">
        <f t="shared" si="114"/>
        <v>x</v>
      </c>
      <c r="U277" s="46" t="str">
        <f>IF($O277=U$5,$L277,"")</f>
        <v/>
      </c>
      <c r="V277" s="46">
        <f>IF($O277=V$5,$L277,"")</f>
        <v>4</v>
      </c>
      <c r="W277" s="46" t="str">
        <f>IF($O277=W$5,$L277,"")</f>
        <v/>
      </c>
      <c r="X277" s="46" t="str">
        <f>IF($O277=X$5,$L277,"")</f>
        <v/>
      </c>
    </row>
    <row r="278" spans="2:24" x14ac:dyDescent="0.25">
      <c r="B278" s="11" t="str">
        <f t="shared" si="110"/>
        <v>AQUI-30APR1921</v>
      </c>
      <c r="C278" s="11" t="s">
        <v>3522</v>
      </c>
      <c r="D278" s="11" t="s">
        <v>2224</v>
      </c>
      <c r="E278" s="39" t="s">
        <v>2058</v>
      </c>
      <c r="F278" s="11" t="s">
        <v>1700</v>
      </c>
      <c r="G278" s="39" t="s">
        <v>4172</v>
      </c>
      <c r="H278" s="7">
        <v>0</v>
      </c>
      <c r="I278" s="7">
        <v>1</v>
      </c>
      <c r="J278" s="17">
        <f>13+2</f>
        <v>15</v>
      </c>
      <c r="K278" s="17"/>
      <c r="L278" s="7">
        <f t="shared" si="111"/>
        <v>16</v>
      </c>
      <c r="M278" s="8">
        <v>1</v>
      </c>
      <c r="N278" s="8">
        <f t="shared" si="112"/>
        <v>1</v>
      </c>
      <c r="O278" s="11" t="s">
        <v>1702</v>
      </c>
      <c r="P278" s="16" t="str">
        <f t="shared" si="113"/>
        <v>30-Apr-1921</v>
      </c>
      <c r="R278" s="16" t="str">
        <f t="shared" si="114"/>
        <v>x</v>
      </c>
      <c r="S278" s="16" t="str">
        <f t="shared" si="114"/>
        <v>x</v>
      </c>
      <c r="U278" s="46" t="str">
        <f t="shared" si="88"/>
        <v/>
      </c>
      <c r="V278" s="46">
        <f t="shared" si="88"/>
        <v>16</v>
      </c>
      <c r="W278" s="46" t="str">
        <f t="shared" si="88"/>
        <v/>
      </c>
      <c r="X278" s="46" t="str">
        <f t="shared" si="88"/>
        <v/>
      </c>
    </row>
    <row r="279" spans="2:24" x14ac:dyDescent="0.25">
      <c r="B279" s="11" t="str">
        <f t="shared" si="110"/>
        <v>AQUI-10JUN1921</v>
      </c>
      <c r="C279" s="11" t="s">
        <v>3522</v>
      </c>
      <c r="D279" s="11" t="s">
        <v>3894</v>
      </c>
      <c r="E279" s="39" t="s">
        <v>2061</v>
      </c>
      <c r="F279" s="11" t="s">
        <v>1700</v>
      </c>
      <c r="G279" s="39" t="s">
        <v>3893</v>
      </c>
      <c r="H279" s="7">
        <v>3</v>
      </c>
      <c r="I279" s="7">
        <f>4+2</f>
        <v>6</v>
      </c>
      <c r="J279" s="17">
        <v>3</v>
      </c>
      <c r="K279" s="17"/>
      <c r="L279" s="7">
        <f t="shared" si="111"/>
        <v>12</v>
      </c>
      <c r="M279" s="8">
        <v>1</v>
      </c>
      <c r="N279" s="8">
        <f t="shared" si="112"/>
        <v>1</v>
      </c>
      <c r="O279" s="11" t="s">
        <v>1702</v>
      </c>
      <c r="P279" s="16" t="str">
        <f t="shared" si="113"/>
        <v>10-Jun-1921</v>
      </c>
      <c r="R279" s="16" t="str">
        <f t="shared" ref="R279:S290" si="115">IF($L279&gt;0,"x","")</f>
        <v>x</v>
      </c>
      <c r="S279" s="16" t="str">
        <f t="shared" si="115"/>
        <v>x</v>
      </c>
      <c r="U279" s="46" t="str">
        <f t="shared" si="88"/>
        <v/>
      </c>
      <c r="V279" s="46">
        <f t="shared" si="88"/>
        <v>12</v>
      </c>
      <c r="W279" s="46" t="str">
        <f t="shared" si="88"/>
        <v/>
      </c>
      <c r="X279" s="46" t="str">
        <f t="shared" si="88"/>
        <v/>
      </c>
    </row>
    <row r="280" spans="2:24" x14ac:dyDescent="0.25">
      <c r="B280" s="11" t="str">
        <f t="shared" si="110"/>
        <v>AQUI-30SEP1921</v>
      </c>
      <c r="C280" s="11" t="s">
        <v>3522</v>
      </c>
      <c r="D280" s="11" t="s">
        <v>3894</v>
      </c>
      <c r="E280" s="39" t="s">
        <v>1145</v>
      </c>
      <c r="F280" s="11" t="s">
        <v>1700</v>
      </c>
      <c r="G280" s="39" t="s">
        <v>5274</v>
      </c>
      <c r="H280" s="7">
        <v>4</v>
      </c>
      <c r="I280" s="7">
        <v>0</v>
      </c>
      <c r="J280" s="17">
        <v>0</v>
      </c>
      <c r="K280" s="17"/>
      <c r="L280" s="7">
        <f t="shared" si="111"/>
        <v>4</v>
      </c>
      <c r="M280" s="8">
        <v>1</v>
      </c>
      <c r="N280" s="8">
        <f t="shared" si="112"/>
        <v>1</v>
      </c>
      <c r="O280" s="11" t="s">
        <v>1702</v>
      </c>
      <c r="P280" s="16" t="str">
        <f t="shared" si="113"/>
        <v>30-Sep-1921</v>
      </c>
      <c r="R280" s="16" t="str">
        <f t="shared" si="115"/>
        <v>x</v>
      </c>
      <c r="S280" s="16" t="str">
        <f t="shared" si="115"/>
        <v>x</v>
      </c>
      <c r="U280" s="46" t="str">
        <f>IF($O280=U$5,$L280,"")</f>
        <v/>
      </c>
      <c r="V280" s="46">
        <f>IF($O280=V$5,$L280,"")</f>
        <v>4</v>
      </c>
      <c r="W280" s="46" t="str">
        <f>IF($O280=W$5,$L280,"")</f>
        <v/>
      </c>
      <c r="X280" s="46" t="str">
        <f>IF($O280=X$5,$L280,"")</f>
        <v/>
      </c>
    </row>
    <row r="281" spans="2:24" x14ac:dyDescent="0.25">
      <c r="B281" s="11" t="str">
        <f t="shared" si="110"/>
        <v>AQUI-08SEP1922</v>
      </c>
      <c r="C281" s="11" t="s">
        <v>3522</v>
      </c>
      <c r="D281" s="11" t="s">
        <v>2224</v>
      </c>
      <c r="E281" s="39" t="s">
        <v>3276</v>
      </c>
      <c r="F281" s="11" t="s">
        <v>1700</v>
      </c>
      <c r="G281" s="39" t="s">
        <v>4278</v>
      </c>
      <c r="I281" s="7">
        <v>1</v>
      </c>
      <c r="J281" s="17">
        <f>8+2</f>
        <v>10</v>
      </c>
      <c r="K281" s="17"/>
      <c r="L281" s="7">
        <f t="shared" si="111"/>
        <v>11</v>
      </c>
      <c r="M281" s="8">
        <v>1</v>
      </c>
      <c r="N281" s="8">
        <f t="shared" si="112"/>
        <v>1</v>
      </c>
      <c r="O281" s="11" t="s">
        <v>1702</v>
      </c>
      <c r="P281" s="16" t="str">
        <f t="shared" si="113"/>
        <v>08-Sep-1922</v>
      </c>
      <c r="R281" s="16" t="str">
        <f t="shared" si="115"/>
        <v>x</v>
      </c>
      <c r="S281" s="16" t="str">
        <f t="shared" si="115"/>
        <v>x</v>
      </c>
      <c r="U281" s="46" t="str">
        <f t="shared" si="88"/>
        <v/>
      </c>
      <c r="V281" s="46">
        <f t="shared" si="88"/>
        <v>11</v>
      </c>
      <c r="W281" s="46" t="str">
        <f t="shared" si="88"/>
        <v/>
      </c>
      <c r="X281" s="46" t="str">
        <f t="shared" si="88"/>
        <v/>
      </c>
    </row>
    <row r="282" spans="2:24" x14ac:dyDescent="0.25">
      <c r="B282" s="11" t="str">
        <f t="shared" si="110"/>
        <v>AQUI-01DEC1922</v>
      </c>
      <c r="C282" s="11" t="s">
        <v>3522</v>
      </c>
      <c r="D282" s="11" t="s">
        <v>2224</v>
      </c>
      <c r="E282" s="39" t="s">
        <v>4283</v>
      </c>
      <c r="F282" s="11" t="s">
        <v>1700</v>
      </c>
      <c r="G282" s="39" t="s">
        <v>4284</v>
      </c>
      <c r="H282" s="7">
        <v>0</v>
      </c>
      <c r="I282" s="7">
        <f>7+1</f>
        <v>8</v>
      </c>
      <c r="J282" s="17">
        <v>0</v>
      </c>
      <c r="K282" s="17"/>
      <c r="L282" s="7">
        <f t="shared" si="111"/>
        <v>8</v>
      </c>
      <c r="M282" s="8">
        <v>1</v>
      </c>
      <c r="N282" s="8">
        <f t="shared" si="112"/>
        <v>1</v>
      </c>
      <c r="O282" s="11" t="s">
        <v>1702</v>
      </c>
      <c r="P282" s="16" t="str">
        <f t="shared" si="113"/>
        <v>01-Dec-1922</v>
      </c>
      <c r="R282" s="16" t="str">
        <f t="shared" si="115"/>
        <v>x</v>
      </c>
      <c r="S282" s="16" t="str">
        <f t="shared" si="115"/>
        <v>x</v>
      </c>
      <c r="U282" s="46" t="str">
        <f t="shared" si="88"/>
        <v/>
      </c>
      <c r="V282" s="46">
        <f t="shared" si="88"/>
        <v>8</v>
      </c>
      <c r="W282" s="46" t="str">
        <f t="shared" si="88"/>
        <v/>
      </c>
      <c r="X282" s="46" t="str">
        <f>IF($O282=X$5,$L282,"")</f>
        <v/>
      </c>
    </row>
    <row r="283" spans="2:24" x14ac:dyDescent="0.25">
      <c r="B283" s="11" t="str">
        <f t="shared" si="110"/>
        <v>AQUI-23JAN1923</v>
      </c>
      <c r="C283" s="11" t="s">
        <v>3522</v>
      </c>
      <c r="D283" s="11" t="s">
        <v>2224</v>
      </c>
      <c r="E283" s="39" t="s">
        <v>4243</v>
      </c>
      <c r="F283" s="11" t="s">
        <v>1700</v>
      </c>
      <c r="G283" s="39" t="s">
        <v>4244</v>
      </c>
      <c r="H283" s="7">
        <v>0</v>
      </c>
      <c r="I283" s="7">
        <f>0+2</f>
        <v>2</v>
      </c>
      <c r="J283" s="17">
        <f>0+2</f>
        <v>2</v>
      </c>
      <c r="K283" s="17"/>
      <c r="L283" s="7">
        <f t="shared" si="111"/>
        <v>4</v>
      </c>
      <c r="M283" s="8">
        <v>1</v>
      </c>
      <c r="N283" s="8">
        <f t="shared" si="112"/>
        <v>1</v>
      </c>
      <c r="O283" s="11" t="s">
        <v>1702</v>
      </c>
      <c r="P283" s="16" t="str">
        <f t="shared" si="113"/>
        <v>23-Jan-1923</v>
      </c>
      <c r="R283" s="16" t="str">
        <f t="shared" si="115"/>
        <v>x</v>
      </c>
      <c r="S283" s="16" t="str">
        <f t="shared" si="115"/>
        <v>x</v>
      </c>
      <c r="U283" s="46" t="str">
        <f t="shared" ref="U283:X388" si="116">IF($O283=U$5,$L283,"")</f>
        <v/>
      </c>
      <c r="V283" s="46">
        <f t="shared" si="116"/>
        <v>4</v>
      </c>
      <c r="W283" s="46" t="str">
        <f t="shared" si="116"/>
        <v/>
      </c>
      <c r="X283" s="46" t="str">
        <f t="shared" si="116"/>
        <v/>
      </c>
    </row>
    <row r="284" spans="2:24" x14ac:dyDescent="0.25">
      <c r="B284" s="11" t="str">
        <f t="shared" si="110"/>
        <v>AQUI-18AUG1923</v>
      </c>
      <c r="C284" s="11" t="s">
        <v>3522</v>
      </c>
      <c r="D284" s="11" t="s">
        <v>2224</v>
      </c>
      <c r="E284" s="39" t="s">
        <v>4241</v>
      </c>
      <c r="F284" s="11" t="s">
        <v>1700</v>
      </c>
      <c r="G284" s="39" t="s">
        <v>4242</v>
      </c>
      <c r="H284" s="7">
        <v>0</v>
      </c>
      <c r="I284" s="7">
        <f>1+1</f>
        <v>2</v>
      </c>
      <c r="J284" s="17">
        <v>0</v>
      </c>
      <c r="K284" s="17"/>
      <c r="L284" s="7">
        <f t="shared" si="111"/>
        <v>2</v>
      </c>
      <c r="M284" s="8">
        <v>1</v>
      </c>
      <c r="N284" s="8">
        <f t="shared" si="112"/>
        <v>1</v>
      </c>
      <c r="O284" s="11" t="s">
        <v>1702</v>
      </c>
      <c r="P284" s="16" t="str">
        <f t="shared" si="113"/>
        <v>18-Aug-1923</v>
      </c>
      <c r="R284" s="16" t="str">
        <f t="shared" si="115"/>
        <v>x</v>
      </c>
      <c r="S284" s="16" t="str">
        <f t="shared" si="115"/>
        <v>x</v>
      </c>
      <c r="U284" s="46" t="str">
        <f t="shared" si="116"/>
        <v/>
      </c>
      <c r="V284" s="46">
        <f t="shared" si="116"/>
        <v>2</v>
      </c>
      <c r="W284" s="46" t="str">
        <f t="shared" si="116"/>
        <v/>
      </c>
      <c r="X284" s="46" t="str">
        <f t="shared" si="116"/>
        <v/>
      </c>
    </row>
    <row r="285" spans="2:24" x14ac:dyDescent="0.25">
      <c r="B285" s="11" t="str">
        <f>CONCATENATE("AQUI","-",LEFT(P285,2),UPPER(MID(P285,4,3)),RIGHT(P285,4))</f>
        <v>AQUI-14NOV1924</v>
      </c>
      <c r="C285" s="11" t="s">
        <v>3522</v>
      </c>
      <c r="D285" s="11" t="s">
        <v>2224</v>
      </c>
      <c r="E285" s="39" t="s">
        <v>5827</v>
      </c>
      <c r="F285" s="11" t="s">
        <v>1700</v>
      </c>
      <c r="G285" s="39" t="s">
        <v>11451</v>
      </c>
      <c r="H285" s="7">
        <v>0</v>
      </c>
      <c r="I285" s="7">
        <v>0</v>
      </c>
      <c r="J285" s="17">
        <f>0+2</f>
        <v>2</v>
      </c>
      <c r="K285" s="17"/>
      <c r="L285" s="7">
        <f>SUM(H285:K285)</f>
        <v>2</v>
      </c>
      <c r="M285" s="8">
        <v>1</v>
      </c>
      <c r="N285" s="8">
        <f>IF(L285&gt;0,1,"")</f>
        <v>1</v>
      </c>
      <c r="O285" s="11" t="s">
        <v>1702</v>
      </c>
      <c r="P285" s="16" t="str">
        <f>IF(LEN(G285)=10,CONCATENATE("0",G285),G285)</f>
        <v>14-Nov-1924</v>
      </c>
      <c r="R285" s="16" t="str">
        <f t="shared" si="115"/>
        <v>x</v>
      </c>
      <c r="S285" s="16" t="str">
        <f t="shared" si="115"/>
        <v>x</v>
      </c>
      <c r="U285" s="46" t="str">
        <f t="shared" ref="U285:X289" si="117">IF($O285=U$5,$L285,"")</f>
        <v/>
      </c>
      <c r="V285" s="46">
        <f t="shared" si="117"/>
        <v>2</v>
      </c>
      <c r="W285" s="46" t="str">
        <f t="shared" si="117"/>
        <v/>
      </c>
      <c r="X285" s="46" t="str">
        <f t="shared" si="117"/>
        <v/>
      </c>
    </row>
    <row r="286" spans="2:24" x14ac:dyDescent="0.25">
      <c r="B286" s="11" t="str">
        <f t="shared" si="110"/>
        <v>AQUI-24APR1925</v>
      </c>
      <c r="C286" s="11" t="s">
        <v>3522</v>
      </c>
      <c r="D286" s="11" t="s">
        <v>2224</v>
      </c>
      <c r="E286" s="39" t="s">
        <v>3936</v>
      </c>
      <c r="F286" s="11" t="s">
        <v>1700</v>
      </c>
      <c r="G286" s="39" t="s">
        <v>3937</v>
      </c>
      <c r="H286" s="7">
        <v>0</v>
      </c>
      <c r="I286" s="7">
        <v>0</v>
      </c>
      <c r="J286" s="17">
        <f>6+1</f>
        <v>7</v>
      </c>
      <c r="K286" s="17"/>
      <c r="L286" s="7">
        <f t="shared" si="111"/>
        <v>7</v>
      </c>
      <c r="M286" s="8">
        <v>1</v>
      </c>
      <c r="N286" s="8">
        <f t="shared" si="112"/>
        <v>1</v>
      </c>
      <c r="O286" s="11" t="s">
        <v>1702</v>
      </c>
      <c r="P286" s="16" t="str">
        <f t="shared" si="113"/>
        <v>24-Apr-1925</v>
      </c>
      <c r="R286" s="16" t="str">
        <f t="shared" si="115"/>
        <v>x</v>
      </c>
      <c r="S286" s="16" t="str">
        <f t="shared" si="115"/>
        <v>x</v>
      </c>
      <c r="U286" s="46" t="str">
        <f t="shared" si="117"/>
        <v/>
      </c>
      <c r="V286" s="46">
        <f t="shared" si="117"/>
        <v>7</v>
      </c>
      <c r="W286" s="46" t="str">
        <f t="shared" si="117"/>
        <v/>
      </c>
      <c r="X286" s="46" t="str">
        <f t="shared" si="117"/>
        <v/>
      </c>
    </row>
    <row r="287" spans="2:24" x14ac:dyDescent="0.25">
      <c r="B287" s="11" t="str">
        <f t="shared" si="110"/>
        <v>AQUI-06NOV1925</v>
      </c>
      <c r="C287" s="11" t="s">
        <v>3522</v>
      </c>
      <c r="D287" s="11" t="s">
        <v>2224</v>
      </c>
      <c r="E287" s="39" t="s">
        <v>4970</v>
      </c>
      <c r="F287" s="11" t="s">
        <v>1700</v>
      </c>
      <c r="G287" s="39" t="s">
        <v>4971</v>
      </c>
      <c r="H287" s="7">
        <v>0</v>
      </c>
      <c r="I287" s="7">
        <v>0</v>
      </c>
      <c r="J287" s="17">
        <f>3+3</f>
        <v>6</v>
      </c>
      <c r="K287" s="17"/>
      <c r="L287" s="7">
        <f t="shared" si="111"/>
        <v>6</v>
      </c>
      <c r="M287" s="8">
        <v>1</v>
      </c>
      <c r="N287" s="8">
        <f t="shared" si="112"/>
        <v>1</v>
      </c>
      <c r="O287" s="11" t="s">
        <v>1702</v>
      </c>
      <c r="P287" s="16" t="str">
        <f t="shared" si="113"/>
        <v>06-Nov-1925</v>
      </c>
      <c r="R287" s="16" t="str">
        <f t="shared" si="115"/>
        <v>x</v>
      </c>
      <c r="S287" s="16" t="str">
        <f t="shared" si="115"/>
        <v>x</v>
      </c>
      <c r="U287" s="46" t="str">
        <f t="shared" si="117"/>
        <v/>
      </c>
      <c r="V287" s="46">
        <f t="shared" si="117"/>
        <v>6</v>
      </c>
      <c r="W287" s="46" t="str">
        <f t="shared" si="117"/>
        <v/>
      </c>
      <c r="X287" s="46" t="str">
        <f t="shared" si="117"/>
        <v/>
      </c>
    </row>
    <row r="288" spans="2:24" x14ac:dyDescent="0.25">
      <c r="B288" s="11" t="str">
        <f t="shared" si="110"/>
        <v>AQUI-18OCT1929</v>
      </c>
      <c r="C288" s="11" t="s">
        <v>3522</v>
      </c>
      <c r="D288" s="11" t="s">
        <v>2224</v>
      </c>
      <c r="E288" s="39" t="s">
        <v>5769</v>
      </c>
      <c r="F288" s="11" t="s">
        <v>1700</v>
      </c>
      <c r="G288" s="39" t="s">
        <v>5770</v>
      </c>
      <c r="H288" s="7">
        <v>0</v>
      </c>
      <c r="I288" s="7">
        <v>3</v>
      </c>
      <c r="J288" s="17">
        <v>1</v>
      </c>
      <c r="K288" s="17"/>
      <c r="L288" s="7">
        <f t="shared" si="111"/>
        <v>4</v>
      </c>
      <c r="M288" s="8">
        <v>1</v>
      </c>
      <c r="N288" s="8">
        <f t="shared" si="112"/>
        <v>1</v>
      </c>
      <c r="O288" s="11" t="s">
        <v>1702</v>
      </c>
      <c r="P288" s="16" t="str">
        <f t="shared" si="113"/>
        <v>18-Oct-1929</v>
      </c>
      <c r="R288" s="16" t="str">
        <f t="shared" si="115"/>
        <v>x</v>
      </c>
      <c r="S288" s="16" t="str">
        <f t="shared" si="115"/>
        <v>x</v>
      </c>
      <c r="U288" s="46" t="str">
        <f t="shared" si="117"/>
        <v/>
      </c>
      <c r="V288" s="46">
        <f t="shared" si="117"/>
        <v>4</v>
      </c>
      <c r="W288" s="46" t="str">
        <f t="shared" si="117"/>
        <v/>
      </c>
      <c r="X288" s="46" t="str">
        <f t="shared" si="117"/>
        <v/>
      </c>
    </row>
    <row r="289" spans="2:24" x14ac:dyDescent="0.25">
      <c r="B289" s="11" t="str">
        <f t="shared" si="110"/>
        <v>AQUI-27OCT1933</v>
      </c>
      <c r="C289" s="11" t="s">
        <v>3522</v>
      </c>
      <c r="D289" s="11" t="s">
        <v>2224</v>
      </c>
      <c r="E289" s="39" t="s">
        <v>4798</v>
      </c>
      <c r="F289" s="11" t="s">
        <v>1700</v>
      </c>
      <c r="G289" s="39" t="s">
        <v>4799</v>
      </c>
      <c r="H289" s="7">
        <v>0</v>
      </c>
      <c r="J289" s="17">
        <v>2</v>
      </c>
      <c r="K289" s="17"/>
      <c r="L289" s="7">
        <f t="shared" si="111"/>
        <v>2</v>
      </c>
      <c r="M289" s="8">
        <v>1</v>
      </c>
      <c r="N289" s="8">
        <f t="shared" si="112"/>
        <v>1</v>
      </c>
      <c r="O289" s="11" t="s">
        <v>1702</v>
      </c>
      <c r="P289" s="16" t="str">
        <f t="shared" si="113"/>
        <v>27-Oct-1933</v>
      </c>
      <c r="R289" s="16" t="str">
        <f t="shared" si="115"/>
        <v>x</v>
      </c>
      <c r="S289" s="16" t="str">
        <f t="shared" si="115"/>
        <v>x</v>
      </c>
      <c r="U289" s="46" t="str">
        <f t="shared" si="117"/>
        <v/>
      </c>
      <c r="V289" s="46">
        <f t="shared" si="117"/>
        <v>2</v>
      </c>
      <c r="W289" s="46" t="str">
        <f t="shared" si="117"/>
        <v/>
      </c>
      <c r="X289" s="46" t="str">
        <f t="shared" si="117"/>
        <v/>
      </c>
    </row>
    <row r="290" spans="2:24" x14ac:dyDescent="0.25">
      <c r="B290" s="11" t="str">
        <f t="shared" si="110"/>
        <v>AQUI-03AUG1934</v>
      </c>
      <c r="C290" s="11" t="s">
        <v>3522</v>
      </c>
      <c r="D290" s="11" t="s">
        <v>2224</v>
      </c>
      <c r="E290" s="39" t="s">
        <v>4839</v>
      </c>
      <c r="F290" s="11" t="s">
        <v>1700</v>
      </c>
      <c r="G290" s="39" t="s">
        <v>4840</v>
      </c>
      <c r="H290" s="7">
        <v>0</v>
      </c>
      <c r="J290" s="17">
        <f>4+1</f>
        <v>5</v>
      </c>
      <c r="K290" s="17"/>
      <c r="L290" s="7">
        <f t="shared" si="111"/>
        <v>5</v>
      </c>
      <c r="M290" s="8">
        <v>1</v>
      </c>
      <c r="N290" s="8">
        <f t="shared" si="112"/>
        <v>1</v>
      </c>
      <c r="O290" s="11" t="s">
        <v>1702</v>
      </c>
      <c r="P290" s="16" t="str">
        <f t="shared" si="113"/>
        <v>03-Aug-1934</v>
      </c>
      <c r="R290" s="16" t="str">
        <f t="shared" si="115"/>
        <v>x</v>
      </c>
      <c r="S290" s="16" t="str">
        <f t="shared" si="115"/>
        <v>x</v>
      </c>
      <c r="U290" s="46" t="str">
        <f t="shared" si="116"/>
        <v/>
      </c>
      <c r="V290" s="46">
        <f t="shared" si="116"/>
        <v>5</v>
      </c>
      <c r="W290" s="46" t="str">
        <f t="shared" si="116"/>
        <v/>
      </c>
      <c r="X290" s="46" t="str">
        <f t="shared" si="116"/>
        <v/>
      </c>
    </row>
    <row r="291" spans="2:24" x14ac:dyDescent="0.25">
      <c r="N291" s="8" t="str">
        <f>IF(R291="x",1,"")</f>
        <v/>
      </c>
      <c r="U291" s="46" t="str">
        <f t="shared" si="116"/>
        <v/>
      </c>
      <c r="V291" s="46" t="str">
        <f t="shared" si="116"/>
        <v/>
      </c>
      <c r="W291" s="46" t="str">
        <f t="shared" si="116"/>
        <v/>
      </c>
      <c r="X291" s="46" t="str">
        <f t="shared" si="116"/>
        <v/>
      </c>
    </row>
    <row r="292" spans="2:24" x14ac:dyDescent="0.25">
      <c r="B292" s="18"/>
      <c r="C292" s="18"/>
      <c r="D292" s="18"/>
      <c r="E292" s="40"/>
      <c r="F292" s="18"/>
      <c r="G292" s="40"/>
      <c r="H292" s="7">
        <f t="shared" ref="H292:N292" si="118">SUM(H272:H291)</f>
        <v>13</v>
      </c>
      <c r="I292" s="7">
        <f t="shared" si="118"/>
        <v>33</v>
      </c>
      <c r="J292" s="7">
        <f>SUM(J272:J291)</f>
        <v>92</v>
      </c>
      <c r="K292" s="7">
        <f t="shared" si="118"/>
        <v>0</v>
      </c>
      <c r="L292" s="7">
        <f t="shared" si="118"/>
        <v>138</v>
      </c>
      <c r="M292" s="7">
        <f t="shared" si="118"/>
        <v>19</v>
      </c>
      <c r="N292" s="7">
        <f t="shared" si="118"/>
        <v>19</v>
      </c>
      <c r="O292" s="18"/>
      <c r="P292" s="13"/>
      <c r="Q292" s="13"/>
      <c r="S292" s="13"/>
      <c r="T292" s="15"/>
      <c r="U292" s="46" t="str">
        <f t="shared" si="116"/>
        <v/>
      </c>
      <c r="V292" s="46" t="str">
        <f t="shared" si="116"/>
        <v/>
      </c>
      <c r="W292" s="46" t="str">
        <f t="shared" si="116"/>
        <v/>
      </c>
      <c r="X292" s="46" t="str">
        <f t="shared" si="116"/>
        <v/>
      </c>
    </row>
    <row r="293" spans="2:24" x14ac:dyDescent="0.25">
      <c r="B293" s="18"/>
      <c r="C293" s="18"/>
      <c r="D293" s="18"/>
      <c r="E293" s="40"/>
      <c r="F293" s="18"/>
      <c r="G293" s="40"/>
      <c r="N293" s="8" t="str">
        <f>IF(R293="x",1,"")</f>
        <v/>
      </c>
      <c r="O293" s="18"/>
      <c r="P293" s="13"/>
      <c r="Q293" s="13"/>
      <c r="R293" s="13"/>
      <c r="S293" s="13"/>
      <c r="T293" s="15"/>
      <c r="U293" s="46" t="str">
        <f t="shared" si="116"/>
        <v/>
      </c>
      <c r="V293" s="46" t="str">
        <f t="shared" si="116"/>
        <v/>
      </c>
      <c r="W293" s="46" t="str">
        <f t="shared" si="116"/>
        <v/>
      </c>
      <c r="X293" s="46" t="str">
        <f t="shared" si="116"/>
        <v/>
      </c>
    </row>
    <row r="294" spans="2:24" x14ac:dyDescent="0.25">
      <c r="B294" s="18"/>
      <c r="C294" s="18"/>
      <c r="D294" s="18"/>
      <c r="E294" s="40"/>
      <c r="F294" s="18"/>
      <c r="G294" s="40"/>
      <c r="N294" s="8" t="str">
        <f>IF(R294="x",1,"")</f>
        <v/>
      </c>
      <c r="O294" s="18"/>
      <c r="P294" s="13"/>
      <c r="Q294" s="13"/>
      <c r="R294" s="13"/>
      <c r="S294" s="13"/>
      <c r="T294" s="15"/>
      <c r="U294" s="46" t="str">
        <f t="shared" si="116"/>
        <v/>
      </c>
      <c r="V294" s="46" t="str">
        <f t="shared" si="116"/>
        <v/>
      </c>
      <c r="W294" s="46" t="str">
        <f t="shared" si="116"/>
        <v/>
      </c>
      <c r="X294" s="46" t="str">
        <f t="shared" si="116"/>
        <v/>
      </c>
    </row>
    <row r="295" spans="2:24" x14ac:dyDescent="0.25">
      <c r="B295" s="11" t="str">
        <f>CONCATENATE("ARAB","-",LEFT(P295,2),UPPER(MID(P295,4,3)),RIGHT(P295,4))</f>
        <v>ARAB-xxAPR1863</v>
      </c>
      <c r="C295" s="11" t="s">
        <v>4363</v>
      </c>
      <c r="D295" s="11" t="s">
        <v>2097</v>
      </c>
      <c r="F295" s="11" t="s">
        <v>3366</v>
      </c>
      <c r="G295" s="39" t="s">
        <v>4364</v>
      </c>
      <c r="J295" s="17">
        <v>4</v>
      </c>
      <c r="K295" s="17"/>
      <c r="L295" s="7">
        <f>SUM(H295:K295)</f>
        <v>4</v>
      </c>
      <c r="M295" s="8">
        <v>1</v>
      </c>
      <c r="N295" s="8">
        <f>IF(L295&gt;0,1,"")</f>
        <v>1</v>
      </c>
      <c r="O295" s="11" t="s">
        <v>1702</v>
      </c>
      <c r="P295" s="16" t="str">
        <f>IF(LEN(G295)=10,CONCATENATE("0",G295),G295)</f>
        <v>xx-Apr-1863</v>
      </c>
      <c r="R295" s="16" t="str">
        <f>IF($L295&gt;0,"x","")</f>
        <v>x</v>
      </c>
      <c r="S295" s="16" t="str">
        <f>IF($L295&gt;0,"x","")</f>
        <v>x</v>
      </c>
      <c r="U295" s="46" t="str">
        <f t="shared" si="116"/>
        <v/>
      </c>
      <c r="V295" s="46">
        <f t="shared" si="116"/>
        <v>4</v>
      </c>
      <c r="W295" s="46" t="str">
        <f t="shared" si="116"/>
        <v/>
      </c>
      <c r="X295" s="46" t="str">
        <f t="shared" si="116"/>
        <v/>
      </c>
    </row>
    <row r="296" spans="2:24" x14ac:dyDescent="0.25">
      <c r="N296" s="8" t="str">
        <f>IF(R296="x",1,"")</f>
        <v/>
      </c>
      <c r="U296" s="46" t="str">
        <f t="shared" si="116"/>
        <v/>
      </c>
      <c r="V296" s="46" t="str">
        <f t="shared" si="116"/>
        <v/>
      </c>
      <c r="W296" s="46" t="str">
        <f t="shared" si="116"/>
        <v/>
      </c>
      <c r="X296" s="46" t="str">
        <f t="shared" si="116"/>
        <v/>
      </c>
    </row>
    <row r="297" spans="2:24" x14ac:dyDescent="0.25">
      <c r="B297" s="18"/>
      <c r="C297" s="18"/>
      <c r="D297" s="18"/>
      <c r="E297" s="40"/>
      <c r="F297" s="18"/>
      <c r="G297" s="40"/>
      <c r="H297" s="7">
        <f t="shared" ref="H297:N297" si="119">SUM(H295:H296)</f>
        <v>0</v>
      </c>
      <c r="I297" s="7">
        <f t="shared" si="119"/>
        <v>0</v>
      </c>
      <c r="J297" s="7">
        <f>SUM(J295:J296)</f>
        <v>4</v>
      </c>
      <c r="K297" s="7">
        <f t="shared" si="119"/>
        <v>0</v>
      </c>
      <c r="L297" s="7">
        <f t="shared" si="119"/>
        <v>4</v>
      </c>
      <c r="M297" s="7">
        <f t="shared" si="119"/>
        <v>1</v>
      </c>
      <c r="N297" s="7">
        <f t="shared" si="119"/>
        <v>1</v>
      </c>
      <c r="O297" s="18"/>
      <c r="P297" s="13"/>
      <c r="Q297" s="13"/>
      <c r="S297" s="13"/>
      <c r="T297" s="15"/>
      <c r="U297" s="46" t="str">
        <f t="shared" si="116"/>
        <v/>
      </c>
      <c r="V297" s="46" t="str">
        <f t="shared" si="116"/>
        <v/>
      </c>
      <c r="W297" s="46" t="str">
        <f t="shared" si="116"/>
        <v/>
      </c>
      <c r="X297" s="46" t="str">
        <f t="shared" si="116"/>
        <v/>
      </c>
    </row>
    <row r="298" spans="2:24" x14ac:dyDescent="0.25">
      <c r="B298" s="18"/>
      <c r="C298" s="18"/>
      <c r="D298" s="18"/>
      <c r="E298" s="40"/>
      <c r="F298" s="18"/>
      <c r="G298" s="40"/>
      <c r="N298" s="8" t="str">
        <f>IF(R298="x",1,"")</f>
        <v/>
      </c>
      <c r="O298" s="18"/>
      <c r="P298" s="13"/>
      <c r="Q298" s="13"/>
      <c r="R298" s="13"/>
      <c r="S298" s="13"/>
      <c r="T298" s="15"/>
      <c r="U298" s="46" t="str">
        <f t="shared" si="116"/>
        <v/>
      </c>
      <c r="V298" s="46" t="str">
        <f t="shared" si="116"/>
        <v/>
      </c>
      <c r="W298" s="46" t="str">
        <f t="shared" si="116"/>
        <v/>
      </c>
      <c r="X298" s="46" t="str">
        <f t="shared" si="116"/>
        <v/>
      </c>
    </row>
    <row r="299" spans="2:24" x14ac:dyDescent="0.25">
      <c r="B299" s="18"/>
      <c r="C299" s="18"/>
      <c r="D299" s="18"/>
      <c r="E299" s="40"/>
      <c r="F299" s="18"/>
      <c r="G299" s="40"/>
      <c r="N299" s="8" t="str">
        <f>IF(R299="x",1,"")</f>
        <v/>
      </c>
      <c r="O299" s="18"/>
      <c r="P299" s="13"/>
      <c r="Q299" s="13"/>
      <c r="R299" s="13"/>
      <c r="S299" s="13"/>
      <c r="T299" s="15"/>
      <c r="U299" s="46" t="str">
        <f t="shared" si="116"/>
        <v/>
      </c>
      <c r="V299" s="46" t="str">
        <f t="shared" si="116"/>
        <v/>
      </c>
      <c r="W299" s="46" t="str">
        <f t="shared" si="116"/>
        <v/>
      </c>
      <c r="X299" s="46" t="str">
        <f t="shared" si="116"/>
        <v/>
      </c>
    </row>
    <row r="300" spans="2:24" x14ac:dyDescent="0.25">
      <c r="B300" s="11" t="str">
        <f>CONCATENATE("ARMR","-",LEFT(P300,2),UPPER(MID(P300,4,3)),RIGHT(P300,4))</f>
        <v>ARMR-19AUG1919</v>
      </c>
      <c r="C300" s="11" t="s">
        <v>3929</v>
      </c>
      <c r="D300" s="11" t="s">
        <v>2440</v>
      </c>
      <c r="E300" s="39" t="s">
        <v>3930</v>
      </c>
      <c r="F300" s="11" t="s">
        <v>3366</v>
      </c>
      <c r="G300" s="39" t="s">
        <v>3931</v>
      </c>
      <c r="J300" s="17">
        <v>10</v>
      </c>
      <c r="K300" s="17"/>
      <c r="L300" s="7">
        <f>SUM(H300:K300)</f>
        <v>10</v>
      </c>
      <c r="M300" s="8">
        <v>1</v>
      </c>
      <c r="N300" s="8">
        <f>IF(L300&gt;0,1,"")</f>
        <v>1</v>
      </c>
      <c r="O300" s="11" t="s">
        <v>1702</v>
      </c>
      <c r="P300" s="16" t="str">
        <f>IF(LEN(G300)=10,CONCATENATE("0",G300),G300)</f>
        <v>19-Aug-1919</v>
      </c>
      <c r="R300" s="16" t="str">
        <f>IF($L300&gt;0,"x","")</f>
        <v>x</v>
      </c>
      <c r="S300" s="16" t="str">
        <f>IF($L300&gt;0,"x","")</f>
        <v>x</v>
      </c>
      <c r="U300" s="46" t="str">
        <f t="shared" si="116"/>
        <v/>
      </c>
      <c r="V300" s="46">
        <f t="shared" si="116"/>
        <v>10</v>
      </c>
      <c r="W300" s="46" t="str">
        <f t="shared" si="116"/>
        <v/>
      </c>
      <c r="X300" s="46" t="str">
        <f t="shared" si="116"/>
        <v/>
      </c>
    </row>
    <row r="301" spans="2:24" x14ac:dyDescent="0.25">
      <c r="N301" s="8" t="str">
        <f>IF(R301="x",1,"")</f>
        <v/>
      </c>
      <c r="U301" s="46" t="str">
        <f t="shared" si="116"/>
        <v/>
      </c>
      <c r="V301" s="46" t="str">
        <f t="shared" si="116"/>
        <v/>
      </c>
      <c r="W301" s="46" t="str">
        <f t="shared" si="116"/>
        <v/>
      </c>
      <c r="X301" s="46" t="str">
        <f t="shared" si="116"/>
        <v/>
      </c>
    </row>
    <row r="302" spans="2:24" x14ac:dyDescent="0.25">
      <c r="B302" s="18"/>
      <c r="C302" s="18"/>
      <c r="D302" s="18"/>
      <c r="E302" s="40"/>
      <c r="F302" s="18"/>
      <c r="G302" s="40"/>
      <c r="H302" s="7">
        <f t="shared" ref="H302:N302" si="120">SUM(H300:H301)</f>
        <v>0</v>
      </c>
      <c r="I302" s="7">
        <f t="shared" si="120"/>
        <v>0</v>
      </c>
      <c r="J302" s="7">
        <f>SUM(J300:J301)</f>
        <v>10</v>
      </c>
      <c r="K302" s="7">
        <f t="shared" si="120"/>
        <v>0</v>
      </c>
      <c r="L302" s="7">
        <f t="shared" si="120"/>
        <v>10</v>
      </c>
      <c r="M302" s="7">
        <f t="shared" si="120"/>
        <v>1</v>
      </c>
      <c r="N302" s="7">
        <f t="shared" si="120"/>
        <v>1</v>
      </c>
      <c r="O302" s="18"/>
      <c r="P302" s="13"/>
      <c r="Q302" s="13"/>
      <c r="S302" s="13"/>
      <c r="T302" s="15"/>
      <c r="U302" s="46" t="str">
        <f t="shared" si="116"/>
        <v/>
      </c>
      <c r="V302" s="46" t="str">
        <f t="shared" si="116"/>
        <v/>
      </c>
      <c r="W302" s="46" t="str">
        <f t="shared" si="116"/>
        <v/>
      </c>
      <c r="X302" s="46" t="str">
        <f t="shared" si="116"/>
        <v/>
      </c>
    </row>
    <row r="303" spans="2:24" x14ac:dyDescent="0.25">
      <c r="B303" s="18"/>
      <c r="C303" s="18"/>
      <c r="D303" s="18"/>
      <c r="E303" s="40"/>
      <c r="F303" s="18"/>
      <c r="G303" s="40"/>
      <c r="N303" s="8" t="str">
        <f>IF(R303="x",1,"")</f>
        <v/>
      </c>
      <c r="O303" s="18"/>
      <c r="P303" s="13"/>
      <c r="Q303" s="13"/>
      <c r="R303" s="13"/>
      <c r="S303" s="13"/>
      <c r="T303" s="15"/>
      <c r="U303" s="46" t="str">
        <f t="shared" ref="U303:X309" si="121">IF($O303=U$5,$L303,"")</f>
        <v/>
      </c>
      <c r="V303" s="46" t="str">
        <f t="shared" si="121"/>
        <v/>
      </c>
      <c r="W303" s="46" t="str">
        <f t="shared" si="121"/>
        <v/>
      </c>
      <c r="X303" s="46" t="str">
        <f t="shared" si="121"/>
        <v/>
      </c>
    </row>
    <row r="304" spans="2:24" x14ac:dyDescent="0.25">
      <c r="B304" s="18"/>
      <c r="C304" s="18"/>
      <c r="D304" s="18"/>
      <c r="E304" s="40"/>
      <c r="F304" s="18"/>
      <c r="G304" s="40"/>
      <c r="N304" s="8" t="str">
        <f>IF(R304="x",1,"")</f>
        <v/>
      </c>
      <c r="O304" s="18"/>
      <c r="P304" s="13"/>
      <c r="Q304" s="13"/>
      <c r="R304" s="13"/>
      <c r="S304" s="13"/>
      <c r="T304" s="15"/>
      <c r="U304" s="46" t="str">
        <f t="shared" si="121"/>
        <v/>
      </c>
      <c r="V304" s="46" t="str">
        <f t="shared" si="121"/>
        <v/>
      </c>
      <c r="W304" s="46" t="str">
        <f t="shared" si="121"/>
        <v/>
      </c>
      <c r="X304" s="46" t="str">
        <f t="shared" si="121"/>
        <v/>
      </c>
    </row>
    <row r="305" spans="2:24" x14ac:dyDescent="0.25">
      <c r="B305" s="11" t="str">
        <f>CONCATENATE("ARBC","-",LEFT(P305,2),UPPER(MID(P305,4,3)),RIGHT(P305,4))</f>
        <v>ARBC-02NOV1911</v>
      </c>
      <c r="C305" s="11" t="s">
        <v>5346</v>
      </c>
      <c r="D305" s="11" t="s">
        <v>2097</v>
      </c>
      <c r="E305" s="39" t="s">
        <v>1309</v>
      </c>
      <c r="F305" s="11" t="s">
        <v>3050</v>
      </c>
      <c r="G305" s="39" t="s">
        <v>5518</v>
      </c>
      <c r="H305" s="7">
        <v>0</v>
      </c>
      <c r="I305" s="7">
        <v>4</v>
      </c>
      <c r="J305" s="17">
        <v>4</v>
      </c>
      <c r="K305" s="17"/>
      <c r="L305" s="7">
        <f>SUM(H305:K305)</f>
        <v>8</v>
      </c>
      <c r="M305" s="8">
        <v>1</v>
      </c>
      <c r="N305" s="8">
        <f>IF(L305&gt;0,1,"")</f>
        <v>1</v>
      </c>
      <c r="O305" s="11" t="s">
        <v>1702</v>
      </c>
      <c r="P305" s="16" t="str">
        <f>IF(LEN(G305)=10,CONCATENATE("0",G305),G305)</f>
        <v>02-Nov-1911</v>
      </c>
      <c r="R305" s="16" t="str">
        <f t="shared" ref="R305:S307" si="122">IF($L305&gt;0,"x","")</f>
        <v>x</v>
      </c>
      <c r="S305" s="16" t="str">
        <f t="shared" si="122"/>
        <v>x</v>
      </c>
      <c r="U305" s="46" t="str">
        <f t="shared" si="121"/>
        <v/>
      </c>
      <c r="V305" s="46">
        <f t="shared" si="121"/>
        <v>8</v>
      </c>
      <c r="W305" s="46" t="str">
        <f t="shared" si="121"/>
        <v/>
      </c>
      <c r="X305" s="46" t="str">
        <f t="shared" si="121"/>
        <v/>
      </c>
    </row>
    <row r="306" spans="2:24" x14ac:dyDescent="0.25">
      <c r="B306" s="11" t="str">
        <f>CONCATENATE("ARBC","-",LEFT(P306,2),UPPER(MID(P306,4,3)),RIGHT(P306,4))</f>
        <v>ARBC-30NOV1911</v>
      </c>
      <c r="C306" s="11" t="s">
        <v>5346</v>
      </c>
      <c r="D306" s="11" t="s">
        <v>2097</v>
      </c>
      <c r="E306" s="39" t="s">
        <v>1310</v>
      </c>
      <c r="F306" s="11" t="s">
        <v>3050</v>
      </c>
      <c r="G306" s="39" t="s">
        <v>6228</v>
      </c>
      <c r="H306" s="7">
        <v>0</v>
      </c>
      <c r="I306" s="7">
        <v>6</v>
      </c>
      <c r="J306" s="17">
        <v>4</v>
      </c>
      <c r="K306" s="17"/>
      <c r="L306" s="7">
        <f>SUM(H306:K306)</f>
        <v>10</v>
      </c>
      <c r="M306" s="8">
        <v>1</v>
      </c>
      <c r="N306" s="8">
        <f>IF(L306&gt;0,1,"")</f>
        <v>1</v>
      </c>
      <c r="O306" s="11" t="s">
        <v>1702</v>
      </c>
      <c r="P306" s="16" t="str">
        <f>IF(LEN(G306)=10,CONCATENATE("0",G306),G306)</f>
        <v>30-Nov-1911</v>
      </c>
      <c r="R306" s="16" t="str">
        <f t="shared" si="122"/>
        <v>x</v>
      </c>
      <c r="S306" s="16" t="str">
        <f t="shared" si="122"/>
        <v>x</v>
      </c>
      <c r="U306" s="46" t="str">
        <f t="shared" si="121"/>
        <v/>
      </c>
      <c r="V306" s="46">
        <f t="shared" si="121"/>
        <v>10</v>
      </c>
      <c r="W306" s="46" t="str">
        <f t="shared" si="121"/>
        <v/>
      </c>
      <c r="X306" s="46" t="str">
        <f t="shared" si="121"/>
        <v/>
      </c>
    </row>
    <row r="307" spans="2:24" x14ac:dyDescent="0.25">
      <c r="B307" s="11" t="str">
        <f>CONCATENATE("ARBC","-",LEFT(P307,2),UPPER(MID(P307,4,3)),RIGHT(P307,4))</f>
        <v>ARBC-16SEP1921</v>
      </c>
      <c r="C307" s="11" t="s">
        <v>5346</v>
      </c>
      <c r="D307" s="11" t="s">
        <v>3619</v>
      </c>
      <c r="E307" s="39" t="s">
        <v>5347</v>
      </c>
      <c r="F307" s="11" t="s">
        <v>1700</v>
      </c>
      <c r="G307" s="39" t="s">
        <v>5348</v>
      </c>
      <c r="H307" s="7">
        <v>0</v>
      </c>
      <c r="I307" s="7">
        <v>0</v>
      </c>
      <c r="J307" s="17">
        <v>5</v>
      </c>
      <c r="K307" s="17"/>
      <c r="L307" s="7">
        <f>SUM(H307:K307)</f>
        <v>5</v>
      </c>
      <c r="M307" s="8">
        <v>1</v>
      </c>
      <c r="N307" s="8">
        <f>IF(L307&gt;0,1,"")</f>
        <v>1</v>
      </c>
      <c r="O307" s="11" t="s">
        <v>1702</v>
      </c>
      <c r="P307" s="16" t="str">
        <f>IF(LEN(G307)=10,CONCATENATE("0",G307),G307)</f>
        <v>16-Sep-1921</v>
      </c>
      <c r="R307" s="16" t="str">
        <f t="shared" si="122"/>
        <v>x</v>
      </c>
      <c r="S307" s="16" t="str">
        <f t="shared" si="122"/>
        <v>x</v>
      </c>
      <c r="U307" s="46" t="str">
        <f t="shared" si="121"/>
        <v/>
      </c>
      <c r="V307" s="46">
        <f t="shared" si="121"/>
        <v>5</v>
      </c>
      <c r="W307" s="46" t="str">
        <f t="shared" si="121"/>
        <v/>
      </c>
      <c r="X307" s="46" t="str">
        <f t="shared" si="121"/>
        <v/>
      </c>
    </row>
    <row r="308" spans="2:24" x14ac:dyDescent="0.25">
      <c r="N308" s="8" t="str">
        <f>IF(R308="x",1,"")</f>
        <v/>
      </c>
      <c r="U308" s="46" t="str">
        <f t="shared" si="121"/>
        <v/>
      </c>
      <c r="V308" s="46" t="str">
        <f t="shared" si="121"/>
        <v/>
      </c>
      <c r="W308" s="46" t="str">
        <f t="shared" si="121"/>
        <v/>
      </c>
      <c r="X308" s="46" t="str">
        <f t="shared" si="121"/>
        <v/>
      </c>
    </row>
    <row r="309" spans="2:24" x14ac:dyDescent="0.25">
      <c r="B309" s="18"/>
      <c r="C309" s="18"/>
      <c r="D309" s="18"/>
      <c r="E309" s="40"/>
      <c r="F309" s="18"/>
      <c r="G309" s="40"/>
      <c r="H309" s="7">
        <f t="shared" ref="H309:N309" si="123">SUM(H305:H308)</f>
        <v>0</v>
      </c>
      <c r="I309" s="7">
        <f t="shared" si="123"/>
        <v>10</v>
      </c>
      <c r="J309" s="7">
        <f>SUM(J305:J308)</f>
        <v>13</v>
      </c>
      <c r="K309" s="7">
        <f t="shared" si="123"/>
        <v>0</v>
      </c>
      <c r="L309" s="7">
        <f t="shared" si="123"/>
        <v>23</v>
      </c>
      <c r="M309" s="7">
        <f t="shared" si="123"/>
        <v>3</v>
      </c>
      <c r="N309" s="7">
        <f t="shared" si="123"/>
        <v>3</v>
      </c>
      <c r="O309" s="18"/>
      <c r="P309" s="13"/>
      <c r="Q309" s="13"/>
      <c r="S309" s="13"/>
      <c r="T309" s="15"/>
      <c r="U309" s="46" t="str">
        <f t="shared" si="121"/>
        <v/>
      </c>
      <c r="V309" s="46" t="str">
        <f t="shared" si="121"/>
        <v/>
      </c>
      <c r="W309" s="46" t="str">
        <f t="shared" si="121"/>
        <v/>
      </c>
      <c r="X309" s="46" t="str">
        <f t="shared" si="121"/>
        <v/>
      </c>
    </row>
    <row r="310" spans="2:24" x14ac:dyDescent="0.25">
      <c r="B310" s="18"/>
      <c r="C310" s="18"/>
      <c r="D310" s="18"/>
      <c r="E310" s="40"/>
      <c r="F310" s="18"/>
      <c r="G310" s="40"/>
      <c r="N310" s="8" t="str">
        <f>IF(R310="x",1,"")</f>
        <v/>
      </c>
      <c r="O310" s="18"/>
      <c r="P310" s="13"/>
      <c r="Q310" s="13"/>
      <c r="R310" s="13"/>
      <c r="S310" s="13"/>
      <c r="T310" s="15"/>
      <c r="U310" s="46" t="str">
        <f t="shared" si="116"/>
        <v/>
      </c>
      <c r="V310" s="46" t="str">
        <f t="shared" si="116"/>
        <v/>
      </c>
      <c r="W310" s="46" t="str">
        <f t="shared" si="116"/>
        <v/>
      </c>
      <c r="X310" s="46" t="str">
        <f t="shared" si="116"/>
        <v/>
      </c>
    </row>
    <row r="311" spans="2:24" x14ac:dyDescent="0.25">
      <c r="B311" s="18"/>
      <c r="C311" s="18"/>
      <c r="D311" s="18"/>
      <c r="E311" s="40"/>
      <c r="F311" s="18"/>
      <c r="G311" s="40"/>
      <c r="N311" s="8" t="str">
        <f>IF(R311="x",1,"")</f>
        <v/>
      </c>
      <c r="O311" s="18"/>
      <c r="P311" s="13"/>
      <c r="Q311" s="13"/>
      <c r="R311" s="13"/>
      <c r="S311" s="13"/>
      <c r="T311" s="15"/>
      <c r="U311" s="46" t="str">
        <f t="shared" si="116"/>
        <v/>
      </c>
      <c r="V311" s="46" t="str">
        <f t="shared" si="116"/>
        <v/>
      </c>
      <c r="W311" s="46" t="str">
        <f t="shared" si="116"/>
        <v/>
      </c>
      <c r="X311" s="46" t="str">
        <f t="shared" si="116"/>
        <v/>
      </c>
    </row>
    <row r="312" spans="2:24" x14ac:dyDescent="0.25">
      <c r="B312" s="11" t="str">
        <f>CONCATENATE("ARAG","-",LEFT(P312,2),UPPER(MID(P312,4,3)),RIGHT(P312,4))</f>
        <v>ARAG-17DEC1897</v>
      </c>
      <c r="C312" s="11" t="s">
        <v>3206</v>
      </c>
      <c r="D312" s="11" t="s">
        <v>1699</v>
      </c>
      <c r="F312" s="11" t="s">
        <v>1700</v>
      </c>
      <c r="G312" s="39" t="s">
        <v>3207</v>
      </c>
      <c r="J312" s="17">
        <v>13</v>
      </c>
      <c r="K312" s="17"/>
      <c r="L312" s="7">
        <f>SUM(H312:K312)</f>
        <v>13</v>
      </c>
      <c r="M312" s="8">
        <v>1</v>
      </c>
      <c r="N312" s="8">
        <f>IF(L312&gt;0,1,"")</f>
        <v>1</v>
      </c>
      <c r="O312" s="11" t="s">
        <v>1702</v>
      </c>
      <c r="P312" s="16" t="str">
        <f>IF(LEN(G312)=10,CONCATENATE("0",G312),G312)</f>
        <v>17-Dec-1897</v>
      </c>
      <c r="R312" s="16" t="str">
        <f>IF($L312&gt;0,"x","")</f>
        <v>x</v>
      </c>
      <c r="S312" s="16" t="str">
        <f>IF($L312&gt;0,"x","")</f>
        <v>x</v>
      </c>
      <c r="U312" s="46" t="str">
        <f t="shared" si="116"/>
        <v/>
      </c>
      <c r="V312" s="46">
        <f t="shared" si="116"/>
        <v>13</v>
      </c>
      <c r="W312" s="46" t="str">
        <f t="shared" si="116"/>
        <v/>
      </c>
      <c r="X312" s="46" t="str">
        <f t="shared" si="116"/>
        <v/>
      </c>
    </row>
    <row r="313" spans="2:24" x14ac:dyDescent="0.25">
      <c r="N313" s="8" t="str">
        <f>IF(R313="x",1,"")</f>
        <v/>
      </c>
      <c r="U313" s="46" t="str">
        <f t="shared" si="116"/>
        <v/>
      </c>
      <c r="V313" s="46" t="str">
        <f t="shared" si="116"/>
        <v/>
      </c>
      <c r="W313" s="46" t="str">
        <f t="shared" si="116"/>
        <v/>
      </c>
      <c r="X313" s="46" t="str">
        <f t="shared" si="116"/>
        <v/>
      </c>
    </row>
    <row r="314" spans="2:24" x14ac:dyDescent="0.25">
      <c r="B314" s="18"/>
      <c r="C314" s="18"/>
      <c r="D314" s="18"/>
      <c r="E314" s="40"/>
      <c r="F314" s="18"/>
      <c r="G314" s="40"/>
      <c r="H314" s="7">
        <f t="shared" ref="H314:N314" si="124">SUM(H312:H313)</f>
        <v>0</v>
      </c>
      <c r="I314" s="7">
        <f t="shared" si="124"/>
        <v>0</v>
      </c>
      <c r="J314" s="7">
        <f>SUM(J312:J313)</f>
        <v>13</v>
      </c>
      <c r="K314" s="7">
        <f t="shared" si="124"/>
        <v>0</v>
      </c>
      <c r="L314" s="7">
        <f t="shared" si="124"/>
        <v>13</v>
      </c>
      <c r="M314" s="7">
        <f t="shared" si="124"/>
        <v>1</v>
      </c>
      <c r="N314" s="7">
        <f t="shared" si="124"/>
        <v>1</v>
      </c>
      <c r="O314" s="18"/>
      <c r="P314" s="13"/>
      <c r="Q314" s="13"/>
      <c r="S314" s="13"/>
      <c r="T314" s="15"/>
      <c r="U314" s="46" t="str">
        <f t="shared" si="116"/>
        <v/>
      </c>
      <c r="V314" s="46" t="str">
        <f t="shared" si="116"/>
        <v/>
      </c>
      <c r="W314" s="46" t="str">
        <f t="shared" si="116"/>
        <v/>
      </c>
      <c r="X314" s="46" t="str">
        <f t="shared" si="116"/>
        <v/>
      </c>
    </row>
    <row r="315" spans="2:24" x14ac:dyDescent="0.25">
      <c r="B315" s="18"/>
      <c r="C315" s="18"/>
      <c r="D315" s="18"/>
      <c r="E315" s="40"/>
      <c r="F315" s="18"/>
      <c r="G315" s="40"/>
      <c r="N315" s="8" t="str">
        <f>IF(R315="x",1,"")</f>
        <v/>
      </c>
      <c r="O315" s="18"/>
      <c r="P315" s="13"/>
      <c r="Q315" s="13"/>
      <c r="R315" s="13"/>
      <c r="S315" s="13"/>
      <c r="T315" s="15"/>
      <c r="U315" s="46" t="str">
        <f t="shared" si="116"/>
        <v/>
      </c>
      <c r="V315" s="46" t="str">
        <f t="shared" si="116"/>
        <v/>
      </c>
      <c r="W315" s="46" t="str">
        <f t="shared" si="116"/>
        <v/>
      </c>
      <c r="X315" s="46" t="str">
        <f t="shared" si="116"/>
        <v/>
      </c>
    </row>
    <row r="316" spans="2:24" x14ac:dyDescent="0.25">
      <c r="B316" s="18"/>
      <c r="C316" s="18"/>
      <c r="D316" s="18"/>
      <c r="E316" s="40"/>
      <c r="F316" s="18"/>
      <c r="G316" s="40"/>
      <c r="N316" s="8" t="str">
        <f>IF(R316="x",1,"")</f>
        <v/>
      </c>
      <c r="O316" s="18"/>
      <c r="P316" s="13"/>
      <c r="Q316" s="13"/>
      <c r="R316" s="13"/>
      <c r="S316" s="13"/>
      <c r="T316" s="15"/>
      <c r="U316" s="46" t="str">
        <f t="shared" si="116"/>
        <v/>
      </c>
      <c r="V316" s="46" t="str">
        <f t="shared" si="116"/>
        <v/>
      </c>
      <c r="W316" s="46" t="str">
        <f t="shared" si="116"/>
        <v/>
      </c>
      <c r="X316" s="46" t="str">
        <f t="shared" si="116"/>
        <v/>
      </c>
    </row>
    <row r="317" spans="2:24" x14ac:dyDescent="0.25">
      <c r="B317" s="11" t="str">
        <f>CONCATENATE("ARGE","-",LEFT(P317,2),UPPER(MID(P317,4,3)),RIGHT(P317,4))</f>
        <v>ARGE-01JUL1909</v>
      </c>
      <c r="C317" s="11" t="s">
        <v>3237</v>
      </c>
      <c r="D317" s="11" t="s">
        <v>1906</v>
      </c>
      <c r="E317" s="39" t="s">
        <v>1478</v>
      </c>
      <c r="F317" s="11" t="s">
        <v>1700</v>
      </c>
      <c r="G317" s="39" t="s">
        <v>4378</v>
      </c>
      <c r="H317" s="7">
        <v>0</v>
      </c>
      <c r="I317" s="7">
        <v>0</v>
      </c>
      <c r="J317" s="17">
        <v>12</v>
      </c>
      <c r="K317" s="17"/>
      <c r="L317" s="7">
        <f>SUM(H317:K317)</f>
        <v>12</v>
      </c>
      <c r="M317" s="8">
        <v>1</v>
      </c>
      <c r="N317" s="8">
        <f>IF(L317&gt;0,1,"")</f>
        <v>1</v>
      </c>
      <c r="O317" s="11" t="s">
        <v>1702</v>
      </c>
      <c r="P317" s="16" t="str">
        <f>IF(LEN(G317)=10,CONCATENATE("0",G317),G317)</f>
        <v>01-Jul-1909</v>
      </c>
      <c r="R317" s="16" t="str">
        <f t="shared" ref="R317:S323" si="125">IF($L317&gt;0,"x","")</f>
        <v>x</v>
      </c>
      <c r="S317" s="16" t="str">
        <f t="shared" si="125"/>
        <v>x</v>
      </c>
      <c r="U317" s="46" t="str">
        <f t="shared" si="116"/>
        <v/>
      </c>
      <c r="V317" s="46">
        <f t="shared" si="116"/>
        <v>12</v>
      </c>
      <c r="W317" s="46" t="str">
        <f t="shared" si="116"/>
        <v/>
      </c>
      <c r="X317" s="46" t="str">
        <f t="shared" si="116"/>
        <v/>
      </c>
    </row>
    <row r="318" spans="2:24" x14ac:dyDescent="0.25">
      <c r="B318" s="11" t="str">
        <f t="shared" ref="B318:B323" si="126">CONCATENATE("ARGE","-",LEFT(P318,2),UPPER(MID(P318,4,3)),RIGHT(P318,4))</f>
        <v>ARGE-25AUG1909</v>
      </c>
      <c r="C318" s="11" t="s">
        <v>3237</v>
      </c>
      <c r="D318" s="11" t="s">
        <v>1906</v>
      </c>
      <c r="E318" s="39" t="s">
        <v>3315</v>
      </c>
      <c r="F318" s="11" t="s">
        <v>1700</v>
      </c>
      <c r="G318" s="39" t="s">
        <v>3321</v>
      </c>
      <c r="H318" s="7">
        <v>0</v>
      </c>
      <c r="I318" s="7">
        <v>0</v>
      </c>
      <c r="J318" s="17">
        <v>56</v>
      </c>
      <c r="K318" s="17"/>
      <c r="L318" s="7">
        <f t="shared" ref="L318:L323" si="127">SUM(H318:K318)</f>
        <v>56</v>
      </c>
      <c r="M318" s="8">
        <v>1</v>
      </c>
      <c r="N318" s="8">
        <f t="shared" ref="N318:N323" si="128">IF(L318&gt;0,1,"")</f>
        <v>1</v>
      </c>
      <c r="O318" s="11" t="s">
        <v>1702</v>
      </c>
      <c r="P318" s="16" t="str">
        <f t="shared" ref="P318:P323" si="129">IF(LEN(G318)=10,CONCATENATE("0",G318),G318)</f>
        <v>25-Aug-1909</v>
      </c>
      <c r="R318" s="16" t="str">
        <f t="shared" si="125"/>
        <v>x</v>
      </c>
      <c r="S318" s="16" t="str">
        <f t="shared" si="125"/>
        <v>x</v>
      </c>
      <c r="U318" s="46" t="str">
        <f t="shared" si="116"/>
        <v/>
      </c>
      <c r="V318" s="46">
        <f t="shared" si="116"/>
        <v>56</v>
      </c>
      <c r="W318" s="46" t="str">
        <f t="shared" si="116"/>
        <v/>
      </c>
      <c r="X318" s="46" t="str">
        <f t="shared" si="116"/>
        <v/>
      </c>
    </row>
    <row r="319" spans="2:24" x14ac:dyDescent="0.25">
      <c r="B319" s="11" t="str">
        <f t="shared" si="126"/>
        <v>ARGE-14OCT1909</v>
      </c>
      <c r="C319" s="11" t="s">
        <v>3237</v>
      </c>
      <c r="D319" s="11" t="s">
        <v>1906</v>
      </c>
      <c r="E319" s="39" t="s">
        <v>930</v>
      </c>
      <c r="F319" s="11" t="s">
        <v>1700</v>
      </c>
      <c r="G319" s="39" t="s">
        <v>5134</v>
      </c>
      <c r="H319" s="7">
        <v>0</v>
      </c>
      <c r="I319" s="7">
        <v>1</v>
      </c>
      <c r="J319" s="17">
        <v>37</v>
      </c>
      <c r="K319" s="17"/>
      <c r="L319" s="7">
        <f t="shared" si="127"/>
        <v>38</v>
      </c>
      <c r="M319" s="8">
        <v>1</v>
      </c>
      <c r="N319" s="8">
        <f t="shared" si="128"/>
        <v>1</v>
      </c>
      <c r="O319" s="11" t="s">
        <v>1702</v>
      </c>
      <c r="P319" s="16" t="str">
        <f t="shared" si="129"/>
        <v>14-Oct-1909</v>
      </c>
      <c r="R319" s="16" t="str">
        <f t="shared" si="125"/>
        <v>x</v>
      </c>
      <c r="S319" s="16" t="str">
        <f t="shared" si="125"/>
        <v>x</v>
      </c>
      <c r="U319" s="46" t="str">
        <f>IF($O319=U$5,$L319,"")</f>
        <v/>
      </c>
      <c r="V319" s="46">
        <f>IF($O319=V$5,$L319,"")</f>
        <v>38</v>
      </c>
      <c r="W319" s="46" t="str">
        <f>IF($O319=W$5,$L319,"")</f>
        <v/>
      </c>
      <c r="X319" s="46" t="str">
        <f>IF($O319=X$5,$L319,"")</f>
        <v/>
      </c>
    </row>
    <row r="320" spans="2:24" x14ac:dyDescent="0.25">
      <c r="B320" s="11" t="str">
        <f t="shared" si="126"/>
        <v>ARGE-03FEB1910</v>
      </c>
      <c r="C320" s="11" t="s">
        <v>3237</v>
      </c>
      <c r="D320" s="11" t="s">
        <v>1906</v>
      </c>
      <c r="E320" s="39" t="s">
        <v>2320</v>
      </c>
      <c r="F320" s="11" t="s">
        <v>1700</v>
      </c>
      <c r="G320" s="39" t="s">
        <v>5889</v>
      </c>
      <c r="H320" s="7">
        <v>0</v>
      </c>
      <c r="I320" s="7">
        <v>0</v>
      </c>
      <c r="J320" s="17">
        <v>28</v>
      </c>
      <c r="K320" s="17"/>
      <c r="L320" s="7">
        <f t="shared" si="127"/>
        <v>28</v>
      </c>
      <c r="M320" s="8">
        <v>1</v>
      </c>
      <c r="N320" s="8">
        <f t="shared" si="128"/>
        <v>1</v>
      </c>
      <c r="O320" s="11" t="s">
        <v>1702</v>
      </c>
      <c r="P320" s="16" t="str">
        <f t="shared" si="129"/>
        <v>03-Feb-1910</v>
      </c>
      <c r="R320" s="16" t="str">
        <f t="shared" si="125"/>
        <v>x</v>
      </c>
      <c r="S320" s="16" t="str">
        <f t="shared" si="125"/>
        <v>x</v>
      </c>
      <c r="U320" s="46" t="str">
        <f t="shared" ref="U320:X321" si="130">IF($O320=U$5,$L320,"")</f>
        <v/>
      </c>
      <c r="V320" s="46">
        <f t="shared" si="130"/>
        <v>28</v>
      </c>
      <c r="W320" s="46" t="str">
        <f t="shared" si="130"/>
        <v/>
      </c>
      <c r="X320" s="46" t="str">
        <f t="shared" si="130"/>
        <v/>
      </c>
    </row>
    <row r="321" spans="2:24" x14ac:dyDescent="0.25">
      <c r="B321" s="11" t="str">
        <f t="shared" si="126"/>
        <v>ARGE-09SEP1910</v>
      </c>
      <c r="C321" s="11" t="s">
        <v>3237</v>
      </c>
      <c r="D321" s="11" t="s">
        <v>1906</v>
      </c>
      <c r="E321" s="39" t="s">
        <v>5845</v>
      </c>
      <c r="F321" s="11" t="s">
        <v>1700</v>
      </c>
      <c r="G321" s="39" t="s">
        <v>5846</v>
      </c>
      <c r="H321" s="7">
        <v>0</v>
      </c>
      <c r="J321" s="17">
        <v>15</v>
      </c>
      <c r="K321" s="17"/>
      <c r="L321" s="7">
        <f t="shared" si="127"/>
        <v>15</v>
      </c>
      <c r="M321" s="8">
        <v>1</v>
      </c>
      <c r="N321" s="8">
        <f t="shared" si="128"/>
        <v>1</v>
      </c>
      <c r="O321" s="11" t="s">
        <v>1702</v>
      </c>
      <c r="P321" s="16" t="str">
        <f t="shared" si="129"/>
        <v>09-Sep-1910</v>
      </c>
      <c r="R321" s="16" t="str">
        <f t="shared" si="125"/>
        <v>x</v>
      </c>
      <c r="S321" s="16" t="str">
        <f t="shared" si="125"/>
        <v>x</v>
      </c>
      <c r="U321" s="46" t="str">
        <f t="shared" si="130"/>
        <v/>
      </c>
      <c r="V321" s="46">
        <f t="shared" si="130"/>
        <v>15</v>
      </c>
      <c r="W321" s="46" t="str">
        <f t="shared" si="130"/>
        <v/>
      </c>
      <c r="X321" s="46" t="str">
        <f t="shared" si="130"/>
        <v/>
      </c>
    </row>
    <row r="322" spans="2:24" x14ac:dyDescent="0.25">
      <c r="B322" s="11" t="str">
        <f t="shared" si="126"/>
        <v>ARGE-10OCT1911</v>
      </c>
      <c r="C322" s="11" t="s">
        <v>3237</v>
      </c>
      <c r="D322" s="11" t="s">
        <v>1906</v>
      </c>
      <c r="E322" s="39" t="s">
        <v>4385</v>
      </c>
      <c r="F322" s="11" t="s">
        <v>1700</v>
      </c>
      <c r="G322" s="39" t="s">
        <v>962</v>
      </c>
      <c r="H322" s="7">
        <v>2</v>
      </c>
      <c r="I322" s="7">
        <v>0</v>
      </c>
      <c r="J322" s="17">
        <v>35</v>
      </c>
      <c r="K322" s="17"/>
      <c r="L322" s="7">
        <f t="shared" si="127"/>
        <v>37</v>
      </c>
      <c r="M322" s="8">
        <v>1</v>
      </c>
      <c r="N322" s="8">
        <f t="shared" si="128"/>
        <v>1</v>
      </c>
      <c r="O322" s="11" t="s">
        <v>1702</v>
      </c>
      <c r="P322" s="16" t="str">
        <f t="shared" si="129"/>
        <v>10-Oct-1911</v>
      </c>
      <c r="R322" s="16" t="str">
        <f t="shared" si="125"/>
        <v>x</v>
      </c>
      <c r="S322" s="16" t="str">
        <f t="shared" si="125"/>
        <v>x</v>
      </c>
      <c r="U322" s="46" t="str">
        <f t="shared" si="116"/>
        <v/>
      </c>
      <c r="V322" s="46">
        <f t="shared" si="116"/>
        <v>37</v>
      </c>
      <c r="W322" s="46" t="str">
        <f t="shared" si="116"/>
        <v/>
      </c>
      <c r="X322" s="46" t="str">
        <f t="shared" si="116"/>
        <v/>
      </c>
    </row>
    <row r="323" spans="2:24" x14ac:dyDescent="0.25">
      <c r="B323" s="11" t="str">
        <f t="shared" si="126"/>
        <v>ARGE-28NOV1911</v>
      </c>
      <c r="C323" s="11" t="s">
        <v>3237</v>
      </c>
      <c r="D323" s="11" t="s">
        <v>1906</v>
      </c>
      <c r="E323" s="39" t="s">
        <v>5228</v>
      </c>
      <c r="F323" s="11" t="s">
        <v>1700</v>
      </c>
      <c r="G323" s="39" t="s">
        <v>5229</v>
      </c>
      <c r="H323" s="7">
        <v>0</v>
      </c>
      <c r="I323" s="7">
        <v>0</v>
      </c>
      <c r="J323" s="17">
        <v>36</v>
      </c>
      <c r="K323" s="17"/>
      <c r="L323" s="7">
        <f t="shared" si="127"/>
        <v>36</v>
      </c>
      <c r="M323" s="8">
        <v>1</v>
      </c>
      <c r="N323" s="8">
        <f t="shared" si="128"/>
        <v>1</v>
      </c>
      <c r="O323" s="11" t="s">
        <v>1702</v>
      </c>
      <c r="P323" s="16" t="str">
        <f t="shared" si="129"/>
        <v>28-Nov-1911</v>
      </c>
      <c r="R323" s="16" t="str">
        <f t="shared" si="125"/>
        <v>x</v>
      </c>
      <c r="S323" s="16" t="str">
        <f t="shared" si="125"/>
        <v>x</v>
      </c>
      <c r="U323" s="46" t="str">
        <f>IF($O323=U$5,$L323,"")</f>
        <v/>
      </c>
      <c r="V323" s="46">
        <f>IF($O323=V$5,$L323,"")</f>
        <v>36</v>
      </c>
      <c r="W323" s="46" t="str">
        <f>IF($O323=W$5,$L323,"")</f>
        <v/>
      </c>
      <c r="X323" s="46" t="str">
        <f>IF($O323=X$5,$L323,"")</f>
        <v/>
      </c>
    </row>
    <row r="324" spans="2:24" x14ac:dyDescent="0.25">
      <c r="B324" s="11" t="str">
        <f t="shared" ref="B324:B334" si="131">CONCATENATE("ARGE","-",LEFT(P324,2),UPPER(MID(P324,4,3)),RIGHT(P324,4))</f>
        <v>ARGE-10JAN1912</v>
      </c>
      <c r="C324" s="11" t="s">
        <v>3237</v>
      </c>
      <c r="D324" s="11" t="s">
        <v>1906</v>
      </c>
      <c r="E324" s="39" t="s">
        <v>3238</v>
      </c>
      <c r="F324" s="11" t="s">
        <v>1700</v>
      </c>
      <c r="G324" s="39" t="s">
        <v>2508</v>
      </c>
      <c r="H324" s="7">
        <v>0</v>
      </c>
      <c r="I324" s="7">
        <v>0</v>
      </c>
      <c r="J324" s="17">
        <v>78</v>
      </c>
      <c r="K324" s="17"/>
      <c r="L324" s="7">
        <f t="shared" ref="L324:L334" si="132">SUM(H324:K324)</f>
        <v>78</v>
      </c>
      <c r="M324" s="8">
        <v>1</v>
      </c>
      <c r="N324" s="8">
        <f t="shared" ref="N324:N334" si="133">IF(L324&gt;0,1,"")</f>
        <v>1</v>
      </c>
      <c r="O324" s="11" t="s">
        <v>1702</v>
      </c>
      <c r="P324" s="16" t="str">
        <f t="shared" ref="P324:P334" si="134">IF(LEN(G324)=10,CONCATENATE("0",G324),G324)</f>
        <v>10-Jan-1912</v>
      </c>
      <c r="R324" s="16" t="str">
        <f t="shared" ref="R324:S334" si="135">IF($L324&gt;0,"x","")</f>
        <v>x</v>
      </c>
      <c r="S324" s="16" t="str">
        <f t="shared" si="135"/>
        <v>x</v>
      </c>
      <c r="U324" s="46" t="str">
        <f t="shared" si="116"/>
        <v/>
      </c>
      <c r="V324" s="46">
        <f t="shared" si="116"/>
        <v>78</v>
      </c>
      <c r="W324" s="46" t="str">
        <f t="shared" si="116"/>
        <v/>
      </c>
      <c r="X324" s="46" t="str">
        <f t="shared" si="116"/>
        <v/>
      </c>
    </row>
    <row r="325" spans="2:24" x14ac:dyDescent="0.25">
      <c r="B325" s="11" t="str">
        <f t="shared" si="131"/>
        <v>ARGE-10JUL1912</v>
      </c>
      <c r="C325" s="11" t="s">
        <v>3237</v>
      </c>
      <c r="D325" s="11" t="s">
        <v>1906</v>
      </c>
      <c r="E325" s="39" t="s">
        <v>1276</v>
      </c>
      <c r="F325" s="11" t="s">
        <v>1700</v>
      </c>
      <c r="G325" s="39" t="s">
        <v>3246</v>
      </c>
      <c r="H325" s="7">
        <v>0</v>
      </c>
      <c r="I325" s="7">
        <v>0</v>
      </c>
      <c r="J325" s="17">
        <v>80</v>
      </c>
      <c r="K325" s="17"/>
      <c r="L325" s="7">
        <f t="shared" si="132"/>
        <v>80</v>
      </c>
      <c r="M325" s="8">
        <v>1</v>
      </c>
      <c r="N325" s="8">
        <f t="shared" si="133"/>
        <v>1</v>
      </c>
      <c r="O325" s="11" t="s">
        <v>1702</v>
      </c>
      <c r="P325" s="16" t="str">
        <f t="shared" si="134"/>
        <v>10-Jul-1912</v>
      </c>
      <c r="R325" s="16" t="str">
        <f t="shared" si="135"/>
        <v>x</v>
      </c>
      <c r="S325" s="16" t="str">
        <f t="shared" si="135"/>
        <v>x</v>
      </c>
      <c r="U325" s="46" t="str">
        <f t="shared" si="116"/>
        <v/>
      </c>
      <c r="V325" s="46">
        <f t="shared" si="116"/>
        <v>80</v>
      </c>
      <c r="W325" s="46" t="str">
        <f t="shared" si="116"/>
        <v/>
      </c>
      <c r="X325" s="46" t="str">
        <f t="shared" si="116"/>
        <v/>
      </c>
    </row>
    <row r="326" spans="2:24" x14ac:dyDescent="0.25">
      <c r="B326" s="11" t="str">
        <f t="shared" si="131"/>
        <v>ARGE-28AUG1912</v>
      </c>
      <c r="C326" s="11" t="s">
        <v>3237</v>
      </c>
      <c r="D326" s="11" t="s">
        <v>1906</v>
      </c>
      <c r="E326" s="39" t="s">
        <v>2342</v>
      </c>
      <c r="F326" s="11" t="s">
        <v>1700</v>
      </c>
      <c r="G326" s="39" t="s">
        <v>4525</v>
      </c>
      <c r="I326" s="7">
        <v>1</v>
      </c>
      <c r="J326" s="17">
        <v>74</v>
      </c>
      <c r="K326" s="17"/>
      <c r="L326" s="7">
        <f t="shared" si="132"/>
        <v>75</v>
      </c>
      <c r="M326" s="8">
        <v>1</v>
      </c>
      <c r="N326" s="8">
        <f t="shared" si="133"/>
        <v>1</v>
      </c>
      <c r="O326" s="11" t="s">
        <v>1702</v>
      </c>
      <c r="P326" s="16" t="str">
        <f t="shared" si="134"/>
        <v>28-Aug-1912</v>
      </c>
      <c r="R326" s="16" t="str">
        <f t="shared" si="135"/>
        <v>x</v>
      </c>
      <c r="S326" s="16" t="str">
        <f t="shared" si="135"/>
        <v>x</v>
      </c>
      <c r="U326" s="46" t="str">
        <f>IF($O326=U$5,$L326,"")</f>
        <v/>
      </c>
      <c r="V326" s="46">
        <f>IF($O326=V$5,$L326,"")</f>
        <v>75</v>
      </c>
      <c r="W326" s="46" t="str">
        <f>IF($O326=W$5,$L326,"")</f>
        <v/>
      </c>
      <c r="X326" s="46" t="str">
        <f>IF($O326=X$5,$L326,"")</f>
        <v/>
      </c>
    </row>
    <row r="327" spans="2:24" x14ac:dyDescent="0.25">
      <c r="B327" s="11" t="str">
        <f t="shared" si="131"/>
        <v>ARGE-18OCT1912</v>
      </c>
      <c r="C327" s="11" t="s">
        <v>3237</v>
      </c>
      <c r="D327" s="11" t="s">
        <v>1906</v>
      </c>
      <c r="E327" s="39" t="s">
        <v>3646</v>
      </c>
      <c r="F327" s="11" t="s">
        <v>1700</v>
      </c>
      <c r="G327" s="39" t="s">
        <v>3076</v>
      </c>
      <c r="I327" s="7">
        <v>3</v>
      </c>
      <c r="J327" s="17">
        <v>28</v>
      </c>
      <c r="K327" s="17"/>
      <c r="L327" s="7">
        <f t="shared" si="132"/>
        <v>31</v>
      </c>
      <c r="M327" s="8">
        <v>1</v>
      </c>
      <c r="N327" s="8">
        <f t="shared" si="133"/>
        <v>1</v>
      </c>
      <c r="O327" s="11" t="s">
        <v>1702</v>
      </c>
      <c r="P327" s="16" t="str">
        <f t="shared" si="134"/>
        <v>18-Oct-1912</v>
      </c>
      <c r="R327" s="16" t="str">
        <f t="shared" si="135"/>
        <v>x</v>
      </c>
      <c r="S327" s="16" t="str">
        <f t="shared" si="135"/>
        <v>x</v>
      </c>
      <c r="U327" s="46" t="str">
        <f t="shared" si="116"/>
        <v/>
      </c>
      <c r="V327" s="46">
        <f t="shared" si="116"/>
        <v>31</v>
      </c>
      <c r="W327" s="46" t="str">
        <f t="shared" si="116"/>
        <v/>
      </c>
      <c r="X327" s="46" t="str">
        <f t="shared" si="116"/>
        <v/>
      </c>
    </row>
    <row r="328" spans="2:24" x14ac:dyDescent="0.25">
      <c r="B328" s="11" t="str">
        <f t="shared" si="131"/>
        <v>ARGE-16FEB1913</v>
      </c>
      <c r="C328" s="11" t="s">
        <v>3237</v>
      </c>
      <c r="D328" s="11" t="s">
        <v>1906</v>
      </c>
      <c r="E328" s="39" t="s">
        <v>1534</v>
      </c>
      <c r="F328" s="11" t="s">
        <v>1700</v>
      </c>
      <c r="G328" s="39" t="s">
        <v>4483</v>
      </c>
      <c r="I328" s="7">
        <v>1</v>
      </c>
      <c r="J328" s="17">
        <v>36</v>
      </c>
      <c r="K328" s="17"/>
      <c r="L328" s="7">
        <f t="shared" si="132"/>
        <v>37</v>
      </c>
      <c r="M328" s="8">
        <v>1</v>
      </c>
      <c r="N328" s="8">
        <f t="shared" si="133"/>
        <v>1</v>
      </c>
      <c r="O328" s="11" t="s">
        <v>1702</v>
      </c>
      <c r="P328" s="16" t="str">
        <f t="shared" si="134"/>
        <v>16-Feb-1913</v>
      </c>
      <c r="R328" s="16" t="str">
        <f t="shared" si="135"/>
        <v>x</v>
      </c>
      <c r="S328" s="16" t="str">
        <f t="shared" si="135"/>
        <v>x</v>
      </c>
      <c r="U328" s="46" t="str">
        <f t="shared" si="116"/>
        <v/>
      </c>
      <c r="V328" s="46">
        <f t="shared" si="116"/>
        <v>37</v>
      </c>
      <c r="W328" s="46" t="str">
        <f t="shared" si="116"/>
        <v/>
      </c>
      <c r="X328" s="46" t="str">
        <f t="shared" si="116"/>
        <v/>
      </c>
    </row>
    <row r="329" spans="2:24" x14ac:dyDescent="0.25">
      <c r="B329" s="11" t="str">
        <f t="shared" si="131"/>
        <v>ARGE-23MAY1913</v>
      </c>
      <c r="C329" s="11" t="s">
        <v>3237</v>
      </c>
      <c r="D329" s="11" t="s">
        <v>1906</v>
      </c>
      <c r="E329" s="39" t="s">
        <v>4476</v>
      </c>
      <c r="F329" s="11" t="s">
        <v>1700</v>
      </c>
      <c r="G329" s="39" t="s">
        <v>4477</v>
      </c>
      <c r="H329" s="7">
        <v>0</v>
      </c>
      <c r="I329" s="7">
        <v>7</v>
      </c>
      <c r="J329" s="17">
        <v>80</v>
      </c>
      <c r="K329" s="17"/>
      <c r="L329" s="7">
        <f t="shared" si="132"/>
        <v>87</v>
      </c>
      <c r="M329" s="8">
        <v>1</v>
      </c>
      <c r="N329" s="8">
        <f t="shared" si="133"/>
        <v>1</v>
      </c>
      <c r="O329" s="11" t="s">
        <v>1702</v>
      </c>
      <c r="P329" s="16" t="str">
        <f t="shared" si="134"/>
        <v>23-May-1913</v>
      </c>
      <c r="R329" s="16" t="str">
        <f t="shared" si="135"/>
        <v>x</v>
      </c>
      <c r="S329" s="16" t="str">
        <f t="shared" si="135"/>
        <v>x</v>
      </c>
      <c r="U329" s="46" t="str">
        <f t="shared" si="116"/>
        <v/>
      </c>
      <c r="V329" s="46">
        <f t="shared" si="116"/>
        <v>87</v>
      </c>
      <c r="W329" s="46" t="str">
        <f t="shared" si="116"/>
        <v/>
      </c>
      <c r="X329" s="46" t="str">
        <f t="shared" si="116"/>
        <v/>
      </c>
    </row>
    <row r="330" spans="2:24" x14ac:dyDescent="0.25">
      <c r="B330" s="11" t="str">
        <f t="shared" si="131"/>
        <v>ARGE-11JUL1913</v>
      </c>
      <c r="C330" s="11" t="s">
        <v>3237</v>
      </c>
      <c r="D330" s="11" t="s">
        <v>1906</v>
      </c>
      <c r="E330" s="39" t="s">
        <v>4271</v>
      </c>
      <c r="F330" s="11" t="s">
        <v>1700</v>
      </c>
      <c r="G330" s="39" t="s">
        <v>4864</v>
      </c>
      <c r="H330" s="7">
        <v>0</v>
      </c>
      <c r="I330" s="7">
        <v>1</v>
      </c>
      <c r="J330" s="17">
        <v>106</v>
      </c>
      <c r="K330" s="17"/>
      <c r="L330" s="7">
        <f t="shared" si="132"/>
        <v>107</v>
      </c>
      <c r="M330" s="8">
        <v>1</v>
      </c>
      <c r="N330" s="8">
        <f t="shared" si="133"/>
        <v>1</v>
      </c>
      <c r="O330" s="11" t="s">
        <v>1702</v>
      </c>
      <c r="P330" s="16" t="str">
        <f t="shared" si="134"/>
        <v>11-Jul-1913</v>
      </c>
      <c r="R330" s="16" t="str">
        <f t="shared" si="135"/>
        <v>x</v>
      </c>
      <c r="S330" s="16" t="str">
        <f t="shared" si="135"/>
        <v>x</v>
      </c>
      <c r="U330" s="46" t="str">
        <f>IF($O330=U$5,$L330,"")</f>
        <v/>
      </c>
      <c r="V330" s="46">
        <f>IF($O330=V$5,$L330,"")</f>
        <v>107</v>
      </c>
      <c r="W330" s="46" t="str">
        <f>IF($O330=W$5,$L330,"")</f>
        <v/>
      </c>
      <c r="X330" s="46" t="str">
        <f>IF($O330=X$5,$L330,"")</f>
        <v/>
      </c>
    </row>
    <row r="331" spans="2:24" x14ac:dyDescent="0.25">
      <c r="B331" s="11" t="str">
        <f t="shared" si="131"/>
        <v>ARGE-30AUG1913</v>
      </c>
      <c r="C331" s="11" t="s">
        <v>3237</v>
      </c>
      <c r="D331" s="11" t="s">
        <v>1906</v>
      </c>
      <c r="E331" s="39" t="s">
        <v>3924</v>
      </c>
      <c r="F331" s="11" t="s">
        <v>1700</v>
      </c>
      <c r="G331" s="39" t="s">
        <v>1289</v>
      </c>
      <c r="I331" s="7">
        <f>4+1</f>
        <v>5</v>
      </c>
      <c r="J331" s="17">
        <f>119+2</f>
        <v>121</v>
      </c>
      <c r="K331" s="17"/>
      <c r="L331" s="7">
        <f t="shared" si="132"/>
        <v>126</v>
      </c>
      <c r="M331" s="8">
        <v>1</v>
      </c>
      <c r="N331" s="8">
        <f t="shared" si="133"/>
        <v>1</v>
      </c>
      <c r="O331" s="11" t="s">
        <v>1702</v>
      </c>
      <c r="P331" s="16" t="str">
        <f t="shared" si="134"/>
        <v>30-Aug-1913</v>
      </c>
      <c r="R331" s="16" t="str">
        <f t="shared" si="135"/>
        <v>x</v>
      </c>
      <c r="S331" s="16" t="str">
        <f t="shared" si="135"/>
        <v>x</v>
      </c>
      <c r="U331" s="46" t="str">
        <f t="shared" si="116"/>
        <v/>
      </c>
      <c r="V331" s="46">
        <f t="shared" si="116"/>
        <v>126</v>
      </c>
      <c r="W331" s="46" t="str">
        <f t="shared" si="116"/>
        <v/>
      </c>
      <c r="X331" s="46" t="str">
        <f t="shared" si="116"/>
        <v/>
      </c>
    </row>
    <row r="332" spans="2:24" x14ac:dyDescent="0.25">
      <c r="B332" s="11" t="str">
        <f t="shared" si="131"/>
        <v>ARGE-05DEC1913</v>
      </c>
      <c r="C332" s="11" t="s">
        <v>3237</v>
      </c>
      <c r="D332" s="11" t="s">
        <v>1906</v>
      </c>
      <c r="E332" s="39" t="s">
        <v>3245</v>
      </c>
      <c r="F332" s="11" t="s">
        <v>1700</v>
      </c>
      <c r="G332" s="39" t="s">
        <v>3163</v>
      </c>
      <c r="I332" s="7">
        <v>3</v>
      </c>
      <c r="J332" s="17">
        <v>111</v>
      </c>
      <c r="K332" s="17"/>
      <c r="L332" s="7">
        <f t="shared" si="132"/>
        <v>114</v>
      </c>
      <c r="M332" s="8">
        <v>1</v>
      </c>
      <c r="N332" s="8">
        <f t="shared" si="133"/>
        <v>1</v>
      </c>
      <c r="O332" s="11" t="s">
        <v>1702</v>
      </c>
      <c r="P332" s="16" t="str">
        <f t="shared" si="134"/>
        <v>05-Dec-1913</v>
      </c>
      <c r="R332" s="16" t="str">
        <f t="shared" si="135"/>
        <v>x</v>
      </c>
      <c r="S332" s="16" t="str">
        <f t="shared" si="135"/>
        <v>x</v>
      </c>
      <c r="U332" s="46" t="str">
        <f t="shared" si="116"/>
        <v/>
      </c>
      <c r="V332" s="46">
        <f t="shared" si="116"/>
        <v>114</v>
      </c>
      <c r="W332" s="46" t="str">
        <f t="shared" si="116"/>
        <v/>
      </c>
      <c r="X332" s="46" t="str">
        <f t="shared" si="116"/>
        <v/>
      </c>
    </row>
    <row r="333" spans="2:24" x14ac:dyDescent="0.25">
      <c r="B333" s="11" t="str">
        <f t="shared" si="131"/>
        <v>ARGE-31OCT1919</v>
      </c>
      <c r="C333" s="11" t="s">
        <v>3237</v>
      </c>
      <c r="D333" s="11" t="s">
        <v>1906</v>
      </c>
      <c r="E333" s="39" t="s">
        <v>3251</v>
      </c>
      <c r="F333" s="11" t="s">
        <v>1700</v>
      </c>
      <c r="G333" s="39" t="s">
        <v>4195</v>
      </c>
      <c r="H333" s="7">
        <v>0</v>
      </c>
      <c r="I333" s="7">
        <v>8</v>
      </c>
      <c r="J333" s="17">
        <f>2+3</f>
        <v>5</v>
      </c>
      <c r="K333" s="17"/>
      <c r="L333" s="7">
        <f t="shared" si="132"/>
        <v>13</v>
      </c>
      <c r="M333" s="8">
        <v>1</v>
      </c>
      <c r="N333" s="8">
        <f t="shared" si="133"/>
        <v>1</v>
      </c>
      <c r="O333" s="11" t="s">
        <v>1702</v>
      </c>
      <c r="P333" s="16" t="str">
        <f t="shared" si="134"/>
        <v>31-Oct-1919</v>
      </c>
      <c r="R333" s="16" t="str">
        <f t="shared" si="135"/>
        <v>x</v>
      </c>
      <c r="S333" s="16" t="str">
        <f t="shared" si="135"/>
        <v>x</v>
      </c>
      <c r="U333" s="46" t="str">
        <f t="shared" si="116"/>
        <v/>
      </c>
      <c r="V333" s="46">
        <f t="shared" si="116"/>
        <v>13</v>
      </c>
      <c r="W333" s="46" t="str">
        <f t="shared" si="116"/>
        <v/>
      </c>
      <c r="X333" s="46" t="str">
        <f t="shared" si="116"/>
        <v/>
      </c>
    </row>
    <row r="334" spans="2:24" x14ac:dyDescent="0.25">
      <c r="B334" s="11" t="str">
        <f t="shared" si="131"/>
        <v>ARGE-20MAY1921</v>
      </c>
      <c r="C334" s="11" t="s">
        <v>3237</v>
      </c>
      <c r="D334" s="11" t="s">
        <v>1906</v>
      </c>
      <c r="E334" s="39" t="s">
        <v>3043</v>
      </c>
      <c r="F334" s="11" t="s">
        <v>3050</v>
      </c>
      <c r="G334" s="39" t="s">
        <v>5495</v>
      </c>
      <c r="I334" s="7">
        <v>0</v>
      </c>
      <c r="J334" s="17">
        <v>24</v>
      </c>
      <c r="K334" s="17"/>
      <c r="L334" s="7">
        <f t="shared" si="132"/>
        <v>24</v>
      </c>
      <c r="M334" s="8">
        <v>1</v>
      </c>
      <c r="N334" s="8">
        <f t="shared" si="133"/>
        <v>1</v>
      </c>
      <c r="O334" s="11" t="s">
        <v>1702</v>
      </c>
      <c r="P334" s="16" t="str">
        <f t="shared" si="134"/>
        <v>20-May-1921</v>
      </c>
      <c r="R334" s="16" t="str">
        <f t="shared" si="135"/>
        <v>x</v>
      </c>
      <c r="S334" s="16" t="str">
        <f t="shared" si="135"/>
        <v>x</v>
      </c>
      <c r="U334" s="46" t="str">
        <f>IF($O334=U$5,$L334,"")</f>
        <v/>
      </c>
      <c r="V334" s="46">
        <f>IF($O334=V$5,$L334,"")</f>
        <v>24</v>
      </c>
      <c r="W334" s="46" t="str">
        <f>IF($O334=W$5,$L334,"")</f>
        <v/>
      </c>
      <c r="X334" s="46" t="str">
        <f>IF($O334=X$5,$L334,"")</f>
        <v/>
      </c>
    </row>
    <row r="335" spans="2:24" x14ac:dyDescent="0.25">
      <c r="N335" s="8" t="str">
        <f>IF(R335="x",1,"")</f>
        <v/>
      </c>
      <c r="U335" s="46" t="str">
        <f t="shared" si="116"/>
        <v/>
      </c>
      <c r="V335" s="46" t="str">
        <f t="shared" si="116"/>
        <v/>
      </c>
      <c r="W335" s="46" t="str">
        <f t="shared" si="116"/>
        <v/>
      </c>
      <c r="X335" s="46" t="str">
        <f t="shared" si="116"/>
        <v/>
      </c>
    </row>
    <row r="336" spans="2:24" x14ac:dyDescent="0.25">
      <c r="B336" s="18"/>
      <c r="C336" s="18"/>
      <c r="D336" s="18"/>
      <c r="E336" s="40"/>
      <c r="F336" s="18"/>
      <c r="G336" s="40"/>
      <c r="H336" s="7">
        <f t="shared" ref="H336:N336" si="136">SUM(H317:H335)</f>
        <v>2</v>
      </c>
      <c r="I336" s="7">
        <f t="shared" si="136"/>
        <v>30</v>
      </c>
      <c r="J336" s="7">
        <f>SUM(J317:J335)</f>
        <v>962</v>
      </c>
      <c r="K336" s="7">
        <f t="shared" si="136"/>
        <v>0</v>
      </c>
      <c r="L336" s="7">
        <f t="shared" si="136"/>
        <v>994</v>
      </c>
      <c r="M336" s="7">
        <f t="shared" si="136"/>
        <v>18</v>
      </c>
      <c r="N336" s="7">
        <f t="shared" si="136"/>
        <v>18</v>
      </c>
      <c r="O336" s="18"/>
      <c r="P336" s="13"/>
      <c r="Q336" s="13"/>
      <c r="S336" s="13"/>
      <c r="T336" s="15"/>
      <c r="U336" s="46" t="str">
        <f t="shared" si="116"/>
        <v/>
      </c>
      <c r="V336" s="46" t="str">
        <f t="shared" si="116"/>
        <v/>
      </c>
      <c r="W336" s="46" t="str">
        <f t="shared" si="116"/>
        <v/>
      </c>
      <c r="X336" s="46" t="str">
        <f t="shared" si="116"/>
        <v/>
      </c>
    </row>
    <row r="337" spans="2:24" x14ac:dyDescent="0.25">
      <c r="B337" s="18"/>
      <c r="C337" s="18"/>
      <c r="D337" s="18"/>
      <c r="E337" s="40"/>
      <c r="F337" s="18"/>
      <c r="G337" s="40"/>
      <c r="N337" s="8" t="str">
        <f>IF(R337="x",1,"")</f>
        <v/>
      </c>
      <c r="O337" s="18"/>
      <c r="P337" s="13"/>
      <c r="Q337" s="13"/>
      <c r="R337" s="13"/>
      <c r="S337" s="13"/>
      <c r="T337" s="15"/>
      <c r="U337" s="46" t="str">
        <f t="shared" ref="U337:X341" si="137">IF($O337=U$5,$L337,"")</f>
        <v/>
      </c>
      <c r="V337" s="46" t="str">
        <f t="shared" si="137"/>
        <v/>
      </c>
      <c r="W337" s="46" t="str">
        <f t="shared" si="137"/>
        <v/>
      </c>
      <c r="X337" s="46" t="str">
        <f t="shared" si="137"/>
        <v/>
      </c>
    </row>
    <row r="338" spans="2:24" x14ac:dyDescent="0.25">
      <c r="B338" s="18"/>
      <c r="C338" s="18"/>
      <c r="D338" s="18"/>
      <c r="E338" s="40"/>
      <c r="F338" s="18"/>
      <c r="G338" s="40"/>
      <c r="N338" s="8" t="str">
        <f>IF(R338="x",1,"")</f>
        <v/>
      </c>
      <c r="O338" s="18"/>
      <c r="P338" s="13"/>
      <c r="Q338" s="13"/>
      <c r="R338" s="13"/>
      <c r="S338" s="13"/>
      <c r="T338" s="15"/>
      <c r="U338" s="46" t="str">
        <f t="shared" si="137"/>
        <v/>
      </c>
      <c r="V338" s="46" t="str">
        <f t="shared" si="137"/>
        <v/>
      </c>
      <c r="W338" s="46" t="str">
        <f t="shared" si="137"/>
        <v/>
      </c>
      <c r="X338" s="46" t="str">
        <f t="shared" si="137"/>
        <v/>
      </c>
    </row>
    <row r="339" spans="2:24" x14ac:dyDescent="0.25">
      <c r="B339" s="11" t="str">
        <f>CONCATENATE("ARIZ","-",LEFT(P339,2),UPPER(MID(P339,4,3)),RIGHT(P339,4))</f>
        <v>ARIZ-24MAY1886</v>
      </c>
      <c r="C339" s="11" t="s">
        <v>5117</v>
      </c>
      <c r="D339" s="11" t="s">
        <v>2097</v>
      </c>
      <c r="F339" s="11" t="s">
        <v>1700</v>
      </c>
      <c r="G339" s="39" t="s">
        <v>5118</v>
      </c>
      <c r="H339" s="7">
        <v>0</v>
      </c>
      <c r="I339" s="7">
        <v>0</v>
      </c>
      <c r="J339" s="17">
        <v>9</v>
      </c>
      <c r="K339" s="17"/>
      <c r="L339" s="7">
        <f>SUM(H339:K339)</f>
        <v>9</v>
      </c>
      <c r="M339" s="8">
        <v>1</v>
      </c>
      <c r="N339" s="8">
        <f>IF(L339&gt;0,1,"")</f>
        <v>1</v>
      </c>
      <c r="O339" s="11" t="s">
        <v>1702</v>
      </c>
      <c r="P339" s="16" t="str">
        <f>IF(LEN(G339)=10,CONCATENATE("0",G339),G339)</f>
        <v>24-May-1886</v>
      </c>
      <c r="R339" s="16" t="str">
        <f>IF($L339&gt;0,"x","")</f>
        <v>x</v>
      </c>
      <c r="S339" s="16" t="str">
        <f>IF($L339&gt;0,"x","")</f>
        <v>x</v>
      </c>
      <c r="U339" s="46" t="str">
        <f t="shared" si="137"/>
        <v/>
      </c>
      <c r="V339" s="46">
        <f t="shared" si="137"/>
        <v>9</v>
      </c>
      <c r="W339" s="46" t="str">
        <f t="shared" si="137"/>
        <v/>
      </c>
      <c r="X339" s="46" t="str">
        <f t="shared" si="137"/>
        <v/>
      </c>
    </row>
    <row r="340" spans="2:24" x14ac:dyDescent="0.25">
      <c r="N340" s="8" t="str">
        <f>IF(R340="x",1,"")</f>
        <v/>
      </c>
      <c r="U340" s="46" t="str">
        <f t="shared" si="137"/>
        <v/>
      </c>
      <c r="V340" s="46" t="str">
        <f t="shared" si="137"/>
        <v/>
      </c>
      <c r="W340" s="46" t="str">
        <f t="shared" si="137"/>
        <v/>
      </c>
      <c r="X340" s="46" t="str">
        <f t="shared" si="137"/>
        <v/>
      </c>
    </row>
    <row r="341" spans="2:24" x14ac:dyDescent="0.25">
      <c r="B341" s="18"/>
      <c r="C341" s="18"/>
      <c r="D341" s="18"/>
      <c r="E341" s="40"/>
      <c r="F341" s="18"/>
      <c r="G341" s="40"/>
      <c r="H341" s="7">
        <f t="shared" ref="H341:N341" si="138">SUM(H339:H340)</f>
        <v>0</v>
      </c>
      <c r="I341" s="7">
        <f t="shared" si="138"/>
        <v>0</v>
      </c>
      <c r="J341" s="7">
        <f>SUM(J339:J340)</f>
        <v>9</v>
      </c>
      <c r="K341" s="7">
        <f t="shared" si="138"/>
        <v>0</v>
      </c>
      <c r="L341" s="7">
        <f t="shared" si="138"/>
        <v>9</v>
      </c>
      <c r="M341" s="7">
        <f t="shared" si="138"/>
        <v>1</v>
      </c>
      <c r="N341" s="7">
        <f t="shared" si="138"/>
        <v>1</v>
      </c>
      <c r="O341" s="18"/>
      <c r="P341" s="13"/>
      <c r="Q341" s="13"/>
      <c r="S341" s="13"/>
      <c r="T341" s="15"/>
      <c r="U341" s="46" t="str">
        <f t="shared" si="137"/>
        <v/>
      </c>
      <c r="V341" s="46" t="str">
        <f t="shared" si="137"/>
        <v/>
      </c>
      <c r="W341" s="46" t="str">
        <f t="shared" si="137"/>
        <v/>
      </c>
      <c r="X341" s="46" t="str">
        <f t="shared" si="137"/>
        <v/>
      </c>
    </row>
    <row r="342" spans="2:24" x14ac:dyDescent="0.25">
      <c r="B342" s="18"/>
      <c r="C342" s="18"/>
      <c r="D342" s="18"/>
      <c r="E342" s="40"/>
      <c r="F342" s="18"/>
      <c r="G342" s="40"/>
      <c r="N342" s="8" t="str">
        <f>IF(R342="x",1,"")</f>
        <v/>
      </c>
      <c r="O342" s="18"/>
      <c r="P342" s="13"/>
      <c r="Q342" s="13"/>
      <c r="R342" s="13"/>
      <c r="S342" s="13"/>
      <c r="T342" s="15"/>
      <c r="U342" s="46" t="str">
        <f t="shared" si="116"/>
        <v/>
      </c>
      <c r="V342" s="46" t="str">
        <f t="shared" si="116"/>
        <v/>
      </c>
      <c r="W342" s="46" t="str">
        <f t="shared" si="116"/>
        <v/>
      </c>
      <c r="X342" s="46" t="str">
        <f t="shared" si="116"/>
        <v/>
      </c>
    </row>
    <row r="343" spans="2:24" x14ac:dyDescent="0.25">
      <c r="B343" s="18"/>
      <c r="C343" s="18"/>
      <c r="D343" s="18"/>
      <c r="E343" s="40"/>
      <c r="F343" s="18"/>
      <c r="G343" s="40"/>
      <c r="N343" s="8" t="str">
        <f>IF(R343="x",1,"")</f>
        <v/>
      </c>
      <c r="O343" s="18"/>
      <c r="P343" s="13"/>
      <c r="Q343" s="13"/>
      <c r="R343" s="13"/>
      <c r="S343" s="13"/>
      <c r="T343" s="15"/>
      <c r="U343" s="46" t="str">
        <f t="shared" si="116"/>
        <v/>
      </c>
      <c r="V343" s="46" t="str">
        <f t="shared" si="116"/>
        <v/>
      </c>
      <c r="W343" s="46" t="str">
        <f t="shared" si="116"/>
        <v/>
      </c>
      <c r="X343" s="46" t="str">
        <f t="shared" si="116"/>
        <v/>
      </c>
    </row>
    <row r="344" spans="2:24" x14ac:dyDescent="0.25">
      <c r="B344" s="11" t="str">
        <f>CONCATENATE("ASCA","-",LEFT(P344,2),UPPER(MID(P344,4,3)),RIGHT(P344,4))</f>
        <v>ASCA-18JAN1926</v>
      </c>
      <c r="C344" s="11" t="s">
        <v>3071</v>
      </c>
      <c r="D344" s="11" t="s">
        <v>2224</v>
      </c>
      <c r="E344" s="39" t="s">
        <v>3072</v>
      </c>
      <c r="F344" s="11" t="s">
        <v>1700</v>
      </c>
      <c r="G344" s="39" t="s">
        <v>3073</v>
      </c>
      <c r="I344" s="7">
        <v>0</v>
      </c>
      <c r="J344" s="17">
        <v>3</v>
      </c>
      <c r="K344" s="17"/>
      <c r="L344" s="7">
        <f>SUM(H344:K344)</f>
        <v>3</v>
      </c>
      <c r="M344" s="8">
        <v>1</v>
      </c>
      <c r="N344" s="8">
        <f>IF(L344&gt;0,1,"")</f>
        <v>1</v>
      </c>
      <c r="O344" s="11" t="s">
        <v>1702</v>
      </c>
      <c r="P344" s="16" t="str">
        <f>IF(LEN(G344)=10,CONCATENATE("0",G344),G344)</f>
        <v>18-Jan-1926</v>
      </c>
      <c r="R344" s="16" t="str">
        <f>IF($L344&gt;0,"x","")</f>
        <v>x</v>
      </c>
      <c r="S344" s="16" t="str">
        <f>IF($L344&gt;0,"x","")</f>
        <v>x</v>
      </c>
      <c r="U344" s="46" t="str">
        <f t="shared" si="116"/>
        <v/>
      </c>
      <c r="V344" s="46">
        <f t="shared" si="116"/>
        <v>3</v>
      </c>
      <c r="W344" s="46" t="str">
        <f t="shared" si="116"/>
        <v/>
      </c>
      <c r="X344" s="46" t="str">
        <f t="shared" si="116"/>
        <v/>
      </c>
    </row>
    <row r="345" spans="2:24" x14ac:dyDescent="0.25">
      <c r="N345" s="8" t="str">
        <f>IF(R345="x",1,"")</f>
        <v/>
      </c>
      <c r="U345" s="46" t="str">
        <f t="shared" si="116"/>
        <v/>
      </c>
      <c r="V345" s="46" t="str">
        <f t="shared" si="116"/>
        <v/>
      </c>
      <c r="W345" s="46" t="str">
        <f t="shared" si="116"/>
        <v/>
      </c>
      <c r="X345" s="46" t="str">
        <f t="shared" si="116"/>
        <v/>
      </c>
    </row>
    <row r="346" spans="2:24" x14ac:dyDescent="0.25">
      <c r="B346" s="18"/>
      <c r="C346" s="18"/>
      <c r="D346" s="18"/>
      <c r="E346" s="40"/>
      <c r="F346" s="18"/>
      <c r="G346" s="40"/>
      <c r="H346" s="7">
        <f t="shared" ref="H346:N346" si="139">SUM(H344:H345)</f>
        <v>0</v>
      </c>
      <c r="I346" s="7">
        <f t="shared" si="139"/>
        <v>0</v>
      </c>
      <c r="J346" s="7">
        <f>SUM(J344:J345)</f>
        <v>3</v>
      </c>
      <c r="K346" s="7">
        <f t="shared" si="139"/>
        <v>0</v>
      </c>
      <c r="L346" s="7">
        <f t="shared" si="139"/>
        <v>3</v>
      </c>
      <c r="M346" s="7">
        <f t="shared" si="139"/>
        <v>1</v>
      </c>
      <c r="N346" s="7">
        <f t="shared" si="139"/>
        <v>1</v>
      </c>
      <c r="O346" s="18"/>
      <c r="P346" s="13"/>
      <c r="Q346" s="13"/>
      <c r="S346" s="13"/>
      <c r="T346" s="15"/>
      <c r="U346" s="46" t="str">
        <f t="shared" si="116"/>
        <v/>
      </c>
      <c r="V346" s="46" t="str">
        <f t="shared" si="116"/>
        <v/>
      </c>
      <c r="W346" s="46" t="str">
        <f t="shared" si="116"/>
        <v/>
      </c>
      <c r="X346" s="46" t="str">
        <f t="shared" si="116"/>
        <v/>
      </c>
    </row>
    <row r="347" spans="2:24" x14ac:dyDescent="0.25">
      <c r="B347" s="18"/>
      <c r="C347" s="18"/>
      <c r="D347" s="18"/>
      <c r="E347" s="40"/>
      <c r="F347" s="18"/>
      <c r="G347" s="40"/>
      <c r="N347" s="8" t="str">
        <f>IF(R347="x",1,"")</f>
        <v/>
      </c>
      <c r="O347" s="18"/>
      <c r="P347" s="13"/>
      <c r="Q347" s="13"/>
      <c r="R347" s="13"/>
      <c r="S347" s="13"/>
      <c r="T347" s="15"/>
      <c r="U347" s="46" t="str">
        <f t="shared" si="116"/>
        <v/>
      </c>
      <c r="V347" s="46" t="str">
        <f t="shared" si="116"/>
        <v/>
      </c>
      <c r="W347" s="46" t="str">
        <f t="shared" si="116"/>
        <v/>
      </c>
      <c r="X347" s="46" t="str">
        <f t="shared" si="116"/>
        <v/>
      </c>
    </row>
    <row r="348" spans="2:24" x14ac:dyDescent="0.25">
      <c r="B348" s="18"/>
      <c r="C348" s="18"/>
      <c r="D348" s="18"/>
      <c r="E348" s="40"/>
      <c r="F348" s="18"/>
      <c r="G348" s="40"/>
      <c r="N348" s="8" t="str">
        <f>IF(R348="x",1,"")</f>
        <v/>
      </c>
      <c r="O348" s="18"/>
      <c r="P348" s="13"/>
      <c r="Q348" s="13"/>
      <c r="R348" s="13"/>
      <c r="S348" s="13"/>
      <c r="T348" s="15"/>
      <c r="U348" s="46" t="str">
        <f t="shared" si="116"/>
        <v/>
      </c>
      <c r="V348" s="46" t="str">
        <f t="shared" si="116"/>
        <v/>
      </c>
      <c r="W348" s="46" t="str">
        <f t="shared" si="116"/>
        <v/>
      </c>
      <c r="X348" s="46" t="str">
        <f t="shared" si="116"/>
        <v/>
      </c>
    </row>
    <row r="349" spans="2:24" x14ac:dyDescent="0.25">
      <c r="B349" s="11" t="str">
        <f t="shared" ref="B349:B386" si="140">CONCATENATE("ASIA","-",LEFT(P349,2),UPPER(MID(P349,4,3)),RIGHT(P349,4))</f>
        <v>ASIA-05OCT1920</v>
      </c>
      <c r="C349" s="11" t="s">
        <v>3052</v>
      </c>
      <c r="D349" s="11" t="s">
        <v>870</v>
      </c>
      <c r="E349" s="39" t="s">
        <v>1588</v>
      </c>
      <c r="F349" s="11" t="s">
        <v>1602</v>
      </c>
      <c r="G349" s="39" t="s">
        <v>5421</v>
      </c>
      <c r="I349" s="7">
        <v>15</v>
      </c>
      <c r="J349" s="17">
        <v>0</v>
      </c>
      <c r="K349" s="17"/>
      <c r="L349" s="7">
        <f t="shared" ref="L349:L386" si="141">SUM(H349:K349)</f>
        <v>15</v>
      </c>
      <c r="M349" s="8">
        <v>1</v>
      </c>
      <c r="N349" s="8">
        <f t="shared" ref="N349:N386" si="142">IF(L349&gt;0,1,"")</f>
        <v>1</v>
      </c>
      <c r="O349" s="11" t="s">
        <v>1702</v>
      </c>
      <c r="P349" s="16" t="str">
        <f t="shared" ref="P349:P386" si="143">IF(LEN(G349)=10,CONCATENATE("0",G349),G349)</f>
        <v>05-Oct-1920</v>
      </c>
      <c r="R349" s="16" t="str">
        <f>IF($L349&gt;0,"x","")</f>
        <v>x</v>
      </c>
      <c r="S349" s="16" t="str">
        <f>IF($L349&gt;0,"x","")</f>
        <v>x</v>
      </c>
      <c r="U349" s="46" t="str">
        <f t="shared" si="116"/>
        <v/>
      </c>
      <c r="V349" s="46">
        <f t="shared" si="116"/>
        <v>15</v>
      </c>
      <c r="W349" s="46" t="str">
        <f t="shared" si="116"/>
        <v/>
      </c>
      <c r="X349" s="46" t="str">
        <f t="shared" si="116"/>
        <v/>
      </c>
    </row>
    <row r="350" spans="2:24" x14ac:dyDescent="0.25">
      <c r="B350" s="11" t="str">
        <f>CONCATENATE("ASIA","-",LEFT(P350,2),UPPER(MID(P350,4,3)),RIGHT(P350,4))</f>
        <v>ASIA-07OCT1920</v>
      </c>
      <c r="C350" s="11" t="s">
        <v>3052</v>
      </c>
      <c r="D350" s="11" t="s">
        <v>870</v>
      </c>
      <c r="E350" s="39" t="s">
        <v>1588</v>
      </c>
      <c r="F350" s="11" t="s">
        <v>1700</v>
      </c>
      <c r="G350" s="39" t="s">
        <v>3514</v>
      </c>
      <c r="I350" s="7">
        <v>8</v>
      </c>
      <c r="J350" s="17">
        <v>7</v>
      </c>
      <c r="K350" s="17"/>
      <c r="L350" s="7">
        <f>SUM(H350:K350)</f>
        <v>15</v>
      </c>
      <c r="M350" s="8">
        <v>1</v>
      </c>
      <c r="N350" s="8">
        <f>IF(L350&gt;0,1,"")</f>
        <v>1</v>
      </c>
      <c r="O350" s="11" t="s">
        <v>1702</v>
      </c>
      <c r="P350" s="16" t="str">
        <f>IF(LEN(G350)=10,CONCATENATE("0",G350),G350)</f>
        <v>07-Oct-1920</v>
      </c>
      <c r="R350" s="16" t="str">
        <f t="shared" ref="R350:S354" si="144">IF($L350&gt;0,"x","")</f>
        <v>x</v>
      </c>
      <c r="S350" s="16" t="str">
        <f t="shared" si="144"/>
        <v>x</v>
      </c>
      <c r="U350" s="46" t="str">
        <f>IF($O350=U$5,$L350,"")</f>
        <v/>
      </c>
      <c r="V350" s="46">
        <f>IF($O350=V$5,$L350,"")</f>
        <v>15</v>
      </c>
      <c r="W350" s="46" t="str">
        <f>IF($O350=W$5,$L350,"")</f>
        <v/>
      </c>
      <c r="X350" s="46" t="str">
        <f>IF($O350=X$5,$L350,"")</f>
        <v/>
      </c>
    </row>
    <row r="351" spans="2:24" x14ac:dyDescent="0.25">
      <c r="B351" s="11" t="str">
        <f>CONCATENATE("ASIA","-",LEFT(P351,2),UPPER(MID(P351,4,3)),RIGHT(P351,4))</f>
        <v>ASIA-09DEC1920</v>
      </c>
      <c r="C351" s="11" t="s">
        <v>3052</v>
      </c>
      <c r="D351" s="11" t="s">
        <v>870</v>
      </c>
      <c r="E351" s="39" t="s">
        <v>2042</v>
      </c>
      <c r="F351" s="11" t="s">
        <v>1602</v>
      </c>
      <c r="G351" s="39" t="s">
        <v>5349</v>
      </c>
      <c r="I351" s="7">
        <v>6</v>
      </c>
      <c r="J351" s="17">
        <v>14</v>
      </c>
      <c r="K351" s="17"/>
      <c r="L351" s="7">
        <f>SUM(H351:K351)</f>
        <v>20</v>
      </c>
      <c r="M351" s="8">
        <v>1</v>
      </c>
      <c r="N351" s="8">
        <f>IF(L351&gt;0,1,"")</f>
        <v>1</v>
      </c>
      <c r="O351" s="11" t="s">
        <v>1702</v>
      </c>
      <c r="P351" s="16" t="str">
        <f>IF(LEN(G351)=10,CONCATENATE("0",G351),G351)</f>
        <v>09-Dec-1920</v>
      </c>
      <c r="R351" s="16" t="str">
        <f t="shared" si="144"/>
        <v>x</v>
      </c>
      <c r="S351" s="16" t="str">
        <f t="shared" si="144"/>
        <v>x</v>
      </c>
      <c r="U351" s="46" t="str">
        <f t="shared" ref="U351:X354" si="145">IF($O351=U$5,$L351,"")</f>
        <v/>
      </c>
      <c r="V351" s="46">
        <f t="shared" si="145"/>
        <v>20</v>
      </c>
      <c r="W351" s="46" t="str">
        <f t="shared" si="145"/>
        <v/>
      </c>
      <c r="X351" s="46" t="str">
        <f t="shared" si="145"/>
        <v/>
      </c>
    </row>
    <row r="352" spans="2:24" x14ac:dyDescent="0.25">
      <c r="B352" s="11" t="str">
        <f>CONCATENATE("ASIA","-",LEFT(P352,2),UPPER(MID(P352,4,3)),RIGHT(P352,4))</f>
        <v>ASIA-10DEC1920</v>
      </c>
      <c r="C352" s="11" t="s">
        <v>3052</v>
      </c>
      <c r="D352" s="11" t="s">
        <v>870</v>
      </c>
      <c r="E352" s="39" t="s">
        <v>2042</v>
      </c>
      <c r="F352" s="11" t="s">
        <v>1700</v>
      </c>
      <c r="G352" s="39" t="s">
        <v>4376</v>
      </c>
      <c r="I352" s="7">
        <v>0</v>
      </c>
      <c r="J352" s="17">
        <v>9</v>
      </c>
      <c r="K352" s="17"/>
      <c r="L352" s="7">
        <f>SUM(H352:K352)</f>
        <v>9</v>
      </c>
      <c r="M352" s="8">
        <v>1</v>
      </c>
      <c r="N352" s="8">
        <f>IF(L352&gt;0,1,"")</f>
        <v>1</v>
      </c>
      <c r="O352" s="11" t="s">
        <v>1702</v>
      </c>
      <c r="P352" s="16" t="str">
        <f>IF(LEN(G352)=10,CONCATENATE("0",G352),G352)</f>
        <v>10-Dec-1920</v>
      </c>
      <c r="R352" s="16" t="str">
        <f t="shared" si="144"/>
        <v>x</v>
      </c>
      <c r="S352" s="16" t="str">
        <f t="shared" si="144"/>
        <v>x</v>
      </c>
      <c r="U352" s="46" t="str">
        <f t="shared" si="145"/>
        <v/>
      </c>
      <c r="V352" s="46">
        <f t="shared" si="145"/>
        <v>9</v>
      </c>
      <c r="W352" s="46" t="str">
        <f t="shared" si="145"/>
        <v/>
      </c>
      <c r="X352" s="46" t="str">
        <f t="shared" si="145"/>
        <v/>
      </c>
    </row>
    <row r="353" spans="2:24" x14ac:dyDescent="0.25">
      <c r="B353" s="11" t="str">
        <f t="shared" si="140"/>
        <v>ASIA-14FEB1921</v>
      </c>
      <c r="C353" s="11" t="s">
        <v>3052</v>
      </c>
      <c r="D353" s="11" t="s">
        <v>870</v>
      </c>
      <c r="E353" s="39" t="s">
        <v>1589</v>
      </c>
      <c r="F353" s="11" t="s">
        <v>1602</v>
      </c>
      <c r="G353" s="39" t="s">
        <v>3984</v>
      </c>
      <c r="I353" s="7">
        <f>36+1</f>
        <v>37</v>
      </c>
      <c r="J353" s="17">
        <v>88</v>
      </c>
      <c r="K353" s="17"/>
      <c r="L353" s="7">
        <f t="shared" si="141"/>
        <v>125</v>
      </c>
      <c r="M353" s="8">
        <v>1</v>
      </c>
      <c r="N353" s="8">
        <f t="shared" si="142"/>
        <v>1</v>
      </c>
      <c r="O353" s="11" t="s">
        <v>1702</v>
      </c>
      <c r="P353" s="16" t="str">
        <f t="shared" si="143"/>
        <v>14-Feb-1921</v>
      </c>
      <c r="R353" s="16" t="str">
        <f t="shared" si="144"/>
        <v>x</v>
      </c>
      <c r="S353" s="16" t="str">
        <f t="shared" si="144"/>
        <v>x</v>
      </c>
      <c r="U353" s="46" t="str">
        <f t="shared" si="145"/>
        <v/>
      </c>
      <c r="V353" s="46">
        <f t="shared" si="145"/>
        <v>125</v>
      </c>
      <c r="W353" s="46" t="str">
        <f t="shared" si="145"/>
        <v/>
      </c>
      <c r="X353" s="46" t="str">
        <f t="shared" si="145"/>
        <v/>
      </c>
    </row>
    <row r="354" spans="2:24" x14ac:dyDescent="0.25">
      <c r="B354" s="11" t="str">
        <f t="shared" si="140"/>
        <v>ASIA-21JUN1921</v>
      </c>
      <c r="C354" s="11" t="s">
        <v>3052</v>
      </c>
      <c r="D354" s="11" t="s">
        <v>870</v>
      </c>
      <c r="E354" s="39" t="s">
        <v>2061</v>
      </c>
      <c r="F354" s="11" t="s">
        <v>1602</v>
      </c>
      <c r="G354" s="39" t="s">
        <v>4519</v>
      </c>
      <c r="I354" s="7">
        <v>38</v>
      </c>
      <c r="J354" s="17">
        <v>70</v>
      </c>
      <c r="K354" s="17"/>
      <c r="L354" s="7">
        <f t="shared" si="141"/>
        <v>108</v>
      </c>
      <c r="M354" s="8">
        <v>1</v>
      </c>
      <c r="N354" s="8">
        <f t="shared" si="142"/>
        <v>1</v>
      </c>
      <c r="O354" s="11" t="s">
        <v>1702</v>
      </c>
      <c r="P354" s="16" t="str">
        <f t="shared" si="143"/>
        <v>21-Jun-1921</v>
      </c>
      <c r="R354" s="16" t="str">
        <f t="shared" si="144"/>
        <v>x</v>
      </c>
      <c r="S354" s="16" t="str">
        <f t="shared" si="144"/>
        <v>x</v>
      </c>
      <c r="U354" s="46" t="str">
        <f t="shared" si="145"/>
        <v/>
      </c>
      <c r="V354" s="46">
        <f t="shared" si="145"/>
        <v>108</v>
      </c>
      <c r="W354" s="46" t="str">
        <f t="shared" si="145"/>
        <v/>
      </c>
      <c r="X354" s="46" t="str">
        <f t="shared" si="145"/>
        <v/>
      </c>
    </row>
    <row r="355" spans="2:24" x14ac:dyDescent="0.25">
      <c r="B355" s="11" t="str">
        <f t="shared" si="140"/>
        <v>ASIA-27AUG1921</v>
      </c>
      <c r="C355" s="11" t="s">
        <v>3052</v>
      </c>
      <c r="D355" s="11" t="s">
        <v>870</v>
      </c>
      <c r="E355" s="39" t="s">
        <v>4400</v>
      </c>
      <c r="F355" s="11" t="s">
        <v>1602</v>
      </c>
      <c r="G355" s="39" t="s">
        <v>3006</v>
      </c>
      <c r="I355" s="7">
        <v>22</v>
      </c>
      <c r="J355" s="17">
        <v>22</v>
      </c>
      <c r="K355" s="17"/>
      <c r="L355" s="7">
        <f t="shared" si="141"/>
        <v>44</v>
      </c>
      <c r="M355" s="8">
        <v>1</v>
      </c>
      <c r="N355" s="8">
        <f t="shared" si="142"/>
        <v>1</v>
      </c>
      <c r="O355" s="11" t="s">
        <v>1702</v>
      </c>
      <c r="P355" s="16" t="str">
        <f t="shared" si="143"/>
        <v>27-Aug-1921</v>
      </c>
      <c r="R355" s="16" t="str">
        <f t="shared" ref="R355:S359" si="146">IF($L355&gt;0,"x","")</f>
        <v>x</v>
      </c>
      <c r="S355" s="16" t="str">
        <f t="shared" si="146"/>
        <v>x</v>
      </c>
      <c r="U355" s="46" t="str">
        <f t="shared" si="116"/>
        <v/>
      </c>
      <c r="V355" s="46">
        <f t="shared" si="116"/>
        <v>44</v>
      </c>
      <c r="W355" s="46" t="str">
        <f t="shared" si="116"/>
        <v/>
      </c>
      <c r="X355" s="46" t="str">
        <f t="shared" si="116"/>
        <v/>
      </c>
    </row>
    <row r="356" spans="2:24" x14ac:dyDescent="0.25">
      <c r="B356" s="11" t="str">
        <f t="shared" si="140"/>
        <v>ASIA-04NOV1921</v>
      </c>
      <c r="C356" s="11" t="s">
        <v>3052</v>
      </c>
      <c r="D356" s="11" t="s">
        <v>870</v>
      </c>
      <c r="E356" s="39" t="s">
        <v>4459</v>
      </c>
      <c r="F356" s="11" t="s">
        <v>3050</v>
      </c>
      <c r="G356" s="39" t="s">
        <v>4260</v>
      </c>
      <c r="I356" s="7">
        <v>15</v>
      </c>
      <c r="J356" s="17">
        <v>11</v>
      </c>
      <c r="K356" s="17"/>
      <c r="L356" s="7">
        <f t="shared" si="141"/>
        <v>26</v>
      </c>
      <c r="M356" s="8">
        <v>1</v>
      </c>
      <c r="N356" s="8">
        <f t="shared" si="142"/>
        <v>1</v>
      </c>
      <c r="O356" s="11" t="s">
        <v>1702</v>
      </c>
      <c r="P356" s="16" t="str">
        <f t="shared" si="143"/>
        <v>04-Nov-1921</v>
      </c>
      <c r="R356" s="16" t="str">
        <f t="shared" si="146"/>
        <v>x</v>
      </c>
      <c r="S356" s="16" t="str">
        <f t="shared" si="146"/>
        <v>x</v>
      </c>
      <c r="U356" s="46" t="str">
        <f>IF($O356=U$5,$L356,"")</f>
        <v/>
      </c>
      <c r="V356" s="46">
        <f>IF($O356=V$5,$L356,"")</f>
        <v>26</v>
      </c>
      <c r="W356" s="46" t="str">
        <f>IF($O356=W$5,$L356,"")</f>
        <v/>
      </c>
      <c r="X356" s="46" t="str">
        <f>IF($O356=X$5,$L356,"")</f>
        <v/>
      </c>
    </row>
    <row r="357" spans="2:24" x14ac:dyDescent="0.25">
      <c r="B357" s="11" t="str">
        <f t="shared" si="140"/>
        <v>ASIA-13FEB1922</v>
      </c>
      <c r="C357" s="11" t="s">
        <v>3052</v>
      </c>
      <c r="D357" s="11" t="s">
        <v>870</v>
      </c>
      <c r="E357" s="39" t="s">
        <v>4262</v>
      </c>
      <c r="F357" s="11" t="s">
        <v>1602</v>
      </c>
      <c r="G357" s="39" t="s">
        <v>4264</v>
      </c>
      <c r="I357" s="7">
        <v>2</v>
      </c>
      <c r="J357" s="17">
        <f>6+1</f>
        <v>7</v>
      </c>
      <c r="K357" s="17"/>
      <c r="L357" s="7">
        <f t="shared" si="141"/>
        <v>9</v>
      </c>
      <c r="M357" s="8">
        <v>1</v>
      </c>
      <c r="N357" s="8">
        <f t="shared" si="142"/>
        <v>1</v>
      </c>
      <c r="O357" s="11" t="s">
        <v>1702</v>
      </c>
      <c r="P357" s="16" t="str">
        <f t="shared" si="143"/>
        <v>13-Feb-1922</v>
      </c>
      <c r="R357" s="16" t="str">
        <f t="shared" si="146"/>
        <v>x</v>
      </c>
      <c r="S357" s="16" t="str">
        <f t="shared" si="146"/>
        <v>x</v>
      </c>
      <c r="U357" s="46" t="str">
        <f t="shared" si="116"/>
        <v/>
      </c>
      <c r="V357" s="46">
        <f t="shared" si="116"/>
        <v>9</v>
      </c>
      <c r="W357" s="46" t="str">
        <f t="shared" si="116"/>
        <v/>
      </c>
      <c r="X357" s="46" t="str">
        <f t="shared" si="116"/>
        <v/>
      </c>
    </row>
    <row r="358" spans="2:24" x14ac:dyDescent="0.25">
      <c r="B358" s="11" t="str">
        <f t="shared" si="140"/>
        <v>ASIA-14FEB1922</v>
      </c>
      <c r="C358" s="11" t="s">
        <v>3052</v>
      </c>
      <c r="D358" s="11" t="s">
        <v>870</v>
      </c>
      <c r="E358" s="39" t="s">
        <v>4262</v>
      </c>
      <c r="F358" s="11" t="s">
        <v>1700</v>
      </c>
      <c r="G358" s="39" t="s">
        <v>4263</v>
      </c>
      <c r="I358" s="7">
        <v>1</v>
      </c>
      <c r="J358" s="17"/>
      <c r="K358" s="17"/>
      <c r="L358" s="7">
        <f t="shared" si="141"/>
        <v>1</v>
      </c>
      <c r="M358" s="8">
        <v>1</v>
      </c>
      <c r="N358" s="8">
        <f t="shared" si="142"/>
        <v>1</v>
      </c>
      <c r="O358" s="11" t="s">
        <v>1702</v>
      </c>
      <c r="P358" s="16" t="str">
        <f t="shared" si="143"/>
        <v>14-Feb-1922</v>
      </c>
      <c r="R358" s="16" t="str">
        <f t="shared" si="146"/>
        <v>x</v>
      </c>
      <c r="S358" s="16" t="str">
        <f t="shared" si="146"/>
        <v>x</v>
      </c>
      <c r="U358" s="46" t="str">
        <f t="shared" si="116"/>
        <v/>
      </c>
      <c r="V358" s="46">
        <f t="shared" si="116"/>
        <v>1</v>
      </c>
      <c r="W358" s="46" t="str">
        <f t="shared" si="116"/>
        <v/>
      </c>
      <c r="X358" s="46" t="str">
        <f t="shared" si="116"/>
        <v/>
      </c>
    </row>
    <row r="359" spans="2:24" x14ac:dyDescent="0.25">
      <c r="B359" s="11" t="str">
        <f t="shared" si="140"/>
        <v>ASIA-10OCT1922</v>
      </c>
      <c r="C359" s="11" t="s">
        <v>3052</v>
      </c>
      <c r="D359" s="11" t="s">
        <v>3056</v>
      </c>
      <c r="E359" s="39" t="s">
        <v>2959</v>
      </c>
      <c r="F359" s="11" t="s">
        <v>1700</v>
      </c>
      <c r="G359" s="39" t="s">
        <v>3517</v>
      </c>
      <c r="I359" s="7">
        <f>0+1</f>
        <v>1</v>
      </c>
      <c r="J359" s="17">
        <v>28</v>
      </c>
      <c r="K359" s="17"/>
      <c r="L359" s="7">
        <f t="shared" si="141"/>
        <v>29</v>
      </c>
      <c r="M359" s="8">
        <v>1</v>
      </c>
      <c r="N359" s="8">
        <f t="shared" si="142"/>
        <v>1</v>
      </c>
      <c r="O359" s="11" t="s">
        <v>1702</v>
      </c>
      <c r="P359" s="16" t="str">
        <f t="shared" si="143"/>
        <v>10-Oct-1922</v>
      </c>
      <c r="R359" s="16" t="str">
        <f t="shared" si="146"/>
        <v>x</v>
      </c>
      <c r="S359" s="16" t="str">
        <f t="shared" si="146"/>
        <v>x</v>
      </c>
      <c r="U359" s="46" t="str">
        <f t="shared" si="116"/>
        <v/>
      </c>
      <c r="V359" s="46">
        <f t="shared" si="116"/>
        <v>29</v>
      </c>
      <c r="W359" s="46" t="str">
        <f t="shared" si="116"/>
        <v/>
      </c>
      <c r="X359" s="46" t="str">
        <f t="shared" si="116"/>
        <v/>
      </c>
    </row>
    <row r="360" spans="2:24" x14ac:dyDescent="0.25">
      <c r="B360" s="11" t="str">
        <f t="shared" si="140"/>
        <v>ASIA-10OCT1922</v>
      </c>
      <c r="C360" s="11" t="s">
        <v>3052</v>
      </c>
      <c r="D360" s="11" t="s">
        <v>2808</v>
      </c>
      <c r="E360" s="39" t="s">
        <v>3518</v>
      </c>
      <c r="F360" s="11" t="s">
        <v>1700</v>
      </c>
      <c r="G360" s="39" t="s">
        <v>3517</v>
      </c>
      <c r="I360" s="7">
        <f>10+2</f>
        <v>12</v>
      </c>
      <c r="J360" s="17">
        <v>16</v>
      </c>
      <c r="K360" s="17"/>
      <c r="L360" s="7">
        <f t="shared" si="141"/>
        <v>28</v>
      </c>
      <c r="M360" s="8">
        <v>1</v>
      </c>
      <c r="N360" s="8">
        <f t="shared" si="142"/>
        <v>1</v>
      </c>
      <c r="O360" s="11" t="s">
        <v>1702</v>
      </c>
      <c r="P360" s="16" t="str">
        <f t="shared" si="143"/>
        <v>10-Oct-1922</v>
      </c>
      <c r="R360" s="16" t="str">
        <f t="shared" ref="R360:S375" si="147">IF($L360&gt;0,"x","")</f>
        <v>x</v>
      </c>
      <c r="S360" s="16" t="str">
        <f t="shared" si="147"/>
        <v>x</v>
      </c>
      <c r="U360" s="46" t="str">
        <f t="shared" si="116"/>
        <v/>
      </c>
      <c r="V360" s="46">
        <f t="shared" si="116"/>
        <v>28</v>
      </c>
      <c r="W360" s="46" t="str">
        <f t="shared" si="116"/>
        <v/>
      </c>
      <c r="X360" s="46" t="str">
        <f t="shared" si="116"/>
        <v/>
      </c>
    </row>
    <row r="361" spans="2:24" x14ac:dyDescent="0.25">
      <c r="B361" s="11" t="str">
        <f t="shared" si="140"/>
        <v>ASIA-02JAN1923</v>
      </c>
      <c r="C361" s="11" t="s">
        <v>3052</v>
      </c>
      <c r="D361" s="11" t="s">
        <v>870</v>
      </c>
      <c r="E361" s="39" t="s">
        <v>4287</v>
      </c>
      <c r="F361" s="11" t="s">
        <v>1602</v>
      </c>
      <c r="G361" s="39" t="s">
        <v>4288</v>
      </c>
      <c r="I361" s="7">
        <f>4+2</f>
        <v>6</v>
      </c>
      <c r="J361" s="17">
        <v>1</v>
      </c>
      <c r="K361" s="17"/>
      <c r="L361" s="7">
        <f t="shared" si="141"/>
        <v>7</v>
      </c>
      <c r="M361" s="8">
        <v>1</v>
      </c>
      <c r="N361" s="8">
        <f t="shared" si="142"/>
        <v>1</v>
      </c>
      <c r="O361" s="11" t="s">
        <v>1702</v>
      </c>
      <c r="P361" s="16" t="str">
        <f t="shared" si="143"/>
        <v>02-Jan-1923</v>
      </c>
      <c r="R361" s="16" t="str">
        <f t="shared" si="147"/>
        <v>x</v>
      </c>
      <c r="S361" s="16" t="str">
        <f t="shared" si="147"/>
        <v>x</v>
      </c>
      <c r="U361" s="46" t="str">
        <f t="shared" si="116"/>
        <v/>
      </c>
      <c r="V361" s="46">
        <f t="shared" si="116"/>
        <v>7</v>
      </c>
      <c r="W361" s="46" t="str">
        <f t="shared" si="116"/>
        <v/>
      </c>
      <c r="X361" s="46" t="str">
        <f t="shared" si="116"/>
        <v/>
      </c>
    </row>
    <row r="362" spans="2:24" x14ac:dyDescent="0.25">
      <c r="B362" s="11" t="str">
        <f t="shared" si="140"/>
        <v>ASIA-03JAN1923</v>
      </c>
      <c r="C362" s="11" t="s">
        <v>3052</v>
      </c>
      <c r="D362" s="11" t="s">
        <v>870</v>
      </c>
      <c r="E362" s="39" t="s">
        <v>4290</v>
      </c>
      <c r="F362" s="11" t="s">
        <v>1700</v>
      </c>
      <c r="G362" s="39" t="s">
        <v>4291</v>
      </c>
      <c r="I362" s="7">
        <v>0</v>
      </c>
      <c r="J362" s="17">
        <f>1+1</f>
        <v>2</v>
      </c>
      <c r="K362" s="17"/>
      <c r="L362" s="7">
        <f t="shared" si="141"/>
        <v>2</v>
      </c>
      <c r="M362" s="8">
        <v>1</v>
      </c>
      <c r="N362" s="8">
        <f t="shared" si="142"/>
        <v>1</v>
      </c>
      <c r="O362" s="11" t="s">
        <v>1702</v>
      </c>
      <c r="P362" s="16" t="str">
        <f t="shared" si="143"/>
        <v>03-Jan-1923</v>
      </c>
      <c r="R362" s="16" t="str">
        <f t="shared" si="147"/>
        <v>x</v>
      </c>
      <c r="S362" s="16" t="str">
        <f t="shared" si="147"/>
        <v>x</v>
      </c>
      <c r="U362" s="46" t="str">
        <f t="shared" si="116"/>
        <v/>
      </c>
      <c r="V362" s="46">
        <f t="shared" si="116"/>
        <v>2</v>
      </c>
      <c r="W362" s="46" t="str">
        <f t="shared" si="116"/>
        <v/>
      </c>
      <c r="X362" s="46" t="str">
        <f t="shared" si="116"/>
        <v/>
      </c>
    </row>
    <row r="363" spans="2:24" x14ac:dyDescent="0.25">
      <c r="B363" s="11" t="str">
        <f>CONCATENATE("ASIA","-",LEFT(P363,2),UPPER(MID(P363,4,3)),RIGHT(P363,4))</f>
        <v>ASIA-01SEP1923</v>
      </c>
      <c r="C363" s="11" t="s">
        <v>3052</v>
      </c>
      <c r="D363" s="11" t="s">
        <v>870</v>
      </c>
      <c r="E363" s="39" t="s">
        <v>4307</v>
      </c>
      <c r="F363" s="11" t="s">
        <v>1602</v>
      </c>
      <c r="G363" s="39" t="s">
        <v>1168</v>
      </c>
      <c r="I363" s="7">
        <f>1+1</f>
        <v>2</v>
      </c>
      <c r="J363" s="17">
        <v>35</v>
      </c>
      <c r="K363" s="17"/>
      <c r="L363" s="7">
        <f>SUM(H363:K363)</f>
        <v>37</v>
      </c>
      <c r="M363" s="8">
        <v>1</v>
      </c>
      <c r="N363" s="8">
        <f>IF(L363&gt;0,1,"")</f>
        <v>1</v>
      </c>
      <c r="O363" s="11" t="s">
        <v>1702</v>
      </c>
      <c r="P363" s="16" t="str">
        <f>IF(LEN(G363)=10,CONCATENATE("0",G363),G363)</f>
        <v>01-Sep-1923</v>
      </c>
      <c r="R363" s="16" t="str">
        <f t="shared" si="147"/>
        <v>x</v>
      </c>
      <c r="S363" s="16" t="str">
        <f t="shared" si="147"/>
        <v>x</v>
      </c>
      <c r="U363" s="46" t="str">
        <f>IF($O363=U$5,$L363,"")</f>
        <v/>
      </c>
      <c r="V363" s="46">
        <f>IF($O363=V$5,$L363,"")</f>
        <v>37</v>
      </c>
      <c r="W363" s="46" t="str">
        <f>IF($O363=W$5,$L363,"")</f>
        <v/>
      </c>
      <c r="X363" s="46" t="str">
        <f>IF($O363=X$5,$L363,"")</f>
        <v/>
      </c>
    </row>
    <row r="364" spans="2:24" x14ac:dyDescent="0.25">
      <c r="B364" s="11" t="str">
        <f t="shared" si="140"/>
        <v>ASIA-02SEP1923</v>
      </c>
      <c r="C364" s="11" t="s">
        <v>3052</v>
      </c>
      <c r="D364" s="11" t="s">
        <v>870</v>
      </c>
      <c r="E364" s="39" t="s">
        <v>4307</v>
      </c>
      <c r="F364" s="11" t="s">
        <v>1700</v>
      </c>
      <c r="G364" s="39" t="s">
        <v>4308</v>
      </c>
      <c r="J364" s="17">
        <f>0+1</f>
        <v>1</v>
      </c>
      <c r="K364" s="17"/>
      <c r="L364" s="7">
        <f t="shared" si="141"/>
        <v>1</v>
      </c>
      <c r="M364" s="8">
        <v>1</v>
      </c>
      <c r="N364" s="8">
        <f t="shared" si="142"/>
        <v>1</v>
      </c>
      <c r="O364" s="11" t="s">
        <v>1702</v>
      </c>
      <c r="P364" s="16" t="str">
        <f t="shared" si="143"/>
        <v>02-Sep-1923</v>
      </c>
      <c r="R364" s="16" t="str">
        <f t="shared" si="147"/>
        <v>x</v>
      </c>
      <c r="S364" s="16" t="str">
        <f t="shared" si="147"/>
        <v>x</v>
      </c>
      <c r="U364" s="46" t="str">
        <f t="shared" si="116"/>
        <v/>
      </c>
      <c r="V364" s="46">
        <f t="shared" si="116"/>
        <v>1</v>
      </c>
      <c r="W364" s="46" t="str">
        <f t="shared" si="116"/>
        <v/>
      </c>
      <c r="X364" s="46" t="str">
        <f t="shared" si="116"/>
        <v/>
      </c>
    </row>
    <row r="365" spans="2:24" x14ac:dyDescent="0.25">
      <c r="B365" s="11" t="str">
        <f>CONCATENATE("ASIA","-",LEFT(P365,2),UPPER(MID(P365,4,3)),RIGHT(P365,4))</f>
        <v>ASIA-08FEB1924</v>
      </c>
      <c r="C365" s="11" t="s">
        <v>3052</v>
      </c>
      <c r="D365" s="11" t="s">
        <v>3056</v>
      </c>
      <c r="E365" s="39" t="s">
        <v>3019</v>
      </c>
      <c r="F365" s="11" t="s">
        <v>2904</v>
      </c>
      <c r="G365" s="39" t="s">
        <v>11341</v>
      </c>
      <c r="J365" s="17">
        <v>7</v>
      </c>
      <c r="K365" s="17"/>
      <c r="L365" s="7">
        <f>SUM(H365:K365)</f>
        <v>7</v>
      </c>
      <c r="M365" s="8">
        <v>1</v>
      </c>
      <c r="N365" s="8">
        <f>IF(L365&gt;0,1,"")</f>
        <v>1</v>
      </c>
      <c r="O365" s="11" t="s">
        <v>1702</v>
      </c>
      <c r="P365" s="16" t="str">
        <f>IF(LEN(G365)=10,CONCATENATE("0",G365),G365)</f>
        <v>08-Feb-1924</v>
      </c>
      <c r="R365" s="16" t="str">
        <f t="shared" si="147"/>
        <v>x</v>
      </c>
      <c r="S365" s="16" t="str">
        <f t="shared" si="147"/>
        <v>x</v>
      </c>
      <c r="U365" s="46" t="str">
        <f>IF($O365=U$5,$L365,"")</f>
        <v/>
      </c>
      <c r="V365" s="46">
        <f>IF($O365=V$5,$L365,"")</f>
        <v>7</v>
      </c>
      <c r="W365" s="46" t="str">
        <f>IF($O365=W$5,$L365,"")</f>
        <v/>
      </c>
      <c r="X365" s="46" t="str">
        <f>IF($O365=X$5,$L365,"")</f>
        <v/>
      </c>
    </row>
    <row r="366" spans="2:24" x14ac:dyDescent="0.25">
      <c r="B366" s="11" t="str">
        <f t="shared" si="140"/>
        <v>ASIA-10FEB1924</v>
      </c>
      <c r="C366" s="11" t="s">
        <v>3052</v>
      </c>
      <c r="D366" s="11" t="s">
        <v>4246</v>
      </c>
      <c r="E366" s="39" t="s">
        <v>2848</v>
      </c>
      <c r="F366" s="11" t="s">
        <v>1700</v>
      </c>
      <c r="G366" s="39" t="s">
        <v>2868</v>
      </c>
      <c r="I366" s="7">
        <f>6+3</f>
        <v>9</v>
      </c>
      <c r="J366" s="17">
        <f>7+1</f>
        <v>8</v>
      </c>
      <c r="K366" s="17"/>
      <c r="L366" s="7">
        <f t="shared" si="141"/>
        <v>17</v>
      </c>
      <c r="M366" s="8">
        <v>1</v>
      </c>
      <c r="N366" s="8">
        <f t="shared" si="142"/>
        <v>1</v>
      </c>
      <c r="O366" s="11" t="s">
        <v>1702</v>
      </c>
      <c r="P366" s="16" t="str">
        <f t="shared" si="143"/>
        <v>10-Feb-1924</v>
      </c>
      <c r="R366" s="16" t="str">
        <f t="shared" si="147"/>
        <v>x</v>
      </c>
      <c r="S366" s="16" t="str">
        <f t="shared" si="147"/>
        <v>x</v>
      </c>
      <c r="U366" s="46" t="str">
        <f t="shared" si="116"/>
        <v/>
      </c>
      <c r="V366" s="46">
        <f t="shared" si="116"/>
        <v>17</v>
      </c>
      <c r="W366" s="46" t="str">
        <f t="shared" si="116"/>
        <v/>
      </c>
      <c r="X366" s="46" t="str">
        <f t="shared" si="116"/>
        <v/>
      </c>
    </row>
    <row r="367" spans="2:24" x14ac:dyDescent="0.25">
      <c r="B367" s="11" t="str">
        <f t="shared" si="140"/>
        <v>ASIA-02AUG1924</v>
      </c>
      <c r="C367" s="11" t="s">
        <v>3052</v>
      </c>
      <c r="D367" s="11" t="s">
        <v>3056</v>
      </c>
      <c r="E367" s="39" t="s">
        <v>4357</v>
      </c>
      <c r="F367" s="11" t="s">
        <v>1602</v>
      </c>
      <c r="G367" s="39" t="s">
        <v>4358</v>
      </c>
      <c r="I367" s="7">
        <v>1</v>
      </c>
      <c r="J367" s="17">
        <f>0+5</f>
        <v>5</v>
      </c>
      <c r="K367" s="17"/>
      <c r="L367" s="7">
        <f t="shared" si="141"/>
        <v>6</v>
      </c>
      <c r="M367" s="8">
        <v>1</v>
      </c>
      <c r="N367" s="8">
        <f t="shared" si="142"/>
        <v>1</v>
      </c>
      <c r="O367" s="11" t="s">
        <v>1702</v>
      </c>
      <c r="P367" s="16" t="str">
        <f t="shared" si="143"/>
        <v>02-Aug-1924</v>
      </c>
      <c r="R367" s="16" t="str">
        <f t="shared" si="147"/>
        <v>x</v>
      </c>
      <c r="S367" s="16" t="str">
        <f t="shared" si="147"/>
        <v>x</v>
      </c>
      <c r="U367" s="46" t="str">
        <f t="shared" si="116"/>
        <v/>
      </c>
      <c r="V367" s="46">
        <f t="shared" si="116"/>
        <v>6</v>
      </c>
      <c r="W367" s="46" t="str">
        <f t="shared" si="116"/>
        <v/>
      </c>
      <c r="X367" s="46" t="str">
        <f t="shared" si="116"/>
        <v/>
      </c>
    </row>
    <row r="368" spans="2:24" x14ac:dyDescent="0.25">
      <c r="B368" s="11" t="str">
        <f t="shared" si="140"/>
        <v>ASIA-02AUG1924</v>
      </c>
      <c r="C368" s="11" t="s">
        <v>3052</v>
      </c>
      <c r="D368" s="11" t="s">
        <v>2994</v>
      </c>
      <c r="E368" s="39" t="s">
        <v>4359</v>
      </c>
      <c r="F368" s="11" t="s">
        <v>1602</v>
      </c>
      <c r="G368" s="39" t="s">
        <v>4358</v>
      </c>
      <c r="I368" s="7">
        <v>0</v>
      </c>
      <c r="J368" s="17">
        <f>0+1</f>
        <v>1</v>
      </c>
      <c r="K368" s="17"/>
      <c r="L368" s="7">
        <f t="shared" si="141"/>
        <v>1</v>
      </c>
      <c r="M368" s="8">
        <v>1</v>
      </c>
      <c r="N368" s="8">
        <f t="shared" si="142"/>
        <v>1</v>
      </c>
      <c r="O368" s="11" t="s">
        <v>1702</v>
      </c>
      <c r="P368" s="16" t="str">
        <f t="shared" si="143"/>
        <v>02-Aug-1924</v>
      </c>
      <c r="R368" s="16" t="str">
        <f t="shared" si="147"/>
        <v>x</v>
      </c>
      <c r="S368" s="16" t="str">
        <f t="shared" si="147"/>
        <v>x</v>
      </c>
      <c r="U368" s="46" t="str">
        <f t="shared" si="116"/>
        <v/>
      </c>
      <c r="V368" s="46">
        <f t="shared" si="116"/>
        <v>1</v>
      </c>
      <c r="W368" s="46" t="str">
        <f t="shared" si="116"/>
        <v/>
      </c>
      <c r="X368" s="46" t="str">
        <f t="shared" si="116"/>
        <v/>
      </c>
    </row>
    <row r="369" spans="2:24" x14ac:dyDescent="0.25">
      <c r="B369" s="11" t="str">
        <f t="shared" si="140"/>
        <v>ASIA-02AUG1924</v>
      </c>
      <c r="C369" s="11" t="s">
        <v>3052</v>
      </c>
      <c r="D369" s="11" t="s">
        <v>847</v>
      </c>
      <c r="E369" s="39" t="s">
        <v>4360</v>
      </c>
      <c r="F369" s="11" t="s">
        <v>1602</v>
      </c>
      <c r="G369" s="39" t="s">
        <v>4358</v>
      </c>
      <c r="I369" s="7">
        <v>0</v>
      </c>
      <c r="J369" s="17">
        <f>0+1</f>
        <v>1</v>
      </c>
      <c r="K369" s="17"/>
      <c r="L369" s="7">
        <f t="shared" si="141"/>
        <v>1</v>
      </c>
      <c r="M369" s="8">
        <v>1</v>
      </c>
      <c r="N369" s="8">
        <f t="shared" si="142"/>
        <v>1</v>
      </c>
      <c r="O369" s="11" t="s">
        <v>1702</v>
      </c>
      <c r="P369" s="16" t="str">
        <f t="shared" si="143"/>
        <v>02-Aug-1924</v>
      </c>
      <c r="R369" s="16" t="str">
        <f t="shared" si="147"/>
        <v>x</v>
      </c>
      <c r="S369" s="16" t="str">
        <f t="shared" si="147"/>
        <v>x</v>
      </c>
      <c r="U369" s="46" t="str">
        <f t="shared" si="116"/>
        <v/>
      </c>
      <c r="V369" s="46">
        <f t="shared" si="116"/>
        <v>1</v>
      </c>
      <c r="W369" s="46" t="str">
        <f t="shared" si="116"/>
        <v/>
      </c>
      <c r="X369" s="46" t="str">
        <f t="shared" si="116"/>
        <v/>
      </c>
    </row>
    <row r="370" spans="2:24" x14ac:dyDescent="0.25">
      <c r="B370" s="11" t="str">
        <f t="shared" si="140"/>
        <v>ASIA-04DEC1924</v>
      </c>
      <c r="C370" s="11" t="s">
        <v>3052</v>
      </c>
      <c r="D370" s="11" t="s">
        <v>870</v>
      </c>
      <c r="E370" s="39" t="s">
        <v>4474</v>
      </c>
      <c r="F370" s="11" t="s">
        <v>1700</v>
      </c>
      <c r="G370" s="39" t="s">
        <v>3124</v>
      </c>
      <c r="I370" s="7">
        <v>0</v>
      </c>
      <c r="J370" s="17"/>
      <c r="K370" s="17"/>
      <c r="L370" s="7">
        <f t="shared" si="141"/>
        <v>0</v>
      </c>
      <c r="M370" s="8">
        <v>1</v>
      </c>
      <c r="N370" s="8" t="str">
        <f t="shared" si="142"/>
        <v/>
      </c>
      <c r="O370" s="11" t="s">
        <v>1702</v>
      </c>
      <c r="P370" s="16" t="str">
        <f t="shared" si="143"/>
        <v>04-Dec-1924</v>
      </c>
      <c r="R370" s="16" t="str">
        <f t="shared" si="147"/>
        <v/>
      </c>
      <c r="S370" s="16" t="str">
        <f t="shared" si="147"/>
        <v/>
      </c>
      <c r="U370" s="46" t="str">
        <f t="shared" ref="U370:X371" si="148">IF($O370=U$5,$L370,"")</f>
        <v/>
      </c>
      <c r="V370" s="46">
        <f t="shared" si="148"/>
        <v>0</v>
      </c>
      <c r="W370" s="46" t="str">
        <f t="shared" si="148"/>
        <v/>
      </c>
      <c r="X370" s="46" t="str">
        <f t="shared" si="148"/>
        <v/>
      </c>
    </row>
    <row r="371" spans="2:24" x14ac:dyDescent="0.25">
      <c r="B371" s="11" t="str">
        <f>CONCATENATE("ASIA","-",LEFT(P371,2),UPPER(MID(P371,4,3)),RIGHT(P371,4))</f>
        <v>ASIA-04DEC1924</v>
      </c>
      <c r="C371" s="11" t="s">
        <v>3052</v>
      </c>
      <c r="D371" s="11" t="s">
        <v>3056</v>
      </c>
      <c r="E371" s="39" t="s">
        <v>11393</v>
      </c>
      <c r="F371" s="11" t="s">
        <v>1700</v>
      </c>
      <c r="G371" s="39" t="s">
        <v>3124</v>
      </c>
      <c r="I371" s="7">
        <v>4</v>
      </c>
      <c r="J371" s="17">
        <f>4+1</f>
        <v>5</v>
      </c>
      <c r="K371" s="17"/>
      <c r="L371" s="7">
        <f>SUM(H371:K371)</f>
        <v>9</v>
      </c>
      <c r="M371" s="8">
        <v>1</v>
      </c>
      <c r="N371" s="8">
        <f>IF(L371&gt;0,1,"")</f>
        <v>1</v>
      </c>
      <c r="O371" s="11" t="s">
        <v>1702</v>
      </c>
      <c r="P371" s="16" t="str">
        <f>IF(LEN(G371)=10,CONCATENATE("0",G371),G371)</f>
        <v>04-Dec-1924</v>
      </c>
      <c r="R371" s="16" t="str">
        <f t="shared" si="147"/>
        <v>x</v>
      </c>
      <c r="S371" s="16" t="str">
        <f t="shared" si="147"/>
        <v>x</v>
      </c>
      <c r="U371" s="46" t="str">
        <f t="shared" si="148"/>
        <v/>
      </c>
      <c r="V371" s="46">
        <f t="shared" si="148"/>
        <v>9</v>
      </c>
      <c r="W371" s="46" t="str">
        <f t="shared" si="148"/>
        <v/>
      </c>
      <c r="X371" s="46" t="str">
        <f t="shared" si="148"/>
        <v/>
      </c>
    </row>
    <row r="372" spans="2:24" x14ac:dyDescent="0.25">
      <c r="B372" s="11" t="str">
        <f t="shared" si="140"/>
        <v>ASIA-05MAR1925</v>
      </c>
      <c r="C372" s="11" t="s">
        <v>3052</v>
      </c>
      <c r="D372" s="11" t="s">
        <v>3395</v>
      </c>
      <c r="E372" s="39" t="s">
        <v>4349</v>
      </c>
      <c r="F372" s="11" t="s">
        <v>1700</v>
      </c>
      <c r="G372" s="39" t="s">
        <v>4346</v>
      </c>
      <c r="J372" s="17">
        <v>1</v>
      </c>
      <c r="K372" s="17"/>
      <c r="L372" s="7">
        <f t="shared" si="141"/>
        <v>1</v>
      </c>
      <c r="M372" s="8">
        <v>1</v>
      </c>
      <c r="N372" s="8">
        <f t="shared" si="142"/>
        <v>1</v>
      </c>
      <c r="O372" s="11" t="s">
        <v>1702</v>
      </c>
      <c r="P372" s="16" t="str">
        <f t="shared" si="143"/>
        <v>05-Mar-1925</v>
      </c>
      <c r="R372" s="16" t="str">
        <f t="shared" si="147"/>
        <v>x</v>
      </c>
      <c r="S372" s="16" t="str">
        <f t="shared" si="147"/>
        <v>x</v>
      </c>
      <c r="U372" s="46" t="str">
        <f t="shared" si="116"/>
        <v/>
      </c>
      <c r="V372" s="46">
        <f t="shared" si="116"/>
        <v>1</v>
      </c>
      <c r="W372" s="46" t="str">
        <f t="shared" si="116"/>
        <v/>
      </c>
      <c r="X372" s="46" t="str">
        <f t="shared" si="116"/>
        <v/>
      </c>
    </row>
    <row r="373" spans="2:24" x14ac:dyDescent="0.25">
      <c r="B373" s="11" t="str">
        <f t="shared" si="140"/>
        <v>ASIA-05MAR1925</v>
      </c>
      <c r="C373" s="11" t="s">
        <v>3052</v>
      </c>
      <c r="D373" s="11" t="s">
        <v>3056</v>
      </c>
      <c r="E373" s="39" t="s">
        <v>4348</v>
      </c>
      <c r="F373" s="11" t="s">
        <v>1700</v>
      </c>
      <c r="G373" s="39" t="s">
        <v>4346</v>
      </c>
      <c r="I373" s="7">
        <v>1</v>
      </c>
      <c r="J373" s="17">
        <f>7+1</f>
        <v>8</v>
      </c>
      <c r="K373" s="17"/>
      <c r="L373" s="7">
        <f t="shared" si="141"/>
        <v>9</v>
      </c>
      <c r="M373" s="8">
        <v>1</v>
      </c>
      <c r="N373" s="8">
        <f t="shared" si="142"/>
        <v>1</v>
      </c>
      <c r="O373" s="11" t="s">
        <v>1702</v>
      </c>
      <c r="P373" s="16" t="str">
        <f t="shared" si="143"/>
        <v>05-Mar-1925</v>
      </c>
      <c r="R373" s="16" t="str">
        <f t="shared" si="147"/>
        <v>x</v>
      </c>
      <c r="S373" s="16" t="str">
        <f t="shared" si="147"/>
        <v>x</v>
      </c>
      <c r="U373" s="46" t="str">
        <f t="shared" si="116"/>
        <v/>
      </c>
      <c r="V373" s="46">
        <f t="shared" si="116"/>
        <v>9</v>
      </c>
      <c r="W373" s="46" t="str">
        <f t="shared" si="116"/>
        <v/>
      </c>
      <c r="X373" s="46" t="str">
        <f t="shared" si="116"/>
        <v/>
      </c>
    </row>
    <row r="374" spans="2:24" x14ac:dyDescent="0.25">
      <c r="B374" s="11" t="str">
        <f t="shared" si="140"/>
        <v>ASIA-05MAR1925</v>
      </c>
      <c r="C374" s="11" t="s">
        <v>3052</v>
      </c>
      <c r="D374" s="11" t="s">
        <v>2808</v>
      </c>
      <c r="E374" s="39" t="s">
        <v>4347</v>
      </c>
      <c r="F374" s="11" t="s">
        <v>1700</v>
      </c>
      <c r="G374" s="39" t="s">
        <v>4346</v>
      </c>
      <c r="I374" s="7">
        <v>2</v>
      </c>
      <c r="J374" s="17">
        <v>4</v>
      </c>
      <c r="K374" s="17"/>
      <c r="L374" s="7">
        <f t="shared" si="141"/>
        <v>6</v>
      </c>
      <c r="M374" s="8">
        <v>1</v>
      </c>
      <c r="N374" s="8">
        <f t="shared" si="142"/>
        <v>1</v>
      </c>
      <c r="O374" s="11" t="s">
        <v>1702</v>
      </c>
      <c r="P374" s="16" t="str">
        <f t="shared" si="143"/>
        <v>05-Mar-1925</v>
      </c>
      <c r="R374" s="16" t="str">
        <f t="shared" si="147"/>
        <v>x</v>
      </c>
      <c r="S374" s="16" t="str">
        <f t="shared" si="147"/>
        <v>x</v>
      </c>
      <c r="U374" s="46" t="str">
        <f t="shared" si="116"/>
        <v/>
      </c>
      <c r="V374" s="46">
        <f t="shared" si="116"/>
        <v>6</v>
      </c>
      <c r="W374" s="46" t="str">
        <f t="shared" si="116"/>
        <v/>
      </c>
      <c r="X374" s="46" t="str">
        <f t="shared" si="116"/>
        <v/>
      </c>
    </row>
    <row r="375" spans="2:24" x14ac:dyDescent="0.25">
      <c r="B375" s="11" t="str">
        <f t="shared" si="140"/>
        <v>ASIA-05MAR1925</v>
      </c>
      <c r="C375" s="11" t="s">
        <v>3052</v>
      </c>
      <c r="D375" s="11" t="s">
        <v>847</v>
      </c>
      <c r="E375" s="39" t="s">
        <v>4345</v>
      </c>
      <c r="F375" s="11" t="s">
        <v>1700</v>
      </c>
      <c r="G375" s="39" t="s">
        <v>4346</v>
      </c>
      <c r="I375" s="7">
        <v>0</v>
      </c>
      <c r="J375" s="17">
        <v>2</v>
      </c>
      <c r="K375" s="17"/>
      <c r="L375" s="7">
        <f t="shared" si="141"/>
        <v>2</v>
      </c>
      <c r="M375" s="8">
        <v>1</v>
      </c>
      <c r="N375" s="8">
        <f t="shared" si="142"/>
        <v>1</v>
      </c>
      <c r="O375" s="11" t="s">
        <v>1702</v>
      </c>
      <c r="P375" s="16" t="str">
        <f t="shared" si="143"/>
        <v>05-Mar-1925</v>
      </c>
      <c r="R375" s="16" t="str">
        <f t="shared" si="147"/>
        <v>x</v>
      </c>
      <c r="S375" s="16" t="str">
        <f t="shared" si="147"/>
        <v>x</v>
      </c>
      <c r="U375" s="46" t="str">
        <f t="shared" si="116"/>
        <v/>
      </c>
      <c r="V375" s="46">
        <f t="shared" si="116"/>
        <v>2</v>
      </c>
      <c r="W375" s="46" t="str">
        <f t="shared" si="116"/>
        <v/>
      </c>
      <c r="X375" s="46" t="str">
        <f t="shared" si="116"/>
        <v/>
      </c>
    </row>
    <row r="376" spans="2:24" x14ac:dyDescent="0.25">
      <c r="B376" s="11" t="str">
        <f t="shared" si="140"/>
        <v>ASIA-06JUN1925</v>
      </c>
      <c r="C376" s="11" t="s">
        <v>3052</v>
      </c>
      <c r="D376" s="11" t="s">
        <v>3056</v>
      </c>
      <c r="E376" s="39" t="s">
        <v>3057</v>
      </c>
      <c r="F376" s="11" t="s">
        <v>1700</v>
      </c>
      <c r="G376" s="39" t="s">
        <v>3054</v>
      </c>
      <c r="H376" s="7">
        <f>1+0</f>
        <v>1</v>
      </c>
      <c r="J376" s="17">
        <f>2+2</f>
        <v>4</v>
      </c>
      <c r="K376" s="17"/>
      <c r="L376" s="7">
        <f t="shared" si="141"/>
        <v>5</v>
      </c>
      <c r="M376" s="8">
        <v>1</v>
      </c>
      <c r="N376" s="8">
        <f t="shared" si="142"/>
        <v>1</v>
      </c>
      <c r="O376" s="11" t="s">
        <v>1702</v>
      </c>
      <c r="P376" s="16" t="str">
        <f t="shared" si="143"/>
        <v>06-Jun-1925</v>
      </c>
      <c r="R376" s="16" t="str">
        <f t="shared" ref="R376:S386" si="149">IF($L376&gt;0,"x","")</f>
        <v>x</v>
      </c>
      <c r="S376" s="16" t="str">
        <f t="shared" si="149"/>
        <v>x</v>
      </c>
      <c r="U376" s="46" t="str">
        <f t="shared" si="116"/>
        <v/>
      </c>
      <c r="V376" s="46">
        <f t="shared" si="116"/>
        <v>5</v>
      </c>
      <c r="W376" s="46" t="str">
        <f t="shared" si="116"/>
        <v/>
      </c>
      <c r="X376" s="46" t="str">
        <f t="shared" si="116"/>
        <v/>
      </c>
    </row>
    <row r="377" spans="2:24" x14ac:dyDescent="0.25">
      <c r="B377" s="11" t="str">
        <f t="shared" si="140"/>
        <v>ASIA-06JUN1925</v>
      </c>
      <c r="C377" s="11" t="s">
        <v>3052</v>
      </c>
      <c r="D377" s="11" t="s">
        <v>2808</v>
      </c>
      <c r="E377" s="39" t="s">
        <v>3053</v>
      </c>
      <c r="F377" s="11" t="s">
        <v>1700</v>
      </c>
      <c r="G377" s="39" t="s">
        <v>3054</v>
      </c>
      <c r="H377" s="7">
        <f>1+4</f>
        <v>5</v>
      </c>
      <c r="J377" s="17">
        <f>7+0</f>
        <v>7</v>
      </c>
      <c r="K377" s="17"/>
      <c r="L377" s="7">
        <f t="shared" si="141"/>
        <v>12</v>
      </c>
      <c r="M377" s="8">
        <v>1</v>
      </c>
      <c r="N377" s="8">
        <f t="shared" si="142"/>
        <v>1</v>
      </c>
      <c r="O377" s="11" t="s">
        <v>1702</v>
      </c>
      <c r="P377" s="16" t="str">
        <f t="shared" si="143"/>
        <v>06-Jun-1925</v>
      </c>
      <c r="R377" s="16" t="str">
        <f t="shared" si="149"/>
        <v>x</v>
      </c>
      <c r="S377" s="16" t="str">
        <f t="shared" si="149"/>
        <v>x</v>
      </c>
      <c r="U377" s="46" t="str">
        <f t="shared" si="116"/>
        <v/>
      </c>
      <c r="V377" s="46">
        <f t="shared" si="116"/>
        <v>12</v>
      </c>
      <c r="W377" s="46" t="str">
        <f t="shared" si="116"/>
        <v/>
      </c>
      <c r="X377" s="46" t="str">
        <f t="shared" si="116"/>
        <v/>
      </c>
    </row>
    <row r="378" spans="2:24" x14ac:dyDescent="0.25">
      <c r="B378" s="11" t="str">
        <f t="shared" si="140"/>
        <v>ASIA-06JUN1925</v>
      </c>
      <c r="C378" s="11" t="s">
        <v>3052</v>
      </c>
      <c r="D378" s="11" t="s">
        <v>847</v>
      </c>
      <c r="E378" s="39" t="s">
        <v>3055</v>
      </c>
      <c r="F378" s="11" t="s">
        <v>1700</v>
      </c>
      <c r="G378" s="39" t="s">
        <v>3054</v>
      </c>
      <c r="H378" s="7">
        <f>1+1</f>
        <v>2</v>
      </c>
      <c r="J378" s="17">
        <v>0</v>
      </c>
      <c r="K378" s="17"/>
      <c r="L378" s="7">
        <f t="shared" si="141"/>
        <v>2</v>
      </c>
      <c r="M378" s="8">
        <v>1</v>
      </c>
      <c r="N378" s="8">
        <f t="shared" si="142"/>
        <v>1</v>
      </c>
      <c r="O378" s="11" t="s">
        <v>1702</v>
      </c>
      <c r="P378" s="16" t="str">
        <f t="shared" si="143"/>
        <v>06-Jun-1925</v>
      </c>
      <c r="R378" s="16" t="str">
        <f t="shared" si="149"/>
        <v>x</v>
      </c>
      <c r="S378" s="16" t="str">
        <f t="shared" si="149"/>
        <v>x</v>
      </c>
      <c r="U378" s="46" t="str">
        <f t="shared" si="116"/>
        <v/>
      </c>
      <c r="V378" s="46">
        <f t="shared" si="116"/>
        <v>2</v>
      </c>
      <c r="W378" s="46" t="str">
        <f t="shared" si="116"/>
        <v/>
      </c>
      <c r="X378" s="46" t="str">
        <f t="shared" si="116"/>
        <v/>
      </c>
    </row>
    <row r="379" spans="2:24" x14ac:dyDescent="0.25">
      <c r="B379" s="11" t="str">
        <f>CONCATENATE("ASIA","-",LEFT(P379,2),UPPER(MID(P379,4,3)),RIGHT(P379,4))</f>
        <v>ASIA-10NOV1926</v>
      </c>
      <c r="C379" s="11" t="s">
        <v>3052</v>
      </c>
      <c r="D379" s="11" t="s">
        <v>847</v>
      </c>
      <c r="E379" s="39" t="s">
        <v>5083</v>
      </c>
      <c r="F379" s="11" t="s">
        <v>1602</v>
      </c>
      <c r="G379" s="39" t="s">
        <v>5084</v>
      </c>
      <c r="H379" s="7">
        <f>1+1</f>
        <v>2</v>
      </c>
      <c r="J379" s="17">
        <v>3</v>
      </c>
      <c r="K379" s="17"/>
      <c r="L379" s="7">
        <f>SUM(H379:K379)</f>
        <v>5</v>
      </c>
      <c r="M379" s="8">
        <v>1</v>
      </c>
      <c r="N379" s="8">
        <f>IF(L379&gt;0,1,"")</f>
        <v>1</v>
      </c>
      <c r="O379" s="11" t="s">
        <v>1702</v>
      </c>
      <c r="P379" s="16" t="str">
        <f>IF(LEN(G379)=10,CONCATENATE("0",G379),G379)</f>
        <v>10-Nov-1926</v>
      </c>
      <c r="R379" s="16" t="str">
        <f t="shared" si="149"/>
        <v>x</v>
      </c>
      <c r="S379" s="16" t="str">
        <f t="shared" si="149"/>
        <v>x</v>
      </c>
      <c r="U379" s="46" t="str">
        <f t="shared" ref="U379:X386" si="150">IF($O379=U$5,$L379,"")</f>
        <v/>
      </c>
      <c r="V379" s="46">
        <f t="shared" si="150"/>
        <v>5</v>
      </c>
      <c r="W379" s="46" t="str">
        <f t="shared" si="150"/>
        <v/>
      </c>
      <c r="X379" s="46" t="str">
        <f t="shared" si="150"/>
        <v/>
      </c>
    </row>
    <row r="380" spans="2:24" x14ac:dyDescent="0.25">
      <c r="B380" s="11" t="str">
        <f>CONCATENATE("ASIA","-",LEFT(P380,2),UPPER(MID(P380,4,3)),RIGHT(P380,4))</f>
        <v>ASIA-27FEB1927</v>
      </c>
      <c r="C380" s="11" t="s">
        <v>3052</v>
      </c>
      <c r="D380" s="11" t="s">
        <v>3056</v>
      </c>
      <c r="E380" s="39" t="s">
        <v>5522</v>
      </c>
      <c r="F380" s="11" t="s">
        <v>1602</v>
      </c>
      <c r="G380" s="39" t="s">
        <v>5523</v>
      </c>
      <c r="H380" s="7">
        <v>1</v>
      </c>
      <c r="J380" s="17">
        <v>9</v>
      </c>
      <c r="K380" s="17"/>
      <c r="L380" s="7">
        <f>SUM(H380:K380)</f>
        <v>10</v>
      </c>
      <c r="M380" s="8">
        <v>1</v>
      </c>
      <c r="N380" s="8">
        <f>IF(L380&gt;0,1,"")</f>
        <v>1</v>
      </c>
      <c r="O380" s="11" t="s">
        <v>1702</v>
      </c>
      <c r="P380" s="16" t="str">
        <f>IF(LEN(G380)=10,CONCATENATE("0",G380),G380)</f>
        <v>27-Feb-1927</v>
      </c>
      <c r="R380" s="16" t="str">
        <f t="shared" si="149"/>
        <v>x</v>
      </c>
      <c r="S380" s="16" t="str">
        <f t="shared" si="149"/>
        <v>x</v>
      </c>
      <c r="U380" s="46" t="str">
        <f t="shared" si="150"/>
        <v/>
      </c>
      <c r="V380" s="46">
        <f t="shared" si="150"/>
        <v>10</v>
      </c>
      <c r="W380" s="46" t="str">
        <f t="shared" si="150"/>
        <v/>
      </c>
      <c r="X380" s="46" t="str">
        <f t="shared" si="150"/>
        <v/>
      </c>
    </row>
    <row r="381" spans="2:24" x14ac:dyDescent="0.25">
      <c r="B381" s="11" t="str">
        <f>CONCATENATE("ASIA","-",LEFT(P381,2),UPPER(MID(P381,4,3)),RIGHT(P381,4))</f>
        <v>ASIA-29MAY1927</v>
      </c>
      <c r="C381" s="11" t="s">
        <v>3052</v>
      </c>
      <c r="D381" s="11" t="s">
        <v>2808</v>
      </c>
      <c r="E381" s="39" t="s">
        <v>5585</v>
      </c>
      <c r="F381" s="11" t="s">
        <v>1602</v>
      </c>
      <c r="G381" s="39" t="s">
        <v>5586</v>
      </c>
      <c r="H381" s="7">
        <v>1</v>
      </c>
      <c r="J381" s="17">
        <v>6</v>
      </c>
      <c r="K381" s="17"/>
      <c r="L381" s="7">
        <f>SUM(H381:K381)</f>
        <v>7</v>
      </c>
      <c r="M381" s="8">
        <v>1</v>
      </c>
      <c r="N381" s="8">
        <f>IF(L381&gt;0,1,"")</f>
        <v>1</v>
      </c>
      <c r="O381" s="11" t="s">
        <v>1702</v>
      </c>
      <c r="P381" s="16" t="str">
        <f>IF(LEN(G381)=10,CONCATENATE("0",G381),G381)</f>
        <v>29-May-1927</v>
      </c>
      <c r="R381" s="16" t="str">
        <f t="shared" si="149"/>
        <v>x</v>
      </c>
      <c r="S381" s="16" t="str">
        <f t="shared" si="149"/>
        <v>x</v>
      </c>
      <c r="U381" s="46" t="str">
        <f t="shared" si="150"/>
        <v/>
      </c>
      <c r="V381" s="46">
        <f t="shared" si="150"/>
        <v>7</v>
      </c>
      <c r="W381" s="46" t="str">
        <f t="shared" si="150"/>
        <v/>
      </c>
      <c r="X381" s="46" t="str">
        <f t="shared" si="150"/>
        <v/>
      </c>
    </row>
    <row r="382" spans="2:24" x14ac:dyDescent="0.25">
      <c r="B382" s="11" t="str">
        <f t="shared" si="140"/>
        <v>ASIA-06DEC1927</v>
      </c>
      <c r="C382" s="11" t="s">
        <v>3052</v>
      </c>
      <c r="D382" s="11" t="s">
        <v>3395</v>
      </c>
      <c r="E382" s="39" t="s">
        <v>4952</v>
      </c>
      <c r="F382" s="11" t="s">
        <v>1602</v>
      </c>
      <c r="G382" s="39" t="s">
        <v>5082</v>
      </c>
      <c r="J382" s="17">
        <v>1</v>
      </c>
      <c r="K382" s="17"/>
      <c r="L382" s="7">
        <f t="shared" si="141"/>
        <v>1</v>
      </c>
      <c r="M382" s="8">
        <v>1</v>
      </c>
      <c r="N382" s="8">
        <f t="shared" si="142"/>
        <v>1</v>
      </c>
      <c r="O382" s="11" t="s">
        <v>1702</v>
      </c>
      <c r="P382" s="16" t="str">
        <f t="shared" si="143"/>
        <v>06-Dec-1927</v>
      </c>
      <c r="R382" s="16" t="str">
        <f t="shared" si="149"/>
        <v>x</v>
      </c>
      <c r="S382" s="16" t="str">
        <f t="shared" si="149"/>
        <v>x</v>
      </c>
      <c r="U382" s="46" t="str">
        <f t="shared" si="150"/>
        <v/>
      </c>
      <c r="V382" s="46">
        <f t="shared" si="150"/>
        <v>1</v>
      </c>
      <c r="W382" s="46" t="str">
        <f t="shared" si="150"/>
        <v/>
      </c>
      <c r="X382" s="46" t="str">
        <f t="shared" si="150"/>
        <v/>
      </c>
    </row>
    <row r="383" spans="2:24" x14ac:dyDescent="0.25">
      <c r="B383" s="11" t="str">
        <f>CONCATENATE("ASIA","-",LEFT(P383,2),UPPER(MID(P383,4,3)),RIGHT(P383,4))</f>
        <v>ASIA-06DEC1927</v>
      </c>
      <c r="C383" s="11" t="s">
        <v>3052</v>
      </c>
      <c r="D383" s="11" t="s">
        <v>2808</v>
      </c>
      <c r="E383" s="39" t="s">
        <v>11401</v>
      </c>
      <c r="F383" s="11" t="s">
        <v>1602</v>
      </c>
      <c r="G383" s="39" t="s">
        <v>5082</v>
      </c>
      <c r="H383" s="7">
        <v>2</v>
      </c>
      <c r="J383" s="17">
        <v>8</v>
      </c>
      <c r="K383" s="17"/>
      <c r="L383" s="7">
        <f>SUM(H383:K383)</f>
        <v>10</v>
      </c>
      <c r="M383" s="8">
        <v>1</v>
      </c>
      <c r="N383" s="8">
        <f>IF(L383&gt;0,1,"")</f>
        <v>1</v>
      </c>
      <c r="O383" s="11" t="s">
        <v>1702</v>
      </c>
      <c r="P383" s="16" t="str">
        <f>IF(LEN(G383)=10,CONCATENATE("0",G383),G383)</f>
        <v>06-Dec-1927</v>
      </c>
      <c r="R383" s="16" t="str">
        <f t="shared" si="149"/>
        <v>x</v>
      </c>
      <c r="S383" s="16" t="str">
        <f t="shared" si="149"/>
        <v>x</v>
      </c>
      <c r="U383" s="46" t="str">
        <f t="shared" si="150"/>
        <v/>
      </c>
      <c r="V383" s="46">
        <f t="shared" si="150"/>
        <v>10</v>
      </c>
      <c r="W383" s="46" t="str">
        <f t="shared" si="150"/>
        <v/>
      </c>
      <c r="X383" s="46" t="str">
        <f t="shared" si="150"/>
        <v/>
      </c>
    </row>
    <row r="384" spans="2:24" x14ac:dyDescent="0.25">
      <c r="B384" s="11" t="str">
        <f>CONCATENATE("ASIA","-",LEFT(P384,2),UPPER(MID(P384,4,3)),RIGHT(P384,4))</f>
        <v>ASIA-16OCT1928</v>
      </c>
      <c r="C384" s="11" t="s">
        <v>3052</v>
      </c>
      <c r="D384" s="11" t="s">
        <v>2808</v>
      </c>
      <c r="E384" s="39" t="s">
        <v>4946</v>
      </c>
      <c r="F384" s="11" t="s">
        <v>1602</v>
      </c>
      <c r="G384" s="39" t="s">
        <v>4567</v>
      </c>
      <c r="H384" s="7">
        <v>8</v>
      </c>
      <c r="J384" s="17">
        <f>5+3</f>
        <v>8</v>
      </c>
      <c r="K384" s="17"/>
      <c r="L384" s="7">
        <f>SUM(H384:K384)</f>
        <v>16</v>
      </c>
      <c r="M384" s="8">
        <v>1</v>
      </c>
      <c r="N384" s="8">
        <f>IF(L384&gt;0,1,"")</f>
        <v>1</v>
      </c>
      <c r="O384" s="11" t="s">
        <v>1702</v>
      </c>
      <c r="P384" s="16" t="str">
        <f>IF(LEN(G384)=10,CONCATENATE("0",G384),G384)</f>
        <v>16-Oct-1928</v>
      </c>
      <c r="R384" s="16" t="str">
        <f>IF($L384&gt;0,"x","")</f>
        <v>x</v>
      </c>
      <c r="S384" s="16" t="str">
        <f>IF($L384&gt;0,"x","")</f>
        <v>x</v>
      </c>
      <c r="U384" s="46" t="str">
        <f t="shared" si="150"/>
        <v/>
      </c>
      <c r="V384" s="46">
        <f t="shared" si="150"/>
        <v>16</v>
      </c>
      <c r="W384" s="46" t="str">
        <f t="shared" si="150"/>
        <v/>
      </c>
      <c r="X384" s="46" t="str">
        <f t="shared" si="150"/>
        <v/>
      </c>
    </row>
    <row r="385" spans="2:24" x14ac:dyDescent="0.25">
      <c r="B385" s="11" t="str">
        <f>CONCATENATE("ASIA","-",LEFT(P385,2),UPPER(MID(P385,4,3)),RIGHT(P385,4))</f>
        <v>ASIA-16OCT1928</v>
      </c>
      <c r="C385" s="11" t="s">
        <v>3052</v>
      </c>
      <c r="D385" s="11" t="s">
        <v>847</v>
      </c>
      <c r="E385" s="39" t="s">
        <v>4566</v>
      </c>
      <c r="F385" s="11" t="s">
        <v>1602</v>
      </c>
      <c r="G385" s="39" t="s">
        <v>4567</v>
      </c>
      <c r="H385" s="7">
        <v>2</v>
      </c>
      <c r="J385" s="17">
        <v>0</v>
      </c>
      <c r="K385" s="17"/>
      <c r="L385" s="7">
        <f>SUM(H385:K385)</f>
        <v>2</v>
      </c>
      <c r="M385" s="8">
        <v>1</v>
      </c>
      <c r="N385" s="8">
        <f>IF(L385&gt;0,1,"")</f>
        <v>1</v>
      </c>
      <c r="O385" s="11" t="s">
        <v>1702</v>
      </c>
      <c r="P385" s="16" t="str">
        <f>IF(LEN(G385)=10,CONCATENATE("0",G385),G385)</f>
        <v>16-Oct-1928</v>
      </c>
      <c r="R385" s="16" t="str">
        <f t="shared" si="149"/>
        <v>x</v>
      </c>
      <c r="S385" s="16" t="str">
        <f t="shared" si="149"/>
        <v>x</v>
      </c>
      <c r="U385" s="46" t="str">
        <f t="shared" si="150"/>
        <v/>
      </c>
      <c r="V385" s="46">
        <f t="shared" si="150"/>
        <v>2</v>
      </c>
      <c r="W385" s="46" t="str">
        <f t="shared" si="150"/>
        <v/>
      </c>
      <c r="X385" s="46" t="str">
        <f t="shared" si="150"/>
        <v/>
      </c>
    </row>
    <row r="386" spans="2:24" x14ac:dyDescent="0.25">
      <c r="B386" s="11" t="str">
        <f t="shared" si="140"/>
        <v>ASIA-09AUG1929</v>
      </c>
      <c r="C386" s="11" t="s">
        <v>3052</v>
      </c>
      <c r="D386" s="11" t="s">
        <v>3056</v>
      </c>
      <c r="E386" s="39" t="s">
        <v>5519</v>
      </c>
      <c r="F386" s="11" t="s">
        <v>1602</v>
      </c>
      <c r="G386" s="39" t="s">
        <v>5520</v>
      </c>
      <c r="H386" s="7">
        <v>9</v>
      </c>
      <c r="J386" s="17">
        <v>2</v>
      </c>
      <c r="K386" s="17"/>
      <c r="L386" s="7">
        <f t="shared" si="141"/>
        <v>11</v>
      </c>
      <c r="M386" s="8">
        <v>1</v>
      </c>
      <c r="N386" s="8">
        <f t="shared" si="142"/>
        <v>1</v>
      </c>
      <c r="O386" s="11" t="s">
        <v>1702</v>
      </c>
      <c r="P386" s="16" t="str">
        <f t="shared" si="143"/>
        <v>09-Aug-1929</v>
      </c>
      <c r="R386" s="16" t="str">
        <f t="shared" si="149"/>
        <v>x</v>
      </c>
      <c r="S386" s="16" t="str">
        <f t="shared" si="149"/>
        <v>x</v>
      </c>
      <c r="U386" s="46" t="str">
        <f t="shared" si="150"/>
        <v/>
      </c>
      <c r="V386" s="46">
        <f t="shared" si="150"/>
        <v>11</v>
      </c>
      <c r="W386" s="46" t="str">
        <f t="shared" si="150"/>
        <v/>
      </c>
      <c r="X386" s="46" t="str">
        <f t="shared" si="150"/>
        <v/>
      </c>
    </row>
    <row r="387" spans="2:24" x14ac:dyDescent="0.25">
      <c r="N387" s="8" t="str">
        <f>IF(R387="x",1,"")</f>
        <v/>
      </c>
      <c r="U387" s="46" t="str">
        <f t="shared" si="116"/>
        <v/>
      </c>
      <c r="V387" s="46" t="str">
        <f t="shared" si="116"/>
        <v/>
      </c>
      <c r="W387" s="46" t="str">
        <f t="shared" si="116"/>
        <v/>
      </c>
      <c r="X387" s="46" t="str">
        <f t="shared" si="116"/>
        <v/>
      </c>
    </row>
    <row r="388" spans="2:24" x14ac:dyDescent="0.25">
      <c r="B388" s="18"/>
      <c r="C388" s="18"/>
      <c r="D388" s="18"/>
      <c r="E388" s="40"/>
      <c r="F388" s="18"/>
      <c r="G388" s="40"/>
      <c r="H388" s="7">
        <f t="shared" ref="H388:N388" si="151">SUM(H349:H387)</f>
        <v>33</v>
      </c>
      <c r="I388" s="7">
        <f t="shared" si="151"/>
        <v>182</v>
      </c>
      <c r="J388" s="7">
        <f>SUM(J349:J387)</f>
        <v>401</v>
      </c>
      <c r="K388" s="7">
        <f t="shared" si="151"/>
        <v>0</v>
      </c>
      <c r="L388" s="7">
        <f t="shared" si="151"/>
        <v>616</v>
      </c>
      <c r="M388" s="7">
        <f t="shared" si="151"/>
        <v>38</v>
      </c>
      <c r="N388" s="7">
        <f t="shared" si="151"/>
        <v>37</v>
      </c>
      <c r="O388" s="18"/>
      <c r="P388" s="13"/>
      <c r="Q388" s="13"/>
      <c r="S388" s="13"/>
      <c r="T388" s="15"/>
      <c r="U388" s="46" t="str">
        <f t="shared" si="116"/>
        <v/>
      </c>
      <c r="V388" s="46" t="str">
        <f t="shared" si="116"/>
        <v/>
      </c>
      <c r="W388" s="46" t="str">
        <f t="shared" si="116"/>
        <v/>
      </c>
      <c r="X388" s="46" t="str">
        <f>IF($O388=X$5,$L388,"")</f>
        <v/>
      </c>
    </row>
    <row r="389" spans="2:24" x14ac:dyDescent="0.25">
      <c r="B389" s="18"/>
      <c r="C389" s="18"/>
      <c r="D389" s="18"/>
      <c r="E389" s="40"/>
      <c r="F389" s="18"/>
      <c r="G389" s="40"/>
      <c r="N389" s="8" t="str">
        <f>IF(R389="x",1,"")</f>
        <v/>
      </c>
      <c r="O389" s="18"/>
      <c r="P389" s="13"/>
      <c r="Q389" s="13"/>
      <c r="R389" s="13"/>
      <c r="S389" s="13"/>
      <c r="T389" s="15"/>
      <c r="U389" s="46" t="str">
        <f t="shared" ref="U389:X393" si="152">IF($O389=U$5,$L389,"")</f>
        <v/>
      </c>
      <c r="V389" s="46" t="str">
        <f t="shared" si="152"/>
        <v/>
      </c>
      <c r="W389" s="46" t="str">
        <f t="shared" si="152"/>
        <v/>
      </c>
      <c r="X389" s="46" t="str">
        <f t="shared" si="152"/>
        <v/>
      </c>
    </row>
    <row r="390" spans="2:24" x14ac:dyDescent="0.25">
      <c r="B390" s="18"/>
      <c r="C390" s="18"/>
      <c r="D390" s="18"/>
      <c r="E390" s="40"/>
      <c r="F390" s="18"/>
      <c r="G390" s="40"/>
      <c r="N390" s="8" t="str">
        <f>IF(R390="x",1,"")</f>
        <v/>
      </c>
      <c r="O390" s="18"/>
      <c r="P390" s="13"/>
      <c r="Q390" s="13"/>
      <c r="R390" s="13"/>
      <c r="S390" s="13"/>
      <c r="T390" s="15"/>
      <c r="U390" s="46" t="str">
        <f t="shared" si="152"/>
        <v/>
      </c>
      <c r="V390" s="46" t="str">
        <f t="shared" si="152"/>
        <v/>
      </c>
      <c r="W390" s="46" t="str">
        <f t="shared" si="152"/>
        <v/>
      </c>
      <c r="X390" s="46" t="str">
        <f t="shared" si="152"/>
        <v/>
      </c>
    </row>
    <row r="391" spans="2:24" x14ac:dyDescent="0.25">
      <c r="B391" s="11" t="str">
        <f>CONCATENATE("ATNS","-",LEFT(P391,2),UPPER(MID(P391,4,3)),RIGHT(P391,4))</f>
        <v>ATNS-06SEP1929</v>
      </c>
      <c r="C391" s="11" t="s">
        <v>4808</v>
      </c>
      <c r="D391" s="11" t="s">
        <v>3122</v>
      </c>
      <c r="E391" s="39" t="s">
        <v>4809</v>
      </c>
      <c r="F391" s="11" t="s">
        <v>3075</v>
      </c>
      <c r="G391" s="39" t="s">
        <v>4810</v>
      </c>
      <c r="H391" s="7">
        <f>1+1</f>
        <v>2</v>
      </c>
      <c r="J391" s="17"/>
      <c r="K391" s="17"/>
      <c r="L391" s="7">
        <f>SUM(H391:K391)</f>
        <v>2</v>
      </c>
      <c r="M391" s="8">
        <v>1</v>
      </c>
      <c r="N391" s="8">
        <f>IF(L391&gt;0,1,"")</f>
        <v>1</v>
      </c>
      <c r="O391" s="11" t="s">
        <v>1702</v>
      </c>
      <c r="P391" s="16" t="str">
        <f>IF(LEN(G391)=10,CONCATENATE("0",G391),G391)</f>
        <v>06-Sep-1929</v>
      </c>
      <c r="R391" s="16" t="str">
        <f>IF($L391&gt;0,"x","")</f>
        <v>x</v>
      </c>
      <c r="S391" s="16" t="str">
        <f>IF($L391&gt;0,"x","")</f>
        <v>x</v>
      </c>
      <c r="U391" s="46" t="str">
        <f t="shared" si="152"/>
        <v/>
      </c>
      <c r="V391" s="46">
        <f t="shared" si="152"/>
        <v>2</v>
      </c>
      <c r="W391" s="46" t="str">
        <f t="shared" si="152"/>
        <v/>
      </c>
      <c r="X391" s="46" t="str">
        <f t="shared" si="152"/>
        <v/>
      </c>
    </row>
    <row r="392" spans="2:24" x14ac:dyDescent="0.25">
      <c r="N392" s="8" t="str">
        <f>IF(R392="x",1,"")</f>
        <v/>
      </c>
      <c r="U392" s="46" t="str">
        <f t="shared" si="152"/>
        <v/>
      </c>
      <c r="V392" s="46" t="str">
        <f t="shared" si="152"/>
        <v/>
      </c>
      <c r="W392" s="46" t="str">
        <f t="shared" si="152"/>
        <v/>
      </c>
      <c r="X392" s="46" t="str">
        <f t="shared" si="152"/>
        <v/>
      </c>
    </row>
    <row r="393" spans="2:24" x14ac:dyDescent="0.25">
      <c r="B393" s="18"/>
      <c r="C393" s="18"/>
      <c r="D393" s="18"/>
      <c r="E393" s="40"/>
      <c r="F393" s="18"/>
      <c r="G393" s="40"/>
      <c r="H393" s="7">
        <f t="shared" ref="H393:N393" si="153">SUM(H391:H392)</f>
        <v>2</v>
      </c>
      <c r="I393" s="7">
        <f t="shared" si="153"/>
        <v>0</v>
      </c>
      <c r="J393" s="7">
        <f>SUM(J391:J392)</f>
        <v>0</v>
      </c>
      <c r="K393" s="7">
        <f t="shared" si="153"/>
        <v>0</v>
      </c>
      <c r="L393" s="7">
        <f t="shared" si="153"/>
        <v>2</v>
      </c>
      <c r="M393" s="7">
        <f t="shared" si="153"/>
        <v>1</v>
      </c>
      <c r="N393" s="7">
        <f t="shared" si="153"/>
        <v>1</v>
      </c>
      <c r="O393" s="18"/>
      <c r="P393" s="13"/>
      <c r="Q393" s="13"/>
      <c r="S393" s="13"/>
      <c r="T393" s="15"/>
      <c r="U393" s="46" t="str">
        <f t="shared" si="152"/>
        <v/>
      </c>
      <c r="V393" s="46" t="str">
        <f t="shared" si="152"/>
        <v/>
      </c>
      <c r="W393" s="46" t="str">
        <f t="shared" si="152"/>
        <v/>
      </c>
      <c r="X393" s="46" t="str">
        <f t="shared" si="152"/>
        <v/>
      </c>
    </row>
    <row r="394" spans="2:24" x14ac:dyDescent="0.25">
      <c r="B394" s="18"/>
      <c r="C394" s="18"/>
      <c r="D394" s="18"/>
      <c r="E394" s="40"/>
      <c r="F394" s="18"/>
      <c r="G394" s="40"/>
      <c r="N394" s="8" t="str">
        <f>IF(R394="x",1,"")</f>
        <v/>
      </c>
      <c r="O394" s="18"/>
      <c r="P394" s="13"/>
      <c r="Q394" s="13"/>
      <c r="R394" s="13"/>
      <c r="S394" s="13"/>
      <c r="T394" s="15"/>
      <c r="U394" s="46" t="str">
        <f t="shared" ref="U394:X485" si="154">IF($O394=U$5,$L394,"")</f>
        <v/>
      </c>
      <c r="V394" s="46" t="str">
        <f t="shared" si="154"/>
        <v/>
      </c>
      <c r="W394" s="46" t="str">
        <f t="shared" si="154"/>
        <v/>
      </c>
      <c r="X394" s="46" t="str">
        <f t="shared" si="154"/>
        <v/>
      </c>
    </row>
    <row r="395" spans="2:24" x14ac:dyDescent="0.25">
      <c r="B395" s="18"/>
      <c r="C395" s="18"/>
      <c r="D395" s="18"/>
      <c r="E395" s="40"/>
      <c r="F395" s="18"/>
      <c r="G395" s="40"/>
      <c r="N395" s="8" t="str">
        <f>IF(R395="x",1,"")</f>
        <v/>
      </c>
      <c r="O395" s="18"/>
      <c r="P395" s="13"/>
      <c r="Q395" s="13"/>
      <c r="R395" s="13"/>
      <c r="S395" s="13"/>
      <c r="T395" s="15"/>
      <c r="U395" s="46" t="str">
        <f t="shared" si="154"/>
        <v/>
      </c>
      <c r="V395" s="46" t="str">
        <f t="shared" si="154"/>
        <v/>
      </c>
      <c r="W395" s="46" t="str">
        <f t="shared" si="154"/>
        <v/>
      </c>
      <c r="X395" s="46" t="str">
        <f t="shared" si="154"/>
        <v/>
      </c>
    </row>
    <row r="396" spans="2:24" x14ac:dyDescent="0.25">
      <c r="B396" s="11" t="str">
        <f>CONCATENATE("ATHI","-",LEFT(P396,2),UPPER(MID(P396,4,3)),RIGHT(P396,4))</f>
        <v>ATHI-29MAR1910</v>
      </c>
      <c r="C396" s="11" t="s">
        <v>3890</v>
      </c>
      <c r="D396" s="11" t="s">
        <v>2808</v>
      </c>
      <c r="E396" s="39" t="s">
        <v>3891</v>
      </c>
      <c r="F396" s="11" t="s">
        <v>1700</v>
      </c>
      <c r="G396" s="39" t="s">
        <v>940</v>
      </c>
      <c r="H396" s="7">
        <v>0</v>
      </c>
      <c r="J396" s="17">
        <v>0</v>
      </c>
      <c r="K396" s="17"/>
      <c r="L396" s="7">
        <f>SUM(H396:K396)</f>
        <v>0</v>
      </c>
      <c r="M396" s="8">
        <v>1</v>
      </c>
      <c r="N396" s="8" t="str">
        <f>IF(L396&gt;0,1,"")</f>
        <v/>
      </c>
      <c r="O396" s="11" t="s">
        <v>1702</v>
      </c>
      <c r="P396" s="16" t="str">
        <f>IF(LEN(G396)=10,CONCATENATE("0",G396),G396)</f>
        <v>29-Mar-1910</v>
      </c>
      <c r="R396" s="16" t="str">
        <f t="shared" ref="R396:S400" si="155">IF($L396&gt;0,"x","")</f>
        <v/>
      </c>
      <c r="S396" s="16" t="str">
        <f t="shared" si="155"/>
        <v/>
      </c>
      <c r="U396" s="46" t="str">
        <f t="shared" si="154"/>
        <v/>
      </c>
      <c r="V396" s="46">
        <f t="shared" si="154"/>
        <v>0</v>
      </c>
      <c r="W396" s="46" t="str">
        <f t="shared" si="154"/>
        <v/>
      </c>
      <c r="X396" s="46" t="str">
        <f t="shared" si="154"/>
        <v/>
      </c>
    </row>
    <row r="397" spans="2:24" x14ac:dyDescent="0.25">
      <c r="B397" s="11" t="str">
        <f>CONCATENATE("ATHI","-",LEFT(P397,2),UPPER(MID(P397,4,3)),RIGHT(P397,4))</f>
        <v>ATHI-29MAR1910</v>
      </c>
      <c r="C397" s="11" t="s">
        <v>3890</v>
      </c>
      <c r="D397" s="11" t="s">
        <v>847</v>
      </c>
      <c r="E397" s="39" t="s">
        <v>2321</v>
      </c>
      <c r="F397" s="11" t="s">
        <v>1700</v>
      </c>
      <c r="G397" s="39" t="s">
        <v>940</v>
      </c>
      <c r="H397" s="7">
        <v>0</v>
      </c>
      <c r="J397" s="17">
        <v>0</v>
      </c>
      <c r="K397" s="17"/>
      <c r="L397" s="7">
        <f>SUM(H397:K397)</f>
        <v>0</v>
      </c>
      <c r="M397" s="8">
        <v>1</v>
      </c>
      <c r="N397" s="8" t="str">
        <f>IF(L397&gt;0,1,"")</f>
        <v/>
      </c>
      <c r="O397" s="11" t="s">
        <v>1702</v>
      </c>
      <c r="P397" s="16" t="str">
        <f>IF(LEN(G397)=10,CONCATENATE("0",G397),G397)</f>
        <v>29-Mar-1910</v>
      </c>
      <c r="R397" s="16" t="str">
        <f t="shared" si="155"/>
        <v/>
      </c>
      <c r="S397" s="16" t="str">
        <f t="shared" si="155"/>
        <v/>
      </c>
      <c r="U397" s="46" t="str">
        <f t="shared" si="154"/>
        <v/>
      </c>
      <c r="V397" s="46">
        <f t="shared" si="154"/>
        <v>0</v>
      </c>
      <c r="W397" s="46" t="str">
        <f t="shared" si="154"/>
        <v/>
      </c>
      <c r="X397" s="46" t="str">
        <f t="shared" si="154"/>
        <v/>
      </c>
    </row>
    <row r="398" spans="2:24" x14ac:dyDescent="0.25">
      <c r="B398" s="11" t="str">
        <f>CONCATENATE("ATHI","-",LEFT(P398,2),UPPER(MID(P398,4,3)),RIGHT(P398,4))</f>
        <v>ATHI-29MAR1910</v>
      </c>
      <c r="C398" s="11" t="s">
        <v>3890</v>
      </c>
      <c r="D398" s="11" t="s">
        <v>1906</v>
      </c>
      <c r="E398" s="39" t="s">
        <v>3892</v>
      </c>
      <c r="F398" s="11" t="s">
        <v>1700</v>
      </c>
      <c r="G398" s="39" t="s">
        <v>940</v>
      </c>
      <c r="H398" s="7">
        <v>0</v>
      </c>
      <c r="J398" s="17">
        <v>5</v>
      </c>
      <c r="K398" s="17"/>
      <c r="L398" s="7">
        <f>SUM(H398:K398)</f>
        <v>5</v>
      </c>
      <c r="M398" s="8">
        <v>1</v>
      </c>
      <c r="N398" s="8">
        <f>IF(L398&gt;0,1,"")</f>
        <v>1</v>
      </c>
      <c r="O398" s="11" t="s">
        <v>1702</v>
      </c>
      <c r="P398" s="16" t="str">
        <f>IF(LEN(G398)=10,CONCATENATE("0",G398),G398)</f>
        <v>29-Mar-1910</v>
      </c>
      <c r="R398" s="16" t="str">
        <f t="shared" si="155"/>
        <v>x</v>
      </c>
      <c r="S398" s="16" t="str">
        <f t="shared" si="155"/>
        <v>x</v>
      </c>
      <c r="U398" s="46" t="str">
        <f t="shared" si="154"/>
        <v/>
      </c>
      <c r="V398" s="46">
        <f t="shared" si="154"/>
        <v>5</v>
      </c>
      <c r="W398" s="46" t="str">
        <f t="shared" si="154"/>
        <v/>
      </c>
      <c r="X398" s="46" t="str">
        <f t="shared" si="154"/>
        <v/>
      </c>
    </row>
    <row r="399" spans="2:24" x14ac:dyDescent="0.25">
      <c r="B399" s="11" t="str">
        <f>CONCATENATE("ATHI","-",LEFT(P399,2),UPPER(MID(P399,4,3)),RIGHT(P399,4))</f>
        <v>ATHI-18APR1912</v>
      </c>
      <c r="C399" s="11" t="s">
        <v>3890</v>
      </c>
      <c r="D399" s="11" t="s">
        <v>1906</v>
      </c>
      <c r="E399" s="39" t="s">
        <v>5377</v>
      </c>
      <c r="F399" s="11" t="s">
        <v>1700</v>
      </c>
      <c r="G399" s="39" t="s">
        <v>908</v>
      </c>
      <c r="H399" s="7">
        <v>0</v>
      </c>
      <c r="I399" s="7">
        <v>0</v>
      </c>
      <c r="J399" s="17">
        <v>3</v>
      </c>
      <c r="K399" s="17"/>
      <c r="L399" s="7">
        <f>SUM(H399:K399)</f>
        <v>3</v>
      </c>
      <c r="M399" s="8">
        <v>1</v>
      </c>
      <c r="N399" s="8">
        <f>IF(L399&gt;0,1,"")</f>
        <v>1</v>
      </c>
      <c r="O399" s="11" t="s">
        <v>1702</v>
      </c>
      <c r="P399" s="16" t="str">
        <f>IF(LEN(G399)=10,CONCATENATE("0",G399),G399)</f>
        <v>18-Apr-1912</v>
      </c>
      <c r="R399" s="16" t="str">
        <f t="shared" si="155"/>
        <v>x</v>
      </c>
      <c r="S399" s="16" t="str">
        <f t="shared" si="155"/>
        <v>x</v>
      </c>
      <c r="U399" s="46" t="str">
        <f t="shared" ref="U399:X400" si="156">IF($O399=U$5,$L399,"")</f>
        <v/>
      </c>
      <c r="V399" s="46">
        <f t="shared" si="156"/>
        <v>3</v>
      </c>
      <c r="W399" s="46" t="str">
        <f t="shared" si="156"/>
        <v/>
      </c>
      <c r="X399" s="46" t="str">
        <f t="shared" si="156"/>
        <v/>
      </c>
    </row>
    <row r="400" spans="2:24" x14ac:dyDescent="0.25">
      <c r="B400" s="11" t="str">
        <f>CONCATENATE("ATHI","-",LEFT(P400,2),UPPER(MID(P400,4,3)),RIGHT(P400,4))</f>
        <v>ATHI-07JUN1912</v>
      </c>
      <c r="C400" s="11" t="s">
        <v>3890</v>
      </c>
      <c r="D400" s="11" t="s">
        <v>847</v>
      </c>
      <c r="E400" s="39" t="s">
        <v>1320</v>
      </c>
      <c r="F400" s="11" t="s">
        <v>1700</v>
      </c>
      <c r="G400" s="39" t="s">
        <v>5096</v>
      </c>
      <c r="H400" s="7">
        <v>2</v>
      </c>
      <c r="I400" s="7">
        <v>1</v>
      </c>
      <c r="J400" s="17">
        <v>0</v>
      </c>
      <c r="K400" s="17"/>
      <c r="L400" s="7">
        <f>SUM(H400:K400)</f>
        <v>3</v>
      </c>
      <c r="M400" s="8">
        <v>1</v>
      </c>
      <c r="N400" s="8">
        <f>IF(L400&gt;0,1,"")</f>
        <v>1</v>
      </c>
      <c r="O400" s="11" t="s">
        <v>1702</v>
      </c>
      <c r="P400" s="16" t="str">
        <f>IF(LEN(G400)=10,CONCATENATE("0",G400),G400)</f>
        <v>07-Jun-1912</v>
      </c>
      <c r="R400" s="16" t="str">
        <f t="shared" si="155"/>
        <v>x</v>
      </c>
      <c r="S400" s="16" t="str">
        <f t="shared" si="155"/>
        <v>x</v>
      </c>
      <c r="U400" s="46" t="str">
        <f t="shared" si="156"/>
        <v/>
      </c>
      <c r="V400" s="46">
        <f t="shared" si="156"/>
        <v>3</v>
      </c>
      <c r="W400" s="46" t="str">
        <f t="shared" si="156"/>
        <v/>
      </c>
      <c r="X400" s="46" t="str">
        <f t="shared" si="156"/>
        <v/>
      </c>
    </row>
    <row r="401" spans="2:26" x14ac:dyDescent="0.25">
      <c r="N401" s="8" t="str">
        <f>IF(R401="x",1,"")</f>
        <v/>
      </c>
      <c r="U401" s="46" t="str">
        <f t="shared" si="154"/>
        <v/>
      </c>
      <c r="V401" s="46" t="str">
        <f t="shared" si="154"/>
        <v/>
      </c>
      <c r="W401" s="46" t="str">
        <f t="shared" si="154"/>
        <v/>
      </c>
      <c r="X401" s="46" t="str">
        <f t="shared" si="154"/>
        <v/>
      </c>
    </row>
    <row r="402" spans="2:26" x14ac:dyDescent="0.25">
      <c r="B402" s="18"/>
      <c r="C402" s="18"/>
      <c r="D402" s="18"/>
      <c r="E402" s="40"/>
      <c r="F402" s="18"/>
      <c r="G402" s="40"/>
      <c r="H402" s="7">
        <f t="shared" ref="H402:N402" si="157">SUM(H396:H401)</f>
        <v>2</v>
      </c>
      <c r="I402" s="7">
        <f t="shared" si="157"/>
        <v>1</v>
      </c>
      <c r="J402" s="7">
        <f>SUM(J396:J401)</f>
        <v>8</v>
      </c>
      <c r="K402" s="7">
        <f t="shared" si="157"/>
        <v>0</v>
      </c>
      <c r="L402" s="7">
        <f t="shared" si="157"/>
        <v>11</v>
      </c>
      <c r="M402" s="7">
        <f t="shared" si="157"/>
        <v>5</v>
      </c>
      <c r="N402" s="7">
        <f t="shared" si="157"/>
        <v>3</v>
      </c>
      <c r="O402" s="18"/>
      <c r="P402" s="13"/>
      <c r="Q402" s="13"/>
      <c r="S402" s="13"/>
      <c r="T402" s="15"/>
      <c r="U402" s="46" t="str">
        <f t="shared" si="154"/>
        <v/>
      </c>
      <c r="V402" s="46" t="str">
        <f t="shared" si="154"/>
        <v/>
      </c>
      <c r="W402" s="46" t="str">
        <f t="shared" si="154"/>
        <v/>
      </c>
      <c r="X402" s="46" t="str">
        <f t="shared" si="154"/>
        <v/>
      </c>
    </row>
    <row r="403" spans="2:26" s="18" customFormat="1" x14ac:dyDescent="0.25">
      <c r="E403" s="40"/>
      <c r="G403" s="40"/>
      <c r="H403" s="7"/>
      <c r="I403" s="7"/>
      <c r="J403" s="7"/>
      <c r="K403" s="7"/>
      <c r="L403" s="7"/>
      <c r="M403" s="8"/>
      <c r="N403" s="8" t="str">
        <f>IF(R403="x",1,"")</f>
        <v/>
      </c>
      <c r="P403" s="13"/>
      <c r="Q403" s="13"/>
      <c r="R403" s="13"/>
      <c r="S403" s="13"/>
      <c r="T403" s="15"/>
      <c r="U403" s="46" t="str">
        <f t="shared" si="154"/>
        <v/>
      </c>
      <c r="V403" s="46" t="str">
        <f t="shared" si="154"/>
        <v/>
      </c>
      <c r="W403" s="46" t="str">
        <f t="shared" si="154"/>
        <v/>
      </c>
      <c r="X403" s="46" t="str">
        <f t="shared" si="154"/>
        <v/>
      </c>
      <c r="Z403" s="11"/>
    </row>
    <row r="404" spans="2:26" s="18" customFormat="1" x14ac:dyDescent="0.25">
      <c r="E404" s="40"/>
      <c r="G404" s="40"/>
      <c r="H404" s="7"/>
      <c r="I404" s="7"/>
      <c r="J404" s="7"/>
      <c r="K404" s="7"/>
      <c r="L404" s="7"/>
      <c r="M404" s="8"/>
      <c r="N404" s="8" t="str">
        <f>IF(R404="x",1,"")</f>
        <v/>
      </c>
      <c r="P404" s="13"/>
      <c r="Q404" s="13"/>
      <c r="R404" s="13"/>
      <c r="S404" s="13"/>
      <c r="T404" s="15"/>
      <c r="U404" s="46" t="str">
        <f t="shared" si="154"/>
        <v/>
      </c>
      <c r="V404" s="46" t="str">
        <f t="shared" si="154"/>
        <v/>
      </c>
      <c r="W404" s="46" t="str">
        <f t="shared" si="154"/>
        <v/>
      </c>
      <c r="X404" s="46" t="str">
        <f t="shared" si="154"/>
        <v/>
      </c>
      <c r="Z404" s="11"/>
    </row>
    <row r="405" spans="2:26" x14ac:dyDescent="0.25">
      <c r="B405" s="11" t="str">
        <f t="shared" ref="B405:B410" si="158">CONCATENATE("ATLA","-",LEFT(P405,2),UPPER(MID(P405,4,3)),RIGHT(P405,4))</f>
        <v>ATLA-25MAR1909</v>
      </c>
      <c r="C405" s="11" t="s">
        <v>1905</v>
      </c>
      <c r="D405" s="11" t="s">
        <v>1906</v>
      </c>
      <c r="E405" s="39" t="s">
        <v>2046</v>
      </c>
      <c r="F405" s="11" t="s">
        <v>1700</v>
      </c>
      <c r="G405" s="39" t="s">
        <v>2045</v>
      </c>
      <c r="H405" s="7">
        <v>0</v>
      </c>
      <c r="I405" s="7">
        <v>0</v>
      </c>
      <c r="J405" s="7">
        <v>2</v>
      </c>
      <c r="L405" s="7">
        <f t="shared" ref="L405:L410" si="159">SUM(H405:K405)</f>
        <v>2</v>
      </c>
      <c r="M405" s="8">
        <v>1</v>
      </c>
      <c r="N405" s="8">
        <f t="shared" ref="N405:N410" si="160">IF(L405&gt;0,1,"")</f>
        <v>1</v>
      </c>
      <c r="O405" s="11" t="s">
        <v>1881</v>
      </c>
      <c r="P405" s="16" t="str">
        <f t="shared" ref="P405:P410" si="161">IF(LEN(G405)=10,CONCATENATE("0",G405),G405)</f>
        <v>25-Mar-1909</v>
      </c>
      <c r="R405" s="16" t="str">
        <f t="shared" ref="R405:S410" si="162">IF($L405&gt;0,"x","")</f>
        <v>x</v>
      </c>
      <c r="S405" s="16" t="str">
        <f t="shared" si="162"/>
        <v>x</v>
      </c>
      <c r="U405" s="46">
        <f t="shared" si="154"/>
        <v>2</v>
      </c>
      <c r="V405" s="46" t="str">
        <f t="shared" si="154"/>
        <v/>
      </c>
      <c r="W405" s="46" t="str">
        <f t="shared" si="154"/>
        <v/>
      </c>
      <c r="X405" s="46" t="str">
        <f t="shared" si="154"/>
        <v/>
      </c>
    </row>
    <row r="406" spans="2:26" x14ac:dyDescent="0.25">
      <c r="B406" s="11" t="str">
        <f t="shared" si="158"/>
        <v>ATLA-10JUL1909</v>
      </c>
      <c r="C406" s="11" t="s">
        <v>1905</v>
      </c>
      <c r="D406" s="11" t="s">
        <v>1906</v>
      </c>
      <c r="E406" s="39" t="s">
        <v>2048</v>
      </c>
      <c r="F406" s="11" t="s">
        <v>1700</v>
      </c>
      <c r="G406" s="39" t="s">
        <v>2047</v>
      </c>
      <c r="H406" s="7">
        <v>0</v>
      </c>
      <c r="I406" s="7">
        <v>0</v>
      </c>
      <c r="J406" s="7">
        <v>7</v>
      </c>
      <c r="L406" s="7">
        <f t="shared" si="159"/>
        <v>7</v>
      </c>
      <c r="M406" s="8">
        <v>1</v>
      </c>
      <c r="N406" s="8">
        <f t="shared" si="160"/>
        <v>1</v>
      </c>
      <c r="O406" s="11" t="s">
        <v>1881</v>
      </c>
      <c r="P406" s="16" t="str">
        <f t="shared" si="161"/>
        <v>10-Jul-1909</v>
      </c>
      <c r="R406" s="16" t="str">
        <f t="shared" si="162"/>
        <v>x</v>
      </c>
      <c r="S406" s="16" t="str">
        <f t="shared" si="162"/>
        <v>x</v>
      </c>
      <c r="U406" s="46">
        <f t="shared" si="154"/>
        <v>7</v>
      </c>
      <c r="V406" s="46" t="str">
        <f t="shared" si="154"/>
        <v/>
      </c>
      <c r="W406" s="46" t="str">
        <f t="shared" si="154"/>
        <v/>
      </c>
      <c r="X406" s="46" t="str">
        <f t="shared" si="154"/>
        <v/>
      </c>
    </row>
    <row r="407" spans="2:26" x14ac:dyDescent="0.25">
      <c r="B407" s="11" t="str">
        <f t="shared" si="158"/>
        <v>ATLA-22JUL1910</v>
      </c>
      <c r="C407" s="11" t="s">
        <v>1905</v>
      </c>
      <c r="D407" s="11" t="s">
        <v>1906</v>
      </c>
      <c r="E407" s="39" t="s">
        <v>1907</v>
      </c>
      <c r="F407" s="11" t="s">
        <v>1700</v>
      </c>
      <c r="G407" s="39" t="s">
        <v>1908</v>
      </c>
      <c r="H407" s="7">
        <v>0</v>
      </c>
      <c r="I407" s="7">
        <v>0</v>
      </c>
      <c r="J407" s="7">
        <v>84</v>
      </c>
      <c r="L407" s="7">
        <f t="shared" si="159"/>
        <v>84</v>
      </c>
      <c r="M407" s="8">
        <v>1</v>
      </c>
      <c r="N407" s="8">
        <f t="shared" si="160"/>
        <v>1</v>
      </c>
      <c r="O407" s="11" t="s">
        <v>1881</v>
      </c>
      <c r="P407" s="16" t="str">
        <f t="shared" si="161"/>
        <v>22-Jul-1910</v>
      </c>
      <c r="R407" s="16" t="str">
        <f t="shared" si="162"/>
        <v>x</v>
      </c>
      <c r="S407" s="16" t="str">
        <f t="shared" si="162"/>
        <v>x</v>
      </c>
      <c r="U407" s="46">
        <f t="shared" si="154"/>
        <v>84</v>
      </c>
      <c r="V407" s="46" t="str">
        <f t="shared" si="154"/>
        <v/>
      </c>
      <c r="W407" s="46" t="str">
        <f t="shared" si="154"/>
        <v/>
      </c>
      <c r="X407" s="46" t="str">
        <f t="shared" si="154"/>
        <v/>
      </c>
    </row>
    <row r="408" spans="2:26" x14ac:dyDescent="0.25">
      <c r="B408" s="11" t="str">
        <f t="shared" si="158"/>
        <v>ATLA-24SEP1910</v>
      </c>
      <c r="C408" s="11" t="s">
        <v>1905</v>
      </c>
      <c r="D408" s="11" t="s">
        <v>1906</v>
      </c>
      <c r="E408" s="39" t="s">
        <v>1916</v>
      </c>
      <c r="F408" s="11" t="s">
        <v>1700</v>
      </c>
      <c r="G408" s="39" t="s">
        <v>1917</v>
      </c>
      <c r="H408" s="7">
        <v>0</v>
      </c>
      <c r="I408" s="7">
        <v>8</v>
      </c>
      <c r="J408" s="7">
        <v>13</v>
      </c>
      <c r="L408" s="7">
        <f t="shared" si="159"/>
        <v>21</v>
      </c>
      <c r="M408" s="8">
        <v>1</v>
      </c>
      <c r="N408" s="8">
        <f t="shared" si="160"/>
        <v>1</v>
      </c>
      <c r="O408" s="11" t="s">
        <v>1881</v>
      </c>
      <c r="P408" s="16" t="str">
        <f t="shared" si="161"/>
        <v>24-Sep-1910</v>
      </c>
      <c r="R408" s="16" t="str">
        <f t="shared" si="162"/>
        <v>x</v>
      </c>
      <c r="S408" s="16" t="str">
        <f t="shared" si="162"/>
        <v>x</v>
      </c>
      <c r="U408" s="46">
        <f t="shared" si="154"/>
        <v>21</v>
      </c>
      <c r="V408" s="46" t="str">
        <f t="shared" si="154"/>
        <v/>
      </c>
      <c r="W408" s="46" t="str">
        <f t="shared" si="154"/>
        <v/>
      </c>
      <c r="X408" s="46" t="str">
        <f t="shared" si="154"/>
        <v/>
      </c>
    </row>
    <row r="409" spans="2:26" x14ac:dyDescent="0.25">
      <c r="B409" s="11" t="str">
        <f t="shared" si="158"/>
        <v>ATLA-13FEB1911</v>
      </c>
      <c r="C409" s="11" t="s">
        <v>1905</v>
      </c>
      <c r="D409" s="11" t="s">
        <v>1906</v>
      </c>
      <c r="E409" s="39" t="s">
        <v>1934</v>
      </c>
      <c r="F409" s="11" t="s">
        <v>1700</v>
      </c>
      <c r="G409" s="39" t="s">
        <v>1935</v>
      </c>
      <c r="H409" s="7">
        <v>0</v>
      </c>
      <c r="I409" s="7">
        <v>0</v>
      </c>
      <c r="J409" s="7">
        <v>22</v>
      </c>
      <c r="L409" s="7">
        <f t="shared" si="159"/>
        <v>22</v>
      </c>
      <c r="M409" s="8">
        <v>1</v>
      </c>
      <c r="N409" s="8">
        <f t="shared" si="160"/>
        <v>1</v>
      </c>
      <c r="O409" s="11" t="s">
        <v>1881</v>
      </c>
      <c r="P409" s="16" t="str">
        <f t="shared" si="161"/>
        <v>13-Feb-1911</v>
      </c>
      <c r="R409" s="16" t="str">
        <f t="shared" si="162"/>
        <v>x</v>
      </c>
      <c r="S409" s="16" t="str">
        <f t="shared" si="162"/>
        <v>x</v>
      </c>
      <c r="U409" s="46">
        <f t="shared" si="154"/>
        <v>22</v>
      </c>
      <c r="V409" s="46" t="str">
        <f t="shared" si="154"/>
        <v/>
      </c>
      <c r="W409" s="46" t="str">
        <f t="shared" si="154"/>
        <v/>
      </c>
      <c r="X409" s="46" t="str">
        <f t="shared" si="154"/>
        <v/>
      </c>
    </row>
    <row r="410" spans="2:26" x14ac:dyDescent="0.25">
      <c r="B410" s="11" t="str">
        <f t="shared" si="158"/>
        <v>ATLA-06APR1912</v>
      </c>
      <c r="C410" s="11" t="s">
        <v>1905</v>
      </c>
      <c r="D410" s="11" t="s">
        <v>1906</v>
      </c>
      <c r="E410" s="39" t="s">
        <v>2050</v>
      </c>
      <c r="F410" s="11" t="s">
        <v>1700</v>
      </c>
      <c r="G410" s="39" t="s">
        <v>2049</v>
      </c>
      <c r="H410" s="7">
        <v>0</v>
      </c>
      <c r="I410" s="7">
        <v>0</v>
      </c>
      <c r="J410" s="7">
        <v>64</v>
      </c>
      <c r="L410" s="7">
        <f t="shared" si="159"/>
        <v>64</v>
      </c>
      <c r="M410" s="8">
        <v>1</v>
      </c>
      <c r="N410" s="8">
        <f t="shared" si="160"/>
        <v>1</v>
      </c>
      <c r="O410" s="11" t="s">
        <v>1881</v>
      </c>
      <c r="P410" s="16" t="str">
        <f t="shared" si="161"/>
        <v>06-Apr-1912</v>
      </c>
      <c r="R410" s="16" t="str">
        <f t="shared" si="162"/>
        <v>x</v>
      </c>
      <c r="S410" s="16" t="str">
        <f t="shared" si="162"/>
        <v>x</v>
      </c>
      <c r="U410" s="46">
        <f t="shared" si="154"/>
        <v>64</v>
      </c>
      <c r="V410" s="46" t="str">
        <f t="shared" si="154"/>
        <v/>
      </c>
      <c r="W410" s="46" t="str">
        <f t="shared" si="154"/>
        <v/>
      </c>
      <c r="X410" s="46" t="str">
        <f t="shared" si="154"/>
        <v/>
      </c>
    </row>
    <row r="411" spans="2:26" x14ac:dyDescent="0.25">
      <c r="N411" s="8" t="str">
        <f>IF(R411="x",1,"")</f>
        <v/>
      </c>
      <c r="U411" s="46" t="str">
        <f t="shared" si="154"/>
        <v/>
      </c>
      <c r="V411" s="46" t="str">
        <f t="shared" si="154"/>
        <v/>
      </c>
      <c r="W411" s="46" t="str">
        <f t="shared" si="154"/>
        <v/>
      </c>
      <c r="X411" s="46" t="str">
        <f t="shared" si="154"/>
        <v/>
      </c>
    </row>
    <row r="412" spans="2:26" s="18" customFormat="1" x14ac:dyDescent="0.25">
      <c r="E412" s="40"/>
      <c r="G412" s="40"/>
      <c r="H412" s="7">
        <f t="shared" ref="H412:N412" si="163">SUM(H405:H411)</f>
        <v>0</v>
      </c>
      <c r="I412" s="7">
        <f t="shared" si="163"/>
        <v>8</v>
      </c>
      <c r="J412" s="7">
        <f>SUM(J405:J411)</f>
        <v>192</v>
      </c>
      <c r="K412" s="7">
        <f t="shared" si="163"/>
        <v>0</v>
      </c>
      <c r="L412" s="7">
        <f t="shared" si="163"/>
        <v>200</v>
      </c>
      <c r="M412" s="7">
        <f t="shared" si="163"/>
        <v>6</v>
      </c>
      <c r="N412" s="7">
        <f t="shared" si="163"/>
        <v>6</v>
      </c>
      <c r="P412" s="13"/>
      <c r="Q412" s="13"/>
      <c r="R412" s="13"/>
      <c r="S412" s="13"/>
      <c r="T412" s="15"/>
      <c r="U412" s="46" t="str">
        <f t="shared" si="154"/>
        <v/>
      </c>
      <c r="V412" s="46" t="str">
        <f t="shared" si="154"/>
        <v/>
      </c>
      <c r="W412" s="46" t="str">
        <f t="shared" si="154"/>
        <v/>
      </c>
      <c r="X412" s="46" t="str">
        <f t="shared" si="154"/>
        <v/>
      </c>
      <c r="Z412" s="11"/>
    </row>
    <row r="413" spans="2:26" x14ac:dyDescent="0.25">
      <c r="B413" s="18"/>
      <c r="C413" s="18"/>
      <c r="D413" s="18"/>
      <c r="E413" s="40"/>
      <c r="F413" s="18"/>
      <c r="G413" s="40"/>
      <c r="N413" s="8" t="str">
        <f>IF(R413="x",1,"")</f>
        <v/>
      </c>
      <c r="O413" s="18"/>
      <c r="P413" s="13"/>
      <c r="Q413" s="13"/>
      <c r="R413" s="13"/>
      <c r="S413" s="13"/>
      <c r="T413" s="15"/>
      <c r="U413" s="46" t="str">
        <f t="shared" si="154"/>
        <v/>
      </c>
      <c r="V413" s="46" t="str">
        <f t="shared" si="154"/>
        <v/>
      </c>
      <c r="W413" s="46" t="str">
        <f t="shared" si="154"/>
        <v/>
      </c>
      <c r="X413" s="46" t="str">
        <f t="shared" si="154"/>
        <v/>
      </c>
    </row>
    <row r="414" spans="2:26" x14ac:dyDescent="0.25">
      <c r="B414" s="18"/>
      <c r="C414" s="18"/>
      <c r="D414" s="18"/>
      <c r="E414" s="40"/>
      <c r="F414" s="18"/>
      <c r="G414" s="40"/>
      <c r="N414" s="8" t="str">
        <f>IF(R414="x",1,"")</f>
        <v/>
      </c>
      <c r="O414" s="18"/>
      <c r="P414" s="13"/>
      <c r="Q414" s="13"/>
      <c r="R414" s="13"/>
      <c r="S414" s="13"/>
      <c r="T414" s="15"/>
      <c r="U414" s="46" t="str">
        <f t="shared" si="154"/>
        <v/>
      </c>
      <c r="V414" s="46" t="str">
        <f t="shared" si="154"/>
        <v/>
      </c>
      <c r="W414" s="46" t="str">
        <f t="shared" si="154"/>
        <v/>
      </c>
      <c r="X414" s="46" t="str">
        <f t="shared" si="154"/>
        <v/>
      </c>
    </row>
    <row r="415" spans="2:26" x14ac:dyDescent="0.25">
      <c r="B415" s="11" t="str">
        <f>CONCATENATE("ATMR","-",LEFT(P415,2),UPPER(MID(P415,4,3)),RIGHT(P415,4))</f>
        <v>ATMR-04AUG1918</v>
      </c>
      <c r="C415" s="11" t="s">
        <v>3365</v>
      </c>
      <c r="D415" s="11" t="s">
        <v>2440</v>
      </c>
      <c r="E415" s="39" t="s">
        <v>3783</v>
      </c>
      <c r="F415" s="11" t="s">
        <v>3366</v>
      </c>
      <c r="G415" s="39" t="s">
        <v>3782</v>
      </c>
      <c r="H415" s="7">
        <v>0</v>
      </c>
      <c r="I415" s="7">
        <v>0</v>
      </c>
      <c r="J415" s="17">
        <v>8</v>
      </c>
      <c r="K415" s="17"/>
      <c r="L415" s="7">
        <f>SUM(H415:K415)</f>
        <v>8</v>
      </c>
      <c r="M415" s="8">
        <v>1</v>
      </c>
      <c r="N415" s="8">
        <f>IF(L415&gt;0,1,"")</f>
        <v>1</v>
      </c>
      <c r="O415" s="11" t="s">
        <v>1702</v>
      </c>
      <c r="P415" s="16" t="str">
        <f>IF(LEN(G415)=10,CONCATENATE("0",G415),G415)</f>
        <v>04-Aug-1918</v>
      </c>
      <c r="R415" s="16" t="str">
        <f>IF($L415&gt;0,"x","")</f>
        <v>x</v>
      </c>
      <c r="S415" s="16" t="str">
        <f>IF($L415&gt;0,"x","")</f>
        <v>x</v>
      </c>
      <c r="U415" s="46" t="str">
        <f t="shared" si="154"/>
        <v/>
      </c>
      <c r="V415" s="46">
        <f t="shared" si="154"/>
        <v>8</v>
      </c>
      <c r="W415" s="46" t="str">
        <f t="shared" si="154"/>
        <v/>
      </c>
      <c r="X415" s="46" t="str">
        <f t="shared" si="154"/>
        <v/>
      </c>
    </row>
    <row r="416" spans="2:26" x14ac:dyDescent="0.25">
      <c r="B416" s="11" t="str">
        <f>CONCATENATE("ATMR","-",LEFT(P416,2),UPPER(MID(P416,4,3)),RIGHT(P416,4))</f>
        <v>ATMR-24FEB1919</v>
      </c>
      <c r="C416" s="11" t="s">
        <v>3365</v>
      </c>
      <c r="D416" s="11" t="s">
        <v>2440</v>
      </c>
      <c r="E416" s="39" t="s">
        <v>3367</v>
      </c>
      <c r="F416" s="11" t="s">
        <v>3366</v>
      </c>
      <c r="G416" s="39" t="s">
        <v>1124</v>
      </c>
      <c r="H416" s="7">
        <v>0</v>
      </c>
      <c r="I416" s="7">
        <v>3</v>
      </c>
      <c r="J416" s="17">
        <v>7</v>
      </c>
      <c r="K416" s="17"/>
      <c r="L416" s="7">
        <f>SUM(H416:K416)</f>
        <v>10</v>
      </c>
      <c r="M416" s="8">
        <v>1</v>
      </c>
      <c r="N416" s="8">
        <f>IF(L416&gt;0,1,"")</f>
        <v>1</v>
      </c>
      <c r="O416" s="11" t="s">
        <v>1702</v>
      </c>
      <c r="P416" s="16" t="str">
        <f>IF(LEN(G416)=10,CONCATENATE("0",G416),G416)</f>
        <v>24-Feb-1919</v>
      </c>
      <c r="R416" s="16" t="str">
        <f>IF($L416&gt;0,"x","")</f>
        <v>x</v>
      </c>
      <c r="S416" s="16" t="str">
        <f>IF($L416&gt;0,"x","")</f>
        <v>x</v>
      </c>
      <c r="U416" s="46" t="str">
        <f t="shared" si="154"/>
        <v/>
      </c>
      <c r="V416" s="46">
        <f t="shared" si="154"/>
        <v>10</v>
      </c>
      <c r="W416" s="46" t="str">
        <f t="shared" si="154"/>
        <v/>
      </c>
      <c r="X416" s="46" t="str">
        <f t="shared" si="154"/>
        <v/>
      </c>
    </row>
    <row r="417" spans="2:24" x14ac:dyDescent="0.25">
      <c r="N417" s="8" t="str">
        <f>IF(R417="x",1,"")</f>
        <v/>
      </c>
      <c r="U417" s="46" t="str">
        <f t="shared" si="154"/>
        <v/>
      </c>
      <c r="V417" s="46" t="str">
        <f t="shared" si="154"/>
        <v/>
      </c>
      <c r="W417" s="46" t="str">
        <f t="shared" si="154"/>
        <v/>
      </c>
      <c r="X417" s="46" t="str">
        <f t="shared" si="154"/>
        <v/>
      </c>
    </row>
    <row r="418" spans="2:24" x14ac:dyDescent="0.25">
      <c r="B418" s="18"/>
      <c r="C418" s="18"/>
      <c r="D418" s="18"/>
      <c r="E418" s="40"/>
      <c r="F418" s="18"/>
      <c r="G418" s="40"/>
      <c r="H418" s="7">
        <f t="shared" ref="H418:N418" si="164">SUM(H415:H417)</f>
        <v>0</v>
      </c>
      <c r="I418" s="7">
        <f t="shared" si="164"/>
        <v>3</v>
      </c>
      <c r="J418" s="7">
        <f>SUM(J415:J417)</f>
        <v>15</v>
      </c>
      <c r="K418" s="7">
        <f t="shared" si="164"/>
        <v>0</v>
      </c>
      <c r="L418" s="7">
        <f t="shared" si="164"/>
        <v>18</v>
      </c>
      <c r="M418" s="7">
        <f t="shared" si="164"/>
        <v>2</v>
      </c>
      <c r="N418" s="7">
        <f t="shared" si="164"/>
        <v>2</v>
      </c>
      <c r="O418" s="18"/>
      <c r="P418" s="13"/>
      <c r="Q418" s="13"/>
      <c r="S418" s="13"/>
      <c r="T418" s="15"/>
      <c r="U418" s="46" t="str">
        <f t="shared" si="154"/>
        <v/>
      </c>
      <c r="V418" s="46" t="str">
        <f t="shared" si="154"/>
        <v/>
      </c>
      <c r="W418" s="46" t="str">
        <f t="shared" si="154"/>
        <v/>
      </c>
      <c r="X418" s="46" t="str">
        <f t="shared" si="154"/>
        <v/>
      </c>
    </row>
    <row r="419" spans="2:24" x14ac:dyDescent="0.25">
      <c r="B419" s="18"/>
      <c r="C419" s="18"/>
      <c r="D419" s="18"/>
      <c r="E419" s="40"/>
      <c r="F419" s="18"/>
      <c r="G419" s="40"/>
      <c r="N419" s="8" t="str">
        <f>IF(R419="x",1,"")</f>
        <v/>
      </c>
      <c r="O419" s="18"/>
      <c r="P419" s="13"/>
      <c r="Q419" s="13"/>
      <c r="R419" s="13"/>
      <c r="S419" s="13"/>
      <c r="T419" s="15"/>
      <c r="U419" s="46" t="str">
        <f t="shared" si="154"/>
        <v/>
      </c>
      <c r="V419" s="46" t="str">
        <f t="shared" si="154"/>
        <v/>
      </c>
      <c r="W419" s="46" t="str">
        <f t="shared" si="154"/>
        <v/>
      </c>
      <c r="X419" s="46" t="str">
        <f t="shared" si="154"/>
        <v/>
      </c>
    </row>
    <row r="420" spans="2:24" x14ac:dyDescent="0.25">
      <c r="B420" s="18"/>
      <c r="C420" s="18"/>
      <c r="D420" s="18"/>
      <c r="E420" s="40"/>
      <c r="F420" s="18"/>
      <c r="G420" s="40"/>
      <c r="N420" s="8" t="str">
        <f>IF(R420="x",1,"")</f>
        <v/>
      </c>
      <c r="O420" s="18"/>
      <c r="P420" s="13"/>
      <c r="Q420" s="13"/>
      <c r="R420" s="13"/>
      <c r="S420" s="13"/>
      <c r="T420" s="15"/>
      <c r="U420" s="46" t="str">
        <f t="shared" si="154"/>
        <v/>
      </c>
      <c r="V420" s="46" t="str">
        <f t="shared" si="154"/>
        <v/>
      </c>
      <c r="W420" s="46" t="str">
        <f t="shared" si="154"/>
        <v/>
      </c>
      <c r="X420" s="46" t="str">
        <f t="shared" si="154"/>
        <v/>
      </c>
    </row>
    <row r="421" spans="2:24" x14ac:dyDescent="0.25">
      <c r="B421" s="11" t="str">
        <f>CONCATENATE("AUGV","-",LEFT(P421,2),UPPER(MID(P421,4,3)),RIGHT(P421,4))</f>
        <v>AUGV-16MAY1896</v>
      </c>
      <c r="C421" s="11" t="s">
        <v>3234</v>
      </c>
      <c r="D421" s="11" t="s">
        <v>2224</v>
      </c>
      <c r="F421" s="11" t="s">
        <v>1700</v>
      </c>
      <c r="G421" s="39" t="s">
        <v>4466</v>
      </c>
      <c r="H421" s="7">
        <v>0</v>
      </c>
      <c r="I421" s="7">
        <v>0</v>
      </c>
      <c r="J421" s="17">
        <v>5</v>
      </c>
      <c r="K421" s="17"/>
      <c r="L421" s="7">
        <f>SUM(H421:K421)</f>
        <v>5</v>
      </c>
      <c r="M421" s="8">
        <v>1</v>
      </c>
      <c r="N421" s="8">
        <f>IF(L421&gt;0,1,"")</f>
        <v>1</v>
      </c>
      <c r="O421" s="11" t="s">
        <v>1702</v>
      </c>
      <c r="P421" s="16" t="str">
        <f>IF(LEN(G421)=10,CONCATENATE("0",G421),G421)</f>
        <v>16-May-1896</v>
      </c>
      <c r="R421" s="16" t="str">
        <f t="shared" ref="R421:S424" si="165">IF($L421&gt;0,"x","")</f>
        <v>x</v>
      </c>
      <c r="S421" s="16" t="str">
        <f t="shared" si="165"/>
        <v>x</v>
      </c>
      <c r="U421" s="46" t="str">
        <f t="shared" si="154"/>
        <v/>
      </c>
      <c r="V421" s="46">
        <f t="shared" si="154"/>
        <v>5</v>
      </c>
      <c r="W421" s="46" t="str">
        <f t="shared" si="154"/>
        <v/>
      </c>
      <c r="X421" s="46" t="str">
        <f t="shared" si="154"/>
        <v/>
      </c>
    </row>
    <row r="422" spans="2:24" x14ac:dyDescent="0.25">
      <c r="B422" s="11" t="str">
        <f>CONCATENATE("AUGV","-",LEFT(P422,2),UPPER(MID(P422,4,3)),RIGHT(P422,4))</f>
        <v>AUGV-30OCT1897</v>
      </c>
      <c r="C422" s="11" t="s">
        <v>3234</v>
      </c>
      <c r="D422" s="11" t="s">
        <v>2224</v>
      </c>
      <c r="E422" s="39" t="s">
        <v>5944</v>
      </c>
      <c r="F422" s="11" t="s">
        <v>1700</v>
      </c>
      <c r="G422" s="39" t="s">
        <v>30</v>
      </c>
      <c r="J422" s="17">
        <v>10</v>
      </c>
      <c r="K422" s="17"/>
      <c r="L422" s="7">
        <f>SUM(H422:K422)</f>
        <v>10</v>
      </c>
      <c r="M422" s="8">
        <v>1</v>
      </c>
      <c r="N422" s="8">
        <f>IF(L422&gt;0,1,"")</f>
        <v>1</v>
      </c>
      <c r="O422" s="11" t="s">
        <v>1702</v>
      </c>
      <c r="P422" s="16" t="str">
        <f>IF(LEN(G422)=10,CONCATENATE("0",G422),G422)</f>
        <v>30-Oct-1897</v>
      </c>
      <c r="R422" s="16" t="str">
        <f t="shared" si="165"/>
        <v>x</v>
      </c>
      <c r="S422" s="16" t="str">
        <f t="shared" si="165"/>
        <v>x</v>
      </c>
      <c r="U422" s="46" t="str">
        <f t="shared" ref="U422:X423" si="166">IF($O422=U$5,$L422,"")</f>
        <v/>
      </c>
      <c r="V422" s="46">
        <f t="shared" si="166"/>
        <v>10</v>
      </c>
      <c r="W422" s="46" t="str">
        <f t="shared" si="166"/>
        <v/>
      </c>
      <c r="X422" s="46" t="str">
        <f t="shared" si="166"/>
        <v/>
      </c>
    </row>
    <row r="423" spans="2:24" x14ac:dyDescent="0.25">
      <c r="B423" s="11" t="str">
        <f>CONCATENATE("AUGV","-",LEFT(P423,2),UPPER(MID(P423,4,3)),RIGHT(P423,4))</f>
        <v>AUGV-03SEP1898</v>
      </c>
      <c r="C423" s="11" t="s">
        <v>3234</v>
      </c>
      <c r="D423" s="11" t="s">
        <v>2224</v>
      </c>
      <c r="E423" s="39" t="s">
        <v>5708</v>
      </c>
      <c r="F423" s="11" t="s">
        <v>1700</v>
      </c>
      <c r="G423" s="39" t="s">
        <v>640</v>
      </c>
      <c r="J423" s="17">
        <v>5</v>
      </c>
      <c r="K423" s="17"/>
      <c r="L423" s="7">
        <f>SUM(H423:K423)</f>
        <v>5</v>
      </c>
      <c r="M423" s="8">
        <v>1</v>
      </c>
      <c r="N423" s="8">
        <f>IF(L423&gt;0,1,"")</f>
        <v>1</v>
      </c>
      <c r="O423" s="11" t="s">
        <v>1702</v>
      </c>
      <c r="P423" s="16" t="str">
        <f>IF(LEN(G423)=10,CONCATENATE("0",G423),G423)</f>
        <v>03-Sep-1898</v>
      </c>
      <c r="R423" s="16" t="str">
        <f t="shared" si="165"/>
        <v>x</v>
      </c>
      <c r="S423" s="16" t="str">
        <f t="shared" si="165"/>
        <v>x</v>
      </c>
      <c r="U423" s="46" t="str">
        <f t="shared" si="166"/>
        <v/>
      </c>
      <c r="V423" s="46">
        <f t="shared" si="166"/>
        <v>5</v>
      </c>
      <c r="W423" s="46" t="str">
        <f t="shared" si="166"/>
        <v/>
      </c>
      <c r="X423" s="46" t="str">
        <f t="shared" si="166"/>
        <v/>
      </c>
    </row>
    <row r="424" spans="2:24" x14ac:dyDescent="0.25">
      <c r="B424" s="11" t="str">
        <f>CONCATENATE("AUGV","-",LEFT(P424,2),UPPER(MID(P424,4,3)),RIGHT(P424,4))</f>
        <v>AUGV-29OCT1898</v>
      </c>
      <c r="C424" s="11" t="s">
        <v>3234</v>
      </c>
      <c r="D424" s="11" t="s">
        <v>2224</v>
      </c>
      <c r="E424" s="39" t="s">
        <v>557</v>
      </c>
      <c r="F424" s="11" t="s">
        <v>1700</v>
      </c>
      <c r="G424" s="39" t="s">
        <v>474</v>
      </c>
      <c r="J424" s="17">
        <v>2</v>
      </c>
      <c r="K424" s="17"/>
      <c r="L424" s="7">
        <f>SUM(H424:K424)</f>
        <v>2</v>
      </c>
      <c r="M424" s="8">
        <v>1</v>
      </c>
      <c r="N424" s="8">
        <f>IF(L424&gt;0,1,"")</f>
        <v>1</v>
      </c>
      <c r="O424" s="11" t="s">
        <v>1702</v>
      </c>
      <c r="P424" s="16" t="str">
        <f>IF(LEN(G424)=10,CONCATENATE("0",G424),G424)</f>
        <v>29-Oct-1898</v>
      </c>
      <c r="R424" s="16" t="str">
        <f t="shared" si="165"/>
        <v>x</v>
      </c>
      <c r="S424" s="16" t="str">
        <f t="shared" si="165"/>
        <v>x</v>
      </c>
      <c r="U424" s="46" t="str">
        <f t="shared" si="154"/>
        <v/>
      </c>
      <c r="V424" s="46">
        <f t="shared" si="154"/>
        <v>2</v>
      </c>
      <c r="W424" s="46" t="str">
        <f t="shared" si="154"/>
        <v/>
      </c>
      <c r="X424" s="46" t="str">
        <f t="shared" si="154"/>
        <v/>
      </c>
    </row>
    <row r="425" spans="2:24" x14ac:dyDescent="0.25">
      <c r="N425" s="8" t="str">
        <f>IF(R425="x",1,"")</f>
        <v/>
      </c>
      <c r="U425" s="46" t="str">
        <f t="shared" si="154"/>
        <v/>
      </c>
      <c r="V425" s="46" t="str">
        <f t="shared" si="154"/>
        <v/>
      </c>
      <c r="W425" s="46" t="str">
        <f t="shared" si="154"/>
        <v/>
      </c>
      <c r="X425" s="46" t="str">
        <f t="shared" si="154"/>
        <v/>
      </c>
    </row>
    <row r="426" spans="2:24" x14ac:dyDescent="0.25">
      <c r="B426" s="18"/>
      <c r="C426" s="18"/>
      <c r="D426" s="18"/>
      <c r="E426" s="40"/>
      <c r="F426" s="18"/>
      <c r="G426" s="40"/>
      <c r="H426" s="7">
        <f t="shared" ref="H426:N426" si="167">SUM(H421:H425)</f>
        <v>0</v>
      </c>
      <c r="I426" s="7">
        <f t="shared" si="167"/>
        <v>0</v>
      </c>
      <c r="J426" s="7">
        <f>SUM(J421:J425)</f>
        <v>22</v>
      </c>
      <c r="K426" s="7">
        <f t="shared" si="167"/>
        <v>0</v>
      </c>
      <c r="L426" s="7">
        <f t="shared" si="167"/>
        <v>22</v>
      </c>
      <c r="M426" s="7">
        <f t="shared" si="167"/>
        <v>4</v>
      </c>
      <c r="N426" s="7">
        <f t="shared" si="167"/>
        <v>4</v>
      </c>
      <c r="O426" s="18"/>
      <c r="P426" s="13"/>
      <c r="Q426" s="13"/>
      <c r="S426" s="13"/>
      <c r="T426" s="15"/>
      <c r="U426" s="46" t="str">
        <f t="shared" si="154"/>
        <v/>
      </c>
      <c r="V426" s="46" t="str">
        <f t="shared" si="154"/>
        <v/>
      </c>
      <c r="W426" s="46" t="str">
        <f t="shared" si="154"/>
        <v/>
      </c>
      <c r="X426" s="46" t="str">
        <f t="shared" si="154"/>
        <v/>
      </c>
    </row>
    <row r="427" spans="2:24" x14ac:dyDescent="0.25">
      <c r="B427" s="18"/>
      <c r="C427" s="18"/>
      <c r="D427" s="18"/>
      <c r="E427" s="40"/>
      <c r="F427" s="18"/>
      <c r="G427" s="40"/>
      <c r="N427" s="8" t="str">
        <f>IF(R427="x",1,"")</f>
        <v/>
      </c>
      <c r="O427" s="18"/>
      <c r="P427" s="13"/>
      <c r="Q427" s="13"/>
      <c r="R427" s="13"/>
      <c r="S427" s="13"/>
      <c r="T427" s="15"/>
      <c r="U427" s="46" t="str">
        <f t="shared" si="154"/>
        <v/>
      </c>
      <c r="V427" s="46" t="str">
        <f t="shared" si="154"/>
        <v/>
      </c>
      <c r="W427" s="46" t="str">
        <f t="shared" si="154"/>
        <v/>
      </c>
      <c r="X427" s="46" t="str">
        <f t="shared" si="154"/>
        <v/>
      </c>
    </row>
    <row r="428" spans="2:24" x14ac:dyDescent="0.25">
      <c r="B428" s="18"/>
      <c r="C428" s="18"/>
      <c r="D428" s="18"/>
      <c r="E428" s="40"/>
      <c r="F428" s="18"/>
      <c r="G428" s="40"/>
      <c r="N428" s="8" t="str">
        <f>IF(R428="x",1,"")</f>
        <v/>
      </c>
      <c r="O428" s="18"/>
      <c r="P428" s="13"/>
      <c r="Q428" s="13"/>
      <c r="R428" s="13"/>
      <c r="S428" s="13"/>
      <c r="T428" s="15"/>
      <c r="U428" s="46" t="str">
        <f t="shared" si="154"/>
        <v/>
      </c>
      <c r="V428" s="46" t="str">
        <f t="shared" si="154"/>
        <v/>
      </c>
      <c r="W428" s="46" t="str">
        <f t="shared" si="154"/>
        <v/>
      </c>
      <c r="X428" s="46" t="str">
        <f t="shared" si="154"/>
        <v/>
      </c>
    </row>
    <row r="429" spans="2:24" x14ac:dyDescent="0.25">
      <c r="B429" s="11" t="str">
        <f>CONCATENATE("AURA","-",LEFT(P429,2),UPPER(MID(P429,4,3)),RIGHT(P429,4))</f>
        <v>AURA-24SEP1896</v>
      </c>
      <c r="C429" s="11" t="s">
        <v>4041</v>
      </c>
      <c r="D429" s="11" t="s">
        <v>2097</v>
      </c>
      <c r="F429" s="11" t="s">
        <v>1700</v>
      </c>
      <c r="G429" s="39" t="s">
        <v>5659</v>
      </c>
      <c r="H429" s="7">
        <v>0</v>
      </c>
      <c r="I429" s="7">
        <v>3</v>
      </c>
      <c r="J429" s="17">
        <v>0</v>
      </c>
      <c r="K429" s="17"/>
      <c r="L429" s="7">
        <f>SUM(H429:K429)</f>
        <v>3</v>
      </c>
      <c r="M429" s="8">
        <v>1</v>
      </c>
      <c r="N429" s="8">
        <f>IF(L429&gt;0,1,"")</f>
        <v>1</v>
      </c>
      <c r="O429" s="11" t="s">
        <v>1702</v>
      </c>
      <c r="P429" s="16" t="str">
        <f>IF(LEN(G429)=10,CONCATENATE("0",G429),G429)</f>
        <v>24-Sep-1896</v>
      </c>
      <c r="R429" s="16" t="str">
        <f t="shared" ref="R429:S431" si="168">IF($L429&gt;0,"x","")</f>
        <v>x</v>
      </c>
      <c r="S429" s="16" t="str">
        <f t="shared" si="168"/>
        <v>x</v>
      </c>
      <c r="U429" s="46" t="str">
        <f t="shared" si="154"/>
        <v/>
      </c>
      <c r="V429" s="46">
        <f t="shared" si="154"/>
        <v>3</v>
      </c>
      <c r="W429" s="46" t="str">
        <f t="shared" si="154"/>
        <v/>
      </c>
      <c r="X429" s="46" t="str">
        <f t="shared" si="154"/>
        <v/>
      </c>
    </row>
    <row r="430" spans="2:24" x14ac:dyDescent="0.25">
      <c r="B430" s="11" t="str">
        <f>CONCATENATE("AURA","-",LEFT(P430,2),UPPER(MID(P430,4,3)),RIGHT(P430,4))</f>
        <v>AURA-08FEB1897</v>
      </c>
      <c r="C430" s="11" t="s">
        <v>4041</v>
      </c>
      <c r="D430" s="11" t="s">
        <v>2097</v>
      </c>
      <c r="F430" s="11" t="s">
        <v>1700</v>
      </c>
      <c r="G430" s="39" t="s">
        <v>542</v>
      </c>
      <c r="H430" s="7">
        <v>0</v>
      </c>
      <c r="I430" s="7">
        <v>0</v>
      </c>
      <c r="J430" s="17">
        <v>6</v>
      </c>
      <c r="K430" s="17"/>
      <c r="L430" s="7">
        <f>SUM(H430:K430)</f>
        <v>6</v>
      </c>
      <c r="M430" s="8">
        <v>1</v>
      </c>
      <c r="N430" s="8">
        <f>IF(L430&gt;0,1,"")</f>
        <v>1</v>
      </c>
      <c r="O430" s="11" t="s">
        <v>1702</v>
      </c>
      <c r="P430" s="16" t="str">
        <f>IF(LEN(G430)=10,CONCATENATE("0",G430),G430)</f>
        <v>08-Feb-1897</v>
      </c>
      <c r="R430" s="16" t="str">
        <f t="shared" si="168"/>
        <v>x</v>
      </c>
      <c r="S430" s="16" t="str">
        <f t="shared" si="168"/>
        <v>x</v>
      </c>
      <c r="U430" s="46" t="str">
        <f t="shared" ref="U430:X431" si="169">IF($O430=U$5,$L430,"")</f>
        <v/>
      </c>
      <c r="V430" s="46">
        <f t="shared" si="169"/>
        <v>6</v>
      </c>
      <c r="W430" s="46" t="str">
        <f t="shared" si="169"/>
        <v/>
      </c>
      <c r="X430" s="46" t="str">
        <f t="shared" si="169"/>
        <v/>
      </c>
    </row>
    <row r="431" spans="2:24" x14ac:dyDescent="0.25">
      <c r="B431" s="11" t="str">
        <f>CONCATENATE("AURA","-",LEFT(P431,2),UPPER(MID(P431,4,3)),RIGHT(P431,4))</f>
        <v>AURA-14MAR1926</v>
      </c>
      <c r="C431" s="11" t="s">
        <v>4041</v>
      </c>
      <c r="D431" s="11" t="s">
        <v>2097</v>
      </c>
      <c r="E431" s="39" t="s">
        <v>5897</v>
      </c>
      <c r="F431" s="11" t="s">
        <v>2904</v>
      </c>
      <c r="G431" s="39" t="s">
        <v>5898</v>
      </c>
      <c r="H431" s="7">
        <v>0</v>
      </c>
      <c r="J431" s="17">
        <v>1</v>
      </c>
      <c r="K431" s="17"/>
      <c r="L431" s="7">
        <f>SUM(H431:K431)</f>
        <v>1</v>
      </c>
      <c r="M431" s="8">
        <v>1</v>
      </c>
      <c r="N431" s="8">
        <f>IF(L431&gt;0,1,"")</f>
        <v>1</v>
      </c>
      <c r="O431" s="11" t="s">
        <v>1702</v>
      </c>
      <c r="P431" s="16" t="str">
        <f>IF(LEN(G431)=10,CONCATENATE("0",G431),G431)</f>
        <v>14-Mar-1926</v>
      </c>
      <c r="R431" s="16" t="str">
        <f t="shared" si="168"/>
        <v>x</v>
      </c>
      <c r="S431" s="16" t="str">
        <f t="shared" si="168"/>
        <v>x</v>
      </c>
      <c r="U431" s="46" t="str">
        <f t="shared" si="169"/>
        <v/>
      </c>
      <c r="V431" s="46">
        <f t="shared" si="169"/>
        <v>1</v>
      </c>
      <c r="W431" s="46" t="str">
        <f t="shared" si="169"/>
        <v/>
      </c>
      <c r="X431" s="46" t="str">
        <f t="shared" si="169"/>
        <v/>
      </c>
    </row>
    <row r="432" spans="2:24" x14ac:dyDescent="0.25">
      <c r="N432" s="8" t="str">
        <f>IF(R432="x",1,"")</f>
        <v/>
      </c>
      <c r="U432" s="46" t="str">
        <f t="shared" si="154"/>
        <v/>
      </c>
      <c r="V432" s="46" t="str">
        <f t="shared" si="154"/>
        <v/>
      </c>
      <c r="W432" s="46" t="str">
        <f t="shared" si="154"/>
        <v/>
      </c>
      <c r="X432" s="46" t="str">
        <f t="shared" si="154"/>
        <v/>
      </c>
    </row>
    <row r="433" spans="2:24" x14ac:dyDescent="0.25">
      <c r="B433" s="18"/>
      <c r="C433" s="18"/>
      <c r="D433" s="18"/>
      <c r="E433" s="40"/>
      <c r="F433" s="18"/>
      <c r="G433" s="40"/>
      <c r="H433" s="7">
        <f t="shared" ref="H433:N433" si="170">SUM(H429:H432)</f>
        <v>0</v>
      </c>
      <c r="I433" s="7">
        <f t="shared" si="170"/>
        <v>3</v>
      </c>
      <c r="J433" s="7">
        <f>SUM(J429:J432)</f>
        <v>7</v>
      </c>
      <c r="K433" s="7">
        <f t="shared" si="170"/>
        <v>0</v>
      </c>
      <c r="L433" s="7">
        <f t="shared" si="170"/>
        <v>10</v>
      </c>
      <c r="M433" s="7">
        <f t="shared" si="170"/>
        <v>3</v>
      </c>
      <c r="N433" s="7">
        <f t="shared" si="170"/>
        <v>3</v>
      </c>
      <c r="O433" s="18"/>
      <c r="P433" s="13"/>
      <c r="Q433" s="13"/>
      <c r="S433" s="13"/>
      <c r="T433" s="15"/>
      <c r="U433" s="46" t="str">
        <f t="shared" si="154"/>
        <v/>
      </c>
      <c r="V433" s="46" t="str">
        <f t="shared" si="154"/>
        <v/>
      </c>
      <c r="W433" s="46" t="str">
        <f t="shared" si="154"/>
        <v/>
      </c>
      <c r="X433" s="46" t="str">
        <f t="shared" si="154"/>
        <v/>
      </c>
    </row>
    <row r="434" spans="2:24" x14ac:dyDescent="0.25">
      <c r="B434" s="18"/>
      <c r="C434" s="18"/>
      <c r="D434" s="18"/>
      <c r="E434" s="40"/>
      <c r="F434" s="18"/>
      <c r="G434" s="40"/>
      <c r="N434" s="8" t="str">
        <f>IF(R434="x",1,"")</f>
        <v/>
      </c>
      <c r="O434" s="18"/>
      <c r="P434" s="13"/>
      <c r="Q434" s="13"/>
      <c r="R434" s="13"/>
      <c r="S434" s="13"/>
      <c r="T434" s="15"/>
      <c r="U434" s="46" t="str">
        <f t="shared" si="154"/>
        <v/>
      </c>
      <c r="V434" s="46" t="str">
        <f t="shared" si="154"/>
        <v/>
      </c>
      <c r="W434" s="46" t="str">
        <f t="shared" si="154"/>
        <v/>
      </c>
      <c r="X434" s="46" t="str">
        <f t="shared" si="154"/>
        <v/>
      </c>
    </row>
    <row r="435" spans="2:24" x14ac:dyDescent="0.25">
      <c r="B435" s="18"/>
      <c r="C435" s="18"/>
      <c r="D435" s="18"/>
      <c r="E435" s="40"/>
      <c r="F435" s="18"/>
      <c r="G435" s="40"/>
      <c r="N435" s="8" t="str">
        <f>IF(R435="x",1,"")</f>
        <v/>
      </c>
      <c r="O435" s="18"/>
      <c r="P435" s="13"/>
      <c r="Q435" s="13"/>
      <c r="R435" s="13"/>
      <c r="S435" s="13"/>
      <c r="T435" s="15"/>
      <c r="U435" s="46" t="str">
        <f t="shared" si="154"/>
        <v/>
      </c>
      <c r="V435" s="46" t="str">
        <f t="shared" si="154"/>
        <v/>
      </c>
      <c r="W435" s="46" t="str">
        <f t="shared" si="154"/>
        <v/>
      </c>
      <c r="X435" s="46" t="str">
        <f t="shared" si="154"/>
        <v/>
      </c>
    </row>
    <row r="436" spans="2:24" x14ac:dyDescent="0.25">
      <c r="B436" s="11" t="str">
        <f>CONCATENATE("AUSO","-",LEFT(P436,2),UPPER(MID(P436,4,3)),RIGHT(P436,4))</f>
        <v>AUSO-07DEC1913</v>
      </c>
      <c r="C436" s="11" t="s">
        <v>3687</v>
      </c>
      <c r="D436" s="11" t="s">
        <v>1699</v>
      </c>
      <c r="E436" s="39" t="s">
        <v>3630</v>
      </c>
      <c r="F436" s="11" t="s">
        <v>1700</v>
      </c>
      <c r="G436" s="39" t="s">
        <v>5534</v>
      </c>
      <c r="J436" s="17">
        <v>24</v>
      </c>
      <c r="K436" s="17"/>
      <c r="L436" s="7">
        <f>SUM(H436:K436)</f>
        <v>24</v>
      </c>
      <c r="M436" s="8">
        <v>1</v>
      </c>
      <c r="N436" s="8">
        <f>IF(L436&gt;0,1,"")</f>
        <v>1</v>
      </c>
      <c r="O436" s="11" t="s">
        <v>1702</v>
      </c>
      <c r="P436" s="16" t="str">
        <f>IF(LEN(G436)=10,CONCATENATE("0",G436),G436)</f>
        <v>07-Dec-1913</v>
      </c>
      <c r="R436" s="16" t="str">
        <f t="shared" ref="R436:S439" si="171">IF($L436&gt;0,"x","")</f>
        <v>x</v>
      </c>
      <c r="S436" s="16" t="str">
        <f t="shared" si="171"/>
        <v>x</v>
      </c>
      <c r="U436" s="46" t="str">
        <f>IF($O436=U$5,$L436,"")</f>
        <v/>
      </c>
      <c r="V436" s="46">
        <f>IF($O436=V$5,$L436,"")</f>
        <v>24</v>
      </c>
      <c r="W436" s="46" t="str">
        <f>IF($O436=W$5,$L436,"")</f>
        <v/>
      </c>
      <c r="X436" s="46" t="str">
        <f>IF($O436=X$5,$L436,"")</f>
        <v/>
      </c>
    </row>
    <row r="437" spans="2:24" x14ac:dyDescent="0.25">
      <c r="B437" s="11" t="str">
        <f>CONCATENATE("AUSO","-",LEFT(P437,2),UPPER(MID(P437,4,3)),RIGHT(P437,4))</f>
        <v>AUSO-29NOV1923</v>
      </c>
      <c r="C437" s="11" t="s">
        <v>3687</v>
      </c>
      <c r="D437" s="11" t="s">
        <v>2224</v>
      </c>
      <c r="E437" s="39" t="s">
        <v>3689</v>
      </c>
      <c r="F437" s="11" t="s">
        <v>2904</v>
      </c>
      <c r="G437" s="39" t="s">
        <v>3688</v>
      </c>
      <c r="J437" s="17">
        <v>6</v>
      </c>
      <c r="K437" s="17"/>
      <c r="L437" s="7">
        <f>SUM(H437:K437)</f>
        <v>6</v>
      </c>
      <c r="M437" s="8">
        <v>1</v>
      </c>
      <c r="N437" s="8">
        <f>IF(L437&gt;0,1,"")</f>
        <v>1</v>
      </c>
      <c r="O437" s="11" t="s">
        <v>1702</v>
      </c>
      <c r="P437" s="16" t="str">
        <f>IF(LEN(G437)=10,CONCATENATE("0",G437),G437)</f>
        <v>29-Nov-1923</v>
      </c>
      <c r="R437" s="16" t="str">
        <f t="shared" si="171"/>
        <v>x</v>
      </c>
      <c r="S437" s="16" t="str">
        <f t="shared" si="171"/>
        <v>x</v>
      </c>
      <c r="U437" s="46" t="str">
        <f t="shared" si="154"/>
        <v/>
      </c>
      <c r="V437" s="46">
        <f t="shared" si="154"/>
        <v>6</v>
      </c>
      <c r="W437" s="46" t="str">
        <f t="shared" si="154"/>
        <v/>
      </c>
      <c r="X437" s="46" t="str">
        <f t="shared" si="154"/>
        <v/>
      </c>
    </row>
    <row r="438" spans="2:24" x14ac:dyDescent="0.25">
      <c r="B438" s="11" t="str">
        <f>CONCATENATE("AUSO","-",LEFT(P438,2),UPPER(MID(P438,4,3)),RIGHT(P438,4))</f>
        <v>AUSO-03APR1925</v>
      </c>
      <c r="C438" s="11" t="s">
        <v>3687</v>
      </c>
      <c r="D438" s="11" t="s">
        <v>3894</v>
      </c>
      <c r="E438" s="39" t="s">
        <v>11413</v>
      </c>
      <c r="F438" s="11" t="s">
        <v>2904</v>
      </c>
      <c r="G438" s="39" t="s">
        <v>11408</v>
      </c>
      <c r="H438" s="7">
        <v>0</v>
      </c>
      <c r="J438" s="17">
        <v>0</v>
      </c>
      <c r="K438" s="17"/>
      <c r="L438" s="7">
        <f>SUM(H438:K438)</f>
        <v>0</v>
      </c>
      <c r="M438" s="8">
        <v>1</v>
      </c>
      <c r="N438" s="8" t="str">
        <f>IF(L438&gt;0,1,"")</f>
        <v/>
      </c>
      <c r="O438" s="11" t="s">
        <v>1702</v>
      </c>
      <c r="P438" s="16" t="str">
        <f>IF(LEN(G438)=10,CONCATENATE("0",G438),G438)</f>
        <v>03-Apr-1925</v>
      </c>
      <c r="Q438" s="80"/>
      <c r="U438" s="46" t="str">
        <f t="shared" ref="U438:X439" si="172">IF($O438=U$5,$L438,"")</f>
        <v/>
      </c>
      <c r="V438" s="46">
        <f t="shared" si="172"/>
        <v>0</v>
      </c>
      <c r="W438" s="46" t="str">
        <f t="shared" si="172"/>
        <v/>
      </c>
      <c r="X438" s="46" t="str">
        <f t="shared" si="172"/>
        <v/>
      </c>
    </row>
    <row r="439" spans="2:24" x14ac:dyDescent="0.25">
      <c r="B439" s="11" t="str">
        <f>CONCATENATE("AUSO","-",LEFT(P439,2),UPPER(MID(P439,4,3)),RIGHT(P439,4))</f>
        <v>AUSO-17MAY1925</v>
      </c>
      <c r="C439" s="11" t="s">
        <v>3687</v>
      </c>
      <c r="D439" s="11" t="s">
        <v>2224</v>
      </c>
      <c r="E439" s="39" t="s">
        <v>11255</v>
      </c>
      <c r="F439" s="11" t="s">
        <v>2813</v>
      </c>
      <c r="G439" s="39" t="s">
        <v>11256</v>
      </c>
      <c r="H439" s="7">
        <v>0</v>
      </c>
      <c r="J439" s="17">
        <v>2</v>
      </c>
      <c r="K439" s="17"/>
      <c r="L439" s="7">
        <f>SUM(H439:K439)</f>
        <v>2</v>
      </c>
      <c r="M439" s="8">
        <v>1</v>
      </c>
      <c r="N439" s="8">
        <f>IF(L439&gt;0,1,"")</f>
        <v>1</v>
      </c>
      <c r="O439" s="11" t="s">
        <v>1702</v>
      </c>
      <c r="P439" s="16" t="str">
        <f>IF(LEN(G439)=10,CONCATENATE("0",G439),G439)</f>
        <v>17-May-1925</v>
      </c>
      <c r="R439" s="16" t="str">
        <f t="shared" si="171"/>
        <v>x</v>
      </c>
      <c r="S439" s="16" t="str">
        <f t="shared" si="171"/>
        <v>x</v>
      </c>
      <c r="U439" s="46" t="str">
        <f t="shared" si="172"/>
        <v/>
      </c>
      <c r="V439" s="46">
        <f t="shared" si="172"/>
        <v>2</v>
      </c>
      <c r="W439" s="46" t="str">
        <f t="shared" si="172"/>
        <v/>
      </c>
      <c r="X439" s="46" t="str">
        <f t="shared" si="172"/>
        <v/>
      </c>
    </row>
    <row r="440" spans="2:24" x14ac:dyDescent="0.25">
      <c r="N440" s="8" t="str">
        <f>IF(R440="x",1,"")</f>
        <v/>
      </c>
      <c r="U440" s="46" t="str">
        <f t="shared" si="154"/>
        <v/>
      </c>
      <c r="V440" s="46" t="str">
        <f t="shared" si="154"/>
        <v/>
      </c>
      <c r="W440" s="46" t="str">
        <f t="shared" si="154"/>
        <v/>
      </c>
      <c r="X440" s="46" t="str">
        <f t="shared" si="154"/>
        <v/>
      </c>
    </row>
    <row r="441" spans="2:24" x14ac:dyDescent="0.25">
      <c r="B441" s="18"/>
      <c r="C441" s="18"/>
      <c r="D441" s="18"/>
      <c r="E441" s="40"/>
      <c r="F441" s="18"/>
      <c r="G441" s="40"/>
      <c r="H441" s="7">
        <f t="shared" ref="H441:N441" si="173">SUM(H436:H440)</f>
        <v>0</v>
      </c>
      <c r="I441" s="7">
        <f t="shared" si="173"/>
        <v>0</v>
      </c>
      <c r="J441" s="7">
        <f>SUM(J436:J440)</f>
        <v>32</v>
      </c>
      <c r="K441" s="7">
        <f t="shared" si="173"/>
        <v>0</v>
      </c>
      <c r="L441" s="7">
        <f t="shared" si="173"/>
        <v>32</v>
      </c>
      <c r="M441" s="7">
        <f t="shared" si="173"/>
        <v>4</v>
      </c>
      <c r="N441" s="7">
        <f t="shared" si="173"/>
        <v>3</v>
      </c>
      <c r="O441" s="18"/>
      <c r="P441" s="13"/>
      <c r="Q441" s="13"/>
      <c r="S441" s="13"/>
      <c r="T441" s="15"/>
      <c r="U441" s="46" t="str">
        <f t="shared" si="154"/>
        <v/>
      </c>
      <c r="V441" s="46" t="str">
        <f t="shared" si="154"/>
        <v/>
      </c>
      <c r="W441" s="46" t="str">
        <f t="shared" si="154"/>
        <v/>
      </c>
      <c r="X441" s="46" t="str">
        <f t="shared" si="154"/>
        <v/>
      </c>
    </row>
    <row r="442" spans="2:24" x14ac:dyDescent="0.25">
      <c r="B442" s="18"/>
      <c r="C442" s="18"/>
      <c r="D442" s="18"/>
      <c r="E442" s="40"/>
      <c r="F442" s="18"/>
      <c r="G442" s="40"/>
      <c r="N442" s="8" t="str">
        <f>IF(R442="x",1,"")</f>
        <v/>
      </c>
      <c r="O442" s="18"/>
      <c r="P442" s="13"/>
      <c r="Q442" s="13"/>
      <c r="R442" s="13"/>
      <c r="S442" s="13"/>
      <c r="T442" s="15"/>
      <c r="U442" s="46" t="str">
        <f t="shared" ref="U442:X446" si="174">IF($O442=U$5,$L442,"")</f>
        <v/>
      </c>
      <c r="V442" s="46" t="str">
        <f t="shared" si="174"/>
        <v/>
      </c>
      <c r="W442" s="46" t="str">
        <f t="shared" si="174"/>
        <v/>
      </c>
      <c r="X442" s="46" t="str">
        <f t="shared" si="174"/>
        <v/>
      </c>
    </row>
    <row r="443" spans="2:24" x14ac:dyDescent="0.25">
      <c r="B443" s="18"/>
      <c r="C443" s="18"/>
      <c r="D443" s="18"/>
      <c r="E443" s="40"/>
      <c r="F443" s="18"/>
      <c r="G443" s="40"/>
      <c r="N443" s="8" t="str">
        <f>IF(R443="x",1,"")</f>
        <v/>
      </c>
      <c r="O443" s="18"/>
      <c r="P443" s="13"/>
      <c r="Q443" s="13"/>
      <c r="R443" s="13"/>
      <c r="S443" s="13"/>
      <c r="T443" s="15"/>
      <c r="U443" s="46" t="str">
        <f t="shared" si="174"/>
        <v/>
      </c>
      <c r="V443" s="46" t="str">
        <f t="shared" si="174"/>
        <v/>
      </c>
      <c r="W443" s="46" t="str">
        <f t="shared" si="174"/>
        <v/>
      </c>
      <c r="X443" s="46" t="str">
        <f t="shared" si="174"/>
        <v/>
      </c>
    </row>
    <row r="444" spans="2:24" x14ac:dyDescent="0.25">
      <c r="B444" s="11" t="str">
        <f>CONCATENATE("ASTR","-",LEFT(P444,2),UPPER(MID(P444,4,3)),RIGHT(P444,4))</f>
        <v>ASTR-14SEP1901</v>
      </c>
      <c r="C444" s="11" t="s">
        <v>5437</v>
      </c>
      <c r="D444" s="11" t="s">
        <v>2097</v>
      </c>
      <c r="E444" s="39" t="s">
        <v>3595</v>
      </c>
      <c r="F444" s="11" t="s">
        <v>2813</v>
      </c>
      <c r="G444" s="39" t="s">
        <v>5438</v>
      </c>
      <c r="J444" s="17">
        <v>4</v>
      </c>
      <c r="K444" s="17"/>
      <c r="L444" s="7">
        <f>SUM(H444:K444)</f>
        <v>4</v>
      </c>
      <c r="M444" s="8">
        <v>1</v>
      </c>
      <c r="N444" s="8">
        <f>IF(L444&gt;0,1,"")</f>
        <v>1</v>
      </c>
      <c r="O444" s="11" t="s">
        <v>1702</v>
      </c>
      <c r="P444" s="16" t="str">
        <f>IF(LEN(G444)=10,CONCATENATE("0",G444),G444)</f>
        <v>14-Sep-1901</v>
      </c>
      <c r="R444" s="16" t="str">
        <f>IF($L444&gt;0,"x","")</f>
        <v>x</v>
      </c>
      <c r="S444" s="16" t="str">
        <f>IF($L444&gt;0,"x","")</f>
        <v>x</v>
      </c>
      <c r="U444" s="46" t="str">
        <f t="shared" si="174"/>
        <v/>
      </c>
      <c r="V444" s="46">
        <f t="shared" si="174"/>
        <v>4</v>
      </c>
      <c r="W444" s="46" t="str">
        <f t="shared" si="174"/>
        <v/>
      </c>
      <c r="X444" s="46" t="str">
        <f t="shared" si="174"/>
        <v/>
      </c>
    </row>
    <row r="445" spans="2:24" x14ac:dyDescent="0.25">
      <c r="N445" s="8" t="str">
        <f>IF(R445="x",1,"")</f>
        <v/>
      </c>
      <c r="U445" s="46" t="str">
        <f t="shared" si="174"/>
        <v/>
      </c>
      <c r="V445" s="46" t="str">
        <f t="shared" si="174"/>
        <v/>
      </c>
      <c r="W445" s="46" t="str">
        <f t="shared" si="174"/>
        <v/>
      </c>
      <c r="X445" s="46" t="str">
        <f t="shared" si="174"/>
        <v/>
      </c>
    </row>
    <row r="446" spans="2:24" x14ac:dyDescent="0.25">
      <c r="B446" s="18"/>
      <c r="C446" s="18"/>
      <c r="D446" s="18"/>
      <c r="E446" s="40"/>
      <c r="F446" s="18"/>
      <c r="G446" s="40"/>
      <c r="H446" s="7">
        <f t="shared" ref="H446:N446" si="175">SUM(H444:H445)</f>
        <v>0</v>
      </c>
      <c r="I446" s="7">
        <f t="shared" si="175"/>
        <v>0</v>
      </c>
      <c r="J446" s="7">
        <f>SUM(J444:J445)</f>
        <v>4</v>
      </c>
      <c r="K446" s="7">
        <f t="shared" si="175"/>
        <v>0</v>
      </c>
      <c r="L446" s="7">
        <f t="shared" si="175"/>
        <v>4</v>
      </c>
      <c r="M446" s="7">
        <f t="shared" si="175"/>
        <v>1</v>
      </c>
      <c r="N446" s="7">
        <f t="shared" si="175"/>
        <v>1</v>
      </c>
      <c r="O446" s="18"/>
      <c r="P446" s="13"/>
      <c r="Q446" s="13"/>
      <c r="S446" s="13"/>
      <c r="T446" s="15"/>
      <c r="U446" s="46" t="str">
        <f t="shared" si="174"/>
        <v/>
      </c>
      <c r="V446" s="46" t="str">
        <f t="shared" si="174"/>
        <v/>
      </c>
      <c r="W446" s="46" t="str">
        <f t="shared" si="174"/>
        <v/>
      </c>
      <c r="X446" s="46" t="str">
        <f t="shared" si="174"/>
        <v/>
      </c>
    </row>
    <row r="447" spans="2:24" x14ac:dyDescent="0.25">
      <c r="B447" s="18"/>
      <c r="C447" s="18"/>
      <c r="D447" s="18"/>
      <c r="E447" s="40"/>
      <c r="F447" s="18"/>
      <c r="G447" s="40"/>
      <c r="N447" s="8" t="str">
        <f>IF(R447="x",1,"")</f>
        <v/>
      </c>
      <c r="O447" s="18"/>
      <c r="P447" s="13"/>
      <c r="Q447" s="13"/>
      <c r="R447" s="13"/>
      <c r="S447" s="13"/>
      <c r="T447" s="15"/>
      <c r="U447" s="46" t="str">
        <f t="shared" si="154"/>
        <v/>
      </c>
      <c r="V447" s="46" t="str">
        <f t="shared" si="154"/>
        <v/>
      </c>
      <c r="W447" s="46" t="str">
        <f t="shared" si="154"/>
        <v/>
      </c>
      <c r="X447" s="46" t="str">
        <f t="shared" si="154"/>
        <v/>
      </c>
    </row>
    <row r="448" spans="2:24" x14ac:dyDescent="0.25">
      <c r="B448" s="18"/>
      <c r="C448" s="18"/>
      <c r="D448" s="18"/>
      <c r="E448" s="40"/>
      <c r="F448" s="18"/>
      <c r="G448" s="40"/>
      <c r="N448" s="8" t="str">
        <f>IF(R448="x",1,"")</f>
        <v/>
      </c>
      <c r="O448" s="18"/>
      <c r="P448" s="13"/>
      <c r="Q448" s="13"/>
      <c r="R448" s="13"/>
      <c r="S448" s="13"/>
      <c r="T448" s="15"/>
      <c r="U448" s="46" t="str">
        <f t="shared" si="154"/>
        <v/>
      </c>
      <c r="V448" s="46" t="str">
        <f t="shared" si="154"/>
        <v/>
      </c>
      <c r="W448" s="46" t="str">
        <f t="shared" si="154"/>
        <v/>
      </c>
      <c r="X448" s="46" t="str">
        <f t="shared" si="154"/>
        <v/>
      </c>
    </row>
    <row r="449" spans="2:24" x14ac:dyDescent="0.25">
      <c r="B449" s="11" t="str">
        <f>CONCATENATE("AUST","-",LEFT(P449,2),UPPER(MID(P449,4,3)),RIGHT(P449,4))</f>
        <v>AUST-08NOV1884</v>
      </c>
      <c r="C449" s="11" t="s">
        <v>4272</v>
      </c>
      <c r="D449" s="11" t="s">
        <v>3134</v>
      </c>
      <c r="F449" s="11" t="s">
        <v>1700</v>
      </c>
      <c r="G449" s="39" t="s">
        <v>4273</v>
      </c>
      <c r="J449" s="17">
        <v>3</v>
      </c>
      <c r="K449" s="17"/>
      <c r="L449" s="7">
        <f>SUM(H449:K449)</f>
        <v>3</v>
      </c>
      <c r="M449" s="8">
        <v>1</v>
      </c>
      <c r="N449" s="8">
        <f>IF(L449&gt;0,1,"")</f>
        <v>1</v>
      </c>
      <c r="O449" s="11" t="s">
        <v>1702</v>
      </c>
      <c r="P449" s="16" t="str">
        <f>IF(LEN(G449)=10,CONCATENATE("0",G449),G449)</f>
        <v>08-Nov-1884</v>
      </c>
      <c r="R449" s="16" t="str">
        <f>IF($L449&gt;0,"x","")</f>
        <v>x</v>
      </c>
      <c r="S449" s="16" t="str">
        <f>IF($L449&gt;0,"x","")</f>
        <v>x</v>
      </c>
      <c r="U449" s="46" t="str">
        <f t="shared" si="154"/>
        <v/>
      </c>
      <c r="V449" s="46">
        <f t="shared" si="154"/>
        <v>3</v>
      </c>
      <c r="W449" s="46" t="str">
        <f t="shared" si="154"/>
        <v/>
      </c>
      <c r="X449" s="46" t="str">
        <f t="shared" si="154"/>
        <v/>
      </c>
    </row>
    <row r="450" spans="2:24" x14ac:dyDescent="0.25">
      <c r="N450" s="8" t="str">
        <f>IF(R450="x",1,"")</f>
        <v/>
      </c>
      <c r="U450" s="46" t="str">
        <f t="shared" si="154"/>
        <v/>
      </c>
      <c r="V450" s="46" t="str">
        <f t="shared" si="154"/>
        <v/>
      </c>
      <c r="W450" s="46" t="str">
        <f t="shared" si="154"/>
        <v/>
      </c>
      <c r="X450" s="46" t="str">
        <f t="shared" si="154"/>
        <v/>
      </c>
    </row>
    <row r="451" spans="2:24" x14ac:dyDescent="0.25">
      <c r="B451" s="18"/>
      <c r="C451" s="18"/>
      <c r="D451" s="18"/>
      <c r="E451" s="40"/>
      <c r="F451" s="18"/>
      <c r="G451" s="40"/>
      <c r="H451" s="7">
        <f t="shared" ref="H451:N451" si="176">SUM(H449:H450)</f>
        <v>0</v>
      </c>
      <c r="I451" s="7">
        <f t="shared" si="176"/>
        <v>0</v>
      </c>
      <c r="J451" s="7">
        <f>SUM(J449:J450)</f>
        <v>3</v>
      </c>
      <c r="K451" s="7">
        <f t="shared" si="176"/>
        <v>0</v>
      </c>
      <c r="L451" s="7">
        <f t="shared" si="176"/>
        <v>3</v>
      </c>
      <c r="M451" s="7">
        <f t="shared" si="176"/>
        <v>1</v>
      </c>
      <c r="N451" s="7">
        <f t="shared" si="176"/>
        <v>1</v>
      </c>
      <c r="O451" s="18"/>
      <c r="P451" s="13"/>
      <c r="Q451" s="13"/>
      <c r="S451" s="13"/>
      <c r="T451" s="15"/>
      <c r="U451" s="46" t="str">
        <f t="shared" si="154"/>
        <v/>
      </c>
      <c r="V451" s="46" t="str">
        <f t="shared" si="154"/>
        <v/>
      </c>
      <c r="W451" s="46" t="str">
        <f t="shared" si="154"/>
        <v/>
      </c>
      <c r="X451" s="46" t="str">
        <f t="shared" si="154"/>
        <v/>
      </c>
    </row>
    <row r="452" spans="2:24" x14ac:dyDescent="0.25">
      <c r="B452" s="18"/>
      <c r="C452" s="18"/>
      <c r="D452" s="18"/>
      <c r="E452" s="40"/>
      <c r="F452" s="18"/>
      <c r="G452" s="40"/>
      <c r="N452" s="8" t="str">
        <f>IF(R452="x",1,"")</f>
        <v/>
      </c>
      <c r="O452" s="18"/>
      <c r="P452" s="13"/>
      <c r="Q452" s="13"/>
      <c r="R452" s="13"/>
      <c r="S452" s="13"/>
      <c r="T452" s="15"/>
      <c r="U452" s="46" t="str">
        <f t="shared" ref="U452:X456" si="177">IF($O452=U$5,$L452,"")</f>
        <v/>
      </c>
      <c r="V452" s="46" t="str">
        <f t="shared" si="177"/>
        <v/>
      </c>
      <c r="W452" s="46" t="str">
        <f t="shared" si="177"/>
        <v/>
      </c>
      <c r="X452" s="46" t="str">
        <f t="shared" si="177"/>
        <v/>
      </c>
    </row>
    <row r="453" spans="2:24" x14ac:dyDescent="0.25">
      <c r="B453" s="18"/>
      <c r="C453" s="18"/>
      <c r="D453" s="18"/>
      <c r="E453" s="40"/>
      <c r="F453" s="18"/>
      <c r="G453" s="40"/>
      <c r="N453" s="8" t="str">
        <f>IF(R453="x",1,"")</f>
        <v/>
      </c>
      <c r="O453" s="18"/>
      <c r="P453" s="13"/>
      <c r="Q453" s="13"/>
      <c r="R453" s="13"/>
      <c r="S453" s="13"/>
      <c r="T453" s="15"/>
      <c r="U453" s="46" t="str">
        <f t="shared" si="177"/>
        <v/>
      </c>
      <c r="V453" s="46" t="str">
        <f t="shared" si="177"/>
        <v/>
      </c>
      <c r="W453" s="46" t="str">
        <f t="shared" si="177"/>
        <v/>
      </c>
      <c r="X453" s="46" t="str">
        <f t="shared" si="177"/>
        <v/>
      </c>
    </row>
    <row r="454" spans="2:24" x14ac:dyDescent="0.25">
      <c r="B454" s="11" t="str">
        <f>CONCATENATE("AVOC","-",LEFT(P454,2),UPPER(MID(P454,4,3)),RIGHT(P454,4))</f>
        <v>AVOC-17APR1908</v>
      </c>
      <c r="C454" s="11" t="s">
        <v>3409</v>
      </c>
      <c r="D454" s="11" t="s">
        <v>2097</v>
      </c>
      <c r="E454" s="39" t="s">
        <v>90</v>
      </c>
      <c r="F454" s="11" t="s">
        <v>2904</v>
      </c>
      <c r="G454" s="39" t="s">
        <v>3410</v>
      </c>
      <c r="J454" s="17">
        <v>1</v>
      </c>
      <c r="K454" s="17"/>
      <c r="L454" s="7">
        <f>SUM(H454:K454)</f>
        <v>1</v>
      </c>
      <c r="M454" s="8">
        <v>1</v>
      </c>
      <c r="N454" s="8">
        <f>IF(L454&gt;0,1,"")</f>
        <v>1</v>
      </c>
      <c r="O454" s="11" t="s">
        <v>1702</v>
      </c>
      <c r="P454" s="16" t="str">
        <f>IF(LEN(G454)=10,CONCATENATE("0",G454),G454)</f>
        <v>17-Apr-1908</v>
      </c>
      <c r="R454" s="16" t="str">
        <f>IF($L454&gt;0,"x","")</f>
        <v>x</v>
      </c>
      <c r="S454" s="16" t="str">
        <f>IF($L454&gt;0,"x","")</f>
        <v>x</v>
      </c>
      <c r="U454" s="46" t="str">
        <f t="shared" si="177"/>
        <v/>
      </c>
      <c r="V454" s="46">
        <f t="shared" si="177"/>
        <v>1</v>
      </c>
      <c r="W454" s="46" t="str">
        <f t="shared" si="177"/>
        <v/>
      </c>
      <c r="X454" s="46" t="str">
        <f t="shared" si="177"/>
        <v/>
      </c>
    </row>
    <row r="455" spans="2:24" x14ac:dyDescent="0.25">
      <c r="N455" s="8" t="str">
        <f>IF(R455="x",1,"")</f>
        <v/>
      </c>
      <c r="U455" s="46" t="str">
        <f t="shared" si="177"/>
        <v/>
      </c>
      <c r="V455" s="46" t="str">
        <f t="shared" si="177"/>
        <v/>
      </c>
      <c r="W455" s="46" t="str">
        <f t="shared" si="177"/>
        <v/>
      </c>
      <c r="X455" s="46" t="str">
        <f t="shared" si="177"/>
        <v/>
      </c>
    </row>
    <row r="456" spans="2:24" x14ac:dyDescent="0.25">
      <c r="B456" s="18"/>
      <c r="C456" s="18"/>
      <c r="D456" s="18"/>
      <c r="E456" s="40"/>
      <c r="F456" s="18"/>
      <c r="G456" s="40"/>
      <c r="H456" s="7">
        <f t="shared" ref="H456:N456" si="178">SUM(H454:H455)</f>
        <v>0</v>
      </c>
      <c r="I456" s="7">
        <f t="shared" si="178"/>
        <v>0</v>
      </c>
      <c r="J456" s="7">
        <f>SUM(J454:J455)</f>
        <v>1</v>
      </c>
      <c r="K456" s="7">
        <f t="shared" si="178"/>
        <v>0</v>
      </c>
      <c r="L456" s="7">
        <f t="shared" si="178"/>
        <v>1</v>
      </c>
      <c r="M456" s="7">
        <f t="shared" si="178"/>
        <v>1</v>
      </c>
      <c r="N456" s="7">
        <f t="shared" si="178"/>
        <v>1</v>
      </c>
      <c r="O456" s="18"/>
      <c r="P456" s="13"/>
      <c r="Q456" s="13"/>
      <c r="S456" s="13"/>
      <c r="T456" s="15"/>
      <c r="U456" s="46" t="str">
        <f t="shared" si="177"/>
        <v/>
      </c>
      <c r="V456" s="46" t="str">
        <f t="shared" si="177"/>
        <v/>
      </c>
      <c r="W456" s="46" t="str">
        <f t="shared" si="177"/>
        <v/>
      </c>
      <c r="X456" s="46" t="str">
        <f t="shared" si="177"/>
        <v/>
      </c>
    </row>
    <row r="457" spans="2:24" x14ac:dyDescent="0.25">
      <c r="B457" s="18"/>
      <c r="C457" s="18"/>
      <c r="D457" s="18"/>
      <c r="E457" s="40"/>
      <c r="F457" s="18"/>
      <c r="G457" s="40"/>
      <c r="N457" s="8" t="str">
        <f>IF(R457="x",1,"")</f>
        <v/>
      </c>
      <c r="O457" s="18"/>
      <c r="P457" s="13"/>
      <c r="Q457" s="13"/>
      <c r="R457" s="13"/>
      <c r="S457" s="13"/>
      <c r="T457" s="15"/>
      <c r="U457" s="46" t="str">
        <f t="shared" si="154"/>
        <v/>
      </c>
      <c r="V457" s="46" t="str">
        <f t="shared" si="154"/>
        <v/>
      </c>
      <c r="W457" s="46" t="str">
        <f t="shared" si="154"/>
        <v/>
      </c>
      <c r="X457" s="46" t="str">
        <f t="shared" si="154"/>
        <v/>
      </c>
    </row>
    <row r="458" spans="2:24" x14ac:dyDescent="0.25">
      <c r="B458" s="18"/>
      <c r="C458" s="18"/>
      <c r="D458" s="18"/>
      <c r="E458" s="40"/>
      <c r="F458" s="18"/>
      <c r="G458" s="40"/>
      <c r="N458" s="8" t="str">
        <f>IF(R458="x",1,"")</f>
        <v/>
      </c>
      <c r="O458" s="18"/>
      <c r="P458" s="13"/>
      <c r="Q458" s="13"/>
      <c r="R458" s="13"/>
      <c r="S458" s="13"/>
      <c r="T458" s="15"/>
      <c r="U458" s="46" t="str">
        <f t="shared" si="154"/>
        <v/>
      </c>
      <c r="V458" s="46" t="str">
        <f t="shared" si="154"/>
        <v/>
      </c>
      <c r="W458" s="46" t="str">
        <f t="shared" si="154"/>
        <v/>
      </c>
      <c r="X458" s="46" t="str">
        <f t="shared" si="154"/>
        <v/>
      </c>
    </row>
    <row r="459" spans="2:24" x14ac:dyDescent="0.25">
      <c r="B459" s="11" t="str">
        <f t="shared" ref="B459:B464" si="179">CONCATENATE("BALT","-",LEFT(P459,2),UPPER(MID(P459,4,3)),RIGHT(P459,4))</f>
        <v>BALT-26NOV1904</v>
      </c>
      <c r="C459" s="11" t="s">
        <v>5271</v>
      </c>
      <c r="D459" s="11" t="s">
        <v>2097</v>
      </c>
      <c r="E459" s="39" t="s">
        <v>5779</v>
      </c>
      <c r="F459" s="11" t="s">
        <v>1700</v>
      </c>
      <c r="G459" s="39" t="s">
        <v>1773</v>
      </c>
      <c r="H459" s="7">
        <v>0</v>
      </c>
      <c r="I459" s="7">
        <v>0</v>
      </c>
      <c r="J459" s="17">
        <v>10</v>
      </c>
      <c r="K459" s="17"/>
      <c r="L459" s="7">
        <f t="shared" ref="L459:L464" si="180">SUM(H459:K459)</f>
        <v>10</v>
      </c>
      <c r="M459" s="8">
        <v>1</v>
      </c>
      <c r="N459" s="8">
        <f t="shared" ref="N459:N464" si="181">IF(L459&gt;0,1,"")</f>
        <v>1</v>
      </c>
      <c r="O459" s="11" t="s">
        <v>1702</v>
      </c>
      <c r="P459" s="16" t="str">
        <f t="shared" ref="P459:P464" si="182">IF(LEN(G459)=10,CONCATENATE("0",G459),G459)</f>
        <v>26-Nov-1904</v>
      </c>
      <c r="R459" s="16" t="str">
        <f>IF($L459&gt;0,"x","")</f>
        <v>x</v>
      </c>
      <c r="S459" s="16" t="str">
        <f>IF($L459&gt;0,"x","")</f>
        <v>x</v>
      </c>
      <c r="U459" s="46" t="str">
        <f t="shared" si="154"/>
        <v/>
      </c>
      <c r="V459" s="46">
        <f t="shared" si="154"/>
        <v>10</v>
      </c>
      <c r="W459" s="46" t="str">
        <f t="shared" si="154"/>
        <v/>
      </c>
      <c r="X459" s="46" t="str">
        <f t="shared" si="154"/>
        <v/>
      </c>
    </row>
    <row r="460" spans="2:24" x14ac:dyDescent="0.25">
      <c r="B460" s="11" t="str">
        <f t="shared" si="179"/>
        <v>BALT-23DEC1904</v>
      </c>
      <c r="C460" s="11" t="s">
        <v>5271</v>
      </c>
      <c r="D460" s="11" t="s">
        <v>2097</v>
      </c>
      <c r="E460" s="39" t="s">
        <v>3586</v>
      </c>
      <c r="F460" s="11" t="s">
        <v>1700</v>
      </c>
      <c r="G460" s="39" t="s">
        <v>5649</v>
      </c>
      <c r="H460" s="7">
        <v>0</v>
      </c>
      <c r="I460" s="7">
        <v>0</v>
      </c>
      <c r="J460" s="17">
        <v>6</v>
      </c>
      <c r="K460" s="17"/>
      <c r="L460" s="7">
        <f t="shared" si="180"/>
        <v>6</v>
      </c>
      <c r="M460" s="8">
        <v>1</v>
      </c>
      <c r="N460" s="8">
        <f t="shared" si="181"/>
        <v>1</v>
      </c>
      <c r="O460" s="11" t="s">
        <v>1702</v>
      </c>
      <c r="P460" s="16" t="str">
        <f t="shared" si="182"/>
        <v>23-Dec-1904</v>
      </c>
      <c r="R460" s="16" t="str">
        <f t="shared" ref="R460:S464" si="183">IF($L460&gt;0,"x","")</f>
        <v>x</v>
      </c>
      <c r="S460" s="16" t="str">
        <f t="shared" si="183"/>
        <v>x</v>
      </c>
      <c r="U460" s="46" t="str">
        <f>IF($O460=U$5,$L460,"")</f>
        <v/>
      </c>
      <c r="V460" s="46">
        <f>IF($O460=V$5,$L460,"")</f>
        <v>6</v>
      </c>
      <c r="W460" s="46" t="str">
        <f>IF($O460=W$5,$L460,"")</f>
        <v/>
      </c>
      <c r="X460" s="46" t="str">
        <f>IF($O460=X$5,$L460,"")</f>
        <v/>
      </c>
    </row>
    <row r="461" spans="2:24" x14ac:dyDescent="0.25">
      <c r="B461" s="11" t="str">
        <f t="shared" si="179"/>
        <v>BALT-05APR1907</v>
      </c>
      <c r="C461" s="11" t="s">
        <v>5271</v>
      </c>
      <c r="D461" s="11" t="s">
        <v>2097</v>
      </c>
      <c r="E461" s="39" t="s">
        <v>6012</v>
      </c>
      <c r="F461" s="11" t="s">
        <v>1700</v>
      </c>
      <c r="G461" s="39" t="s">
        <v>6013</v>
      </c>
      <c r="H461" s="7">
        <v>0</v>
      </c>
      <c r="I461" s="7">
        <v>0</v>
      </c>
      <c r="J461" s="17">
        <v>3</v>
      </c>
      <c r="K461" s="17"/>
      <c r="L461" s="7">
        <f t="shared" si="180"/>
        <v>3</v>
      </c>
      <c r="M461" s="8">
        <v>1</v>
      </c>
      <c r="N461" s="8">
        <f t="shared" si="181"/>
        <v>1</v>
      </c>
      <c r="O461" s="11" t="s">
        <v>1702</v>
      </c>
      <c r="P461" s="16" t="str">
        <f t="shared" si="182"/>
        <v>05-Apr-1907</v>
      </c>
      <c r="R461" s="16" t="str">
        <f t="shared" si="183"/>
        <v>x</v>
      </c>
      <c r="S461" s="16" t="str">
        <f t="shared" si="183"/>
        <v>x</v>
      </c>
      <c r="U461" s="46" t="str">
        <f t="shared" ref="U461:X464" si="184">IF($O461=U$5,$L461,"")</f>
        <v/>
      </c>
      <c r="V461" s="46">
        <f t="shared" si="184"/>
        <v>3</v>
      </c>
      <c r="W461" s="46" t="str">
        <f t="shared" si="184"/>
        <v/>
      </c>
      <c r="X461" s="46" t="str">
        <f t="shared" si="184"/>
        <v/>
      </c>
    </row>
    <row r="462" spans="2:24" x14ac:dyDescent="0.25">
      <c r="B462" s="11" t="str">
        <f t="shared" si="179"/>
        <v>BALT-06JUL1907</v>
      </c>
      <c r="C462" s="11" t="s">
        <v>5271</v>
      </c>
      <c r="D462" s="11" t="s">
        <v>2097</v>
      </c>
      <c r="E462" s="39" t="s">
        <v>4049</v>
      </c>
      <c r="F462" s="11" t="s">
        <v>1700</v>
      </c>
      <c r="G462" s="39" t="s">
        <v>832</v>
      </c>
      <c r="H462" s="7">
        <v>0</v>
      </c>
      <c r="I462" s="7">
        <v>0</v>
      </c>
      <c r="J462" s="17">
        <v>13</v>
      </c>
      <c r="K462" s="17"/>
      <c r="L462" s="7">
        <f t="shared" si="180"/>
        <v>13</v>
      </c>
      <c r="M462" s="8">
        <v>1</v>
      </c>
      <c r="N462" s="8">
        <f t="shared" si="181"/>
        <v>1</v>
      </c>
      <c r="O462" s="11" t="s">
        <v>1702</v>
      </c>
      <c r="P462" s="16" t="str">
        <f t="shared" si="182"/>
        <v>06-Jul-1907</v>
      </c>
      <c r="R462" s="16" t="str">
        <f t="shared" si="183"/>
        <v>x</v>
      </c>
      <c r="S462" s="16" t="str">
        <f t="shared" si="183"/>
        <v>x</v>
      </c>
      <c r="U462" s="46" t="str">
        <f t="shared" si="184"/>
        <v/>
      </c>
      <c r="V462" s="46">
        <f t="shared" si="184"/>
        <v>13</v>
      </c>
      <c r="W462" s="46" t="str">
        <f t="shared" si="184"/>
        <v/>
      </c>
      <c r="X462" s="46" t="str">
        <f t="shared" si="184"/>
        <v/>
      </c>
    </row>
    <row r="463" spans="2:24" x14ac:dyDescent="0.25">
      <c r="B463" s="11" t="str">
        <f t="shared" si="179"/>
        <v>BALT-10MAR1912</v>
      </c>
      <c r="C463" s="11" t="s">
        <v>5271</v>
      </c>
      <c r="D463" s="11" t="s">
        <v>2097</v>
      </c>
      <c r="E463" s="39" t="s">
        <v>2767</v>
      </c>
      <c r="F463" s="11" t="s">
        <v>1700</v>
      </c>
      <c r="G463" s="39" t="s">
        <v>999</v>
      </c>
      <c r="H463" s="7">
        <v>0</v>
      </c>
      <c r="I463" s="7">
        <v>0</v>
      </c>
      <c r="J463" s="17">
        <v>1</v>
      </c>
      <c r="K463" s="17"/>
      <c r="L463" s="7">
        <f t="shared" si="180"/>
        <v>1</v>
      </c>
      <c r="M463" s="8">
        <v>1</v>
      </c>
      <c r="N463" s="8">
        <f t="shared" si="181"/>
        <v>1</v>
      </c>
      <c r="O463" s="11" t="s">
        <v>1702</v>
      </c>
      <c r="P463" s="16" t="str">
        <f t="shared" si="182"/>
        <v>10-Mar-1912</v>
      </c>
      <c r="R463" s="16" t="str">
        <f t="shared" si="183"/>
        <v>x</v>
      </c>
      <c r="S463" s="16" t="str">
        <f t="shared" si="183"/>
        <v>x</v>
      </c>
      <c r="U463" s="46" t="str">
        <f t="shared" si="184"/>
        <v/>
      </c>
      <c r="V463" s="46">
        <f t="shared" si="184"/>
        <v>1</v>
      </c>
      <c r="W463" s="46" t="str">
        <f t="shared" si="184"/>
        <v/>
      </c>
      <c r="X463" s="46" t="str">
        <f t="shared" si="184"/>
        <v/>
      </c>
    </row>
    <row r="464" spans="2:24" x14ac:dyDescent="0.25">
      <c r="B464" s="11" t="str">
        <f t="shared" si="179"/>
        <v>BALT-15DEC1912</v>
      </c>
      <c r="C464" s="11" t="s">
        <v>5271</v>
      </c>
      <c r="D464" s="11" t="s">
        <v>2097</v>
      </c>
      <c r="E464" s="39" t="s">
        <v>3042</v>
      </c>
      <c r="F464" s="11" t="s">
        <v>1700</v>
      </c>
      <c r="G464" s="39" t="s">
        <v>5272</v>
      </c>
      <c r="H464" s="7">
        <v>4</v>
      </c>
      <c r="I464" s="7">
        <v>0</v>
      </c>
      <c r="J464" s="17">
        <v>0</v>
      </c>
      <c r="K464" s="17"/>
      <c r="L464" s="7">
        <f t="shared" si="180"/>
        <v>4</v>
      </c>
      <c r="M464" s="8">
        <v>1</v>
      </c>
      <c r="N464" s="8">
        <f t="shared" si="181"/>
        <v>1</v>
      </c>
      <c r="O464" s="11" t="s">
        <v>1702</v>
      </c>
      <c r="P464" s="16" t="str">
        <f t="shared" si="182"/>
        <v>15-Dec-1912</v>
      </c>
      <c r="R464" s="16" t="str">
        <f t="shared" si="183"/>
        <v>x</v>
      </c>
      <c r="S464" s="16" t="str">
        <f t="shared" si="183"/>
        <v>x</v>
      </c>
      <c r="U464" s="46" t="str">
        <f t="shared" si="184"/>
        <v/>
      </c>
      <c r="V464" s="46">
        <f t="shared" si="184"/>
        <v>4</v>
      </c>
      <c r="W464" s="46" t="str">
        <f t="shared" si="184"/>
        <v/>
      </c>
      <c r="X464" s="46" t="str">
        <f t="shared" si="184"/>
        <v/>
      </c>
    </row>
    <row r="465" spans="2:24" x14ac:dyDescent="0.25">
      <c r="N465" s="8" t="str">
        <f>IF(R465="x",1,"")</f>
        <v/>
      </c>
      <c r="U465" s="46" t="str">
        <f t="shared" si="154"/>
        <v/>
      </c>
      <c r="V465" s="46" t="str">
        <f t="shared" si="154"/>
        <v/>
      </c>
      <c r="W465" s="46" t="str">
        <f t="shared" si="154"/>
        <v/>
      </c>
      <c r="X465" s="46" t="str">
        <f t="shared" si="154"/>
        <v/>
      </c>
    </row>
    <row r="466" spans="2:24" x14ac:dyDescent="0.25">
      <c r="B466" s="18"/>
      <c r="C466" s="18"/>
      <c r="D466" s="18"/>
      <c r="E466" s="40"/>
      <c r="F466" s="18"/>
      <c r="G466" s="40"/>
      <c r="H466" s="7">
        <f t="shared" ref="H466:N466" si="185">SUM(H459:H465)</f>
        <v>4</v>
      </c>
      <c r="I466" s="7">
        <f t="shared" si="185"/>
        <v>0</v>
      </c>
      <c r="J466" s="7">
        <f>SUM(J459:J465)</f>
        <v>33</v>
      </c>
      <c r="K466" s="7">
        <f t="shared" si="185"/>
        <v>0</v>
      </c>
      <c r="L466" s="7">
        <f t="shared" si="185"/>
        <v>37</v>
      </c>
      <c r="M466" s="7">
        <f t="shared" si="185"/>
        <v>6</v>
      </c>
      <c r="N466" s="7">
        <f t="shared" si="185"/>
        <v>6</v>
      </c>
      <c r="O466" s="18"/>
      <c r="P466" s="13"/>
      <c r="Q466" s="13"/>
      <c r="S466" s="13"/>
      <c r="T466" s="15"/>
      <c r="U466" s="46" t="str">
        <f t="shared" si="154"/>
        <v/>
      </c>
      <c r="V466" s="46" t="str">
        <f t="shared" si="154"/>
        <v/>
      </c>
      <c r="W466" s="46" t="str">
        <f t="shared" si="154"/>
        <v/>
      </c>
      <c r="X466" s="46" t="str">
        <f t="shared" si="154"/>
        <v/>
      </c>
    </row>
    <row r="467" spans="2:24" x14ac:dyDescent="0.25">
      <c r="B467" s="18"/>
      <c r="C467" s="18"/>
      <c r="D467" s="18"/>
      <c r="E467" s="40"/>
      <c r="F467" s="18"/>
      <c r="G467" s="40"/>
      <c r="N467" s="8" t="str">
        <f>IF(R467="x",1,"")</f>
        <v/>
      </c>
      <c r="O467" s="18"/>
      <c r="P467" s="13"/>
      <c r="Q467" s="13"/>
      <c r="R467" s="13"/>
      <c r="S467" s="13"/>
      <c r="T467" s="15"/>
      <c r="U467" s="46" t="str">
        <f t="shared" si="154"/>
        <v/>
      </c>
      <c r="V467" s="46" t="str">
        <f t="shared" si="154"/>
        <v/>
      </c>
      <c r="W467" s="46" t="str">
        <f t="shared" si="154"/>
        <v/>
      </c>
      <c r="X467" s="46" t="str">
        <f t="shared" si="154"/>
        <v/>
      </c>
    </row>
    <row r="468" spans="2:24" x14ac:dyDescent="0.25">
      <c r="B468" s="18"/>
      <c r="C468" s="18"/>
      <c r="D468" s="18"/>
      <c r="E468" s="40"/>
      <c r="F468" s="18"/>
      <c r="G468" s="40"/>
      <c r="N468" s="8" t="str">
        <f>IF(R468="x",1,"")</f>
        <v/>
      </c>
      <c r="O468" s="18"/>
      <c r="P468" s="13"/>
      <c r="Q468" s="13"/>
      <c r="R468" s="13"/>
      <c r="S468" s="13"/>
      <c r="T468" s="15"/>
      <c r="U468" s="46" t="str">
        <f t="shared" si="154"/>
        <v/>
      </c>
      <c r="V468" s="46" t="str">
        <f t="shared" si="154"/>
        <v/>
      </c>
      <c r="W468" s="46" t="str">
        <f t="shared" si="154"/>
        <v/>
      </c>
      <c r="X468" s="46" t="str">
        <f t="shared" si="154"/>
        <v/>
      </c>
    </row>
    <row r="469" spans="2:24" x14ac:dyDescent="0.25">
      <c r="B469" s="11" t="str">
        <f>CONCATENATE("BATA","-",LEFT(P469,2),UPPER(MID(P469,4,3)),RIGHT(P469,4))</f>
        <v>BATA-29APR1900</v>
      </c>
      <c r="C469" s="11" t="s">
        <v>3415</v>
      </c>
      <c r="D469" s="11" t="s">
        <v>2103</v>
      </c>
      <c r="E469" s="39" t="s">
        <v>489</v>
      </c>
      <c r="F469" s="11" t="s">
        <v>1700</v>
      </c>
      <c r="G469" s="39" t="s">
        <v>79</v>
      </c>
      <c r="J469" s="17">
        <v>10</v>
      </c>
      <c r="K469" s="17"/>
      <c r="L469" s="7">
        <f>SUM(H469:K469)</f>
        <v>10</v>
      </c>
      <c r="M469" s="8">
        <v>1</v>
      </c>
      <c r="N469" s="8">
        <f>IF(L469&gt;0,1,"")</f>
        <v>1</v>
      </c>
      <c r="O469" s="11" t="s">
        <v>1702</v>
      </c>
      <c r="P469" s="16" t="str">
        <f>IF(LEN(G469)=10,CONCATENATE("0",G469),G469)</f>
        <v>29-Apr-1900</v>
      </c>
      <c r="R469" s="16" t="str">
        <f t="shared" ref="R469:S471" si="186">IF($L469&gt;0,"x","")</f>
        <v>x</v>
      </c>
      <c r="S469" s="16" t="str">
        <f t="shared" si="186"/>
        <v>x</v>
      </c>
      <c r="U469" s="46" t="str">
        <f t="shared" si="154"/>
        <v/>
      </c>
      <c r="V469" s="46">
        <f t="shared" si="154"/>
        <v>10</v>
      </c>
      <c r="W469" s="46" t="str">
        <f t="shared" si="154"/>
        <v/>
      </c>
      <c r="X469" s="46" t="str">
        <f t="shared" si="154"/>
        <v/>
      </c>
    </row>
    <row r="470" spans="2:24" x14ac:dyDescent="0.25">
      <c r="B470" s="11" t="str">
        <f>CONCATENATE("BATA","-",LEFT(P470,2),UPPER(MID(P470,4,3)),RIGHT(P470,4))</f>
        <v>BATA-26APR1903</v>
      </c>
      <c r="C470" s="11" t="s">
        <v>3415</v>
      </c>
      <c r="D470" s="11" t="s">
        <v>2103</v>
      </c>
      <c r="E470" s="39" t="s">
        <v>1643</v>
      </c>
      <c r="F470" s="11" t="s">
        <v>1700</v>
      </c>
      <c r="G470" s="39" t="s">
        <v>5209</v>
      </c>
      <c r="J470" s="17">
        <v>20</v>
      </c>
      <c r="K470" s="17"/>
      <c r="L470" s="7">
        <f>SUM(H470:K470)</f>
        <v>20</v>
      </c>
      <c r="M470" s="8">
        <v>1</v>
      </c>
      <c r="N470" s="8">
        <f>IF(L470&gt;0,1,"")</f>
        <v>1</v>
      </c>
      <c r="O470" s="11" t="s">
        <v>1702</v>
      </c>
      <c r="P470" s="16" t="str">
        <f>IF(LEN(G470)=10,CONCATENATE("0",G470),G470)</f>
        <v>26-Apr-1903</v>
      </c>
      <c r="R470" s="16" t="str">
        <f t="shared" si="186"/>
        <v>x</v>
      </c>
      <c r="S470" s="16" t="str">
        <f t="shared" si="186"/>
        <v>x</v>
      </c>
      <c r="U470" s="46" t="str">
        <f t="shared" ref="U470:X471" si="187">IF($O470=U$5,$L470,"")</f>
        <v/>
      </c>
      <c r="V470" s="46">
        <f t="shared" si="187"/>
        <v>20</v>
      </c>
      <c r="W470" s="46" t="str">
        <f t="shared" si="187"/>
        <v/>
      </c>
      <c r="X470" s="46" t="str">
        <f t="shared" si="187"/>
        <v/>
      </c>
    </row>
    <row r="471" spans="2:24" x14ac:dyDescent="0.25">
      <c r="B471" s="11" t="str">
        <f>CONCATENATE("BATA","-",LEFT(P471,2),UPPER(MID(P471,4,3)),RIGHT(P471,4))</f>
        <v>BATA-31DEC1906</v>
      </c>
      <c r="C471" s="11" t="s">
        <v>3415</v>
      </c>
      <c r="D471" s="11" t="s">
        <v>2103</v>
      </c>
      <c r="E471" s="39" t="s">
        <v>3413</v>
      </c>
      <c r="F471" s="11" t="s">
        <v>1700</v>
      </c>
      <c r="G471" s="39" t="s">
        <v>3414</v>
      </c>
      <c r="H471" s="7">
        <v>0</v>
      </c>
      <c r="I471" s="7">
        <v>0</v>
      </c>
      <c r="J471" s="17">
        <v>26</v>
      </c>
      <c r="K471" s="17"/>
      <c r="L471" s="7">
        <f>SUM(H471:K471)</f>
        <v>26</v>
      </c>
      <c r="M471" s="8">
        <v>1</v>
      </c>
      <c r="N471" s="8">
        <f>IF(L471&gt;0,1,"")</f>
        <v>1</v>
      </c>
      <c r="O471" s="11" t="s">
        <v>1702</v>
      </c>
      <c r="P471" s="16" t="str">
        <f>IF(LEN(G471)=10,CONCATENATE("0",G471),G471)</f>
        <v>31-Dec-1906</v>
      </c>
      <c r="R471" s="16" t="str">
        <f t="shared" si="186"/>
        <v>x</v>
      </c>
      <c r="S471" s="16" t="str">
        <f t="shared" si="186"/>
        <v>x</v>
      </c>
      <c r="U471" s="46" t="str">
        <f t="shared" si="187"/>
        <v/>
      </c>
      <c r="V471" s="46">
        <f t="shared" si="187"/>
        <v>26</v>
      </c>
      <c r="W471" s="46" t="str">
        <f t="shared" si="187"/>
        <v/>
      </c>
      <c r="X471" s="46" t="str">
        <f t="shared" si="187"/>
        <v/>
      </c>
    </row>
    <row r="472" spans="2:24" x14ac:dyDescent="0.25">
      <c r="N472" s="8" t="str">
        <f>IF(R472="x",1,"")</f>
        <v/>
      </c>
      <c r="U472" s="46" t="str">
        <f t="shared" si="154"/>
        <v/>
      </c>
      <c r="V472" s="46" t="str">
        <f t="shared" si="154"/>
        <v/>
      </c>
      <c r="W472" s="46" t="str">
        <f t="shared" si="154"/>
        <v/>
      </c>
      <c r="X472" s="46" t="str">
        <f t="shared" si="154"/>
        <v/>
      </c>
    </row>
    <row r="473" spans="2:24" x14ac:dyDescent="0.25">
      <c r="B473" s="18"/>
      <c r="C473" s="18"/>
      <c r="D473" s="18"/>
      <c r="E473" s="40"/>
      <c r="F473" s="18"/>
      <c r="G473" s="40"/>
      <c r="H473" s="7">
        <f t="shared" ref="H473:N473" si="188">SUM(H469:H472)</f>
        <v>0</v>
      </c>
      <c r="I473" s="7">
        <f t="shared" si="188"/>
        <v>0</v>
      </c>
      <c r="J473" s="7">
        <f>SUM(J469:J472)</f>
        <v>56</v>
      </c>
      <c r="K473" s="7">
        <f t="shared" si="188"/>
        <v>0</v>
      </c>
      <c r="L473" s="7">
        <f t="shared" si="188"/>
        <v>56</v>
      </c>
      <c r="M473" s="7">
        <f t="shared" si="188"/>
        <v>3</v>
      </c>
      <c r="N473" s="7">
        <f t="shared" si="188"/>
        <v>3</v>
      </c>
      <c r="O473" s="18"/>
      <c r="P473" s="13"/>
      <c r="Q473" s="13"/>
      <c r="S473" s="13"/>
      <c r="T473" s="15"/>
      <c r="U473" s="46" t="str">
        <f t="shared" si="154"/>
        <v/>
      </c>
      <c r="V473" s="46" t="str">
        <f t="shared" si="154"/>
        <v/>
      </c>
      <c r="W473" s="46" t="str">
        <f t="shared" si="154"/>
        <v/>
      </c>
      <c r="X473" s="46" t="str">
        <f t="shared" si="154"/>
        <v/>
      </c>
    </row>
    <row r="474" spans="2:24" x14ac:dyDescent="0.25">
      <c r="B474" s="18"/>
      <c r="C474" s="18"/>
      <c r="D474" s="18"/>
      <c r="E474" s="40"/>
      <c r="F474" s="18"/>
      <c r="G474" s="40"/>
      <c r="N474" s="8" t="str">
        <f>IF(R474="x",1,"")</f>
        <v/>
      </c>
      <c r="O474" s="18"/>
      <c r="P474" s="13"/>
      <c r="Q474" s="13"/>
      <c r="R474" s="13"/>
      <c r="S474" s="13"/>
      <c r="T474" s="15"/>
      <c r="U474" s="46" t="str">
        <f t="shared" si="154"/>
        <v/>
      </c>
      <c r="V474" s="46" t="str">
        <f t="shared" si="154"/>
        <v/>
      </c>
      <c r="W474" s="46" t="str">
        <f t="shared" si="154"/>
        <v/>
      </c>
      <c r="X474" s="46" t="str">
        <f t="shared" si="154"/>
        <v/>
      </c>
    </row>
    <row r="475" spans="2:24" x14ac:dyDescent="0.25">
      <c r="B475" s="18"/>
      <c r="C475" s="18"/>
      <c r="D475" s="18"/>
      <c r="E475" s="40"/>
      <c r="F475" s="18"/>
      <c r="G475" s="40"/>
      <c r="N475" s="8" t="str">
        <f>IF(R475="x",1,"")</f>
        <v/>
      </c>
      <c r="O475" s="18"/>
      <c r="P475" s="13"/>
      <c r="Q475" s="13"/>
      <c r="R475" s="13"/>
      <c r="S475" s="13"/>
      <c r="T475" s="15"/>
      <c r="U475" s="46" t="str">
        <f t="shared" si="154"/>
        <v/>
      </c>
      <c r="V475" s="46" t="str">
        <f t="shared" si="154"/>
        <v/>
      </c>
      <c r="W475" s="46" t="str">
        <f t="shared" si="154"/>
        <v/>
      </c>
      <c r="X475" s="46" t="str">
        <f t="shared" si="154"/>
        <v/>
      </c>
    </row>
    <row r="476" spans="2:24" x14ac:dyDescent="0.25">
      <c r="B476" s="11" t="str">
        <f>CONCATENATE("BLND","-",LEFT(P476,2),UPPER(MID(P476,4,3)),RIGHT(P476,4))</f>
        <v>BLND-25OCT1896</v>
      </c>
      <c r="C476" s="11" t="s">
        <v>3882</v>
      </c>
      <c r="D476" s="11" t="s">
        <v>2097</v>
      </c>
      <c r="E476" s="39" t="s">
        <v>3883</v>
      </c>
      <c r="F476" s="11" t="s">
        <v>3039</v>
      </c>
      <c r="G476" s="39" t="s">
        <v>3884</v>
      </c>
      <c r="J476" s="17">
        <v>1</v>
      </c>
      <c r="K476" s="17"/>
      <c r="L476" s="7">
        <f>SUM(H476:K476)</f>
        <v>1</v>
      </c>
      <c r="M476" s="8">
        <v>1</v>
      </c>
      <c r="N476" s="8">
        <f>IF(L476&gt;0,1,"")</f>
        <v>1</v>
      </c>
      <c r="O476" s="11" t="s">
        <v>1702</v>
      </c>
      <c r="P476" s="16" t="str">
        <f>IF(LEN(G476)=10,CONCATENATE("0",G476),G476)</f>
        <v>25-Oct-1896</v>
      </c>
      <c r="R476" s="16" t="str">
        <f t="shared" ref="R476:S479" si="189">IF($L476&gt;0,"x","")</f>
        <v>x</v>
      </c>
      <c r="S476" s="16" t="str">
        <f t="shared" si="189"/>
        <v>x</v>
      </c>
      <c r="U476" s="46" t="str">
        <f t="shared" si="154"/>
        <v/>
      </c>
      <c r="V476" s="46">
        <f t="shared" si="154"/>
        <v>1</v>
      </c>
      <c r="W476" s="46" t="str">
        <f t="shared" si="154"/>
        <v/>
      </c>
      <c r="X476" s="46" t="str">
        <f t="shared" si="154"/>
        <v/>
      </c>
    </row>
    <row r="477" spans="2:24" x14ac:dyDescent="0.25">
      <c r="B477" s="11" t="str">
        <f>CONCATENATE("BLND","-",LEFT(P477,2),UPPER(MID(P477,4,3)),RIGHT(P477,4))</f>
        <v>BLND-06JUL1923</v>
      </c>
      <c r="C477" s="11" t="s">
        <v>3882</v>
      </c>
      <c r="D477" s="11" t="s">
        <v>2224</v>
      </c>
      <c r="E477" s="39" t="s">
        <v>11283</v>
      </c>
      <c r="F477" s="11" t="s">
        <v>1700</v>
      </c>
      <c r="G477" s="39" t="s">
        <v>4324</v>
      </c>
      <c r="H477" s="7">
        <v>0</v>
      </c>
      <c r="I477" s="7">
        <v>19</v>
      </c>
      <c r="J477" s="17">
        <v>34</v>
      </c>
      <c r="K477" s="17"/>
      <c r="L477" s="7">
        <f>SUM(H477:K477)</f>
        <v>53</v>
      </c>
      <c r="M477" s="8">
        <v>1</v>
      </c>
      <c r="N477" s="8">
        <f>IF(L477&gt;0,1,"")</f>
        <v>1</v>
      </c>
      <c r="O477" s="11" t="s">
        <v>1702</v>
      </c>
      <c r="P477" s="16" t="str">
        <f>IF(LEN(G477)=10,CONCATENATE("0",G477),G477)</f>
        <v>06-Jul-1923</v>
      </c>
      <c r="R477" s="16" t="str">
        <f t="shared" si="189"/>
        <v>x</v>
      </c>
      <c r="S477" s="16" t="str">
        <f t="shared" si="189"/>
        <v>x</v>
      </c>
      <c r="U477" s="46" t="str">
        <f t="shared" si="154"/>
        <v/>
      </c>
      <c r="V477" s="46">
        <f t="shared" si="154"/>
        <v>53</v>
      </c>
      <c r="W477" s="46" t="str">
        <f t="shared" si="154"/>
        <v/>
      </c>
      <c r="X477" s="46" t="str">
        <f t="shared" si="154"/>
        <v/>
      </c>
    </row>
    <row r="478" spans="2:24" x14ac:dyDescent="0.25">
      <c r="B478" s="11" t="str">
        <f>CONCATENATE("BLND","-",LEFT(P478,2),UPPER(MID(P478,4,3)),RIGHT(P478,4))</f>
        <v>BLND-01SEP1923</v>
      </c>
      <c r="C478" s="11" t="s">
        <v>3882</v>
      </c>
      <c r="D478" s="11" t="s">
        <v>2224</v>
      </c>
      <c r="E478" s="39" t="s">
        <v>11447</v>
      </c>
      <c r="F478" s="11" t="s">
        <v>1700</v>
      </c>
      <c r="G478" s="39" t="s">
        <v>1168</v>
      </c>
      <c r="H478" s="7">
        <v>0</v>
      </c>
      <c r="I478" s="7">
        <v>0</v>
      </c>
      <c r="J478" s="17">
        <f>34+1</f>
        <v>35</v>
      </c>
      <c r="K478" s="17"/>
      <c r="L478" s="7">
        <f>SUM(H478:K478)</f>
        <v>35</v>
      </c>
      <c r="M478" s="8">
        <v>1</v>
      </c>
      <c r="N478" s="8">
        <f>IF(L478&gt;0,1,"")</f>
        <v>1</v>
      </c>
      <c r="O478" s="11" t="s">
        <v>1702</v>
      </c>
      <c r="P478" s="16" t="str">
        <f>IF(LEN(G478)=10,CONCATENATE("0",G478),G478)</f>
        <v>01-Sep-1923</v>
      </c>
      <c r="R478" s="16" t="str">
        <f t="shared" si="189"/>
        <v>x</v>
      </c>
      <c r="S478" s="16" t="str">
        <f t="shared" si="189"/>
        <v>x</v>
      </c>
      <c r="U478" s="46" t="str">
        <f t="shared" ref="U478:X479" si="190">IF($O478=U$5,$L478,"")</f>
        <v/>
      </c>
      <c r="V478" s="46">
        <f t="shared" si="190"/>
        <v>35</v>
      </c>
      <c r="W478" s="46" t="str">
        <f t="shared" si="190"/>
        <v/>
      </c>
      <c r="X478" s="46" t="str">
        <f t="shared" si="190"/>
        <v/>
      </c>
    </row>
    <row r="479" spans="2:24" x14ac:dyDescent="0.25">
      <c r="B479" s="11" t="str">
        <f>CONCATENATE("BLND","-",LEFT(P479,2),UPPER(MID(P479,4,3)),RIGHT(P479,4))</f>
        <v>BLND-15SEP1929</v>
      </c>
      <c r="C479" s="11" t="s">
        <v>3882</v>
      </c>
      <c r="D479" s="11" t="s">
        <v>2224</v>
      </c>
      <c r="E479" s="39" t="s">
        <v>4581</v>
      </c>
      <c r="F479" s="11" t="s">
        <v>1700</v>
      </c>
      <c r="G479" s="39" t="s">
        <v>4687</v>
      </c>
      <c r="H479" s="7">
        <v>0</v>
      </c>
      <c r="J479" s="17">
        <f>4+1</f>
        <v>5</v>
      </c>
      <c r="K479" s="17"/>
      <c r="L479" s="7">
        <f>SUM(H479:K479)</f>
        <v>5</v>
      </c>
      <c r="M479" s="8">
        <v>1</v>
      </c>
      <c r="N479" s="8">
        <f>IF(L479&gt;0,1,"")</f>
        <v>1</v>
      </c>
      <c r="O479" s="11" t="s">
        <v>1702</v>
      </c>
      <c r="P479" s="16" t="str">
        <f>IF(LEN(G479)=10,CONCATENATE("0",G479),G479)</f>
        <v>15-Sep-1929</v>
      </c>
      <c r="R479" s="16" t="str">
        <f t="shared" si="189"/>
        <v>x</v>
      </c>
      <c r="S479" s="16" t="str">
        <f t="shared" si="189"/>
        <v>x</v>
      </c>
      <c r="U479" s="46" t="str">
        <f t="shared" si="190"/>
        <v/>
      </c>
      <c r="V479" s="46">
        <f t="shared" si="190"/>
        <v>5</v>
      </c>
      <c r="W479" s="46" t="str">
        <f t="shared" si="190"/>
        <v/>
      </c>
      <c r="X479" s="46" t="str">
        <f t="shared" si="190"/>
        <v/>
      </c>
    </row>
    <row r="480" spans="2:24" x14ac:dyDescent="0.25">
      <c r="N480" s="8" t="str">
        <f>IF(R480="x",1,"")</f>
        <v/>
      </c>
      <c r="U480" s="46" t="str">
        <f t="shared" si="154"/>
        <v/>
      </c>
      <c r="V480" s="46" t="str">
        <f t="shared" si="154"/>
        <v/>
      </c>
      <c r="W480" s="46" t="str">
        <f t="shared" si="154"/>
        <v/>
      </c>
      <c r="X480" s="46" t="str">
        <f t="shared" si="154"/>
        <v/>
      </c>
    </row>
    <row r="481" spans="2:26" x14ac:dyDescent="0.25">
      <c r="B481" s="18"/>
      <c r="C481" s="18"/>
      <c r="D481" s="18"/>
      <c r="E481" s="40"/>
      <c r="F481" s="18"/>
      <c r="G481" s="40"/>
      <c r="H481" s="7">
        <f t="shared" ref="H481:N481" si="191">SUM(H476:H480)</f>
        <v>0</v>
      </c>
      <c r="I481" s="7">
        <f t="shared" si="191"/>
        <v>19</v>
      </c>
      <c r="J481" s="7">
        <f>SUM(J476:J480)</f>
        <v>75</v>
      </c>
      <c r="K481" s="7">
        <f t="shared" si="191"/>
        <v>0</v>
      </c>
      <c r="L481" s="7">
        <f t="shared" si="191"/>
        <v>94</v>
      </c>
      <c r="M481" s="7">
        <f t="shared" si="191"/>
        <v>4</v>
      </c>
      <c r="N481" s="7">
        <f t="shared" si="191"/>
        <v>4</v>
      </c>
      <c r="O481" s="18"/>
      <c r="P481" s="13"/>
      <c r="Q481" s="13"/>
      <c r="S481" s="13"/>
      <c r="T481" s="15"/>
      <c r="U481" s="46" t="str">
        <f t="shared" si="154"/>
        <v/>
      </c>
      <c r="V481" s="46" t="str">
        <f t="shared" si="154"/>
        <v/>
      </c>
      <c r="W481" s="46" t="str">
        <f t="shared" si="154"/>
        <v/>
      </c>
      <c r="X481" s="46" t="str">
        <f t="shared" si="154"/>
        <v/>
      </c>
    </row>
    <row r="482" spans="2:26" x14ac:dyDescent="0.25">
      <c r="B482" s="18"/>
      <c r="C482" s="18"/>
      <c r="D482" s="18"/>
      <c r="E482" s="40"/>
      <c r="F482" s="18"/>
      <c r="G482" s="40"/>
      <c r="N482" s="8" t="str">
        <f>IF(R482="x",1,"")</f>
        <v/>
      </c>
      <c r="O482" s="18"/>
      <c r="P482" s="13"/>
      <c r="Q482" s="13"/>
      <c r="R482" s="13"/>
      <c r="S482" s="13"/>
      <c r="T482" s="15"/>
      <c r="U482" s="46" t="str">
        <f t="shared" si="154"/>
        <v/>
      </c>
      <c r="V482" s="46" t="str">
        <f t="shared" si="154"/>
        <v/>
      </c>
      <c r="W482" s="46" t="str">
        <f t="shared" si="154"/>
        <v/>
      </c>
      <c r="X482" s="46" t="str">
        <f t="shared" si="154"/>
        <v/>
      </c>
    </row>
    <row r="483" spans="2:26" x14ac:dyDescent="0.25">
      <c r="B483" s="18"/>
      <c r="C483" s="18"/>
      <c r="D483" s="18"/>
      <c r="E483" s="40"/>
      <c r="F483" s="18"/>
      <c r="G483" s="40"/>
      <c r="N483" s="8" t="str">
        <f>IF(R483="x",1,"")</f>
        <v/>
      </c>
      <c r="O483" s="18"/>
      <c r="P483" s="13"/>
      <c r="Q483" s="13"/>
      <c r="R483" s="13"/>
      <c r="S483" s="13"/>
      <c r="T483" s="15"/>
      <c r="U483" s="46" t="str">
        <f t="shared" si="154"/>
        <v/>
      </c>
      <c r="V483" s="46" t="str">
        <f t="shared" si="154"/>
        <v/>
      </c>
      <c r="W483" s="46" t="str">
        <f t="shared" si="154"/>
        <v/>
      </c>
      <c r="X483" s="46" t="str">
        <f t="shared" si="154"/>
        <v/>
      </c>
    </row>
    <row r="484" spans="2:26" x14ac:dyDescent="0.25">
      <c r="B484" s="11" t="str">
        <f>CONCATENATE("BELG","-",LEFT(P484,2),UPPER(MID(P484,4,3)),RIGHT(P484,4))</f>
        <v>BELG-27JUN1903</v>
      </c>
      <c r="C484" s="11" t="s">
        <v>3873</v>
      </c>
      <c r="D484" s="11" t="s">
        <v>2103</v>
      </c>
      <c r="E484" s="39" t="s">
        <v>2511</v>
      </c>
      <c r="F484" s="11" t="s">
        <v>1700</v>
      </c>
      <c r="G484" s="39" t="s">
        <v>1386</v>
      </c>
      <c r="J484" s="17">
        <v>33</v>
      </c>
      <c r="K484" s="17"/>
      <c r="L484" s="7">
        <f>SUM(H484:K484)</f>
        <v>33</v>
      </c>
      <c r="M484" s="8">
        <v>1</v>
      </c>
      <c r="N484" s="8">
        <f>IF(L484&gt;0,1,"")</f>
        <v>1</v>
      </c>
      <c r="O484" s="11" t="s">
        <v>1702</v>
      </c>
      <c r="P484" s="16" t="str">
        <f>IF(LEN(G484)=10,CONCATENATE("0",G484),G484)</f>
        <v>27-Jun-1903</v>
      </c>
      <c r="R484" s="16" t="str">
        <f>IF($L484&gt;0,"x","")</f>
        <v>x</v>
      </c>
      <c r="S484" s="16" t="str">
        <f>IF($L484&gt;0,"x","")</f>
        <v>x</v>
      </c>
      <c r="U484" s="46" t="str">
        <f t="shared" si="154"/>
        <v/>
      </c>
      <c r="V484" s="46">
        <f t="shared" si="154"/>
        <v>33</v>
      </c>
      <c r="W484" s="46" t="str">
        <f t="shared" si="154"/>
        <v/>
      </c>
      <c r="X484" s="46" t="str">
        <f t="shared" si="154"/>
        <v/>
      </c>
    </row>
    <row r="485" spans="2:26" x14ac:dyDescent="0.25">
      <c r="B485" s="11" t="str">
        <f>CONCATENATE("BELG","-",LEFT(P485,2),UPPER(MID(P485,4,3)),RIGHT(P485,4))</f>
        <v>BELG-30JAN1904</v>
      </c>
      <c r="C485" s="11" t="s">
        <v>3873</v>
      </c>
      <c r="D485" s="11" t="s">
        <v>2103</v>
      </c>
      <c r="E485" s="39" t="s">
        <v>3448</v>
      </c>
      <c r="F485" s="11" t="s">
        <v>1700</v>
      </c>
      <c r="G485" s="39" t="s">
        <v>1663</v>
      </c>
      <c r="J485" s="17">
        <v>10</v>
      </c>
      <c r="K485" s="17"/>
      <c r="L485" s="7">
        <f>SUM(H485:K485)</f>
        <v>10</v>
      </c>
      <c r="M485" s="8">
        <v>1</v>
      </c>
      <c r="N485" s="8">
        <f>IF(L485&gt;0,1,"")</f>
        <v>1</v>
      </c>
      <c r="O485" s="11" t="s">
        <v>1702</v>
      </c>
      <c r="P485" s="16" t="str">
        <f>IF(LEN(G485)=10,CONCATENATE("0",G485),G485)</f>
        <v>30-Jan-1904</v>
      </c>
      <c r="R485" s="16" t="str">
        <f>IF($L485&gt;0,"x","")</f>
        <v>x</v>
      </c>
      <c r="S485" s="16" t="str">
        <f>IF($L485&gt;0,"x","")</f>
        <v>x</v>
      </c>
      <c r="U485" s="46" t="str">
        <f t="shared" si="154"/>
        <v/>
      </c>
      <c r="V485" s="46">
        <f t="shared" si="154"/>
        <v>10</v>
      </c>
      <c r="W485" s="46" t="str">
        <f t="shared" si="154"/>
        <v/>
      </c>
      <c r="X485" s="46" t="str">
        <f t="shared" ref="X485:X500" si="192">IF($O485=X$5,$L485,"")</f>
        <v/>
      </c>
    </row>
    <row r="486" spans="2:26" x14ac:dyDescent="0.25">
      <c r="N486" s="8" t="str">
        <f>IF(R486="x",1,"")</f>
        <v/>
      </c>
      <c r="U486" s="46" t="str">
        <f t="shared" ref="U486:W500" si="193">IF($O486=U$5,$L486,"")</f>
        <v/>
      </c>
      <c r="V486" s="46" t="str">
        <f t="shared" si="193"/>
        <v/>
      </c>
      <c r="W486" s="46" t="str">
        <f t="shared" si="193"/>
        <v/>
      </c>
      <c r="X486" s="46" t="str">
        <f t="shared" si="192"/>
        <v/>
      </c>
    </row>
    <row r="487" spans="2:26" x14ac:dyDescent="0.25">
      <c r="B487" s="18"/>
      <c r="C487" s="18"/>
      <c r="D487" s="18"/>
      <c r="E487" s="40"/>
      <c r="F487" s="18"/>
      <c r="G487" s="40"/>
      <c r="H487" s="7">
        <f t="shared" ref="H487:N487" si="194">SUM(H484:H486)</f>
        <v>0</v>
      </c>
      <c r="I487" s="7">
        <f t="shared" si="194"/>
        <v>0</v>
      </c>
      <c r="J487" s="7">
        <f>SUM(J484:J486)</f>
        <v>43</v>
      </c>
      <c r="K487" s="7">
        <f t="shared" si="194"/>
        <v>0</v>
      </c>
      <c r="L487" s="7">
        <f t="shared" si="194"/>
        <v>43</v>
      </c>
      <c r="M487" s="7">
        <f t="shared" si="194"/>
        <v>2</v>
      </c>
      <c r="N487" s="7">
        <f t="shared" si="194"/>
        <v>2</v>
      </c>
      <c r="O487" s="18"/>
      <c r="P487" s="13"/>
      <c r="Q487" s="13"/>
      <c r="S487" s="13"/>
      <c r="T487" s="15"/>
      <c r="U487" s="46" t="str">
        <f t="shared" si="193"/>
        <v/>
      </c>
      <c r="V487" s="46" t="str">
        <f t="shared" si="193"/>
        <v/>
      </c>
      <c r="W487" s="46" t="str">
        <f t="shared" si="193"/>
        <v/>
      </c>
      <c r="X487" s="46" t="str">
        <f t="shared" si="192"/>
        <v/>
      </c>
    </row>
    <row r="488" spans="2:26" s="18" customFormat="1" x14ac:dyDescent="0.25">
      <c r="E488" s="40"/>
      <c r="G488" s="40"/>
      <c r="H488" s="7"/>
      <c r="I488" s="7"/>
      <c r="J488" s="7"/>
      <c r="K488" s="7"/>
      <c r="L488" s="7"/>
      <c r="M488" s="8"/>
      <c r="N488" s="8" t="str">
        <f>IF(R488="x",1,"")</f>
        <v/>
      </c>
      <c r="P488" s="13"/>
      <c r="Q488" s="13"/>
      <c r="R488" s="13"/>
      <c r="S488" s="13"/>
      <c r="T488" s="15"/>
      <c r="U488" s="46" t="str">
        <f t="shared" si="193"/>
        <v/>
      </c>
      <c r="V488" s="46" t="str">
        <f t="shared" si="193"/>
        <v/>
      </c>
      <c r="W488" s="46" t="str">
        <f t="shared" si="193"/>
        <v/>
      </c>
      <c r="X488" s="46" t="str">
        <f t="shared" si="192"/>
        <v/>
      </c>
      <c r="Z488" s="11"/>
    </row>
    <row r="489" spans="2:26" s="18" customFormat="1" x14ac:dyDescent="0.25">
      <c r="E489" s="40"/>
      <c r="G489" s="40"/>
      <c r="H489" s="7"/>
      <c r="I489" s="7"/>
      <c r="J489" s="7"/>
      <c r="K489" s="7"/>
      <c r="L489" s="7"/>
      <c r="M489" s="8"/>
      <c r="N489" s="8" t="str">
        <f>IF(R489="x",1,"")</f>
        <v/>
      </c>
      <c r="P489" s="13"/>
      <c r="Q489" s="13"/>
      <c r="R489" s="13"/>
      <c r="S489" s="13"/>
      <c r="T489" s="15"/>
      <c r="U489" s="46" t="str">
        <f t="shared" si="193"/>
        <v/>
      </c>
      <c r="V489" s="46" t="str">
        <f t="shared" si="193"/>
        <v/>
      </c>
      <c r="W489" s="46" t="str">
        <f t="shared" si="193"/>
        <v/>
      </c>
      <c r="X489" s="46" t="str">
        <f t="shared" si="192"/>
        <v/>
      </c>
      <c r="Z489" s="11"/>
    </row>
    <row r="490" spans="2:26" x14ac:dyDescent="0.25">
      <c r="B490" s="11" t="str">
        <f t="shared" ref="B490:B498" si="195">CONCATENATE("BELV","-",LEFT(P490,2),UPPER(MID(P490,4,3)),RIGHT(P490,4))</f>
        <v>BELV-15NOV1913</v>
      </c>
      <c r="C490" s="11" t="s">
        <v>3291</v>
      </c>
      <c r="D490" s="11" t="s">
        <v>1906</v>
      </c>
      <c r="E490" s="39" t="s">
        <v>4235</v>
      </c>
      <c r="F490" s="11" t="s">
        <v>1700</v>
      </c>
      <c r="G490" s="39" t="s">
        <v>1291</v>
      </c>
      <c r="I490" s="7">
        <f>3+3</f>
        <v>6</v>
      </c>
      <c r="J490" s="7">
        <v>51</v>
      </c>
      <c r="L490" s="7">
        <f t="shared" ref="L490:L498" si="196">SUM(H490:K490)</f>
        <v>57</v>
      </c>
      <c r="M490" s="8">
        <v>1</v>
      </c>
      <c r="N490" s="8">
        <f t="shared" ref="N490:N498" si="197">IF(L490&gt;0,1,"")</f>
        <v>1</v>
      </c>
      <c r="O490" s="11" t="s">
        <v>1702</v>
      </c>
      <c r="P490" s="16" t="str">
        <f t="shared" ref="P490:P498" si="198">IF(LEN(G490)=10,CONCATENATE("0",G490),G490)</f>
        <v>15-Nov-1913</v>
      </c>
      <c r="R490" s="16" t="str">
        <f>IF($L490&gt;0,"x","")</f>
        <v>x</v>
      </c>
      <c r="S490" s="16" t="str">
        <f>IF($L490&gt;0,"x","")</f>
        <v>x</v>
      </c>
      <c r="U490" s="46" t="str">
        <f t="shared" si="193"/>
        <v/>
      </c>
      <c r="V490" s="46">
        <f t="shared" si="193"/>
        <v>57</v>
      </c>
      <c r="W490" s="46" t="str">
        <f t="shared" si="193"/>
        <v/>
      </c>
      <c r="X490" s="46" t="str">
        <f t="shared" si="192"/>
        <v/>
      </c>
    </row>
    <row r="491" spans="2:26" x14ac:dyDescent="0.25">
      <c r="B491" s="11" t="str">
        <f>CONCATENATE("BELV","-",LEFT(P491,2),UPPER(MID(P491,4,3)),RIGHT(P491,4))</f>
        <v>BELV-17JAN1914</v>
      </c>
      <c r="C491" s="11" t="s">
        <v>3291</v>
      </c>
      <c r="D491" s="11" t="s">
        <v>1906</v>
      </c>
      <c r="E491" s="39" t="s">
        <v>4404</v>
      </c>
      <c r="F491" s="11" t="s">
        <v>1700</v>
      </c>
      <c r="G491" s="39" t="s">
        <v>1350</v>
      </c>
      <c r="I491" s="7">
        <v>0</v>
      </c>
      <c r="J491" s="7">
        <v>20</v>
      </c>
      <c r="L491" s="7">
        <f>SUM(H491:K491)</f>
        <v>20</v>
      </c>
      <c r="M491" s="8">
        <v>1</v>
      </c>
      <c r="N491" s="8">
        <f>IF(L491&gt;0,1,"")</f>
        <v>1</v>
      </c>
      <c r="O491" s="11" t="s">
        <v>1702</v>
      </c>
      <c r="P491" s="16" t="str">
        <f>IF(LEN(G491)=10,CONCATENATE("0",G491),G491)</f>
        <v>17-Jan-1914</v>
      </c>
      <c r="R491" s="16" t="str">
        <f t="shared" ref="R491:S495" si="199">IF($L491&gt;0,"x","")</f>
        <v>x</v>
      </c>
      <c r="S491" s="16" t="str">
        <f t="shared" si="199"/>
        <v>x</v>
      </c>
      <c r="U491" s="46" t="str">
        <f t="shared" si="193"/>
        <v/>
      </c>
      <c r="V491" s="46">
        <f t="shared" si="193"/>
        <v>20</v>
      </c>
      <c r="W491" s="46" t="str">
        <f t="shared" si="193"/>
        <v/>
      </c>
      <c r="X491" s="46" t="str">
        <f t="shared" si="192"/>
        <v/>
      </c>
    </row>
    <row r="492" spans="2:26" x14ac:dyDescent="0.25">
      <c r="B492" s="11" t="str">
        <f>CONCATENATE("BELV","-",LEFT(P492,2),UPPER(MID(P492,4,3)),RIGHT(P492,4))</f>
        <v>BELV-09JUL1914</v>
      </c>
      <c r="C492" s="11" t="s">
        <v>3291</v>
      </c>
      <c r="D492" s="11" t="s">
        <v>1906</v>
      </c>
      <c r="E492" s="39" t="s">
        <v>5461</v>
      </c>
      <c r="F492" s="11" t="s">
        <v>1700</v>
      </c>
      <c r="G492" s="39" t="s">
        <v>11142</v>
      </c>
      <c r="H492" s="7">
        <v>0</v>
      </c>
      <c r="I492" s="7">
        <v>6</v>
      </c>
      <c r="J492" s="7">
        <v>8</v>
      </c>
      <c r="L492" s="7">
        <f>SUM(H492:K492)</f>
        <v>14</v>
      </c>
      <c r="M492" s="8">
        <v>1</v>
      </c>
      <c r="N492" s="8">
        <f>IF(L492&gt;0,1,"")</f>
        <v>1</v>
      </c>
      <c r="O492" s="11" t="s">
        <v>1702</v>
      </c>
      <c r="P492" s="16" t="str">
        <f>IF(LEN(G492)=10,CONCATENATE("0",G492),G492)</f>
        <v>09-Jul-1914</v>
      </c>
      <c r="R492" s="16" t="str">
        <f t="shared" si="199"/>
        <v>x</v>
      </c>
      <c r="S492" s="16" t="str">
        <f t="shared" si="199"/>
        <v>x</v>
      </c>
      <c r="U492" s="46" t="str">
        <f t="shared" si="193"/>
        <v/>
      </c>
      <c r="V492" s="46">
        <f t="shared" si="193"/>
        <v>14</v>
      </c>
      <c r="W492" s="46" t="str">
        <f t="shared" si="193"/>
        <v/>
      </c>
      <c r="X492" s="46" t="str">
        <f t="shared" si="192"/>
        <v/>
      </c>
    </row>
    <row r="493" spans="2:26" x14ac:dyDescent="0.25">
      <c r="B493" s="11" t="str">
        <f>CONCATENATE("BELV","-",LEFT(P493,2),UPPER(MID(P493,4,3)),RIGHT(P493,4))</f>
        <v>BELV-16SEP1919</v>
      </c>
      <c r="C493" s="11" t="s">
        <v>3291</v>
      </c>
      <c r="D493" s="11" t="s">
        <v>1906</v>
      </c>
      <c r="E493" s="39" t="s">
        <v>6303</v>
      </c>
      <c r="F493" s="11" t="s">
        <v>1700</v>
      </c>
      <c r="G493" s="39" t="s">
        <v>6304</v>
      </c>
      <c r="H493" s="7">
        <v>0</v>
      </c>
      <c r="I493" s="7">
        <v>2</v>
      </c>
      <c r="J493" s="7">
        <v>23</v>
      </c>
      <c r="L493" s="7">
        <f>SUM(H493:K493)</f>
        <v>25</v>
      </c>
      <c r="M493" s="8">
        <v>1</v>
      </c>
      <c r="N493" s="8">
        <f>IF(L493&gt;0,1,"")</f>
        <v>1</v>
      </c>
      <c r="O493" s="11" t="s">
        <v>1702</v>
      </c>
      <c r="P493" s="16" t="str">
        <f>IF(LEN(G493)=10,CONCATENATE("0",G493),G493)</f>
        <v>16-Sep-1919</v>
      </c>
      <c r="R493" s="16" t="str">
        <f t="shared" si="199"/>
        <v>x</v>
      </c>
      <c r="S493" s="16" t="str">
        <f t="shared" si="199"/>
        <v>x</v>
      </c>
      <c r="U493" s="46" t="str">
        <f t="shared" si="193"/>
        <v/>
      </c>
      <c r="V493" s="46">
        <f t="shared" si="193"/>
        <v>25</v>
      </c>
      <c r="W493" s="46" t="str">
        <f t="shared" si="193"/>
        <v/>
      </c>
      <c r="X493" s="46" t="str">
        <f t="shared" si="192"/>
        <v/>
      </c>
    </row>
    <row r="494" spans="2:26" x14ac:dyDescent="0.25">
      <c r="B494" s="11" t="str">
        <f t="shared" si="195"/>
        <v>BELV-25NOV1919</v>
      </c>
      <c r="C494" s="11" t="s">
        <v>3291</v>
      </c>
      <c r="D494" s="11" t="s">
        <v>1906</v>
      </c>
      <c r="E494" s="39" t="s">
        <v>4196</v>
      </c>
      <c r="F494" s="11" t="s">
        <v>1700</v>
      </c>
      <c r="G494" s="39" t="s">
        <v>4197</v>
      </c>
      <c r="H494" s="7">
        <v>1</v>
      </c>
      <c r="I494" s="7">
        <f>10+2</f>
        <v>12</v>
      </c>
      <c r="J494" s="7">
        <v>9</v>
      </c>
      <c r="L494" s="7">
        <f t="shared" si="196"/>
        <v>22</v>
      </c>
      <c r="M494" s="8">
        <v>1</v>
      </c>
      <c r="N494" s="8">
        <f t="shared" si="197"/>
        <v>1</v>
      </c>
      <c r="O494" s="11" t="s">
        <v>1702</v>
      </c>
      <c r="P494" s="16" t="str">
        <f t="shared" si="198"/>
        <v>25-Nov-1919</v>
      </c>
      <c r="R494" s="16" t="str">
        <f t="shared" si="199"/>
        <v>x</v>
      </c>
      <c r="S494" s="16" t="str">
        <f t="shared" si="199"/>
        <v>x</v>
      </c>
      <c r="U494" s="46" t="str">
        <f t="shared" si="193"/>
        <v/>
      </c>
      <c r="V494" s="46">
        <f t="shared" si="193"/>
        <v>22</v>
      </c>
      <c r="W494" s="46" t="str">
        <f t="shared" si="193"/>
        <v/>
      </c>
      <c r="X494" s="46" t="str">
        <f t="shared" si="192"/>
        <v/>
      </c>
    </row>
    <row r="495" spans="2:26" x14ac:dyDescent="0.25">
      <c r="B495" s="11" t="str">
        <f t="shared" si="195"/>
        <v>BELV-31JAN1920</v>
      </c>
      <c r="C495" s="11" t="s">
        <v>3291</v>
      </c>
      <c r="D495" s="11" t="s">
        <v>1906</v>
      </c>
      <c r="E495" s="39" t="s">
        <v>5342</v>
      </c>
      <c r="F495" s="11" t="s">
        <v>1700</v>
      </c>
      <c r="G495" s="39" t="s">
        <v>1137</v>
      </c>
      <c r="I495" s="7">
        <v>2</v>
      </c>
      <c r="J495" s="7">
        <v>10</v>
      </c>
      <c r="L495" s="7">
        <f t="shared" si="196"/>
        <v>12</v>
      </c>
      <c r="M495" s="8">
        <v>1</v>
      </c>
      <c r="N495" s="8">
        <f t="shared" si="197"/>
        <v>1</v>
      </c>
      <c r="O495" s="11" t="s">
        <v>1702</v>
      </c>
      <c r="P495" s="16" t="str">
        <f t="shared" si="198"/>
        <v>31-Jan-1920</v>
      </c>
      <c r="R495" s="16" t="str">
        <f t="shared" si="199"/>
        <v>x</v>
      </c>
      <c r="S495" s="16" t="str">
        <f t="shared" si="199"/>
        <v>x</v>
      </c>
      <c r="U495" s="46" t="str">
        <f t="shared" si="193"/>
        <v/>
      </c>
      <c r="V495" s="46">
        <f t="shared" si="193"/>
        <v>12</v>
      </c>
      <c r="W495" s="46" t="str">
        <f t="shared" si="193"/>
        <v/>
      </c>
      <c r="X495" s="46" t="str">
        <f t="shared" si="192"/>
        <v/>
      </c>
    </row>
    <row r="496" spans="2:26" x14ac:dyDescent="0.25">
      <c r="B496" s="11" t="str">
        <f t="shared" si="195"/>
        <v>BELV-18JAN1921</v>
      </c>
      <c r="C496" s="11" t="s">
        <v>3291</v>
      </c>
      <c r="D496" s="11" t="s">
        <v>1906</v>
      </c>
      <c r="E496" s="39" t="s">
        <v>3292</v>
      </c>
      <c r="F496" s="11" t="s">
        <v>1700</v>
      </c>
      <c r="G496" s="39" t="s">
        <v>3293</v>
      </c>
      <c r="I496" s="7">
        <v>9</v>
      </c>
      <c r="J496" s="7">
        <v>49</v>
      </c>
      <c r="L496" s="7">
        <f t="shared" si="196"/>
        <v>58</v>
      </c>
      <c r="M496" s="8">
        <v>1</v>
      </c>
      <c r="N496" s="8">
        <f t="shared" si="197"/>
        <v>1</v>
      </c>
      <c r="O496" s="11" t="s">
        <v>1702</v>
      </c>
      <c r="P496" s="16" t="str">
        <f t="shared" si="198"/>
        <v>18-Jan-1921</v>
      </c>
      <c r="R496" s="16" t="str">
        <f t="shared" ref="R496:S498" si="200">IF($L496&gt;0,"x","")</f>
        <v>x</v>
      </c>
      <c r="S496" s="16" t="str">
        <f t="shared" si="200"/>
        <v>x</v>
      </c>
      <c r="U496" s="46" t="str">
        <f t="shared" si="193"/>
        <v/>
      </c>
      <c r="V496" s="46">
        <f t="shared" si="193"/>
        <v>58</v>
      </c>
      <c r="W496" s="46" t="str">
        <f t="shared" si="193"/>
        <v/>
      </c>
      <c r="X496" s="46" t="str">
        <f t="shared" si="192"/>
        <v/>
      </c>
    </row>
    <row r="497" spans="2:26" x14ac:dyDescent="0.25">
      <c r="B497" s="11" t="str">
        <f t="shared" si="195"/>
        <v>BELV-30MAR1921</v>
      </c>
      <c r="C497" s="11" t="s">
        <v>3291</v>
      </c>
      <c r="D497" s="11" t="s">
        <v>1906</v>
      </c>
      <c r="E497" s="39" t="s">
        <v>1598</v>
      </c>
      <c r="F497" s="11" t="s">
        <v>1700</v>
      </c>
      <c r="G497" s="39" t="s">
        <v>4225</v>
      </c>
      <c r="I497" s="7">
        <f>14+1</f>
        <v>15</v>
      </c>
      <c r="J497" s="7">
        <v>55</v>
      </c>
      <c r="L497" s="7">
        <f t="shared" si="196"/>
        <v>70</v>
      </c>
      <c r="M497" s="8">
        <v>1</v>
      </c>
      <c r="N497" s="8">
        <f t="shared" si="197"/>
        <v>1</v>
      </c>
      <c r="O497" s="11" t="s">
        <v>1702</v>
      </c>
      <c r="P497" s="16" t="str">
        <f t="shared" si="198"/>
        <v>30-Mar-1921</v>
      </c>
      <c r="R497" s="16" t="str">
        <f t="shared" si="200"/>
        <v>x</v>
      </c>
      <c r="S497" s="16" t="str">
        <f t="shared" si="200"/>
        <v>x</v>
      </c>
      <c r="U497" s="46" t="str">
        <f t="shared" si="193"/>
        <v/>
      </c>
      <c r="V497" s="46">
        <f t="shared" si="193"/>
        <v>70</v>
      </c>
      <c r="W497" s="46" t="str">
        <f t="shared" si="193"/>
        <v/>
      </c>
      <c r="X497" s="46" t="str">
        <f t="shared" si="192"/>
        <v/>
      </c>
    </row>
    <row r="498" spans="2:26" x14ac:dyDescent="0.25">
      <c r="B498" s="11" t="str">
        <f t="shared" si="195"/>
        <v>BELV-03AUG1922</v>
      </c>
      <c r="C498" s="11" t="s">
        <v>3291</v>
      </c>
      <c r="D498" s="11" t="s">
        <v>1906</v>
      </c>
      <c r="E498" s="39" t="s">
        <v>4604</v>
      </c>
      <c r="F498" s="11" t="s">
        <v>1700</v>
      </c>
      <c r="G498" s="39" t="s">
        <v>4605</v>
      </c>
      <c r="I498" s="7">
        <v>8</v>
      </c>
      <c r="J498" s="7">
        <f>12+3</f>
        <v>15</v>
      </c>
      <c r="L498" s="7">
        <f t="shared" si="196"/>
        <v>23</v>
      </c>
      <c r="M498" s="8">
        <v>1</v>
      </c>
      <c r="N498" s="8">
        <f t="shared" si="197"/>
        <v>1</v>
      </c>
      <c r="O498" s="11" t="s">
        <v>1702</v>
      </c>
      <c r="P498" s="16" t="str">
        <f t="shared" si="198"/>
        <v>03-Aug-1922</v>
      </c>
      <c r="R498" s="16" t="str">
        <f t="shared" si="200"/>
        <v>x</v>
      </c>
      <c r="S498" s="16" t="str">
        <f t="shared" si="200"/>
        <v>x</v>
      </c>
      <c r="U498" s="46" t="str">
        <f t="shared" si="193"/>
        <v/>
      </c>
      <c r="V498" s="46">
        <f t="shared" si="193"/>
        <v>23</v>
      </c>
      <c r="W498" s="46" t="str">
        <f t="shared" si="193"/>
        <v/>
      </c>
      <c r="X498" s="46" t="str">
        <f t="shared" si="192"/>
        <v/>
      </c>
    </row>
    <row r="499" spans="2:26" x14ac:dyDescent="0.25">
      <c r="N499" s="8" t="str">
        <f>IF(R499="x",1,"")</f>
        <v/>
      </c>
      <c r="U499" s="46" t="str">
        <f t="shared" si="193"/>
        <v/>
      </c>
      <c r="V499" s="46" t="str">
        <f t="shared" si="193"/>
        <v/>
      </c>
      <c r="W499" s="46" t="str">
        <f t="shared" si="193"/>
        <v/>
      </c>
      <c r="X499" s="46" t="str">
        <f t="shared" si="192"/>
        <v/>
      </c>
    </row>
    <row r="500" spans="2:26" s="18" customFormat="1" x14ac:dyDescent="0.25">
      <c r="E500" s="40"/>
      <c r="G500" s="40"/>
      <c r="H500" s="7">
        <f t="shared" ref="H500:N500" si="201">SUM(H490:H499)</f>
        <v>1</v>
      </c>
      <c r="I500" s="7">
        <f t="shared" si="201"/>
        <v>60</v>
      </c>
      <c r="J500" s="7">
        <f>SUM(J490:J499)</f>
        <v>240</v>
      </c>
      <c r="K500" s="7">
        <f t="shared" si="201"/>
        <v>0</v>
      </c>
      <c r="L500" s="7">
        <f t="shared" si="201"/>
        <v>301</v>
      </c>
      <c r="M500" s="7">
        <f t="shared" si="201"/>
        <v>9</v>
      </c>
      <c r="N500" s="7">
        <f t="shared" si="201"/>
        <v>9</v>
      </c>
      <c r="P500" s="13"/>
      <c r="Q500" s="13"/>
      <c r="R500" s="13"/>
      <c r="S500" s="13"/>
      <c r="T500" s="15"/>
      <c r="U500" s="46" t="str">
        <f t="shared" si="193"/>
        <v/>
      </c>
      <c r="V500" s="46" t="str">
        <f t="shared" si="193"/>
        <v/>
      </c>
      <c r="W500" s="46" t="str">
        <f t="shared" si="193"/>
        <v/>
      </c>
      <c r="X500" s="46" t="str">
        <f t="shared" si="192"/>
        <v/>
      </c>
      <c r="Z500" s="11"/>
    </row>
    <row r="501" spans="2:26" s="18" customFormat="1" x14ac:dyDescent="0.25">
      <c r="E501" s="40"/>
      <c r="G501" s="40"/>
      <c r="H501" s="7"/>
      <c r="I501" s="7"/>
      <c r="J501" s="7"/>
      <c r="K501" s="7"/>
      <c r="L501" s="7"/>
      <c r="M501" s="8"/>
      <c r="N501" s="8" t="str">
        <f>IF(R501="x",1,"")</f>
        <v/>
      </c>
      <c r="P501" s="13"/>
      <c r="Q501" s="13"/>
      <c r="R501" s="13"/>
      <c r="S501" s="13"/>
      <c r="T501" s="15"/>
      <c r="U501" s="46" t="str">
        <f t="shared" ref="U501:X530" si="202">IF($O501=U$5,$L501,"")</f>
        <v/>
      </c>
      <c r="V501" s="46" t="str">
        <f t="shared" si="202"/>
        <v/>
      </c>
      <c r="W501" s="46" t="str">
        <f t="shared" si="202"/>
        <v/>
      </c>
      <c r="X501" s="46" t="str">
        <f t="shared" si="202"/>
        <v/>
      </c>
      <c r="Z501" s="11"/>
    </row>
    <row r="502" spans="2:26" s="18" customFormat="1" x14ac:dyDescent="0.25">
      <c r="E502" s="40"/>
      <c r="G502" s="40"/>
      <c r="H502" s="7"/>
      <c r="I502" s="7"/>
      <c r="J502" s="7"/>
      <c r="K502" s="7"/>
      <c r="L502" s="7"/>
      <c r="M502" s="8"/>
      <c r="N502" s="8" t="str">
        <f>IF(R502="x",1,"")</f>
        <v/>
      </c>
      <c r="P502" s="13"/>
      <c r="Q502" s="13"/>
      <c r="R502" s="13"/>
      <c r="S502" s="13"/>
      <c r="T502" s="15"/>
      <c r="U502" s="46" t="str">
        <f t="shared" si="202"/>
        <v/>
      </c>
      <c r="V502" s="46" t="str">
        <f t="shared" si="202"/>
        <v/>
      </c>
      <c r="W502" s="46" t="str">
        <f t="shared" si="202"/>
        <v/>
      </c>
      <c r="X502" s="46" t="str">
        <f t="shared" si="202"/>
        <v/>
      </c>
      <c r="Z502" s="11"/>
    </row>
    <row r="503" spans="2:26" x14ac:dyDescent="0.25">
      <c r="B503" s="11" t="str">
        <f t="shared" ref="B503:B511" si="203">CONCATENATE("BERE","-",LEFT(P503,2),UPPER(MID(P503,4,3)),RIGHT(P503,4))</f>
        <v>BERE-14AUG1921</v>
      </c>
      <c r="C503" s="11" t="s">
        <v>4541</v>
      </c>
      <c r="D503" s="11" t="s">
        <v>2224</v>
      </c>
      <c r="E503" s="39" t="s">
        <v>3013</v>
      </c>
      <c r="F503" s="11" t="s">
        <v>1700</v>
      </c>
      <c r="G503" s="39" t="s">
        <v>4542</v>
      </c>
      <c r="H503" s="7">
        <v>0</v>
      </c>
      <c r="I503" s="7">
        <v>0</v>
      </c>
      <c r="J503" s="7">
        <v>7</v>
      </c>
      <c r="L503" s="7">
        <f t="shared" ref="L503:L511" si="204">SUM(H503:K503)</f>
        <v>7</v>
      </c>
      <c r="M503" s="8">
        <v>1</v>
      </c>
      <c r="N503" s="8">
        <f t="shared" ref="N503:N511" si="205">IF(L503&gt;0,1,"")</f>
        <v>1</v>
      </c>
      <c r="O503" s="11" t="s">
        <v>1702</v>
      </c>
      <c r="P503" s="16" t="str">
        <f t="shared" ref="P503:P511" si="206">IF(LEN(G503)=10,CONCATENATE("0",G503),G503)</f>
        <v>14-Aug-1921</v>
      </c>
      <c r="R503" s="16" t="str">
        <f t="shared" ref="R503:S512" si="207">IF($L503&gt;0,"x","")</f>
        <v>x</v>
      </c>
      <c r="S503" s="16" t="str">
        <f t="shared" si="207"/>
        <v>x</v>
      </c>
      <c r="U503" s="46" t="str">
        <f t="shared" si="202"/>
        <v/>
      </c>
      <c r="V503" s="46">
        <f t="shared" si="202"/>
        <v>7</v>
      </c>
      <c r="W503" s="46" t="str">
        <f t="shared" si="202"/>
        <v/>
      </c>
      <c r="X503" s="46" t="str">
        <f t="shared" si="202"/>
        <v/>
      </c>
    </row>
    <row r="504" spans="2:26" x14ac:dyDescent="0.25">
      <c r="B504" s="11" t="str">
        <f t="shared" si="203"/>
        <v>BERE-05MAR1924</v>
      </c>
      <c r="C504" s="11" t="s">
        <v>4541</v>
      </c>
      <c r="D504" s="11" t="s">
        <v>2224</v>
      </c>
      <c r="E504" s="39" t="s">
        <v>4936</v>
      </c>
      <c r="F504" s="11" t="s">
        <v>1700</v>
      </c>
      <c r="G504" s="39" t="s">
        <v>4937</v>
      </c>
      <c r="H504" s="7">
        <v>0</v>
      </c>
      <c r="I504" s="7">
        <v>1</v>
      </c>
      <c r="J504" s="7">
        <v>2</v>
      </c>
      <c r="L504" s="7">
        <f t="shared" si="204"/>
        <v>3</v>
      </c>
      <c r="M504" s="8">
        <v>1</v>
      </c>
      <c r="N504" s="8">
        <f t="shared" si="205"/>
        <v>1</v>
      </c>
      <c r="O504" s="11" t="s">
        <v>1702</v>
      </c>
      <c r="P504" s="16" t="str">
        <f t="shared" si="206"/>
        <v>05-Mar-1924</v>
      </c>
      <c r="R504" s="16" t="str">
        <f t="shared" si="207"/>
        <v>x</v>
      </c>
      <c r="S504" s="16" t="str">
        <f t="shared" si="207"/>
        <v>x</v>
      </c>
      <c r="U504" s="46" t="str">
        <f t="shared" si="202"/>
        <v/>
      </c>
      <c r="V504" s="46">
        <f t="shared" si="202"/>
        <v>3</v>
      </c>
      <c r="W504" s="46" t="str">
        <f t="shared" si="202"/>
        <v/>
      </c>
      <c r="X504" s="46" t="str">
        <f t="shared" si="202"/>
        <v/>
      </c>
    </row>
    <row r="505" spans="2:26" x14ac:dyDescent="0.25">
      <c r="B505" s="11" t="str">
        <f t="shared" si="203"/>
        <v>BERE-24OCT1925</v>
      </c>
      <c r="C505" s="11" t="s">
        <v>4541</v>
      </c>
      <c r="D505" s="11" t="s">
        <v>2224</v>
      </c>
      <c r="E505" s="39" t="s">
        <v>4591</v>
      </c>
      <c r="F505" s="11" t="s">
        <v>1700</v>
      </c>
      <c r="G505" s="39" t="s">
        <v>4592</v>
      </c>
      <c r="H505" s="7">
        <v>0</v>
      </c>
      <c r="I505" s="7">
        <v>5</v>
      </c>
      <c r="J505" s="7">
        <f>1+1</f>
        <v>2</v>
      </c>
      <c r="L505" s="7">
        <f t="shared" si="204"/>
        <v>7</v>
      </c>
      <c r="M505" s="8">
        <v>1</v>
      </c>
      <c r="N505" s="8">
        <f t="shared" si="205"/>
        <v>1</v>
      </c>
      <c r="O505" s="11" t="s">
        <v>1702</v>
      </c>
      <c r="P505" s="16" t="str">
        <f t="shared" si="206"/>
        <v>24-Oct-1925</v>
      </c>
      <c r="R505" s="16" t="str">
        <f t="shared" si="207"/>
        <v>x</v>
      </c>
      <c r="S505" s="16" t="str">
        <f t="shared" si="207"/>
        <v>x</v>
      </c>
      <c r="U505" s="46" t="str">
        <f t="shared" si="202"/>
        <v/>
      </c>
      <c r="V505" s="46">
        <f t="shared" si="202"/>
        <v>7</v>
      </c>
      <c r="W505" s="46" t="str">
        <f t="shared" si="202"/>
        <v/>
      </c>
      <c r="X505" s="46" t="str">
        <f t="shared" si="202"/>
        <v/>
      </c>
    </row>
    <row r="506" spans="2:26" x14ac:dyDescent="0.25">
      <c r="B506" s="11" t="str">
        <f>CONCATENATE("BERE","-",LEFT(P506,2),UPPER(MID(P506,4,3)),RIGHT(P506,4))</f>
        <v>BERE-08FEB1928</v>
      </c>
      <c r="C506" s="11" t="s">
        <v>4541</v>
      </c>
      <c r="D506" s="11" t="s">
        <v>2224</v>
      </c>
      <c r="E506" s="39" t="s">
        <v>5620</v>
      </c>
      <c r="F506" s="11" t="s">
        <v>1700</v>
      </c>
      <c r="G506" s="39" t="s">
        <v>11441</v>
      </c>
      <c r="H506" s="7">
        <v>1</v>
      </c>
      <c r="I506" s="7">
        <v>0</v>
      </c>
      <c r="J506" s="7">
        <v>3</v>
      </c>
      <c r="L506" s="7">
        <f>SUM(H506:K506)</f>
        <v>4</v>
      </c>
      <c r="M506" s="8">
        <v>1</v>
      </c>
      <c r="N506" s="8">
        <f>IF(L506&gt;0,1,"")</f>
        <v>1</v>
      </c>
      <c r="O506" s="11" t="s">
        <v>1702</v>
      </c>
      <c r="P506" s="16" t="str">
        <f>IF(LEN(G506)=10,CONCATENATE("0",G506),G506)</f>
        <v>08-Feb-1928</v>
      </c>
      <c r="R506" s="16" t="str">
        <f t="shared" si="207"/>
        <v>x</v>
      </c>
      <c r="S506" s="16" t="str">
        <f t="shared" si="207"/>
        <v>x</v>
      </c>
      <c r="U506" s="46" t="str">
        <f t="shared" si="202"/>
        <v/>
      </c>
      <c r="V506" s="46">
        <f t="shared" si="202"/>
        <v>4</v>
      </c>
      <c r="W506" s="46" t="str">
        <f t="shared" si="202"/>
        <v/>
      </c>
      <c r="X506" s="46" t="str">
        <f t="shared" si="202"/>
        <v/>
      </c>
    </row>
    <row r="507" spans="2:26" x14ac:dyDescent="0.25">
      <c r="B507" s="11" t="str">
        <f t="shared" si="203"/>
        <v>BERE-30MAR1928</v>
      </c>
      <c r="C507" s="11" t="s">
        <v>4541</v>
      </c>
      <c r="D507" s="11" t="s">
        <v>2224</v>
      </c>
      <c r="E507" s="39" t="s">
        <v>5824</v>
      </c>
      <c r="F507" s="11" t="s">
        <v>1700</v>
      </c>
      <c r="G507" s="39" t="s">
        <v>5825</v>
      </c>
      <c r="H507" s="7">
        <v>0</v>
      </c>
      <c r="I507" s="7">
        <f>1+1</f>
        <v>2</v>
      </c>
      <c r="J507" s="7">
        <v>5</v>
      </c>
      <c r="L507" s="7">
        <f t="shared" si="204"/>
        <v>7</v>
      </c>
      <c r="M507" s="8">
        <v>1</v>
      </c>
      <c r="N507" s="8">
        <f t="shared" si="205"/>
        <v>1</v>
      </c>
      <c r="O507" s="11" t="s">
        <v>1702</v>
      </c>
      <c r="P507" s="16" t="str">
        <f t="shared" si="206"/>
        <v>30-Mar-1928</v>
      </c>
      <c r="R507" s="16" t="str">
        <f t="shared" si="207"/>
        <v>x</v>
      </c>
      <c r="S507" s="16" t="str">
        <f t="shared" si="207"/>
        <v>x</v>
      </c>
      <c r="U507" s="46" t="str">
        <f t="shared" si="202"/>
        <v/>
      </c>
      <c r="V507" s="46">
        <f t="shared" si="202"/>
        <v>7</v>
      </c>
      <c r="W507" s="46" t="str">
        <f t="shared" si="202"/>
        <v/>
      </c>
      <c r="X507" s="46" t="str">
        <f t="shared" si="202"/>
        <v/>
      </c>
    </row>
    <row r="508" spans="2:26" x14ac:dyDescent="0.25">
      <c r="B508" s="11" t="str">
        <f>CONCATENATE("BERE","-",LEFT(P508,2),UPPER(MID(P508,4,3)),RIGHT(P508,4))</f>
        <v>BERE-22JUN1928</v>
      </c>
      <c r="C508" s="11" t="s">
        <v>4541</v>
      </c>
      <c r="D508" s="11" t="s">
        <v>2224</v>
      </c>
      <c r="E508" s="39" t="s">
        <v>5887</v>
      </c>
      <c r="F508" s="11" t="s">
        <v>1700</v>
      </c>
      <c r="G508" s="39" t="s">
        <v>5888</v>
      </c>
      <c r="H508" s="7">
        <v>0</v>
      </c>
      <c r="I508" s="7">
        <v>2</v>
      </c>
      <c r="J508" s="7">
        <v>1</v>
      </c>
      <c r="L508" s="7">
        <f>SUM(H508:K508)</f>
        <v>3</v>
      </c>
      <c r="M508" s="8">
        <v>1</v>
      </c>
      <c r="N508" s="8">
        <f>IF(L508&gt;0,1,"")</f>
        <v>1</v>
      </c>
      <c r="O508" s="11" t="s">
        <v>1702</v>
      </c>
      <c r="P508" s="16" t="str">
        <f>IF(LEN(G508)=10,CONCATENATE("0",G508),G508)</f>
        <v>22-Jun-1928</v>
      </c>
      <c r="R508" s="16" t="str">
        <f t="shared" si="207"/>
        <v>x</v>
      </c>
      <c r="S508" s="16" t="str">
        <f t="shared" si="207"/>
        <v>x</v>
      </c>
      <c r="U508" s="46" t="str">
        <f t="shared" si="202"/>
        <v/>
      </c>
      <c r="V508" s="46">
        <f t="shared" si="202"/>
        <v>3</v>
      </c>
      <c r="W508" s="46" t="str">
        <f t="shared" si="202"/>
        <v/>
      </c>
      <c r="X508" s="46" t="str">
        <f t="shared" si="202"/>
        <v/>
      </c>
    </row>
    <row r="509" spans="2:26" x14ac:dyDescent="0.25">
      <c r="B509" s="11" t="str">
        <f t="shared" si="203"/>
        <v>BERE-13SEP1929</v>
      </c>
      <c r="C509" s="11" t="s">
        <v>4541</v>
      </c>
      <c r="D509" s="11" t="s">
        <v>2224</v>
      </c>
      <c r="E509" s="39" t="s">
        <v>4581</v>
      </c>
      <c r="F509" s="11" t="s">
        <v>1700</v>
      </c>
      <c r="G509" s="39" t="s">
        <v>4582</v>
      </c>
      <c r="H509" s="7">
        <v>0</v>
      </c>
      <c r="I509" s="7">
        <v>0</v>
      </c>
      <c r="J509" s="7">
        <v>5</v>
      </c>
      <c r="L509" s="7">
        <f t="shared" si="204"/>
        <v>5</v>
      </c>
      <c r="M509" s="8">
        <v>1</v>
      </c>
      <c r="N509" s="8">
        <f t="shared" si="205"/>
        <v>1</v>
      </c>
      <c r="O509" s="11" t="s">
        <v>1702</v>
      </c>
      <c r="P509" s="16" t="str">
        <f t="shared" si="206"/>
        <v>13-Sep-1929</v>
      </c>
      <c r="R509" s="16" t="str">
        <f t="shared" si="207"/>
        <v>x</v>
      </c>
      <c r="S509" s="16" t="str">
        <f t="shared" si="207"/>
        <v>x</v>
      </c>
      <c r="U509" s="46" t="str">
        <f t="shared" si="202"/>
        <v/>
      </c>
      <c r="V509" s="46">
        <f t="shared" si="202"/>
        <v>5</v>
      </c>
      <c r="W509" s="46" t="str">
        <f t="shared" si="202"/>
        <v/>
      </c>
      <c r="X509" s="46" t="str">
        <f t="shared" si="202"/>
        <v/>
      </c>
    </row>
    <row r="510" spans="2:26" x14ac:dyDescent="0.25">
      <c r="B510" s="11" t="str">
        <f t="shared" si="203"/>
        <v>BERE-12DEC1929</v>
      </c>
      <c r="C510" s="11" t="s">
        <v>4541</v>
      </c>
      <c r="D510" s="11" t="s">
        <v>2224</v>
      </c>
      <c r="E510" s="39" t="s">
        <v>4561</v>
      </c>
      <c r="F510" s="11" t="s">
        <v>1700</v>
      </c>
      <c r="G510" s="39" t="s">
        <v>4562</v>
      </c>
      <c r="H510" s="7">
        <v>0</v>
      </c>
      <c r="I510" s="7">
        <v>3</v>
      </c>
      <c r="J510" s="7">
        <v>2</v>
      </c>
      <c r="L510" s="7">
        <f t="shared" si="204"/>
        <v>5</v>
      </c>
      <c r="M510" s="8">
        <v>1</v>
      </c>
      <c r="N510" s="8">
        <f t="shared" si="205"/>
        <v>1</v>
      </c>
      <c r="O510" s="11" t="s">
        <v>1702</v>
      </c>
      <c r="P510" s="16" t="str">
        <f t="shared" si="206"/>
        <v>12-Dec-1929</v>
      </c>
      <c r="R510" s="16" t="str">
        <f t="shared" si="207"/>
        <v>x</v>
      </c>
      <c r="S510" s="16" t="str">
        <f t="shared" si="207"/>
        <v>x</v>
      </c>
      <c r="U510" s="46" t="str">
        <f t="shared" si="202"/>
        <v/>
      </c>
      <c r="V510" s="46">
        <f t="shared" si="202"/>
        <v>5</v>
      </c>
      <c r="W510" s="46" t="str">
        <f t="shared" si="202"/>
        <v/>
      </c>
      <c r="X510" s="46" t="str">
        <f t="shared" si="202"/>
        <v/>
      </c>
    </row>
    <row r="511" spans="2:26" x14ac:dyDescent="0.25">
      <c r="B511" s="11" t="str">
        <f t="shared" si="203"/>
        <v>BERE-18APR1930</v>
      </c>
      <c r="C511" s="11" t="s">
        <v>4541</v>
      </c>
      <c r="D511" s="11" t="s">
        <v>3619</v>
      </c>
      <c r="E511" s="39" t="s">
        <v>4815</v>
      </c>
      <c r="F511" s="11" t="s">
        <v>1700</v>
      </c>
      <c r="G511" s="39" t="s">
        <v>4816</v>
      </c>
      <c r="H511" s="7">
        <v>0</v>
      </c>
      <c r="I511" s="7">
        <f>2+3</f>
        <v>5</v>
      </c>
      <c r="J511" s="7">
        <v>0</v>
      </c>
      <c r="L511" s="7">
        <f t="shared" si="204"/>
        <v>5</v>
      </c>
      <c r="M511" s="8">
        <v>1</v>
      </c>
      <c r="N511" s="8">
        <f t="shared" si="205"/>
        <v>1</v>
      </c>
      <c r="O511" s="11" t="s">
        <v>1702</v>
      </c>
      <c r="P511" s="16" t="str">
        <f t="shared" si="206"/>
        <v>18-Apr-1930</v>
      </c>
      <c r="R511" s="16" t="str">
        <f t="shared" si="207"/>
        <v>x</v>
      </c>
      <c r="S511" s="16" t="str">
        <f t="shared" si="207"/>
        <v>x</v>
      </c>
      <c r="U511" s="46" t="str">
        <f t="shared" si="202"/>
        <v/>
      </c>
      <c r="V511" s="46">
        <f t="shared" si="202"/>
        <v>5</v>
      </c>
      <c r="W511" s="46" t="str">
        <f t="shared" si="202"/>
        <v/>
      </c>
      <c r="X511" s="46" t="str">
        <f t="shared" si="202"/>
        <v/>
      </c>
    </row>
    <row r="512" spans="2:26" x14ac:dyDescent="0.25">
      <c r="B512" s="11" t="str">
        <f>CONCATENATE("BERE","-",LEFT(P512,2),UPPER(MID(P512,4,3)),RIGHT(P512,4))</f>
        <v>BERE-29SEP1936</v>
      </c>
      <c r="C512" s="11" t="s">
        <v>4541</v>
      </c>
      <c r="D512" s="11" t="s">
        <v>2224</v>
      </c>
      <c r="E512" s="39" t="s">
        <v>11295</v>
      </c>
      <c r="F512" s="11" t="s">
        <v>1700</v>
      </c>
      <c r="G512" s="39" t="s">
        <v>11160</v>
      </c>
      <c r="I512" s="7">
        <v>0</v>
      </c>
      <c r="J512" s="7">
        <v>2</v>
      </c>
      <c r="L512" s="7">
        <f>SUM(H512:K512)</f>
        <v>2</v>
      </c>
      <c r="M512" s="8">
        <v>1</v>
      </c>
      <c r="N512" s="8">
        <f>IF(L512&gt;0,1,"")</f>
        <v>1</v>
      </c>
      <c r="O512" s="11" t="s">
        <v>1702</v>
      </c>
      <c r="P512" s="16" t="str">
        <f>IF(LEN(G512)=10,CONCATENATE("0",G512),G512)</f>
        <v>29-Sep-1936</v>
      </c>
      <c r="R512" s="16" t="str">
        <f t="shared" si="207"/>
        <v>x</v>
      </c>
      <c r="S512" s="16" t="str">
        <f t="shared" si="207"/>
        <v>x</v>
      </c>
      <c r="U512" s="46" t="str">
        <f t="shared" si="202"/>
        <v/>
      </c>
      <c r="V512" s="46">
        <f t="shared" si="202"/>
        <v>2</v>
      </c>
      <c r="W512" s="46" t="str">
        <f t="shared" si="202"/>
        <v/>
      </c>
      <c r="X512" s="46" t="str">
        <f t="shared" si="202"/>
        <v/>
      </c>
    </row>
    <row r="513" spans="2:26" x14ac:dyDescent="0.25">
      <c r="N513" s="8" t="str">
        <f>IF(R513="x",1,"")</f>
        <v/>
      </c>
      <c r="U513" s="46" t="str">
        <f t="shared" si="202"/>
        <v/>
      </c>
      <c r="V513" s="46" t="str">
        <f t="shared" si="202"/>
        <v/>
      </c>
      <c r="W513" s="46" t="str">
        <f t="shared" si="202"/>
        <v/>
      </c>
      <c r="X513" s="46" t="str">
        <f t="shared" si="202"/>
        <v/>
      </c>
    </row>
    <row r="514" spans="2:26" s="18" customFormat="1" x14ac:dyDescent="0.25">
      <c r="E514" s="40"/>
      <c r="G514" s="40"/>
      <c r="H514" s="7">
        <f t="shared" ref="H514:N514" si="208">SUM(H503:H513)</f>
        <v>1</v>
      </c>
      <c r="I514" s="7">
        <f t="shared" si="208"/>
        <v>18</v>
      </c>
      <c r="J514" s="7">
        <f>SUM(J503:J513)</f>
        <v>29</v>
      </c>
      <c r="K514" s="7">
        <f t="shared" si="208"/>
        <v>0</v>
      </c>
      <c r="L514" s="7">
        <f t="shared" si="208"/>
        <v>48</v>
      </c>
      <c r="M514" s="7">
        <f t="shared" si="208"/>
        <v>10</v>
      </c>
      <c r="N514" s="7">
        <f t="shared" si="208"/>
        <v>10</v>
      </c>
      <c r="P514" s="13"/>
      <c r="Q514" s="13"/>
      <c r="R514" s="13"/>
      <c r="S514" s="13"/>
      <c r="T514" s="15"/>
      <c r="U514" s="46" t="str">
        <f t="shared" si="202"/>
        <v/>
      </c>
      <c r="V514" s="46" t="str">
        <f t="shared" si="202"/>
        <v/>
      </c>
      <c r="W514" s="46" t="str">
        <f t="shared" si="202"/>
        <v/>
      </c>
      <c r="X514" s="46" t="str">
        <f t="shared" si="202"/>
        <v/>
      </c>
      <c r="Z514" s="11"/>
    </row>
    <row r="515" spans="2:26" s="18" customFormat="1" x14ac:dyDescent="0.25">
      <c r="E515" s="40"/>
      <c r="G515" s="40"/>
      <c r="H515" s="7"/>
      <c r="I515" s="7"/>
      <c r="J515" s="7"/>
      <c r="K515" s="7"/>
      <c r="L515" s="7"/>
      <c r="M515" s="8"/>
      <c r="N515" s="8" t="str">
        <f>IF(R515="x",1,"")</f>
        <v/>
      </c>
      <c r="P515" s="13"/>
      <c r="Q515" s="13"/>
      <c r="R515" s="13"/>
      <c r="S515" s="13"/>
      <c r="T515" s="15"/>
      <c r="U515" s="46" t="str">
        <f t="shared" si="202"/>
        <v/>
      </c>
      <c r="V515" s="46" t="str">
        <f t="shared" si="202"/>
        <v/>
      </c>
      <c r="W515" s="46" t="str">
        <f t="shared" si="202"/>
        <v/>
      </c>
      <c r="X515" s="46" t="str">
        <f t="shared" si="202"/>
        <v/>
      </c>
      <c r="Z515" s="11"/>
    </row>
    <row r="516" spans="2:26" s="18" customFormat="1" x14ac:dyDescent="0.25">
      <c r="E516" s="40"/>
      <c r="G516" s="40"/>
      <c r="H516" s="7"/>
      <c r="I516" s="7"/>
      <c r="J516" s="7"/>
      <c r="K516" s="7"/>
      <c r="L516" s="7"/>
      <c r="M516" s="8"/>
      <c r="N516" s="8" t="str">
        <f>IF(R516="x",1,"")</f>
        <v/>
      </c>
      <c r="P516" s="13"/>
      <c r="Q516" s="13"/>
      <c r="R516" s="13"/>
      <c r="S516" s="13"/>
      <c r="T516" s="15"/>
      <c r="U516" s="46" t="str">
        <f t="shared" si="202"/>
        <v/>
      </c>
      <c r="V516" s="46" t="str">
        <f t="shared" si="202"/>
        <v/>
      </c>
      <c r="W516" s="46" t="str">
        <f t="shared" si="202"/>
        <v/>
      </c>
      <c r="X516" s="46" t="str">
        <f t="shared" si="202"/>
        <v/>
      </c>
      <c r="Z516" s="11"/>
    </row>
    <row r="517" spans="2:26" x14ac:dyDescent="0.25">
      <c r="B517" s="11" t="str">
        <f>CONCATENATE("BERG","-",LEFT(P517,2),UPPER(MID(P517,4,3)),RIGHT(P517,4))</f>
        <v>BERG-27MAR1916</v>
      </c>
      <c r="C517" s="11" t="s">
        <v>4842</v>
      </c>
      <c r="D517" s="11" t="s">
        <v>117</v>
      </c>
      <c r="E517" s="39" t="s">
        <v>4843</v>
      </c>
      <c r="F517" s="11" t="s">
        <v>1700</v>
      </c>
      <c r="G517" s="39" t="s">
        <v>4844</v>
      </c>
      <c r="H517" s="7">
        <v>0</v>
      </c>
      <c r="I517" s="7">
        <v>1</v>
      </c>
      <c r="J517" s="7">
        <v>6</v>
      </c>
      <c r="L517" s="7">
        <f>SUM(H517:K517)</f>
        <v>7</v>
      </c>
      <c r="M517" s="8">
        <v>1</v>
      </c>
      <c r="N517" s="8">
        <f>IF(L517&gt;0,1,"")</f>
        <v>1</v>
      </c>
      <c r="O517" s="11" t="s">
        <v>1702</v>
      </c>
      <c r="P517" s="16" t="str">
        <f>IF(LEN(G517)=10,CONCATENATE("0",G517),G517)</f>
        <v>27-Mar-1916</v>
      </c>
      <c r="R517" s="16" t="str">
        <f t="shared" ref="R517:S519" si="209">IF($L517&gt;0,"x","")</f>
        <v>x</v>
      </c>
      <c r="S517" s="16" t="str">
        <f t="shared" si="209"/>
        <v>x</v>
      </c>
      <c r="U517" s="46" t="str">
        <f t="shared" si="202"/>
        <v/>
      </c>
      <c r="V517" s="46">
        <f t="shared" si="202"/>
        <v>7</v>
      </c>
      <c r="W517" s="46" t="str">
        <f t="shared" si="202"/>
        <v/>
      </c>
      <c r="X517" s="46" t="str">
        <f t="shared" si="202"/>
        <v/>
      </c>
    </row>
    <row r="518" spans="2:26" x14ac:dyDescent="0.25">
      <c r="B518" s="11" t="str">
        <f>CONCATENATE("BERG","-",LEFT(P518,2),UPPER(MID(P518,4,3)),RIGHT(P518,4))</f>
        <v>BERG-09SEP1916</v>
      </c>
      <c r="C518" s="11" t="s">
        <v>4842</v>
      </c>
      <c r="D518" s="11" t="s">
        <v>117</v>
      </c>
      <c r="E518" s="39" t="s">
        <v>6101</v>
      </c>
      <c r="F518" s="11" t="s">
        <v>1700</v>
      </c>
      <c r="G518" s="39" t="s">
        <v>1069</v>
      </c>
      <c r="H518" s="7">
        <v>0</v>
      </c>
      <c r="I518" s="7">
        <v>1</v>
      </c>
      <c r="J518" s="7">
        <v>8</v>
      </c>
      <c r="L518" s="7">
        <f>SUM(H518:K518)</f>
        <v>9</v>
      </c>
      <c r="M518" s="8">
        <v>1</v>
      </c>
      <c r="N518" s="8">
        <f>IF(L518&gt;0,1,"")</f>
        <v>1</v>
      </c>
      <c r="O518" s="11" t="s">
        <v>1702</v>
      </c>
      <c r="P518" s="16" t="str">
        <f>IF(LEN(G518)=10,CONCATENATE("0",G518),G518)</f>
        <v>09-Sep-1916</v>
      </c>
      <c r="R518" s="16" t="str">
        <f t="shared" si="209"/>
        <v>x</v>
      </c>
      <c r="S518" s="16" t="str">
        <f t="shared" si="209"/>
        <v>x</v>
      </c>
      <c r="U518" s="46" t="str">
        <f t="shared" si="202"/>
        <v/>
      </c>
      <c r="V518" s="46">
        <f t="shared" si="202"/>
        <v>9</v>
      </c>
      <c r="W518" s="46" t="str">
        <f t="shared" si="202"/>
        <v/>
      </c>
      <c r="X518" s="46" t="str">
        <f t="shared" si="202"/>
        <v/>
      </c>
    </row>
    <row r="519" spans="2:26" x14ac:dyDescent="0.25">
      <c r="B519" s="11" t="str">
        <f>CONCATENATE("BERG","-",LEFT(P519,2),UPPER(MID(P519,4,3)),RIGHT(P519,4))</f>
        <v>BERG-09SEP1916</v>
      </c>
      <c r="C519" s="11" t="s">
        <v>4842</v>
      </c>
      <c r="D519" s="11" t="s">
        <v>4623</v>
      </c>
      <c r="E519" s="39" t="s">
        <v>6100</v>
      </c>
      <c r="F519" s="11" t="s">
        <v>1700</v>
      </c>
      <c r="G519" s="39" t="s">
        <v>1069</v>
      </c>
      <c r="H519" s="7">
        <v>0</v>
      </c>
      <c r="I519" s="7">
        <v>1</v>
      </c>
      <c r="J519" s="7">
        <v>8</v>
      </c>
      <c r="L519" s="7">
        <f>SUM(H519:K519)</f>
        <v>9</v>
      </c>
      <c r="M519" s="8">
        <v>1</v>
      </c>
      <c r="N519" s="8">
        <f>IF(L519&gt;0,1,"")</f>
        <v>1</v>
      </c>
      <c r="O519" s="11" t="s">
        <v>1702</v>
      </c>
      <c r="P519" s="16" t="str">
        <f>IF(LEN(G519)=10,CONCATENATE("0",G519),G519)</f>
        <v>09-Sep-1916</v>
      </c>
      <c r="R519" s="16" t="str">
        <f t="shared" si="209"/>
        <v>x</v>
      </c>
      <c r="S519" s="16" t="str">
        <f t="shared" si="209"/>
        <v>x</v>
      </c>
      <c r="U519" s="46" t="str">
        <f t="shared" si="202"/>
        <v/>
      </c>
      <c r="V519" s="46">
        <f t="shared" si="202"/>
        <v>9</v>
      </c>
      <c r="W519" s="46" t="str">
        <f t="shared" si="202"/>
        <v/>
      </c>
      <c r="X519" s="46" t="str">
        <f t="shared" si="202"/>
        <v/>
      </c>
    </row>
    <row r="520" spans="2:26" x14ac:dyDescent="0.25">
      <c r="N520" s="8" t="str">
        <f>IF(R520="x",1,"")</f>
        <v/>
      </c>
      <c r="U520" s="46" t="str">
        <f t="shared" si="202"/>
        <v/>
      </c>
      <c r="V520" s="46" t="str">
        <f t="shared" si="202"/>
        <v/>
      </c>
      <c r="W520" s="46" t="str">
        <f t="shared" si="202"/>
        <v/>
      </c>
      <c r="X520" s="46" t="str">
        <f t="shared" si="202"/>
        <v/>
      </c>
    </row>
    <row r="521" spans="2:26" s="18" customFormat="1" x14ac:dyDescent="0.25">
      <c r="E521" s="40"/>
      <c r="G521" s="40"/>
      <c r="H521" s="7">
        <f t="shared" ref="H521:N521" si="210">SUM(H517:H520)</f>
        <v>0</v>
      </c>
      <c r="I521" s="7">
        <f t="shared" si="210"/>
        <v>3</v>
      </c>
      <c r="J521" s="7">
        <f>SUM(J517:J520)</f>
        <v>22</v>
      </c>
      <c r="K521" s="7">
        <f t="shared" si="210"/>
        <v>0</v>
      </c>
      <c r="L521" s="7">
        <f t="shared" si="210"/>
        <v>25</v>
      </c>
      <c r="M521" s="7">
        <f t="shared" si="210"/>
        <v>3</v>
      </c>
      <c r="N521" s="7">
        <f t="shared" si="210"/>
        <v>3</v>
      </c>
      <c r="P521" s="13"/>
      <c r="Q521" s="13"/>
      <c r="R521" s="13"/>
      <c r="S521" s="13"/>
      <c r="T521" s="15"/>
      <c r="U521" s="46" t="str">
        <f t="shared" si="202"/>
        <v/>
      </c>
      <c r="V521" s="46" t="str">
        <f t="shared" si="202"/>
        <v/>
      </c>
      <c r="W521" s="46" t="str">
        <f t="shared" si="202"/>
        <v/>
      </c>
      <c r="X521" s="46" t="str">
        <f t="shared" si="202"/>
        <v/>
      </c>
      <c r="Z521" s="11"/>
    </row>
    <row r="522" spans="2:26" s="18" customFormat="1" x14ac:dyDescent="0.25">
      <c r="E522" s="40"/>
      <c r="G522" s="40"/>
      <c r="H522" s="7"/>
      <c r="I522" s="7"/>
      <c r="J522" s="7"/>
      <c r="K522" s="7"/>
      <c r="L522" s="7"/>
      <c r="M522" s="8"/>
      <c r="N522" s="8" t="str">
        <f>IF(R522="x",1,"")</f>
        <v/>
      </c>
      <c r="P522" s="13"/>
      <c r="Q522" s="13"/>
      <c r="R522" s="13"/>
      <c r="S522" s="13"/>
      <c r="T522" s="15"/>
      <c r="U522" s="46" t="str">
        <f t="shared" si="202"/>
        <v/>
      </c>
      <c r="V522" s="46" t="str">
        <f t="shared" si="202"/>
        <v/>
      </c>
      <c r="W522" s="46" t="str">
        <f t="shared" si="202"/>
        <v/>
      </c>
      <c r="X522" s="46" t="str">
        <f t="shared" si="202"/>
        <v/>
      </c>
      <c r="Z522" s="11"/>
    </row>
    <row r="523" spans="2:26" s="18" customFormat="1" x14ac:dyDescent="0.25">
      <c r="E523" s="40"/>
      <c r="G523" s="40"/>
      <c r="H523" s="7"/>
      <c r="I523" s="7"/>
      <c r="J523" s="7"/>
      <c r="K523" s="7"/>
      <c r="L523" s="7"/>
      <c r="M523" s="8"/>
      <c r="N523" s="8" t="str">
        <f>IF(R523="x",1,"")</f>
        <v/>
      </c>
      <c r="P523" s="13"/>
      <c r="Q523" s="13"/>
      <c r="R523" s="13"/>
      <c r="S523" s="13"/>
      <c r="T523" s="15"/>
      <c r="U523" s="46" t="str">
        <f t="shared" si="202"/>
        <v/>
      </c>
      <c r="V523" s="46" t="str">
        <f t="shared" si="202"/>
        <v/>
      </c>
      <c r="W523" s="46" t="str">
        <f t="shared" si="202"/>
        <v/>
      </c>
      <c r="X523" s="46" t="str">
        <f t="shared" si="202"/>
        <v/>
      </c>
      <c r="Z523" s="11"/>
    </row>
    <row r="524" spans="2:26" x14ac:dyDescent="0.25">
      <c r="B524" s="11" t="str">
        <f>CONCATENATE("BERL","-",LEFT(P524,2),UPPER(MID(P524,4,3)),RIGHT(P524,4))</f>
        <v>BERL-13AUG1895</v>
      </c>
      <c r="C524" s="11" t="s">
        <v>4782</v>
      </c>
      <c r="D524" s="11" t="s">
        <v>598</v>
      </c>
      <c r="F524" s="11" t="s">
        <v>1700</v>
      </c>
      <c r="G524" s="39" t="s">
        <v>4783</v>
      </c>
      <c r="H524" s="7">
        <v>0</v>
      </c>
      <c r="I524" s="7">
        <v>4</v>
      </c>
      <c r="J524" s="7">
        <v>0</v>
      </c>
      <c r="L524" s="7">
        <f>SUM(H524:K524)</f>
        <v>4</v>
      </c>
      <c r="M524" s="8">
        <v>1</v>
      </c>
      <c r="N524" s="8">
        <f>IF(L524&gt;0,1,"")</f>
        <v>1</v>
      </c>
      <c r="O524" s="11" t="s">
        <v>1702</v>
      </c>
      <c r="P524" s="16" t="str">
        <f>IF(LEN(G524)=10,CONCATENATE("0",G524),G524)</f>
        <v>13-Aug-1895</v>
      </c>
      <c r="R524" s="16" t="str">
        <f t="shared" ref="R524:S528" si="211">IF($L524&gt;0,"x","")</f>
        <v>x</v>
      </c>
      <c r="S524" s="16" t="str">
        <f t="shared" si="211"/>
        <v>x</v>
      </c>
      <c r="U524" s="46" t="str">
        <f t="shared" si="202"/>
        <v/>
      </c>
      <c r="V524" s="46">
        <f t="shared" si="202"/>
        <v>4</v>
      </c>
      <c r="W524" s="46" t="str">
        <f t="shared" si="202"/>
        <v/>
      </c>
      <c r="X524" s="46" t="str">
        <f t="shared" si="202"/>
        <v/>
      </c>
    </row>
    <row r="525" spans="2:26" x14ac:dyDescent="0.25">
      <c r="B525" s="11" t="str">
        <f>CONCATENATE("BERL","-",LEFT(P525,2),UPPER(MID(P525,4,3)),RIGHT(P525,4))</f>
        <v>BERL-03AUG1909</v>
      </c>
      <c r="C525" s="11" t="s">
        <v>4782</v>
      </c>
      <c r="D525" s="11" t="s">
        <v>3007</v>
      </c>
      <c r="E525" s="39" t="s">
        <v>6271</v>
      </c>
      <c r="F525" s="11" t="s">
        <v>1700</v>
      </c>
      <c r="G525" s="39" t="s">
        <v>6272</v>
      </c>
      <c r="H525" s="7">
        <v>0</v>
      </c>
      <c r="I525" s="7">
        <v>0</v>
      </c>
      <c r="J525" s="7">
        <v>9</v>
      </c>
      <c r="L525" s="7">
        <f>SUM(H525:K525)</f>
        <v>9</v>
      </c>
      <c r="M525" s="8">
        <v>1</v>
      </c>
      <c r="N525" s="8">
        <f>IF(L525&gt;0,1,"")</f>
        <v>1</v>
      </c>
      <c r="O525" s="11" t="s">
        <v>1702</v>
      </c>
      <c r="P525" s="16" t="str">
        <f>IF(LEN(G525)=10,CONCATENATE("0",G525),G525)</f>
        <v>03-Aug-1909</v>
      </c>
      <c r="R525" s="16" t="str">
        <f t="shared" si="211"/>
        <v>x</v>
      </c>
      <c r="S525" s="16" t="str">
        <f t="shared" si="211"/>
        <v>x</v>
      </c>
      <c r="U525" s="46" t="str">
        <f t="shared" si="202"/>
        <v/>
      </c>
      <c r="V525" s="46">
        <f t="shared" si="202"/>
        <v>9</v>
      </c>
      <c r="W525" s="46" t="str">
        <f t="shared" si="202"/>
        <v/>
      </c>
      <c r="X525" s="46" t="str">
        <f t="shared" si="202"/>
        <v/>
      </c>
    </row>
    <row r="526" spans="2:26" x14ac:dyDescent="0.25">
      <c r="B526" s="11" t="str">
        <f>CONCATENATE("BERL","-",LEFT(P526,2),UPPER(MID(P526,4,3)),RIGHT(P526,4))</f>
        <v>BERL-21DEC1910</v>
      </c>
      <c r="C526" s="11" t="s">
        <v>4782</v>
      </c>
      <c r="D526" s="11" t="s">
        <v>3007</v>
      </c>
      <c r="E526" s="39" t="s">
        <v>5423</v>
      </c>
      <c r="F526" s="11" t="s">
        <v>1700</v>
      </c>
      <c r="G526" s="39" t="s">
        <v>954</v>
      </c>
      <c r="H526" s="7">
        <v>0</v>
      </c>
      <c r="I526" s="7">
        <v>1</v>
      </c>
      <c r="J526" s="7">
        <v>0</v>
      </c>
      <c r="L526" s="7">
        <f>SUM(H526:K526)</f>
        <v>1</v>
      </c>
      <c r="M526" s="8">
        <v>1</v>
      </c>
      <c r="N526" s="8">
        <f>IF(L526&gt;0,1,"")</f>
        <v>1</v>
      </c>
      <c r="O526" s="11" t="s">
        <v>1702</v>
      </c>
      <c r="P526" s="16" t="str">
        <f>IF(LEN(G526)=10,CONCATENATE("0",G526),G526)</f>
        <v>21-Dec-1910</v>
      </c>
      <c r="R526" s="16" t="str">
        <f t="shared" si="211"/>
        <v>x</v>
      </c>
      <c r="S526" s="16" t="str">
        <f t="shared" si="211"/>
        <v>x</v>
      </c>
      <c r="U526" s="46" t="str">
        <f t="shared" si="202"/>
        <v/>
      </c>
      <c r="V526" s="46">
        <f t="shared" si="202"/>
        <v>1</v>
      </c>
      <c r="W526" s="46" t="str">
        <f t="shared" si="202"/>
        <v/>
      </c>
      <c r="X526" s="46" t="str">
        <f t="shared" si="202"/>
        <v/>
      </c>
    </row>
    <row r="527" spans="2:26" x14ac:dyDescent="0.25">
      <c r="B527" s="11" t="str">
        <f>CONCATENATE("BERL","-",LEFT(P527,2),UPPER(MID(P527,4,3)),RIGHT(P527,4))</f>
        <v>BERL-28JUL1913</v>
      </c>
      <c r="C527" s="11" t="s">
        <v>4782</v>
      </c>
      <c r="D527" s="11" t="s">
        <v>2224</v>
      </c>
      <c r="E527" s="39" t="s">
        <v>1535</v>
      </c>
      <c r="F527" s="11" t="s">
        <v>1700</v>
      </c>
      <c r="G527" s="39" t="s">
        <v>3590</v>
      </c>
      <c r="H527" s="7">
        <v>0</v>
      </c>
      <c r="I527" s="7">
        <v>0</v>
      </c>
      <c r="J527" s="7">
        <v>3</v>
      </c>
      <c r="L527" s="7">
        <f>SUM(H527:K527)</f>
        <v>3</v>
      </c>
      <c r="M527" s="8">
        <v>1</v>
      </c>
      <c r="N527" s="8">
        <f>IF(L527&gt;0,1,"")</f>
        <v>1</v>
      </c>
      <c r="O527" s="11" t="s">
        <v>1702</v>
      </c>
      <c r="P527" s="16" t="str">
        <f>IF(LEN(G527)=10,CONCATENATE("0",G527),G527)</f>
        <v>28-Jul-1913</v>
      </c>
      <c r="R527" s="16" t="str">
        <f t="shared" si="211"/>
        <v>x</v>
      </c>
      <c r="S527" s="16" t="str">
        <f t="shared" si="211"/>
        <v>x</v>
      </c>
      <c r="U527" s="46" t="str">
        <f t="shared" si="202"/>
        <v/>
      </c>
      <c r="V527" s="46">
        <f t="shared" si="202"/>
        <v>3</v>
      </c>
      <c r="W527" s="46" t="str">
        <f t="shared" si="202"/>
        <v/>
      </c>
      <c r="X527" s="46" t="str">
        <f t="shared" si="202"/>
        <v/>
      </c>
    </row>
    <row r="528" spans="2:26" x14ac:dyDescent="0.25">
      <c r="B528" s="11" t="str">
        <f>CONCATENATE("BERL","-",LEFT(P528,2),UPPER(MID(P528,4,3)),RIGHT(P528,4))</f>
        <v>BERL-08SEP1913</v>
      </c>
      <c r="C528" s="11" t="s">
        <v>4782</v>
      </c>
      <c r="D528" s="11" t="s">
        <v>2224</v>
      </c>
      <c r="E528" s="39" t="s">
        <v>5566</v>
      </c>
      <c r="F528" s="11" t="s">
        <v>1700</v>
      </c>
      <c r="G528" s="39" t="s">
        <v>5022</v>
      </c>
      <c r="H528" s="7">
        <v>0</v>
      </c>
      <c r="I528" s="7">
        <v>4</v>
      </c>
      <c r="J528" s="7">
        <v>0</v>
      </c>
      <c r="L528" s="7">
        <f>SUM(H528:K528)</f>
        <v>4</v>
      </c>
      <c r="M528" s="8">
        <v>1</v>
      </c>
      <c r="N528" s="8">
        <f>IF(L528&gt;0,1,"")</f>
        <v>1</v>
      </c>
      <c r="O528" s="11" t="s">
        <v>1702</v>
      </c>
      <c r="P528" s="16" t="str">
        <f>IF(LEN(G528)=10,CONCATENATE("0",G528),G528)</f>
        <v>08-Sep-1913</v>
      </c>
      <c r="R528" s="16" t="str">
        <f t="shared" si="211"/>
        <v>x</v>
      </c>
      <c r="S528" s="16" t="str">
        <f t="shared" si="211"/>
        <v>x</v>
      </c>
      <c r="U528" s="46" t="str">
        <f t="shared" si="202"/>
        <v/>
      </c>
      <c r="V528" s="46">
        <f t="shared" si="202"/>
        <v>4</v>
      </c>
      <c r="W528" s="46" t="str">
        <f t="shared" si="202"/>
        <v/>
      </c>
      <c r="X528" s="46" t="str">
        <f t="shared" si="202"/>
        <v/>
      </c>
    </row>
    <row r="529" spans="2:26" x14ac:dyDescent="0.25">
      <c r="N529" s="8" t="str">
        <f>IF(R529="x",1,"")</f>
        <v/>
      </c>
      <c r="U529" s="46" t="str">
        <f t="shared" si="202"/>
        <v/>
      </c>
      <c r="V529" s="46" t="str">
        <f t="shared" si="202"/>
        <v/>
      </c>
      <c r="W529" s="46" t="str">
        <f t="shared" si="202"/>
        <v/>
      </c>
      <c r="X529" s="46" t="str">
        <f t="shared" si="202"/>
        <v/>
      </c>
    </row>
    <row r="530" spans="2:26" s="18" customFormat="1" x14ac:dyDescent="0.25">
      <c r="E530" s="40"/>
      <c r="G530" s="40"/>
      <c r="H530" s="7">
        <f t="shared" ref="H530:N530" si="212">SUM(H524:H529)</f>
        <v>0</v>
      </c>
      <c r="I530" s="7">
        <f t="shared" si="212"/>
        <v>9</v>
      </c>
      <c r="J530" s="7">
        <f>SUM(J524:J529)</f>
        <v>12</v>
      </c>
      <c r="K530" s="7">
        <f t="shared" si="212"/>
        <v>0</v>
      </c>
      <c r="L530" s="7">
        <f t="shared" si="212"/>
        <v>21</v>
      </c>
      <c r="M530" s="7">
        <f t="shared" si="212"/>
        <v>5</v>
      </c>
      <c r="N530" s="7">
        <f t="shared" si="212"/>
        <v>5</v>
      </c>
      <c r="P530" s="13"/>
      <c r="Q530" s="13"/>
      <c r="R530" s="13"/>
      <c r="S530" s="13"/>
      <c r="T530" s="15"/>
      <c r="U530" s="46" t="str">
        <f t="shared" si="202"/>
        <v/>
      </c>
      <c r="V530" s="46" t="str">
        <f t="shared" si="202"/>
        <v/>
      </c>
      <c r="W530" s="46" t="str">
        <f t="shared" si="202"/>
        <v/>
      </c>
      <c r="X530" s="46" t="str">
        <f t="shared" si="202"/>
        <v/>
      </c>
      <c r="Z530" s="11"/>
    </row>
    <row r="531" spans="2:26" s="18" customFormat="1" x14ac:dyDescent="0.25">
      <c r="E531" s="40"/>
      <c r="G531" s="40"/>
      <c r="H531" s="7"/>
      <c r="I531" s="7"/>
      <c r="J531" s="7"/>
      <c r="K531" s="7"/>
      <c r="L531" s="7"/>
      <c r="M531" s="8"/>
      <c r="N531" s="8" t="str">
        <f>IF(R531="x",1,"")</f>
        <v/>
      </c>
      <c r="P531" s="13"/>
      <c r="Q531" s="13"/>
      <c r="R531" s="13"/>
      <c r="S531" s="13"/>
      <c r="T531" s="15"/>
      <c r="U531" s="46" t="str">
        <f>IF($O531=U$5,$L531,"")</f>
        <v/>
      </c>
      <c r="V531" s="46" t="str">
        <f>IF($O531=V$5,$L531,"")</f>
        <v/>
      </c>
      <c r="W531" s="46" t="str">
        <f>IF($O531=W$5,$L531,"")</f>
        <v/>
      </c>
      <c r="X531" s="46" t="str">
        <f>IF($O531=X$5,$L531,"")</f>
        <v/>
      </c>
      <c r="Z531" s="11"/>
    </row>
    <row r="532" spans="2:26" s="18" customFormat="1" x14ac:dyDescent="0.25">
      <c r="E532" s="40"/>
      <c r="G532" s="40"/>
      <c r="H532" s="7"/>
      <c r="I532" s="7"/>
      <c r="J532" s="7"/>
      <c r="K532" s="7"/>
      <c r="L532" s="7"/>
      <c r="M532" s="8"/>
      <c r="N532" s="8" t="str">
        <f>IF(R532="x",1,"")</f>
        <v/>
      </c>
      <c r="P532" s="13"/>
      <c r="Q532" s="13"/>
      <c r="R532" s="13"/>
      <c r="S532" s="13"/>
      <c r="T532" s="15"/>
      <c r="U532" s="46" t="str">
        <f t="shared" ref="U532:X535" si="213">IF($O532=U$5,$L532,"")</f>
        <v/>
      </c>
      <c r="V532" s="46" t="str">
        <f t="shared" si="213"/>
        <v/>
      </c>
      <c r="W532" s="46" t="str">
        <f t="shared" si="213"/>
        <v/>
      </c>
      <c r="X532" s="46" t="str">
        <f t="shared" si="213"/>
        <v/>
      </c>
      <c r="Z532" s="11"/>
    </row>
    <row r="533" spans="2:26" x14ac:dyDescent="0.25">
      <c r="B533" s="11" t="str">
        <f>CONCATENATE("BIRM","-",LEFT(P533,2),UPPER(MID(P533,4,3)),RIGHT(P533,4))</f>
        <v>BIRM-16FEB1913</v>
      </c>
      <c r="C533" s="11" t="s">
        <v>5099</v>
      </c>
      <c r="D533" s="11" t="s">
        <v>5100</v>
      </c>
      <c r="E533" s="39" t="s">
        <v>5101</v>
      </c>
      <c r="F533" s="11" t="s">
        <v>1700</v>
      </c>
      <c r="G533" s="39" t="s">
        <v>4483</v>
      </c>
      <c r="I533" s="7">
        <v>0</v>
      </c>
      <c r="J533" s="7">
        <v>12</v>
      </c>
      <c r="L533" s="7">
        <f>SUM(H533:K533)</f>
        <v>12</v>
      </c>
      <c r="M533" s="8">
        <v>1</v>
      </c>
      <c r="N533" s="8">
        <f>IF(L533&gt;0,1,"")</f>
        <v>1</v>
      </c>
      <c r="O533" s="11" t="s">
        <v>1702</v>
      </c>
      <c r="P533" s="16" t="str">
        <f>IF(LEN(G533)=10,CONCATENATE("0",G533),G533)</f>
        <v>16-Feb-1913</v>
      </c>
      <c r="R533" s="16" t="str">
        <f>IF($L533&gt;0,"x","")</f>
        <v>x</v>
      </c>
      <c r="S533" s="16" t="str">
        <f>IF($L533&gt;0,"x","")</f>
        <v>x</v>
      </c>
      <c r="U533" s="46" t="str">
        <f t="shared" si="213"/>
        <v/>
      </c>
      <c r="V533" s="46">
        <f t="shared" si="213"/>
        <v>12</v>
      </c>
      <c r="W533" s="46" t="str">
        <f t="shared" si="213"/>
        <v/>
      </c>
      <c r="X533" s="46" t="str">
        <f t="shared" si="213"/>
        <v/>
      </c>
    </row>
    <row r="534" spans="2:26" x14ac:dyDescent="0.25">
      <c r="N534" s="8" t="str">
        <f>IF(R534="x",1,"")</f>
        <v/>
      </c>
      <c r="U534" s="46" t="str">
        <f t="shared" si="213"/>
        <v/>
      </c>
      <c r="V534" s="46" t="str">
        <f t="shared" si="213"/>
        <v/>
      </c>
      <c r="W534" s="46" t="str">
        <f t="shared" si="213"/>
        <v/>
      </c>
      <c r="X534" s="46" t="str">
        <f t="shared" si="213"/>
        <v/>
      </c>
    </row>
    <row r="535" spans="2:26" s="18" customFormat="1" x14ac:dyDescent="0.25">
      <c r="E535" s="40"/>
      <c r="G535" s="40"/>
      <c r="H535" s="7">
        <f t="shared" ref="H535:N535" si="214">SUM(H533:H534)</f>
        <v>0</v>
      </c>
      <c r="I535" s="7">
        <f t="shared" si="214"/>
        <v>0</v>
      </c>
      <c r="J535" s="7">
        <f>SUM(J533:J534)</f>
        <v>12</v>
      </c>
      <c r="K535" s="7">
        <f t="shared" si="214"/>
        <v>0</v>
      </c>
      <c r="L535" s="7">
        <f t="shared" si="214"/>
        <v>12</v>
      </c>
      <c r="M535" s="7">
        <f t="shared" si="214"/>
        <v>1</v>
      </c>
      <c r="N535" s="7">
        <f t="shared" si="214"/>
        <v>1</v>
      </c>
      <c r="P535" s="13"/>
      <c r="Q535" s="13"/>
      <c r="R535" s="13"/>
      <c r="S535" s="13"/>
      <c r="T535" s="15"/>
      <c r="U535" s="46" t="str">
        <f t="shared" si="213"/>
        <v/>
      </c>
      <c r="V535" s="46" t="str">
        <f t="shared" si="213"/>
        <v/>
      </c>
      <c r="W535" s="46" t="str">
        <f t="shared" si="213"/>
        <v/>
      </c>
      <c r="X535" s="46" t="str">
        <f t="shared" si="213"/>
        <v/>
      </c>
      <c r="Z535" s="11"/>
    </row>
    <row r="536" spans="2:26" s="18" customFormat="1" x14ac:dyDescent="0.25">
      <c r="E536" s="40"/>
      <c r="G536" s="40"/>
      <c r="H536" s="7"/>
      <c r="I536" s="7"/>
      <c r="J536" s="7"/>
      <c r="K536" s="7"/>
      <c r="L536" s="7"/>
      <c r="M536" s="8"/>
      <c r="N536" s="8" t="str">
        <f>IF(R536="x",1,"")</f>
        <v/>
      </c>
      <c r="P536" s="13"/>
      <c r="Q536" s="13"/>
      <c r="R536" s="13"/>
      <c r="S536" s="13"/>
      <c r="T536" s="15"/>
      <c r="U536" s="46" t="str">
        <f t="shared" ref="U536:X543" si="215">IF($O536=U$5,$L536,"")</f>
        <v/>
      </c>
      <c r="V536" s="46" t="str">
        <f t="shared" si="215"/>
        <v/>
      </c>
      <c r="W536" s="46" t="str">
        <f t="shared" si="215"/>
        <v/>
      </c>
      <c r="X536" s="46" t="str">
        <f t="shared" si="215"/>
        <v/>
      </c>
      <c r="Z536" s="11"/>
    </row>
    <row r="537" spans="2:26" s="18" customFormat="1" x14ac:dyDescent="0.25">
      <c r="E537" s="40"/>
      <c r="G537" s="40"/>
      <c r="H537" s="7"/>
      <c r="I537" s="7"/>
      <c r="J537" s="7"/>
      <c r="K537" s="7"/>
      <c r="L537" s="7"/>
      <c r="M537" s="8"/>
      <c r="N537" s="8" t="str">
        <f>IF(R537="x",1,"")</f>
        <v/>
      </c>
      <c r="P537" s="13"/>
      <c r="Q537" s="13"/>
      <c r="R537" s="13"/>
      <c r="S537" s="13"/>
      <c r="T537" s="15"/>
      <c r="U537" s="46" t="str">
        <f t="shared" si="215"/>
        <v/>
      </c>
      <c r="V537" s="46" t="str">
        <f t="shared" si="215"/>
        <v/>
      </c>
      <c r="W537" s="46" t="str">
        <f t="shared" si="215"/>
        <v/>
      </c>
      <c r="X537" s="46" t="str">
        <f t="shared" si="215"/>
        <v/>
      </c>
      <c r="Z537" s="11"/>
    </row>
    <row r="538" spans="2:26" x14ac:dyDescent="0.25">
      <c r="B538" s="11" t="str">
        <f>CONCATENATE("BLKA","-",LEFT(P538,2),UPPER(MID(P538,4,3)),RIGHT(P538,4))</f>
        <v>BLKA-29DEC1919</v>
      </c>
      <c r="C538" s="11" t="s">
        <v>4131</v>
      </c>
      <c r="D538" s="11" t="s">
        <v>2808</v>
      </c>
      <c r="E538" s="39" t="s">
        <v>5759</v>
      </c>
      <c r="F538" s="11" t="s">
        <v>1700</v>
      </c>
      <c r="G538" s="39" t="s">
        <v>4009</v>
      </c>
      <c r="H538" s="7">
        <f>22+1</f>
        <v>23</v>
      </c>
      <c r="I538" s="7">
        <v>4</v>
      </c>
      <c r="L538" s="7">
        <f>SUM(H538:K538)</f>
        <v>27</v>
      </c>
      <c r="M538" s="8">
        <v>1</v>
      </c>
      <c r="N538" s="8">
        <f>IF(L538&gt;0,1,"")</f>
        <v>1</v>
      </c>
      <c r="O538" s="11" t="s">
        <v>1702</v>
      </c>
      <c r="P538" s="16" t="str">
        <f>IF(LEN(G538)=10,CONCATENATE("0",G538),G538)</f>
        <v>29-Dec-1919</v>
      </c>
      <c r="R538" s="16" t="str">
        <f>IF($L538&gt;0,"x","")</f>
        <v>x</v>
      </c>
      <c r="S538" s="16" t="str">
        <f>IF($L538&gt;0,"x","")</f>
        <v>x</v>
      </c>
      <c r="U538" s="46" t="str">
        <f t="shared" si="215"/>
        <v/>
      </c>
      <c r="V538" s="46">
        <f t="shared" si="215"/>
        <v>27</v>
      </c>
      <c r="W538" s="46" t="str">
        <f t="shared" si="215"/>
        <v/>
      </c>
      <c r="X538" s="46" t="str">
        <f t="shared" si="215"/>
        <v/>
      </c>
    </row>
    <row r="539" spans="2:26" x14ac:dyDescent="0.25">
      <c r="B539" s="11" t="str">
        <f>CONCATENATE("BLKA","-",LEFT(P539,2),UPPER(MID(P539,4,3)),RIGHT(P539,4))</f>
        <v>BLKA-03APR1920</v>
      </c>
      <c r="C539" s="11" t="s">
        <v>4131</v>
      </c>
      <c r="D539" s="11" t="s">
        <v>2808</v>
      </c>
      <c r="E539" s="39" t="s">
        <v>4132</v>
      </c>
      <c r="F539" s="11" t="s">
        <v>1700</v>
      </c>
      <c r="G539" s="39" t="s">
        <v>4133</v>
      </c>
      <c r="H539" s="7">
        <f>1+1</f>
        <v>2</v>
      </c>
      <c r="I539" s="7">
        <f>0+7</f>
        <v>7</v>
      </c>
      <c r="J539" s="7">
        <v>10</v>
      </c>
      <c r="L539" s="7">
        <f>SUM(H539:K539)</f>
        <v>19</v>
      </c>
      <c r="M539" s="8">
        <v>1</v>
      </c>
      <c r="N539" s="8">
        <f>IF(L539&gt;0,1,"")</f>
        <v>1</v>
      </c>
      <c r="O539" s="11" t="s">
        <v>1702</v>
      </c>
      <c r="P539" s="16" t="str">
        <f>IF(LEN(G539)=10,CONCATENATE("0",G539),G539)</f>
        <v>03-Apr-1920</v>
      </c>
      <c r="R539" s="16" t="str">
        <f>IF($L539&gt;0,"x","")</f>
        <v>x</v>
      </c>
      <c r="S539" s="16" t="str">
        <f>IF($L539&gt;0,"x","")</f>
        <v>x</v>
      </c>
      <c r="U539" s="46" t="str">
        <f t="shared" si="215"/>
        <v/>
      </c>
      <c r="V539" s="46">
        <f t="shared" si="215"/>
        <v>19</v>
      </c>
      <c r="W539" s="46" t="str">
        <f t="shared" si="215"/>
        <v/>
      </c>
      <c r="X539" s="46" t="str">
        <f t="shared" si="215"/>
        <v/>
      </c>
    </row>
    <row r="540" spans="2:26" x14ac:dyDescent="0.25">
      <c r="N540" s="8" t="str">
        <f>IF(R540="x",1,"")</f>
        <v/>
      </c>
      <c r="U540" s="46" t="str">
        <f t="shared" si="215"/>
        <v/>
      </c>
      <c r="V540" s="46" t="str">
        <f t="shared" si="215"/>
        <v/>
      </c>
      <c r="W540" s="46" t="str">
        <f t="shared" si="215"/>
        <v/>
      </c>
      <c r="X540" s="46" t="str">
        <f t="shared" si="215"/>
        <v/>
      </c>
    </row>
    <row r="541" spans="2:26" s="18" customFormat="1" x14ac:dyDescent="0.25">
      <c r="E541" s="40"/>
      <c r="G541" s="40"/>
      <c r="H541" s="7">
        <f t="shared" ref="H541:N541" si="216">SUM(H538:H540)</f>
        <v>25</v>
      </c>
      <c r="I541" s="7">
        <f t="shared" si="216"/>
        <v>11</v>
      </c>
      <c r="J541" s="7">
        <f>SUM(J538:J540)</f>
        <v>10</v>
      </c>
      <c r="K541" s="7">
        <f t="shared" si="216"/>
        <v>0</v>
      </c>
      <c r="L541" s="7">
        <f t="shared" si="216"/>
        <v>46</v>
      </c>
      <c r="M541" s="7">
        <f t="shared" si="216"/>
        <v>2</v>
      </c>
      <c r="N541" s="7">
        <f t="shared" si="216"/>
        <v>2</v>
      </c>
      <c r="P541" s="13"/>
      <c r="Q541" s="13"/>
      <c r="R541" s="13"/>
      <c r="S541" s="13"/>
      <c r="T541" s="15"/>
      <c r="U541" s="46" t="str">
        <f t="shared" si="215"/>
        <v/>
      </c>
      <c r="V541" s="46" t="str">
        <f t="shared" si="215"/>
        <v/>
      </c>
      <c r="W541" s="46" t="str">
        <f t="shared" si="215"/>
        <v/>
      </c>
      <c r="X541" s="46" t="str">
        <f t="shared" si="215"/>
        <v/>
      </c>
      <c r="Z541" s="11"/>
    </row>
    <row r="542" spans="2:26" s="18" customFormat="1" x14ac:dyDescent="0.25">
      <c r="E542" s="40"/>
      <c r="G542" s="40"/>
      <c r="H542" s="7"/>
      <c r="I542" s="7"/>
      <c r="J542" s="7"/>
      <c r="K542" s="7"/>
      <c r="L542" s="7"/>
      <c r="M542" s="8"/>
      <c r="N542" s="8" t="str">
        <f>IF(R542="x",1,"")</f>
        <v/>
      </c>
      <c r="P542" s="13"/>
      <c r="Q542" s="13"/>
      <c r="R542" s="13"/>
      <c r="S542" s="13"/>
      <c r="T542" s="15"/>
      <c r="U542" s="46" t="str">
        <f t="shared" si="215"/>
        <v/>
      </c>
      <c r="V542" s="46" t="str">
        <f t="shared" si="215"/>
        <v/>
      </c>
      <c r="W542" s="46" t="str">
        <f t="shared" si="215"/>
        <v/>
      </c>
      <c r="X542" s="46" t="str">
        <f t="shared" si="215"/>
        <v/>
      </c>
      <c r="Z542" s="11"/>
    </row>
    <row r="543" spans="2:26" s="18" customFormat="1" x14ac:dyDescent="0.25">
      <c r="E543" s="40"/>
      <c r="G543" s="40"/>
      <c r="H543" s="7"/>
      <c r="I543" s="7"/>
      <c r="J543" s="7"/>
      <c r="K543" s="7"/>
      <c r="L543" s="7"/>
      <c r="M543" s="8"/>
      <c r="N543" s="8" t="str">
        <f>IF(R543="x",1,"")</f>
        <v/>
      </c>
      <c r="P543" s="13"/>
      <c r="Q543" s="13"/>
      <c r="R543" s="13"/>
      <c r="S543" s="13"/>
      <c r="T543" s="15"/>
      <c r="U543" s="46" t="str">
        <f t="shared" si="215"/>
        <v/>
      </c>
      <c r="V543" s="46" t="str">
        <f t="shared" si="215"/>
        <v/>
      </c>
      <c r="W543" s="46" t="str">
        <f t="shared" si="215"/>
        <v/>
      </c>
      <c r="X543" s="46" t="str">
        <f t="shared" si="215"/>
        <v/>
      </c>
      <c r="Z543" s="11"/>
    </row>
    <row r="544" spans="2:26" x14ac:dyDescent="0.25">
      <c r="B544" s="11" t="str">
        <f t="shared" ref="B544:B550" si="217">CONCATENATE("BLUC","-",LEFT(P544,2),UPPER(MID(P544,4,3)),RIGHT(P544,4))</f>
        <v>BLUC-18JUN1902</v>
      </c>
      <c r="C544" s="11" t="s">
        <v>3262</v>
      </c>
      <c r="D544" s="11" t="s">
        <v>2103</v>
      </c>
      <c r="E544" s="39" t="s">
        <v>5789</v>
      </c>
      <c r="F544" s="11" t="s">
        <v>1700</v>
      </c>
      <c r="G544" s="39" t="s">
        <v>5790</v>
      </c>
      <c r="J544" s="7">
        <v>21</v>
      </c>
      <c r="L544" s="7">
        <f t="shared" ref="L544:L550" si="218">SUM(H544:K544)</f>
        <v>21</v>
      </c>
      <c r="M544" s="8">
        <v>1</v>
      </c>
      <c r="N544" s="8">
        <f t="shared" ref="N544:N550" si="219">IF(L544&gt;0,1,"")</f>
        <v>1</v>
      </c>
      <c r="O544" s="11" t="s">
        <v>1702</v>
      </c>
      <c r="P544" s="16" t="str">
        <f t="shared" ref="P544:P550" si="220">IF(LEN(G544)=10,CONCATENATE("0",G544),G544)</f>
        <v>18-Jun-1902</v>
      </c>
      <c r="R544" s="16" t="str">
        <f>IF($L544&gt;0,"x","")</f>
        <v>x</v>
      </c>
      <c r="S544" s="16" t="str">
        <f>IF($L544&gt;0,"x","")</f>
        <v>x</v>
      </c>
      <c r="U544" s="46" t="str">
        <f t="shared" ref="U544:X545" si="221">IF($O544=U$5,$L544,"")</f>
        <v/>
      </c>
      <c r="V544" s="46">
        <f t="shared" si="221"/>
        <v>21</v>
      </c>
      <c r="W544" s="46" t="str">
        <f t="shared" si="221"/>
        <v/>
      </c>
      <c r="X544" s="46" t="str">
        <f t="shared" si="221"/>
        <v/>
      </c>
    </row>
    <row r="545" spans="2:26" x14ac:dyDescent="0.25">
      <c r="B545" s="11" t="str">
        <f>CONCATENATE("BLUC","-",LEFT(P545,2),UPPER(MID(P545,4,3)),RIGHT(P545,4))</f>
        <v>BLUC-26AUG1902</v>
      </c>
      <c r="C545" s="11" t="s">
        <v>3262</v>
      </c>
      <c r="D545" s="11" t="s">
        <v>2103</v>
      </c>
      <c r="E545" s="39" t="s">
        <v>3963</v>
      </c>
      <c r="F545" s="11" t="s">
        <v>1700</v>
      </c>
      <c r="G545" s="39" t="s">
        <v>5174</v>
      </c>
      <c r="J545" s="7">
        <v>9</v>
      </c>
      <c r="L545" s="7">
        <f>SUM(H545:K545)</f>
        <v>9</v>
      </c>
      <c r="M545" s="8">
        <v>1</v>
      </c>
      <c r="N545" s="8">
        <f>IF(L545&gt;0,1,"")</f>
        <v>1</v>
      </c>
      <c r="O545" s="11" t="s">
        <v>1702</v>
      </c>
      <c r="P545" s="16" t="str">
        <f>IF(LEN(G545)=10,CONCATENATE("0",G545),G545)</f>
        <v>26-Aug-1902</v>
      </c>
      <c r="R545" s="16" t="str">
        <f>IF($L545&gt;0,"x","")</f>
        <v>x</v>
      </c>
      <c r="S545" s="16" t="str">
        <f>IF($L545&gt;0,"x","")</f>
        <v>x</v>
      </c>
      <c r="U545" s="46" t="str">
        <f t="shared" si="221"/>
        <v/>
      </c>
      <c r="V545" s="46">
        <f t="shared" si="221"/>
        <v>9</v>
      </c>
      <c r="W545" s="46" t="str">
        <f t="shared" si="221"/>
        <v/>
      </c>
      <c r="X545" s="46" t="str">
        <f t="shared" si="221"/>
        <v/>
      </c>
    </row>
    <row r="546" spans="2:26" x14ac:dyDescent="0.25">
      <c r="B546" s="11" t="str">
        <f t="shared" si="217"/>
        <v>BLUC-17DEC1902</v>
      </c>
      <c r="C546" s="11" t="s">
        <v>3262</v>
      </c>
      <c r="D546" s="11" t="s">
        <v>2103</v>
      </c>
      <c r="E546" s="39" t="s">
        <v>4890</v>
      </c>
      <c r="F546" s="11" t="s">
        <v>1700</v>
      </c>
      <c r="G546" s="39" t="s">
        <v>4891</v>
      </c>
      <c r="J546" s="7">
        <v>17</v>
      </c>
      <c r="L546" s="7">
        <f t="shared" si="218"/>
        <v>17</v>
      </c>
      <c r="M546" s="8">
        <v>1</v>
      </c>
      <c r="N546" s="8">
        <f t="shared" si="219"/>
        <v>1</v>
      </c>
      <c r="O546" s="11" t="s">
        <v>1702</v>
      </c>
      <c r="P546" s="16" t="str">
        <f t="shared" si="220"/>
        <v>17-Dec-1902</v>
      </c>
      <c r="R546" s="16" t="str">
        <f t="shared" ref="R546:S551" si="222">IF($L546&gt;0,"x","")</f>
        <v>x</v>
      </c>
      <c r="S546" s="16" t="str">
        <f t="shared" si="222"/>
        <v>x</v>
      </c>
      <c r="U546" s="46" t="str">
        <f>IF($O546=U$5,$L546,"")</f>
        <v/>
      </c>
      <c r="V546" s="46">
        <f>IF($O546=V$5,$L546,"")</f>
        <v>17</v>
      </c>
      <c r="W546" s="46" t="str">
        <f>IF($O546=W$5,$L546,"")</f>
        <v/>
      </c>
      <c r="X546" s="46" t="str">
        <f>IF($O546=X$5,$L546,"")</f>
        <v/>
      </c>
    </row>
    <row r="547" spans="2:26" x14ac:dyDescent="0.25">
      <c r="B547" s="11" t="str">
        <f t="shared" si="217"/>
        <v>BLUC-30JUL1905</v>
      </c>
      <c r="C547" s="11" t="s">
        <v>3262</v>
      </c>
      <c r="D547" s="11" t="s">
        <v>2103</v>
      </c>
      <c r="E547" s="39" t="s">
        <v>3263</v>
      </c>
      <c r="F547" s="11" t="s">
        <v>1700</v>
      </c>
      <c r="G547" s="39" t="s">
        <v>3261</v>
      </c>
      <c r="H547" s="7">
        <v>0</v>
      </c>
      <c r="I547" s="7">
        <v>0</v>
      </c>
      <c r="J547" s="7">
        <v>13</v>
      </c>
      <c r="L547" s="7">
        <f t="shared" si="218"/>
        <v>13</v>
      </c>
      <c r="M547" s="8">
        <v>1</v>
      </c>
      <c r="N547" s="8">
        <f t="shared" si="219"/>
        <v>1</v>
      </c>
      <c r="O547" s="11" t="s">
        <v>1702</v>
      </c>
      <c r="P547" s="16" t="str">
        <f t="shared" si="220"/>
        <v>30-Jul-1905</v>
      </c>
      <c r="R547" s="16" t="str">
        <f t="shared" si="222"/>
        <v>x</v>
      </c>
      <c r="S547" s="16" t="str">
        <f t="shared" si="222"/>
        <v>x</v>
      </c>
      <c r="U547" s="46" t="str">
        <f t="shared" ref="U547:X549" si="223">IF($O547=U$5,$L547,"")</f>
        <v/>
      </c>
      <c r="V547" s="46">
        <f t="shared" si="223"/>
        <v>13</v>
      </c>
      <c r="W547" s="46" t="str">
        <f t="shared" si="223"/>
        <v/>
      </c>
      <c r="X547" s="46" t="str">
        <f t="shared" si="223"/>
        <v/>
      </c>
    </row>
    <row r="548" spans="2:26" x14ac:dyDescent="0.25">
      <c r="B548" s="11" t="str">
        <f t="shared" si="217"/>
        <v>BLUC-29OCT1905</v>
      </c>
      <c r="C548" s="11" t="s">
        <v>3262</v>
      </c>
      <c r="D548" s="11" t="s">
        <v>4128</v>
      </c>
      <c r="E548" s="39" t="s">
        <v>4126</v>
      </c>
      <c r="F548" s="11" t="s">
        <v>1700</v>
      </c>
      <c r="G548" s="39" t="s">
        <v>4127</v>
      </c>
      <c r="H548" s="7">
        <v>0</v>
      </c>
      <c r="I548" s="7">
        <v>6</v>
      </c>
      <c r="J548" s="7">
        <v>0</v>
      </c>
      <c r="L548" s="7">
        <f t="shared" si="218"/>
        <v>6</v>
      </c>
      <c r="M548" s="8">
        <v>1</v>
      </c>
      <c r="N548" s="8">
        <f t="shared" si="219"/>
        <v>1</v>
      </c>
      <c r="O548" s="11" t="s">
        <v>1702</v>
      </c>
      <c r="P548" s="16" t="str">
        <f t="shared" si="220"/>
        <v>29-Oct-1905</v>
      </c>
      <c r="R548" s="16" t="str">
        <f t="shared" si="222"/>
        <v>x</v>
      </c>
      <c r="S548" s="16" t="str">
        <f t="shared" si="222"/>
        <v>x</v>
      </c>
      <c r="U548" s="46" t="str">
        <f t="shared" si="223"/>
        <v/>
      </c>
      <c r="V548" s="46">
        <f t="shared" si="223"/>
        <v>6</v>
      </c>
      <c r="W548" s="46" t="str">
        <f t="shared" si="223"/>
        <v/>
      </c>
      <c r="X548" s="46" t="str">
        <f t="shared" si="223"/>
        <v/>
      </c>
    </row>
    <row r="549" spans="2:26" x14ac:dyDescent="0.25">
      <c r="B549" s="11" t="str">
        <f t="shared" si="217"/>
        <v>BLUC-19DEC1905</v>
      </c>
      <c r="C549" s="11" t="s">
        <v>3262</v>
      </c>
      <c r="D549" s="11" t="s">
        <v>2103</v>
      </c>
      <c r="E549" s="39" t="s">
        <v>1427</v>
      </c>
      <c r="F549" s="11" t="s">
        <v>1700</v>
      </c>
      <c r="G549" s="39" t="s">
        <v>5170</v>
      </c>
      <c r="H549" s="7">
        <v>0</v>
      </c>
      <c r="I549" s="7">
        <v>0</v>
      </c>
      <c r="J549" s="7">
        <v>11</v>
      </c>
      <c r="L549" s="7">
        <f t="shared" si="218"/>
        <v>11</v>
      </c>
      <c r="M549" s="8">
        <v>1</v>
      </c>
      <c r="N549" s="8">
        <f t="shared" si="219"/>
        <v>1</v>
      </c>
      <c r="O549" s="11" t="s">
        <v>1702</v>
      </c>
      <c r="P549" s="16" t="str">
        <f t="shared" si="220"/>
        <v>19-Dec-1905</v>
      </c>
      <c r="R549" s="16" t="str">
        <f t="shared" si="222"/>
        <v>x</v>
      </c>
      <c r="S549" s="16" t="str">
        <f t="shared" si="222"/>
        <v>x</v>
      </c>
      <c r="U549" s="46" t="str">
        <f t="shared" si="223"/>
        <v/>
      </c>
      <c r="V549" s="46">
        <f t="shared" si="223"/>
        <v>11</v>
      </c>
      <c r="W549" s="46" t="str">
        <f t="shared" si="223"/>
        <v/>
      </c>
      <c r="X549" s="46" t="str">
        <f t="shared" si="223"/>
        <v/>
      </c>
    </row>
    <row r="550" spans="2:26" x14ac:dyDescent="0.25">
      <c r="B550" s="11" t="str">
        <f t="shared" si="217"/>
        <v>BLUC-06FEB1906</v>
      </c>
      <c r="C550" s="11" t="s">
        <v>3262</v>
      </c>
      <c r="D550" s="11" t="s">
        <v>2103</v>
      </c>
      <c r="E550" s="39" t="s">
        <v>2705</v>
      </c>
      <c r="F550" s="11" t="s">
        <v>1700</v>
      </c>
      <c r="G550" s="39" t="s">
        <v>5626</v>
      </c>
      <c r="H550" s="7">
        <v>0</v>
      </c>
      <c r="I550" s="7">
        <v>4</v>
      </c>
      <c r="J550" s="7">
        <v>1</v>
      </c>
      <c r="L550" s="7">
        <f t="shared" si="218"/>
        <v>5</v>
      </c>
      <c r="M550" s="8">
        <v>1</v>
      </c>
      <c r="N550" s="8">
        <f t="shared" si="219"/>
        <v>1</v>
      </c>
      <c r="O550" s="11" t="s">
        <v>1702</v>
      </c>
      <c r="P550" s="16" t="str">
        <f t="shared" si="220"/>
        <v>06-Feb-1906</v>
      </c>
      <c r="R550" s="16" t="str">
        <f t="shared" si="222"/>
        <v>x</v>
      </c>
      <c r="S550" s="16" t="str">
        <f t="shared" si="222"/>
        <v>x</v>
      </c>
      <c r="U550" s="46" t="str">
        <f t="shared" ref="U550:X556" si="224">IF($O550=U$5,$L550,"")</f>
        <v/>
      </c>
      <c r="V550" s="46">
        <f t="shared" si="224"/>
        <v>5</v>
      </c>
      <c r="W550" s="46" t="str">
        <f t="shared" si="224"/>
        <v/>
      </c>
      <c r="X550" s="46" t="str">
        <f t="shared" si="224"/>
        <v/>
      </c>
    </row>
    <row r="551" spans="2:26" x14ac:dyDescent="0.25">
      <c r="B551" s="11" t="str">
        <f>CONCATENATE("BLUC","-",LEFT(P551,2),UPPER(MID(P551,4,3)),RIGHT(P551,4))</f>
        <v>BLUC-01DEC1907</v>
      </c>
      <c r="C551" s="11" t="s">
        <v>3262</v>
      </c>
      <c r="D551" s="11" t="s">
        <v>2224</v>
      </c>
      <c r="E551" s="39" t="s">
        <v>3461</v>
      </c>
      <c r="F551" s="11" t="s">
        <v>1700</v>
      </c>
      <c r="G551" s="39" t="s">
        <v>5053</v>
      </c>
      <c r="H551" s="7">
        <v>0</v>
      </c>
      <c r="I551" s="7">
        <v>0</v>
      </c>
      <c r="J551" s="7">
        <v>13</v>
      </c>
      <c r="L551" s="7">
        <f>SUM(H551:K551)</f>
        <v>13</v>
      </c>
      <c r="M551" s="8">
        <v>1</v>
      </c>
      <c r="N551" s="8">
        <f>IF(L551&gt;0,1,"")</f>
        <v>1</v>
      </c>
      <c r="O551" s="11" t="s">
        <v>1702</v>
      </c>
      <c r="P551" s="16" t="str">
        <f>IF(LEN(G551)=10,CONCATENATE("0",G551),G551)</f>
        <v>01-Dec-1907</v>
      </c>
      <c r="R551" s="16" t="str">
        <f t="shared" si="222"/>
        <v>x</v>
      </c>
      <c r="S551" s="16" t="str">
        <f t="shared" si="222"/>
        <v>x</v>
      </c>
      <c r="U551" s="46" t="str">
        <f t="shared" si="224"/>
        <v/>
      </c>
      <c r="V551" s="46">
        <f t="shared" si="224"/>
        <v>13</v>
      </c>
      <c r="W551" s="46" t="str">
        <f t="shared" si="224"/>
        <v/>
      </c>
      <c r="X551" s="46" t="str">
        <f t="shared" si="224"/>
        <v/>
      </c>
    </row>
    <row r="552" spans="2:26" x14ac:dyDescent="0.25">
      <c r="N552" s="8" t="str">
        <f>IF(R552="x",1,"")</f>
        <v/>
      </c>
      <c r="U552" s="46" t="str">
        <f t="shared" si="224"/>
        <v/>
      </c>
      <c r="V552" s="46" t="str">
        <f t="shared" si="224"/>
        <v/>
      </c>
      <c r="W552" s="46" t="str">
        <f t="shared" si="224"/>
        <v/>
      </c>
      <c r="X552" s="46" t="str">
        <f t="shared" si="224"/>
        <v/>
      </c>
    </row>
    <row r="553" spans="2:26" s="18" customFormat="1" x14ac:dyDescent="0.25">
      <c r="E553" s="40"/>
      <c r="G553" s="40"/>
      <c r="H553" s="7">
        <f t="shared" ref="H553:N553" si="225">SUM(H544:H552)</f>
        <v>0</v>
      </c>
      <c r="I553" s="7">
        <f t="shared" si="225"/>
        <v>10</v>
      </c>
      <c r="J553" s="7">
        <f>SUM(J544:J552)</f>
        <v>85</v>
      </c>
      <c r="K553" s="7">
        <f t="shared" si="225"/>
        <v>0</v>
      </c>
      <c r="L553" s="7">
        <f t="shared" si="225"/>
        <v>95</v>
      </c>
      <c r="M553" s="7">
        <f t="shared" si="225"/>
        <v>8</v>
      </c>
      <c r="N553" s="7">
        <f t="shared" si="225"/>
        <v>8</v>
      </c>
      <c r="P553" s="13"/>
      <c r="Q553" s="13"/>
      <c r="R553" s="13"/>
      <c r="S553" s="13"/>
      <c r="T553" s="15"/>
      <c r="U553" s="46" t="str">
        <f t="shared" si="224"/>
        <v/>
      </c>
      <c r="V553" s="46" t="str">
        <f t="shared" si="224"/>
        <v/>
      </c>
      <c r="W553" s="46" t="str">
        <f t="shared" si="224"/>
        <v/>
      </c>
      <c r="X553" s="46" t="str">
        <f t="shared" si="224"/>
        <v/>
      </c>
      <c r="Z553" s="11"/>
    </row>
    <row r="554" spans="2:26" s="18" customFormat="1" x14ac:dyDescent="0.25">
      <c r="E554" s="40"/>
      <c r="G554" s="40"/>
      <c r="H554" s="7"/>
      <c r="I554" s="7"/>
      <c r="J554" s="7"/>
      <c r="K554" s="7"/>
      <c r="L554" s="7"/>
      <c r="M554" s="8"/>
      <c r="N554" s="8" t="str">
        <f>IF(R554="x",1,"")</f>
        <v/>
      </c>
      <c r="P554" s="13"/>
      <c r="Q554" s="13"/>
      <c r="R554" s="13"/>
      <c r="S554" s="13"/>
      <c r="T554" s="15"/>
      <c r="U554" s="46" t="str">
        <f t="shared" si="224"/>
        <v/>
      </c>
      <c r="V554" s="46" t="str">
        <f t="shared" si="224"/>
        <v/>
      </c>
      <c r="W554" s="46" t="str">
        <f t="shared" si="224"/>
        <v/>
      </c>
      <c r="X554" s="46" t="str">
        <f t="shared" si="224"/>
        <v/>
      </c>
      <c r="Z554" s="11"/>
    </row>
    <row r="555" spans="2:26" s="18" customFormat="1" x14ac:dyDescent="0.25">
      <c r="E555" s="40"/>
      <c r="G555" s="40"/>
      <c r="H555" s="7"/>
      <c r="I555" s="7"/>
      <c r="J555" s="7"/>
      <c r="K555" s="7"/>
      <c r="L555" s="7"/>
      <c r="M555" s="8"/>
      <c r="N555" s="8" t="str">
        <f>IF(R555="x",1,"")</f>
        <v/>
      </c>
      <c r="P555" s="13"/>
      <c r="Q555" s="13"/>
      <c r="R555" s="13"/>
      <c r="S555" s="13"/>
      <c r="T555" s="15"/>
      <c r="U555" s="46" t="str">
        <f t="shared" si="224"/>
        <v/>
      </c>
      <c r="V555" s="46" t="str">
        <f t="shared" si="224"/>
        <v/>
      </c>
      <c r="W555" s="46" t="str">
        <f t="shared" si="224"/>
        <v/>
      </c>
      <c r="X555" s="46" t="str">
        <f t="shared" si="224"/>
        <v/>
      </c>
      <c r="Z555" s="11"/>
    </row>
    <row r="556" spans="2:26" x14ac:dyDescent="0.25">
      <c r="B556" s="11" t="str">
        <f>CONCATENATE("BOHE","-",LEFT(P556,2),UPPER(MID(P556,4,3)),RIGHT(P556,4))</f>
        <v>BOHE-25JUN1888</v>
      </c>
      <c r="C556" s="11" t="s">
        <v>116</v>
      </c>
      <c r="D556" s="11" t="s">
        <v>1699</v>
      </c>
      <c r="F556" s="11" t="s">
        <v>1700</v>
      </c>
      <c r="G556" s="39" t="s">
        <v>5588</v>
      </c>
      <c r="J556" s="7">
        <v>7</v>
      </c>
      <c r="L556" s="7">
        <f>SUM(H556:K556)</f>
        <v>7</v>
      </c>
      <c r="M556" s="8">
        <v>1</v>
      </c>
      <c r="N556" s="8">
        <f>IF(L556&gt;0,1,"")</f>
        <v>1</v>
      </c>
      <c r="O556" s="11" t="s">
        <v>1702</v>
      </c>
      <c r="P556" s="16" t="str">
        <f>IF(LEN(G556)=10,CONCATENATE("0",G556),G556)</f>
        <v>25-Jun-1888</v>
      </c>
      <c r="R556" s="16" t="str">
        <f t="shared" ref="R556:S559" si="226">IF($L556&gt;0,"x","")</f>
        <v>x</v>
      </c>
      <c r="S556" s="16" t="str">
        <f t="shared" si="226"/>
        <v>x</v>
      </c>
      <c r="U556" s="46" t="str">
        <f t="shared" si="224"/>
        <v/>
      </c>
      <c r="V556" s="46">
        <f t="shared" si="224"/>
        <v>7</v>
      </c>
      <c r="W556" s="46" t="str">
        <f t="shared" si="224"/>
        <v/>
      </c>
      <c r="X556" s="46" t="str">
        <f t="shared" si="224"/>
        <v/>
      </c>
    </row>
    <row r="557" spans="2:26" x14ac:dyDescent="0.25">
      <c r="B557" s="11" t="str">
        <f>CONCATENATE("BOHE","-",LEFT(P557,2),UPPER(MID(P557,4,3)),RIGHT(P557,4))</f>
        <v>BOHE-05JUN1896</v>
      </c>
      <c r="C557" s="11" t="s">
        <v>116</v>
      </c>
      <c r="D557" s="11" t="s">
        <v>1699</v>
      </c>
      <c r="F557" s="11" t="s">
        <v>1700</v>
      </c>
      <c r="G557" s="39" t="s">
        <v>3209</v>
      </c>
      <c r="H557" s="7">
        <v>0</v>
      </c>
      <c r="I557" s="7">
        <v>0</v>
      </c>
      <c r="J557" s="7">
        <v>40</v>
      </c>
      <c r="L557" s="7">
        <f>SUM(H557:K557)</f>
        <v>40</v>
      </c>
      <c r="M557" s="8">
        <v>1</v>
      </c>
      <c r="N557" s="8">
        <f>IF(L557&gt;0,1,"")</f>
        <v>1</v>
      </c>
      <c r="O557" s="11" t="s">
        <v>1702</v>
      </c>
      <c r="P557" s="16" t="str">
        <f>IF(LEN(G557)=10,CONCATENATE("0",G557),G557)</f>
        <v>05-Jun-1896</v>
      </c>
      <c r="R557" s="16" t="str">
        <f t="shared" si="226"/>
        <v>x</v>
      </c>
      <c r="S557" s="16" t="str">
        <f t="shared" si="226"/>
        <v>x</v>
      </c>
      <c r="U557" s="46" t="str">
        <f t="shared" ref="U557:X558" si="227">IF($O557=U$5,$L557,"")</f>
        <v/>
      </c>
      <c r="V557" s="46">
        <f t="shared" si="227"/>
        <v>40</v>
      </c>
      <c r="W557" s="46" t="str">
        <f t="shared" si="227"/>
        <v/>
      </c>
      <c r="X557" s="46" t="str">
        <f t="shared" si="227"/>
        <v/>
      </c>
    </row>
    <row r="558" spans="2:26" x14ac:dyDescent="0.25">
      <c r="B558" s="11" t="str">
        <f>CONCATENATE("BOHE","-",LEFT(P558,2),UPPER(MID(P558,4,3)),RIGHT(P558,4))</f>
        <v>BOHE-31JUL1896</v>
      </c>
      <c r="C558" s="11" t="s">
        <v>116</v>
      </c>
      <c r="D558" s="11" t="s">
        <v>1699</v>
      </c>
      <c r="F558" s="11" t="s">
        <v>1700</v>
      </c>
      <c r="G558" s="39" t="s">
        <v>5661</v>
      </c>
      <c r="J558" s="7">
        <v>12</v>
      </c>
      <c r="L558" s="7">
        <f>SUM(H558:K558)</f>
        <v>12</v>
      </c>
      <c r="M558" s="8">
        <v>1</v>
      </c>
      <c r="N558" s="8">
        <f>IF(L558&gt;0,1,"")</f>
        <v>1</v>
      </c>
      <c r="O558" s="11" t="s">
        <v>1702</v>
      </c>
      <c r="P558" s="16" t="str">
        <f>IF(LEN(G558)=10,CONCATENATE("0",G558),G558)</f>
        <v>31-Jul-1896</v>
      </c>
      <c r="R558" s="16" t="str">
        <f t="shared" si="226"/>
        <v>x</v>
      </c>
      <c r="S558" s="16" t="str">
        <f t="shared" si="226"/>
        <v>x</v>
      </c>
      <c r="U558" s="46" t="str">
        <f t="shared" si="227"/>
        <v/>
      </c>
      <c r="V558" s="46">
        <f t="shared" si="227"/>
        <v>12</v>
      </c>
      <c r="W558" s="46" t="str">
        <f t="shared" si="227"/>
        <v/>
      </c>
      <c r="X558" s="46" t="str">
        <f t="shared" si="227"/>
        <v/>
      </c>
    </row>
    <row r="559" spans="2:26" x14ac:dyDescent="0.25">
      <c r="B559" s="11" t="str">
        <f>CONCATENATE("BOHE","-",LEFT(P559,2),UPPER(MID(P559,4,3)),RIGHT(P559,4))</f>
        <v>BOHE-26SEP1896</v>
      </c>
      <c r="C559" s="11" t="s">
        <v>116</v>
      </c>
      <c r="D559" s="11" t="s">
        <v>1699</v>
      </c>
      <c r="F559" s="11" t="s">
        <v>1700</v>
      </c>
      <c r="G559" s="39" t="s">
        <v>3457</v>
      </c>
      <c r="J559" s="7">
        <v>17</v>
      </c>
      <c r="L559" s="7">
        <f>SUM(H559:K559)</f>
        <v>17</v>
      </c>
      <c r="M559" s="8">
        <v>1</v>
      </c>
      <c r="N559" s="8">
        <f>IF(L559&gt;0,1,"")</f>
        <v>1</v>
      </c>
      <c r="O559" s="11" t="s">
        <v>1702</v>
      </c>
      <c r="P559" s="16" t="str">
        <f>IF(LEN(G559)=10,CONCATENATE("0",G559),G559)</f>
        <v>26-Sep-1896</v>
      </c>
      <c r="R559" s="16" t="str">
        <f t="shared" si="226"/>
        <v>x</v>
      </c>
      <c r="S559" s="16" t="str">
        <f t="shared" si="226"/>
        <v>x</v>
      </c>
      <c r="U559" s="46" t="str">
        <f t="shared" ref="U559:X561" si="228">IF($O559=U$5,$L559,"")</f>
        <v/>
      </c>
      <c r="V559" s="46">
        <f t="shared" si="228"/>
        <v>17</v>
      </c>
      <c r="W559" s="46" t="str">
        <f t="shared" si="228"/>
        <v/>
      </c>
      <c r="X559" s="46" t="str">
        <f t="shared" si="228"/>
        <v/>
      </c>
    </row>
    <row r="560" spans="2:26" x14ac:dyDescent="0.25">
      <c r="N560" s="8" t="str">
        <f>IF(R560="x",1,"")</f>
        <v/>
      </c>
      <c r="U560" s="46" t="str">
        <f t="shared" si="228"/>
        <v/>
      </c>
      <c r="V560" s="46" t="str">
        <f t="shared" si="228"/>
        <v/>
      </c>
      <c r="W560" s="46" t="str">
        <f t="shared" si="228"/>
        <v/>
      </c>
      <c r="X560" s="46" t="str">
        <f t="shared" si="228"/>
        <v/>
      </c>
    </row>
    <row r="561" spans="2:26" s="18" customFormat="1" x14ac:dyDescent="0.25">
      <c r="E561" s="40"/>
      <c r="G561" s="40"/>
      <c r="H561" s="7">
        <f t="shared" ref="H561:N561" si="229">SUM(H556:H560)</f>
        <v>0</v>
      </c>
      <c r="I561" s="7">
        <f t="shared" si="229"/>
        <v>0</v>
      </c>
      <c r="J561" s="7">
        <f>SUM(J556:J560)</f>
        <v>76</v>
      </c>
      <c r="K561" s="7">
        <f t="shared" si="229"/>
        <v>0</v>
      </c>
      <c r="L561" s="7">
        <f t="shared" si="229"/>
        <v>76</v>
      </c>
      <c r="M561" s="7">
        <f t="shared" si="229"/>
        <v>4</v>
      </c>
      <c r="N561" s="7">
        <f t="shared" si="229"/>
        <v>4</v>
      </c>
      <c r="P561" s="13"/>
      <c r="Q561" s="13"/>
      <c r="R561" s="13"/>
      <c r="S561" s="13"/>
      <c r="T561" s="15"/>
      <c r="U561" s="46" t="str">
        <f t="shared" si="228"/>
        <v/>
      </c>
      <c r="V561" s="46" t="str">
        <f t="shared" si="228"/>
        <v/>
      </c>
      <c r="W561" s="46" t="str">
        <f t="shared" si="228"/>
        <v/>
      </c>
      <c r="X561" s="46" t="str">
        <f t="shared" si="228"/>
        <v/>
      </c>
      <c r="Z561" s="11"/>
    </row>
    <row r="562" spans="2:26" s="18" customFormat="1" x14ac:dyDescent="0.25">
      <c r="E562" s="40"/>
      <c r="G562" s="40"/>
      <c r="H562" s="7"/>
      <c r="I562" s="7"/>
      <c r="J562" s="7"/>
      <c r="K562" s="7"/>
      <c r="L562" s="7"/>
      <c r="M562" s="8"/>
      <c r="N562" s="8" t="str">
        <f>IF(R562="x",1,"")</f>
        <v/>
      </c>
      <c r="P562" s="13"/>
      <c r="Q562" s="13"/>
      <c r="R562" s="13"/>
      <c r="S562" s="13"/>
      <c r="T562" s="15"/>
      <c r="U562" s="46" t="str">
        <f t="shared" ref="U562:X566" si="230">IF($O562=U$5,$L562,"")</f>
        <v/>
      </c>
      <c r="V562" s="46" t="str">
        <f t="shared" si="230"/>
        <v/>
      </c>
      <c r="W562" s="46" t="str">
        <f t="shared" si="230"/>
        <v/>
      </c>
      <c r="X562" s="46" t="str">
        <f t="shared" si="230"/>
        <v/>
      </c>
      <c r="Z562" s="11"/>
    </row>
    <row r="563" spans="2:26" s="18" customFormat="1" x14ac:dyDescent="0.25">
      <c r="E563" s="40"/>
      <c r="G563" s="40"/>
      <c r="H563" s="7"/>
      <c r="I563" s="7"/>
      <c r="J563" s="7"/>
      <c r="K563" s="7"/>
      <c r="L563" s="7"/>
      <c r="M563" s="8"/>
      <c r="N563" s="8" t="str">
        <f>IF(R563="x",1,"")</f>
        <v/>
      </c>
      <c r="P563" s="13"/>
      <c r="Q563" s="13"/>
      <c r="R563" s="13"/>
      <c r="S563" s="13"/>
      <c r="T563" s="15"/>
      <c r="U563" s="46" t="str">
        <f t="shared" si="230"/>
        <v/>
      </c>
      <c r="V563" s="46" t="str">
        <f t="shared" si="230"/>
        <v/>
      </c>
      <c r="W563" s="46" t="str">
        <f t="shared" si="230"/>
        <v/>
      </c>
      <c r="X563" s="46" t="str">
        <f t="shared" si="230"/>
        <v/>
      </c>
      <c r="Z563" s="11"/>
    </row>
    <row r="564" spans="2:26" x14ac:dyDescent="0.25">
      <c r="B564" s="11" t="str">
        <f>CONCATENATE("BOHM","-",LEFT(P564,2),UPPER(MID(P564,4,3)),RIGHT(P564,4))</f>
        <v>BOHM-30MAR1904</v>
      </c>
      <c r="C564" s="11" t="s">
        <v>5454</v>
      </c>
      <c r="D564" s="11" t="s">
        <v>2097</v>
      </c>
      <c r="E564" s="39" t="s">
        <v>1400</v>
      </c>
      <c r="F564" s="11" t="s">
        <v>3050</v>
      </c>
      <c r="G564" s="39" t="s">
        <v>5455</v>
      </c>
      <c r="H564" s="7">
        <v>2</v>
      </c>
      <c r="J564" s="7">
        <v>0</v>
      </c>
      <c r="L564" s="7">
        <f>SUM(H564:K564)</f>
        <v>2</v>
      </c>
      <c r="M564" s="8">
        <v>1</v>
      </c>
      <c r="N564" s="8">
        <f>IF(L564&gt;0,1,"")</f>
        <v>1</v>
      </c>
      <c r="O564" s="11" t="s">
        <v>1702</v>
      </c>
      <c r="P564" s="16" t="str">
        <f>IF(LEN(G564)=10,CONCATENATE("0",G564),G564)</f>
        <v>30-Mar-1904</v>
      </c>
      <c r="R564" s="16" t="str">
        <f>IF($L564&gt;0,"x","")</f>
        <v>x</v>
      </c>
      <c r="S564" s="16" t="str">
        <f>IF($L564&gt;0,"x","")</f>
        <v>x</v>
      </c>
      <c r="U564" s="46" t="str">
        <f t="shared" si="230"/>
        <v/>
      </c>
      <c r="V564" s="46">
        <f t="shared" si="230"/>
        <v>2</v>
      </c>
      <c r="W564" s="46" t="str">
        <f t="shared" si="230"/>
        <v/>
      </c>
      <c r="X564" s="46" t="str">
        <f t="shared" si="230"/>
        <v/>
      </c>
    </row>
    <row r="565" spans="2:26" x14ac:dyDescent="0.25">
      <c r="N565" s="8" t="str">
        <f>IF(R565="x",1,"")</f>
        <v/>
      </c>
      <c r="U565" s="46" t="str">
        <f t="shared" si="230"/>
        <v/>
      </c>
      <c r="V565" s="46" t="str">
        <f t="shared" si="230"/>
        <v/>
      </c>
      <c r="W565" s="46" t="str">
        <f t="shared" si="230"/>
        <v/>
      </c>
      <c r="X565" s="46" t="str">
        <f t="shared" si="230"/>
        <v/>
      </c>
    </row>
    <row r="566" spans="2:26" s="18" customFormat="1" x14ac:dyDescent="0.25">
      <c r="E566" s="40"/>
      <c r="G566" s="40"/>
      <c r="H566" s="7">
        <f t="shared" ref="H566:N566" si="231">SUM(H564:H565)</f>
        <v>2</v>
      </c>
      <c r="I566" s="7">
        <f t="shared" si="231"/>
        <v>0</v>
      </c>
      <c r="J566" s="7">
        <f>SUM(J564:J565)</f>
        <v>0</v>
      </c>
      <c r="K566" s="7">
        <f t="shared" si="231"/>
        <v>0</v>
      </c>
      <c r="L566" s="7">
        <f t="shared" si="231"/>
        <v>2</v>
      </c>
      <c r="M566" s="7">
        <f t="shared" si="231"/>
        <v>1</v>
      </c>
      <c r="N566" s="7">
        <f t="shared" si="231"/>
        <v>1</v>
      </c>
      <c r="P566" s="13"/>
      <c r="Q566" s="13"/>
      <c r="R566" s="13"/>
      <c r="S566" s="13"/>
      <c r="T566" s="15"/>
      <c r="U566" s="46" t="str">
        <f t="shared" si="230"/>
        <v/>
      </c>
      <c r="V566" s="46" t="str">
        <f t="shared" si="230"/>
        <v/>
      </c>
      <c r="W566" s="46" t="str">
        <f t="shared" si="230"/>
        <v/>
      </c>
      <c r="X566" s="46" t="str">
        <f t="shared" si="230"/>
        <v/>
      </c>
      <c r="Z566" s="11"/>
    </row>
    <row r="567" spans="2:26" x14ac:dyDescent="0.25">
      <c r="B567" s="18"/>
      <c r="C567" s="18"/>
      <c r="D567" s="18"/>
      <c r="E567" s="40"/>
      <c r="F567" s="18"/>
      <c r="G567" s="40"/>
      <c r="N567" s="8" t="str">
        <f>IF(R567="x",1,"")</f>
        <v/>
      </c>
      <c r="O567" s="18"/>
      <c r="P567" s="13"/>
      <c r="Q567" s="13"/>
      <c r="R567" s="13"/>
      <c r="S567" s="13"/>
      <c r="T567" s="15"/>
      <c r="U567" s="46" t="str">
        <f t="shared" ref="U567:X572" si="232">IF($O567=U$5,$L567,"")</f>
        <v/>
      </c>
      <c r="V567" s="46" t="str">
        <f t="shared" si="232"/>
        <v/>
      </c>
      <c r="W567" s="46" t="str">
        <f t="shared" si="232"/>
        <v/>
      </c>
      <c r="X567" s="46" t="str">
        <f t="shared" si="232"/>
        <v/>
      </c>
    </row>
    <row r="568" spans="2:26" x14ac:dyDescent="0.25">
      <c r="B568" s="18"/>
      <c r="C568" s="18"/>
      <c r="D568" s="18"/>
      <c r="E568" s="40"/>
      <c r="F568" s="18"/>
      <c r="G568" s="40"/>
      <c r="N568" s="8" t="str">
        <f>IF(R568="x",1,"")</f>
        <v/>
      </c>
      <c r="O568" s="18"/>
      <c r="P568" s="13"/>
      <c r="Q568" s="13"/>
      <c r="R568" s="13"/>
      <c r="S568" s="13"/>
      <c r="T568" s="15"/>
      <c r="U568" s="46" t="str">
        <f t="shared" si="232"/>
        <v/>
      </c>
      <c r="V568" s="46" t="str">
        <f t="shared" si="232"/>
        <v/>
      </c>
      <c r="W568" s="46" t="str">
        <f t="shared" si="232"/>
        <v/>
      </c>
      <c r="X568" s="46" t="str">
        <f t="shared" si="232"/>
        <v/>
      </c>
    </row>
    <row r="569" spans="2:26" x14ac:dyDescent="0.25">
      <c r="B569" s="11" t="str">
        <f>CONCATENATE("BOSN","-",LEFT(P569,2),UPPER(MID(P569,4,3)),RIGHT(P569,4))</f>
        <v>BOSN-21JUN1907</v>
      </c>
      <c r="C569" s="11" t="s">
        <v>3384</v>
      </c>
      <c r="D569" s="11" t="s">
        <v>1699</v>
      </c>
      <c r="E569" s="39" t="s">
        <v>3385</v>
      </c>
      <c r="F569" s="11" t="s">
        <v>1700</v>
      </c>
      <c r="G569" s="39" t="s">
        <v>3386</v>
      </c>
      <c r="J569" s="17">
        <v>39</v>
      </c>
      <c r="K569" s="17"/>
      <c r="L569" s="7">
        <f>SUM(H569:K569)</f>
        <v>39</v>
      </c>
      <c r="M569" s="8">
        <v>1</v>
      </c>
      <c r="N569" s="8">
        <f>IF(L569&gt;0,1,"")</f>
        <v>1</v>
      </c>
      <c r="O569" s="11" t="s">
        <v>1702</v>
      </c>
      <c r="P569" s="16" t="str">
        <f>IF(LEN(G569)=10,CONCATENATE("0",G569),G569)</f>
        <v>21-Jun-1907</v>
      </c>
      <c r="R569" s="16" t="str">
        <f>IF($L569&gt;0,"x","")</f>
        <v>x</v>
      </c>
      <c r="S569" s="16" t="str">
        <f>IF($L569&gt;0,"x","")</f>
        <v>x</v>
      </c>
      <c r="U569" s="46" t="str">
        <f t="shared" si="232"/>
        <v/>
      </c>
      <c r="V569" s="46">
        <f t="shared" si="232"/>
        <v>39</v>
      </c>
      <c r="W569" s="46" t="str">
        <f t="shared" si="232"/>
        <v/>
      </c>
      <c r="X569" s="46" t="str">
        <f t="shared" si="232"/>
        <v/>
      </c>
    </row>
    <row r="570" spans="2:26" x14ac:dyDescent="0.25">
      <c r="B570" s="11" t="str">
        <f>CONCATENATE("BOSN","-",LEFT(P570,2),UPPER(MID(P570,4,3)),RIGHT(P570,4))</f>
        <v>BOSN-07MAY1914</v>
      </c>
      <c r="C570" s="11" t="s">
        <v>3384</v>
      </c>
      <c r="D570" s="11" t="s">
        <v>3134</v>
      </c>
      <c r="E570" s="39" t="s">
        <v>4389</v>
      </c>
      <c r="F570" s="11" t="s">
        <v>3538</v>
      </c>
      <c r="G570" s="39" t="s">
        <v>4390</v>
      </c>
      <c r="I570" s="7">
        <v>0</v>
      </c>
      <c r="J570" s="17">
        <v>4</v>
      </c>
      <c r="K570" s="17"/>
      <c r="L570" s="7">
        <f>SUM(H570:K570)</f>
        <v>4</v>
      </c>
      <c r="M570" s="8">
        <v>1</v>
      </c>
      <c r="N570" s="8">
        <f>IF(L570&gt;0,1,"")</f>
        <v>1</v>
      </c>
      <c r="O570" s="11" t="s">
        <v>1702</v>
      </c>
      <c r="P570" s="16" t="str">
        <f>IF(LEN(G570)=10,CONCATENATE("0",G570),G570)</f>
        <v>07-May-1914</v>
      </c>
      <c r="R570" s="16" t="str">
        <f>IF($L570&gt;0,"x","")</f>
        <v>x</v>
      </c>
      <c r="S570" s="16" t="str">
        <f>IF($L570&gt;0,"x","")</f>
        <v>x</v>
      </c>
      <c r="U570" s="46" t="str">
        <f t="shared" si="232"/>
        <v/>
      </c>
      <c r="V570" s="46">
        <f t="shared" si="232"/>
        <v>4</v>
      </c>
      <c r="W570" s="46" t="str">
        <f t="shared" si="232"/>
        <v/>
      </c>
      <c r="X570" s="46" t="str">
        <f t="shared" si="232"/>
        <v/>
      </c>
    </row>
    <row r="571" spans="2:26" x14ac:dyDescent="0.25">
      <c r="N571" s="8" t="str">
        <f>IF(R571="x",1,"")</f>
        <v/>
      </c>
      <c r="U571" s="46" t="str">
        <f t="shared" si="232"/>
        <v/>
      </c>
      <c r="V571" s="46" t="str">
        <f t="shared" si="232"/>
        <v/>
      </c>
      <c r="W571" s="46" t="str">
        <f t="shared" si="232"/>
        <v/>
      </c>
      <c r="X571" s="46" t="str">
        <f t="shared" si="232"/>
        <v/>
      </c>
    </row>
    <row r="572" spans="2:26" x14ac:dyDescent="0.25">
      <c r="B572" s="18"/>
      <c r="C572" s="18"/>
      <c r="D572" s="18"/>
      <c r="E572" s="40"/>
      <c r="F572" s="18"/>
      <c r="G572" s="40"/>
      <c r="H572" s="7">
        <f t="shared" ref="H572:N572" si="233">SUM(H569:H571)</f>
        <v>0</v>
      </c>
      <c r="I572" s="7">
        <f t="shared" si="233"/>
        <v>0</v>
      </c>
      <c r="J572" s="7">
        <f>SUM(J569:J571)</f>
        <v>43</v>
      </c>
      <c r="K572" s="7">
        <f t="shared" si="233"/>
        <v>0</v>
      </c>
      <c r="L572" s="7">
        <f t="shared" si="233"/>
        <v>43</v>
      </c>
      <c r="M572" s="7">
        <f t="shared" si="233"/>
        <v>2</v>
      </c>
      <c r="N572" s="7">
        <f t="shared" si="233"/>
        <v>2</v>
      </c>
      <c r="O572" s="18"/>
      <c r="P572" s="13"/>
      <c r="Q572" s="13"/>
      <c r="S572" s="13"/>
      <c r="T572" s="15"/>
      <c r="U572" s="46" t="str">
        <f t="shared" si="232"/>
        <v/>
      </c>
      <c r="V572" s="46" t="str">
        <f t="shared" si="232"/>
        <v/>
      </c>
      <c r="W572" s="46" t="str">
        <f t="shared" si="232"/>
        <v/>
      </c>
      <c r="X572" s="46" t="str">
        <f t="shared" si="232"/>
        <v/>
      </c>
    </row>
    <row r="573" spans="2:26" x14ac:dyDescent="0.25">
      <c r="B573" s="18"/>
      <c r="C573" s="18"/>
      <c r="D573" s="18"/>
      <c r="E573" s="40"/>
      <c r="F573" s="18"/>
      <c r="G573" s="40"/>
      <c r="N573" s="8" t="str">
        <f>IF(R573="x",1,"")</f>
        <v/>
      </c>
      <c r="O573" s="18"/>
      <c r="P573" s="13"/>
      <c r="Q573" s="13"/>
      <c r="R573" s="13"/>
      <c r="S573" s="13"/>
      <c r="T573" s="15"/>
      <c r="U573" s="46" t="str">
        <f t="shared" ref="U573:X600" si="234">IF($O573=U$5,$L573,"")</f>
        <v/>
      </c>
      <c r="V573" s="46" t="str">
        <f t="shared" si="234"/>
        <v/>
      </c>
      <c r="W573" s="46" t="str">
        <f t="shared" si="234"/>
        <v/>
      </c>
      <c r="X573" s="46" t="str">
        <f t="shared" si="234"/>
        <v/>
      </c>
    </row>
    <row r="574" spans="2:26" x14ac:dyDescent="0.25">
      <c r="B574" s="18"/>
      <c r="C574" s="18"/>
      <c r="D574" s="18"/>
      <c r="E574" s="40"/>
      <c r="F574" s="18"/>
      <c r="G574" s="40"/>
      <c r="N574" s="8" t="str">
        <f>IF(R574="x",1,"")</f>
        <v/>
      </c>
      <c r="O574" s="18"/>
      <c r="P574" s="13"/>
      <c r="Q574" s="13"/>
      <c r="R574" s="13"/>
      <c r="S574" s="13"/>
      <c r="T574" s="15"/>
      <c r="U574" s="46" t="str">
        <f t="shared" si="234"/>
        <v/>
      </c>
      <c r="V574" s="46" t="str">
        <f t="shared" si="234"/>
        <v/>
      </c>
      <c r="W574" s="46" t="str">
        <f t="shared" si="234"/>
        <v/>
      </c>
      <c r="X574" s="46" t="str">
        <f t="shared" si="234"/>
        <v/>
      </c>
    </row>
    <row r="575" spans="2:26" x14ac:dyDescent="0.25">
      <c r="B575" s="11" t="str">
        <f>CONCATENATE("BOTH","-",LEFT(P575,2),UPPER(MID(P575,4,3)),RIGHT(P575,4))</f>
        <v>BOTH-30JAN1890</v>
      </c>
      <c r="C575" s="11" t="s">
        <v>5050</v>
      </c>
      <c r="D575" s="11" t="s">
        <v>2097</v>
      </c>
      <c r="F575" s="11" t="s">
        <v>1700</v>
      </c>
      <c r="G575" s="39" t="s">
        <v>5680</v>
      </c>
      <c r="H575" s="7">
        <v>0</v>
      </c>
      <c r="I575" s="7">
        <v>2</v>
      </c>
      <c r="J575" s="17">
        <v>0</v>
      </c>
      <c r="K575" s="17"/>
      <c r="L575" s="7">
        <f>SUM(H575:K575)</f>
        <v>2</v>
      </c>
      <c r="M575" s="8">
        <v>1</v>
      </c>
      <c r="N575" s="8">
        <f>IF(L575&gt;0,1,"")</f>
        <v>1</v>
      </c>
      <c r="O575" s="11" t="s">
        <v>1702</v>
      </c>
      <c r="P575" s="16" t="str">
        <f>IF(LEN(G575)=10,CONCATENATE("0",G575),G575)</f>
        <v>30-Jan-1890</v>
      </c>
      <c r="R575" s="16" t="str">
        <f>IF($L575&gt;0,"x","")</f>
        <v>x</v>
      </c>
      <c r="S575" s="16" t="str">
        <f>IF($L575&gt;0,"x","")</f>
        <v>x</v>
      </c>
      <c r="U575" s="46" t="str">
        <f t="shared" si="234"/>
        <v/>
      </c>
      <c r="V575" s="46">
        <f t="shared" si="234"/>
        <v>2</v>
      </c>
      <c r="W575" s="46" t="str">
        <f t="shared" si="234"/>
        <v/>
      </c>
      <c r="X575" s="46" t="str">
        <f t="shared" si="234"/>
        <v/>
      </c>
    </row>
    <row r="576" spans="2:26" x14ac:dyDescent="0.25">
      <c r="B576" s="11" t="str">
        <f>CONCATENATE("BOTH","-",LEFT(P576,2),UPPER(MID(P576,4,3)),RIGHT(P576,4))</f>
        <v>BOTH-19SEP1892</v>
      </c>
      <c r="C576" s="11" t="s">
        <v>5050</v>
      </c>
      <c r="D576" s="11" t="s">
        <v>2097</v>
      </c>
      <c r="F576" s="11" t="s">
        <v>1700</v>
      </c>
      <c r="G576" s="39" t="s">
        <v>5051</v>
      </c>
      <c r="I576" s="7">
        <v>3</v>
      </c>
      <c r="J576" s="17">
        <v>0</v>
      </c>
      <c r="K576" s="17"/>
      <c r="L576" s="7">
        <f>SUM(H576:K576)</f>
        <v>3</v>
      </c>
      <c r="M576" s="8">
        <v>1</v>
      </c>
      <c r="N576" s="8">
        <f>IF(L576&gt;0,1,"")</f>
        <v>1</v>
      </c>
      <c r="O576" s="11" t="s">
        <v>1702</v>
      </c>
      <c r="P576" s="16" t="str">
        <f>IF(LEN(G576)=10,CONCATENATE("0",G576),G576)</f>
        <v>19-Sep-1892</v>
      </c>
      <c r="R576" s="16" t="str">
        <f>IF($L576&gt;0,"x","")</f>
        <v>x</v>
      </c>
      <c r="S576" s="16" t="str">
        <f>IF($L576&gt;0,"x","")</f>
        <v>x</v>
      </c>
      <c r="U576" s="46" t="str">
        <f t="shared" si="234"/>
        <v/>
      </c>
      <c r="V576" s="46">
        <f t="shared" si="234"/>
        <v>3</v>
      </c>
      <c r="W576" s="46" t="str">
        <f t="shared" si="234"/>
        <v/>
      </c>
      <c r="X576" s="46" t="str">
        <f t="shared" si="234"/>
        <v/>
      </c>
    </row>
    <row r="577" spans="2:26" x14ac:dyDescent="0.25">
      <c r="N577" s="8" t="str">
        <f>IF(R577="x",1,"")</f>
        <v/>
      </c>
      <c r="U577" s="46" t="str">
        <f t="shared" si="234"/>
        <v/>
      </c>
      <c r="V577" s="46" t="str">
        <f t="shared" si="234"/>
        <v/>
      </c>
      <c r="W577" s="46" t="str">
        <f t="shared" si="234"/>
        <v/>
      </c>
      <c r="X577" s="46" t="str">
        <f t="shared" si="234"/>
        <v/>
      </c>
    </row>
    <row r="578" spans="2:26" x14ac:dyDescent="0.25">
      <c r="B578" s="18"/>
      <c r="C578" s="18"/>
      <c r="D578" s="18"/>
      <c r="E578" s="40"/>
      <c r="F578" s="18"/>
      <c r="G578" s="40"/>
      <c r="H578" s="7">
        <f t="shared" ref="H578:N578" si="235">SUM(H575:H577)</f>
        <v>0</v>
      </c>
      <c r="I578" s="7">
        <f t="shared" si="235"/>
        <v>5</v>
      </c>
      <c r="J578" s="7">
        <f>SUM(J575:J577)</f>
        <v>0</v>
      </c>
      <c r="K578" s="7">
        <f t="shared" si="235"/>
        <v>0</v>
      </c>
      <c r="L578" s="7">
        <f t="shared" si="235"/>
        <v>5</v>
      </c>
      <c r="M578" s="7">
        <f t="shared" si="235"/>
        <v>2</v>
      </c>
      <c r="N578" s="7">
        <f t="shared" si="235"/>
        <v>2</v>
      </c>
      <c r="O578" s="18"/>
      <c r="P578" s="13"/>
      <c r="Q578" s="13"/>
      <c r="S578" s="13"/>
      <c r="T578" s="15"/>
      <c r="U578" s="46" t="str">
        <f t="shared" si="234"/>
        <v/>
      </c>
      <c r="V578" s="46" t="str">
        <f t="shared" si="234"/>
        <v/>
      </c>
      <c r="W578" s="46" t="str">
        <f t="shared" si="234"/>
        <v/>
      </c>
      <c r="X578" s="46" t="str">
        <f t="shared" si="234"/>
        <v/>
      </c>
    </row>
    <row r="579" spans="2:26" s="18" customFormat="1" x14ac:dyDescent="0.25">
      <c r="E579" s="40"/>
      <c r="G579" s="40"/>
      <c r="H579" s="7"/>
      <c r="I579" s="7"/>
      <c r="J579" s="7"/>
      <c r="K579" s="7"/>
      <c r="L579" s="7"/>
      <c r="M579" s="8"/>
      <c r="N579" s="8" t="str">
        <f>IF(R579="x",1,"")</f>
        <v/>
      </c>
      <c r="P579" s="13"/>
      <c r="Q579" s="13"/>
      <c r="R579" s="13"/>
      <c r="S579" s="13"/>
      <c r="T579" s="15"/>
      <c r="U579" s="46" t="str">
        <f t="shared" si="234"/>
        <v/>
      </c>
      <c r="V579" s="46" t="str">
        <f t="shared" si="234"/>
        <v/>
      </c>
      <c r="W579" s="46" t="str">
        <f t="shared" si="234"/>
        <v/>
      </c>
      <c r="X579" s="46" t="str">
        <f t="shared" si="234"/>
        <v/>
      </c>
      <c r="Z579" s="11"/>
    </row>
    <row r="580" spans="2:26" s="18" customFormat="1" x14ac:dyDescent="0.25">
      <c r="E580" s="40"/>
      <c r="G580" s="40"/>
      <c r="H580" s="7"/>
      <c r="I580" s="7"/>
      <c r="J580" s="7"/>
      <c r="K580" s="7"/>
      <c r="L580" s="7"/>
      <c r="M580" s="8"/>
      <c r="N580" s="8" t="str">
        <f>IF(R580="x",1,"")</f>
        <v/>
      </c>
      <c r="P580" s="13"/>
      <c r="Q580" s="13"/>
      <c r="R580" s="13"/>
      <c r="S580" s="13"/>
      <c r="T580" s="15"/>
      <c r="U580" s="46" t="str">
        <f t="shared" si="234"/>
        <v/>
      </c>
      <c r="V580" s="46" t="str">
        <f t="shared" si="234"/>
        <v/>
      </c>
      <c r="W580" s="46" t="str">
        <f t="shared" si="234"/>
        <v/>
      </c>
      <c r="X580" s="46" t="str">
        <f t="shared" si="234"/>
        <v/>
      </c>
      <c r="Z580" s="11"/>
    </row>
    <row r="581" spans="2:26" x14ac:dyDescent="0.25">
      <c r="B581" s="11" t="str">
        <f t="shared" ref="B581:B593" si="236">CONCATENATE("BRAG","-",LEFT(P581,2),UPPER(MID(P581,4,3)),RIGHT(P581,4))</f>
        <v>BRAG-03MAR1921</v>
      </c>
      <c r="C581" s="11" t="s">
        <v>3146</v>
      </c>
      <c r="D581" s="11" t="s">
        <v>870</v>
      </c>
      <c r="E581" s="39" t="s">
        <v>3523</v>
      </c>
      <c r="F581" s="11" t="s">
        <v>1602</v>
      </c>
      <c r="G581" s="39" t="s">
        <v>3727</v>
      </c>
      <c r="I581" s="7">
        <f>28+3</f>
        <v>31</v>
      </c>
      <c r="J581" s="7">
        <v>109</v>
      </c>
      <c r="L581" s="7">
        <f t="shared" ref="L581:L594" si="237">SUM(H581:K581)</f>
        <v>140</v>
      </c>
      <c r="M581" s="8">
        <v>1</v>
      </c>
      <c r="N581" s="8">
        <f t="shared" ref="N581:N589" si="238">IF(L581&gt;0,1,"")</f>
        <v>1</v>
      </c>
      <c r="O581" s="11" t="s">
        <v>1702</v>
      </c>
      <c r="P581" s="16" t="str">
        <f t="shared" ref="P581:P589" si="239">IF(LEN(G581)=10,CONCATENATE("0",G581),G581)</f>
        <v>03-Mar-1921</v>
      </c>
      <c r="R581" s="16" t="str">
        <f>IF($L581&gt;0,"x","")</f>
        <v>x</v>
      </c>
      <c r="S581" s="16" t="str">
        <f>IF($L581&gt;0,"x","")</f>
        <v>x</v>
      </c>
      <c r="U581" s="46" t="str">
        <f t="shared" si="234"/>
        <v/>
      </c>
      <c r="V581" s="46">
        <f t="shared" si="234"/>
        <v>140</v>
      </c>
      <c r="W581" s="46" t="str">
        <f t="shared" si="234"/>
        <v/>
      </c>
      <c r="X581" s="46" t="str">
        <f t="shared" si="234"/>
        <v/>
      </c>
    </row>
    <row r="582" spans="2:26" x14ac:dyDescent="0.25">
      <c r="B582" s="11" t="str">
        <f>CONCATENATE("BRAG","-",LEFT(P582,2),UPPER(MID(P582,4,3)),RIGHT(P582,4))</f>
        <v>BRAG-29APR1921</v>
      </c>
      <c r="C582" s="11" t="s">
        <v>3146</v>
      </c>
      <c r="D582" s="11" t="s">
        <v>870</v>
      </c>
      <c r="E582" s="39" t="s">
        <v>4398</v>
      </c>
      <c r="F582" s="11" t="s">
        <v>1602</v>
      </c>
      <c r="G582" s="39" t="s">
        <v>4399</v>
      </c>
      <c r="I582" s="7">
        <v>33</v>
      </c>
      <c r="J582" s="7">
        <f>73+4</f>
        <v>77</v>
      </c>
      <c r="L582" s="7">
        <f t="shared" si="237"/>
        <v>110</v>
      </c>
      <c r="M582" s="8">
        <v>1</v>
      </c>
      <c r="N582" s="8">
        <f>IF(L582&gt;0,1,"")</f>
        <v>1</v>
      </c>
      <c r="O582" s="11" t="s">
        <v>1702</v>
      </c>
      <c r="P582" s="16" t="str">
        <f>IF(LEN(G582)=10,CONCATENATE("0",G582),G582)</f>
        <v>29-Apr-1921</v>
      </c>
      <c r="R582" s="16" t="str">
        <f>IF($L582&gt;0,"x","")</f>
        <v>x</v>
      </c>
      <c r="S582" s="16" t="str">
        <f>IF($L582&gt;0,"x","")</f>
        <v>x</v>
      </c>
      <c r="U582" s="46" t="str">
        <f t="shared" si="234"/>
        <v/>
      </c>
      <c r="V582" s="46">
        <f t="shared" si="234"/>
        <v>110</v>
      </c>
      <c r="W582" s="46" t="str">
        <f t="shared" si="234"/>
        <v/>
      </c>
      <c r="X582" s="46" t="str">
        <f t="shared" si="234"/>
        <v/>
      </c>
    </row>
    <row r="583" spans="2:26" x14ac:dyDescent="0.25">
      <c r="B583" s="11" t="str">
        <f>CONCATENATE("BRAG","-",LEFT(P583,2),UPPER(MID(P583,4,3)),RIGHT(P583,4))</f>
        <v>BRAG-02SEP1922</v>
      </c>
      <c r="C583" s="11" t="s">
        <v>3146</v>
      </c>
      <c r="D583" s="11" t="s">
        <v>870</v>
      </c>
      <c r="E583" s="39" t="s">
        <v>3277</v>
      </c>
      <c r="F583" s="11" t="s">
        <v>1602</v>
      </c>
      <c r="G583" s="39" t="s">
        <v>3276</v>
      </c>
      <c r="I583" s="7">
        <v>6</v>
      </c>
      <c r="J583" s="7">
        <v>138</v>
      </c>
      <c r="L583" s="7">
        <f t="shared" si="237"/>
        <v>144</v>
      </c>
      <c r="M583" s="8">
        <v>1</v>
      </c>
      <c r="N583" s="8">
        <f>IF(L583&gt;0,1,"")</f>
        <v>1</v>
      </c>
      <c r="O583" s="11" t="s">
        <v>1702</v>
      </c>
      <c r="P583" s="16" t="str">
        <f>IF(LEN(G583)=10,CONCATENATE("0",G583),G583)</f>
        <v>02-Sep-1922</v>
      </c>
      <c r="R583" s="16" t="str">
        <f t="shared" ref="R583:S590" si="240">IF($L583&gt;0,"x","")</f>
        <v>x</v>
      </c>
      <c r="S583" s="16" t="str">
        <f t="shared" si="240"/>
        <v>x</v>
      </c>
      <c r="U583" s="46" t="str">
        <f t="shared" si="234"/>
        <v/>
      </c>
      <c r="V583" s="46">
        <f t="shared" si="234"/>
        <v>144</v>
      </c>
      <c r="W583" s="46" t="str">
        <f t="shared" si="234"/>
        <v/>
      </c>
      <c r="X583" s="46" t="str">
        <f t="shared" si="234"/>
        <v/>
      </c>
    </row>
    <row r="584" spans="2:26" x14ac:dyDescent="0.25">
      <c r="B584" s="11" t="str">
        <f t="shared" si="236"/>
        <v>BRAG-03DEC1922</v>
      </c>
      <c r="C584" s="11" t="s">
        <v>3146</v>
      </c>
      <c r="D584" s="11" t="s">
        <v>3056</v>
      </c>
      <c r="E584" s="39" t="s">
        <v>3376</v>
      </c>
      <c r="F584" s="11" t="s">
        <v>1700</v>
      </c>
      <c r="G584" s="39" t="s">
        <v>3375</v>
      </c>
      <c r="I584" s="7">
        <v>0</v>
      </c>
      <c r="J584" s="7">
        <f>4+0</f>
        <v>4</v>
      </c>
      <c r="L584" s="7">
        <f t="shared" si="237"/>
        <v>4</v>
      </c>
      <c r="M584" s="8">
        <v>1</v>
      </c>
      <c r="N584" s="8">
        <f>IF(L584&gt;0,1,"")</f>
        <v>1</v>
      </c>
      <c r="O584" s="11" t="s">
        <v>1702</v>
      </c>
      <c r="P584" s="16" t="str">
        <f>IF(LEN(G584)=10,CONCATENATE("0",G584),G584)</f>
        <v>03-Dec-1922</v>
      </c>
      <c r="R584" s="16" t="str">
        <f t="shared" si="240"/>
        <v>x</v>
      </c>
      <c r="S584" s="16" t="str">
        <f t="shared" si="240"/>
        <v>x</v>
      </c>
      <c r="U584" s="46" t="str">
        <f t="shared" si="234"/>
        <v/>
      </c>
      <c r="V584" s="46">
        <f t="shared" si="234"/>
        <v>4</v>
      </c>
      <c r="W584" s="46" t="str">
        <f t="shared" si="234"/>
        <v/>
      </c>
      <c r="X584" s="46" t="str">
        <f t="shared" si="234"/>
        <v/>
      </c>
    </row>
    <row r="585" spans="2:26" x14ac:dyDescent="0.25">
      <c r="B585" s="11" t="str">
        <f t="shared" si="236"/>
        <v>BRAG-03DEC1922</v>
      </c>
      <c r="C585" s="11" t="s">
        <v>3146</v>
      </c>
      <c r="D585" s="11" t="s">
        <v>2994</v>
      </c>
      <c r="E585" s="39" t="s">
        <v>3377</v>
      </c>
      <c r="F585" s="11" t="s">
        <v>1700</v>
      </c>
      <c r="G585" s="39" t="s">
        <v>3375</v>
      </c>
      <c r="I585" s="7">
        <v>0</v>
      </c>
      <c r="J585" s="7">
        <v>0</v>
      </c>
      <c r="L585" s="7">
        <f t="shared" si="237"/>
        <v>0</v>
      </c>
      <c r="M585" s="8">
        <v>1</v>
      </c>
      <c r="N585" s="8" t="str">
        <f>IF(L585&gt;0,1,"")</f>
        <v/>
      </c>
      <c r="O585" s="11" t="s">
        <v>1702</v>
      </c>
      <c r="P585" s="16" t="str">
        <f>IF(LEN(G585)=10,CONCATENATE("0",G585),G585)</f>
        <v>03-Dec-1922</v>
      </c>
      <c r="R585" s="16" t="str">
        <f t="shared" si="240"/>
        <v/>
      </c>
      <c r="S585" s="16" t="str">
        <f t="shared" si="240"/>
        <v/>
      </c>
      <c r="U585" s="46" t="str">
        <f t="shared" si="234"/>
        <v/>
      </c>
      <c r="V585" s="46">
        <f t="shared" si="234"/>
        <v>0</v>
      </c>
      <c r="W585" s="46" t="str">
        <f t="shared" si="234"/>
        <v/>
      </c>
      <c r="X585" s="46" t="str">
        <f t="shared" si="234"/>
        <v/>
      </c>
    </row>
    <row r="586" spans="2:26" x14ac:dyDescent="0.25">
      <c r="B586" s="11" t="str">
        <f t="shared" si="236"/>
        <v>BRAG-03DEC1922</v>
      </c>
      <c r="C586" s="11" t="s">
        <v>3146</v>
      </c>
      <c r="D586" s="11" t="s">
        <v>2808</v>
      </c>
      <c r="E586" s="39" t="s">
        <v>2987</v>
      </c>
      <c r="F586" s="11" t="s">
        <v>1700</v>
      </c>
      <c r="G586" s="39" t="s">
        <v>3375</v>
      </c>
      <c r="I586" s="7">
        <v>50</v>
      </c>
      <c r="J586" s="7">
        <v>66</v>
      </c>
      <c r="L586" s="7">
        <f t="shared" si="237"/>
        <v>116</v>
      </c>
      <c r="M586" s="8">
        <v>1</v>
      </c>
      <c r="N586" s="8">
        <f t="shared" si="238"/>
        <v>1</v>
      </c>
      <c r="O586" s="11" t="s">
        <v>1702</v>
      </c>
      <c r="P586" s="16" t="str">
        <f t="shared" si="239"/>
        <v>03-Dec-1922</v>
      </c>
      <c r="R586" s="16" t="str">
        <f t="shared" si="240"/>
        <v>x</v>
      </c>
      <c r="S586" s="16" t="str">
        <f t="shared" si="240"/>
        <v>x</v>
      </c>
      <c r="U586" s="46" t="str">
        <f t="shared" si="234"/>
        <v/>
      </c>
      <c r="V586" s="46">
        <f t="shared" si="234"/>
        <v>116</v>
      </c>
      <c r="W586" s="46" t="str">
        <f t="shared" si="234"/>
        <v/>
      </c>
      <c r="X586" s="46" t="str">
        <f t="shared" si="234"/>
        <v/>
      </c>
    </row>
    <row r="587" spans="2:26" x14ac:dyDescent="0.25">
      <c r="B587" s="11" t="str">
        <f t="shared" si="236"/>
        <v>BRAG-06MAR1923</v>
      </c>
      <c r="C587" s="11" t="s">
        <v>3146</v>
      </c>
      <c r="D587" s="11" t="s">
        <v>3056</v>
      </c>
      <c r="E587" s="39" t="s">
        <v>3634</v>
      </c>
      <c r="F587" s="11" t="s">
        <v>1700</v>
      </c>
      <c r="G587" s="39" t="s">
        <v>3807</v>
      </c>
      <c r="H587" s="7">
        <f>2+1</f>
        <v>3</v>
      </c>
      <c r="J587" s="7">
        <f>0+1</f>
        <v>1</v>
      </c>
      <c r="L587" s="7">
        <f t="shared" si="237"/>
        <v>4</v>
      </c>
      <c r="M587" s="8">
        <v>1</v>
      </c>
      <c r="N587" s="8">
        <f>IF(L587&gt;0,1,"")</f>
        <v>1</v>
      </c>
      <c r="O587" s="11" t="s">
        <v>1702</v>
      </c>
      <c r="P587" s="16" t="str">
        <f>IF(LEN(G587)=10,CONCATENATE("0",G587),G587)</f>
        <v>06-Mar-1923</v>
      </c>
      <c r="R587" s="16" t="str">
        <f t="shared" si="240"/>
        <v>x</v>
      </c>
      <c r="S587" s="16" t="str">
        <f t="shared" si="240"/>
        <v>x</v>
      </c>
      <c r="U587" s="46" t="str">
        <f t="shared" si="234"/>
        <v/>
      </c>
      <c r="V587" s="46">
        <f t="shared" si="234"/>
        <v>4</v>
      </c>
      <c r="W587" s="46" t="str">
        <f t="shared" si="234"/>
        <v/>
      </c>
      <c r="X587" s="46" t="str">
        <f t="shared" si="234"/>
        <v/>
      </c>
    </row>
    <row r="588" spans="2:26" x14ac:dyDescent="0.25">
      <c r="B588" s="11" t="str">
        <f>CONCATENATE("BRAG","-",LEFT(P588,2),UPPER(MID(P588,4,3)),RIGHT(P588,4))</f>
        <v>BRAG-06MAR1923</v>
      </c>
      <c r="C588" s="11" t="s">
        <v>3146</v>
      </c>
      <c r="D588" s="11" t="s">
        <v>2808</v>
      </c>
      <c r="E588" s="39" t="s">
        <v>3806</v>
      </c>
      <c r="F588" s="11" t="s">
        <v>1700</v>
      </c>
      <c r="G588" s="39" t="s">
        <v>3807</v>
      </c>
      <c r="H588" s="7">
        <f>1+2+2</f>
        <v>5</v>
      </c>
      <c r="J588" s="7">
        <f>34+4</f>
        <v>38</v>
      </c>
      <c r="L588" s="7">
        <f t="shared" si="237"/>
        <v>43</v>
      </c>
      <c r="M588" s="8">
        <v>1</v>
      </c>
      <c r="N588" s="8">
        <f t="shared" si="238"/>
        <v>1</v>
      </c>
      <c r="O588" s="11" t="s">
        <v>1702</v>
      </c>
      <c r="P588" s="16" t="str">
        <f t="shared" si="239"/>
        <v>06-Mar-1923</v>
      </c>
      <c r="R588" s="16" t="str">
        <f t="shared" si="240"/>
        <v>x</v>
      </c>
      <c r="S588" s="16" t="str">
        <f t="shared" si="240"/>
        <v>x</v>
      </c>
      <c r="U588" s="46" t="str">
        <f t="shared" si="234"/>
        <v/>
      </c>
      <c r="V588" s="46">
        <f t="shared" si="234"/>
        <v>43</v>
      </c>
      <c r="W588" s="46" t="str">
        <f t="shared" si="234"/>
        <v/>
      </c>
      <c r="X588" s="46" t="str">
        <f t="shared" si="234"/>
        <v/>
      </c>
    </row>
    <row r="589" spans="2:26" x14ac:dyDescent="0.25">
      <c r="B589" s="11" t="str">
        <f>CONCATENATE("BRAG","-",LEFT(P589,2),UPPER(MID(P589,4,3)),RIGHT(P589,4))</f>
        <v>BRAG-01SEP1923</v>
      </c>
      <c r="C589" s="11" t="s">
        <v>3146</v>
      </c>
      <c r="D589" s="11" t="s">
        <v>3056</v>
      </c>
      <c r="E589" s="39" t="s">
        <v>2970</v>
      </c>
      <c r="F589" s="11" t="s">
        <v>1700</v>
      </c>
      <c r="G589" s="39" t="s">
        <v>1168</v>
      </c>
      <c r="I589" s="7">
        <v>1</v>
      </c>
      <c r="J589" s="7">
        <f>56+8</f>
        <v>64</v>
      </c>
      <c r="L589" s="7">
        <f t="shared" si="237"/>
        <v>65</v>
      </c>
      <c r="M589" s="8">
        <v>1</v>
      </c>
      <c r="N589" s="8">
        <f t="shared" si="238"/>
        <v>1</v>
      </c>
      <c r="O589" s="11" t="s">
        <v>1702</v>
      </c>
      <c r="P589" s="16" t="str">
        <f t="shared" si="239"/>
        <v>01-Sep-1923</v>
      </c>
      <c r="R589" s="16" t="str">
        <f t="shared" si="240"/>
        <v>x</v>
      </c>
      <c r="S589" s="16" t="str">
        <f t="shared" si="240"/>
        <v>x</v>
      </c>
      <c r="U589" s="46" t="str">
        <f t="shared" si="234"/>
        <v/>
      </c>
      <c r="V589" s="46">
        <f t="shared" si="234"/>
        <v>65</v>
      </c>
      <c r="W589" s="46" t="str">
        <f t="shared" si="234"/>
        <v/>
      </c>
      <c r="X589" s="46" t="str">
        <f t="shared" si="234"/>
        <v/>
      </c>
    </row>
    <row r="590" spans="2:26" x14ac:dyDescent="0.25">
      <c r="B590" s="11" t="str">
        <f t="shared" si="236"/>
        <v>BRAG-01SEP1923</v>
      </c>
      <c r="C590" s="11" t="s">
        <v>3146</v>
      </c>
      <c r="D590" s="11" t="s">
        <v>2808</v>
      </c>
      <c r="E590" s="39" t="s">
        <v>3147</v>
      </c>
      <c r="F590" s="11" t="s">
        <v>1700</v>
      </c>
      <c r="G590" s="39" t="s">
        <v>1168</v>
      </c>
      <c r="I590" s="7">
        <v>26</v>
      </c>
      <c r="J590" s="7">
        <f>40+2</f>
        <v>42</v>
      </c>
      <c r="L590" s="7">
        <f t="shared" si="237"/>
        <v>68</v>
      </c>
      <c r="M590" s="8">
        <v>1</v>
      </c>
      <c r="N590" s="8">
        <f t="shared" ref="N590:N595" si="241">IF(L590&gt;0,1,"")</f>
        <v>1</v>
      </c>
      <c r="O590" s="11" t="s">
        <v>1702</v>
      </c>
      <c r="P590" s="16" t="str">
        <f t="shared" ref="P590:P595" si="242">IF(LEN(G590)=10,CONCATENATE("0",G590),G590)</f>
        <v>01-Sep-1923</v>
      </c>
      <c r="R590" s="16" t="str">
        <f t="shared" si="240"/>
        <v>x</v>
      </c>
      <c r="S590" s="16" t="str">
        <f t="shared" si="240"/>
        <v>x</v>
      </c>
      <c r="U590" s="46" t="str">
        <f t="shared" si="234"/>
        <v/>
      </c>
      <c r="V590" s="46">
        <f t="shared" si="234"/>
        <v>68</v>
      </c>
      <c r="W590" s="46" t="str">
        <f t="shared" si="234"/>
        <v/>
      </c>
      <c r="X590" s="46" t="str">
        <f t="shared" si="234"/>
        <v/>
      </c>
    </row>
    <row r="591" spans="2:26" x14ac:dyDescent="0.25">
      <c r="B591" s="11" t="str">
        <f>CONCATENATE("BRAG","-",LEFT(P591,2),UPPER(MID(P591,4,3)),RIGHT(P591,4))</f>
        <v>BRAG-01SEP1923</v>
      </c>
      <c r="C591" s="11" t="s">
        <v>3146</v>
      </c>
      <c r="D591" s="11" t="s">
        <v>847</v>
      </c>
      <c r="E591" s="39" t="s">
        <v>4307</v>
      </c>
      <c r="F591" s="11" t="s">
        <v>1700</v>
      </c>
      <c r="G591" s="39" t="s">
        <v>1168</v>
      </c>
      <c r="I591" s="7">
        <v>3</v>
      </c>
      <c r="J591" s="7">
        <f>41+1</f>
        <v>42</v>
      </c>
      <c r="L591" s="7">
        <f>SUM(H591:K591)</f>
        <v>45</v>
      </c>
      <c r="M591" s="8">
        <v>1</v>
      </c>
      <c r="N591" s="8">
        <f t="shared" si="241"/>
        <v>1</v>
      </c>
      <c r="O591" s="11" t="s">
        <v>1702</v>
      </c>
      <c r="P591" s="16" t="str">
        <f t="shared" si="242"/>
        <v>01-Sep-1923</v>
      </c>
      <c r="R591" s="16" t="str">
        <f t="shared" ref="R591:S598" si="243">IF($L591&gt;0,"x","")</f>
        <v>x</v>
      </c>
      <c r="S591" s="16" t="str">
        <f t="shared" si="243"/>
        <v>x</v>
      </c>
      <c r="U591" s="46" t="str">
        <f t="shared" si="234"/>
        <v/>
      </c>
      <c r="V591" s="46">
        <f t="shared" si="234"/>
        <v>45</v>
      </c>
      <c r="W591" s="46" t="str">
        <f t="shared" si="234"/>
        <v/>
      </c>
      <c r="X591" s="46" t="str">
        <f t="shared" si="234"/>
        <v/>
      </c>
    </row>
    <row r="592" spans="2:26" x14ac:dyDescent="0.25">
      <c r="B592" s="11" t="str">
        <f t="shared" si="236"/>
        <v>BRAG-03APR1924</v>
      </c>
      <c r="C592" s="11" t="s">
        <v>3146</v>
      </c>
      <c r="D592" s="11" t="s">
        <v>870</v>
      </c>
      <c r="E592" s="39" t="s">
        <v>3904</v>
      </c>
      <c r="F592" s="11" t="s">
        <v>1602</v>
      </c>
      <c r="G592" s="39" t="s">
        <v>2894</v>
      </c>
      <c r="I592" s="7">
        <v>6</v>
      </c>
      <c r="J592" s="7">
        <f>4+1</f>
        <v>5</v>
      </c>
      <c r="L592" s="7">
        <f t="shared" si="237"/>
        <v>11</v>
      </c>
      <c r="M592" s="8">
        <v>1</v>
      </c>
      <c r="N592" s="8">
        <f t="shared" si="241"/>
        <v>1</v>
      </c>
      <c r="O592" s="11" t="s">
        <v>1702</v>
      </c>
      <c r="P592" s="16" t="str">
        <f t="shared" si="242"/>
        <v>03-Apr-1924</v>
      </c>
      <c r="R592" s="16" t="str">
        <f t="shared" si="243"/>
        <v>x</v>
      </c>
      <c r="S592" s="16" t="str">
        <f t="shared" si="243"/>
        <v>x</v>
      </c>
      <c r="U592" s="46" t="str">
        <f t="shared" si="234"/>
        <v/>
      </c>
      <c r="V592" s="46">
        <f t="shared" si="234"/>
        <v>11</v>
      </c>
      <c r="W592" s="46" t="str">
        <f t="shared" si="234"/>
        <v/>
      </c>
      <c r="X592" s="46" t="str">
        <f t="shared" si="234"/>
        <v/>
      </c>
    </row>
    <row r="593" spans="2:26" x14ac:dyDescent="0.25">
      <c r="B593" s="11" t="str">
        <f t="shared" si="236"/>
        <v>BRAG-05AUG1925</v>
      </c>
      <c r="C593" s="11" t="s">
        <v>3146</v>
      </c>
      <c r="D593" s="11" t="s">
        <v>3056</v>
      </c>
      <c r="E593" s="39" t="s">
        <v>3726</v>
      </c>
      <c r="F593" s="11" t="s">
        <v>1700</v>
      </c>
      <c r="G593" s="39" t="s">
        <v>3725</v>
      </c>
      <c r="H593" s="7">
        <v>0</v>
      </c>
      <c r="J593" s="7">
        <v>2</v>
      </c>
      <c r="L593" s="7">
        <f t="shared" si="237"/>
        <v>2</v>
      </c>
      <c r="M593" s="8">
        <v>1</v>
      </c>
      <c r="N593" s="8">
        <f t="shared" si="241"/>
        <v>1</v>
      </c>
      <c r="O593" s="11" t="s">
        <v>1702</v>
      </c>
      <c r="P593" s="16" t="str">
        <f t="shared" si="242"/>
        <v>05-Aug-1925</v>
      </c>
      <c r="R593" s="16" t="str">
        <f t="shared" si="243"/>
        <v>x</v>
      </c>
      <c r="S593" s="16" t="str">
        <f t="shared" si="243"/>
        <v>x</v>
      </c>
      <c r="U593" s="46" t="str">
        <f t="shared" si="234"/>
        <v/>
      </c>
      <c r="V593" s="46">
        <f t="shared" si="234"/>
        <v>2</v>
      </c>
      <c r="W593" s="46" t="str">
        <f t="shared" si="234"/>
        <v/>
      </c>
      <c r="X593" s="46" t="str">
        <f t="shared" si="234"/>
        <v/>
      </c>
    </row>
    <row r="594" spans="2:26" x14ac:dyDescent="0.25">
      <c r="B594" s="11" t="str">
        <f>CONCATENATE("BRAG","-",LEFT(P594,2),UPPER(MID(P594,4,3)),RIGHT(P594,4))</f>
        <v>BRAG-04NOV1925</v>
      </c>
      <c r="C594" s="11" t="s">
        <v>3146</v>
      </c>
      <c r="D594" s="11" t="s">
        <v>3056</v>
      </c>
      <c r="E594" s="39" t="s">
        <v>4606</v>
      </c>
      <c r="F594" s="11" t="s">
        <v>1602</v>
      </c>
      <c r="G594" s="39" t="s">
        <v>4607</v>
      </c>
      <c r="H594" s="7">
        <v>5</v>
      </c>
      <c r="J594" s="7">
        <f>11+3</f>
        <v>14</v>
      </c>
      <c r="L594" s="7">
        <f t="shared" si="237"/>
        <v>19</v>
      </c>
      <c r="M594" s="8">
        <v>1</v>
      </c>
      <c r="N594" s="8">
        <f t="shared" si="241"/>
        <v>1</v>
      </c>
      <c r="O594" s="11" t="s">
        <v>1702</v>
      </c>
      <c r="P594" s="16" t="str">
        <f t="shared" si="242"/>
        <v>04-Nov-1925</v>
      </c>
      <c r="R594" s="16" t="str">
        <f t="shared" si="243"/>
        <v>x</v>
      </c>
      <c r="S594" s="16" t="str">
        <f t="shared" si="243"/>
        <v>x</v>
      </c>
      <c r="U594" s="46" t="str">
        <f t="shared" si="234"/>
        <v/>
      </c>
      <c r="V594" s="46">
        <f t="shared" si="234"/>
        <v>19</v>
      </c>
      <c r="W594" s="46" t="str">
        <f t="shared" si="234"/>
        <v/>
      </c>
      <c r="X594" s="46" t="str">
        <f t="shared" si="234"/>
        <v/>
      </c>
    </row>
    <row r="595" spans="2:26" x14ac:dyDescent="0.25">
      <c r="B595" s="11" t="str">
        <f>CONCATENATE("BRAG","-",LEFT(P595,2),UPPER(MID(P595,4,3)),RIGHT(P595,4))</f>
        <v>BRAG-06SEP1926</v>
      </c>
      <c r="C595" s="11" t="s">
        <v>3146</v>
      </c>
      <c r="D595" s="11" t="s">
        <v>3395</v>
      </c>
      <c r="E595" s="39" t="s">
        <v>6326</v>
      </c>
      <c r="F595" s="11" t="s">
        <v>1602</v>
      </c>
      <c r="G595" s="39" t="s">
        <v>5277</v>
      </c>
      <c r="H595" s="7">
        <f>0+1</f>
        <v>1</v>
      </c>
      <c r="J595" s="7">
        <v>0</v>
      </c>
      <c r="L595" s="7">
        <f>SUM(H595:K595)</f>
        <v>1</v>
      </c>
      <c r="M595" s="8">
        <v>1</v>
      </c>
      <c r="N595" s="8">
        <f t="shared" si="241"/>
        <v>1</v>
      </c>
      <c r="O595" s="11" t="s">
        <v>1702</v>
      </c>
      <c r="P595" s="16" t="str">
        <f t="shared" si="242"/>
        <v>06-Sep-1926</v>
      </c>
      <c r="R595" s="16" t="str">
        <f t="shared" si="243"/>
        <v>x</v>
      </c>
      <c r="S595" s="16" t="str">
        <f t="shared" si="243"/>
        <v>x</v>
      </c>
      <c r="U595" s="46" t="str">
        <f t="shared" si="234"/>
        <v/>
      </c>
      <c r="V595" s="46">
        <f t="shared" si="234"/>
        <v>1</v>
      </c>
      <c r="W595" s="46" t="str">
        <f t="shared" si="234"/>
        <v/>
      </c>
      <c r="X595" s="46" t="str">
        <f t="shared" si="234"/>
        <v/>
      </c>
    </row>
    <row r="596" spans="2:26" x14ac:dyDescent="0.25">
      <c r="B596" s="11" t="str">
        <f>CONCATENATE("BRAG","-",LEFT(P596,2),UPPER(MID(P596,4,3)),RIGHT(P596,4))</f>
        <v>BRAG-06SEP1926</v>
      </c>
      <c r="C596" s="11" t="s">
        <v>3146</v>
      </c>
      <c r="D596" s="11" t="s">
        <v>3056</v>
      </c>
      <c r="E596" s="39" t="s">
        <v>6328</v>
      </c>
      <c r="F596" s="11" t="s">
        <v>1602</v>
      </c>
      <c r="G596" s="39" t="s">
        <v>5277</v>
      </c>
      <c r="H596" s="7">
        <v>2</v>
      </c>
      <c r="J596" s="7">
        <v>1</v>
      </c>
      <c r="L596" s="7">
        <f>SUM(H596:K596)</f>
        <v>3</v>
      </c>
      <c r="M596" s="8">
        <v>1</v>
      </c>
      <c r="N596" s="8">
        <f>IF(L596&gt;0,1,"")</f>
        <v>1</v>
      </c>
      <c r="O596" s="11" t="s">
        <v>1702</v>
      </c>
      <c r="P596" s="16" t="str">
        <f>IF(LEN(G596)=10,CONCATENATE("0",G596),G596)</f>
        <v>06-Sep-1926</v>
      </c>
      <c r="R596" s="16" t="str">
        <f t="shared" si="243"/>
        <v>x</v>
      </c>
      <c r="S596" s="16" t="str">
        <f t="shared" si="243"/>
        <v>x</v>
      </c>
      <c r="U596" s="46" t="str">
        <f t="shared" si="234"/>
        <v/>
      </c>
      <c r="V596" s="46">
        <f t="shared" si="234"/>
        <v>3</v>
      </c>
      <c r="W596" s="46" t="str">
        <f t="shared" si="234"/>
        <v/>
      </c>
      <c r="X596" s="46" t="str">
        <f t="shared" si="234"/>
        <v/>
      </c>
    </row>
    <row r="597" spans="2:26" x14ac:dyDescent="0.25">
      <c r="B597" s="11" t="str">
        <f>CONCATENATE("BRAG","-",LEFT(P597,2),UPPER(MID(P597,4,3)),RIGHT(P597,4))</f>
        <v>BRAG-06SEP1926</v>
      </c>
      <c r="C597" s="11" t="s">
        <v>3146</v>
      </c>
      <c r="D597" s="11" t="s">
        <v>2994</v>
      </c>
      <c r="E597" s="39" t="s">
        <v>4769</v>
      </c>
      <c r="F597" s="11" t="s">
        <v>1602</v>
      </c>
      <c r="G597" s="39" t="s">
        <v>5277</v>
      </c>
      <c r="H597" s="7">
        <v>0</v>
      </c>
      <c r="J597" s="7">
        <v>3</v>
      </c>
      <c r="L597" s="7">
        <f>SUM(H597:K597)</f>
        <v>3</v>
      </c>
      <c r="M597" s="8">
        <v>1</v>
      </c>
      <c r="N597" s="8">
        <f>IF(L597&gt;0,1,"")</f>
        <v>1</v>
      </c>
      <c r="O597" s="11" t="s">
        <v>1702</v>
      </c>
      <c r="P597" s="16" t="str">
        <f>IF(LEN(G597)=10,CONCATENATE("0",G597),G597)</f>
        <v>06-Sep-1926</v>
      </c>
      <c r="R597" s="16" t="str">
        <f t="shared" si="243"/>
        <v>x</v>
      </c>
      <c r="S597" s="16" t="str">
        <f t="shared" si="243"/>
        <v>x</v>
      </c>
      <c r="U597" s="46" t="str">
        <f t="shared" si="234"/>
        <v/>
      </c>
      <c r="V597" s="46">
        <f t="shared" si="234"/>
        <v>3</v>
      </c>
      <c r="W597" s="46" t="str">
        <f t="shared" si="234"/>
        <v/>
      </c>
      <c r="X597" s="46" t="str">
        <f t="shared" si="234"/>
        <v/>
      </c>
    </row>
    <row r="598" spans="2:26" x14ac:dyDescent="0.25">
      <c r="B598" s="11" t="str">
        <f>CONCATENATE("BRAG","-",LEFT(P598,2),UPPER(MID(P598,4,3)),RIGHT(P598,4))</f>
        <v>BRAG-06SEP1926</v>
      </c>
      <c r="C598" s="11" t="s">
        <v>3146</v>
      </c>
      <c r="D598" s="11" t="s">
        <v>2808</v>
      </c>
      <c r="E598" s="39" t="s">
        <v>6327</v>
      </c>
      <c r="F598" s="11" t="s">
        <v>1602</v>
      </c>
      <c r="G598" s="39" t="s">
        <v>5277</v>
      </c>
      <c r="H598" s="7">
        <v>0</v>
      </c>
      <c r="J598" s="7">
        <v>4</v>
      </c>
      <c r="L598" s="7">
        <f>SUM(H598:K598)</f>
        <v>4</v>
      </c>
      <c r="M598" s="8">
        <v>1</v>
      </c>
      <c r="N598" s="8">
        <f>IF(L598&gt;0,1,"")</f>
        <v>1</v>
      </c>
      <c r="O598" s="11" t="s">
        <v>1702</v>
      </c>
      <c r="P598" s="16" t="str">
        <f>IF(LEN(G598)=10,CONCATENATE("0",G598),G598)</f>
        <v>06-Sep-1926</v>
      </c>
      <c r="R598" s="16" t="str">
        <f t="shared" si="243"/>
        <v>x</v>
      </c>
      <c r="S598" s="16" t="str">
        <f t="shared" si="243"/>
        <v>x</v>
      </c>
      <c r="U598" s="46" t="str">
        <f t="shared" si="234"/>
        <v/>
      </c>
      <c r="V598" s="46">
        <f t="shared" si="234"/>
        <v>4</v>
      </c>
      <c r="W598" s="46" t="str">
        <f t="shared" si="234"/>
        <v/>
      </c>
      <c r="X598" s="46" t="str">
        <f t="shared" si="234"/>
        <v/>
      </c>
    </row>
    <row r="599" spans="2:26" x14ac:dyDescent="0.25">
      <c r="N599" s="8" t="str">
        <f>IF(R599="x",1,"")</f>
        <v/>
      </c>
      <c r="U599" s="46" t="str">
        <f t="shared" si="234"/>
        <v/>
      </c>
      <c r="V599" s="46" t="str">
        <f t="shared" si="234"/>
        <v/>
      </c>
      <c r="W599" s="46" t="str">
        <f t="shared" si="234"/>
        <v/>
      </c>
      <c r="X599" s="46" t="str">
        <f t="shared" si="234"/>
        <v/>
      </c>
    </row>
    <row r="600" spans="2:26" s="18" customFormat="1" x14ac:dyDescent="0.25">
      <c r="E600" s="40"/>
      <c r="G600" s="40"/>
      <c r="H600" s="7">
        <f t="shared" ref="H600:N600" si="244">SUM(H581:H599)</f>
        <v>16</v>
      </c>
      <c r="I600" s="7">
        <f t="shared" si="244"/>
        <v>156</v>
      </c>
      <c r="J600" s="7">
        <f>SUM(J581:J599)</f>
        <v>610</v>
      </c>
      <c r="K600" s="7">
        <f t="shared" si="244"/>
        <v>0</v>
      </c>
      <c r="L600" s="7">
        <f t="shared" si="244"/>
        <v>782</v>
      </c>
      <c r="M600" s="7">
        <f t="shared" si="244"/>
        <v>18</v>
      </c>
      <c r="N600" s="7">
        <f t="shared" si="244"/>
        <v>17</v>
      </c>
      <c r="P600" s="13"/>
      <c r="Q600" s="13"/>
      <c r="R600" s="13"/>
      <c r="S600" s="13"/>
      <c r="T600" s="15"/>
      <c r="U600" s="46" t="str">
        <f t="shared" si="234"/>
        <v/>
      </c>
      <c r="V600" s="46" t="str">
        <f t="shared" si="234"/>
        <v/>
      </c>
      <c r="W600" s="46" t="str">
        <f t="shared" si="234"/>
        <v/>
      </c>
      <c r="X600" s="46" t="str">
        <f t="shared" si="234"/>
        <v/>
      </c>
      <c r="Z600" s="11"/>
    </row>
    <row r="601" spans="2:26" s="18" customFormat="1" x14ac:dyDescent="0.25">
      <c r="E601" s="40"/>
      <c r="G601" s="40"/>
      <c r="H601" s="7"/>
      <c r="I601" s="7"/>
      <c r="J601" s="7"/>
      <c r="K601" s="7"/>
      <c r="L601" s="7"/>
      <c r="M601" s="8"/>
      <c r="N601" s="8" t="str">
        <f>IF(R601="x",1,"")</f>
        <v/>
      </c>
      <c r="P601" s="13"/>
      <c r="Q601" s="13"/>
      <c r="R601" s="13"/>
      <c r="S601" s="13"/>
      <c r="T601" s="15"/>
      <c r="U601" s="46" t="str">
        <f t="shared" ref="U601:X606" si="245">IF($O601=U$5,$L601,"")</f>
        <v/>
      </c>
      <c r="V601" s="46" t="str">
        <f t="shared" si="245"/>
        <v/>
      </c>
      <c r="W601" s="46" t="str">
        <f t="shared" si="245"/>
        <v/>
      </c>
      <c r="X601" s="46" t="str">
        <f t="shared" si="245"/>
        <v/>
      </c>
      <c r="Z601" s="11"/>
    </row>
    <row r="602" spans="2:26" s="18" customFormat="1" x14ac:dyDescent="0.25">
      <c r="E602" s="40"/>
      <c r="G602" s="40"/>
      <c r="H602" s="7"/>
      <c r="I602" s="7"/>
      <c r="J602" s="7"/>
      <c r="K602" s="7"/>
      <c r="L602" s="7"/>
      <c r="M602" s="8"/>
      <c r="N602" s="8" t="str">
        <f>IF(R602="x",1,"")</f>
        <v/>
      </c>
      <c r="P602" s="13"/>
      <c r="Q602" s="13"/>
      <c r="R602" s="13"/>
      <c r="S602" s="13"/>
      <c r="T602" s="15"/>
      <c r="U602" s="46" t="str">
        <f t="shared" si="245"/>
        <v/>
      </c>
      <c r="V602" s="46" t="str">
        <f t="shared" si="245"/>
        <v/>
      </c>
      <c r="W602" s="46" t="str">
        <f t="shared" si="245"/>
        <v/>
      </c>
      <c r="X602" s="46" t="str">
        <f t="shared" si="245"/>
        <v/>
      </c>
      <c r="Z602" s="11"/>
    </row>
    <row r="603" spans="2:26" x14ac:dyDescent="0.25">
      <c r="B603" s="11" t="str">
        <f>CONCATENATE("BRAN","-",LEFT(P603,2),UPPER(MID(P603,4,3)),RIGHT(P603,4))</f>
        <v>BRAN-10DEC1911</v>
      </c>
      <c r="C603" s="11" t="s">
        <v>5318</v>
      </c>
      <c r="D603" s="11" t="s">
        <v>3359</v>
      </c>
      <c r="E603" s="39" t="s">
        <v>5319</v>
      </c>
      <c r="F603" s="11" t="s">
        <v>4064</v>
      </c>
      <c r="G603" s="39" t="s">
        <v>1888</v>
      </c>
      <c r="I603" s="7">
        <v>0</v>
      </c>
      <c r="J603" s="7">
        <v>15</v>
      </c>
      <c r="L603" s="7">
        <f>SUM(H603:K603)</f>
        <v>15</v>
      </c>
      <c r="M603" s="8">
        <v>1</v>
      </c>
      <c r="N603" s="8">
        <f>IF(L603&gt;0,1,"")</f>
        <v>1</v>
      </c>
      <c r="O603" s="11" t="s">
        <v>1702</v>
      </c>
      <c r="P603" s="16" t="str">
        <f>IF(LEN(G603)=10,CONCATENATE("0",G603),G603)</f>
        <v>10-Dec-1911</v>
      </c>
      <c r="R603" s="16" t="str">
        <f>IF($L603&gt;0,"x","")</f>
        <v>x</v>
      </c>
      <c r="S603" s="16" t="str">
        <f>IF($L603&gt;0,"x","")</f>
        <v>x</v>
      </c>
      <c r="U603" s="46" t="str">
        <f t="shared" si="245"/>
        <v/>
      </c>
      <c r="V603" s="46">
        <f t="shared" si="245"/>
        <v>15</v>
      </c>
      <c r="W603" s="46" t="str">
        <f t="shared" si="245"/>
        <v/>
      </c>
      <c r="X603" s="46" t="str">
        <f t="shared" si="245"/>
        <v/>
      </c>
    </row>
    <row r="604" spans="2:26" x14ac:dyDescent="0.25">
      <c r="B604" s="11" t="str">
        <f>CONCATENATE("BRAN","-",LEFT(P604,2),UPPER(MID(P604,4,3)),RIGHT(P604,4))</f>
        <v>BRAN-02AUG1913</v>
      </c>
      <c r="C604" s="11" t="s">
        <v>5318</v>
      </c>
      <c r="D604" s="11" t="s">
        <v>3359</v>
      </c>
      <c r="E604" s="39" t="s">
        <v>2100</v>
      </c>
      <c r="F604" s="11" t="s">
        <v>3039</v>
      </c>
      <c r="G604" s="39" t="s">
        <v>1676</v>
      </c>
      <c r="I604" s="7">
        <v>0</v>
      </c>
      <c r="J604" s="7">
        <v>21</v>
      </c>
      <c r="L604" s="7">
        <f>SUM(H604:K604)</f>
        <v>21</v>
      </c>
      <c r="M604" s="8">
        <v>1</v>
      </c>
      <c r="N604" s="8">
        <f>IF(L604&gt;0,1,"")</f>
        <v>1</v>
      </c>
      <c r="O604" s="11" t="s">
        <v>1702</v>
      </c>
      <c r="P604" s="16" t="str">
        <f>IF(LEN(G604)=10,CONCATENATE("0",G604),G604)</f>
        <v>02-Aug-1913</v>
      </c>
      <c r="R604" s="16" t="str">
        <f>IF($L604&gt;0,"x","")</f>
        <v>x</v>
      </c>
      <c r="S604" s="16" t="str">
        <f>IF($L604&gt;0,"x","")</f>
        <v>x</v>
      </c>
      <c r="U604" s="46" t="str">
        <f t="shared" si="245"/>
        <v/>
      </c>
      <c r="V604" s="46">
        <f t="shared" si="245"/>
        <v>21</v>
      </c>
      <c r="W604" s="46" t="str">
        <f t="shared" si="245"/>
        <v/>
      </c>
      <c r="X604" s="46" t="str">
        <f t="shared" si="245"/>
        <v/>
      </c>
    </row>
    <row r="605" spans="2:26" x14ac:dyDescent="0.25">
      <c r="N605" s="8" t="str">
        <f>IF(R605="x",1,"")</f>
        <v/>
      </c>
      <c r="U605" s="46" t="str">
        <f t="shared" si="245"/>
        <v/>
      </c>
      <c r="V605" s="46" t="str">
        <f t="shared" si="245"/>
        <v/>
      </c>
      <c r="W605" s="46" t="str">
        <f t="shared" si="245"/>
        <v/>
      </c>
      <c r="X605" s="46" t="str">
        <f t="shared" si="245"/>
        <v/>
      </c>
    </row>
    <row r="606" spans="2:26" s="18" customFormat="1" x14ac:dyDescent="0.25">
      <c r="E606" s="40"/>
      <c r="G606" s="40"/>
      <c r="H606" s="7">
        <f t="shared" ref="H606:N606" si="246">SUM(H603:H605)</f>
        <v>0</v>
      </c>
      <c r="I606" s="7">
        <f t="shared" si="246"/>
        <v>0</v>
      </c>
      <c r="J606" s="7">
        <f>SUM(J603:J605)</f>
        <v>36</v>
      </c>
      <c r="K606" s="7">
        <f t="shared" si="246"/>
        <v>0</v>
      </c>
      <c r="L606" s="7">
        <f t="shared" si="246"/>
        <v>36</v>
      </c>
      <c r="M606" s="7">
        <f t="shared" si="246"/>
        <v>2</v>
      </c>
      <c r="N606" s="7">
        <f t="shared" si="246"/>
        <v>2</v>
      </c>
      <c r="P606" s="13"/>
      <c r="Q606" s="13"/>
      <c r="R606" s="13"/>
      <c r="S606" s="13"/>
      <c r="T606" s="15"/>
      <c r="U606" s="46" t="str">
        <f t="shared" si="245"/>
        <v/>
      </c>
      <c r="V606" s="46" t="str">
        <f t="shared" si="245"/>
        <v/>
      </c>
      <c r="W606" s="46" t="str">
        <f t="shared" si="245"/>
        <v/>
      </c>
      <c r="X606" s="46" t="str">
        <f t="shared" si="245"/>
        <v/>
      </c>
      <c r="Z606" s="11"/>
    </row>
    <row r="607" spans="2:26" s="18" customFormat="1" x14ac:dyDescent="0.25">
      <c r="E607" s="40"/>
      <c r="G607" s="40"/>
      <c r="H607" s="7"/>
      <c r="I607" s="7"/>
      <c r="J607" s="7"/>
      <c r="K607" s="7"/>
      <c r="L607" s="7"/>
      <c r="M607" s="8"/>
      <c r="N607" s="8" t="str">
        <f>IF(R607="x",1,"")</f>
        <v/>
      </c>
      <c r="P607" s="13"/>
      <c r="Q607" s="13"/>
      <c r="R607" s="13"/>
      <c r="S607" s="13"/>
      <c r="T607" s="15"/>
      <c r="U607" s="46" t="str">
        <f t="shared" ref="U607:X619" si="247">IF($O607=U$5,$L607,"")</f>
        <v/>
      </c>
      <c r="V607" s="46" t="str">
        <f t="shared" si="247"/>
        <v/>
      </c>
      <c r="W607" s="46" t="str">
        <f t="shared" si="247"/>
        <v/>
      </c>
      <c r="X607" s="46" t="str">
        <f t="shared" si="247"/>
        <v/>
      </c>
      <c r="Z607" s="11"/>
    </row>
    <row r="608" spans="2:26" s="18" customFormat="1" x14ac:dyDescent="0.25">
      <c r="E608" s="40"/>
      <c r="G608" s="40"/>
      <c r="H608" s="7"/>
      <c r="I608" s="7"/>
      <c r="J608" s="7"/>
      <c r="K608" s="7"/>
      <c r="L608" s="7"/>
      <c r="M608" s="8"/>
      <c r="N608" s="8" t="str">
        <f>IF(R608="x",1,"")</f>
        <v/>
      </c>
      <c r="P608" s="13"/>
      <c r="Q608" s="13"/>
      <c r="R608" s="13"/>
      <c r="S608" s="13"/>
      <c r="T608" s="15"/>
      <c r="U608" s="46" t="str">
        <f t="shared" si="247"/>
        <v/>
      </c>
      <c r="V608" s="46" t="str">
        <f t="shared" si="247"/>
        <v/>
      </c>
      <c r="W608" s="46" t="str">
        <f t="shared" si="247"/>
        <v/>
      </c>
      <c r="X608" s="46" t="str">
        <f t="shared" si="247"/>
        <v/>
      </c>
      <c r="Z608" s="11"/>
    </row>
    <row r="609" spans="2:26" x14ac:dyDescent="0.25">
      <c r="B609" s="11" t="str">
        <f>CONCATENATE("BREM","-",LEFT(P609,2),UPPER(MID(P609,4,3)),RIGHT(P609,4))</f>
        <v>BREM-05NOV1902</v>
      </c>
      <c r="C609" s="11" t="s">
        <v>3359</v>
      </c>
      <c r="D609" s="11" t="s">
        <v>2224</v>
      </c>
      <c r="E609" s="39" t="s">
        <v>3360</v>
      </c>
      <c r="F609" s="11" t="s">
        <v>1700</v>
      </c>
      <c r="G609" s="39" t="s">
        <v>3361</v>
      </c>
      <c r="J609" s="7">
        <f>25+3</f>
        <v>28</v>
      </c>
      <c r="L609" s="7">
        <f>SUM(H609:K609)</f>
        <v>28</v>
      </c>
      <c r="M609" s="8">
        <v>1</v>
      </c>
      <c r="N609" s="8">
        <f>IF(L609&gt;0,1,"")</f>
        <v>1</v>
      </c>
      <c r="O609" s="11" t="s">
        <v>1702</v>
      </c>
      <c r="P609" s="16" t="str">
        <f>IF(LEN(G609)=10,CONCATENATE("0",G609),G609)</f>
        <v>05-Nov-1902</v>
      </c>
      <c r="R609" s="16" t="str">
        <f>IF($L609&gt;0,"x","")</f>
        <v>x</v>
      </c>
      <c r="S609" s="16" t="str">
        <f>IF($L609&gt;0,"x","")</f>
        <v>x</v>
      </c>
      <c r="U609" s="46" t="str">
        <f t="shared" si="247"/>
        <v/>
      </c>
      <c r="V609" s="46">
        <f t="shared" si="247"/>
        <v>28</v>
      </c>
      <c r="W609" s="46" t="str">
        <f t="shared" si="247"/>
        <v/>
      </c>
      <c r="X609" s="46" t="str">
        <f t="shared" si="247"/>
        <v/>
      </c>
    </row>
    <row r="610" spans="2:26" x14ac:dyDescent="0.25">
      <c r="B610" s="11" t="str">
        <f>CONCATENATE("BREM","-",LEFT(P610,2),UPPER(MID(P610,4,3)),RIGHT(P610,4))</f>
        <v>BREM-02JUN1903</v>
      </c>
      <c r="C610" s="11" t="s">
        <v>3359</v>
      </c>
      <c r="D610" s="11" t="s">
        <v>2224</v>
      </c>
      <c r="E610" s="39" t="s">
        <v>3480</v>
      </c>
      <c r="F610" s="11" t="s">
        <v>1700</v>
      </c>
      <c r="G610" s="39" t="s">
        <v>3479</v>
      </c>
      <c r="J610" s="7">
        <v>34</v>
      </c>
      <c r="L610" s="7">
        <f>SUM(H610:K610)</f>
        <v>34</v>
      </c>
      <c r="M610" s="8">
        <v>1</v>
      </c>
      <c r="N610" s="8">
        <f>IF(L610&gt;0,1,"")</f>
        <v>1</v>
      </c>
      <c r="O610" s="11" t="s">
        <v>1702</v>
      </c>
      <c r="P610" s="16" t="str">
        <f>IF(LEN(G610)=10,CONCATENATE("0",G610),G610)</f>
        <v>02-Jun-1903</v>
      </c>
      <c r="R610" s="16" t="str">
        <f>IF($L610&gt;0,"x","")</f>
        <v>x</v>
      </c>
      <c r="S610" s="16" t="str">
        <f>IF($L610&gt;0,"x","")</f>
        <v>x</v>
      </c>
      <c r="U610" s="46" t="str">
        <f t="shared" si="247"/>
        <v/>
      </c>
      <c r="V610" s="46">
        <f t="shared" si="247"/>
        <v>34</v>
      </c>
      <c r="W610" s="46" t="str">
        <f t="shared" si="247"/>
        <v/>
      </c>
      <c r="X610" s="46" t="str">
        <f t="shared" si="247"/>
        <v/>
      </c>
    </row>
    <row r="611" spans="2:26" x14ac:dyDescent="0.25">
      <c r="N611" s="8" t="str">
        <f>IF(R611="x",1,"")</f>
        <v/>
      </c>
      <c r="U611" s="46" t="str">
        <f t="shared" si="247"/>
        <v/>
      </c>
      <c r="V611" s="46" t="str">
        <f t="shared" si="247"/>
        <v/>
      </c>
      <c r="W611" s="46" t="str">
        <f t="shared" si="247"/>
        <v/>
      </c>
      <c r="X611" s="46" t="str">
        <f t="shared" si="247"/>
        <v/>
      </c>
    </row>
    <row r="612" spans="2:26" s="18" customFormat="1" x14ac:dyDescent="0.25">
      <c r="E612" s="40"/>
      <c r="G612" s="40"/>
      <c r="H612" s="7">
        <f t="shared" ref="H612:N612" si="248">SUM(H609:H611)</f>
        <v>0</v>
      </c>
      <c r="I612" s="7">
        <f t="shared" si="248"/>
        <v>0</v>
      </c>
      <c r="J612" s="7">
        <f>SUM(J609:J611)</f>
        <v>62</v>
      </c>
      <c r="K612" s="7">
        <f t="shared" si="248"/>
        <v>0</v>
      </c>
      <c r="L612" s="7">
        <f t="shared" si="248"/>
        <v>62</v>
      </c>
      <c r="M612" s="7">
        <f t="shared" si="248"/>
        <v>2</v>
      </c>
      <c r="N612" s="7">
        <f t="shared" si="248"/>
        <v>2</v>
      </c>
      <c r="P612" s="13"/>
      <c r="Q612" s="13"/>
      <c r="R612" s="13"/>
      <c r="S612" s="13"/>
      <c r="T612" s="15"/>
      <c r="U612" s="46" t="str">
        <f t="shared" si="247"/>
        <v/>
      </c>
      <c r="V612" s="46" t="str">
        <f t="shared" si="247"/>
        <v/>
      </c>
      <c r="W612" s="46" t="str">
        <f t="shared" si="247"/>
        <v/>
      </c>
      <c r="X612" s="46" t="str">
        <f t="shared" si="247"/>
        <v/>
      </c>
      <c r="Z612" s="11"/>
    </row>
    <row r="613" spans="2:26" s="18" customFormat="1" x14ac:dyDescent="0.25">
      <c r="E613" s="40"/>
      <c r="G613" s="40"/>
      <c r="H613" s="7"/>
      <c r="I613" s="7"/>
      <c r="J613" s="7"/>
      <c r="K613" s="7"/>
      <c r="L613" s="7"/>
      <c r="M613" s="8"/>
      <c r="N613" s="8" t="str">
        <f>IF(R613="x",1,"")</f>
        <v/>
      </c>
      <c r="P613" s="13"/>
      <c r="Q613" s="13"/>
      <c r="R613" s="13"/>
      <c r="S613" s="13"/>
      <c r="T613" s="15"/>
      <c r="U613" s="46" t="str">
        <f t="shared" si="247"/>
        <v/>
      </c>
      <c r="V613" s="46" t="str">
        <f t="shared" si="247"/>
        <v/>
      </c>
      <c r="W613" s="46" t="str">
        <f t="shared" si="247"/>
        <v/>
      </c>
      <c r="X613" s="46" t="str">
        <f t="shared" si="247"/>
        <v/>
      </c>
      <c r="Z613" s="11"/>
    </row>
    <row r="614" spans="2:26" s="18" customFormat="1" x14ac:dyDescent="0.25">
      <c r="E614" s="40"/>
      <c r="G614" s="40"/>
      <c r="H614" s="7"/>
      <c r="I614" s="7"/>
      <c r="J614" s="7"/>
      <c r="K614" s="7"/>
      <c r="L614" s="7"/>
      <c r="M614" s="8"/>
      <c r="N614" s="8" t="str">
        <f>IF(R614="x",1,"")</f>
        <v/>
      </c>
      <c r="P614" s="13"/>
      <c r="Q614" s="13"/>
      <c r="R614" s="13"/>
      <c r="S614" s="13"/>
      <c r="T614" s="15"/>
      <c r="U614" s="46" t="str">
        <f t="shared" si="247"/>
        <v/>
      </c>
      <c r="V614" s="46" t="str">
        <f t="shared" si="247"/>
        <v/>
      </c>
      <c r="W614" s="46" t="str">
        <f t="shared" si="247"/>
        <v/>
      </c>
      <c r="X614" s="46" t="str">
        <f t="shared" si="247"/>
        <v/>
      </c>
      <c r="Z614" s="11"/>
    </row>
    <row r="615" spans="2:26" x14ac:dyDescent="0.25">
      <c r="B615" s="11" t="str">
        <f t="shared" ref="B615:B623" si="249">CONCATENATE("BRIT","-",LEFT(P615,2),UPPER(MID(P615,4,3)),RIGHT(P615,4))</f>
        <v>BRIT-05DEC1914</v>
      </c>
      <c r="C615" s="11" t="s">
        <v>2317</v>
      </c>
      <c r="D615" s="11" t="s">
        <v>870</v>
      </c>
      <c r="E615" s="39" t="s">
        <v>3781</v>
      </c>
      <c r="F615" s="11" t="s">
        <v>1602</v>
      </c>
      <c r="G615" s="39" t="s">
        <v>3780</v>
      </c>
      <c r="I615" s="7">
        <v>0</v>
      </c>
      <c r="J615" s="7">
        <v>25</v>
      </c>
      <c r="L615" s="7">
        <f t="shared" ref="L615:L623" si="250">SUM(H615:K615)</f>
        <v>25</v>
      </c>
      <c r="M615" s="8">
        <v>1</v>
      </c>
      <c r="N615" s="8">
        <f t="shared" ref="N615:N623" si="251">IF(L615&gt;0,1,"")</f>
        <v>1</v>
      </c>
      <c r="O615" s="11" t="s">
        <v>1702</v>
      </c>
      <c r="P615" s="16" t="str">
        <f t="shared" ref="P615:P623" si="252">IF(LEN(G615)=10,CONCATENATE("0",G615),G615)</f>
        <v>05-Dec-1914</v>
      </c>
      <c r="R615" s="16" t="str">
        <f>IF($L615&gt;0,"x","")</f>
        <v>x</v>
      </c>
      <c r="S615" s="16" t="str">
        <f>IF($L615&gt;0,"x","")</f>
        <v>x</v>
      </c>
      <c r="U615" s="46" t="str">
        <f t="shared" si="247"/>
        <v/>
      </c>
      <c r="V615" s="46">
        <f t="shared" si="247"/>
        <v>25</v>
      </c>
      <c r="W615" s="46" t="str">
        <f t="shared" si="247"/>
        <v/>
      </c>
      <c r="X615" s="46" t="str">
        <f t="shared" si="247"/>
        <v/>
      </c>
    </row>
    <row r="616" spans="2:26" x14ac:dyDescent="0.25">
      <c r="B616" s="11" t="str">
        <f>CONCATENATE("BRIT","-",LEFT(P616,2),UPPER(MID(P616,4,3)),RIGHT(P616,4))</f>
        <v>BRIT-26JUL1920</v>
      </c>
      <c r="C616" s="11" t="s">
        <v>2317</v>
      </c>
      <c r="D616" s="11" t="s">
        <v>870</v>
      </c>
      <c r="E616" s="39" t="s">
        <v>5869</v>
      </c>
      <c r="F616" s="11" t="s">
        <v>1602</v>
      </c>
      <c r="G616" s="39" t="s">
        <v>4153</v>
      </c>
      <c r="H616" s="7">
        <v>5</v>
      </c>
      <c r="J616" s="7">
        <v>2</v>
      </c>
      <c r="L616" s="7">
        <f>SUM(H616:K616)</f>
        <v>7</v>
      </c>
      <c r="M616" s="8">
        <v>1</v>
      </c>
      <c r="N616" s="8">
        <f>IF(L616&gt;0,1,"")</f>
        <v>1</v>
      </c>
      <c r="O616" s="11" t="s">
        <v>1702</v>
      </c>
      <c r="P616" s="16" t="str">
        <f>IF(LEN(G616)=10,CONCATENATE("0",G616),G616)</f>
        <v>26-Jul-1920</v>
      </c>
      <c r="R616" s="16" t="str">
        <f>IF($L616&gt;0,"x","")</f>
        <v>x</v>
      </c>
      <c r="S616" s="16" t="str">
        <f>IF($L616&gt;0,"x","")</f>
        <v>x</v>
      </c>
      <c r="U616" s="46" t="str">
        <f t="shared" si="247"/>
        <v/>
      </c>
      <c r="V616" s="46">
        <f t="shared" si="247"/>
        <v>7</v>
      </c>
      <c r="W616" s="46" t="str">
        <f t="shared" si="247"/>
        <v/>
      </c>
      <c r="X616" s="46" t="str">
        <f t="shared" si="247"/>
        <v/>
      </c>
    </row>
    <row r="617" spans="2:26" x14ac:dyDescent="0.25">
      <c r="B617" s="11" t="str">
        <f t="shared" si="249"/>
        <v>BRIT-27JAN1921</v>
      </c>
      <c r="C617" s="11" t="s">
        <v>2317</v>
      </c>
      <c r="D617" s="11" t="s">
        <v>870</v>
      </c>
      <c r="E617" s="39" t="s">
        <v>2318</v>
      </c>
      <c r="F617" s="11" t="s">
        <v>1602</v>
      </c>
      <c r="G617" s="39" t="s">
        <v>2319</v>
      </c>
      <c r="H617" s="7">
        <v>3</v>
      </c>
      <c r="I617" s="7">
        <v>14</v>
      </c>
      <c r="J617" s="7">
        <v>131</v>
      </c>
      <c r="L617" s="7">
        <f t="shared" si="250"/>
        <v>148</v>
      </c>
      <c r="M617" s="8">
        <v>1</v>
      </c>
      <c r="N617" s="8">
        <f t="shared" si="251"/>
        <v>1</v>
      </c>
      <c r="O617" s="11" t="s">
        <v>1702</v>
      </c>
      <c r="P617" s="16" t="str">
        <f t="shared" si="252"/>
        <v>27-Jan-1921</v>
      </c>
      <c r="R617" s="16" t="str">
        <f t="shared" ref="R617:S623" si="253">IF($L617&gt;0,"x","")</f>
        <v>x</v>
      </c>
      <c r="S617" s="16" t="str">
        <f t="shared" si="253"/>
        <v>x</v>
      </c>
      <c r="U617" s="46" t="str">
        <f t="shared" si="247"/>
        <v/>
      </c>
      <c r="V617" s="46">
        <f t="shared" si="247"/>
        <v>148</v>
      </c>
      <c r="W617" s="46" t="str">
        <f t="shared" si="247"/>
        <v/>
      </c>
      <c r="X617" s="46" t="str">
        <f t="shared" si="247"/>
        <v/>
      </c>
    </row>
    <row r="618" spans="2:26" x14ac:dyDescent="0.25">
      <c r="B618" s="11" t="str">
        <f t="shared" si="249"/>
        <v>BRIT-08APR1921</v>
      </c>
      <c r="C618" s="11" t="s">
        <v>2317</v>
      </c>
      <c r="D618" s="11" t="s">
        <v>870</v>
      </c>
      <c r="E618" s="39" t="s">
        <v>2856</v>
      </c>
      <c r="F618" s="11" t="s">
        <v>1602</v>
      </c>
      <c r="G618" s="39" t="s">
        <v>3272</v>
      </c>
      <c r="H618" s="7">
        <v>0</v>
      </c>
      <c r="I618" s="7">
        <v>10</v>
      </c>
      <c r="J618" s="7">
        <v>133</v>
      </c>
      <c r="L618" s="7">
        <f t="shared" si="250"/>
        <v>143</v>
      </c>
      <c r="M618" s="8">
        <v>1</v>
      </c>
      <c r="N618" s="8">
        <f t="shared" si="251"/>
        <v>1</v>
      </c>
      <c r="O618" s="11" t="s">
        <v>1702</v>
      </c>
      <c r="P618" s="16" t="str">
        <f t="shared" si="252"/>
        <v>08-Apr-1921</v>
      </c>
      <c r="R618" s="16" t="str">
        <f t="shared" si="253"/>
        <v>x</v>
      </c>
      <c r="S618" s="16" t="str">
        <f t="shared" si="253"/>
        <v>x</v>
      </c>
      <c r="U618" s="46" t="str">
        <f t="shared" si="247"/>
        <v/>
      </c>
      <c r="V618" s="46">
        <f t="shared" si="247"/>
        <v>143</v>
      </c>
      <c r="W618" s="46" t="str">
        <f t="shared" si="247"/>
        <v/>
      </c>
      <c r="X618" s="46" t="str">
        <f t="shared" si="247"/>
        <v/>
      </c>
    </row>
    <row r="619" spans="2:26" x14ac:dyDescent="0.25">
      <c r="B619" s="11" t="str">
        <f>CONCATENATE("BRIT","-",LEFT(P619,2),UPPER(MID(P619,4,3)),RIGHT(P619,4))</f>
        <v>BRIT-26MAY1921</v>
      </c>
      <c r="C619" s="11" t="s">
        <v>2317</v>
      </c>
      <c r="D619" s="11" t="s">
        <v>870</v>
      </c>
      <c r="E619" s="39" t="s">
        <v>5565</v>
      </c>
      <c r="F619" s="11" t="s">
        <v>1602</v>
      </c>
      <c r="G619" s="39" t="s">
        <v>3167</v>
      </c>
      <c r="H619" s="7">
        <v>9</v>
      </c>
      <c r="I619" s="7">
        <v>27</v>
      </c>
      <c r="J619" s="7">
        <v>59</v>
      </c>
      <c r="L619" s="7">
        <f>SUM(H619:K619)</f>
        <v>95</v>
      </c>
      <c r="M619" s="8">
        <v>1</v>
      </c>
      <c r="N619" s="8">
        <f>IF(L619&gt;0,1,"")</f>
        <v>1</v>
      </c>
      <c r="O619" s="11" t="s">
        <v>1702</v>
      </c>
      <c r="P619" s="16" t="str">
        <f>IF(LEN(G619)=10,CONCATENATE("0",G619),G619)</f>
        <v>26-May-1921</v>
      </c>
      <c r="R619" s="16" t="str">
        <f t="shared" si="253"/>
        <v>x</v>
      </c>
      <c r="S619" s="16" t="str">
        <f t="shared" si="253"/>
        <v>x</v>
      </c>
      <c r="U619" s="46" t="str">
        <f t="shared" si="247"/>
        <v/>
      </c>
      <c r="V619" s="46">
        <f t="shared" si="247"/>
        <v>95</v>
      </c>
      <c r="W619" s="46" t="str">
        <f t="shared" si="247"/>
        <v/>
      </c>
      <c r="X619" s="46" t="str">
        <f t="shared" si="247"/>
        <v/>
      </c>
    </row>
    <row r="620" spans="2:26" x14ac:dyDescent="0.25">
      <c r="B620" s="11" t="str">
        <f>CONCATENATE("BRIT","-",LEFT(P620,2),UPPER(MID(P620,4,3)),RIGHT(P620,4))</f>
        <v>BRIT-12OCT1921</v>
      </c>
      <c r="C620" s="11" t="s">
        <v>2317</v>
      </c>
      <c r="D620" s="11" t="s">
        <v>870</v>
      </c>
      <c r="E620" s="39" t="s">
        <v>5428</v>
      </c>
      <c r="F620" s="11" t="s">
        <v>3050</v>
      </c>
      <c r="G620" s="39" t="s">
        <v>3733</v>
      </c>
      <c r="H620" s="7">
        <v>0</v>
      </c>
      <c r="I620" s="7">
        <v>9</v>
      </c>
      <c r="J620" s="7">
        <v>12</v>
      </c>
      <c r="L620" s="7">
        <f>SUM(H620:K620)</f>
        <v>21</v>
      </c>
      <c r="M620" s="8">
        <v>1</v>
      </c>
      <c r="N620" s="8">
        <f>IF(L620&gt;0,1,"")</f>
        <v>1</v>
      </c>
      <c r="O620" s="11" t="s">
        <v>1702</v>
      </c>
      <c r="P620" s="16" t="str">
        <f>IF(LEN(G620)=10,CONCATENATE("0",G620),G620)</f>
        <v>12-Oct-1921</v>
      </c>
      <c r="R620" s="16" t="str">
        <f t="shared" si="253"/>
        <v>x</v>
      </c>
      <c r="S620" s="16" t="str">
        <f t="shared" si="253"/>
        <v>x</v>
      </c>
      <c r="U620" s="46" t="str">
        <f t="shared" ref="U620:X622" si="254">IF($O620=U$5,$L620,"")</f>
        <v/>
      </c>
      <c r="V620" s="46">
        <f t="shared" si="254"/>
        <v>21</v>
      </c>
      <c r="W620" s="46" t="str">
        <f t="shared" si="254"/>
        <v/>
      </c>
      <c r="X620" s="46" t="str">
        <f t="shared" si="254"/>
        <v/>
      </c>
    </row>
    <row r="621" spans="2:26" x14ac:dyDescent="0.25">
      <c r="B621" s="11" t="str">
        <f t="shared" si="249"/>
        <v>BRIT-06DEC1921</v>
      </c>
      <c r="C621" s="11" t="s">
        <v>2317</v>
      </c>
      <c r="D621" s="11" t="s">
        <v>870</v>
      </c>
      <c r="E621" s="39" t="s">
        <v>2066</v>
      </c>
      <c r="F621" s="11" t="s">
        <v>1700</v>
      </c>
      <c r="G621" s="39" t="s">
        <v>4943</v>
      </c>
      <c r="I621" s="7">
        <v>2</v>
      </c>
      <c r="J621" s="7">
        <v>11</v>
      </c>
      <c r="L621" s="7">
        <f t="shared" si="250"/>
        <v>13</v>
      </c>
      <c r="M621" s="8">
        <v>1</v>
      </c>
      <c r="N621" s="8">
        <f t="shared" si="251"/>
        <v>1</v>
      </c>
      <c r="O621" s="11" t="s">
        <v>1702</v>
      </c>
      <c r="P621" s="16" t="str">
        <f t="shared" si="252"/>
        <v>06-Dec-1921</v>
      </c>
      <c r="R621" s="16" t="str">
        <f>IF($L621&gt;0,"x","")</f>
        <v>x</v>
      </c>
      <c r="S621" s="16" t="str">
        <f>IF($L621&gt;0,"x","")</f>
        <v>x</v>
      </c>
      <c r="U621" s="46" t="str">
        <f t="shared" si="254"/>
        <v/>
      </c>
      <c r="V621" s="46">
        <f t="shared" si="254"/>
        <v>13</v>
      </c>
      <c r="W621" s="46" t="str">
        <f t="shared" si="254"/>
        <v/>
      </c>
      <c r="X621" s="46" t="str">
        <f t="shared" si="254"/>
        <v/>
      </c>
    </row>
    <row r="622" spans="2:26" x14ac:dyDescent="0.25">
      <c r="B622" s="11" t="str">
        <f t="shared" si="249"/>
        <v>BRIT-01OCT1922</v>
      </c>
      <c r="C622" s="11" t="s">
        <v>2317</v>
      </c>
      <c r="D622" s="11" t="s">
        <v>870</v>
      </c>
      <c r="E622" s="39" t="s">
        <v>2962</v>
      </c>
      <c r="F622" s="11" t="s">
        <v>1602</v>
      </c>
      <c r="G622" s="39" t="s">
        <v>5017</v>
      </c>
      <c r="H622" s="7">
        <v>0</v>
      </c>
      <c r="I622" s="7">
        <v>6</v>
      </c>
      <c r="J622" s="7">
        <v>88</v>
      </c>
      <c r="L622" s="7">
        <f t="shared" si="250"/>
        <v>94</v>
      </c>
      <c r="M622" s="8">
        <v>1</v>
      </c>
      <c r="N622" s="8">
        <f t="shared" si="251"/>
        <v>1</v>
      </c>
      <c r="O622" s="11" t="s">
        <v>1702</v>
      </c>
      <c r="P622" s="16" t="str">
        <f t="shared" si="252"/>
        <v>01-Oct-1922</v>
      </c>
      <c r="R622" s="16" t="str">
        <f>IF($L622&gt;0,"x","")</f>
        <v>x</v>
      </c>
      <c r="S622" s="16" t="str">
        <f>IF($L622&gt;0,"x","")</f>
        <v>x</v>
      </c>
      <c r="U622" s="46" t="str">
        <f t="shared" si="254"/>
        <v/>
      </c>
      <c r="V622" s="46">
        <f t="shared" si="254"/>
        <v>94</v>
      </c>
      <c r="W622" s="46" t="str">
        <f t="shared" si="254"/>
        <v/>
      </c>
      <c r="X622" s="46" t="str">
        <f t="shared" si="254"/>
        <v/>
      </c>
    </row>
    <row r="623" spans="2:26" x14ac:dyDescent="0.25">
      <c r="B623" s="11" t="str">
        <f t="shared" si="249"/>
        <v>BRIT-01JUL1923</v>
      </c>
      <c r="C623" s="11" t="s">
        <v>2317</v>
      </c>
      <c r="D623" s="11" t="s">
        <v>870</v>
      </c>
      <c r="E623" s="39" t="s">
        <v>3143</v>
      </c>
      <c r="F623" s="11" t="s">
        <v>1602</v>
      </c>
      <c r="G623" s="39" t="s">
        <v>3130</v>
      </c>
      <c r="H623" s="7">
        <v>14</v>
      </c>
      <c r="I623" s="7">
        <v>24</v>
      </c>
      <c r="J623" s="7">
        <f>107+5</f>
        <v>112</v>
      </c>
      <c r="L623" s="7">
        <f t="shared" si="250"/>
        <v>150</v>
      </c>
      <c r="M623" s="8">
        <v>1</v>
      </c>
      <c r="N623" s="8">
        <f t="shared" si="251"/>
        <v>1</v>
      </c>
      <c r="O623" s="11" t="s">
        <v>1702</v>
      </c>
      <c r="P623" s="16" t="str">
        <f t="shared" si="252"/>
        <v>01-Jul-1923</v>
      </c>
      <c r="R623" s="16" t="str">
        <f t="shared" si="253"/>
        <v>x</v>
      </c>
      <c r="S623" s="16" t="str">
        <f t="shared" si="253"/>
        <v>x</v>
      </c>
      <c r="U623" s="46" t="str">
        <f t="shared" ref="U623:X626" si="255">IF($O623=U$5,$L623,"")</f>
        <v/>
      </c>
      <c r="V623" s="46">
        <f t="shared" si="255"/>
        <v>150</v>
      </c>
      <c r="W623" s="46" t="str">
        <f t="shared" si="255"/>
        <v/>
      </c>
      <c r="X623" s="46" t="str">
        <f t="shared" si="255"/>
        <v/>
      </c>
    </row>
    <row r="624" spans="2:26" x14ac:dyDescent="0.25">
      <c r="N624" s="8" t="str">
        <f>IF(R624="x",1,"")</f>
        <v/>
      </c>
      <c r="U624" s="46" t="str">
        <f t="shared" si="255"/>
        <v/>
      </c>
      <c r="V624" s="46" t="str">
        <f t="shared" si="255"/>
        <v/>
      </c>
      <c r="W624" s="46" t="str">
        <f t="shared" si="255"/>
        <v/>
      </c>
      <c r="X624" s="46" t="str">
        <f t="shared" si="255"/>
        <v/>
      </c>
    </row>
    <row r="625" spans="2:26" s="18" customFormat="1" x14ac:dyDescent="0.25">
      <c r="E625" s="40"/>
      <c r="G625" s="40"/>
      <c r="H625" s="7">
        <f t="shared" ref="H625:N625" si="256">SUM(H615:H624)</f>
        <v>31</v>
      </c>
      <c r="I625" s="7">
        <f t="shared" si="256"/>
        <v>92</v>
      </c>
      <c r="J625" s="7">
        <f>SUM(J615:J624)</f>
        <v>573</v>
      </c>
      <c r="K625" s="7">
        <f t="shared" si="256"/>
        <v>0</v>
      </c>
      <c r="L625" s="7">
        <f t="shared" si="256"/>
        <v>696</v>
      </c>
      <c r="M625" s="7">
        <f t="shared" si="256"/>
        <v>9</v>
      </c>
      <c r="N625" s="7">
        <f t="shared" si="256"/>
        <v>9</v>
      </c>
      <c r="P625" s="13"/>
      <c r="Q625" s="13"/>
      <c r="R625" s="13"/>
      <c r="S625" s="13"/>
      <c r="T625" s="15"/>
      <c r="U625" s="46" t="str">
        <f t="shared" si="255"/>
        <v/>
      </c>
      <c r="V625" s="46" t="str">
        <f t="shared" si="255"/>
        <v/>
      </c>
      <c r="W625" s="46" t="str">
        <f t="shared" si="255"/>
        <v/>
      </c>
      <c r="X625" s="46" t="str">
        <f t="shared" si="255"/>
        <v/>
      </c>
      <c r="Z625" s="11"/>
    </row>
    <row r="626" spans="2:26" x14ac:dyDescent="0.25">
      <c r="B626" s="18"/>
      <c r="C626" s="18"/>
      <c r="D626" s="18"/>
      <c r="E626" s="40"/>
      <c r="F626" s="18"/>
      <c r="G626" s="40"/>
      <c r="N626" s="8" t="str">
        <f>IF(R626="x",1,"")</f>
        <v/>
      </c>
      <c r="O626" s="18"/>
      <c r="P626" s="13"/>
      <c r="Q626" s="13"/>
      <c r="R626" s="13"/>
      <c r="S626" s="13"/>
      <c r="T626" s="15"/>
      <c r="U626" s="46" t="str">
        <f t="shared" si="255"/>
        <v/>
      </c>
      <c r="V626" s="46" t="str">
        <f t="shared" si="255"/>
        <v/>
      </c>
      <c r="W626" s="46" t="str">
        <f t="shared" si="255"/>
        <v/>
      </c>
      <c r="X626" s="46" t="str">
        <f t="shared" si="255"/>
        <v/>
      </c>
    </row>
    <row r="627" spans="2:26" x14ac:dyDescent="0.25">
      <c r="B627" s="18"/>
      <c r="C627" s="18"/>
      <c r="D627" s="18"/>
      <c r="E627" s="40"/>
      <c r="F627" s="18"/>
      <c r="G627" s="40"/>
      <c r="N627" s="8" t="str">
        <f>IF(R627="x",1,"")</f>
        <v/>
      </c>
      <c r="O627" s="18"/>
      <c r="P627" s="13"/>
      <c r="Q627" s="13"/>
      <c r="R627" s="13"/>
      <c r="S627" s="13"/>
      <c r="T627" s="15"/>
      <c r="U627" s="46" t="str">
        <f t="shared" ref="U627:X744" si="257">IF($O627=U$5,$L627,"")</f>
        <v/>
      </c>
      <c r="V627" s="46" t="str">
        <f t="shared" si="257"/>
        <v/>
      </c>
      <c r="W627" s="46" t="str">
        <f t="shared" si="257"/>
        <v/>
      </c>
      <c r="X627" s="46" t="str">
        <f t="shared" si="257"/>
        <v/>
      </c>
    </row>
    <row r="628" spans="2:26" x14ac:dyDescent="0.25">
      <c r="B628" s="11" t="str">
        <f>CONCATENATE("BRTN","-",LEFT(P628,2),UPPER(MID(P628,4,3)),RIGHT(P628,4))</f>
        <v>BRTN-25OCT1886</v>
      </c>
      <c r="C628" s="11" t="s">
        <v>3914</v>
      </c>
      <c r="D628" s="11" t="s">
        <v>2097</v>
      </c>
      <c r="F628" s="11" t="s">
        <v>1700</v>
      </c>
      <c r="G628" s="39" t="s">
        <v>3915</v>
      </c>
      <c r="H628" s="7">
        <v>0</v>
      </c>
      <c r="J628" s="17">
        <v>3</v>
      </c>
      <c r="K628" s="17"/>
      <c r="L628" s="7">
        <f>SUM(H628:K628)</f>
        <v>3</v>
      </c>
      <c r="M628" s="8">
        <v>1</v>
      </c>
      <c r="N628" s="8">
        <f>IF(L628&gt;0,1,"")</f>
        <v>1</v>
      </c>
      <c r="O628" s="11" t="s">
        <v>1702</v>
      </c>
      <c r="P628" s="16" t="str">
        <f>IF(LEN(G628)=10,CONCATENATE("0",G628),G628)</f>
        <v>25-Oct-1886</v>
      </c>
      <c r="R628" s="16" t="str">
        <f>IF($L628&gt;0,"x","")</f>
        <v>x</v>
      </c>
      <c r="S628" s="16" t="str">
        <f>IF($L628&gt;0,"x","")</f>
        <v>x</v>
      </c>
      <c r="U628" s="46" t="str">
        <f t="shared" si="257"/>
        <v/>
      </c>
      <c r="V628" s="46">
        <f t="shared" si="257"/>
        <v>3</v>
      </c>
      <c r="W628" s="46" t="str">
        <f t="shared" si="257"/>
        <v/>
      </c>
      <c r="X628" s="46" t="str">
        <f t="shared" si="257"/>
        <v/>
      </c>
    </row>
    <row r="629" spans="2:26" x14ac:dyDescent="0.25">
      <c r="N629" s="8" t="str">
        <f>IF(R629="x",1,"")</f>
        <v/>
      </c>
      <c r="U629" s="46" t="str">
        <f t="shared" si="257"/>
        <v/>
      </c>
      <c r="V629" s="46" t="str">
        <f t="shared" si="257"/>
        <v/>
      </c>
      <c r="W629" s="46" t="str">
        <f t="shared" si="257"/>
        <v/>
      </c>
      <c r="X629" s="46" t="str">
        <f t="shared" si="257"/>
        <v/>
      </c>
    </row>
    <row r="630" spans="2:26" x14ac:dyDescent="0.25">
      <c r="B630" s="18"/>
      <c r="C630" s="18"/>
      <c r="D630" s="18"/>
      <c r="E630" s="40"/>
      <c r="F630" s="18"/>
      <c r="G630" s="40"/>
      <c r="H630" s="7">
        <f t="shared" ref="H630:N630" si="258">SUM(H628:H629)</f>
        <v>0</v>
      </c>
      <c r="I630" s="7">
        <f t="shared" si="258"/>
        <v>0</v>
      </c>
      <c r="J630" s="7">
        <f>SUM(J628:J629)</f>
        <v>3</v>
      </c>
      <c r="K630" s="7">
        <f t="shared" si="258"/>
        <v>0</v>
      </c>
      <c r="L630" s="7">
        <f t="shared" si="258"/>
        <v>3</v>
      </c>
      <c r="M630" s="7">
        <f t="shared" si="258"/>
        <v>1</v>
      </c>
      <c r="N630" s="7">
        <f t="shared" si="258"/>
        <v>1</v>
      </c>
      <c r="O630" s="18"/>
      <c r="P630" s="13"/>
      <c r="Q630" s="13"/>
      <c r="S630" s="13"/>
      <c r="T630" s="15"/>
      <c r="U630" s="46" t="str">
        <f t="shared" si="257"/>
        <v/>
      </c>
      <c r="V630" s="46" t="str">
        <f t="shared" si="257"/>
        <v/>
      </c>
      <c r="W630" s="46" t="str">
        <f t="shared" si="257"/>
        <v/>
      </c>
      <c r="X630" s="46" t="str">
        <f t="shared" si="257"/>
        <v/>
      </c>
    </row>
    <row r="631" spans="2:26" x14ac:dyDescent="0.25">
      <c r="B631" s="18"/>
      <c r="C631" s="18"/>
      <c r="D631" s="18"/>
      <c r="E631" s="40"/>
      <c r="F631" s="18"/>
      <c r="G631" s="40"/>
      <c r="N631" s="8" t="str">
        <f>IF(R631="x",1,"")</f>
        <v/>
      </c>
      <c r="O631" s="18"/>
      <c r="P631" s="13"/>
      <c r="Q631" s="13"/>
      <c r="R631" s="13"/>
      <c r="S631" s="13"/>
      <c r="T631" s="15"/>
      <c r="U631" s="46" t="str">
        <f t="shared" ref="U631:X635" si="259">IF($O631=U$5,$L631,"")</f>
        <v/>
      </c>
      <c r="V631" s="46" t="str">
        <f t="shared" si="259"/>
        <v/>
      </c>
      <c r="W631" s="46" t="str">
        <f t="shared" si="259"/>
        <v/>
      </c>
      <c r="X631" s="46" t="str">
        <f t="shared" si="259"/>
        <v/>
      </c>
    </row>
    <row r="632" spans="2:26" x14ac:dyDescent="0.25">
      <c r="B632" s="18"/>
      <c r="C632" s="18"/>
      <c r="D632" s="18"/>
      <c r="E632" s="40"/>
      <c r="F632" s="18"/>
      <c r="G632" s="40"/>
      <c r="N632" s="8" t="str">
        <f>IF(R632="x",1,"")</f>
        <v/>
      </c>
      <c r="O632" s="18"/>
      <c r="P632" s="13"/>
      <c r="Q632" s="13"/>
      <c r="R632" s="13"/>
      <c r="S632" s="13"/>
      <c r="T632" s="15"/>
      <c r="U632" s="46" t="str">
        <f t="shared" si="259"/>
        <v/>
      </c>
      <c r="V632" s="46" t="str">
        <f t="shared" si="259"/>
        <v/>
      </c>
      <c r="W632" s="46" t="str">
        <f t="shared" si="259"/>
        <v/>
      </c>
      <c r="X632" s="46" t="str">
        <f t="shared" si="259"/>
        <v/>
      </c>
    </row>
    <row r="633" spans="2:26" x14ac:dyDescent="0.25">
      <c r="B633" s="11" t="str">
        <f>CONCATENATE("BPRI","-",LEFT(P633,2),UPPER(MID(P633,4,3)),RIGHT(P633,4))</f>
        <v>BPRI-14JUL1890</v>
      </c>
      <c r="C633" s="11" t="s">
        <v>6014</v>
      </c>
      <c r="D633" s="11" t="s">
        <v>2097</v>
      </c>
      <c r="F633" s="11" t="s">
        <v>3039</v>
      </c>
      <c r="G633" s="39" t="s">
        <v>6015</v>
      </c>
      <c r="H633" s="7">
        <v>0</v>
      </c>
      <c r="J633" s="17">
        <v>17</v>
      </c>
      <c r="K633" s="17"/>
      <c r="L633" s="7">
        <f>SUM(H633:K633)</f>
        <v>17</v>
      </c>
      <c r="M633" s="8">
        <v>1</v>
      </c>
      <c r="N633" s="8">
        <f>IF(L633&gt;0,1,"")</f>
        <v>1</v>
      </c>
      <c r="O633" s="11" t="s">
        <v>1702</v>
      </c>
      <c r="P633" s="16" t="str">
        <f>IF(LEN(G633)=10,CONCATENATE("0",G633),G633)</f>
        <v>14-Jul-1890</v>
      </c>
      <c r="R633" s="16" t="str">
        <f>IF($L633&gt;0,"x","")</f>
        <v>x</v>
      </c>
      <c r="S633" s="16" t="str">
        <f>IF($L633&gt;0,"x","")</f>
        <v>x</v>
      </c>
      <c r="U633" s="46" t="str">
        <f t="shared" si="259"/>
        <v/>
      </c>
      <c r="V633" s="46">
        <f t="shared" si="259"/>
        <v>17</v>
      </c>
      <c r="W633" s="46" t="str">
        <f t="shared" si="259"/>
        <v/>
      </c>
      <c r="X633" s="46" t="str">
        <f t="shared" si="259"/>
        <v/>
      </c>
    </row>
    <row r="634" spans="2:26" x14ac:dyDescent="0.25">
      <c r="N634" s="8" t="str">
        <f>IF(R634="x",1,"")</f>
        <v/>
      </c>
      <c r="U634" s="46" t="str">
        <f t="shared" si="259"/>
        <v/>
      </c>
      <c r="V634" s="46" t="str">
        <f t="shared" si="259"/>
        <v/>
      </c>
      <c r="W634" s="46" t="str">
        <f t="shared" si="259"/>
        <v/>
      </c>
      <c r="X634" s="46" t="str">
        <f t="shared" si="259"/>
        <v/>
      </c>
    </row>
    <row r="635" spans="2:26" x14ac:dyDescent="0.25">
      <c r="B635" s="18"/>
      <c r="C635" s="18"/>
      <c r="D635" s="18"/>
      <c r="E635" s="40"/>
      <c r="F635" s="18"/>
      <c r="G635" s="40"/>
      <c r="H635" s="7">
        <f t="shared" ref="H635:N635" si="260">SUM(H633:H634)</f>
        <v>0</v>
      </c>
      <c r="I635" s="7">
        <f t="shared" si="260"/>
        <v>0</v>
      </c>
      <c r="J635" s="7">
        <f>SUM(J633:J634)</f>
        <v>17</v>
      </c>
      <c r="K635" s="7">
        <f t="shared" si="260"/>
        <v>0</v>
      </c>
      <c r="L635" s="7">
        <f t="shared" si="260"/>
        <v>17</v>
      </c>
      <c r="M635" s="7">
        <f t="shared" si="260"/>
        <v>1</v>
      </c>
      <c r="N635" s="7">
        <f t="shared" si="260"/>
        <v>1</v>
      </c>
      <c r="O635" s="18"/>
      <c r="P635" s="13"/>
      <c r="Q635" s="13"/>
      <c r="S635" s="13"/>
      <c r="T635" s="15"/>
      <c r="U635" s="46" t="str">
        <f t="shared" si="259"/>
        <v/>
      </c>
      <c r="V635" s="46" t="str">
        <f t="shared" si="259"/>
        <v/>
      </c>
      <c r="W635" s="46" t="str">
        <f t="shared" si="259"/>
        <v/>
      </c>
      <c r="X635" s="46" t="str">
        <f t="shared" si="259"/>
        <v/>
      </c>
    </row>
    <row r="636" spans="2:26" x14ac:dyDescent="0.25">
      <c r="B636" s="18"/>
      <c r="C636" s="18"/>
      <c r="D636" s="18"/>
      <c r="E636" s="40"/>
      <c r="F636" s="18"/>
      <c r="G636" s="40"/>
      <c r="N636" s="8" t="str">
        <f>IF(R636="x",1,"")</f>
        <v/>
      </c>
      <c r="O636" s="18"/>
      <c r="P636" s="13"/>
      <c r="Q636" s="13"/>
      <c r="R636" s="13"/>
      <c r="S636" s="13"/>
      <c r="T636" s="15"/>
      <c r="U636" s="46" t="str">
        <f t="shared" si="257"/>
        <v/>
      </c>
      <c r="V636" s="46" t="str">
        <f t="shared" si="257"/>
        <v/>
      </c>
      <c r="W636" s="46" t="str">
        <f t="shared" si="257"/>
        <v/>
      </c>
      <c r="X636" s="46" t="str">
        <f t="shared" si="257"/>
        <v/>
      </c>
    </row>
    <row r="637" spans="2:26" x14ac:dyDescent="0.25">
      <c r="B637" s="18"/>
      <c r="C637" s="18"/>
      <c r="D637" s="18"/>
      <c r="E637" s="40"/>
      <c r="F637" s="18"/>
      <c r="G637" s="40"/>
      <c r="N637" s="8" t="str">
        <f>IF(R637="x",1,"")</f>
        <v/>
      </c>
      <c r="O637" s="18"/>
      <c r="P637" s="13"/>
      <c r="Q637" s="13"/>
      <c r="R637" s="13"/>
      <c r="S637" s="13"/>
      <c r="T637" s="15"/>
      <c r="U637" s="46" t="str">
        <f t="shared" si="257"/>
        <v/>
      </c>
      <c r="V637" s="46" t="str">
        <f t="shared" si="257"/>
        <v/>
      </c>
      <c r="W637" s="46" t="str">
        <f t="shared" si="257"/>
        <v/>
      </c>
      <c r="X637" s="46" t="str">
        <f t="shared" si="257"/>
        <v/>
      </c>
    </row>
    <row r="638" spans="2:26" x14ac:dyDescent="0.25">
      <c r="B638" s="11" t="str">
        <f>CONCATENATE("BROO","-",LEFT(P638,2),UPPER(MID(P638,4,3)),RIGHT(P638,4))</f>
        <v>BROO-22AUG1906</v>
      </c>
      <c r="C638" s="11" t="s">
        <v>6156</v>
      </c>
      <c r="D638" s="11" t="s">
        <v>870</v>
      </c>
      <c r="E638" s="39" t="s">
        <v>810</v>
      </c>
      <c r="F638" s="11" t="s">
        <v>1700</v>
      </c>
      <c r="G638" s="39" t="s">
        <v>3436</v>
      </c>
      <c r="H638" s="7">
        <v>0</v>
      </c>
      <c r="J638" s="17">
        <v>9</v>
      </c>
      <c r="K638" s="17"/>
      <c r="L638" s="7">
        <f>SUM(H638:K638)</f>
        <v>9</v>
      </c>
      <c r="M638" s="8">
        <v>1</v>
      </c>
      <c r="N638" s="8">
        <f>IF(L638&gt;0,1,"")</f>
        <v>1</v>
      </c>
      <c r="O638" s="11" t="s">
        <v>1702</v>
      </c>
      <c r="P638" s="16" t="str">
        <f>IF(LEN(G638)=10,CONCATENATE("0",G638),G638)</f>
        <v>22-Aug-1906</v>
      </c>
      <c r="R638" s="16" t="str">
        <f>IF($L638&gt;0,"x","")</f>
        <v>x</v>
      </c>
      <c r="S638" s="16" t="str">
        <f>IF($L638&gt;0,"x","")</f>
        <v>x</v>
      </c>
      <c r="U638" s="46" t="str">
        <f t="shared" si="257"/>
        <v/>
      </c>
      <c r="V638" s="46">
        <f t="shared" si="257"/>
        <v>9</v>
      </c>
      <c r="W638" s="46" t="str">
        <f t="shared" si="257"/>
        <v/>
      </c>
      <c r="X638" s="46" t="str">
        <f t="shared" si="257"/>
        <v/>
      </c>
      <c r="Z638" s="11" t="s">
        <v>3437</v>
      </c>
    </row>
    <row r="639" spans="2:26" x14ac:dyDescent="0.25">
      <c r="N639" s="8" t="str">
        <f>IF(R639="x",1,"")</f>
        <v/>
      </c>
      <c r="U639" s="46" t="str">
        <f t="shared" si="257"/>
        <v/>
      </c>
      <c r="V639" s="46" t="str">
        <f t="shared" si="257"/>
        <v/>
      </c>
      <c r="W639" s="46" t="str">
        <f t="shared" si="257"/>
        <v/>
      </c>
      <c r="X639" s="46" t="str">
        <f t="shared" si="257"/>
        <v/>
      </c>
    </row>
    <row r="640" spans="2:26" x14ac:dyDescent="0.25">
      <c r="B640" s="18"/>
      <c r="C640" s="18"/>
      <c r="D640" s="18"/>
      <c r="E640" s="40"/>
      <c r="F640" s="18"/>
      <c r="G640" s="40"/>
      <c r="H640" s="7">
        <f t="shared" ref="H640:N640" si="261">SUM(H638:H639)</f>
        <v>0</v>
      </c>
      <c r="I640" s="7">
        <f t="shared" si="261"/>
        <v>0</v>
      </c>
      <c r="J640" s="7">
        <f>SUM(J638:J639)</f>
        <v>9</v>
      </c>
      <c r="K640" s="7">
        <f t="shared" si="261"/>
        <v>0</v>
      </c>
      <c r="L640" s="7">
        <f t="shared" si="261"/>
        <v>9</v>
      </c>
      <c r="M640" s="7">
        <f t="shared" si="261"/>
        <v>1</v>
      </c>
      <c r="N640" s="7">
        <f t="shared" si="261"/>
        <v>1</v>
      </c>
      <c r="O640" s="18"/>
      <c r="P640" s="13"/>
      <c r="Q640" s="13"/>
      <c r="S640" s="13"/>
      <c r="T640" s="15"/>
      <c r="U640" s="46" t="str">
        <f t="shared" si="257"/>
        <v/>
      </c>
      <c r="V640" s="46" t="str">
        <f t="shared" si="257"/>
        <v/>
      </c>
      <c r="W640" s="46" t="str">
        <f t="shared" si="257"/>
        <v/>
      </c>
      <c r="X640" s="46" t="str">
        <f t="shared" si="257"/>
        <v/>
      </c>
    </row>
    <row r="641" spans="2:24" x14ac:dyDescent="0.25">
      <c r="B641" s="18"/>
      <c r="C641" s="18"/>
      <c r="D641" s="18"/>
      <c r="E641" s="40"/>
      <c r="F641" s="18"/>
      <c r="G641" s="40"/>
      <c r="N641" s="8" t="str">
        <f>IF(R641="x",1,"")</f>
        <v/>
      </c>
      <c r="O641" s="18"/>
      <c r="P641" s="13"/>
      <c r="Q641" s="13"/>
      <c r="R641" s="13"/>
      <c r="S641" s="13"/>
      <c r="T641" s="15"/>
      <c r="U641" s="46" t="str">
        <f t="shared" si="257"/>
        <v/>
      </c>
      <c r="V641" s="46" t="str">
        <f t="shared" si="257"/>
        <v/>
      </c>
      <c r="W641" s="46" t="str">
        <f t="shared" si="257"/>
        <v/>
      </c>
      <c r="X641" s="46" t="str">
        <f t="shared" si="257"/>
        <v/>
      </c>
    </row>
    <row r="642" spans="2:24" x14ac:dyDescent="0.25">
      <c r="B642" s="18"/>
      <c r="C642" s="18"/>
      <c r="D642" s="18"/>
      <c r="E642" s="40"/>
      <c r="F642" s="18"/>
      <c r="G642" s="40"/>
      <c r="N642" s="8" t="str">
        <f>IF(R642="x",1,"")</f>
        <v/>
      </c>
      <c r="O642" s="18"/>
      <c r="P642" s="13"/>
      <c r="Q642" s="13"/>
      <c r="R642" s="13"/>
      <c r="S642" s="13"/>
      <c r="T642" s="15"/>
      <c r="U642" s="46" t="str">
        <f t="shared" si="257"/>
        <v/>
      </c>
      <c r="V642" s="46" t="str">
        <f t="shared" si="257"/>
        <v/>
      </c>
      <c r="W642" s="46" t="str">
        <f t="shared" si="257"/>
        <v/>
      </c>
      <c r="X642" s="46" t="str">
        <f t="shared" si="257"/>
        <v/>
      </c>
    </row>
    <row r="643" spans="2:24" x14ac:dyDescent="0.25">
      <c r="B643" s="11" t="str">
        <f>CONCATENATE("BULG","-",LEFT(P643,2),UPPER(MID(P643,4,3)),RIGHT(P643,4))</f>
        <v>BULG-23SEP1900</v>
      </c>
      <c r="C643" s="11" t="s">
        <v>3433</v>
      </c>
      <c r="D643" s="11" t="s">
        <v>2103</v>
      </c>
      <c r="E643" s="39" t="s">
        <v>3434</v>
      </c>
      <c r="F643" s="11" t="s">
        <v>1700</v>
      </c>
      <c r="G643" s="39" t="s">
        <v>491</v>
      </c>
      <c r="J643" s="17">
        <v>14</v>
      </c>
      <c r="K643" s="17"/>
      <c r="L643" s="7">
        <f>SUM(H643:K643)</f>
        <v>14</v>
      </c>
      <c r="M643" s="8">
        <v>1</v>
      </c>
      <c r="N643" s="8">
        <f>IF(L643&gt;0,1,"")</f>
        <v>1</v>
      </c>
      <c r="O643" s="11" t="s">
        <v>1702</v>
      </c>
      <c r="P643" s="16" t="str">
        <f>IF(LEN(G643)=10,CONCATENATE("0",G643),G643)</f>
        <v>23-Sep-1900</v>
      </c>
      <c r="R643" s="16" t="str">
        <f>IF($L643&gt;0,"x","")</f>
        <v>x</v>
      </c>
      <c r="S643" s="16" t="str">
        <f>IF($L643&gt;0,"x","")</f>
        <v>x</v>
      </c>
      <c r="U643" s="46" t="str">
        <f t="shared" si="257"/>
        <v/>
      </c>
      <c r="V643" s="46">
        <f t="shared" si="257"/>
        <v>14</v>
      </c>
      <c r="W643" s="46" t="str">
        <f t="shared" si="257"/>
        <v/>
      </c>
      <c r="X643" s="46" t="str">
        <f t="shared" si="257"/>
        <v/>
      </c>
    </row>
    <row r="644" spans="2:24" x14ac:dyDescent="0.25">
      <c r="B644" s="11" t="str">
        <f>CONCATENATE("BULG","-",LEFT(P644,2),UPPER(MID(P644,4,3)),RIGHT(P644,4))</f>
        <v>BULG-14FEB1903</v>
      </c>
      <c r="C644" s="11" t="s">
        <v>3433</v>
      </c>
      <c r="D644" s="11" t="s">
        <v>2103</v>
      </c>
      <c r="E644" s="39" t="s">
        <v>3663</v>
      </c>
      <c r="F644" s="11" t="s">
        <v>1700</v>
      </c>
      <c r="G644" s="39" t="s">
        <v>3662</v>
      </c>
      <c r="J644" s="17">
        <v>12</v>
      </c>
      <c r="K644" s="17"/>
      <c r="L644" s="7">
        <f>SUM(H644:K644)</f>
        <v>12</v>
      </c>
      <c r="M644" s="8">
        <v>1</v>
      </c>
      <c r="N644" s="8">
        <f>IF(L644&gt;0,1,"")</f>
        <v>1</v>
      </c>
      <c r="O644" s="11" t="s">
        <v>1702</v>
      </c>
      <c r="P644" s="16" t="str">
        <f>IF(LEN(G644)=10,CONCATENATE("0",G644),G644)</f>
        <v>14-Feb-1903</v>
      </c>
      <c r="R644" s="16" t="str">
        <f>IF($L644&gt;0,"x","")</f>
        <v>x</v>
      </c>
      <c r="S644" s="16" t="str">
        <f>IF($L644&gt;0,"x","")</f>
        <v>x</v>
      </c>
      <c r="U644" s="46" t="str">
        <f t="shared" si="257"/>
        <v/>
      </c>
      <c r="V644" s="46">
        <f t="shared" si="257"/>
        <v>12</v>
      </c>
      <c r="W644" s="46" t="str">
        <f t="shared" si="257"/>
        <v/>
      </c>
      <c r="X644" s="46" t="str">
        <f t="shared" si="257"/>
        <v/>
      </c>
    </row>
    <row r="645" spans="2:24" x14ac:dyDescent="0.25">
      <c r="N645" s="8" t="str">
        <f>IF(R645="x",1,"")</f>
        <v/>
      </c>
      <c r="U645" s="46" t="str">
        <f t="shared" si="257"/>
        <v/>
      </c>
      <c r="V645" s="46" t="str">
        <f t="shared" si="257"/>
        <v/>
      </c>
      <c r="W645" s="46" t="str">
        <f t="shared" si="257"/>
        <v/>
      </c>
      <c r="X645" s="46" t="str">
        <f t="shared" si="257"/>
        <v/>
      </c>
    </row>
    <row r="646" spans="2:24" x14ac:dyDescent="0.25">
      <c r="B646" s="18"/>
      <c r="C646" s="18"/>
      <c r="D646" s="18"/>
      <c r="E646" s="40"/>
      <c r="F646" s="18"/>
      <c r="G646" s="40"/>
      <c r="H646" s="7">
        <f t="shared" ref="H646:N646" si="262">SUM(H643:H645)</f>
        <v>0</v>
      </c>
      <c r="I646" s="7">
        <f t="shared" si="262"/>
        <v>0</v>
      </c>
      <c r="J646" s="7">
        <f>SUM(J643:J645)</f>
        <v>26</v>
      </c>
      <c r="K646" s="7">
        <f t="shared" si="262"/>
        <v>0</v>
      </c>
      <c r="L646" s="7">
        <f t="shared" si="262"/>
        <v>26</v>
      </c>
      <c r="M646" s="7">
        <f t="shared" si="262"/>
        <v>2</v>
      </c>
      <c r="N646" s="7">
        <f t="shared" si="262"/>
        <v>2</v>
      </c>
      <c r="O646" s="18"/>
      <c r="P646" s="13"/>
      <c r="Q646" s="13"/>
      <c r="S646" s="13"/>
      <c r="T646" s="15"/>
      <c r="U646" s="46" t="str">
        <f t="shared" si="257"/>
        <v/>
      </c>
      <c r="V646" s="46" t="str">
        <f t="shared" si="257"/>
        <v/>
      </c>
      <c r="W646" s="46" t="str">
        <f t="shared" si="257"/>
        <v/>
      </c>
      <c r="X646" s="46" t="str">
        <f t="shared" si="257"/>
        <v/>
      </c>
    </row>
    <row r="647" spans="2:24" x14ac:dyDescent="0.25">
      <c r="B647" s="18"/>
      <c r="C647" s="18"/>
      <c r="D647" s="18"/>
      <c r="E647" s="40"/>
      <c r="F647" s="18"/>
      <c r="G647" s="40"/>
      <c r="N647" s="8" t="str">
        <f>IF(R647="x",1,"")</f>
        <v/>
      </c>
      <c r="O647" s="18"/>
      <c r="P647" s="13"/>
      <c r="Q647" s="13"/>
      <c r="R647" s="13"/>
      <c r="S647" s="13"/>
      <c r="T647" s="15"/>
      <c r="U647" s="46" t="str">
        <f t="shared" ref="U647:X651" si="263">IF($O647=U$5,$L647,"")</f>
        <v/>
      </c>
      <c r="V647" s="46" t="str">
        <f t="shared" si="263"/>
        <v/>
      </c>
      <c r="W647" s="46" t="str">
        <f t="shared" si="263"/>
        <v/>
      </c>
      <c r="X647" s="46" t="str">
        <f t="shared" si="263"/>
        <v/>
      </c>
    </row>
    <row r="648" spans="2:24" x14ac:dyDescent="0.25">
      <c r="B648" s="18"/>
      <c r="C648" s="18"/>
      <c r="D648" s="18"/>
      <c r="E648" s="40"/>
      <c r="F648" s="18"/>
      <c r="G648" s="40"/>
      <c r="N648" s="8" t="str">
        <f>IF(R648="x",1,"")</f>
        <v/>
      </c>
      <c r="O648" s="18"/>
      <c r="P648" s="13"/>
      <c r="Q648" s="13"/>
      <c r="R648" s="13"/>
      <c r="S648" s="13"/>
      <c r="T648" s="15"/>
      <c r="U648" s="46" t="str">
        <f t="shared" si="263"/>
        <v/>
      </c>
      <c r="V648" s="46" t="str">
        <f t="shared" si="263"/>
        <v/>
      </c>
      <c r="W648" s="46" t="str">
        <f t="shared" si="263"/>
        <v/>
      </c>
      <c r="X648" s="46" t="str">
        <f t="shared" si="263"/>
        <v/>
      </c>
    </row>
    <row r="649" spans="2:24" x14ac:dyDescent="0.25">
      <c r="B649" s="11" t="str">
        <f>CONCATENATE("BURG","-",LEFT(P649,2),UPPER(MID(P649,4,3)),RIGHT(P649,4))</f>
        <v>BURG-13NOV1896</v>
      </c>
      <c r="C649" s="11" t="s">
        <v>5103</v>
      </c>
      <c r="D649" s="11" t="s">
        <v>3007</v>
      </c>
      <c r="F649" s="11" t="s">
        <v>1700</v>
      </c>
      <c r="G649" s="39" t="s">
        <v>5104</v>
      </c>
      <c r="J649" s="17">
        <v>13</v>
      </c>
      <c r="K649" s="17"/>
      <c r="L649" s="7">
        <f>SUM(H649:K649)</f>
        <v>13</v>
      </c>
      <c r="M649" s="8">
        <v>1</v>
      </c>
      <c r="N649" s="8">
        <f>IF(L649&gt;0,1,"")</f>
        <v>1</v>
      </c>
      <c r="O649" s="11" t="s">
        <v>1702</v>
      </c>
      <c r="P649" s="16" t="str">
        <f>IF(LEN(G649)=10,CONCATENATE("0",G649),G649)</f>
        <v>13-Nov-1896</v>
      </c>
      <c r="R649" s="16" t="str">
        <f>IF($L649&gt;0,"x","")</f>
        <v>x</v>
      </c>
      <c r="S649" s="16" t="str">
        <f>IF($L649&gt;0,"x","")</f>
        <v>x</v>
      </c>
      <c r="U649" s="46" t="str">
        <f t="shared" si="263"/>
        <v/>
      </c>
      <c r="V649" s="46">
        <f t="shared" si="263"/>
        <v>13</v>
      </c>
      <c r="W649" s="46" t="str">
        <f t="shared" si="263"/>
        <v/>
      </c>
      <c r="X649" s="46" t="str">
        <f t="shared" si="263"/>
        <v/>
      </c>
    </row>
    <row r="650" spans="2:24" x14ac:dyDescent="0.25">
      <c r="N650" s="8" t="str">
        <f>IF(R650="x",1,"")</f>
        <v/>
      </c>
      <c r="U650" s="46" t="str">
        <f t="shared" si="263"/>
        <v/>
      </c>
      <c r="V650" s="46" t="str">
        <f t="shared" si="263"/>
        <v/>
      </c>
      <c r="W650" s="46" t="str">
        <f t="shared" si="263"/>
        <v/>
      </c>
      <c r="X650" s="46" t="str">
        <f t="shared" si="263"/>
        <v/>
      </c>
    </row>
    <row r="651" spans="2:24" x14ac:dyDescent="0.25">
      <c r="B651" s="18"/>
      <c r="C651" s="18"/>
      <c r="D651" s="18"/>
      <c r="E651" s="40"/>
      <c r="F651" s="18"/>
      <c r="G651" s="40"/>
      <c r="H651" s="7">
        <f t="shared" ref="H651:N651" si="264">SUM(H649:H650)</f>
        <v>0</v>
      </c>
      <c r="I651" s="7">
        <f t="shared" si="264"/>
        <v>0</v>
      </c>
      <c r="J651" s="7">
        <f>SUM(J649:J650)</f>
        <v>13</v>
      </c>
      <c r="K651" s="7">
        <f t="shared" si="264"/>
        <v>0</v>
      </c>
      <c r="L651" s="7">
        <f t="shared" si="264"/>
        <v>13</v>
      </c>
      <c r="M651" s="7">
        <f t="shared" si="264"/>
        <v>1</v>
      </c>
      <c r="N651" s="7">
        <f t="shared" si="264"/>
        <v>1</v>
      </c>
      <c r="O651" s="18"/>
      <c r="P651" s="13"/>
      <c r="Q651" s="13"/>
      <c r="S651" s="13"/>
      <c r="T651" s="15"/>
      <c r="U651" s="46" t="str">
        <f t="shared" si="263"/>
        <v/>
      </c>
      <c r="V651" s="46" t="str">
        <f t="shared" si="263"/>
        <v/>
      </c>
      <c r="W651" s="46" t="str">
        <f t="shared" si="263"/>
        <v/>
      </c>
      <c r="X651" s="46" t="str">
        <f t="shared" si="263"/>
        <v/>
      </c>
    </row>
    <row r="652" spans="2:24" x14ac:dyDescent="0.25">
      <c r="B652" s="18"/>
      <c r="C652" s="18"/>
      <c r="D652" s="18"/>
      <c r="E652" s="40"/>
      <c r="F652" s="18"/>
      <c r="G652" s="40"/>
      <c r="N652" s="8" t="str">
        <f>IF(R652="x",1,"")</f>
        <v/>
      </c>
      <c r="O652" s="18"/>
      <c r="P652" s="13"/>
      <c r="Q652" s="13"/>
      <c r="R652" s="13"/>
      <c r="S652" s="13"/>
      <c r="T652" s="15"/>
      <c r="U652" s="46" t="str">
        <f t="shared" si="257"/>
        <v/>
      </c>
      <c r="V652" s="46" t="str">
        <f t="shared" si="257"/>
        <v/>
      </c>
      <c r="W652" s="46" t="str">
        <f t="shared" si="257"/>
        <v/>
      </c>
      <c r="X652" s="46" t="str">
        <f t="shared" si="257"/>
        <v/>
      </c>
    </row>
    <row r="653" spans="2:24" x14ac:dyDescent="0.25">
      <c r="B653" s="18"/>
      <c r="C653" s="18"/>
      <c r="D653" s="18"/>
      <c r="E653" s="40"/>
      <c r="F653" s="18"/>
      <c r="G653" s="40"/>
      <c r="N653" s="8" t="str">
        <f>IF(R653="x",1,"")</f>
        <v/>
      </c>
      <c r="O653" s="18"/>
      <c r="P653" s="13"/>
      <c r="Q653" s="13"/>
      <c r="R653" s="13"/>
      <c r="S653" s="13"/>
      <c r="T653" s="15"/>
      <c r="U653" s="46" t="str">
        <f t="shared" si="257"/>
        <v/>
      </c>
      <c r="V653" s="46" t="str">
        <f t="shared" si="257"/>
        <v/>
      </c>
      <c r="W653" s="46" t="str">
        <f t="shared" si="257"/>
        <v/>
      </c>
      <c r="X653" s="46" t="str">
        <f t="shared" si="257"/>
        <v/>
      </c>
    </row>
    <row r="654" spans="2:24" x14ac:dyDescent="0.25">
      <c r="B654" s="11" t="str">
        <f t="shared" ref="B654:B673" si="265">CONCATENATE("BYRN","-",LEFT(P654,2),UPPER(MID(P654,4,3)),RIGHT(P654,4))</f>
        <v>BYRN-21AUG1911</v>
      </c>
      <c r="C654" s="11" t="s">
        <v>3715</v>
      </c>
      <c r="D654" s="11" t="s">
        <v>4635</v>
      </c>
      <c r="E654" s="39" t="s">
        <v>6235</v>
      </c>
      <c r="F654" s="11" t="s">
        <v>1700</v>
      </c>
      <c r="G654" s="39" t="s">
        <v>6236</v>
      </c>
      <c r="H654" s="7">
        <v>0</v>
      </c>
      <c r="J654" s="17">
        <v>2</v>
      </c>
      <c r="K654" s="17"/>
      <c r="L654" s="7">
        <f t="shared" ref="L654:L673" si="266">SUM(H654:K654)</f>
        <v>2</v>
      </c>
      <c r="M654" s="8">
        <v>1</v>
      </c>
      <c r="N654" s="8">
        <f t="shared" ref="N654:N673" si="267">IF(L654&gt;0,1,"")</f>
        <v>1</v>
      </c>
      <c r="O654" s="11" t="s">
        <v>1702</v>
      </c>
      <c r="P654" s="16" t="str">
        <f t="shared" ref="P654:P673" si="268">IF(LEN(G654)=10,CONCATENATE("0",G654),G654)</f>
        <v>21-Aug-1911</v>
      </c>
      <c r="R654" s="16" t="str">
        <f>IF($L654&gt;0,"x","")</f>
        <v>x</v>
      </c>
      <c r="S654" s="16" t="str">
        <f>IF($L654&gt;0,"x","")</f>
        <v>x</v>
      </c>
      <c r="U654" s="46" t="str">
        <f t="shared" si="257"/>
        <v/>
      </c>
      <c r="V654" s="46">
        <f t="shared" si="257"/>
        <v>2</v>
      </c>
      <c r="W654" s="46" t="str">
        <f t="shared" si="257"/>
        <v/>
      </c>
      <c r="X654" s="46" t="str">
        <f t="shared" si="257"/>
        <v/>
      </c>
    </row>
    <row r="655" spans="2:24" x14ac:dyDescent="0.25">
      <c r="B655" s="11" t="str">
        <f>CONCATENATE("BYRN","-",LEFT(P655,2),UPPER(MID(P655,4,3)),RIGHT(P655,4))</f>
        <v>BYRN-07FEB1914</v>
      </c>
      <c r="C655" s="11" t="s">
        <v>3715</v>
      </c>
      <c r="D655" s="11" t="s">
        <v>4494</v>
      </c>
      <c r="E655" s="39" t="s">
        <v>5424</v>
      </c>
      <c r="F655" s="11" t="s">
        <v>1700</v>
      </c>
      <c r="G655" s="39" t="s">
        <v>1550</v>
      </c>
      <c r="H655" s="7">
        <v>0</v>
      </c>
      <c r="J655" s="17">
        <v>3</v>
      </c>
      <c r="K655" s="17"/>
      <c r="L655" s="7">
        <f>SUM(H655:K655)</f>
        <v>3</v>
      </c>
      <c r="M655" s="8">
        <v>1</v>
      </c>
      <c r="N655" s="8">
        <f>IF(L655&gt;0,1,"")</f>
        <v>1</v>
      </c>
      <c r="O655" s="11" t="s">
        <v>1702</v>
      </c>
      <c r="P655" s="16" t="str">
        <f>IF(LEN(G655)=10,CONCATENATE("0",G655),G655)</f>
        <v>07-Feb-1914</v>
      </c>
      <c r="R655" s="16" t="str">
        <f>IF($L655&gt;0,"x","")</f>
        <v>x</v>
      </c>
      <c r="S655" s="16" t="str">
        <f>IF($L655&gt;0,"x","")</f>
        <v>x</v>
      </c>
      <c r="U655" s="46" t="str">
        <f>IF($O655=U$5,$L655,"")</f>
        <v/>
      </c>
      <c r="V655" s="46">
        <f>IF($O655=V$5,$L655,"")</f>
        <v>3</v>
      </c>
      <c r="W655" s="46" t="str">
        <f>IF($O655=W$5,$L655,"")</f>
        <v/>
      </c>
      <c r="X655" s="46" t="str">
        <f>IF($O655=X$5,$L655,"")</f>
        <v/>
      </c>
    </row>
    <row r="656" spans="2:24" x14ac:dyDescent="0.25">
      <c r="B656" s="11" t="str">
        <f>CONCATENATE("BYRN","-",LEFT(P656,2),UPPER(MID(P656,4,3)),RIGHT(P656,4))</f>
        <v>BYRN-27FEB1916</v>
      </c>
      <c r="C656" s="11" t="s">
        <v>3715</v>
      </c>
      <c r="D656" s="11" t="s">
        <v>4494</v>
      </c>
      <c r="E656" s="39" t="s">
        <v>4630</v>
      </c>
      <c r="F656" s="11" t="s">
        <v>1700</v>
      </c>
      <c r="G656" s="39" t="s">
        <v>1073</v>
      </c>
      <c r="H656" s="7">
        <v>0</v>
      </c>
      <c r="J656" s="17">
        <v>18</v>
      </c>
      <c r="K656" s="17"/>
      <c r="L656" s="7">
        <f>SUM(H656:K656)</f>
        <v>18</v>
      </c>
      <c r="M656" s="8">
        <v>1</v>
      </c>
      <c r="N656" s="8">
        <f>IF(L656&gt;0,1,"")</f>
        <v>1</v>
      </c>
      <c r="O656" s="11" t="s">
        <v>1702</v>
      </c>
      <c r="P656" s="16" t="str">
        <f>IF(LEN(G656)=10,CONCATENATE("0",G656),G656)</f>
        <v>27-Feb-1916</v>
      </c>
      <c r="R656" s="16" t="str">
        <f t="shared" ref="R656:S664" si="269">IF($L656&gt;0,"x","")</f>
        <v>x</v>
      </c>
      <c r="S656" s="16" t="str">
        <f t="shared" si="269"/>
        <v>x</v>
      </c>
      <c r="U656" s="46" t="str">
        <f t="shared" ref="U656:X657" si="270">IF($O656=U$5,$L656,"")</f>
        <v/>
      </c>
      <c r="V656" s="46">
        <f t="shared" si="270"/>
        <v>18</v>
      </c>
      <c r="W656" s="46" t="str">
        <f t="shared" si="270"/>
        <v/>
      </c>
      <c r="X656" s="46" t="str">
        <f t="shared" si="270"/>
        <v/>
      </c>
    </row>
    <row r="657" spans="2:24" x14ac:dyDescent="0.25">
      <c r="B657" s="11" t="str">
        <f t="shared" si="265"/>
        <v>BYRN-20MAY1916</v>
      </c>
      <c r="C657" s="11" t="s">
        <v>3715</v>
      </c>
      <c r="D657" s="11" t="s">
        <v>4494</v>
      </c>
      <c r="E657" s="39" t="s">
        <v>4631</v>
      </c>
      <c r="F657" s="11" t="s">
        <v>1700</v>
      </c>
      <c r="G657" s="39" t="s">
        <v>4632</v>
      </c>
      <c r="H657" s="7">
        <v>0</v>
      </c>
      <c r="J657" s="17">
        <v>55</v>
      </c>
      <c r="K657" s="17"/>
      <c r="L657" s="7">
        <f t="shared" si="266"/>
        <v>55</v>
      </c>
      <c r="M657" s="8">
        <v>1</v>
      </c>
      <c r="N657" s="8">
        <f t="shared" si="267"/>
        <v>1</v>
      </c>
      <c r="O657" s="11" t="s">
        <v>1702</v>
      </c>
      <c r="P657" s="16" t="str">
        <f t="shared" si="268"/>
        <v>20-May-1916</v>
      </c>
      <c r="R657" s="16" t="str">
        <f t="shared" si="269"/>
        <v>x</v>
      </c>
      <c r="S657" s="16" t="str">
        <f t="shared" si="269"/>
        <v>x</v>
      </c>
      <c r="U657" s="46" t="str">
        <f t="shared" si="270"/>
        <v/>
      </c>
      <c r="V657" s="46">
        <f t="shared" si="270"/>
        <v>55</v>
      </c>
      <c r="W657" s="46" t="str">
        <f t="shared" si="270"/>
        <v/>
      </c>
      <c r="X657" s="46" t="str">
        <f t="shared" si="270"/>
        <v/>
      </c>
    </row>
    <row r="658" spans="2:24" x14ac:dyDescent="0.25">
      <c r="B658" s="11" t="str">
        <f t="shared" si="265"/>
        <v>BYRN-04AUG1916</v>
      </c>
      <c r="C658" s="11" t="s">
        <v>3715</v>
      </c>
      <c r="D658" s="11" t="s">
        <v>4494</v>
      </c>
      <c r="E658" s="39" t="s">
        <v>4602</v>
      </c>
      <c r="F658" s="11" t="s">
        <v>1700</v>
      </c>
      <c r="G658" s="39" t="s">
        <v>4603</v>
      </c>
      <c r="H658" s="7">
        <v>0</v>
      </c>
      <c r="J658" s="17">
        <v>17</v>
      </c>
      <c r="K658" s="17"/>
      <c r="L658" s="7">
        <f t="shared" si="266"/>
        <v>17</v>
      </c>
      <c r="M658" s="8">
        <v>1</v>
      </c>
      <c r="N658" s="8">
        <f t="shared" si="267"/>
        <v>1</v>
      </c>
      <c r="O658" s="11" t="s">
        <v>1702</v>
      </c>
      <c r="P658" s="16" t="str">
        <f t="shared" si="268"/>
        <v>04-Aug-1916</v>
      </c>
      <c r="R658" s="16" t="str">
        <f t="shared" si="269"/>
        <v>x</v>
      </c>
      <c r="S658" s="16" t="str">
        <f t="shared" si="269"/>
        <v>x</v>
      </c>
      <c r="U658" s="46" t="str">
        <f t="shared" ref="U658:X661" si="271">IF($O658=U$5,$L658,"")</f>
        <v/>
      </c>
      <c r="V658" s="46">
        <f t="shared" si="271"/>
        <v>17</v>
      </c>
      <c r="W658" s="46" t="str">
        <f t="shared" si="271"/>
        <v/>
      </c>
      <c r="X658" s="46" t="str">
        <f t="shared" si="271"/>
        <v/>
      </c>
    </row>
    <row r="659" spans="2:24" x14ac:dyDescent="0.25">
      <c r="B659" s="11" t="str">
        <f t="shared" si="265"/>
        <v>BYRN-13OCT1916</v>
      </c>
      <c r="C659" s="11" t="s">
        <v>3715</v>
      </c>
      <c r="D659" s="11" t="s">
        <v>4494</v>
      </c>
      <c r="E659" s="39" t="s">
        <v>4633</v>
      </c>
      <c r="F659" s="11" t="s">
        <v>1700</v>
      </c>
      <c r="G659" s="39" t="s">
        <v>4634</v>
      </c>
      <c r="H659" s="7">
        <v>0</v>
      </c>
      <c r="J659" s="17">
        <v>7</v>
      </c>
      <c r="K659" s="17"/>
      <c r="L659" s="7">
        <f t="shared" si="266"/>
        <v>7</v>
      </c>
      <c r="M659" s="8">
        <v>1</v>
      </c>
      <c r="N659" s="8">
        <f t="shared" si="267"/>
        <v>1</v>
      </c>
      <c r="O659" s="11" t="s">
        <v>1702</v>
      </c>
      <c r="P659" s="16" t="str">
        <f t="shared" si="268"/>
        <v>13-Oct-1916</v>
      </c>
      <c r="R659" s="16" t="str">
        <f t="shared" si="269"/>
        <v>x</v>
      </c>
      <c r="S659" s="16" t="str">
        <f t="shared" si="269"/>
        <v>x</v>
      </c>
      <c r="U659" s="46" t="str">
        <f t="shared" si="271"/>
        <v/>
      </c>
      <c r="V659" s="46">
        <f t="shared" si="271"/>
        <v>7</v>
      </c>
      <c r="W659" s="46" t="str">
        <f t="shared" si="271"/>
        <v/>
      </c>
      <c r="X659" s="46" t="str">
        <f t="shared" si="271"/>
        <v/>
      </c>
    </row>
    <row r="660" spans="2:24" x14ac:dyDescent="0.25">
      <c r="B660" s="11" t="str">
        <f t="shared" si="265"/>
        <v>BYRN-13OCT1916</v>
      </c>
      <c r="C660" s="11" t="s">
        <v>3715</v>
      </c>
      <c r="D660" s="11" t="s">
        <v>4635</v>
      </c>
      <c r="E660" s="39" t="s">
        <v>4636</v>
      </c>
      <c r="F660" s="11" t="s">
        <v>1700</v>
      </c>
      <c r="G660" s="39" t="s">
        <v>4634</v>
      </c>
      <c r="H660" s="7">
        <v>0</v>
      </c>
      <c r="J660" s="17">
        <v>9</v>
      </c>
      <c r="K660" s="17"/>
      <c r="L660" s="7">
        <f t="shared" si="266"/>
        <v>9</v>
      </c>
      <c r="M660" s="8">
        <v>1</v>
      </c>
      <c r="N660" s="8">
        <f t="shared" si="267"/>
        <v>1</v>
      </c>
      <c r="O660" s="11" t="s">
        <v>1702</v>
      </c>
      <c r="P660" s="16" t="str">
        <f t="shared" si="268"/>
        <v>13-Oct-1916</v>
      </c>
      <c r="R660" s="16" t="str">
        <f t="shared" si="269"/>
        <v>x</v>
      </c>
      <c r="S660" s="16" t="str">
        <f t="shared" si="269"/>
        <v>x</v>
      </c>
      <c r="U660" s="46" t="str">
        <f t="shared" si="271"/>
        <v/>
      </c>
      <c r="V660" s="46">
        <f t="shared" si="271"/>
        <v>9</v>
      </c>
      <c r="W660" s="46" t="str">
        <f t="shared" si="271"/>
        <v/>
      </c>
      <c r="X660" s="46" t="str">
        <f t="shared" si="271"/>
        <v/>
      </c>
    </row>
    <row r="661" spans="2:24" x14ac:dyDescent="0.25">
      <c r="B661" s="11" t="str">
        <f>CONCATENATE("BYRN","-",LEFT(P661,2),UPPER(MID(P661,4,3)),RIGHT(P661,4))</f>
        <v>BYRN-21MAR1917</v>
      </c>
      <c r="C661" s="11" t="s">
        <v>3715</v>
      </c>
      <c r="D661" s="11" t="s">
        <v>4494</v>
      </c>
      <c r="E661" s="39" t="s">
        <v>4851</v>
      </c>
      <c r="F661" s="11" t="s">
        <v>1700</v>
      </c>
      <c r="G661" s="39" t="s">
        <v>4852</v>
      </c>
      <c r="H661" s="7">
        <v>0</v>
      </c>
      <c r="J661" s="17">
        <v>13</v>
      </c>
      <c r="K661" s="17"/>
      <c r="L661" s="7">
        <f>SUM(H661:K661)</f>
        <v>13</v>
      </c>
      <c r="M661" s="8">
        <v>1</v>
      </c>
      <c r="N661" s="8">
        <f>IF(L661&gt;0,1,"")</f>
        <v>1</v>
      </c>
      <c r="O661" s="11" t="s">
        <v>1702</v>
      </c>
      <c r="P661" s="16" t="str">
        <f>IF(LEN(G661)=10,CONCATENATE("0",G661),G661)</f>
        <v>21-Mar-1917</v>
      </c>
      <c r="R661" s="16" t="str">
        <f t="shared" si="269"/>
        <v>x</v>
      </c>
      <c r="S661" s="16" t="str">
        <f t="shared" si="269"/>
        <v>x</v>
      </c>
      <c r="U661" s="46" t="str">
        <f t="shared" si="271"/>
        <v/>
      </c>
      <c r="V661" s="46">
        <f t="shared" si="271"/>
        <v>13</v>
      </c>
      <c r="W661" s="46" t="str">
        <f t="shared" si="271"/>
        <v/>
      </c>
      <c r="X661" s="46" t="str">
        <f t="shared" si="271"/>
        <v/>
      </c>
    </row>
    <row r="662" spans="2:24" x14ac:dyDescent="0.25">
      <c r="B662" s="11" t="str">
        <f>CONCATENATE("BYRN","-",LEFT(P662,2),UPPER(MID(P662,4,3)),RIGHT(P662,4))</f>
        <v>BYRN-01SEP1923</v>
      </c>
      <c r="C662" s="11" t="s">
        <v>3715</v>
      </c>
      <c r="D662" s="11" t="s">
        <v>2994</v>
      </c>
      <c r="E662" s="39" t="s">
        <v>6115</v>
      </c>
      <c r="F662" s="11" t="s">
        <v>1700</v>
      </c>
      <c r="G662" s="39" t="s">
        <v>1168</v>
      </c>
      <c r="H662" s="7">
        <v>0</v>
      </c>
      <c r="I662" s="7">
        <v>3</v>
      </c>
      <c r="J662" s="17">
        <v>10</v>
      </c>
      <c r="K662" s="17"/>
      <c r="L662" s="7">
        <f>SUM(H662:K662)</f>
        <v>13</v>
      </c>
      <c r="M662" s="8">
        <v>1</v>
      </c>
      <c r="N662" s="8">
        <f>IF(L662&gt;0,1,"")</f>
        <v>1</v>
      </c>
      <c r="O662" s="11" t="s">
        <v>1702</v>
      </c>
      <c r="P662" s="16" t="str">
        <f>IF(LEN(G662)=10,CONCATENATE("0",G662),G662)</f>
        <v>01-Sep-1923</v>
      </c>
      <c r="R662" s="16" t="str">
        <f t="shared" si="269"/>
        <v>x</v>
      </c>
      <c r="S662" s="16" t="str">
        <f t="shared" si="269"/>
        <v>x</v>
      </c>
      <c r="U662" s="46" t="str">
        <f t="shared" ref="U662:X664" si="272">IF($O662=U$5,$L662,"")</f>
        <v/>
      </c>
      <c r="V662" s="46">
        <f t="shared" si="272"/>
        <v>13</v>
      </c>
      <c r="W662" s="46" t="str">
        <f t="shared" si="272"/>
        <v/>
      </c>
      <c r="X662" s="46" t="str">
        <f t="shared" si="272"/>
        <v/>
      </c>
    </row>
    <row r="663" spans="2:24" x14ac:dyDescent="0.25">
      <c r="B663" s="11" t="str">
        <f>CONCATENATE("BYRN","-",LEFT(P663,2),UPPER(MID(P663,4,3)),RIGHT(P663,4))</f>
        <v>BYRN-01SEP1923</v>
      </c>
      <c r="C663" s="11" t="s">
        <v>3715</v>
      </c>
      <c r="D663" s="11" t="s">
        <v>2985</v>
      </c>
      <c r="E663" s="39" t="s">
        <v>4238</v>
      </c>
      <c r="F663" s="11" t="s">
        <v>1700</v>
      </c>
      <c r="G663" s="39" t="s">
        <v>1168</v>
      </c>
      <c r="H663" s="7">
        <v>0</v>
      </c>
      <c r="I663" s="7">
        <v>9</v>
      </c>
      <c r="J663" s="17">
        <f>5+1</f>
        <v>6</v>
      </c>
      <c r="K663" s="17"/>
      <c r="L663" s="7">
        <f>SUM(H663:K663)</f>
        <v>15</v>
      </c>
      <c r="M663" s="8">
        <v>1</v>
      </c>
      <c r="N663" s="8">
        <f>IF(L663&gt;0,1,"")</f>
        <v>1</v>
      </c>
      <c r="O663" s="11" t="s">
        <v>1702</v>
      </c>
      <c r="P663" s="16" t="str">
        <f>IF(LEN(G663)=10,CONCATENATE("0",G663),G663)</f>
        <v>01-Sep-1923</v>
      </c>
      <c r="R663" s="16" t="str">
        <f t="shared" si="269"/>
        <v>x</v>
      </c>
      <c r="S663" s="16" t="str">
        <f t="shared" si="269"/>
        <v>x</v>
      </c>
      <c r="U663" s="46" t="str">
        <f t="shared" si="272"/>
        <v/>
      </c>
      <c r="V663" s="46">
        <f t="shared" si="272"/>
        <v>15</v>
      </c>
      <c r="W663" s="46" t="str">
        <f t="shared" si="272"/>
        <v/>
      </c>
      <c r="X663" s="46" t="str">
        <f t="shared" si="272"/>
        <v/>
      </c>
    </row>
    <row r="664" spans="2:24" x14ac:dyDescent="0.25">
      <c r="B664" s="11" t="str">
        <f t="shared" si="265"/>
        <v>BYRN-01SEP1923</v>
      </c>
      <c r="C664" s="11" t="s">
        <v>3715</v>
      </c>
      <c r="D664" s="11" t="s">
        <v>2808</v>
      </c>
      <c r="E664" s="39" t="s">
        <v>4200</v>
      </c>
      <c r="F664" s="11" t="s">
        <v>1700</v>
      </c>
      <c r="G664" s="39" t="s">
        <v>1168</v>
      </c>
      <c r="H664" s="7">
        <v>0</v>
      </c>
      <c r="I664" s="7">
        <f>28</f>
        <v>28</v>
      </c>
      <c r="J664" s="17">
        <f>70+2</f>
        <v>72</v>
      </c>
      <c r="K664" s="17"/>
      <c r="L664" s="7">
        <f t="shared" si="266"/>
        <v>100</v>
      </c>
      <c r="M664" s="8">
        <v>1</v>
      </c>
      <c r="N664" s="8">
        <f t="shared" si="267"/>
        <v>1</v>
      </c>
      <c r="O664" s="11" t="s">
        <v>1702</v>
      </c>
      <c r="P664" s="16" t="str">
        <f t="shared" si="268"/>
        <v>01-Sep-1923</v>
      </c>
      <c r="R664" s="16" t="str">
        <f t="shared" si="269"/>
        <v>x</v>
      </c>
      <c r="S664" s="16" t="str">
        <f t="shared" si="269"/>
        <v>x</v>
      </c>
      <c r="U664" s="46" t="str">
        <f t="shared" si="272"/>
        <v/>
      </c>
      <c r="V664" s="46">
        <f t="shared" si="272"/>
        <v>100</v>
      </c>
      <c r="W664" s="46" t="str">
        <f t="shared" si="272"/>
        <v/>
      </c>
      <c r="X664" s="46" t="str">
        <f t="shared" si="272"/>
        <v/>
      </c>
    </row>
    <row r="665" spans="2:24" x14ac:dyDescent="0.25">
      <c r="B665" s="11" t="str">
        <f t="shared" si="265"/>
        <v>BYRN-01NOV1923</v>
      </c>
      <c r="C665" s="11" t="s">
        <v>3715</v>
      </c>
      <c r="D665" s="11" t="s">
        <v>2808</v>
      </c>
      <c r="E665" s="39" t="s">
        <v>3717</v>
      </c>
      <c r="F665" s="11" t="s">
        <v>1700</v>
      </c>
      <c r="G665" s="39" t="s">
        <v>3716</v>
      </c>
      <c r="I665" s="7">
        <v>23</v>
      </c>
      <c r="J665" s="17">
        <f>17+3</f>
        <v>20</v>
      </c>
      <c r="K665" s="17"/>
      <c r="L665" s="7">
        <f t="shared" si="266"/>
        <v>43</v>
      </c>
      <c r="M665" s="8">
        <v>1</v>
      </c>
      <c r="N665" s="8">
        <f t="shared" si="267"/>
        <v>1</v>
      </c>
      <c r="O665" s="11" t="s">
        <v>1702</v>
      </c>
      <c r="P665" s="16" t="str">
        <f t="shared" si="268"/>
        <v>01-Nov-1923</v>
      </c>
      <c r="R665" s="16" t="str">
        <f t="shared" ref="R665:S673" si="273">IF($L665&gt;0,"x","")</f>
        <v>x</v>
      </c>
      <c r="S665" s="16" t="str">
        <f t="shared" si="273"/>
        <v>x</v>
      </c>
      <c r="U665" s="46" t="str">
        <f t="shared" si="257"/>
        <v/>
      </c>
      <c r="V665" s="46">
        <f t="shared" si="257"/>
        <v>43</v>
      </c>
      <c r="W665" s="46" t="str">
        <f t="shared" si="257"/>
        <v/>
      </c>
      <c r="X665" s="46" t="str">
        <f t="shared" si="257"/>
        <v/>
      </c>
    </row>
    <row r="666" spans="2:24" x14ac:dyDescent="0.25">
      <c r="B666" s="11" t="str">
        <f t="shared" si="265"/>
        <v>BYRN-26AUG1924</v>
      </c>
      <c r="C666" s="11" t="s">
        <v>3715</v>
      </c>
      <c r="D666" s="11" t="s">
        <v>847</v>
      </c>
      <c r="E666" s="39" t="s">
        <v>5828</v>
      </c>
      <c r="F666" s="11" t="s">
        <v>1700</v>
      </c>
      <c r="G666" s="39" t="s">
        <v>5829</v>
      </c>
      <c r="H666" s="7">
        <v>0</v>
      </c>
      <c r="I666" s="7">
        <v>0</v>
      </c>
      <c r="J666" s="17">
        <f>1+1</f>
        <v>2</v>
      </c>
      <c r="K666" s="17"/>
      <c r="L666" s="7">
        <f t="shared" si="266"/>
        <v>2</v>
      </c>
      <c r="M666" s="8">
        <v>1</v>
      </c>
      <c r="N666" s="8">
        <f t="shared" si="267"/>
        <v>1</v>
      </c>
      <c r="O666" s="11" t="s">
        <v>1702</v>
      </c>
      <c r="P666" s="16" t="str">
        <f t="shared" si="268"/>
        <v>26-Aug-1924</v>
      </c>
      <c r="R666" s="16" t="str">
        <f t="shared" si="273"/>
        <v>x</v>
      </c>
      <c r="S666" s="16" t="str">
        <f t="shared" si="273"/>
        <v>x</v>
      </c>
      <c r="U666" s="46" t="str">
        <f t="shared" ref="U666:X673" si="274">IF($O666=U$5,$L666,"")</f>
        <v/>
      </c>
      <c r="V666" s="46">
        <f t="shared" si="274"/>
        <v>2</v>
      </c>
      <c r="W666" s="46" t="str">
        <f t="shared" si="274"/>
        <v/>
      </c>
      <c r="X666" s="46" t="str">
        <f t="shared" si="274"/>
        <v/>
      </c>
    </row>
    <row r="667" spans="2:24" x14ac:dyDescent="0.25">
      <c r="B667" s="11" t="str">
        <f>CONCATENATE("BYRN","-",LEFT(P667,2),UPPER(MID(P667,4,3)),RIGHT(P667,4))</f>
        <v>BYRN-25NOV1924</v>
      </c>
      <c r="C667" s="11" t="s">
        <v>3715</v>
      </c>
      <c r="D667" s="11" t="s">
        <v>847</v>
      </c>
      <c r="E667" s="39" t="s">
        <v>5827</v>
      </c>
      <c r="F667" s="11" t="s">
        <v>1700</v>
      </c>
      <c r="G667" s="39" t="s">
        <v>4437</v>
      </c>
      <c r="H667" s="7">
        <v>0</v>
      </c>
      <c r="I667" s="7">
        <v>1</v>
      </c>
      <c r="J667" s="17">
        <v>5</v>
      </c>
      <c r="K667" s="17"/>
      <c r="L667" s="7">
        <f>SUM(H667:K667)</f>
        <v>6</v>
      </c>
      <c r="M667" s="8">
        <v>1</v>
      </c>
      <c r="N667" s="8">
        <f>IF(L667&gt;0,1,"")</f>
        <v>1</v>
      </c>
      <c r="O667" s="11" t="s">
        <v>1702</v>
      </c>
      <c r="P667" s="16" t="str">
        <f>IF(LEN(G667)=10,CONCATENATE("0",G667),G667)</f>
        <v>25-Nov-1924</v>
      </c>
      <c r="R667" s="16" t="str">
        <f t="shared" si="273"/>
        <v>x</v>
      </c>
      <c r="S667" s="16" t="str">
        <f t="shared" si="273"/>
        <v>x</v>
      </c>
      <c r="U667" s="46" t="str">
        <f t="shared" si="274"/>
        <v/>
      </c>
      <c r="V667" s="46">
        <f t="shared" si="274"/>
        <v>6</v>
      </c>
      <c r="W667" s="46" t="str">
        <f t="shared" si="274"/>
        <v/>
      </c>
      <c r="X667" s="46" t="str">
        <f t="shared" si="274"/>
        <v/>
      </c>
    </row>
    <row r="668" spans="2:24" x14ac:dyDescent="0.25">
      <c r="B668" s="11" t="str">
        <f>CONCATENATE("BYRN","-",LEFT(P668,2),UPPER(MID(P668,4,3)),RIGHT(P668,4))</f>
        <v>BYRN-07AUG1926</v>
      </c>
      <c r="C668" s="11" t="s">
        <v>3715</v>
      </c>
      <c r="D668" s="11" t="s">
        <v>847</v>
      </c>
      <c r="E668" s="39" t="s">
        <v>11224</v>
      </c>
      <c r="F668" s="11" t="s">
        <v>1700</v>
      </c>
      <c r="G668" s="39" t="s">
        <v>11225</v>
      </c>
      <c r="H668" s="7">
        <f>1+1</f>
        <v>2</v>
      </c>
      <c r="I668" s="7">
        <f>1+1</f>
        <v>2</v>
      </c>
      <c r="J668" s="17">
        <v>0</v>
      </c>
      <c r="K668" s="17"/>
      <c r="L668" s="7">
        <f>SUM(H668:K668)</f>
        <v>4</v>
      </c>
      <c r="M668" s="8">
        <v>1</v>
      </c>
      <c r="N668" s="8">
        <f>IF(L668&gt;0,1,"")</f>
        <v>1</v>
      </c>
      <c r="O668" s="11" t="s">
        <v>1702</v>
      </c>
      <c r="P668" s="16" t="str">
        <f>IF(LEN(G668)=10,CONCATENATE("0",G668),G668)</f>
        <v>07-Aug-1926</v>
      </c>
      <c r="R668" s="16" t="str">
        <f t="shared" si="273"/>
        <v>x</v>
      </c>
      <c r="S668" s="16" t="str">
        <f t="shared" si="273"/>
        <v>x</v>
      </c>
      <c r="U668" s="46" t="str">
        <f t="shared" si="274"/>
        <v/>
      </c>
      <c r="V668" s="46">
        <f t="shared" si="274"/>
        <v>4</v>
      </c>
      <c r="W668" s="46" t="str">
        <f t="shared" si="274"/>
        <v/>
      </c>
      <c r="X668" s="46" t="str">
        <f t="shared" si="274"/>
        <v/>
      </c>
    </row>
    <row r="669" spans="2:24" x14ac:dyDescent="0.25">
      <c r="B669" s="11" t="str">
        <f t="shared" si="265"/>
        <v>BYRN-18JUN1928</v>
      </c>
      <c r="C669" s="11" t="s">
        <v>3715</v>
      </c>
      <c r="D669" s="11" t="s">
        <v>3056</v>
      </c>
      <c r="E669" s="39" t="s">
        <v>5754</v>
      </c>
      <c r="F669" s="11" t="s">
        <v>1700</v>
      </c>
      <c r="G669" s="39" t="s">
        <v>5755</v>
      </c>
      <c r="H669" s="7">
        <v>0</v>
      </c>
      <c r="I669" s="7">
        <v>2</v>
      </c>
      <c r="J669" s="17">
        <f>3+1</f>
        <v>4</v>
      </c>
      <c r="K669" s="17"/>
      <c r="L669" s="7">
        <f t="shared" si="266"/>
        <v>6</v>
      </c>
      <c r="M669" s="8">
        <v>1</v>
      </c>
      <c r="N669" s="8">
        <f t="shared" si="267"/>
        <v>1</v>
      </c>
      <c r="O669" s="11" t="s">
        <v>1702</v>
      </c>
      <c r="P669" s="16" t="str">
        <f t="shared" si="268"/>
        <v>18-Jun-1928</v>
      </c>
      <c r="R669" s="16" t="str">
        <f t="shared" si="273"/>
        <v>x</v>
      </c>
      <c r="S669" s="16" t="str">
        <f t="shared" si="273"/>
        <v>x</v>
      </c>
      <c r="U669" s="46" t="str">
        <f t="shared" si="274"/>
        <v/>
      </c>
      <c r="V669" s="46">
        <f t="shared" si="274"/>
        <v>6</v>
      </c>
      <c r="W669" s="46" t="str">
        <f t="shared" si="274"/>
        <v/>
      </c>
      <c r="X669" s="46" t="str">
        <f t="shared" si="274"/>
        <v/>
      </c>
    </row>
    <row r="670" spans="2:24" x14ac:dyDescent="0.25">
      <c r="B670" s="11" t="str">
        <f>CONCATENATE("BYRN","-",LEFT(P670,2),UPPER(MID(P670,4,3)),RIGHT(P670,4))</f>
        <v>BYRN-12NOV1929</v>
      </c>
      <c r="C670" s="11" t="s">
        <v>3715</v>
      </c>
      <c r="D670" s="11" t="s">
        <v>1906</v>
      </c>
      <c r="E670" s="39" t="s">
        <v>4984</v>
      </c>
      <c r="F670" s="11" t="s">
        <v>1700</v>
      </c>
      <c r="G670" s="39" t="s">
        <v>4985</v>
      </c>
      <c r="I670" s="7">
        <v>2</v>
      </c>
      <c r="J670" s="17">
        <v>0</v>
      </c>
      <c r="K670" s="17"/>
      <c r="L670" s="7">
        <f>SUM(H670:K670)</f>
        <v>2</v>
      </c>
      <c r="M670" s="8">
        <v>1</v>
      </c>
      <c r="N670" s="8">
        <f>IF(L670&gt;0,1,"")</f>
        <v>1</v>
      </c>
      <c r="O670" s="11" t="s">
        <v>1702</v>
      </c>
      <c r="P670" s="16" t="str">
        <f>IF(LEN(G670)=10,CONCATENATE("0",G670),G670)</f>
        <v>12-Nov-1929</v>
      </c>
      <c r="R670" s="16" t="str">
        <f t="shared" si="273"/>
        <v>x</v>
      </c>
      <c r="S670" s="16" t="str">
        <f t="shared" si="273"/>
        <v>x</v>
      </c>
      <c r="U670" s="46" t="str">
        <f t="shared" si="274"/>
        <v/>
      </c>
      <c r="V670" s="46">
        <f t="shared" si="274"/>
        <v>2</v>
      </c>
      <c r="W670" s="46" t="str">
        <f t="shared" si="274"/>
        <v/>
      </c>
      <c r="X670" s="46" t="str">
        <f t="shared" si="274"/>
        <v/>
      </c>
    </row>
    <row r="671" spans="2:24" x14ac:dyDescent="0.25">
      <c r="B671" s="11" t="str">
        <f>CONCATENATE("BYRN","-",LEFT(P671,2),UPPER(MID(P671,4,3)),RIGHT(P671,4))</f>
        <v>BYRN-04NOV1931</v>
      </c>
      <c r="C671" s="11" t="s">
        <v>3715</v>
      </c>
      <c r="D671" s="11" t="s">
        <v>3056</v>
      </c>
      <c r="E671" s="39" t="s">
        <v>5629</v>
      </c>
      <c r="F671" s="11" t="s">
        <v>1700</v>
      </c>
      <c r="G671" s="39" t="s">
        <v>5630</v>
      </c>
      <c r="H671" s="7">
        <v>2</v>
      </c>
      <c r="I671" s="7">
        <f>10+1</f>
        <v>11</v>
      </c>
      <c r="J671" s="17">
        <v>6</v>
      </c>
      <c r="K671" s="17"/>
      <c r="L671" s="7">
        <f>SUM(H671:K671)</f>
        <v>19</v>
      </c>
      <c r="M671" s="8">
        <v>1</v>
      </c>
      <c r="N671" s="8">
        <f>IF(L671&gt;0,1,"")</f>
        <v>1</v>
      </c>
      <c r="O671" s="11" t="s">
        <v>1702</v>
      </c>
      <c r="P671" s="16" t="str">
        <f>IF(LEN(G671)=10,CONCATENATE("0",G671),G671)</f>
        <v>04-Nov-1931</v>
      </c>
      <c r="R671" s="16" t="str">
        <f t="shared" si="273"/>
        <v>x</v>
      </c>
      <c r="S671" s="16" t="str">
        <f t="shared" si="273"/>
        <v>x</v>
      </c>
      <c r="U671" s="46" t="str">
        <f t="shared" si="274"/>
        <v/>
      </c>
      <c r="V671" s="46">
        <f t="shared" si="274"/>
        <v>19</v>
      </c>
      <c r="W671" s="46" t="str">
        <f t="shared" si="274"/>
        <v/>
      </c>
      <c r="X671" s="46" t="str">
        <f t="shared" si="274"/>
        <v/>
      </c>
    </row>
    <row r="672" spans="2:24" x14ac:dyDescent="0.25">
      <c r="B672" s="11" t="str">
        <f>CONCATENATE("BYRN","-",LEFT(P672,2),UPPER(MID(P672,4,3)),RIGHT(P672,4))</f>
        <v>BYRN-07OCT1932</v>
      </c>
      <c r="C672" s="11" t="s">
        <v>3715</v>
      </c>
      <c r="D672" s="11" t="s">
        <v>847</v>
      </c>
      <c r="E672" s="39" t="s">
        <v>4626</v>
      </c>
      <c r="F672" s="11" t="s">
        <v>1700</v>
      </c>
      <c r="G672" s="39" t="s">
        <v>4627</v>
      </c>
      <c r="H672" s="7">
        <v>1</v>
      </c>
      <c r="I672" s="7">
        <v>7</v>
      </c>
      <c r="J672" s="17">
        <f>3+1</f>
        <v>4</v>
      </c>
      <c r="K672" s="17"/>
      <c r="L672" s="7">
        <f>SUM(H672:K672)</f>
        <v>12</v>
      </c>
      <c r="M672" s="8">
        <v>1</v>
      </c>
      <c r="N672" s="8">
        <f>IF(L672&gt;0,1,"")</f>
        <v>1</v>
      </c>
      <c r="O672" s="11" t="s">
        <v>1702</v>
      </c>
      <c r="P672" s="16" t="str">
        <f>IF(LEN(G672)=10,CONCATENATE("0",G672),G672)</f>
        <v>07-Oct-1932</v>
      </c>
      <c r="R672" s="16" t="str">
        <f t="shared" si="273"/>
        <v>x</v>
      </c>
      <c r="S672" s="16" t="str">
        <f t="shared" si="273"/>
        <v>x</v>
      </c>
      <c r="U672" s="46" t="str">
        <f t="shared" si="274"/>
        <v/>
      </c>
      <c r="V672" s="46">
        <f t="shared" si="274"/>
        <v>12</v>
      </c>
      <c r="W672" s="46" t="str">
        <f t="shared" si="274"/>
        <v/>
      </c>
      <c r="X672" s="46" t="str">
        <f t="shared" si="274"/>
        <v/>
      </c>
    </row>
    <row r="673" spans="2:24" x14ac:dyDescent="0.25">
      <c r="B673" s="11" t="str">
        <f t="shared" si="265"/>
        <v>BYRN-14JUL1933</v>
      </c>
      <c r="C673" s="11" t="s">
        <v>3715</v>
      </c>
      <c r="D673" s="11" t="s">
        <v>847</v>
      </c>
      <c r="E673" s="39" t="s">
        <v>11164</v>
      </c>
      <c r="F673" s="11" t="s">
        <v>1700</v>
      </c>
      <c r="G673" s="39" t="s">
        <v>11165</v>
      </c>
      <c r="H673" s="7">
        <v>0</v>
      </c>
      <c r="I673" s="7">
        <v>1</v>
      </c>
      <c r="J673" s="17">
        <f>1+6</f>
        <v>7</v>
      </c>
      <c r="K673" s="17"/>
      <c r="L673" s="7">
        <f t="shared" si="266"/>
        <v>8</v>
      </c>
      <c r="M673" s="8">
        <v>1</v>
      </c>
      <c r="N673" s="8">
        <f t="shared" si="267"/>
        <v>1</v>
      </c>
      <c r="O673" s="11" t="s">
        <v>1702</v>
      </c>
      <c r="P673" s="16" t="str">
        <f t="shared" si="268"/>
        <v>14-Jul-1933</v>
      </c>
      <c r="R673" s="16" t="str">
        <f t="shared" si="273"/>
        <v>x</v>
      </c>
      <c r="S673" s="16" t="str">
        <f t="shared" si="273"/>
        <v>x</v>
      </c>
      <c r="U673" s="46" t="str">
        <f t="shared" si="274"/>
        <v/>
      </c>
      <c r="V673" s="46">
        <f t="shared" si="274"/>
        <v>8</v>
      </c>
      <c r="W673" s="46" t="str">
        <f t="shared" si="274"/>
        <v/>
      </c>
      <c r="X673" s="46" t="str">
        <f t="shared" si="274"/>
        <v/>
      </c>
    </row>
    <row r="674" spans="2:24" x14ac:dyDescent="0.25">
      <c r="N674" s="8" t="str">
        <f>IF(R674="x",1,"")</f>
        <v/>
      </c>
      <c r="U674" s="46" t="str">
        <f t="shared" si="257"/>
        <v/>
      </c>
      <c r="V674" s="46" t="str">
        <f t="shared" si="257"/>
        <v/>
      </c>
      <c r="W674" s="46" t="str">
        <f t="shared" si="257"/>
        <v/>
      </c>
      <c r="X674" s="46" t="str">
        <f t="shared" si="257"/>
        <v/>
      </c>
    </row>
    <row r="675" spans="2:24" x14ac:dyDescent="0.25">
      <c r="B675" s="18"/>
      <c r="C675" s="18"/>
      <c r="D675" s="18"/>
      <c r="E675" s="40"/>
      <c r="F675" s="18"/>
      <c r="G675" s="40"/>
      <c r="H675" s="7">
        <f t="shared" ref="H675:N675" si="275">SUM(H654:H674)</f>
        <v>5</v>
      </c>
      <c r="I675" s="7">
        <f t="shared" si="275"/>
        <v>89</v>
      </c>
      <c r="J675" s="7">
        <f>SUM(J654:J674)</f>
        <v>260</v>
      </c>
      <c r="K675" s="7">
        <f t="shared" si="275"/>
        <v>0</v>
      </c>
      <c r="L675" s="7">
        <f t="shared" si="275"/>
        <v>354</v>
      </c>
      <c r="M675" s="7">
        <f t="shared" si="275"/>
        <v>20</v>
      </c>
      <c r="N675" s="7">
        <f t="shared" si="275"/>
        <v>20</v>
      </c>
      <c r="O675" s="18"/>
      <c r="P675" s="13"/>
      <c r="Q675" s="13"/>
      <c r="S675" s="13"/>
      <c r="T675" s="15"/>
      <c r="U675" s="46" t="str">
        <f t="shared" si="257"/>
        <v/>
      </c>
      <c r="V675" s="46" t="str">
        <f t="shared" si="257"/>
        <v/>
      </c>
      <c r="W675" s="46" t="str">
        <f t="shared" si="257"/>
        <v/>
      </c>
      <c r="X675" s="46" t="str">
        <f t="shared" si="257"/>
        <v/>
      </c>
    </row>
    <row r="676" spans="2:24" x14ac:dyDescent="0.25">
      <c r="B676" s="18"/>
      <c r="C676" s="18"/>
      <c r="D676" s="18"/>
      <c r="E676" s="40"/>
      <c r="F676" s="18"/>
      <c r="G676" s="40"/>
      <c r="N676" s="8" t="str">
        <f>IF(R676="x",1,"")</f>
        <v/>
      </c>
      <c r="O676" s="18"/>
      <c r="P676" s="13"/>
      <c r="Q676" s="13"/>
      <c r="R676" s="13"/>
      <c r="S676" s="13"/>
      <c r="T676" s="15"/>
      <c r="U676" s="46" t="str">
        <f t="shared" si="257"/>
        <v/>
      </c>
      <c r="V676" s="46" t="str">
        <f t="shared" si="257"/>
        <v/>
      </c>
      <c r="W676" s="46" t="str">
        <f t="shared" si="257"/>
        <v/>
      </c>
      <c r="X676" s="46" t="str">
        <f t="shared" si="257"/>
        <v/>
      </c>
    </row>
    <row r="677" spans="2:24" x14ac:dyDescent="0.25">
      <c r="B677" s="18"/>
      <c r="C677" s="18"/>
      <c r="D677" s="18"/>
      <c r="E677" s="40"/>
      <c r="F677" s="18"/>
      <c r="G677" s="40"/>
      <c r="N677" s="8" t="str">
        <f>IF(R677="x",1,"")</f>
        <v/>
      </c>
      <c r="O677" s="18"/>
      <c r="P677" s="13"/>
      <c r="Q677" s="13"/>
      <c r="R677" s="13"/>
      <c r="S677" s="13"/>
      <c r="T677" s="15"/>
      <c r="U677" s="46" t="str">
        <f t="shared" si="257"/>
        <v/>
      </c>
      <c r="V677" s="46" t="str">
        <f t="shared" si="257"/>
        <v/>
      </c>
      <c r="W677" s="46" t="str">
        <f t="shared" si="257"/>
        <v/>
      </c>
      <c r="X677" s="46" t="str">
        <f t="shared" si="257"/>
        <v/>
      </c>
    </row>
    <row r="678" spans="2:24" x14ac:dyDescent="0.25">
      <c r="B678" s="18"/>
      <c r="C678" s="18"/>
      <c r="D678" s="18"/>
      <c r="E678" s="40"/>
      <c r="F678" s="18"/>
      <c r="G678" s="40"/>
      <c r="N678" s="8" t="str">
        <f>IF(R678="x",1,"")</f>
        <v/>
      </c>
      <c r="O678" s="18"/>
      <c r="P678" s="13"/>
      <c r="Q678" s="13"/>
      <c r="R678" s="13"/>
      <c r="S678" s="13"/>
      <c r="T678" s="15"/>
      <c r="U678" s="46" t="str">
        <f t="shared" si="257"/>
        <v/>
      </c>
      <c r="V678" s="46" t="str">
        <f t="shared" si="257"/>
        <v/>
      </c>
      <c r="W678" s="46" t="str">
        <f t="shared" si="257"/>
        <v/>
      </c>
      <c r="X678" s="46" t="str">
        <f t="shared" si="257"/>
        <v/>
      </c>
    </row>
    <row r="679" spans="2:24" x14ac:dyDescent="0.25">
      <c r="B679" s="11" t="str">
        <f>CONCATENATE("CRNR","-",LEFT(P679,2),UPPER(MID(P679,4,3)),RIGHT(P679,4))</f>
        <v>CRNR-25JAN1910</v>
      </c>
      <c r="C679" s="11" t="s">
        <v>3224</v>
      </c>
      <c r="D679" s="11" t="s">
        <v>3225</v>
      </c>
      <c r="E679" s="39" t="s">
        <v>3226</v>
      </c>
      <c r="F679" s="11" t="s">
        <v>2922</v>
      </c>
      <c r="G679" s="39" t="s">
        <v>3227</v>
      </c>
      <c r="H679" s="7">
        <v>0</v>
      </c>
      <c r="I679" s="7">
        <v>0</v>
      </c>
      <c r="J679" s="17">
        <v>46</v>
      </c>
      <c r="K679" s="17"/>
      <c r="L679" s="7">
        <f>SUM(H679:K679)</f>
        <v>46</v>
      </c>
      <c r="M679" s="8">
        <v>1</v>
      </c>
      <c r="N679" s="8">
        <f>IF(L679&gt;0,1,"")</f>
        <v>1</v>
      </c>
      <c r="O679" s="11" t="s">
        <v>1702</v>
      </c>
      <c r="P679" s="16" t="str">
        <f>IF(LEN(G679)=10,CONCATENATE("0",G679),G679)</f>
        <v>25-Jan-1910</v>
      </c>
      <c r="R679" s="16" t="str">
        <f t="shared" ref="R679:S681" si="276">IF($L679&gt;0,"x","")</f>
        <v>x</v>
      </c>
      <c r="S679" s="16" t="str">
        <f t="shared" si="276"/>
        <v>x</v>
      </c>
      <c r="U679" s="46" t="str">
        <f t="shared" si="257"/>
        <v/>
      </c>
      <c r="V679" s="46">
        <f t="shared" si="257"/>
        <v>46</v>
      </c>
      <c r="W679" s="46" t="str">
        <f t="shared" si="257"/>
        <v/>
      </c>
      <c r="X679" s="46" t="str">
        <f t="shared" si="257"/>
        <v/>
      </c>
    </row>
    <row r="680" spans="2:24" x14ac:dyDescent="0.25">
      <c r="B680" s="11" t="str">
        <f>CONCATENATE("CRNR","-",LEFT(P680,2),UPPER(MID(P680,4,3)),RIGHT(P680,4))</f>
        <v>CRNR-11MAR1910</v>
      </c>
      <c r="C680" s="11" t="s">
        <v>3224</v>
      </c>
      <c r="D680" s="11" t="s">
        <v>3225</v>
      </c>
      <c r="E680" s="39" t="s">
        <v>4828</v>
      </c>
      <c r="F680" s="11" t="s">
        <v>2922</v>
      </c>
      <c r="G680" s="39" t="s">
        <v>4829</v>
      </c>
      <c r="J680" s="17">
        <v>27</v>
      </c>
      <c r="K680" s="17"/>
      <c r="L680" s="7">
        <f>SUM(H680:K680)</f>
        <v>27</v>
      </c>
      <c r="M680" s="8">
        <v>1</v>
      </c>
      <c r="N680" s="8">
        <f>IF(L680&gt;0,1,"")</f>
        <v>1</v>
      </c>
      <c r="O680" s="11" t="s">
        <v>1702</v>
      </c>
      <c r="P680" s="16" t="str">
        <f>IF(LEN(G680)=10,CONCATENATE("0",G680),G680)</f>
        <v>11-Mar-1910</v>
      </c>
      <c r="R680" s="16" t="str">
        <f t="shared" si="276"/>
        <v>x</v>
      </c>
      <c r="S680" s="16" t="str">
        <f t="shared" si="276"/>
        <v>x</v>
      </c>
      <c r="U680" s="46" t="str">
        <f t="shared" ref="U680:X681" si="277">IF($O680=U$5,$L680,"")</f>
        <v/>
      </c>
      <c r="V680" s="46">
        <f t="shared" si="277"/>
        <v>27</v>
      </c>
      <c r="W680" s="46" t="str">
        <f t="shared" si="277"/>
        <v/>
      </c>
      <c r="X680" s="46" t="str">
        <f t="shared" si="277"/>
        <v/>
      </c>
    </row>
    <row r="681" spans="2:24" x14ac:dyDescent="0.25">
      <c r="B681" s="11" t="str">
        <f>CONCATENATE("CRNR","-",LEFT(P681,2),UPPER(MID(P681,4,3)),RIGHT(P681,4))</f>
        <v>CRNR-30APR1910</v>
      </c>
      <c r="C681" s="11" t="s">
        <v>3224</v>
      </c>
      <c r="D681" s="11" t="s">
        <v>3225</v>
      </c>
      <c r="E681" s="39" t="s">
        <v>892</v>
      </c>
      <c r="F681" s="11" t="s">
        <v>2922</v>
      </c>
      <c r="G681" s="39" t="s">
        <v>1498</v>
      </c>
      <c r="H681" s="7">
        <v>2</v>
      </c>
      <c r="J681" s="17">
        <v>36</v>
      </c>
      <c r="K681" s="17"/>
      <c r="L681" s="7">
        <f>SUM(H681:K681)</f>
        <v>38</v>
      </c>
      <c r="M681" s="8">
        <v>1</v>
      </c>
      <c r="N681" s="8">
        <f>IF(L681&gt;0,1,"")</f>
        <v>1</v>
      </c>
      <c r="O681" s="11" t="s">
        <v>1702</v>
      </c>
      <c r="P681" s="16" t="str">
        <f>IF(LEN(G681)=10,CONCATENATE("0",G681),G681)</f>
        <v>30-Apr-1910</v>
      </c>
      <c r="R681" s="16" t="str">
        <f t="shared" si="276"/>
        <v>x</v>
      </c>
      <c r="S681" s="16" t="str">
        <f t="shared" si="276"/>
        <v>x</v>
      </c>
      <c r="U681" s="46" t="str">
        <f t="shared" si="277"/>
        <v/>
      </c>
      <c r="V681" s="46">
        <f t="shared" si="277"/>
        <v>38</v>
      </c>
      <c r="W681" s="46" t="str">
        <f t="shared" si="277"/>
        <v/>
      </c>
      <c r="X681" s="46" t="str">
        <f t="shared" si="277"/>
        <v/>
      </c>
    </row>
    <row r="682" spans="2:24" x14ac:dyDescent="0.25">
      <c r="N682" s="8" t="str">
        <f>IF(R682="x",1,"")</f>
        <v/>
      </c>
      <c r="U682" s="46" t="str">
        <f t="shared" si="257"/>
        <v/>
      </c>
      <c r="V682" s="46" t="str">
        <f t="shared" si="257"/>
        <v/>
      </c>
      <c r="W682" s="46" t="str">
        <f t="shared" si="257"/>
        <v/>
      </c>
      <c r="X682" s="46" t="str">
        <f t="shared" si="257"/>
        <v/>
      </c>
    </row>
    <row r="683" spans="2:24" x14ac:dyDescent="0.25">
      <c r="B683" s="18"/>
      <c r="C683" s="18"/>
      <c r="D683" s="18"/>
      <c r="E683" s="40"/>
      <c r="F683" s="18"/>
      <c r="G683" s="40"/>
      <c r="H683" s="7">
        <f t="shared" ref="H683:N683" si="278">SUM(H679:H682)</f>
        <v>2</v>
      </c>
      <c r="I683" s="7">
        <f t="shared" si="278"/>
        <v>0</v>
      </c>
      <c r="J683" s="7">
        <f>SUM(J679:J682)</f>
        <v>109</v>
      </c>
      <c r="K683" s="7">
        <f t="shared" si="278"/>
        <v>0</v>
      </c>
      <c r="L683" s="7">
        <f t="shared" si="278"/>
        <v>111</v>
      </c>
      <c r="M683" s="7">
        <f t="shared" si="278"/>
        <v>3</v>
      </c>
      <c r="N683" s="7">
        <f t="shared" si="278"/>
        <v>3</v>
      </c>
      <c r="O683" s="18"/>
      <c r="P683" s="13"/>
      <c r="Q683" s="13"/>
      <c r="S683" s="13"/>
      <c r="T683" s="15"/>
      <c r="U683" s="46" t="str">
        <f t="shared" si="257"/>
        <v/>
      </c>
      <c r="V683" s="46" t="str">
        <f t="shared" si="257"/>
        <v/>
      </c>
      <c r="W683" s="46" t="str">
        <f t="shared" si="257"/>
        <v/>
      </c>
      <c r="X683" s="46" t="str">
        <f t="shared" si="257"/>
        <v/>
      </c>
    </row>
    <row r="684" spans="2:24" x14ac:dyDescent="0.25">
      <c r="B684" s="18"/>
      <c r="C684" s="18"/>
      <c r="D684" s="18"/>
      <c r="E684" s="40"/>
      <c r="F684" s="18"/>
      <c r="G684" s="40"/>
      <c r="N684" s="8" t="str">
        <f>IF(R684="x",1,"")</f>
        <v/>
      </c>
      <c r="O684" s="18"/>
      <c r="P684" s="13"/>
      <c r="Q684" s="13"/>
      <c r="R684" s="13"/>
      <c r="S684" s="13"/>
      <c r="T684" s="15"/>
      <c r="U684" s="46" t="str">
        <f t="shared" si="257"/>
        <v/>
      </c>
      <c r="V684" s="46" t="str">
        <f t="shared" si="257"/>
        <v/>
      </c>
      <c r="W684" s="46" t="str">
        <f t="shared" si="257"/>
        <v/>
      </c>
      <c r="X684" s="46" t="str">
        <f t="shared" si="257"/>
        <v/>
      </c>
    </row>
    <row r="685" spans="2:24" x14ac:dyDescent="0.25">
      <c r="B685" s="18"/>
      <c r="C685" s="18"/>
      <c r="D685" s="18"/>
      <c r="E685" s="40"/>
      <c r="F685" s="18"/>
      <c r="G685" s="40"/>
      <c r="N685" s="8" t="str">
        <f>IF(R685="x",1,"")</f>
        <v/>
      </c>
      <c r="O685" s="18"/>
      <c r="P685" s="13"/>
      <c r="Q685" s="13"/>
      <c r="R685" s="13"/>
      <c r="S685" s="13"/>
      <c r="T685" s="15"/>
      <c r="U685" s="46" t="str">
        <f t="shared" si="257"/>
        <v/>
      </c>
      <c r="V685" s="46" t="str">
        <f t="shared" si="257"/>
        <v/>
      </c>
      <c r="W685" s="46" t="str">
        <f t="shared" si="257"/>
        <v/>
      </c>
      <c r="X685" s="46" t="str">
        <f t="shared" si="257"/>
        <v/>
      </c>
    </row>
    <row r="686" spans="2:24" x14ac:dyDescent="0.25">
      <c r="B686" s="11" t="str">
        <f t="shared" ref="B686:B698" si="279">CONCATENATE("CALA","-",LEFT(P686,2),UPPER(MID(P686,4,3)),RIGHT(P686,4))</f>
        <v>CALA-20SEP1902</v>
      </c>
      <c r="C686" s="11" t="s">
        <v>3742</v>
      </c>
      <c r="D686" s="11" t="s">
        <v>3007</v>
      </c>
      <c r="E686" s="39" t="s">
        <v>6047</v>
      </c>
      <c r="F686" s="11" t="s">
        <v>1700</v>
      </c>
      <c r="G686" s="39" t="s">
        <v>1378</v>
      </c>
      <c r="J686" s="17">
        <v>4</v>
      </c>
      <c r="K686" s="17"/>
      <c r="L686" s="7">
        <f t="shared" ref="L686:L698" si="280">SUM(H686:K686)</f>
        <v>4</v>
      </c>
      <c r="M686" s="8">
        <v>1</v>
      </c>
      <c r="N686" s="8">
        <f t="shared" ref="N686:N698" si="281">IF(L686&gt;0,1,"")</f>
        <v>1</v>
      </c>
      <c r="O686" s="11" t="s">
        <v>1702</v>
      </c>
      <c r="P686" s="16" t="str">
        <f t="shared" ref="P686:P698" si="282">IF(LEN(G686)=10,CONCATENATE("0",G686),G686)</f>
        <v>20-Sep-1902</v>
      </c>
      <c r="R686" s="16" t="str">
        <f t="shared" ref="R686:S689" si="283">IF($L686&gt;0,"x","")</f>
        <v>x</v>
      </c>
      <c r="S686" s="16" t="str">
        <f t="shared" si="283"/>
        <v>x</v>
      </c>
      <c r="U686" s="46" t="str">
        <f t="shared" si="257"/>
        <v/>
      </c>
      <c r="V686" s="46">
        <f t="shared" si="257"/>
        <v>4</v>
      </c>
      <c r="W686" s="46" t="str">
        <f t="shared" si="257"/>
        <v/>
      </c>
      <c r="X686" s="46" t="str">
        <f t="shared" si="257"/>
        <v/>
      </c>
    </row>
    <row r="687" spans="2:24" x14ac:dyDescent="0.25">
      <c r="B687" s="11" t="str">
        <f>CONCATENATE("CALA","-",LEFT(P687,2),UPPER(MID(P687,4,3)),RIGHT(P687,4))</f>
        <v>CALA-25JUL1904</v>
      </c>
      <c r="C687" s="11" t="s">
        <v>3742</v>
      </c>
      <c r="D687" s="11" t="s">
        <v>3007</v>
      </c>
      <c r="E687" s="39" t="s">
        <v>1766</v>
      </c>
      <c r="F687" s="11" t="s">
        <v>1700</v>
      </c>
      <c r="G687" s="39" t="s">
        <v>11370</v>
      </c>
      <c r="H687" s="7">
        <v>0</v>
      </c>
      <c r="J687" s="17">
        <v>2</v>
      </c>
      <c r="K687" s="17"/>
      <c r="L687" s="7">
        <f>SUM(H687:K687)</f>
        <v>2</v>
      </c>
      <c r="M687" s="8">
        <v>1</v>
      </c>
      <c r="N687" s="8">
        <f>IF(L687&gt;0,1,"")</f>
        <v>1</v>
      </c>
      <c r="O687" s="11" t="s">
        <v>1702</v>
      </c>
      <c r="P687" s="16" t="str">
        <f>IF(LEN(G687)=10,CONCATENATE("0",G687),G687)</f>
        <v>25-Jul-1904</v>
      </c>
      <c r="R687" s="16" t="str">
        <f>IF($L687&gt;0,"x","")</f>
        <v>x</v>
      </c>
      <c r="S687" s="16" t="str">
        <f>IF($L687&gt;0,"x","")</f>
        <v>x</v>
      </c>
      <c r="U687" s="46" t="str">
        <f>IF($O687=U$5,$L687,"")</f>
        <v/>
      </c>
      <c r="V687" s="46">
        <f>IF($O687=V$5,$L687,"")</f>
        <v>2</v>
      </c>
      <c r="W687" s="46" t="str">
        <f>IF($O687=W$5,$L687,"")</f>
        <v/>
      </c>
      <c r="X687" s="46" t="str">
        <f>IF($O687=X$5,$L687,"")</f>
        <v/>
      </c>
    </row>
    <row r="688" spans="2:24" x14ac:dyDescent="0.25">
      <c r="B688" s="11" t="str">
        <f t="shared" si="279"/>
        <v>CALA-29MAY1910</v>
      </c>
      <c r="C688" s="11" t="s">
        <v>3742</v>
      </c>
      <c r="D688" s="11" t="s">
        <v>3007</v>
      </c>
      <c r="E688" s="39" t="s">
        <v>6148</v>
      </c>
      <c r="F688" s="11" t="s">
        <v>1700</v>
      </c>
      <c r="G688" s="39" t="s">
        <v>6149</v>
      </c>
      <c r="H688" s="7">
        <v>0</v>
      </c>
      <c r="J688" s="17">
        <v>13</v>
      </c>
      <c r="K688" s="17"/>
      <c r="L688" s="7">
        <f t="shared" si="280"/>
        <v>13</v>
      </c>
      <c r="M688" s="8">
        <v>1</v>
      </c>
      <c r="N688" s="8">
        <f t="shared" si="281"/>
        <v>1</v>
      </c>
      <c r="O688" s="11" t="s">
        <v>1702</v>
      </c>
      <c r="P688" s="16" t="str">
        <f t="shared" si="282"/>
        <v>29-May-1910</v>
      </c>
      <c r="R688" s="16" t="str">
        <f t="shared" si="283"/>
        <v>x</v>
      </c>
      <c r="S688" s="16" t="str">
        <f t="shared" si="283"/>
        <v>x</v>
      </c>
      <c r="U688" s="46" t="str">
        <f t="shared" ref="U688:X689" si="284">IF($O688=U$5,$L688,"")</f>
        <v/>
      </c>
      <c r="V688" s="46">
        <f t="shared" si="284"/>
        <v>13</v>
      </c>
      <c r="W688" s="46" t="str">
        <f t="shared" si="284"/>
        <v/>
      </c>
      <c r="X688" s="46" t="str">
        <f t="shared" si="284"/>
        <v/>
      </c>
    </row>
    <row r="689" spans="2:24" x14ac:dyDescent="0.25">
      <c r="B689" s="11" t="str">
        <f>CONCATENATE("CALA","-",LEFT(P689,2),UPPER(MID(P689,4,3)),RIGHT(P689,4))</f>
        <v>CALA-16SEP1910</v>
      </c>
      <c r="C689" s="11" t="s">
        <v>3742</v>
      </c>
      <c r="D689" s="11" t="s">
        <v>3007</v>
      </c>
      <c r="E689" s="39" t="s">
        <v>5248</v>
      </c>
      <c r="F689" s="11" t="s">
        <v>1700</v>
      </c>
      <c r="G689" s="39" t="s">
        <v>5249</v>
      </c>
      <c r="H689" s="7">
        <v>0</v>
      </c>
      <c r="J689" s="17">
        <v>36</v>
      </c>
      <c r="K689" s="17"/>
      <c r="L689" s="7">
        <f>SUM(H689:K689)</f>
        <v>36</v>
      </c>
      <c r="M689" s="8">
        <v>1</v>
      </c>
      <c r="N689" s="8">
        <f>IF(L689&gt;0,1,"")</f>
        <v>1</v>
      </c>
      <c r="O689" s="11" t="s">
        <v>1702</v>
      </c>
      <c r="P689" s="16" t="str">
        <f>IF(LEN(G689)=10,CONCATENATE("0",G689),G689)</f>
        <v>16-Sep-1910</v>
      </c>
      <c r="R689" s="16" t="str">
        <f t="shared" si="283"/>
        <v>x</v>
      </c>
      <c r="S689" s="16" t="str">
        <f t="shared" si="283"/>
        <v>x</v>
      </c>
      <c r="U689" s="46" t="str">
        <f t="shared" si="284"/>
        <v/>
      </c>
      <c r="V689" s="46">
        <f t="shared" si="284"/>
        <v>36</v>
      </c>
      <c r="W689" s="46" t="str">
        <f t="shared" si="284"/>
        <v/>
      </c>
      <c r="X689" s="46" t="str">
        <f t="shared" si="284"/>
        <v/>
      </c>
    </row>
    <row r="690" spans="2:24" x14ac:dyDescent="0.25">
      <c r="B690" s="11" t="str">
        <f>CONCATENATE("CALA","-",LEFT(P690,2),UPPER(MID(P690,4,3)),RIGHT(P690,4))</f>
        <v>CALA-22APR1911</v>
      </c>
      <c r="C690" s="11" t="s">
        <v>3742</v>
      </c>
      <c r="D690" s="11" t="s">
        <v>3007</v>
      </c>
      <c r="E690" s="39" t="s">
        <v>4813</v>
      </c>
      <c r="F690" s="11" t="s">
        <v>1700</v>
      </c>
      <c r="G690" s="39" t="s">
        <v>1505</v>
      </c>
      <c r="J690" s="17">
        <v>8</v>
      </c>
      <c r="K690" s="17"/>
      <c r="L690" s="7">
        <f>SUM(H690:K690)</f>
        <v>8</v>
      </c>
      <c r="M690" s="8">
        <v>1</v>
      </c>
      <c r="N690" s="8">
        <f>IF(L690&gt;0,1,"")</f>
        <v>1</v>
      </c>
      <c r="O690" s="11" t="s">
        <v>1702</v>
      </c>
      <c r="P690" s="16" t="str">
        <f>IF(LEN(G690)=10,CONCATENATE("0",G690),G690)</f>
        <v>22-Apr-1911</v>
      </c>
      <c r="R690" s="16" t="str">
        <f t="shared" ref="R690:S692" si="285">IF($L690&gt;0,"x","")</f>
        <v>x</v>
      </c>
      <c r="S690" s="16" t="str">
        <f t="shared" si="285"/>
        <v>x</v>
      </c>
      <c r="U690" s="46" t="str">
        <f t="shared" ref="U690:X691" si="286">IF($O690=U$5,$L690,"")</f>
        <v/>
      </c>
      <c r="V690" s="46">
        <f t="shared" si="286"/>
        <v>8</v>
      </c>
      <c r="W690" s="46" t="str">
        <f t="shared" si="286"/>
        <v/>
      </c>
      <c r="X690" s="46" t="str">
        <f t="shared" si="286"/>
        <v/>
      </c>
    </row>
    <row r="691" spans="2:24" x14ac:dyDescent="0.25">
      <c r="B691" s="11" t="str">
        <f>CONCATENATE("CALA","-",LEFT(P691,2),UPPER(MID(P691,4,3)),RIGHT(P691,4))</f>
        <v>CALA-10JUN1911</v>
      </c>
      <c r="C691" s="11" t="s">
        <v>3742</v>
      </c>
      <c r="D691" s="11" t="s">
        <v>3007</v>
      </c>
      <c r="E691" s="39" t="s">
        <v>5739</v>
      </c>
      <c r="F691" s="11" t="s">
        <v>1700</v>
      </c>
      <c r="G691" s="39" t="s">
        <v>972</v>
      </c>
      <c r="J691" s="17">
        <v>21</v>
      </c>
      <c r="K691" s="17"/>
      <c r="L691" s="7">
        <f>SUM(H691:K691)</f>
        <v>21</v>
      </c>
      <c r="M691" s="8">
        <v>1</v>
      </c>
      <c r="N691" s="8">
        <f>IF(L691&gt;0,1,"")</f>
        <v>1</v>
      </c>
      <c r="O691" s="11" t="s">
        <v>1702</v>
      </c>
      <c r="P691" s="16" t="str">
        <f>IF(LEN(G691)=10,CONCATENATE("0",G691),G691)</f>
        <v>10-Jun-1911</v>
      </c>
      <c r="R691" s="16" t="str">
        <f t="shared" si="285"/>
        <v>x</v>
      </c>
      <c r="S691" s="16" t="str">
        <f t="shared" si="285"/>
        <v>x</v>
      </c>
      <c r="U691" s="46" t="str">
        <f t="shared" si="286"/>
        <v/>
      </c>
      <c r="V691" s="46">
        <f t="shared" si="286"/>
        <v>21</v>
      </c>
      <c r="W691" s="46" t="str">
        <f t="shared" si="286"/>
        <v/>
      </c>
      <c r="X691" s="46" t="str">
        <f t="shared" si="286"/>
        <v/>
      </c>
    </row>
    <row r="692" spans="2:24" x14ac:dyDescent="0.25">
      <c r="B692" s="11" t="str">
        <f>CONCATENATE("CALA","-",LEFT(P692,2),UPPER(MID(P692,4,3)),RIGHT(P692,4))</f>
        <v>CALA-08OCT1911</v>
      </c>
      <c r="C692" s="11" t="s">
        <v>3742</v>
      </c>
      <c r="D692" s="11" t="s">
        <v>3007</v>
      </c>
      <c r="E692" s="39" t="s">
        <v>5177</v>
      </c>
      <c r="F692" s="11" t="s">
        <v>1700</v>
      </c>
      <c r="G692" s="39" t="s">
        <v>2335</v>
      </c>
      <c r="J692" s="17">
        <v>16</v>
      </c>
      <c r="K692" s="17"/>
      <c r="L692" s="7">
        <f>SUM(H692:K692)</f>
        <v>16</v>
      </c>
      <c r="M692" s="8">
        <v>1</v>
      </c>
      <c r="N692" s="8">
        <f>IF(L692&gt;0,1,"")</f>
        <v>1</v>
      </c>
      <c r="O692" s="11" t="s">
        <v>1702</v>
      </c>
      <c r="P692" s="16" t="str">
        <f>IF(LEN(G692)=10,CONCATENATE("0",G692),G692)</f>
        <v>08-Oct-1911</v>
      </c>
      <c r="R692" s="16" t="str">
        <f t="shared" si="285"/>
        <v>x</v>
      </c>
      <c r="S692" s="16" t="str">
        <f t="shared" si="285"/>
        <v>x</v>
      </c>
      <c r="U692" s="46" t="str">
        <f t="shared" ref="U692:X694" si="287">IF($O692=U$5,$L692,"")</f>
        <v/>
      </c>
      <c r="V692" s="46">
        <f t="shared" si="287"/>
        <v>16</v>
      </c>
      <c r="W692" s="46" t="str">
        <f t="shared" si="287"/>
        <v/>
      </c>
      <c r="X692" s="46" t="str">
        <f t="shared" si="287"/>
        <v/>
      </c>
    </row>
    <row r="693" spans="2:24" x14ac:dyDescent="0.25">
      <c r="B693" s="11" t="str">
        <f t="shared" si="279"/>
        <v>CALA-08APR1912</v>
      </c>
      <c r="C693" s="11" t="s">
        <v>3742</v>
      </c>
      <c r="D693" s="11" t="s">
        <v>3007</v>
      </c>
      <c r="E693" s="39" t="s">
        <v>3741</v>
      </c>
      <c r="F693" s="11" t="s">
        <v>1700</v>
      </c>
      <c r="G693" s="39" t="s">
        <v>912</v>
      </c>
      <c r="J693" s="17">
        <v>14</v>
      </c>
      <c r="K693" s="17"/>
      <c r="L693" s="7">
        <f t="shared" si="280"/>
        <v>14</v>
      </c>
      <c r="M693" s="8">
        <v>1</v>
      </c>
      <c r="N693" s="8">
        <f t="shared" si="281"/>
        <v>1</v>
      </c>
      <c r="O693" s="11" t="s">
        <v>1702</v>
      </c>
      <c r="P693" s="16" t="str">
        <f t="shared" si="282"/>
        <v>08-Apr-1912</v>
      </c>
      <c r="R693" s="16" t="str">
        <f t="shared" ref="R693:S697" si="288">IF($L693&gt;0,"x","")</f>
        <v>x</v>
      </c>
      <c r="S693" s="16" t="str">
        <f t="shared" si="288"/>
        <v>x</v>
      </c>
      <c r="U693" s="46" t="str">
        <f t="shared" si="287"/>
        <v/>
      </c>
      <c r="V693" s="46">
        <f t="shared" si="287"/>
        <v>14</v>
      </c>
      <c r="W693" s="46" t="str">
        <f t="shared" si="287"/>
        <v/>
      </c>
      <c r="X693" s="46" t="str">
        <f t="shared" si="287"/>
        <v/>
      </c>
    </row>
    <row r="694" spans="2:24" x14ac:dyDescent="0.25">
      <c r="B694" s="11" t="str">
        <f>CONCATENATE("CALA","-",LEFT(P694,2),UPPER(MID(P694,4,3)),RIGHT(P694,4))</f>
        <v>CALA-02JUN1912</v>
      </c>
      <c r="C694" s="11" t="s">
        <v>3742</v>
      </c>
      <c r="D694" s="11" t="s">
        <v>3007</v>
      </c>
      <c r="E694" s="39" t="s">
        <v>5983</v>
      </c>
      <c r="F694" s="11" t="s">
        <v>1700</v>
      </c>
      <c r="G694" s="39" t="s">
        <v>5984</v>
      </c>
      <c r="H694" s="7">
        <v>0</v>
      </c>
      <c r="J694" s="17">
        <v>1</v>
      </c>
      <c r="K694" s="17"/>
      <c r="L694" s="7">
        <f>SUM(H694:K694)</f>
        <v>1</v>
      </c>
      <c r="M694" s="8">
        <v>1</v>
      </c>
      <c r="N694" s="8">
        <f>IF(L694&gt;0,1,"")</f>
        <v>1</v>
      </c>
      <c r="O694" s="11" t="s">
        <v>1702</v>
      </c>
      <c r="P694" s="16" t="str">
        <f>IF(LEN(G694)=10,CONCATENATE("0",G694),G694)</f>
        <v>02-Jun-1912</v>
      </c>
      <c r="R694" s="16" t="str">
        <f t="shared" si="288"/>
        <v>x</v>
      </c>
      <c r="S694" s="16" t="str">
        <f t="shared" si="288"/>
        <v>x</v>
      </c>
      <c r="U694" s="46" t="str">
        <f t="shared" si="287"/>
        <v/>
      </c>
      <c r="V694" s="46">
        <f t="shared" si="287"/>
        <v>1</v>
      </c>
      <c r="W694" s="46" t="str">
        <f t="shared" si="287"/>
        <v/>
      </c>
      <c r="X694" s="46" t="str">
        <f t="shared" si="287"/>
        <v/>
      </c>
    </row>
    <row r="695" spans="2:24" x14ac:dyDescent="0.25">
      <c r="B695" s="11" t="str">
        <f t="shared" si="279"/>
        <v>CALA-17OCT1920</v>
      </c>
      <c r="C695" s="11" t="s">
        <v>3742</v>
      </c>
      <c r="D695" s="11" t="s">
        <v>3064</v>
      </c>
      <c r="E695" s="39" t="s">
        <v>5450</v>
      </c>
      <c r="F695" s="11" t="s">
        <v>1700</v>
      </c>
      <c r="G695" s="39" t="s">
        <v>5451</v>
      </c>
      <c r="J695" s="17">
        <v>13</v>
      </c>
      <c r="K695" s="17"/>
      <c r="L695" s="7">
        <f t="shared" si="280"/>
        <v>13</v>
      </c>
      <c r="M695" s="8">
        <v>1</v>
      </c>
      <c r="N695" s="8">
        <f t="shared" si="281"/>
        <v>1</v>
      </c>
      <c r="O695" s="11" t="s">
        <v>1702</v>
      </c>
      <c r="P695" s="16" t="str">
        <f t="shared" si="282"/>
        <v>17-Oct-1920</v>
      </c>
      <c r="R695" s="16" t="str">
        <f t="shared" si="288"/>
        <v>x</v>
      </c>
      <c r="S695" s="16" t="str">
        <f t="shared" si="288"/>
        <v>x</v>
      </c>
      <c r="U695" s="46" t="str">
        <f t="shared" ref="U695:X696" si="289">IF($O695=U$5,$L695,"")</f>
        <v/>
      </c>
      <c r="V695" s="46">
        <f t="shared" si="289"/>
        <v>13</v>
      </c>
      <c r="W695" s="46" t="str">
        <f t="shared" si="289"/>
        <v/>
      </c>
      <c r="X695" s="46" t="str">
        <f t="shared" si="289"/>
        <v/>
      </c>
    </row>
    <row r="696" spans="2:24" x14ac:dyDescent="0.25">
      <c r="B696" s="11" t="str">
        <f t="shared" si="279"/>
        <v>CALA-13MAR1921</v>
      </c>
      <c r="C696" s="11" t="s">
        <v>3742</v>
      </c>
      <c r="D696" s="11" t="s">
        <v>1906</v>
      </c>
      <c r="E696" s="39" t="s">
        <v>4167</v>
      </c>
      <c r="F696" s="11" t="s">
        <v>1700</v>
      </c>
      <c r="G696" s="39" t="s">
        <v>3194</v>
      </c>
      <c r="J696" s="17">
        <v>39</v>
      </c>
      <c r="K696" s="17"/>
      <c r="L696" s="7">
        <f t="shared" si="280"/>
        <v>39</v>
      </c>
      <c r="M696" s="8">
        <v>1</v>
      </c>
      <c r="N696" s="8">
        <f t="shared" si="281"/>
        <v>1</v>
      </c>
      <c r="O696" s="11" t="s">
        <v>1702</v>
      </c>
      <c r="P696" s="16" t="str">
        <f t="shared" si="282"/>
        <v>13-Mar-1921</v>
      </c>
      <c r="R696" s="16" t="str">
        <f t="shared" si="288"/>
        <v>x</v>
      </c>
      <c r="S696" s="16" t="str">
        <f t="shared" si="288"/>
        <v>x</v>
      </c>
      <c r="U696" s="46" t="str">
        <f t="shared" si="289"/>
        <v/>
      </c>
      <c r="V696" s="46">
        <f t="shared" si="289"/>
        <v>39</v>
      </c>
      <c r="W696" s="46" t="str">
        <f t="shared" si="289"/>
        <v/>
      </c>
      <c r="X696" s="46" t="str">
        <f t="shared" si="289"/>
        <v/>
      </c>
    </row>
    <row r="697" spans="2:24" x14ac:dyDescent="0.25">
      <c r="B697" s="11" t="str">
        <f t="shared" si="279"/>
        <v>CALA-15MAY1921</v>
      </c>
      <c r="C697" s="11" t="s">
        <v>3742</v>
      </c>
      <c r="D697" s="11" t="s">
        <v>1906</v>
      </c>
      <c r="E697" s="39" t="s">
        <v>4118</v>
      </c>
      <c r="F697" s="11" t="s">
        <v>1700</v>
      </c>
      <c r="G697" s="39" t="s">
        <v>1141</v>
      </c>
      <c r="J697" s="17">
        <f>185+2</f>
        <v>187</v>
      </c>
      <c r="K697" s="17"/>
      <c r="L697" s="7">
        <f t="shared" si="280"/>
        <v>187</v>
      </c>
      <c r="M697" s="8">
        <v>1</v>
      </c>
      <c r="N697" s="8">
        <f t="shared" si="281"/>
        <v>1</v>
      </c>
      <c r="O697" s="11" t="s">
        <v>1702</v>
      </c>
      <c r="P697" s="16" t="str">
        <f t="shared" si="282"/>
        <v>15-May-1921</v>
      </c>
      <c r="R697" s="16" t="str">
        <f t="shared" si="288"/>
        <v>x</v>
      </c>
      <c r="S697" s="16" t="str">
        <f t="shared" si="288"/>
        <v>x</v>
      </c>
      <c r="U697" s="46" t="str">
        <f t="shared" si="257"/>
        <v/>
      </c>
      <c r="V697" s="46">
        <f t="shared" si="257"/>
        <v>187</v>
      </c>
      <c r="W697" s="46" t="str">
        <f t="shared" si="257"/>
        <v/>
      </c>
      <c r="X697" s="46" t="str">
        <f t="shared" si="257"/>
        <v/>
      </c>
    </row>
    <row r="698" spans="2:24" x14ac:dyDescent="0.25">
      <c r="B698" s="11" t="str">
        <f t="shared" si="279"/>
        <v>CALA-01AUG1921</v>
      </c>
      <c r="C698" s="11" t="s">
        <v>3742</v>
      </c>
      <c r="D698" s="11" t="s">
        <v>1906</v>
      </c>
      <c r="E698" s="39" t="s">
        <v>3166</v>
      </c>
      <c r="F698" s="11" t="s">
        <v>1700</v>
      </c>
      <c r="G698" s="39" t="s">
        <v>3373</v>
      </c>
      <c r="J698" s="17">
        <v>65</v>
      </c>
      <c r="K698" s="17"/>
      <c r="L698" s="7">
        <f t="shared" si="280"/>
        <v>65</v>
      </c>
      <c r="M698" s="8">
        <v>1</v>
      </c>
      <c r="N698" s="8">
        <f t="shared" si="281"/>
        <v>1</v>
      </c>
      <c r="O698" s="11" t="s">
        <v>1702</v>
      </c>
      <c r="P698" s="16" t="str">
        <f t="shared" si="282"/>
        <v>01-Aug-1921</v>
      </c>
      <c r="R698" s="16" t="str">
        <f>IF($L698&gt;0,"x","")</f>
        <v>x</v>
      </c>
      <c r="S698" s="16" t="str">
        <f>IF($L698&gt;0,"x","")</f>
        <v>x</v>
      </c>
      <c r="U698" s="46" t="str">
        <f>IF($O698=U$5,$L698,"")</f>
        <v/>
      </c>
      <c r="V698" s="46">
        <f>IF($O698=V$5,$L698,"")</f>
        <v>65</v>
      </c>
      <c r="W698" s="46" t="str">
        <f>IF($O698=W$5,$L698,"")</f>
        <v/>
      </c>
      <c r="X698" s="46" t="str">
        <f>IF($O698=X$5,$L698,"")</f>
        <v/>
      </c>
    </row>
    <row r="699" spans="2:24" x14ac:dyDescent="0.25">
      <c r="N699" s="8" t="str">
        <f>IF(R699="x",1,"")</f>
        <v/>
      </c>
      <c r="U699" s="46" t="str">
        <f t="shared" si="257"/>
        <v/>
      </c>
      <c r="V699" s="46" t="str">
        <f t="shared" si="257"/>
        <v/>
      </c>
      <c r="W699" s="46" t="str">
        <f t="shared" si="257"/>
        <v/>
      </c>
      <c r="X699" s="46" t="str">
        <f t="shared" si="257"/>
        <v/>
      </c>
    </row>
    <row r="700" spans="2:24" x14ac:dyDescent="0.25">
      <c r="B700" s="18"/>
      <c r="C700" s="18"/>
      <c r="D700" s="18"/>
      <c r="E700" s="40"/>
      <c r="F700" s="18"/>
      <c r="G700" s="40"/>
      <c r="H700" s="7">
        <f t="shared" ref="H700:N700" si="290">SUM(H686:H699)</f>
        <v>0</v>
      </c>
      <c r="I700" s="7">
        <f t="shared" si="290"/>
        <v>0</v>
      </c>
      <c r="J700" s="7">
        <f>SUM(J686:J699)</f>
        <v>419</v>
      </c>
      <c r="K700" s="7">
        <f t="shared" si="290"/>
        <v>0</v>
      </c>
      <c r="L700" s="7">
        <f t="shared" si="290"/>
        <v>419</v>
      </c>
      <c r="M700" s="7">
        <f t="shared" si="290"/>
        <v>13</v>
      </c>
      <c r="N700" s="7">
        <f t="shared" si="290"/>
        <v>13</v>
      </c>
      <c r="O700" s="18"/>
      <c r="P700" s="13"/>
      <c r="Q700" s="13"/>
      <c r="S700" s="13"/>
      <c r="T700" s="15"/>
      <c r="U700" s="46" t="str">
        <f t="shared" si="257"/>
        <v/>
      </c>
      <c r="V700" s="46" t="str">
        <f t="shared" si="257"/>
        <v/>
      </c>
      <c r="W700" s="46" t="str">
        <f t="shared" si="257"/>
        <v/>
      </c>
      <c r="X700" s="46" t="str">
        <f t="shared" si="257"/>
        <v/>
      </c>
    </row>
    <row r="701" spans="2:24" x14ac:dyDescent="0.25">
      <c r="B701" s="18"/>
      <c r="C701" s="18"/>
      <c r="D701" s="18"/>
      <c r="E701" s="40"/>
      <c r="F701" s="18"/>
      <c r="G701" s="40"/>
      <c r="N701" s="8" t="str">
        <f>IF(R701="x",1,"")</f>
        <v/>
      </c>
      <c r="O701" s="18"/>
      <c r="P701" s="13"/>
      <c r="Q701" s="13"/>
      <c r="R701" s="13"/>
      <c r="S701" s="13"/>
      <c r="T701" s="15"/>
      <c r="U701" s="46" t="str">
        <f t="shared" si="257"/>
        <v/>
      </c>
      <c r="V701" s="46" t="str">
        <f t="shared" si="257"/>
        <v/>
      </c>
      <c r="W701" s="46" t="str">
        <f t="shared" si="257"/>
        <v/>
      </c>
      <c r="X701" s="46" t="str">
        <f t="shared" si="257"/>
        <v/>
      </c>
    </row>
    <row r="702" spans="2:24" x14ac:dyDescent="0.25">
      <c r="B702" s="18"/>
      <c r="C702" s="18"/>
      <c r="D702" s="18"/>
      <c r="E702" s="40"/>
      <c r="F702" s="18"/>
      <c r="G702" s="40"/>
      <c r="N702" s="8" t="str">
        <f>IF(R702="x",1,"")</f>
        <v/>
      </c>
      <c r="O702" s="18"/>
      <c r="P702" s="13"/>
      <c r="Q702" s="13"/>
      <c r="R702" s="13"/>
      <c r="S702" s="13"/>
      <c r="T702" s="15"/>
      <c r="U702" s="46" t="str">
        <f t="shared" si="257"/>
        <v/>
      </c>
      <c r="V702" s="46" t="str">
        <f t="shared" si="257"/>
        <v/>
      </c>
      <c r="W702" s="46" t="str">
        <f t="shared" si="257"/>
        <v/>
      </c>
      <c r="X702" s="46" t="str">
        <f t="shared" si="257"/>
        <v/>
      </c>
    </row>
    <row r="703" spans="2:24" x14ac:dyDescent="0.25">
      <c r="B703" s="11" t="str">
        <f>CONCATENATE("CALE","-",LEFT(P703,2),UPPER(MID(P703,4,3)),RIGHT(P703,4))</f>
        <v>CALE-31MAR1914</v>
      </c>
      <c r="C703" s="11" t="s">
        <v>3248</v>
      </c>
      <c r="D703" s="11" t="s">
        <v>3249</v>
      </c>
      <c r="E703" s="39" t="s">
        <v>1313</v>
      </c>
      <c r="F703" s="11" t="s">
        <v>1700</v>
      </c>
      <c r="G703" s="39" t="s">
        <v>3247</v>
      </c>
      <c r="H703" s="7">
        <v>0</v>
      </c>
      <c r="I703" s="7">
        <v>1</v>
      </c>
      <c r="J703" s="17">
        <v>0</v>
      </c>
      <c r="K703" s="17"/>
      <c r="L703" s="7">
        <f>SUM(H703:K703)</f>
        <v>1</v>
      </c>
      <c r="M703" s="8">
        <v>1</v>
      </c>
      <c r="N703" s="8">
        <f>IF(L703&gt;0,1,"")</f>
        <v>1</v>
      </c>
      <c r="O703" s="11" t="s">
        <v>1702</v>
      </c>
      <c r="P703" s="16" t="str">
        <f>IF(LEN(G703)=10,CONCATENATE("0",G703),G703)</f>
        <v>31-Mar-1914</v>
      </c>
      <c r="R703" s="16" t="str">
        <f>IF($L703&gt;0,"x","")</f>
        <v>x</v>
      </c>
      <c r="S703" s="16" t="str">
        <f>IF($L703&gt;0,"x","")</f>
        <v>x</v>
      </c>
      <c r="U703" s="46" t="str">
        <f t="shared" si="257"/>
        <v/>
      </c>
      <c r="V703" s="46">
        <f t="shared" si="257"/>
        <v>1</v>
      </c>
      <c r="W703" s="46" t="str">
        <f t="shared" si="257"/>
        <v/>
      </c>
      <c r="X703" s="46" t="str">
        <f t="shared" si="257"/>
        <v/>
      </c>
    </row>
    <row r="704" spans="2:24" x14ac:dyDescent="0.25">
      <c r="N704" s="8" t="str">
        <f>IF(R704="x",1,"")</f>
        <v/>
      </c>
      <c r="U704" s="46" t="str">
        <f t="shared" si="257"/>
        <v/>
      </c>
      <c r="V704" s="46" t="str">
        <f t="shared" si="257"/>
        <v/>
      </c>
      <c r="W704" s="46" t="str">
        <f t="shared" si="257"/>
        <v/>
      </c>
      <c r="X704" s="46" t="str">
        <f t="shared" si="257"/>
        <v/>
      </c>
    </row>
    <row r="705" spans="2:24" x14ac:dyDescent="0.25">
      <c r="B705" s="18"/>
      <c r="C705" s="18"/>
      <c r="D705" s="18"/>
      <c r="E705" s="40"/>
      <c r="F705" s="18"/>
      <c r="G705" s="40"/>
      <c r="H705" s="7">
        <f t="shared" ref="H705:N705" si="291">SUM(H703:H704)</f>
        <v>0</v>
      </c>
      <c r="I705" s="7">
        <f t="shared" si="291"/>
        <v>1</v>
      </c>
      <c r="J705" s="7">
        <f>SUM(J703:J704)</f>
        <v>0</v>
      </c>
      <c r="K705" s="7">
        <f t="shared" si="291"/>
        <v>0</v>
      </c>
      <c r="L705" s="7">
        <f t="shared" si="291"/>
        <v>1</v>
      </c>
      <c r="M705" s="7">
        <f t="shared" si="291"/>
        <v>1</v>
      </c>
      <c r="N705" s="7">
        <f t="shared" si="291"/>
        <v>1</v>
      </c>
      <c r="O705" s="18"/>
      <c r="P705" s="13"/>
      <c r="Q705" s="13"/>
      <c r="S705" s="13"/>
      <c r="T705" s="15"/>
      <c r="U705" s="46" t="str">
        <f t="shared" si="257"/>
        <v/>
      </c>
      <c r="V705" s="46" t="str">
        <f t="shared" si="257"/>
        <v/>
      </c>
      <c r="W705" s="46" t="str">
        <f t="shared" si="257"/>
        <v/>
      </c>
      <c r="X705" s="46" t="str">
        <f t="shared" si="257"/>
        <v/>
      </c>
    </row>
    <row r="706" spans="2:24" x14ac:dyDescent="0.25">
      <c r="B706" s="18"/>
      <c r="C706" s="18"/>
      <c r="D706" s="18"/>
      <c r="E706" s="40"/>
      <c r="F706" s="18"/>
      <c r="G706" s="40"/>
      <c r="N706" s="8" t="str">
        <f>IF(R706="x",1,"")</f>
        <v/>
      </c>
      <c r="O706" s="18"/>
      <c r="P706" s="13"/>
      <c r="Q706" s="13"/>
      <c r="R706" s="13"/>
      <c r="S706" s="13"/>
      <c r="T706" s="15"/>
      <c r="U706" s="46" t="str">
        <f t="shared" si="257"/>
        <v/>
      </c>
      <c r="V706" s="46" t="str">
        <f t="shared" si="257"/>
        <v/>
      </c>
      <c r="W706" s="46" t="str">
        <f t="shared" si="257"/>
        <v/>
      </c>
      <c r="X706" s="46" t="str">
        <f t="shared" si="257"/>
        <v/>
      </c>
    </row>
    <row r="707" spans="2:24" x14ac:dyDescent="0.25">
      <c r="B707" s="18"/>
      <c r="C707" s="18"/>
      <c r="D707" s="18"/>
      <c r="E707" s="40"/>
      <c r="F707" s="18"/>
      <c r="G707" s="40"/>
      <c r="N707" s="8" t="str">
        <f>IF(R707="x",1,"")</f>
        <v/>
      </c>
      <c r="O707" s="18"/>
      <c r="P707" s="13"/>
      <c r="Q707" s="13"/>
      <c r="R707" s="13"/>
      <c r="S707" s="13"/>
      <c r="T707" s="15"/>
      <c r="U707" s="46" t="str">
        <f t="shared" si="257"/>
        <v/>
      </c>
      <c r="V707" s="46" t="str">
        <f t="shared" si="257"/>
        <v/>
      </c>
      <c r="W707" s="46" t="str">
        <f t="shared" si="257"/>
        <v/>
      </c>
      <c r="X707" s="46" t="str">
        <f t="shared" si="257"/>
        <v/>
      </c>
    </row>
    <row r="708" spans="2:24" x14ac:dyDescent="0.25">
      <c r="B708" s="11" t="str">
        <f>CONCATENATE("CALF","-",LEFT(P708,2),UPPER(MID(P708,4,3)),RIGHT(P708,4))</f>
        <v>CALF-06JUL1896</v>
      </c>
      <c r="C708" s="11" t="s">
        <v>3204</v>
      </c>
      <c r="D708" s="11" t="s">
        <v>1699</v>
      </c>
      <c r="F708" s="11" t="s">
        <v>1700</v>
      </c>
      <c r="G708" s="39" t="s">
        <v>1706</v>
      </c>
      <c r="J708" s="17">
        <v>8</v>
      </c>
      <c r="K708" s="17"/>
      <c r="L708" s="7">
        <f>SUM(H708:K708)</f>
        <v>8</v>
      </c>
      <c r="M708" s="8">
        <v>1</v>
      </c>
      <c r="N708" s="8">
        <f>IF(L708&gt;0,1,"")</f>
        <v>1</v>
      </c>
      <c r="O708" s="11" t="s">
        <v>1702</v>
      </c>
      <c r="P708" s="16" t="str">
        <f>IF(LEN(G708)=10,CONCATENATE("0",G708),G708)</f>
        <v>06-Jul-1896</v>
      </c>
      <c r="R708" s="16" t="str">
        <f t="shared" ref="R708:S710" si="292">IF($L708&gt;0,"x","")</f>
        <v>x</v>
      </c>
      <c r="S708" s="16" t="str">
        <f t="shared" si="292"/>
        <v>x</v>
      </c>
      <c r="U708" s="46" t="str">
        <f t="shared" si="257"/>
        <v/>
      </c>
      <c r="V708" s="46">
        <f t="shared" si="257"/>
        <v>8</v>
      </c>
      <c r="W708" s="46" t="str">
        <f t="shared" si="257"/>
        <v/>
      </c>
      <c r="X708" s="46" t="str">
        <f t="shared" si="257"/>
        <v/>
      </c>
    </row>
    <row r="709" spans="2:24" x14ac:dyDescent="0.25">
      <c r="B709" s="11" t="str">
        <f>CONCATENATE("CALF","-",LEFT(P709,2),UPPER(MID(P709,4,3)),RIGHT(P709,4))</f>
        <v>CALF-23OCT1896</v>
      </c>
      <c r="C709" s="11" t="s">
        <v>3204</v>
      </c>
      <c r="D709" s="11" t="s">
        <v>1699</v>
      </c>
      <c r="F709" s="11" t="s">
        <v>1700</v>
      </c>
      <c r="G709" s="39" t="s">
        <v>3205</v>
      </c>
      <c r="J709" s="17">
        <v>183</v>
      </c>
      <c r="K709" s="17"/>
      <c r="L709" s="7">
        <f>SUM(H709:K709)</f>
        <v>183</v>
      </c>
      <c r="M709" s="8">
        <v>1</v>
      </c>
      <c r="N709" s="8">
        <f>IF(L709&gt;0,1,"")</f>
        <v>1</v>
      </c>
      <c r="O709" s="11" t="s">
        <v>1702</v>
      </c>
      <c r="P709" s="16" t="str">
        <f>IF(LEN(G709)=10,CONCATENATE("0",G709),G709)</f>
        <v>23-Oct-1896</v>
      </c>
      <c r="R709" s="16" t="str">
        <f t="shared" si="292"/>
        <v>x</v>
      </c>
      <c r="S709" s="16" t="str">
        <f t="shared" si="292"/>
        <v>x</v>
      </c>
      <c r="U709" s="46" t="str">
        <f t="shared" si="257"/>
        <v/>
      </c>
      <c r="V709" s="46">
        <f t="shared" si="257"/>
        <v>183</v>
      </c>
      <c r="W709" s="46" t="str">
        <f t="shared" si="257"/>
        <v/>
      </c>
      <c r="X709" s="46" t="str">
        <f t="shared" si="257"/>
        <v/>
      </c>
    </row>
    <row r="710" spans="2:24" x14ac:dyDescent="0.25">
      <c r="B710" s="11" t="str">
        <f>CONCATENATE("CALF","-",LEFT(P710,2),UPPER(MID(P710,4,3)),RIGHT(P710,4))</f>
        <v>CALF-28JUL1901</v>
      </c>
      <c r="C710" s="11" t="s">
        <v>3204</v>
      </c>
      <c r="D710" s="11" t="s">
        <v>3007</v>
      </c>
      <c r="E710" s="39" t="s">
        <v>3419</v>
      </c>
      <c r="F710" s="11" t="s">
        <v>1700</v>
      </c>
      <c r="G710" s="39" t="s">
        <v>3420</v>
      </c>
      <c r="J710" s="17">
        <v>7</v>
      </c>
      <c r="K710" s="17"/>
      <c r="L710" s="7">
        <f>SUM(H710:K710)</f>
        <v>7</v>
      </c>
      <c r="M710" s="8">
        <v>1</v>
      </c>
      <c r="N710" s="8">
        <f>IF(L710&gt;0,1,"")</f>
        <v>1</v>
      </c>
      <c r="O710" s="11" t="s">
        <v>1702</v>
      </c>
      <c r="P710" s="16" t="str">
        <f>IF(LEN(G710)=10,CONCATENATE("0",G710),G710)</f>
        <v>28-Jul-1901</v>
      </c>
      <c r="R710" s="16" t="str">
        <f t="shared" si="292"/>
        <v>x</v>
      </c>
      <c r="S710" s="16" t="str">
        <f t="shared" si="292"/>
        <v>x</v>
      </c>
      <c r="U710" s="46" t="str">
        <f t="shared" si="257"/>
        <v/>
      </c>
      <c r="V710" s="46">
        <f t="shared" si="257"/>
        <v>7</v>
      </c>
      <c r="W710" s="46" t="str">
        <f t="shared" si="257"/>
        <v/>
      </c>
      <c r="X710" s="46" t="str">
        <f t="shared" si="257"/>
        <v/>
      </c>
    </row>
    <row r="711" spans="2:24" x14ac:dyDescent="0.25">
      <c r="N711" s="8" t="str">
        <f>IF(R711="x",1,"")</f>
        <v/>
      </c>
      <c r="U711" s="46" t="str">
        <f t="shared" si="257"/>
        <v/>
      </c>
      <c r="V711" s="46" t="str">
        <f t="shared" si="257"/>
        <v/>
      </c>
      <c r="W711" s="46" t="str">
        <f t="shared" si="257"/>
        <v/>
      </c>
      <c r="X711" s="46" t="str">
        <f t="shared" si="257"/>
        <v/>
      </c>
    </row>
    <row r="712" spans="2:24" x14ac:dyDescent="0.25">
      <c r="B712" s="18"/>
      <c r="C712" s="18"/>
      <c r="D712" s="18"/>
      <c r="E712" s="40"/>
      <c r="F712" s="18"/>
      <c r="G712" s="40"/>
      <c r="H712" s="7">
        <f t="shared" ref="H712:N712" si="293">SUM(H708:H711)</f>
        <v>0</v>
      </c>
      <c r="I712" s="7">
        <f t="shared" si="293"/>
        <v>0</v>
      </c>
      <c r="J712" s="7">
        <f>SUM(J708:J711)</f>
        <v>198</v>
      </c>
      <c r="K712" s="7">
        <f t="shared" si="293"/>
        <v>0</v>
      </c>
      <c r="L712" s="7">
        <f t="shared" si="293"/>
        <v>198</v>
      </c>
      <c r="M712" s="7">
        <f t="shared" si="293"/>
        <v>3</v>
      </c>
      <c r="N712" s="7">
        <f t="shared" si="293"/>
        <v>3</v>
      </c>
      <c r="O712" s="18"/>
      <c r="P712" s="13"/>
      <c r="Q712" s="13"/>
      <c r="S712" s="13"/>
      <c r="T712" s="15"/>
      <c r="U712" s="46" t="str">
        <f t="shared" si="257"/>
        <v/>
      </c>
      <c r="V712" s="46" t="str">
        <f t="shared" si="257"/>
        <v/>
      </c>
      <c r="W712" s="46" t="str">
        <f t="shared" si="257"/>
        <v/>
      </c>
      <c r="X712" s="46" t="str">
        <f t="shared" si="257"/>
        <v/>
      </c>
    </row>
    <row r="713" spans="2:24" x14ac:dyDescent="0.25">
      <c r="B713" s="18"/>
      <c r="C713" s="18"/>
      <c r="D713" s="18"/>
      <c r="E713" s="40"/>
      <c r="F713" s="18"/>
      <c r="G713" s="40"/>
      <c r="N713" s="8" t="str">
        <f>IF(R713="x",1,"")</f>
        <v/>
      </c>
      <c r="O713" s="18"/>
      <c r="P713" s="13"/>
      <c r="Q713" s="13"/>
      <c r="R713" s="13"/>
      <c r="S713" s="13"/>
      <c r="T713" s="15"/>
      <c r="U713" s="46" t="str">
        <f t="shared" si="257"/>
        <v/>
      </c>
      <c r="V713" s="46" t="str">
        <f t="shared" si="257"/>
        <v/>
      </c>
      <c r="W713" s="46" t="str">
        <f t="shared" si="257"/>
        <v/>
      </c>
      <c r="X713" s="46" t="str">
        <f t="shared" si="257"/>
        <v/>
      </c>
    </row>
    <row r="714" spans="2:24" x14ac:dyDescent="0.25">
      <c r="B714" s="18"/>
      <c r="C714" s="18"/>
      <c r="D714" s="18"/>
      <c r="E714" s="40"/>
      <c r="F714" s="18"/>
      <c r="G714" s="40"/>
      <c r="N714" s="8" t="str">
        <f>IF(R714="x",1,"")</f>
        <v/>
      </c>
      <c r="O714" s="18"/>
      <c r="P714" s="13"/>
      <c r="Q714" s="13"/>
      <c r="R714" s="13"/>
      <c r="S714" s="13"/>
      <c r="T714" s="15"/>
      <c r="U714" s="46" t="str">
        <f t="shared" si="257"/>
        <v/>
      </c>
      <c r="V714" s="46" t="str">
        <f t="shared" si="257"/>
        <v/>
      </c>
      <c r="W714" s="46" t="str">
        <f t="shared" si="257"/>
        <v/>
      </c>
      <c r="X714" s="46" t="str">
        <f t="shared" si="257"/>
        <v/>
      </c>
    </row>
    <row r="715" spans="2:24" x14ac:dyDescent="0.25">
      <c r="B715" s="11" t="str">
        <f t="shared" ref="B715:B723" si="294">CONCATENATE("CALI","-",LEFT(P715,2),UPPER(MID(P715,4,3)),RIGHT(P715,4))</f>
        <v>CALI-18NOV1905</v>
      </c>
      <c r="C715" s="11" t="s">
        <v>3160</v>
      </c>
      <c r="D715" s="11" t="s">
        <v>1699</v>
      </c>
      <c r="E715" s="39" t="s">
        <v>3956</v>
      </c>
      <c r="F715" s="11" t="s">
        <v>1700</v>
      </c>
      <c r="G715" s="39" t="s">
        <v>2278</v>
      </c>
      <c r="I715" s="7">
        <v>1</v>
      </c>
      <c r="J715" s="17">
        <v>19</v>
      </c>
      <c r="K715" s="17"/>
      <c r="L715" s="7">
        <f t="shared" ref="L715:L723" si="295">SUM(H715:K715)</f>
        <v>20</v>
      </c>
      <c r="M715" s="8">
        <v>1</v>
      </c>
      <c r="N715" s="8">
        <f t="shared" ref="N715:N723" si="296">IF(L715&gt;0,1,"")</f>
        <v>1</v>
      </c>
      <c r="O715" s="11" t="s">
        <v>1702</v>
      </c>
      <c r="P715" s="16" t="str">
        <f t="shared" ref="P715:P723" si="297">IF(LEN(G715)=10,CONCATENATE("0",G715),G715)</f>
        <v>18-Nov-1905</v>
      </c>
      <c r="R715" s="16" t="str">
        <f>IF($L715&gt;0,"x","")</f>
        <v>x</v>
      </c>
      <c r="S715" s="16" t="str">
        <f>IF($L715&gt;0,"x","")</f>
        <v>x</v>
      </c>
      <c r="U715" s="46" t="str">
        <f t="shared" si="257"/>
        <v/>
      </c>
      <c r="V715" s="46">
        <f t="shared" si="257"/>
        <v>20</v>
      </c>
      <c r="W715" s="46" t="str">
        <f t="shared" si="257"/>
        <v/>
      </c>
      <c r="X715" s="46" t="str">
        <f t="shared" si="257"/>
        <v/>
      </c>
    </row>
    <row r="716" spans="2:24" x14ac:dyDescent="0.25">
      <c r="B716" s="11" t="str">
        <f>CONCATENATE("CALI","-",LEFT(P716,2),UPPER(MID(P716,4,3)),RIGHT(P716,4))</f>
        <v>CALI-10JUN1907</v>
      </c>
      <c r="C716" s="11" t="s">
        <v>3160</v>
      </c>
      <c r="D716" s="11" t="s">
        <v>1699</v>
      </c>
      <c r="E716" s="39" t="s">
        <v>2293</v>
      </c>
      <c r="F716" s="11" t="s">
        <v>1700</v>
      </c>
      <c r="G716" s="39" t="s">
        <v>6051</v>
      </c>
      <c r="J716" s="17">
        <v>12</v>
      </c>
      <c r="K716" s="17"/>
      <c r="L716" s="7">
        <f>SUM(H716:K716)</f>
        <v>12</v>
      </c>
      <c r="M716" s="8">
        <v>1</v>
      </c>
      <c r="N716" s="8">
        <f>IF(L716&gt;0,1,"")</f>
        <v>1</v>
      </c>
      <c r="O716" s="11" t="s">
        <v>1702</v>
      </c>
      <c r="P716" s="16" t="str">
        <f>IF(LEN(G716)=10,CONCATENATE("0",G716),G716)</f>
        <v>10-Jun-1907</v>
      </c>
      <c r="R716" s="16" t="str">
        <f t="shared" ref="R716:S723" si="298">IF($L716&gt;0,"x","")</f>
        <v>x</v>
      </c>
      <c r="S716" s="16" t="str">
        <f t="shared" si="298"/>
        <v>x</v>
      </c>
      <c r="U716" s="46" t="str">
        <f>IF($O716=U$5,$L716,"")</f>
        <v/>
      </c>
      <c r="V716" s="46">
        <f>IF($O716=V$5,$L716,"")</f>
        <v>12</v>
      </c>
      <c r="W716" s="46" t="str">
        <f>IF($O716=W$5,$L716,"")</f>
        <v/>
      </c>
      <c r="X716" s="46" t="str">
        <f>IF($O716=X$5,$L716,"")</f>
        <v/>
      </c>
    </row>
    <row r="717" spans="2:24" x14ac:dyDescent="0.25">
      <c r="B717" s="11" t="str">
        <f t="shared" si="294"/>
        <v>CALI-04OCT1907</v>
      </c>
      <c r="C717" s="11" t="s">
        <v>3160</v>
      </c>
      <c r="D717" s="11" t="s">
        <v>1699</v>
      </c>
      <c r="E717" s="39" t="s">
        <v>1460</v>
      </c>
      <c r="F717" s="11" t="s">
        <v>1700</v>
      </c>
      <c r="G717" s="39" t="s">
        <v>3161</v>
      </c>
      <c r="I717" s="7">
        <v>0</v>
      </c>
      <c r="J717" s="17">
        <v>14</v>
      </c>
      <c r="K717" s="17"/>
      <c r="L717" s="7">
        <f t="shared" si="295"/>
        <v>14</v>
      </c>
      <c r="M717" s="8">
        <v>1</v>
      </c>
      <c r="N717" s="8">
        <f t="shared" si="296"/>
        <v>1</v>
      </c>
      <c r="O717" s="11" t="s">
        <v>1702</v>
      </c>
      <c r="P717" s="16" t="str">
        <f t="shared" si="297"/>
        <v>04-Oct-1907</v>
      </c>
      <c r="R717" s="16" t="str">
        <f t="shared" si="298"/>
        <v>x</v>
      </c>
      <c r="S717" s="16" t="str">
        <f t="shared" si="298"/>
        <v>x</v>
      </c>
      <c r="U717" s="46" t="str">
        <f t="shared" si="257"/>
        <v/>
      </c>
      <c r="V717" s="46">
        <f t="shared" si="257"/>
        <v>14</v>
      </c>
      <c r="W717" s="46" t="str">
        <f t="shared" si="257"/>
        <v/>
      </c>
      <c r="X717" s="46" t="str">
        <f t="shared" si="257"/>
        <v/>
      </c>
    </row>
    <row r="718" spans="2:24" x14ac:dyDescent="0.25">
      <c r="B718" s="11" t="str">
        <f t="shared" si="294"/>
        <v>CALI-27APR1908</v>
      </c>
      <c r="C718" s="11" t="s">
        <v>3160</v>
      </c>
      <c r="D718" s="11" t="s">
        <v>1956</v>
      </c>
      <c r="E718" s="39" t="s">
        <v>4612</v>
      </c>
      <c r="F718" s="11" t="s">
        <v>1700</v>
      </c>
      <c r="G718" s="39" t="s">
        <v>4613</v>
      </c>
      <c r="J718" s="17">
        <v>8</v>
      </c>
      <c r="K718" s="17"/>
      <c r="L718" s="7">
        <f t="shared" si="295"/>
        <v>8</v>
      </c>
      <c r="M718" s="8">
        <v>1</v>
      </c>
      <c r="N718" s="8">
        <f t="shared" si="296"/>
        <v>1</v>
      </c>
      <c r="O718" s="11" t="s">
        <v>1702</v>
      </c>
      <c r="P718" s="16" t="str">
        <f t="shared" si="297"/>
        <v>27-Apr-1908</v>
      </c>
      <c r="R718" s="16" t="str">
        <f t="shared" si="298"/>
        <v>x</v>
      </c>
      <c r="S718" s="16" t="str">
        <f t="shared" si="298"/>
        <v>x</v>
      </c>
      <c r="U718" s="46" t="str">
        <f>IF($O718=U$5,$L718,"")</f>
        <v/>
      </c>
      <c r="V718" s="46">
        <f>IF($O718=V$5,$L718,"")</f>
        <v>8</v>
      </c>
      <c r="W718" s="46" t="str">
        <f>IF($O718=W$5,$L718,"")</f>
        <v/>
      </c>
      <c r="X718" s="46" t="str">
        <f>IF($O718=X$5,$L718,"")</f>
        <v/>
      </c>
    </row>
    <row r="719" spans="2:24" x14ac:dyDescent="0.25">
      <c r="B719" s="11" t="str">
        <f t="shared" si="294"/>
        <v>CALI-03FEB1909</v>
      </c>
      <c r="C719" s="11" t="s">
        <v>3160</v>
      </c>
      <c r="D719" s="11" t="s">
        <v>1956</v>
      </c>
      <c r="E719" s="39" t="s">
        <v>3833</v>
      </c>
      <c r="F719" s="11" t="s">
        <v>1700</v>
      </c>
      <c r="G719" s="39" t="s">
        <v>3834</v>
      </c>
      <c r="I719" s="7">
        <v>0</v>
      </c>
      <c r="J719" s="17">
        <v>8</v>
      </c>
      <c r="K719" s="17"/>
      <c r="L719" s="7">
        <f t="shared" si="295"/>
        <v>8</v>
      </c>
      <c r="M719" s="8">
        <v>1</v>
      </c>
      <c r="N719" s="8">
        <f t="shared" si="296"/>
        <v>1</v>
      </c>
      <c r="O719" s="11" t="s">
        <v>1702</v>
      </c>
      <c r="P719" s="16" t="str">
        <f t="shared" si="297"/>
        <v>03-Feb-1909</v>
      </c>
      <c r="R719" s="16" t="str">
        <f t="shared" si="298"/>
        <v>x</v>
      </c>
      <c r="S719" s="16" t="str">
        <f t="shared" si="298"/>
        <v>x</v>
      </c>
      <c r="U719" s="46" t="str">
        <f t="shared" si="257"/>
        <v/>
      </c>
      <c r="V719" s="46">
        <f t="shared" si="257"/>
        <v>8</v>
      </c>
      <c r="W719" s="46" t="str">
        <f t="shared" si="257"/>
        <v/>
      </c>
      <c r="X719" s="46" t="str">
        <f t="shared" si="257"/>
        <v/>
      </c>
    </row>
    <row r="720" spans="2:24" x14ac:dyDescent="0.25">
      <c r="B720" s="11" t="str">
        <f t="shared" si="294"/>
        <v>CALI-24MAY1909</v>
      </c>
      <c r="C720" s="11" t="s">
        <v>3160</v>
      </c>
      <c r="D720" s="11" t="s">
        <v>1956</v>
      </c>
      <c r="E720" s="39" t="s">
        <v>1230</v>
      </c>
      <c r="F720" s="11" t="s">
        <v>1700</v>
      </c>
      <c r="G720" s="39" t="s">
        <v>863</v>
      </c>
      <c r="I720" s="7">
        <v>0</v>
      </c>
      <c r="J720" s="17">
        <v>30</v>
      </c>
      <c r="K720" s="17"/>
      <c r="L720" s="7">
        <f t="shared" si="295"/>
        <v>30</v>
      </c>
      <c r="M720" s="8">
        <v>1</v>
      </c>
      <c r="N720" s="8">
        <f t="shared" si="296"/>
        <v>1</v>
      </c>
      <c r="O720" s="11" t="s">
        <v>1702</v>
      </c>
      <c r="P720" s="16" t="str">
        <f t="shared" si="297"/>
        <v>24-May-1909</v>
      </c>
      <c r="R720" s="16" t="str">
        <f t="shared" si="298"/>
        <v>x</v>
      </c>
      <c r="S720" s="16" t="str">
        <f t="shared" si="298"/>
        <v>x</v>
      </c>
      <c r="U720" s="46" t="str">
        <f t="shared" si="257"/>
        <v/>
      </c>
      <c r="V720" s="46">
        <f t="shared" si="257"/>
        <v>30</v>
      </c>
      <c r="W720" s="46" t="str">
        <f t="shared" si="257"/>
        <v/>
      </c>
      <c r="X720" s="46" t="str">
        <f t="shared" si="257"/>
        <v/>
      </c>
    </row>
    <row r="721" spans="2:24" x14ac:dyDescent="0.25">
      <c r="B721" s="11" t="str">
        <f>CONCATENATE("CALI","-",LEFT(P721,2),UPPER(MID(P721,4,3)),RIGHT(P721,4))</f>
        <v>CALI-14AUG1909</v>
      </c>
      <c r="C721" s="11" t="s">
        <v>3160</v>
      </c>
      <c r="D721" s="11" t="s">
        <v>1956</v>
      </c>
      <c r="E721" s="39" t="s">
        <v>3314</v>
      </c>
      <c r="F721" s="11" t="s">
        <v>1700</v>
      </c>
      <c r="G721" s="39" t="s">
        <v>2315</v>
      </c>
      <c r="I721" s="7">
        <v>0</v>
      </c>
      <c r="J721" s="17">
        <v>2</v>
      </c>
      <c r="K721" s="17"/>
      <c r="L721" s="7">
        <f>SUM(H721:K721)</f>
        <v>2</v>
      </c>
      <c r="M721" s="8">
        <v>1</v>
      </c>
      <c r="N721" s="8">
        <f>IF(L721&gt;0,1,"")</f>
        <v>1</v>
      </c>
      <c r="O721" s="11" t="s">
        <v>1702</v>
      </c>
      <c r="P721" s="16" t="str">
        <f>IF(LEN(G721)=10,CONCATENATE("0",G721),G721)</f>
        <v>14-Aug-1909</v>
      </c>
      <c r="R721" s="16" t="str">
        <f t="shared" si="298"/>
        <v>x</v>
      </c>
      <c r="S721" s="16" t="str">
        <f t="shared" si="298"/>
        <v>x</v>
      </c>
      <c r="U721" s="46" t="str">
        <f t="shared" ref="U721:X722" si="299">IF($O721=U$5,$L721,"")</f>
        <v/>
      </c>
      <c r="V721" s="46">
        <f t="shared" si="299"/>
        <v>2</v>
      </c>
      <c r="W721" s="46" t="str">
        <f t="shared" si="299"/>
        <v/>
      </c>
      <c r="X721" s="46" t="str">
        <f t="shared" si="299"/>
        <v/>
      </c>
    </row>
    <row r="722" spans="2:24" x14ac:dyDescent="0.25">
      <c r="B722" s="11" t="str">
        <f>CONCATENATE("CALI","-",LEFT(P722,2),UPPER(MID(P722,4,3)),RIGHT(P722,4))</f>
        <v>CALI-11JUL1910</v>
      </c>
      <c r="C722" s="11" t="s">
        <v>3160</v>
      </c>
      <c r="D722" s="11" t="s">
        <v>1699</v>
      </c>
      <c r="E722" s="39" t="s">
        <v>1251</v>
      </c>
      <c r="F722" s="11" t="s">
        <v>1700</v>
      </c>
      <c r="G722" s="39" t="s">
        <v>876</v>
      </c>
      <c r="I722" s="7">
        <v>0</v>
      </c>
      <c r="J722" s="17">
        <v>18</v>
      </c>
      <c r="K722" s="17"/>
      <c r="L722" s="7">
        <f>SUM(H722:K722)</f>
        <v>18</v>
      </c>
      <c r="M722" s="8">
        <v>1</v>
      </c>
      <c r="N722" s="8">
        <f>IF(L722&gt;0,1,"")</f>
        <v>1</v>
      </c>
      <c r="O722" s="11" t="s">
        <v>1702</v>
      </c>
      <c r="P722" s="16" t="str">
        <f>IF(LEN(G722)=10,CONCATENATE("0",G722),G722)</f>
        <v>11-Jul-1910</v>
      </c>
      <c r="R722" s="16" t="str">
        <f t="shared" si="298"/>
        <v>x</v>
      </c>
      <c r="S722" s="16" t="str">
        <f t="shared" si="298"/>
        <v>x</v>
      </c>
      <c r="U722" s="46" t="str">
        <f t="shared" si="299"/>
        <v/>
      </c>
      <c r="V722" s="46">
        <f t="shared" si="299"/>
        <v>18</v>
      </c>
      <c r="W722" s="46" t="str">
        <f t="shared" si="299"/>
        <v/>
      </c>
      <c r="X722" s="46" t="str">
        <f t="shared" si="299"/>
        <v/>
      </c>
    </row>
    <row r="723" spans="2:24" x14ac:dyDescent="0.25">
      <c r="B723" s="11" t="str">
        <f t="shared" si="294"/>
        <v>CALI-18MAY1913</v>
      </c>
      <c r="C723" s="11" t="s">
        <v>3160</v>
      </c>
      <c r="D723" s="11" t="s">
        <v>1699</v>
      </c>
      <c r="E723" s="39" t="s">
        <v>3899</v>
      </c>
      <c r="F723" s="11" t="s">
        <v>1700</v>
      </c>
      <c r="G723" s="39" t="s">
        <v>2773</v>
      </c>
      <c r="J723" s="17">
        <v>26</v>
      </c>
      <c r="K723" s="17"/>
      <c r="L723" s="7">
        <f t="shared" si="295"/>
        <v>26</v>
      </c>
      <c r="M723" s="8">
        <v>1</v>
      </c>
      <c r="N723" s="8">
        <f t="shared" si="296"/>
        <v>1</v>
      </c>
      <c r="O723" s="11" t="s">
        <v>1702</v>
      </c>
      <c r="P723" s="16" t="str">
        <f t="shared" si="297"/>
        <v>18-May-1913</v>
      </c>
      <c r="R723" s="16" t="str">
        <f t="shared" si="298"/>
        <v>x</v>
      </c>
      <c r="S723" s="16" t="str">
        <f t="shared" si="298"/>
        <v>x</v>
      </c>
      <c r="U723" s="46" t="str">
        <f t="shared" si="257"/>
        <v/>
      </c>
      <c r="V723" s="46">
        <f t="shared" si="257"/>
        <v>26</v>
      </c>
      <c r="W723" s="46" t="str">
        <f t="shared" si="257"/>
        <v/>
      </c>
      <c r="X723" s="46" t="str">
        <f t="shared" si="257"/>
        <v/>
      </c>
    </row>
    <row r="724" spans="2:24" x14ac:dyDescent="0.25">
      <c r="N724" s="8" t="str">
        <f>IF(R724="x",1,"")</f>
        <v/>
      </c>
      <c r="U724" s="46" t="str">
        <f t="shared" si="257"/>
        <v/>
      </c>
      <c r="V724" s="46" t="str">
        <f t="shared" si="257"/>
        <v/>
      </c>
      <c r="W724" s="46" t="str">
        <f t="shared" si="257"/>
        <v/>
      </c>
      <c r="X724" s="46" t="str">
        <f t="shared" si="257"/>
        <v/>
      </c>
    </row>
    <row r="725" spans="2:24" x14ac:dyDescent="0.25">
      <c r="B725" s="18"/>
      <c r="C725" s="18"/>
      <c r="D725" s="18"/>
      <c r="E725" s="40"/>
      <c r="F725" s="18"/>
      <c r="G725" s="40"/>
      <c r="H725" s="7">
        <f t="shared" ref="H725:N725" si="300">SUM(H715:H724)</f>
        <v>0</v>
      </c>
      <c r="I725" s="7">
        <f t="shared" si="300"/>
        <v>1</v>
      </c>
      <c r="J725" s="7">
        <f>SUM(J715:J724)</f>
        <v>137</v>
      </c>
      <c r="K725" s="7">
        <f t="shared" si="300"/>
        <v>0</v>
      </c>
      <c r="L725" s="7">
        <f t="shared" si="300"/>
        <v>138</v>
      </c>
      <c r="M725" s="7">
        <f t="shared" si="300"/>
        <v>9</v>
      </c>
      <c r="N725" s="7">
        <f t="shared" si="300"/>
        <v>9</v>
      </c>
      <c r="O725" s="18"/>
      <c r="P725" s="13"/>
      <c r="Q725" s="13"/>
      <c r="S725" s="13"/>
      <c r="T725" s="15"/>
      <c r="U725" s="46" t="str">
        <f t="shared" si="257"/>
        <v/>
      </c>
      <c r="V725" s="46" t="str">
        <f t="shared" si="257"/>
        <v/>
      </c>
      <c r="W725" s="46" t="str">
        <f t="shared" si="257"/>
        <v/>
      </c>
      <c r="X725" s="46" t="str">
        <f t="shared" si="257"/>
        <v/>
      </c>
    </row>
    <row r="726" spans="2:24" x14ac:dyDescent="0.25">
      <c r="B726" s="18"/>
      <c r="C726" s="18"/>
      <c r="D726" s="18"/>
      <c r="E726" s="40"/>
      <c r="F726" s="18"/>
      <c r="G726" s="40"/>
      <c r="N726" s="8" t="str">
        <f>IF(R726="x",1,"")</f>
        <v/>
      </c>
      <c r="O726" s="18"/>
      <c r="P726" s="13"/>
      <c r="Q726" s="13"/>
      <c r="R726" s="13"/>
      <c r="S726" s="13"/>
      <c r="T726" s="15"/>
      <c r="U726" s="46" t="str">
        <f t="shared" ref="U726:X732" si="301">IF($O726=U$5,$L726,"")</f>
        <v/>
      </c>
      <c r="V726" s="46" t="str">
        <f t="shared" si="301"/>
        <v/>
      </c>
      <c r="W726" s="46" t="str">
        <f t="shared" si="301"/>
        <v/>
      </c>
      <c r="X726" s="46" t="str">
        <f t="shared" si="301"/>
        <v/>
      </c>
    </row>
    <row r="727" spans="2:24" x14ac:dyDescent="0.25">
      <c r="B727" s="18"/>
      <c r="C727" s="18"/>
      <c r="D727" s="18"/>
      <c r="E727" s="40"/>
      <c r="F727" s="18"/>
      <c r="G727" s="40"/>
      <c r="N727" s="8" t="str">
        <f>IF(R727="x",1,"")</f>
        <v/>
      </c>
      <c r="O727" s="18"/>
      <c r="P727" s="13"/>
      <c r="Q727" s="13"/>
      <c r="R727" s="13"/>
      <c r="S727" s="13"/>
      <c r="T727" s="15"/>
      <c r="U727" s="46" t="str">
        <f t="shared" si="301"/>
        <v/>
      </c>
      <c r="V727" s="46" t="str">
        <f t="shared" si="301"/>
        <v/>
      </c>
      <c r="W727" s="46" t="str">
        <f t="shared" si="301"/>
        <v/>
      </c>
      <c r="X727" s="46" t="str">
        <f t="shared" si="301"/>
        <v/>
      </c>
    </row>
    <row r="728" spans="2:24" x14ac:dyDescent="0.25">
      <c r="B728" s="11" t="str">
        <f>CONCATENATE("CAMB","-",LEFT(P728,2),UPPER(MID(P728,4,3)),RIGHT(P728,4))</f>
        <v>CAMB-30JAN1900</v>
      </c>
      <c r="C728" s="11" t="s">
        <v>4095</v>
      </c>
      <c r="D728" s="11" t="s">
        <v>2097</v>
      </c>
      <c r="E728" s="39" t="s">
        <v>5154</v>
      </c>
      <c r="F728" s="11" t="s">
        <v>2922</v>
      </c>
      <c r="G728" s="39" t="s">
        <v>5155</v>
      </c>
      <c r="J728" s="17">
        <v>6</v>
      </c>
      <c r="K728" s="17"/>
      <c r="L728" s="7">
        <f>SUM(H728:K728)</f>
        <v>6</v>
      </c>
      <c r="M728" s="8">
        <v>1</v>
      </c>
      <c r="N728" s="8">
        <f>IF(L728&gt;0,1,"")</f>
        <v>1</v>
      </c>
      <c r="O728" s="11" t="s">
        <v>1702</v>
      </c>
      <c r="P728" s="16" t="str">
        <f>IF(LEN(G728)=10,CONCATENATE("0",G728),G728)</f>
        <v>30-Jan-1900</v>
      </c>
      <c r="R728" s="16" t="str">
        <f t="shared" ref="R728:S730" si="302">IF($L728&gt;0,"x","")</f>
        <v>x</v>
      </c>
      <c r="S728" s="16" t="str">
        <f t="shared" si="302"/>
        <v>x</v>
      </c>
      <c r="U728" s="46" t="str">
        <f t="shared" si="301"/>
        <v/>
      </c>
      <c r="V728" s="46">
        <f t="shared" si="301"/>
        <v>6</v>
      </c>
      <c r="W728" s="46" t="str">
        <f t="shared" si="301"/>
        <v/>
      </c>
      <c r="X728" s="46" t="str">
        <f t="shared" si="301"/>
        <v/>
      </c>
    </row>
    <row r="729" spans="2:24" x14ac:dyDescent="0.25">
      <c r="B729" s="11" t="str">
        <f>CONCATENATE("CAMB","-",LEFT(P729,2),UPPER(MID(P729,4,3)),RIGHT(P729,4))</f>
        <v>CAMB-25APR1903</v>
      </c>
      <c r="C729" s="11" t="s">
        <v>4095</v>
      </c>
      <c r="D729" s="11" t="s">
        <v>3007</v>
      </c>
      <c r="E729" s="39" t="s">
        <v>4096</v>
      </c>
      <c r="F729" s="11" t="s">
        <v>3050</v>
      </c>
      <c r="G729" s="39" t="s">
        <v>1391</v>
      </c>
      <c r="H729" s="7">
        <v>0</v>
      </c>
      <c r="I729" s="7">
        <v>0</v>
      </c>
      <c r="J729" s="17">
        <v>5</v>
      </c>
      <c r="K729" s="17"/>
      <c r="L729" s="7">
        <f>SUM(H729:K729)</f>
        <v>5</v>
      </c>
      <c r="M729" s="8">
        <v>1</v>
      </c>
      <c r="N729" s="8">
        <f>IF(L729&gt;0,1,"")</f>
        <v>1</v>
      </c>
      <c r="O729" s="11" t="s">
        <v>1702</v>
      </c>
      <c r="P729" s="16" t="str">
        <f>IF(LEN(G729)=10,CONCATENATE("0",G729),G729)</f>
        <v>25-Apr-1903</v>
      </c>
      <c r="R729" s="16" t="str">
        <f t="shared" si="302"/>
        <v>x</v>
      </c>
      <c r="S729" s="16" t="str">
        <f t="shared" si="302"/>
        <v>x</v>
      </c>
      <c r="U729" s="46" t="str">
        <f t="shared" si="301"/>
        <v/>
      </c>
      <c r="V729" s="46">
        <f t="shared" si="301"/>
        <v>5</v>
      </c>
      <c r="W729" s="46" t="str">
        <f t="shared" si="301"/>
        <v/>
      </c>
      <c r="X729" s="46" t="str">
        <f t="shared" si="301"/>
        <v/>
      </c>
    </row>
    <row r="730" spans="2:24" x14ac:dyDescent="0.25">
      <c r="B730" s="11" t="str">
        <f>CONCATENATE("CAMB","-",LEFT(P730,2),UPPER(MID(P730,4,3)),RIGHT(P730,4))</f>
        <v>CAMB-17SEP1903</v>
      </c>
      <c r="C730" s="11" t="s">
        <v>4095</v>
      </c>
      <c r="D730" s="11" t="s">
        <v>3007</v>
      </c>
      <c r="E730" s="39" t="s">
        <v>5108</v>
      </c>
      <c r="F730" s="11" t="s">
        <v>3050</v>
      </c>
      <c r="G730" s="39" t="s">
        <v>5109</v>
      </c>
      <c r="H730" s="7">
        <v>0</v>
      </c>
      <c r="I730" s="7">
        <v>0</v>
      </c>
      <c r="J730" s="17">
        <v>11</v>
      </c>
      <c r="K730" s="17"/>
      <c r="L730" s="7">
        <f>SUM(H730:K730)</f>
        <v>11</v>
      </c>
      <c r="M730" s="8">
        <v>1</v>
      </c>
      <c r="N730" s="8">
        <f>IF(L730&gt;0,1,"")</f>
        <v>1</v>
      </c>
      <c r="O730" s="11" t="s">
        <v>1702</v>
      </c>
      <c r="P730" s="16" t="str">
        <f>IF(LEN(G730)=10,CONCATENATE("0",G730),G730)</f>
        <v>17-Sep-1903</v>
      </c>
      <c r="R730" s="16" t="str">
        <f t="shared" si="302"/>
        <v>x</v>
      </c>
      <c r="S730" s="16" t="str">
        <f t="shared" si="302"/>
        <v>x</v>
      </c>
      <c r="U730" s="46" t="str">
        <f t="shared" si="301"/>
        <v/>
      </c>
      <c r="V730" s="46">
        <f t="shared" si="301"/>
        <v>11</v>
      </c>
      <c r="W730" s="46" t="str">
        <f t="shared" si="301"/>
        <v/>
      </c>
      <c r="X730" s="46" t="str">
        <f t="shared" si="301"/>
        <v/>
      </c>
    </row>
    <row r="731" spans="2:24" x14ac:dyDescent="0.25">
      <c r="N731" s="8" t="str">
        <f>IF(R731="x",1,"")</f>
        <v/>
      </c>
      <c r="U731" s="46" t="str">
        <f t="shared" si="301"/>
        <v/>
      </c>
      <c r="V731" s="46" t="str">
        <f t="shared" si="301"/>
        <v/>
      </c>
      <c r="W731" s="46" t="str">
        <f t="shared" si="301"/>
        <v/>
      </c>
      <c r="X731" s="46" t="str">
        <f t="shared" si="301"/>
        <v/>
      </c>
    </row>
    <row r="732" spans="2:24" x14ac:dyDescent="0.25">
      <c r="B732" s="18"/>
      <c r="C732" s="18"/>
      <c r="D732" s="18"/>
      <c r="E732" s="40"/>
      <c r="F732" s="18"/>
      <c r="G732" s="40"/>
      <c r="H732" s="7">
        <f t="shared" ref="H732:N732" si="303">SUM(H728:H731)</f>
        <v>0</v>
      </c>
      <c r="I732" s="7">
        <f t="shared" si="303"/>
        <v>0</v>
      </c>
      <c r="J732" s="7">
        <f>SUM(J728:J731)</f>
        <v>22</v>
      </c>
      <c r="K732" s="7">
        <f t="shared" si="303"/>
        <v>0</v>
      </c>
      <c r="L732" s="7">
        <f t="shared" si="303"/>
        <v>22</v>
      </c>
      <c r="M732" s="7">
        <f t="shared" si="303"/>
        <v>3</v>
      </c>
      <c r="N732" s="7">
        <f t="shared" si="303"/>
        <v>3</v>
      </c>
      <c r="O732" s="18"/>
      <c r="P732" s="13"/>
      <c r="Q732" s="13"/>
      <c r="S732" s="13"/>
      <c r="T732" s="15"/>
      <c r="U732" s="46" t="str">
        <f t="shared" si="301"/>
        <v/>
      </c>
      <c r="V732" s="46" t="str">
        <f t="shared" si="301"/>
        <v/>
      </c>
      <c r="W732" s="46" t="str">
        <f t="shared" si="301"/>
        <v/>
      </c>
      <c r="X732" s="46" t="str">
        <f t="shared" si="301"/>
        <v/>
      </c>
    </row>
    <row r="733" spans="2:24" x14ac:dyDescent="0.25">
      <c r="B733" s="18"/>
      <c r="C733" s="18"/>
      <c r="D733" s="18"/>
      <c r="E733" s="40"/>
      <c r="F733" s="18"/>
      <c r="G733" s="40"/>
      <c r="N733" s="8" t="str">
        <f>IF(R733="x",1,"")</f>
        <v/>
      </c>
      <c r="O733" s="18"/>
      <c r="P733" s="13"/>
      <c r="Q733" s="13"/>
      <c r="R733" s="13"/>
      <c r="S733" s="13"/>
      <c r="T733" s="15"/>
      <c r="U733" s="46" t="str">
        <f t="shared" si="257"/>
        <v/>
      </c>
      <c r="V733" s="46" t="str">
        <f t="shared" si="257"/>
        <v/>
      </c>
      <c r="W733" s="46" t="str">
        <f t="shared" si="257"/>
        <v/>
      </c>
      <c r="X733" s="46" t="str">
        <f t="shared" si="257"/>
        <v/>
      </c>
    </row>
    <row r="734" spans="2:24" x14ac:dyDescent="0.25">
      <c r="B734" s="18"/>
      <c r="C734" s="18"/>
      <c r="D734" s="18"/>
      <c r="E734" s="40"/>
      <c r="F734" s="18"/>
      <c r="G734" s="40"/>
      <c r="N734" s="8" t="str">
        <f>IF(R734="x",1,"")</f>
        <v/>
      </c>
      <c r="O734" s="18"/>
      <c r="P734" s="13"/>
      <c r="Q734" s="13"/>
      <c r="R734" s="13"/>
      <c r="S734" s="13"/>
      <c r="T734" s="15"/>
      <c r="U734" s="46" t="str">
        <f t="shared" si="257"/>
        <v/>
      </c>
      <c r="V734" s="46" t="str">
        <f t="shared" si="257"/>
        <v/>
      </c>
      <c r="W734" s="46" t="str">
        <f t="shared" si="257"/>
        <v/>
      </c>
      <c r="X734" s="46" t="str">
        <f t="shared" si="257"/>
        <v/>
      </c>
    </row>
    <row r="735" spans="2:24" x14ac:dyDescent="0.25">
      <c r="B735" s="11" t="str">
        <f>CONCATENATE("CMPN","-",LEFT(P735,2),UPPER(MID(P735,4,3)),RIGHT(P735,4))</f>
        <v>CMPN-02OCT1910</v>
      </c>
      <c r="C735" s="11" t="s">
        <v>5324</v>
      </c>
      <c r="D735" s="11" t="s">
        <v>3462</v>
      </c>
      <c r="E735" s="39" t="s">
        <v>5325</v>
      </c>
      <c r="F735" s="11" t="s">
        <v>2904</v>
      </c>
      <c r="G735" s="39" t="s">
        <v>2685</v>
      </c>
      <c r="I735" s="7">
        <v>0</v>
      </c>
      <c r="J735" s="17">
        <v>13</v>
      </c>
      <c r="K735" s="17"/>
      <c r="L735" s="7">
        <f>SUM(H735:K735)</f>
        <v>13</v>
      </c>
      <c r="M735" s="8">
        <v>1</v>
      </c>
      <c r="N735" s="8">
        <f>IF(L735&gt;0,1,"")</f>
        <v>1</v>
      </c>
      <c r="O735" s="11" t="s">
        <v>1702</v>
      </c>
      <c r="P735" s="16" t="str">
        <f>IF(LEN(G735)=10,CONCATENATE("0",G735),G735)</f>
        <v>02-Oct-1910</v>
      </c>
      <c r="R735" s="16" t="str">
        <f>IF($L735&gt;0,"x","")</f>
        <v>x</v>
      </c>
      <c r="S735" s="16" t="str">
        <f>IF($L735&gt;0,"x","")</f>
        <v>x</v>
      </c>
      <c r="U735" s="46" t="str">
        <f t="shared" si="257"/>
        <v/>
      </c>
      <c r="V735" s="46">
        <f t="shared" si="257"/>
        <v>13</v>
      </c>
      <c r="W735" s="46" t="str">
        <f t="shared" si="257"/>
        <v/>
      </c>
      <c r="X735" s="46" t="str">
        <f t="shared" si="257"/>
        <v/>
      </c>
    </row>
    <row r="736" spans="2:24" x14ac:dyDescent="0.25">
      <c r="N736" s="8" t="str">
        <f>IF(R736="x",1,"")</f>
        <v/>
      </c>
      <c r="U736" s="46" t="str">
        <f t="shared" si="257"/>
        <v/>
      </c>
      <c r="V736" s="46" t="str">
        <f t="shared" si="257"/>
        <v/>
      </c>
      <c r="W736" s="46" t="str">
        <f t="shared" si="257"/>
        <v/>
      </c>
      <c r="X736" s="46" t="str">
        <f t="shared" si="257"/>
        <v/>
      </c>
    </row>
    <row r="737" spans="2:26" x14ac:dyDescent="0.25">
      <c r="B737" s="18"/>
      <c r="C737" s="18"/>
      <c r="D737" s="18"/>
      <c r="E737" s="40"/>
      <c r="F737" s="18"/>
      <c r="G737" s="40"/>
      <c r="H737" s="7">
        <f t="shared" ref="H737:N737" si="304">SUM(H735:H736)</f>
        <v>0</v>
      </c>
      <c r="I737" s="7">
        <f t="shared" si="304"/>
        <v>0</v>
      </c>
      <c r="J737" s="7">
        <f>SUM(J735:J736)</f>
        <v>13</v>
      </c>
      <c r="K737" s="7">
        <f t="shared" si="304"/>
        <v>0</v>
      </c>
      <c r="L737" s="7">
        <f t="shared" si="304"/>
        <v>13</v>
      </c>
      <c r="M737" s="7">
        <f t="shared" si="304"/>
        <v>1</v>
      </c>
      <c r="N737" s="7">
        <f t="shared" si="304"/>
        <v>1</v>
      </c>
      <c r="O737" s="18"/>
      <c r="P737" s="13"/>
      <c r="Q737" s="13"/>
      <c r="S737" s="13"/>
      <c r="T737" s="15"/>
      <c r="U737" s="46" t="str">
        <f t="shared" si="257"/>
        <v/>
      </c>
      <c r="V737" s="46" t="str">
        <f t="shared" si="257"/>
        <v/>
      </c>
      <c r="W737" s="46" t="str">
        <f t="shared" si="257"/>
        <v/>
      </c>
      <c r="X737" s="46" t="str">
        <f t="shared" si="257"/>
        <v/>
      </c>
    </row>
    <row r="738" spans="2:26" x14ac:dyDescent="0.25">
      <c r="B738" s="18"/>
      <c r="C738" s="18"/>
      <c r="D738" s="18"/>
      <c r="E738" s="40"/>
      <c r="F738" s="18"/>
      <c r="G738" s="40"/>
      <c r="N738" s="8" t="str">
        <f>IF(R738="x",1,"")</f>
        <v/>
      </c>
      <c r="O738" s="18"/>
      <c r="P738" s="13"/>
      <c r="Q738" s="13"/>
      <c r="R738" s="13"/>
      <c r="S738" s="13"/>
      <c r="T738" s="15"/>
      <c r="U738" s="46" t="str">
        <f t="shared" si="257"/>
        <v/>
      </c>
      <c r="V738" s="46" t="str">
        <f t="shared" si="257"/>
        <v/>
      </c>
      <c r="W738" s="46" t="str">
        <f t="shared" si="257"/>
        <v/>
      </c>
      <c r="X738" s="46" t="str">
        <f t="shared" si="257"/>
        <v/>
      </c>
    </row>
    <row r="739" spans="2:26" x14ac:dyDescent="0.25">
      <c r="B739" s="18"/>
      <c r="C739" s="18"/>
      <c r="D739" s="18"/>
      <c r="E739" s="40"/>
      <c r="F739" s="18"/>
      <c r="G739" s="40"/>
      <c r="N739" s="8" t="str">
        <f>IF(R739="x",1,"")</f>
        <v/>
      </c>
      <c r="O739" s="18"/>
      <c r="P739" s="13"/>
      <c r="Q739" s="13"/>
      <c r="R739" s="13"/>
      <c r="S739" s="13"/>
      <c r="T739" s="15"/>
      <c r="U739" s="46" t="str">
        <f t="shared" si="257"/>
        <v/>
      </c>
      <c r="V739" s="46" t="str">
        <f t="shared" si="257"/>
        <v/>
      </c>
      <c r="W739" s="46" t="str">
        <f t="shared" si="257"/>
        <v/>
      </c>
      <c r="X739" s="46" t="str">
        <f t="shared" si="257"/>
        <v/>
      </c>
    </row>
    <row r="740" spans="2:26" x14ac:dyDescent="0.25">
      <c r="B740" s="11" t="str">
        <f t="shared" ref="B740:B749" si="305">CONCATENATE("CAMP","-",LEFT(P740,2),UPPER(MID(P740,4,3)),RIGHT(P740,4))</f>
        <v>CAMP-13JUN1896</v>
      </c>
      <c r="C740" s="11" t="s">
        <v>2916</v>
      </c>
      <c r="D740" s="11" t="s">
        <v>2097</v>
      </c>
      <c r="F740" s="11" t="s">
        <v>1700</v>
      </c>
      <c r="G740" s="39" t="s">
        <v>2484</v>
      </c>
      <c r="H740" s="7">
        <v>0</v>
      </c>
      <c r="I740" s="7">
        <v>0</v>
      </c>
      <c r="J740" s="17">
        <v>3</v>
      </c>
      <c r="K740" s="17"/>
      <c r="L740" s="7">
        <f t="shared" ref="L740:L749" si="306">SUM(H740:K740)</f>
        <v>3</v>
      </c>
      <c r="M740" s="8">
        <v>1</v>
      </c>
      <c r="N740" s="8">
        <f t="shared" ref="N740:N749" si="307">IF(L740&gt;0,1,"")</f>
        <v>1</v>
      </c>
      <c r="O740" s="11" t="s">
        <v>1702</v>
      </c>
      <c r="P740" s="16" t="str">
        <f t="shared" ref="P740:P749" si="308">IF(LEN(G740)=10,CONCATENATE("0",G740),G740)</f>
        <v>13-Jun-1896</v>
      </c>
      <c r="R740" s="16" t="str">
        <f t="shared" ref="R740:S743" si="309">IF($L740&gt;0,"x","")</f>
        <v>x</v>
      </c>
      <c r="S740" s="16" t="str">
        <f t="shared" si="309"/>
        <v>x</v>
      </c>
      <c r="U740" s="46" t="str">
        <f t="shared" si="257"/>
        <v/>
      </c>
      <c r="V740" s="46">
        <f t="shared" si="257"/>
        <v>3</v>
      </c>
      <c r="W740" s="46" t="str">
        <f t="shared" si="257"/>
        <v/>
      </c>
      <c r="X740" s="46" t="str">
        <f t="shared" si="257"/>
        <v/>
      </c>
    </row>
    <row r="741" spans="2:26" x14ac:dyDescent="0.25">
      <c r="B741" s="11" t="str">
        <f>CONCATENATE("CAMP","-",LEFT(P741,2),UPPER(MID(P741,4,3)),RIGHT(P741,4))</f>
        <v>CAMP-11JUN1898</v>
      </c>
      <c r="C741" s="11" t="s">
        <v>2916</v>
      </c>
      <c r="D741" s="11" t="s">
        <v>2097</v>
      </c>
      <c r="E741" s="39" t="s">
        <v>43</v>
      </c>
      <c r="F741" s="11" t="s">
        <v>1700</v>
      </c>
      <c r="G741" s="39" t="s">
        <v>5179</v>
      </c>
      <c r="J741" s="17">
        <v>2</v>
      </c>
      <c r="K741" s="17"/>
      <c r="L741" s="7">
        <f>SUM(H741:K741)</f>
        <v>2</v>
      </c>
      <c r="M741" s="8">
        <v>1</v>
      </c>
      <c r="N741" s="8">
        <f>IF(L741&gt;0,1,"")</f>
        <v>1</v>
      </c>
      <c r="O741" s="11" t="s">
        <v>1702</v>
      </c>
      <c r="P741" s="16" t="str">
        <f>IF(LEN(G741)=10,CONCATENATE("0",G741),G741)</f>
        <v>11-Jun-1898</v>
      </c>
      <c r="R741" s="16" t="str">
        <f t="shared" si="309"/>
        <v>x</v>
      </c>
      <c r="S741" s="16" t="str">
        <f t="shared" si="309"/>
        <v>x</v>
      </c>
      <c r="U741" s="46" t="str">
        <f>IF($O741=U$5,$L741,"")</f>
        <v/>
      </c>
      <c r="V741" s="46">
        <f>IF($O741=V$5,$L741,"")</f>
        <v>2</v>
      </c>
      <c r="W741" s="46" t="str">
        <f>IF($O741=W$5,$L741,"")</f>
        <v/>
      </c>
      <c r="X741" s="46" t="str">
        <f>IF($O741=X$5,$L741,"")</f>
        <v/>
      </c>
    </row>
    <row r="742" spans="2:26" x14ac:dyDescent="0.25">
      <c r="B742" s="11" t="str">
        <f t="shared" si="305"/>
        <v>CAMP-24DEC1904</v>
      </c>
      <c r="C742" s="11" t="s">
        <v>2916</v>
      </c>
      <c r="D742" s="11" t="s">
        <v>2097</v>
      </c>
      <c r="E742" s="39" t="s">
        <v>1412</v>
      </c>
      <c r="F742" s="11" t="s">
        <v>1700</v>
      </c>
      <c r="G742" s="39" t="s">
        <v>1402</v>
      </c>
      <c r="H742" s="7">
        <v>0</v>
      </c>
      <c r="I742" s="7">
        <v>3</v>
      </c>
      <c r="J742" s="17">
        <v>30</v>
      </c>
      <c r="K742" s="17"/>
      <c r="L742" s="7">
        <f t="shared" si="306"/>
        <v>33</v>
      </c>
      <c r="M742" s="8">
        <v>1</v>
      </c>
      <c r="N742" s="8">
        <f t="shared" si="307"/>
        <v>1</v>
      </c>
      <c r="O742" s="11" t="s">
        <v>1702</v>
      </c>
      <c r="P742" s="16" t="str">
        <f t="shared" si="308"/>
        <v>24-Dec-1904</v>
      </c>
      <c r="R742" s="16" t="str">
        <f t="shared" si="309"/>
        <v>x</v>
      </c>
      <c r="S742" s="16" t="str">
        <f t="shared" si="309"/>
        <v>x</v>
      </c>
      <c r="U742" s="46" t="str">
        <f t="shared" si="257"/>
        <v/>
      </c>
      <c r="V742" s="46">
        <f t="shared" si="257"/>
        <v>33</v>
      </c>
      <c r="W742" s="46" t="str">
        <f t="shared" si="257"/>
        <v/>
      </c>
      <c r="X742" s="46" t="str">
        <f t="shared" si="257"/>
        <v/>
      </c>
    </row>
    <row r="743" spans="2:26" x14ac:dyDescent="0.25">
      <c r="B743" s="11" t="str">
        <f t="shared" si="305"/>
        <v>CAMP-06MAR1910</v>
      </c>
      <c r="C743" s="11" t="s">
        <v>2916</v>
      </c>
      <c r="D743" s="11" t="s">
        <v>3462</v>
      </c>
      <c r="E743" s="39" t="s">
        <v>4681</v>
      </c>
      <c r="F743" s="11" t="s">
        <v>2904</v>
      </c>
      <c r="G743" s="39" t="s">
        <v>4682</v>
      </c>
      <c r="I743" s="7">
        <v>0</v>
      </c>
      <c r="J743" s="17">
        <f>24+4</f>
        <v>28</v>
      </c>
      <c r="K743" s="17"/>
      <c r="L743" s="7">
        <f t="shared" si="306"/>
        <v>28</v>
      </c>
      <c r="M743" s="8">
        <v>1</v>
      </c>
      <c r="N743" s="8">
        <f t="shared" si="307"/>
        <v>1</v>
      </c>
      <c r="O743" s="11" t="s">
        <v>1702</v>
      </c>
      <c r="P743" s="16" t="str">
        <f t="shared" si="308"/>
        <v>06-Mar-1910</v>
      </c>
      <c r="R743" s="16" t="str">
        <f t="shared" si="309"/>
        <v>x</v>
      </c>
      <c r="S743" s="16" t="str">
        <f t="shared" si="309"/>
        <v>x</v>
      </c>
      <c r="U743" s="46" t="str">
        <f>IF($O743=U$5,$L743,"")</f>
        <v/>
      </c>
      <c r="V743" s="46">
        <f>IF($O743=V$5,$L743,"")</f>
        <v>28</v>
      </c>
      <c r="W743" s="46" t="str">
        <f>IF($O743=W$5,$L743,"")</f>
        <v/>
      </c>
      <c r="X743" s="46" t="str">
        <f>IF($O743=X$5,$L743,"")</f>
        <v/>
      </c>
    </row>
    <row r="744" spans="2:26" x14ac:dyDescent="0.25">
      <c r="B744" s="11" t="str">
        <f t="shared" si="305"/>
        <v>CAMP-16APR1910</v>
      </c>
      <c r="C744" s="11" t="s">
        <v>2916</v>
      </c>
      <c r="D744" s="11" t="s">
        <v>2097</v>
      </c>
      <c r="E744" s="39" t="s">
        <v>2997</v>
      </c>
      <c r="F744" s="11" t="s">
        <v>2904</v>
      </c>
      <c r="G744" s="39" t="s">
        <v>892</v>
      </c>
      <c r="I744" s="7">
        <v>6</v>
      </c>
      <c r="J744" s="17">
        <v>36</v>
      </c>
      <c r="K744" s="17"/>
      <c r="L744" s="7">
        <f t="shared" si="306"/>
        <v>42</v>
      </c>
      <c r="M744" s="8">
        <v>1</v>
      </c>
      <c r="N744" s="8">
        <f t="shared" si="307"/>
        <v>1</v>
      </c>
      <c r="O744" s="11" t="s">
        <v>1702</v>
      </c>
      <c r="P744" s="16" t="str">
        <f t="shared" si="308"/>
        <v>16-Apr-1910</v>
      </c>
      <c r="R744" s="16" t="str">
        <f t="shared" ref="R744:S749" si="310">IF($L744&gt;0,"x","")</f>
        <v>x</v>
      </c>
      <c r="S744" s="16" t="str">
        <f t="shared" si="310"/>
        <v>x</v>
      </c>
      <c r="U744" s="46" t="str">
        <f t="shared" si="257"/>
        <v/>
      </c>
      <c r="V744" s="46">
        <f t="shared" si="257"/>
        <v>42</v>
      </c>
      <c r="W744" s="46" t="str">
        <f t="shared" si="257"/>
        <v/>
      </c>
      <c r="X744" s="46" t="str">
        <f>IF($O744=X$5,$L744,"")</f>
        <v/>
      </c>
    </row>
    <row r="745" spans="2:26" x14ac:dyDescent="0.25">
      <c r="B745" s="11" t="str">
        <f>CONCATENATE("CAMP","-",LEFT(P745,2),UPPER(MID(P745,4,3)),RIGHT(P745,4))</f>
        <v>CAMP-31MAY1910</v>
      </c>
      <c r="C745" s="11" t="s">
        <v>2916</v>
      </c>
      <c r="D745" s="11" t="s">
        <v>3462</v>
      </c>
      <c r="E745" s="39" t="s">
        <v>2329</v>
      </c>
      <c r="F745" s="11" t="s">
        <v>2904</v>
      </c>
      <c r="G745" s="39" t="s">
        <v>5310</v>
      </c>
      <c r="J745" s="17">
        <v>50</v>
      </c>
      <c r="K745" s="17"/>
      <c r="L745" s="7">
        <f>SUM(H745:K745)</f>
        <v>50</v>
      </c>
      <c r="M745" s="8">
        <v>1</v>
      </c>
      <c r="N745" s="8">
        <f>IF(L745&gt;0,1,"")</f>
        <v>1</v>
      </c>
      <c r="O745" s="11" t="s">
        <v>1702</v>
      </c>
      <c r="P745" s="16" t="str">
        <f>IF(LEN(G745)=10,CONCATENATE("0",G745),G745)</f>
        <v>31-May-1910</v>
      </c>
      <c r="R745" s="16" t="str">
        <f t="shared" si="310"/>
        <v>x</v>
      </c>
      <c r="S745" s="16" t="str">
        <f t="shared" si="310"/>
        <v>x</v>
      </c>
      <c r="U745" s="46" t="str">
        <f>IF($O745=U$5,$L745,"")</f>
        <v/>
      </c>
      <c r="V745" s="46">
        <f>IF($O745=V$5,$L745,"")</f>
        <v>50</v>
      </c>
      <c r="W745" s="46" t="str">
        <f>IF($O745=W$5,$L745,"")</f>
        <v/>
      </c>
      <c r="X745" s="46" t="str">
        <f>IF($O745=X$5,$L745,"")</f>
        <v/>
      </c>
    </row>
    <row r="746" spans="2:26" x14ac:dyDescent="0.25">
      <c r="B746" s="11" t="str">
        <f t="shared" si="305"/>
        <v>CAMP-11JUL1910</v>
      </c>
      <c r="C746" s="11" t="s">
        <v>2916</v>
      </c>
      <c r="D746" s="11" t="s">
        <v>2097</v>
      </c>
      <c r="E746" s="39" t="s">
        <v>2917</v>
      </c>
      <c r="F746" s="11" t="s">
        <v>2904</v>
      </c>
      <c r="G746" s="39" t="s">
        <v>876</v>
      </c>
      <c r="I746" s="7">
        <v>1</v>
      </c>
      <c r="J746" s="17">
        <f>38+1</f>
        <v>39</v>
      </c>
      <c r="K746" s="17"/>
      <c r="L746" s="7">
        <f t="shared" si="306"/>
        <v>40</v>
      </c>
      <c r="M746" s="8">
        <v>1</v>
      </c>
      <c r="N746" s="8">
        <f t="shared" si="307"/>
        <v>1</v>
      </c>
      <c r="O746" s="11" t="s">
        <v>1702</v>
      </c>
      <c r="P746" s="16" t="str">
        <f t="shared" si="308"/>
        <v>11-Jul-1910</v>
      </c>
      <c r="R746" s="16" t="str">
        <f t="shared" si="310"/>
        <v>x</v>
      </c>
      <c r="S746" s="16" t="str">
        <f t="shared" si="310"/>
        <v>x</v>
      </c>
      <c r="U746" s="46" t="str">
        <f t="shared" ref="U746:X870" si="311">IF($O746=U$5,$L746,"")</f>
        <v/>
      </c>
      <c r="V746" s="46">
        <f t="shared" si="311"/>
        <v>40</v>
      </c>
      <c r="W746" s="46" t="str">
        <f t="shared" si="311"/>
        <v/>
      </c>
      <c r="X746" s="46" t="str">
        <f t="shared" si="311"/>
        <v/>
      </c>
    </row>
    <row r="747" spans="2:26" x14ac:dyDescent="0.25">
      <c r="B747" s="11" t="str">
        <f>CONCATENATE("CAMP","-",LEFT(P747,2),UPPER(MID(P747,4,3)),RIGHT(P747,4))</f>
        <v>CAMP-03JUN1911</v>
      </c>
      <c r="C747" s="11" t="s">
        <v>2916</v>
      </c>
      <c r="D747" s="11" t="s">
        <v>2097</v>
      </c>
      <c r="E747" s="39" t="s">
        <v>1267</v>
      </c>
      <c r="F747" s="11" t="s">
        <v>1700</v>
      </c>
      <c r="G747" s="39" t="s">
        <v>1256</v>
      </c>
      <c r="H747" s="7">
        <v>0</v>
      </c>
      <c r="I747" s="7">
        <v>4</v>
      </c>
      <c r="J747" s="17">
        <v>0</v>
      </c>
      <c r="K747" s="17"/>
      <c r="L747" s="7">
        <f>SUM(H747:K747)</f>
        <v>4</v>
      </c>
      <c r="M747" s="8">
        <v>1</v>
      </c>
      <c r="N747" s="8">
        <f>IF(L747&gt;0,1,"")</f>
        <v>1</v>
      </c>
      <c r="O747" s="11" t="s">
        <v>1702</v>
      </c>
      <c r="P747" s="16" t="str">
        <f>IF(LEN(G747)=10,CONCATENATE("0",G747),G747)</f>
        <v>03-Jun-1911</v>
      </c>
      <c r="R747" s="16" t="str">
        <f t="shared" si="310"/>
        <v>x</v>
      </c>
      <c r="S747" s="16" t="str">
        <f t="shared" si="310"/>
        <v>x</v>
      </c>
      <c r="U747" s="46" t="str">
        <f t="shared" ref="U747:X748" si="312">IF($O747=U$5,$L747,"")</f>
        <v/>
      </c>
      <c r="V747" s="46">
        <f t="shared" si="312"/>
        <v>4</v>
      </c>
      <c r="W747" s="46" t="str">
        <f t="shared" si="312"/>
        <v/>
      </c>
      <c r="X747" s="46" t="str">
        <f t="shared" si="312"/>
        <v/>
      </c>
    </row>
    <row r="748" spans="2:26" x14ac:dyDescent="0.25">
      <c r="B748" s="11" t="str">
        <f>CONCATENATE("CAMP","-",LEFT(P748,2),UPPER(MID(P748,4,3)),RIGHT(P748,4))</f>
        <v>CAMP-10MAY1913</v>
      </c>
      <c r="C748" s="11" t="s">
        <v>2916</v>
      </c>
      <c r="D748" s="11" t="s">
        <v>2097</v>
      </c>
      <c r="E748" s="39" t="s">
        <v>3899</v>
      </c>
      <c r="F748" s="11" t="s">
        <v>1700</v>
      </c>
      <c r="G748" s="39" t="s">
        <v>1296</v>
      </c>
      <c r="H748" s="7">
        <v>0</v>
      </c>
      <c r="I748" s="7">
        <v>1</v>
      </c>
      <c r="J748" s="17">
        <v>0</v>
      </c>
      <c r="K748" s="17"/>
      <c r="L748" s="7">
        <f>SUM(H748:K748)</f>
        <v>1</v>
      </c>
      <c r="M748" s="8">
        <v>1</v>
      </c>
      <c r="N748" s="8">
        <f>IF(L748&gt;0,1,"")</f>
        <v>1</v>
      </c>
      <c r="O748" s="11" t="s">
        <v>1702</v>
      </c>
      <c r="P748" s="16" t="str">
        <f>IF(LEN(G748)=10,CONCATENATE("0",G748),G748)</f>
        <v>10-May-1913</v>
      </c>
      <c r="R748" s="16" t="str">
        <f>IF($L748&gt;0,"x","")</f>
        <v>x</v>
      </c>
      <c r="S748" s="16" t="str">
        <f>IF($L748&gt;0,"x","")</f>
        <v>x</v>
      </c>
      <c r="U748" s="46" t="str">
        <f t="shared" si="312"/>
        <v/>
      </c>
      <c r="V748" s="46">
        <f t="shared" si="312"/>
        <v>1</v>
      </c>
      <c r="W748" s="46" t="str">
        <f t="shared" si="312"/>
        <v/>
      </c>
      <c r="X748" s="46" t="str">
        <f t="shared" si="312"/>
        <v/>
      </c>
    </row>
    <row r="749" spans="2:26" x14ac:dyDescent="0.25">
      <c r="B749" s="11" t="str">
        <f t="shared" si="305"/>
        <v>CAMP-05JUL1913</v>
      </c>
      <c r="C749" s="11" t="s">
        <v>2916</v>
      </c>
      <c r="D749" s="11" t="s">
        <v>2097</v>
      </c>
      <c r="E749" s="39" t="s">
        <v>1297</v>
      </c>
      <c r="F749" s="11" t="s">
        <v>1700</v>
      </c>
      <c r="G749" s="39" t="s">
        <v>1288</v>
      </c>
      <c r="H749" s="7">
        <v>0</v>
      </c>
      <c r="I749" s="7">
        <v>1</v>
      </c>
      <c r="J749" s="17">
        <v>0</v>
      </c>
      <c r="K749" s="17"/>
      <c r="L749" s="7">
        <f t="shared" si="306"/>
        <v>1</v>
      </c>
      <c r="M749" s="8">
        <v>1</v>
      </c>
      <c r="N749" s="8">
        <f t="shared" si="307"/>
        <v>1</v>
      </c>
      <c r="O749" s="11" t="s">
        <v>1702</v>
      </c>
      <c r="P749" s="16" t="str">
        <f t="shared" si="308"/>
        <v>05-Jul-1913</v>
      </c>
      <c r="R749" s="16" t="str">
        <f t="shared" si="310"/>
        <v>x</v>
      </c>
      <c r="S749" s="16" t="str">
        <f t="shared" si="310"/>
        <v>x</v>
      </c>
      <c r="U749" s="46" t="str">
        <f t="shared" si="311"/>
        <v/>
      </c>
      <c r="V749" s="46">
        <f t="shared" si="311"/>
        <v>1</v>
      </c>
      <c r="W749" s="46" t="str">
        <f t="shared" si="311"/>
        <v/>
      </c>
      <c r="X749" s="46" t="str">
        <f t="shared" si="311"/>
        <v/>
      </c>
    </row>
    <row r="750" spans="2:26" x14ac:dyDescent="0.25">
      <c r="N750" s="8" t="str">
        <f>IF(R750="x",1,"")</f>
        <v/>
      </c>
      <c r="U750" s="46" t="str">
        <f t="shared" si="311"/>
        <v/>
      </c>
      <c r="V750" s="46" t="str">
        <f t="shared" si="311"/>
        <v/>
      </c>
      <c r="W750" s="46" t="str">
        <f t="shared" si="311"/>
        <v/>
      </c>
      <c r="X750" s="46" t="str">
        <f t="shared" si="311"/>
        <v/>
      </c>
    </row>
    <row r="751" spans="2:26" x14ac:dyDescent="0.25">
      <c r="B751" s="18"/>
      <c r="C751" s="18"/>
      <c r="D751" s="18"/>
      <c r="E751" s="40"/>
      <c r="F751" s="18"/>
      <c r="G751" s="40"/>
      <c r="H751" s="7">
        <f t="shared" ref="H751:N751" si="313">SUM(H740:H750)</f>
        <v>0</v>
      </c>
      <c r="I751" s="7">
        <f t="shared" si="313"/>
        <v>16</v>
      </c>
      <c r="J751" s="7">
        <f>SUM(J740:J750)</f>
        <v>188</v>
      </c>
      <c r="K751" s="7">
        <f t="shared" si="313"/>
        <v>0</v>
      </c>
      <c r="L751" s="7">
        <f t="shared" si="313"/>
        <v>204</v>
      </c>
      <c r="M751" s="7">
        <f t="shared" si="313"/>
        <v>10</v>
      </c>
      <c r="N751" s="7">
        <f t="shared" si="313"/>
        <v>10</v>
      </c>
      <c r="O751" s="18"/>
      <c r="P751" s="13"/>
      <c r="Q751" s="13"/>
      <c r="S751" s="13"/>
      <c r="T751" s="15"/>
      <c r="U751" s="46" t="str">
        <f t="shared" si="311"/>
        <v/>
      </c>
      <c r="V751" s="46" t="str">
        <f t="shared" si="311"/>
        <v/>
      </c>
      <c r="W751" s="46" t="str">
        <f t="shared" si="311"/>
        <v/>
      </c>
      <c r="X751" s="46" t="str">
        <f t="shared" si="311"/>
        <v/>
      </c>
    </row>
    <row r="752" spans="2:26" s="18" customFormat="1" x14ac:dyDescent="0.25">
      <c r="E752" s="40"/>
      <c r="G752" s="40"/>
      <c r="H752" s="7"/>
      <c r="I752" s="7"/>
      <c r="J752" s="7"/>
      <c r="K752" s="7"/>
      <c r="L752" s="7"/>
      <c r="M752" s="8"/>
      <c r="N752" s="8" t="str">
        <f>IF(R752="x",1,"")</f>
        <v/>
      </c>
      <c r="P752" s="13"/>
      <c r="Q752" s="13"/>
      <c r="R752" s="13"/>
      <c r="S752" s="13"/>
      <c r="T752" s="15"/>
      <c r="U752" s="46" t="str">
        <f t="shared" si="311"/>
        <v/>
      </c>
      <c r="V752" s="46" t="str">
        <f t="shared" si="311"/>
        <v/>
      </c>
      <c r="W752" s="46" t="str">
        <f t="shared" si="311"/>
        <v/>
      </c>
      <c r="X752" s="46" t="str">
        <f t="shared" si="311"/>
        <v/>
      </c>
      <c r="Z752" s="11"/>
    </row>
    <row r="753" spans="2:26" s="18" customFormat="1" x14ac:dyDescent="0.25">
      <c r="E753" s="40"/>
      <c r="G753" s="40"/>
      <c r="H753" s="7"/>
      <c r="I753" s="7"/>
      <c r="J753" s="7"/>
      <c r="K753" s="7"/>
      <c r="L753" s="7"/>
      <c r="M753" s="8"/>
      <c r="N753" s="8" t="str">
        <f>IF(R753="x",1,"")</f>
        <v/>
      </c>
      <c r="P753" s="13"/>
      <c r="Q753" s="13"/>
      <c r="R753" s="13"/>
      <c r="S753" s="13"/>
      <c r="T753" s="15"/>
      <c r="U753" s="46" t="str">
        <f t="shared" si="311"/>
        <v/>
      </c>
      <c r="V753" s="46" t="str">
        <f t="shared" si="311"/>
        <v/>
      </c>
      <c r="W753" s="46" t="str">
        <f t="shared" si="311"/>
        <v/>
      </c>
      <c r="X753" s="46" t="str">
        <f t="shared" si="311"/>
        <v/>
      </c>
      <c r="Z753" s="11"/>
    </row>
    <row r="754" spans="2:26" x14ac:dyDescent="0.25">
      <c r="B754" s="11" t="str">
        <f t="shared" ref="B754:B780" si="314">CONCATENATE("CANA","-",LEFT(P754,2),UPPER(MID(P754,4,3)),RIGHT(P754,4))</f>
        <v>CANA-05NOV1896</v>
      </c>
      <c r="C754" s="11" t="s">
        <v>2906</v>
      </c>
      <c r="D754" s="11" t="s">
        <v>2097</v>
      </c>
      <c r="E754" s="39" t="s">
        <v>4894</v>
      </c>
      <c r="F754" s="11" t="s">
        <v>2813</v>
      </c>
      <c r="G754" s="39" t="s">
        <v>6070</v>
      </c>
      <c r="J754" s="7">
        <v>13</v>
      </c>
      <c r="L754" s="7">
        <f t="shared" ref="L754:L778" si="315">SUM(H754:K754)</f>
        <v>13</v>
      </c>
      <c r="M754" s="8">
        <v>1</v>
      </c>
      <c r="N754" s="8">
        <f t="shared" ref="N754:N778" si="316">IF(L754&gt;0,1,"")</f>
        <v>1</v>
      </c>
      <c r="O754" s="11" t="s">
        <v>1702</v>
      </c>
      <c r="P754" s="16" t="str">
        <f t="shared" ref="P754:P778" si="317">IF(LEN(G754)=10,CONCATENATE("0",G754),G754)</f>
        <v>05-Nov-1896</v>
      </c>
      <c r="R754" s="16" t="str">
        <f t="shared" ref="R754:S756" si="318">IF($L754&gt;0,"x","")</f>
        <v>x</v>
      </c>
      <c r="S754" s="16" t="str">
        <f t="shared" si="318"/>
        <v>x</v>
      </c>
      <c r="U754" s="46" t="str">
        <f t="shared" si="311"/>
        <v/>
      </c>
      <c r="V754" s="46">
        <f t="shared" si="311"/>
        <v>13</v>
      </c>
      <c r="W754" s="46" t="str">
        <f t="shared" si="311"/>
        <v/>
      </c>
      <c r="X754" s="46" t="str">
        <f t="shared" si="311"/>
        <v/>
      </c>
    </row>
    <row r="755" spans="2:26" x14ac:dyDescent="0.25">
      <c r="B755" s="11" t="str">
        <f>CONCATENATE("CANA","-",LEFT(P755,2),UPPER(MID(P755,4,3)),RIGHT(P755,4))</f>
        <v>CANA-02MAR1903</v>
      </c>
      <c r="C755" s="11" t="s">
        <v>2906</v>
      </c>
      <c r="D755" s="11" t="s">
        <v>2097</v>
      </c>
      <c r="E755" s="39" t="s">
        <v>3431</v>
      </c>
      <c r="F755" s="11" t="s">
        <v>3050</v>
      </c>
      <c r="G755" s="39" t="s">
        <v>3432</v>
      </c>
      <c r="J755" s="7">
        <v>23</v>
      </c>
      <c r="L755" s="7">
        <f>SUM(H755:K755)</f>
        <v>23</v>
      </c>
      <c r="M755" s="8">
        <v>1</v>
      </c>
      <c r="N755" s="8">
        <f>IF(L755&gt;0,1,"")</f>
        <v>1</v>
      </c>
      <c r="O755" s="11" t="s">
        <v>1702</v>
      </c>
      <c r="P755" s="16" t="str">
        <f>IF(LEN(G755)=10,CONCATENATE("0",G755),G755)</f>
        <v>02-Mar-1903</v>
      </c>
      <c r="R755" s="16" t="str">
        <f t="shared" si="318"/>
        <v>x</v>
      </c>
      <c r="S755" s="16" t="str">
        <f t="shared" si="318"/>
        <v>x</v>
      </c>
      <c r="U755" s="46" t="str">
        <f>IF($O755=U$5,$L755,"")</f>
        <v/>
      </c>
      <c r="V755" s="46">
        <f>IF($O755=V$5,$L755,"")</f>
        <v>23</v>
      </c>
      <c r="W755" s="46" t="str">
        <f>IF($O755=W$5,$L755,"")</f>
        <v/>
      </c>
      <c r="X755" s="46" t="str">
        <f>IF($O755=X$5,$L755,"")</f>
        <v/>
      </c>
    </row>
    <row r="756" spans="2:26" x14ac:dyDescent="0.25">
      <c r="B756" s="11" t="str">
        <f t="shared" si="314"/>
        <v>CANA-11SEP1903</v>
      </c>
      <c r="C756" s="11" t="s">
        <v>2906</v>
      </c>
      <c r="D756" s="11" t="s">
        <v>2097</v>
      </c>
      <c r="E756" s="39" t="s">
        <v>3636</v>
      </c>
      <c r="F756" s="11" t="s">
        <v>3050</v>
      </c>
      <c r="G756" s="39" t="s">
        <v>3471</v>
      </c>
      <c r="H756" s="7">
        <v>0</v>
      </c>
      <c r="I756" s="7">
        <v>0</v>
      </c>
      <c r="J756" s="7">
        <v>10</v>
      </c>
      <c r="L756" s="7">
        <f t="shared" si="315"/>
        <v>10</v>
      </c>
      <c r="M756" s="8">
        <v>1</v>
      </c>
      <c r="N756" s="8">
        <f t="shared" si="316"/>
        <v>1</v>
      </c>
      <c r="O756" s="11" t="s">
        <v>1702</v>
      </c>
      <c r="P756" s="16" t="str">
        <f t="shared" si="317"/>
        <v>11-Sep-1903</v>
      </c>
      <c r="R756" s="16" t="str">
        <f t="shared" si="318"/>
        <v>x</v>
      </c>
      <c r="S756" s="16" t="str">
        <f t="shared" si="318"/>
        <v>x</v>
      </c>
      <c r="U756" s="46" t="str">
        <f t="shared" si="311"/>
        <v/>
      </c>
      <c r="V756" s="46">
        <f t="shared" si="311"/>
        <v>10</v>
      </c>
      <c r="W756" s="46" t="str">
        <f t="shared" si="311"/>
        <v/>
      </c>
      <c r="X756" s="46" t="str">
        <f t="shared" si="311"/>
        <v/>
      </c>
    </row>
    <row r="757" spans="2:26" x14ac:dyDescent="0.25">
      <c r="B757" s="11" t="str">
        <f t="shared" si="314"/>
        <v>CANA-23OCT1903</v>
      </c>
      <c r="C757" s="11" t="s">
        <v>2906</v>
      </c>
      <c r="D757" s="11" t="s">
        <v>2097</v>
      </c>
      <c r="E757" s="39" t="s">
        <v>2907</v>
      </c>
      <c r="F757" s="11" t="s">
        <v>2813</v>
      </c>
      <c r="G757" s="39" t="s">
        <v>2915</v>
      </c>
      <c r="H757" s="7">
        <v>0</v>
      </c>
      <c r="I757" s="7">
        <v>1</v>
      </c>
      <c r="J757" s="7">
        <v>0</v>
      </c>
      <c r="L757" s="7">
        <f>SUM(H757:K757)</f>
        <v>1</v>
      </c>
      <c r="M757" s="8">
        <v>1</v>
      </c>
      <c r="N757" s="8">
        <f>IF(L757&gt;0,1,"")</f>
        <v>1</v>
      </c>
      <c r="O757" s="11" t="s">
        <v>1702</v>
      </c>
      <c r="P757" s="16" t="str">
        <f>IF(LEN(G757)=10,CONCATENATE("0",G757),G757)</f>
        <v>23-Oct-1903</v>
      </c>
      <c r="R757" s="16" t="str">
        <f t="shared" ref="R757:S780" si="319">IF($L757&gt;0,"x","")</f>
        <v>x</v>
      </c>
      <c r="S757" s="16" t="str">
        <f t="shared" si="319"/>
        <v>x</v>
      </c>
      <c r="U757" s="46" t="str">
        <f t="shared" ref="U757:X758" si="320">IF($O757=U$5,$L757,"")</f>
        <v/>
      </c>
      <c r="V757" s="46">
        <f t="shared" si="320"/>
        <v>1</v>
      </c>
      <c r="W757" s="46" t="str">
        <f t="shared" si="320"/>
        <v/>
      </c>
      <c r="X757" s="46" t="str">
        <f t="shared" si="320"/>
        <v/>
      </c>
    </row>
    <row r="758" spans="2:26" x14ac:dyDescent="0.25">
      <c r="B758" s="11" t="str">
        <f t="shared" si="314"/>
        <v>CANA-24JUL1904</v>
      </c>
      <c r="C758" s="11" t="s">
        <v>2906</v>
      </c>
      <c r="D758" s="11" t="s">
        <v>2097</v>
      </c>
      <c r="F758" s="11" t="s">
        <v>2813</v>
      </c>
      <c r="G758" s="39" t="s">
        <v>762</v>
      </c>
      <c r="H758" s="7">
        <v>0</v>
      </c>
      <c r="I758" s="7">
        <v>0</v>
      </c>
      <c r="J758" s="7">
        <v>7</v>
      </c>
      <c r="L758" s="7">
        <f>SUM(H758:K758)</f>
        <v>7</v>
      </c>
      <c r="M758" s="8">
        <v>1</v>
      </c>
      <c r="N758" s="8">
        <f>IF(L758&gt;0,1,"")</f>
        <v>1</v>
      </c>
      <c r="O758" s="11" t="s">
        <v>1702</v>
      </c>
      <c r="P758" s="16" t="str">
        <f>IF(LEN(G758)=10,CONCATENATE("0",G758),G758)</f>
        <v>24-Jul-1904</v>
      </c>
      <c r="R758" s="16" t="str">
        <f t="shared" si="319"/>
        <v>x</v>
      </c>
      <c r="S758" s="16" t="str">
        <f t="shared" si="319"/>
        <v>x</v>
      </c>
      <c r="U758" s="46" t="str">
        <f t="shared" si="320"/>
        <v/>
      </c>
      <c r="V758" s="46">
        <f t="shared" si="320"/>
        <v>7</v>
      </c>
      <c r="W758" s="46" t="str">
        <f t="shared" si="320"/>
        <v/>
      </c>
      <c r="X758" s="46" t="str">
        <f t="shared" si="320"/>
        <v/>
      </c>
    </row>
    <row r="759" spans="2:26" x14ac:dyDescent="0.25">
      <c r="B759" s="11" t="str">
        <f t="shared" si="314"/>
        <v>CANA-12MAY1906</v>
      </c>
      <c r="C759" s="11" t="s">
        <v>2906</v>
      </c>
      <c r="D759" s="11" t="s">
        <v>2097</v>
      </c>
      <c r="E759" s="39" t="s">
        <v>5128</v>
      </c>
      <c r="F759" s="11" t="s">
        <v>2813</v>
      </c>
      <c r="G759" s="39" t="s">
        <v>1436</v>
      </c>
      <c r="H759" s="7">
        <v>0</v>
      </c>
      <c r="I759" s="7">
        <v>1</v>
      </c>
      <c r="J759" s="7">
        <v>0</v>
      </c>
      <c r="L759" s="7">
        <f t="shared" si="315"/>
        <v>1</v>
      </c>
      <c r="M759" s="8">
        <v>1</v>
      </c>
      <c r="N759" s="8">
        <f t="shared" si="316"/>
        <v>1</v>
      </c>
      <c r="O759" s="11" t="s">
        <v>1702</v>
      </c>
      <c r="P759" s="16" t="str">
        <f t="shared" si="317"/>
        <v>12-May-1906</v>
      </c>
      <c r="R759" s="16" t="str">
        <f t="shared" si="319"/>
        <v>x</v>
      </c>
      <c r="S759" s="16" t="str">
        <f t="shared" si="319"/>
        <v>x</v>
      </c>
      <c r="U759" s="46" t="str">
        <f t="shared" si="311"/>
        <v/>
      </c>
      <c r="V759" s="46">
        <f t="shared" si="311"/>
        <v>1</v>
      </c>
      <c r="W759" s="46" t="str">
        <f t="shared" si="311"/>
        <v/>
      </c>
      <c r="X759" s="46" t="str">
        <f t="shared" si="311"/>
        <v/>
      </c>
    </row>
    <row r="760" spans="2:26" x14ac:dyDescent="0.25">
      <c r="B760" s="11" t="str">
        <f t="shared" si="314"/>
        <v>CANA-15SEP1912</v>
      </c>
      <c r="C760" s="11" t="s">
        <v>2906</v>
      </c>
      <c r="D760" s="11" t="s">
        <v>2097</v>
      </c>
      <c r="E760" s="39" t="s">
        <v>1001</v>
      </c>
      <c r="F760" s="11" t="s">
        <v>2813</v>
      </c>
      <c r="G760" s="39" t="s">
        <v>3714</v>
      </c>
      <c r="H760" s="7">
        <v>0</v>
      </c>
      <c r="I760" s="7">
        <v>0</v>
      </c>
      <c r="J760" s="7">
        <v>1</v>
      </c>
      <c r="L760" s="7">
        <f>SUM(H760:K760)</f>
        <v>1</v>
      </c>
      <c r="M760" s="8">
        <v>1</v>
      </c>
      <c r="N760" s="8">
        <f>IF(L760&gt;0,1,"")</f>
        <v>1</v>
      </c>
      <c r="O760" s="11" t="s">
        <v>1702</v>
      </c>
      <c r="P760" s="16" t="str">
        <f>IF(LEN(G760)=10,CONCATENATE("0",G760),G760)</f>
        <v>15-Sep-1912</v>
      </c>
      <c r="R760" s="16" t="str">
        <f t="shared" si="319"/>
        <v>x</v>
      </c>
      <c r="S760" s="16" t="str">
        <f t="shared" si="319"/>
        <v>x</v>
      </c>
      <c r="U760" s="46" t="str">
        <f t="shared" ref="U760:X761" si="321">IF($O760=U$5,$L760,"")</f>
        <v/>
      </c>
      <c r="V760" s="46">
        <f t="shared" si="321"/>
        <v>1</v>
      </c>
      <c r="W760" s="46" t="str">
        <f t="shared" si="321"/>
        <v/>
      </c>
      <c r="X760" s="46" t="str">
        <f t="shared" si="321"/>
        <v/>
      </c>
    </row>
    <row r="761" spans="2:26" x14ac:dyDescent="0.25">
      <c r="B761" s="11" t="str">
        <f t="shared" si="314"/>
        <v>CANA-18DEC1912</v>
      </c>
      <c r="C761" s="11" t="s">
        <v>2906</v>
      </c>
      <c r="D761" s="11" t="s">
        <v>2097</v>
      </c>
      <c r="E761" s="39" t="s">
        <v>3042</v>
      </c>
      <c r="F761" s="11" t="s">
        <v>2922</v>
      </c>
      <c r="G761" s="39" t="s">
        <v>3149</v>
      </c>
      <c r="I761" s="7">
        <v>3</v>
      </c>
      <c r="J761" s="7">
        <v>7</v>
      </c>
      <c r="L761" s="7">
        <f>SUM(H761:K761)</f>
        <v>10</v>
      </c>
      <c r="M761" s="8">
        <v>1</v>
      </c>
      <c r="N761" s="8">
        <f>IF(L761&gt;0,1,"")</f>
        <v>1</v>
      </c>
      <c r="O761" s="11" t="s">
        <v>1702</v>
      </c>
      <c r="P761" s="16" t="str">
        <f>IF(LEN(G761)=10,CONCATENATE("0",G761),G761)</f>
        <v>18-Dec-1912</v>
      </c>
      <c r="R761" s="16" t="str">
        <f t="shared" si="319"/>
        <v>x</v>
      </c>
      <c r="S761" s="16" t="str">
        <f t="shared" si="319"/>
        <v>x</v>
      </c>
      <c r="U761" s="46" t="str">
        <f t="shared" si="321"/>
        <v/>
      </c>
      <c r="V761" s="46">
        <f t="shared" si="321"/>
        <v>10</v>
      </c>
      <c r="W761" s="46" t="str">
        <f t="shared" si="321"/>
        <v/>
      </c>
      <c r="X761" s="46" t="str">
        <f t="shared" si="321"/>
        <v/>
      </c>
    </row>
    <row r="762" spans="2:26" x14ac:dyDescent="0.25">
      <c r="B762" s="11" t="str">
        <f t="shared" si="314"/>
        <v>CANA-15JAN1913</v>
      </c>
      <c r="C762" s="11" t="s">
        <v>2906</v>
      </c>
      <c r="D762" s="11" t="s">
        <v>2097</v>
      </c>
      <c r="E762" s="39" t="s">
        <v>1018</v>
      </c>
      <c r="F762" s="11" t="s">
        <v>2922</v>
      </c>
      <c r="G762" s="39" t="s">
        <v>1007</v>
      </c>
      <c r="H762" s="7">
        <v>0</v>
      </c>
      <c r="I762" s="7">
        <v>6</v>
      </c>
      <c r="J762" s="7">
        <v>37</v>
      </c>
      <c r="L762" s="7">
        <f t="shared" si="315"/>
        <v>43</v>
      </c>
      <c r="M762" s="8">
        <v>1</v>
      </c>
      <c r="N762" s="8">
        <f t="shared" si="316"/>
        <v>1</v>
      </c>
      <c r="O762" s="11" t="s">
        <v>1702</v>
      </c>
      <c r="P762" s="16" t="str">
        <f t="shared" si="317"/>
        <v>15-Jan-1913</v>
      </c>
      <c r="R762" s="16" t="str">
        <f t="shared" si="319"/>
        <v>x</v>
      </c>
      <c r="S762" s="16" t="str">
        <f t="shared" si="319"/>
        <v>x</v>
      </c>
      <c r="U762" s="46" t="str">
        <f t="shared" si="311"/>
        <v/>
      </c>
      <c r="V762" s="46">
        <f t="shared" si="311"/>
        <v>43</v>
      </c>
      <c r="W762" s="46" t="str">
        <f t="shared" si="311"/>
        <v/>
      </c>
      <c r="X762" s="46" t="str">
        <f t="shared" si="311"/>
        <v/>
      </c>
    </row>
    <row r="763" spans="2:26" x14ac:dyDescent="0.25">
      <c r="B763" s="11" t="str">
        <f t="shared" si="314"/>
        <v>CANA-19FEB1913</v>
      </c>
      <c r="C763" s="11" t="s">
        <v>2906</v>
      </c>
      <c r="D763" s="11" t="s">
        <v>2097</v>
      </c>
      <c r="E763" s="39" t="s">
        <v>1292</v>
      </c>
      <c r="F763" s="11" t="s">
        <v>2922</v>
      </c>
      <c r="G763" s="39" t="s">
        <v>2778</v>
      </c>
      <c r="I763" s="7">
        <v>12</v>
      </c>
      <c r="J763" s="7">
        <v>28</v>
      </c>
      <c r="L763" s="7">
        <f t="shared" si="315"/>
        <v>40</v>
      </c>
      <c r="M763" s="8">
        <v>1</v>
      </c>
      <c r="N763" s="8">
        <f t="shared" si="316"/>
        <v>1</v>
      </c>
      <c r="O763" s="11" t="s">
        <v>1702</v>
      </c>
      <c r="P763" s="16" t="str">
        <f t="shared" si="317"/>
        <v>19-Feb-1913</v>
      </c>
      <c r="R763" s="16" t="str">
        <f t="shared" si="319"/>
        <v>x</v>
      </c>
      <c r="S763" s="16" t="str">
        <f t="shared" si="319"/>
        <v>x</v>
      </c>
      <c r="U763" s="46" t="str">
        <f t="shared" si="311"/>
        <v/>
      </c>
      <c r="V763" s="46">
        <f t="shared" si="311"/>
        <v>40</v>
      </c>
      <c r="W763" s="46" t="str">
        <f t="shared" si="311"/>
        <v/>
      </c>
      <c r="X763" s="46" t="str">
        <f t="shared" si="311"/>
        <v/>
      </c>
    </row>
    <row r="764" spans="2:26" x14ac:dyDescent="0.25">
      <c r="B764" s="11" t="str">
        <f t="shared" si="314"/>
        <v>CANA-18AUG1913</v>
      </c>
      <c r="C764" s="11" t="s">
        <v>2906</v>
      </c>
      <c r="D764" s="11" t="s">
        <v>1906</v>
      </c>
      <c r="E764" s="39" t="s">
        <v>3590</v>
      </c>
      <c r="F764" s="11" t="s">
        <v>2813</v>
      </c>
      <c r="G764" s="39" t="s">
        <v>3513</v>
      </c>
      <c r="J764" s="7">
        <v>17</v>
      </c>
      <c r="L764" s="7">
        <f t="shared" si="315"/>
        <v>17</v>
      </c>
      <c r="M764" s="8">
        <v>1</v>
      </c>
      <c r="N764" s="8">
        <f t="shared" si="316"/>
        <v>1</v>
      </c>
      <c r="O764" s="11" t="s">
        <v>1702</v>
      </c>
      <c r="P764" s="16" t="str">
        <f t="shared" si="317"/>
        <v>18-Aug-1913</v>
      </c>
      <c r="R764" s="16" t="str">
        <f t="shared" si="319"/>
        <v>x</v>
      </c>
      <c r="S764" s="16" t="str">
        <f t="shared" si="319"/>
        <v>x</v>
      </c>
      <c r="U764" s="46" t="str">
        <f t="shared" si="311"/>
        <v/>
      </c>
      <c r="V764" s="46">
        <f t="shared" si="311"/>
        <v>17</v>
      </c>
      <c r="W764" s="46" t="str">
        <f t="shared" si="311"/>
        <v/>
      </c>
      <c r="X764" s="46" t="str">
        <f t="shared" si="311"/>
        <v/>
      </c>
    </row>
    <row r="765" spans="2:26" x14ac:dyDescent="0.25">
      <c r="B765" s="11" t="str">
        <f t="shared" si="314"/>
        <v>CANA-07AUG1920</v>
      </c>
      <c r="C765" s="11" t="s">
        <v>2906</v>
      </c>
      <c r="D765" s="11" t="s">
        <v>870</v>
      </c>
      <c r="E765" s="39" t="s">
        <v>3003</v>
      </c>
      <c r="F765" s="11" t="s">
        <v>1602</v>
      </c>
      <c r="G765" s="39" t="s">
        <v>2424</v>
      </c>
      <c r="H765" s="7">
        <v>2</v>
      </c>
      <c r="I765" s="7">
        <v>9</v>
      </c>
      <c r="J765" s="7">
        <v>3</v>
      </c>
      <c r="L765" s="7">
        <f t="shared" si="315"/>
        <v>14</v>
      </c>
      <c r="M765" s="8">
        <v>1</v>
      </c>
      <c r="N765" s="8">
        <f t="shared" si="316"/>
        <v>1</v>
      </c>
      <c r="O765" s="11" t="s">
        <v>1702</v>
      </c>
      <c r="P765" s="16" t="str">
        <f t="shared" si="317"/>
        <v>07-Aug-1920</v>
      </c>
      <c r="R765" s="16" t="str">
        <f t="shared" si="319"/>
        <v>x</v>
      </c>
      <c r="S765" s="16" t="str">
        <f t="shared" si="319"/>
        <v>x</v>
      </c>
      <c r="U765" s="46" t="str">
        <f t="shared" si="311"/>
        <v/>
      </c>
      <c r="V765" s="46">
        <f t="shared" si="311"/>
        <v>14</v>
      </c>
      <c r="W765" s="46" t="str">
        <f t="shared" si="311"/>
        <v/>
      </c>
      <c r="X765" s="46" t="str">
        <f t="shared" si="311"/>
        <v/>
      </c>
    </row>
    <row r="766" spans="2:26" x14ac:dyDescent="0.25">
      <c r="B766" s="11" t="str">
        <f t="shared" si="314"/>
        <v>CANA-12DEC1920</v>
      </c>
      <c r="C766" s="11" t="s">
        <v>2906</v>
      </c>
      <c r="D766" s="11" t="s">
        <v>870</v>
      </c>
      <c r="E766" s="39" t="s">
        <v>4976</v>
      </c>
      <c r="F766" s="11" t="s">
        <v>1602</v>
      </c>
      <c r="G766" s="39" t="s">
        <v>4977</v>
      </c>
      <c r="H766" s="7">
        <v>0</v>
      </c>
      <c r="I766" s="7">
        <v>14</v>
      </c>
      <c r="J766" s="7">
        <v>163</v>
      </c>
      <c r="L766" s="7">
        <f>SUM(H766:K766)</f>
        <v>177</v>
      </c>
      <c r="M766" s="8">
        <v>1</v>
      </c>
      <c r="N766" s="8">
        <f>IF(L766&gt;0,1,"")</f>
        <v>1</v>
      </c>
      <c r="O766" s="11" t="s">
        <v>1702</v>
      </c>
      <c r="P766" s="16" t="str">
        <f>IF(LEN(G766)=10,CONCATENATE("0",G766),G766)</f>
        <v>12-Dec-1920</v>
      </c>
      <c r="R766" s="16" t="str">
        <f t="shared" si="319"/>
        <v>x</v>
      </c>
      <c r="S766" s="16" t="str">
        <f t="shared" si="319"/>
        <v>x</v>
      </c>
      <c r="U766" s="46" t="str">
        <f t="shared" ref="U766:X770" si="322">IF($O766=U$5,$L766,"")</f>
        <v/>
      </c>
      <c r="V766" s="46">
        <f t="shared" si="322"/>
        <v>177</v>
      </c>
      <c r="W766" s="46" t="str">
        <f t="shared" si="322"/>
        <v/>
      </c>
      <c r="X766" s="46" t="str">
        <f t="shared" si="322"/>
        <v/>
      </c>
    </row>
    <row r="767" spans="2:26" x14ac:dyDescent="0.25">
      <c r="B767" s="11" t="str">
        <f t="shared" si="314"/>
        <v>CANA-13DEC1920</v>
      </c>
      <c r="C767" s="11" t="s">
        <v>2906</v>
      </c>
      <c r="D767" s="11" t="s">
        <v>870</v>
      </c>
      <c r="E767" s="39" t="s">
        <v>4976</v>
      </c>
      <c r="F767" s="11" t="s">
        <v>1700</v>
      </c>
      <c r="G767" s="39" t="s">
        <v>1610</v>
      </c>
      <c r="H767" s="7">
        <v>0</v>
      </c>
      <c r="I767" s="7">
        <v>8</v>
      </c>
      <c r="J767" s="7">
        <f>65-3</f>
        <v>62</v>
      </c>
      <c r="L767" s="7">
        <f>SUM(H767:K767)</f>
        <v>70</v>
      </c>
      <c r="M767" s="8">
        <v>1</v>
      </c>
      <c r="N767" s="8">
        <f>IF(L767&gt;0,1,"")</f>
        <v>1</v>
      </c>
      <c r="O767" s="11" t="s">
        <v>1702</v>
      </c>
      <c r="P767" s="16" t="str">
        <f>IF(LEN(G767)=10,CONCATENATE("0",G767),G767)</f>
        <v>13-Dec-1920</v>
      </c>
      <c r="R767" s="16" t="str">
        <f t="shared" si="319"/>
        <v>x</v>
      </c>
      <c r="S767" s="16" t="str">
        <f t="shared" si="319"/>
        <v>x</v>
      </c>
      <c r="U767" s="46" t="str">
        <f t="shared" si="322"/>
        <v/>
      </c>
      <c r="V767" s="46">
        <f t="shared" si="322"/>
        <v>70</v>
      </c>
      <c r="W767" s="46" t="str">
        <f t="shared" si="322"/>
        <v/>
      </c>
      <c r="X767" s="46" t="str">
        <f t="shared" si="322"/>
        <v/>
      </c>
    </row>
    <row r="768" spans="2:26" x14ac:dyDescent="0.25">
      <c r="B768" s="11" t="str">
        <f>CONCATENATE("CANA","-",LEFT(P768,2),UPPER(MID(P768,4,3)),RIGHT(P768,4))</f>
        <v>CANA-27JUL1921</v>
      </c>
      <c r="C768" s="11" t="s">
        <v>2906</v>
      </c>
      <c r="D768" s="11" t="s">
        <v>870</v>
      </c>
      <c r="E768" s="39" t="s">
        <v>5606</v>
      </c>
      <c r="F768" s="11" t="s">
        <v>1602</v>
      </c>
      <c r="G768" s="39" t="s">
        <v>5607</v>
      </c>
      <c r="H768" s="7">
        <v>0</v>
      </c>
      <c r="I768" s="7">
        <f>23+1</f>
        <v>24</v>
      </c>
      <c r="J768" s="7">
        <v>62</v>
      </c>
      <c r="L768" s="7">
        <f>SUM(H768:K768)</f>
        <v>86</v>
      </c>
      <c r="M768" s="8">
        <v>1</v>
      </c>
      <c r="N768" s="8">
        <f>IF(L768&gt;0,1,"")</f>
        <v>1</v>
      </c>
      <c r="O768" s="11" t="s">
        <v>1702</v>
      </c>
      <c r="P768" s="16" t="str">
        <f>IF(LEN(G768)=10,CONCATENATE("0",G768),G768)</f>
        <v>27-Jul-1921</v>
      </c>
      <c r="R768" s="16" t="str">
        <f>IF($L768&gt;0,"x","")</f>
        <v>x</v>
      </c>
      <c r="S768" s="16" t="str">
        <f>IF($L768&gt;0,"x","")</f>
        <v>x</v>
      </c>
      <c r="U768" s="46" t="str">
        <f t="shared" si="322"/>
        <v/>
      </c>
      <c r="V768" s="46">
        <f t="shared" si="322"/>
        <v>86</v>
      </c>
      <c r="W768" s="46" t="str">
        <f t="shared" si="322"/>
        <v/>
      </c>
      <c r="X768" s="46" t="str">
        <f t="shared" si="322"/>
        <v/>
      </c>
    </row>
    <row r="769" spans="2:26" x14ac:dyDescent="0.25">
      <c r="B769" s="11" t="str">
        <f>CONCATENATE("CANA","-",LEFT(P769,2),UPPER(MID(P769,4,3)),RIGHT(P769,4))</f>
        <v>CANA-08OCT1921</v>
      </c>
      <c r="C769" s="11" t="s">
        <v>2906</v>
      </c>
      <c r="D769" s="11" t="s">
        <v>870</v>
      </c>
      <c r="E769" s="39" t="s">
        <v>5799</v>
      </c>
      <c r="F769" s="11" t="s">
        <v>1602</v>
      </c>
      <c r="G769" s="39" t="s">
        <v>5800</v>
      </c>
      <c r="I769" s="7">
        <v>38</v>
      </c>
      <c r="J769" s="7">
        <v>17</v>
      </c>
      <c r="L769" s="7">
        <f>SUM(H769:K769)</f>
        <v>55</v>
      </c>
      <c r="M769" s="8">
        <v>1</v>
      </c>
      <c r="N769" s="8">
        <f>IF(L769&gt;0,1,"")</f>
        <v>1</v>
      </c>
      <c r="O769" s="11" t="s">
        <v>1702</v>
      </c>
      <c r="P769" s="16" t="str">
        <f>IF(LEN(G769)=10,CONCATENATE("0",G769),G769)</f>
        <v>08-Oct-1921</v>
      </c>
      <c r="R769" s="16" t="str">
        <f>IF($L769&gt;0,"x","")</f>
        <v>x</v>
      </c>
      <c r="S769" s="16" t="str">
        <f>IF($L769&gt;0,"x","")</f>
        <v>x</v>
      </c>
      <c r="U769" s="46" t="str">
        <f t="shared" si="322"/>
        <v/>
      </c>
      <c r="V769" s="46">
        <f t="shared" si="322"/>
        <v>55</v>
      </c>
      <c r="W769" s="46" t="str">
        <f t="shared" si="322"/>
        <v/>
      </c>
      <c r="X769" s="46" t="str">
        <f t="shared" si="322"/>
        <v/>
      </c>
    </row>
    <row r="770" spans="2:26" x14ac:dyDescent="0.25">
      <c r="B770" s="11" t="str">
        <f t="shared" si="314"/>
        <v>CANA-01AUG1922</v>
      </c>
      <c r="C770" s="11" t="s">
        <v>2906</v>
      </c>
      <c r="D770" s="11" t="s">
        <v>870</v>
      </c>
      <c r="E770" s="39" t="s">
        <v>2981</v>
      </c>
      <c r="F770" s="11" t="s">
        <v>1602</v>
      </c>
      <c r="G770" s="39" t="s">
        <v>4611</v>
      </c>
      <c r="H770" s="7">
        <v>0</v>
      </c>
      <c r="I770" s="7">
        <v>14</v>
      </c>
      <c r="J770" s="7">
        <v>17</v>
      </c>
      <c r="L770" s="7">
        <f t="shared" si="315"/>
        <v>31</v>
      </c>
      <c r="M770" s="8">
        <v>1</v>
      </c>
      <c r="N770" s="8">
        <f t="shared" si="316"/>
        <v>1</v>
      </c>
      <c r="O770" s="11" t="s">
        <v>1702</v>
      </c>
      <c r="P770" s="16" t="str">
        <f t="shared" si="317"/>
        <v>01-Aug-1922</v>
      </c>
      <c r="R770" s="16" t="str">
        <f t="shared" si="319"/>
        <v>x</v>
      </c>
      <c r="S770" s="16" t="str">
        <f t="shared" si="319"/>
        <v>x</v>
      </c>
      <c r="U770" s="46" t="str">
        <f t="shared" si="322"/>
        <v/>
      </c>
      <c r="V770" s="46">
        <f t="shared" si="322"/>
        <v>31</v>
      </c>
      <c r="W770" s="46" t="str">
        <f t="shared" si="322"/>
        <v/>
      </c>
      <c r="X770" s="46" t="str">
        <f t="shared" si="322"/>
        <v/>
      </c>
    </row>
    <row r="771" spans="2:26" x14ac:dyDescent="0.25">
      <c r="B771" s="11" t="str">
        <f t="shared" si="314"/>
        <v>CANA-01NOV1922</v>
      </c>
      <c r="C771" s="11" t="s">
        <v>2906</v>
      </c>
      <c r="D771" s="11" t="s">
        <v>870</v>
      </c>
      <c r="E771" s="39" t="s">
        <v>3795</v>
      </c>
      <c r="F771" s="11" t="s">
        <v>1602</v>
      </c>
      <c r="G771" s="39" t="s">
        <v>3034</v>
      </c>
      <c r="H771" s="7">
        <f>1+1</f>
        <v>2</v>
      </c>
      <c r="I771" s="7">
        <f>35+1</f>
        <v>36</v>
      </c>
      <c r="J771" s="7">
        <v>71</v>
      </c>
      <c r="L771" s="7">
        <f t="shared" si="315"/>
        <v>109</v>
      </c>
      <c r="M771" s="8">
        <v>1</v>
      </c>
      <c r="N771" s="8">
        <f t="shared" si="316"/>
        <v>1</v>
      </c>
      <c r="O771" s="11" t="s">
        <v>1702</v>
      </c>
      <c r="P771" s="16" t="str">
        <f t="shared" si="317"/>
        <v>01-Nov-1922</v>
      </c>
      <c r="R771" s="16" t="str">
        <f t="shared" si="319"/>
        <v>x</v>
      </c>
      <c r="S771" s="16" t="str">
        <f t="shared" si="319"/>
        <v>x</v>
      </c>
      <c r="U771" s="46" t="str">
        <f t="shared" si="311"/>
        <v/>
      </c>
      <c r="V771" s="46">
        <f t="shared" si="311"/>
        <v>109</v>
      </c>
      <c r="W771" s="46" t="str">
        <f t="shared" si="311"/>
        <v/>
      </c>
      <c r="X771" s="46" t="str">
        <f t="shared" si="311"/>
        <v/>
      </c>
    </row>
    <row r="772" spans="2:26" x14ac:dyDescent="0.25">
      <c r="B772" s="11" t="str">
        <f t="shared" si="314"/>
        <v>CANA-03JAN1923</v>
      </c>
      <c r="C772" s="11" t="s">
        <v>2906</v>
      </c>
      <c r="D772" s="11" t="s">
        <v>2808</v>
      </c>
      <c r="E772" s="39" t="s">
        <v>4424</v>
      </c>
      <c r="F772" s="11" t="s">
        <v>1700</v>
      </c>
      <c r="G772" s="39" t="s">
        <v>4291</v>
      </c>
      <c r="H772" s="7">
        <f>3+3</f>
        <v>6</v>
      </c>
      <c r="I772" s="7">
        <v>9</v>
      </c>
      <c r="J772" s="7">
        <f>105+2</f>
        <v>107</v>
      </c>
      <c r="L772" s="7">
        <f t="shared" si="315"/>
        <v>122</v>
      </c>
      <c r="M772" s="8">
        <v>1</v>
      </c>
      <c r="N772" s="8">
        <f t="shared" si="316"/>
        <v>1</v>
      </c>
      <c r="O772" s="11" t="s">
        <v>1702</v>
      </c>
      <c r="P772" s="16" t="str">
        <f t="shared" si="317"/>
        <v>03-Jan-1923</v>
      </c>
      <c r="R772" s="16" t="str">
        <f t="shared" si="319"/>
        <v>x</v>
      </c>
      <c r="S772" s="16" t="str">
        <f t="shared" si="319"/>
        <v>x</v>
      </c>
      <c r="U772" s="46" t="str">
        <f t="shared" si="311"/>
        <v/>
      </c>
      <c r="V772" s="46">
        <f t="shared" si="311"/>
        <v>122</v>
      </c>
      <c r="W772" s="46" t="str">
        <f t="shared" si="311"/>
        <v/>
      </c>
      <c r="X772" s="46" t="str">
        <f t="shared" si="311"/>
        <v/>
      </c>
    </row>
    <row r="773" spans="2:26" x14ac:dyDescent="0.25">
      <c r="B773" s="11" t="str">
        <f>CONCATENATE("CANA","-",LEFT(P773,2),UPPER(MID(P773,4,3)),RIGHT(P773,4))</f>
        <v>CANA-24APR1923</v>
      </c>
      <c r="C773" s="11" t="s">
        <v>2906</v>
      </c>
      <c r="D773" s="11" t="s">
        <v>870</v>
      </c>
      <c r="E773" s="39" t="s">
        <v>6190</v>
      </c>
      <c r="F773" s="11" t="s">
        <v>1700</v>
      </c>
      <c r="G773" s="39" t="s">
        <v>6191</v>
      </c>
      <c r="H773" s="7">
        <v>0</v>
      </c>
      <c r="I773" s="7">
        <v>1</v>
      </c>
      <c r="J773" s="7">
        <v>0</v>
      </c>
      <c r="L773" s="7">
        <f>SUM(H773:K773)</f>
        <v>1</v>
      </c>
      <c r="M773" s="8">
        <v>1</v>
      </c>
      <c r="N773" s="8">
        <f>IF(L773&gt;0,1,"")</f>
        <v>1</v>
      </c>
      <c r="O773" s="11" t="s">
        <v>1702</v>
      </c>
      <c r="P773" s="16" t="str">
        <f>IF(LEN(G773)=10,CONCATENATE("0",G773),G773)</f>
        <v>24-Apr-1923</v>
      </c>
      <c r="R773" s="16" t="str">
        <f t="shared" si="319"/>
        <v>x</v>
      </c>
      <c r="S773" s="16" t="str">
        <f t="shared" si="319"/>
        <v>x</v>
      </c>
      <c r="U773" s="46" t="str">
        <f>IF($O773=U$5,$L773,"")</f>
        <v/>
      </c>
      <c r="V773" s="46">
        <f>IF($O773=V$5,$L773,"")</f>
        <v>1</v>
      </c>
      <c r="W773" s="46" t="str">
        <f>IF($O773=W$5,$L773,"")</f>
        <v/>
      </c>
      <c r="X773" s="46" t="str">
        <f>IF($O773=X$5,$L773,"")</f>
        <v/>
      </c>
    </row>
    <row r="774" spans="2:26" x14ac:dyDescent="0.25">
      <c r="B774" s="11" t="str">
        <f t="shared" si="314"/>
        <v>CANA-01JUL1923</v>
      </c>
      <c r="C774" s="11" t="s">
        <v>2906</v>
      </c>
      <c r="D774" s="11" t="s">
        <v>3056</v>
      </c>
      <c r="E774" s="39" t="s">
        <v>3186</v>
      </c>
      <c r="F774" s="11" t="s">
        <v>1700</v>
      </c>
      <c r="G774" s="39" t="s">
        <v>3130</v>
      </c>
      <c r="H774" s="7">
        <f>8+4</f>
        <v>12</v>
      </c>
      <c r="I774" s="7">
        <v>14</v>
      </c>
      <c r="J774" s="7">
        <f>24+1</f>
        <v>25</v>
      </c>
      <c r="L774" s="7">
        <f t="shared" si="315"/>
        <v>51</v>
      </c>
      <c r="M774" s="8">
        <v>1</v>
      </c>
      <c r="N774" s="8">
        <f t="shared" si="316"/>
        <v>1</v>
      </c>
      <c r="O774" s="11" t="s">
        <v>1702</v>
      </c>
      <c r="P774" s="16" t="str">
        <f t="shared" si="317"/>
        <v>01-Jul-1923</v>
      </c>
      <c r="R774" s="16" t="str">
        <f t="shared" si="319"/>
        <v>x</v>
      </c>
      <c r="S774" s="16" t="str">
        <f t="shared" si="319"/>
        <v>x</v>
      </c>
      <c r="U774" s="46" t="str">
        <f t="shared" si="311"/>
        <v/>
      </c>
      <c r="V774" s="46">
        <f t="shared" si="311"/>
        <v>51</v>
      </c>
      <c r="W774" s="46" t="str">
        <f t="shared" si="311"/>
        <v/>
      </c>
      <c r="X774" s="46" t="str">
        <f t="shared" si="311"/>
        <v/>
      </c>
    </row>
    <row r="775" spans="2:26" x14ac:dyDescent="0.25">
      <c r="B775" s="11" t="str">
        <f t="shared" si="314"/>
        <v>CANA-01JUL1923</v>
      </c>
      <c r="C775" s="11" t="s">
        <v>2906</v>
      </c>
      <c r="D775" s="11" t="s">
        <v>2808</v>
      </c>
      <c r="E775" s="39" t="s">
        <v>3187</v>
      </c>
      <c r="F775" s="11" t="s">
        <v>1700</v>
      </c>
      <c r="G775" s="39" t="s">
        <v>3130</v>
      </c>
      <c r="H775" s="7">
        <v>4</v>
      </c>
      <c r="I775" s="7">
        <f>15+3</f>
        <v>18</v>
      </c>
      <c r="J775" s="7">
        <f>18+1+8</f>
        <v>27</v>
      </c>
      <c r="L775" s="7">
        <f t="shared" si="315"/>
        <v>49</v>
      </c>
      <c r="M775" s="8">
        <v>1</v>
      </c>
      <c r="N775" s="8">
        <f t="shared" si="316"/>
        <v>1</v>
      </c>
      <c r="O775" s="11" t="s">
        <v>1702</v>
      </c>
      <c r="P775" s="16" t="str">
        <f t="shared" si="317"/>
        <v>01-Jul-1923</v>
      </c>
      <c r="R775" s="16" t="str">
        <f t="shared" ref="R775:S777" si="323">IF($L775&gt;0,"x","")</f>
        <v>x</v>
      </c>
      <c r="S775" s="16" t="str">
        <f t="shared" si="323"/>
        <v>x</v>
      </c>
      <c r="U775" s="46" t="str">
        <f t="shared" si="311"/>
        <v/>
      </c>
      <c r="V775" s="46">
        <f t="shared" si="311"/>
        <v>49</v>
      </c>
      <c r="W775" s="46" t="str">
        <f t="shared" si="311"/>
        <v/>
      </c>
      <c r="X775" s="46" t="str">
        <f t="shared" si="311"/>
        <v/>
      </c>
    </row>
    <row r="776" spans="2:26" x14ac:dyDescent="0.25">
      <c r="B776" s="11" t="str">
        <f>CONCATENATE("CANA","-",LEFT(P776,2),UPPER(MID(P776,4,3)),RIGHT(P776,4))</f>
        <v>CANA-01OCT1923</v>
      </c>
      <c r="C776" s="11" t="s">
        <v>2906</v>
      </c>
      <c r="D776" s="11" t="s">
        <v>3056</v>
      </c>
      <c r="E776" s="39" t="s">
        <v>1168</v>
      </c>
      <c r="F776" s="11" t="s">
        <v>1602</v>
      </c>
      <c r="G776" s="39" t="s">
        <v>3092</v>
      </c>
      <c r="H776" s="7">
        <v>0</v>
      </c>
      <c r="I776" s="7">
        <v>3</v>
      </c>
      <c r="J776" s="7">
        <v>19</v>
      </c>
      <c r="L776" s="7">
        <f>SUM(H776:K776)</f>
        <v>22</v>
      </c>
      <c r="M776" s="8">
        <v>1</v>
      </c>
      <c r="N776" s="8">
        <f>IF(L776&gt;0,1,"")</f>
        <v>1</v>
      </c>
      <c r="O776" s="11" t="s">
        <v>1702</v>
      </c>
      <c r="P776" s="16" t="str">
        <f>IF(LEN(G776)=10,CONCATENATE("0",G776),G776)</f>
        <v>01-Oct-1923</v>
      </c>
      <c r="R776" s="16" t="str">
        <f t="shared" si="323"/>
        <v>x</v>
      </c>
      <c r="S776" s="16" t="str">
        <f t="shared" si="323"/>
        <v>x</v>
      </c>
      <c r="U776" s="46" t="str">
        <f t="shared" ref="U776:X777" si="324">IF($O776=U$5,$L776,"")</f>
        <v/>
      </c>
      <c r="V776" s="46">
        <f t="shared" si="324"/>
        <v>22</v>
      </c>
      <c r="W776" s="46" t="str">
        <f t="shared" si="324"/>
        <v/>
      </c>
      <c r="X776" s="46" t="str">
        <f t="shared" si="324"/>
        <v/>
      </c>
    </row>
    <row r="777" spans="2:26" x14ac:dyDescent="0.25">
      <c r="B777" s="11" t="str">
        <f t="shared" si="314"/>
        <v>CANA-01OCT1923</v>
      </c>
      <c r="C777" s="11" t="s">
        <v>2906</v>
      </c>
      <c r="D777" s="11" t="s">
        <v>2808</v>
      </c>
      <c r="E777" s="39" t="s">
        <v>5467</v>
      </c>
      <c r="F777" s="11" t="s">
        <v>1602</v>
      </c>
      <c r="G777" s="39" t="s">
        <v>3092</v>
      </c>
      <c r="H777" s="7">
        <v>0</v>
      </c>
      <c r="I777" s="7">
        <f>39+1</f>
        <v>40</v>
      </c>
      <c r="J777" s="7">
        <f>101+1</f>
        <v>102</v>
      </c>
      <c r="L777" s="7">
        <f>SUM(H777:K777)</f>
        <v>142</v>
      </c>
      <c r="M777" s="8">
        <v>1</v>
      </c>
      <c r="N777" s="8">
        <f>IF(L777&gt;0,1,"")</f>
        <v>1</v>
      </c>
      <c r="O777" s="11" t="s">
        <v>1702</v>
      </c>
      <c r="P777" s="16" t="str">
        <f>IF(LEN(G777)=10,CONCATENATE("0",G777),G777)</f>
        <v>01-Oct-1923</v>
      </c>
      <c r="R777" s="16" t="str">
        <f t="shared" si="323"/>
        <v>x</v>
      </c>
      <c r="S777" s="16" t="str">
        <f t="shared" si="323"/>
        <v>x</v>
      </c>
      <c r="U777" s="46" t="str">
        <f t="shared" si="324"/>
        <v/>
      </c>
      <c r="V777" s="46">
        <f t="shared" si="324"/>
        <v>142</v>
      </c>
      <c r="W777" s="46" t="str">
        <f t="shared" si="324"/>
        <v/>
      </c>
      <c r="X777" s="46" t="str">
        <f t="shared" si="324"/>
        <v/>
      </c>
    </row>
    <row r="778" spans="2:26" x14ac:dyDescent="0.25">
      <c r="B778" s="11" t="str">
        <f t="shared" si="314"/>
        <v>CANA-01OCT1923</v>
      </c>
      <c r="C778" s="11" t="s">
        <v>2906</v>
      </c>
      <c r="D778" s="11" t="s">
        <v>847</v>
      </c>
      <c r="E778" s="39" t="s">
        <v>3093</v>
      </c>
      <c r="F778" s="11" t="s">
        <v>1602</v>
      </c>
      <c r="G778" s="39" t="s">
        <v>3092</v>
      </c>
      <c r="H778" s="7">
        <v>5</v>
      </c>
      <c r="I778" s="7">
        <v>14</v>
      </c>
      <c r="J778" s="7">
        <v>43</v>
      </c>
      <c r="L778" s="7">
        <f t="shared" si="315"/>
        <v>62</v>
      </c>
      <c r="M778" s="8">
        <v>1</v>
      </c>
      <c r="N778" s="8">
        <f t="shared" si="316"/>
        <v>1</v>
      </c>
      <c r="O778" s="11" t="s">
        <v>1702</v>
      </c>
      <c r="P778" s="16" t="str">
        <f t="shared" si="317"/>
        <v>01-Oct-1923</v>
      </c>
      <c r="R778" s="16" t="str">
        <f t="shared" si="319"/>
        <v>x</v>
      </c>
      <c r="S778" s="16" t="str">
        <f t="shared" si="319"/>
        <v>x</v>
      </c>
      <c r="U778" s="46" t="str">
        <f t="shared" si="311"/>
        <v/>
      </c>
      <c r="V778" s="46">
        <f t="shared" si="311"/>
        <v>62</v>
      </c>
      <c r="W778" s="46" t="str">
        <f t="shared" si="311"/>
        <v/>
      </c>
      <c r="X778" s="46" t="str">
        <f t="shared" si="311"/>
        <v/>
      </c>
    </row>
    <row r="779" spans="2:26" x14ac:dyDescent="0.25">
      <c r="B779" s="11" t="str">
        <f t="shared" si="314"/>
        <v>CANA-01DEC1925</v>
      </c>
      <c r="C779" s="11" t="s">
        <v>2906</v>
      </c>
      <c r="D779" s="11" t="s">
        <v>3056</v>
      </c>
      <c r="E779" s="39" t="s">
        <v>5081</v>
      </c>
      <c r="F779" s="11" t="s">
        <v>1602</v>
      </c>
      <c r="G779" s="39" t="s">
        <v>5090</v>
      </c>
      <c r="H779" s="7">
        <v>0</v>
      </c>
      <c r="I779" s="7">
        <f>8+2</f>
        <v>10</v>
      </c>
      <c r="J779" s="7">
        <v>0</v>
      </c>
      <c r="L779" s="7">
        <f>SUM(H779:K779)</f>
        <v>10</v>
      </c>
      <c r="M779" s="8">
        <v>1</v>
      </c>
      <c r="N779" s="8">
        <f>IF(L779&gt;0,1,"")</f>
        <v>1</v>
      </c>
      <c r="O779" s="11" t="s">
        <v>1702</v>
      </c>
      <c r="P779" s="16" t="str">
        <f>IF(LEN(G779)=10,CONCATENATE("0",G779),G779)</f>
        <v>01-Dec-1925</v>
      </c>
      <c r="R779" s="16" t="str">
        <f t="shared" si="319"/>
        <v>x</v>
      </c>
      <c r="S779" s="16" t="str">
        <f t="shared" si="319"/>
        <v>x</v>
      </c>
      <c r="U779" s="46" t="str">
        <f t="shared" ref="U779:X780" si="325">IF($O779=U$5,$L779,"")</f>
        <v/>
      </c>
      <c r="V779" s="46">
        <f t="shared" si="325"/>
        <v>10</v>
      </c>
      <c r="W779" s="46" t="str">
        <f t="shared" si="325"/>
        <v/>
      </c>
      <c r="X779" s="46" t="str">
        <f t="shared" si="325"/>
        <v/>
      </c>
    </row>
    <row r="780" spans="2:26" x14ac:dyDescent="0.25">
      <c r="B780" s="11" t="str">
        <f t="shared" si="314"/>
        <v>CANA-01JAN1928</v>
      </c>
      <c r="C780" s="11" t="s">
        <v>2906</v>
      </c>
      <c r="D780" s="11" t="s">
        <v>2808</v>
      </c>
      <c r="E780" s="39" t="s">
        <v>4990</v>
      </c>
      <c r="F780" s="11" t="s">
        <v>1602</v>
      </c>
      <c r="G780" s="39" t="s">
        <v>4991</v>
      </c>
      <c r="I780" s="7">
        <f>3+1</f>
        <v>4</v>
      </c>
      <c r="J780" s="7">
        <v>2</v>
      </c>
      <c r="L780" s="7">
        <f>SUM(H780:K780)</f>
        <v>6</v>
      </c>
      <c r="M780" s="8">
        <v>1</v>
      </c>
      <c r="N780" s="8">
        <f>IF(L780&gt;0,1,"")</f>
        <v>1</v>
      </c>
      <c r="O780" s="11" t="s">
        <v>1702</v>
      </c>
      <c r="P780" s="16" t="str">
        <f>IF(LEN(G780)=10,CONCATENATE("0",G780),G780)</f>
        <v>01-Jan-1928</v>
      </c>
      <c r="R780" s="16" t="str">
        <f t="shared" si="319"/>
        <v>x</v>
      </c>
      <c r="S780" s="16" t="str">
        <f t="shared" si="319"/>
        <v>x</v>
      </c>
      <c r="U780" s="46" t="str">
        <f t="shared" si="325"/>
        <v/>
      </c>
      <c r="V780" s="46">
        <f t="shared" si="325"/>
        <v>6</v>
      </c>
      <c r="W780" s="46" t="str">
        <f t="shared" si="325"/>
        <v/>
      </c>
      <c r="X780" s="46" t="str">
        <f t="shared" si="325"/>
        <v/>
      </c>
    </row>
    <row r="781" spans="2:26" x14ac:dyDescent="0.25">
      <c r="N781" s="8" t="str">
        <f>IF(R781="x",1,"")</f>
        <v/>
      </c>
      <c r="U781" s="46" t="str">
        <f t="shared" si="311"/>
        <v/>
      </c>
      <c r="V781" s="46" t="str">
        <f t="shared" si="311"/>
        <v/>
      </c>
      <c r="W781" s="46" t="str">
        <f t="shared" si="311"/>
        <v/>
      </c>
      <c r="X781" s="46" t="str">
        <f t="shared" si="311"/>
        <v/>
      </c>
    </row>
    <row r="782" spans="2:26" s="18" customFormat="1" x14ac:dyDescent="0.25">
      <c r="E782" s="40"/>
      <c r="G782" s="40"/>
      <c r="H782" s="7">
        <f t="shared" ref="H782:N782" si="326">SUM(H754:H781)</f>
        <v>31</v>
      </c>
      <c r="I782" s="7">
        <f t="shared" si="326"/>
        <v>279</v>
      </c>
      <c r="J782" s="7">
        <f>SUM(J754:J781)</f>
        <v>863</v>
      </c>
      <c r="K782" s="7">
        <f t="shared" si="326"/>
        <v>0</v>
      </c>
      <c r="L782" s="7">
        <f t="shared" si="326"/>
        <v>1173</v>
      </c>
      <c r="M782" s="7">
        <f t="shared" si="326"/>
        <v>27</v>
      </c>
      <c r="N782" s="7">
        <f t="shared" si="326"/>
        <v>27</v>
      </c>
      <c r="P782" s="13"/>
      <c r="Q782" s="13"/>
      <c r="R782" s="13"/>
      <c r="S782" s="13"/>
      <c r="T782" s="15"/>
      <c r="U782" s="46" t="str">
        <f t="shared" si="311"/>
        <v/>
      </c>
      <c r="V782" s="46" t="str">
        <f t="shared" si="311"/>
        <v/>
      </c>
      <c r="W782" s="46" t="str">
        <f t="shared" si="311"/>
        <v/>
      </c>
      <c r="X782" s="46" t="str">
        <f t="shared" si="311"/>
        <v/>
      </c>
      <c r="Z782" s="11"/>
    </row>
    <row r="783" spans="2:26" x14ac:dyDescent="0.25">
      <c r="B783" s="18"/>
      <c r="C783" s="18"/>
      <c r="D783" s="18"/>
      <c r="E783" s="40"/>
      <c r="F783" s="18"/>
      <c r="G783" s="40"/>
      <c r="N783" s="8" t="str">
        <f>IF(R783="x",1,"")</f>
        <v/>
      </c>
      <c r="O783" s="18"/>
      <c r="P783" s="13"/>
      <c r="Q783" s="13"/>
      <c r="R783" s="13"/>
      <c r="S783" s="13"/>
      <c r="T783" s="15"/>
      <c r="U783" s="46" t="str">
        <f t="shared" ref="U783:X789" si="327">IF($O783=U$5,$L783,"")</f>
        <v/>
      </c>
      <c r="V783" s="46" t="str">
        <f t="shared" si="327"/>
        <v/>
      </c>
      <c r="W783" s="46" t="str">
        <f t="shared" si="327"/>
        <v/>
      </c>
      <c r="X783" s="46" t="str">
        <f t="shared" si="327"/>
        <v/>
      </c>
    </row>
    <row r="784" spans="2:26" x14ac:dyDescent="0.25">
      <c r="B784" s="18"/>
      <c r="C784" s="18"/>
      <c r="D784" s="18"/>
      <c r="E784" s="40"/>
      <c r="F784" s="18"/>
      <c r="G784" s="40"/>
      <c r="N784" s="8" t="str">
        <f>IF(R784="x",1,"")</f>
        <v/>
      </c>
      <c r="O784" s="18"/>
      <c r="P784" s="13"/>
      <c r="Q784" s="13"/>
      <c r="R784" s="13"/>
      <c r="S784" s="13"/>
      <c r="T784" s="15"/>
      <c r="U784" s="46" t="str">
        <f t="shared" si="327"/>
        <v/>
      </c>
      <c r="V784" s="46" t="str">
        <f t="shared" si="327"/>
        <v/>
      </c>
      <c r="W784" s="46" t="str">
        <f t="shared" si="327"/>
        <v/>
      </c>
      <c r="X784" s="46" t="str">
        <f t="shared" si="327"/>
        <v/>
      </c>
    </row>
    <row r="785" spans="2:24" x14ac:dyDescent="0.25">
      <c r="B785" s="11" t="str">
        <f>CONCATENATE("CAMR","-",LEFT(P785,2),UPPER(MID(P785,4,3)),RIGHT(P785,4))</f>
        <v>CAMR-30MAY1917</v>
      </c>
      <c r="C785" s="11" t="s">
        <v>3770</v>
      </c>
      <c r="D785" s="11" t="s">
        <v>2440</v>
      </c>
      <c r="E785" s="39" t="s">
        <v>3771</v>
      </c>
      <c r="F785" s="11" t="s">
        <v>3366</v>
      </c>
      <c r="G785" s="39" t="s">
        <v>3772</v>
      </c>
      <c r="H785" s="7">
        <v>0</v>
      </c>
      <c r="J785" s="17">
        <v>1</v>
      </c>
      <c r="K785" s="17"/>
      <c r="L785" s="7">
        <f>SUM(H785:K785)</f>
        <v>1</v>
      </c>
      <c r="M785" s="8">
        <v>1</v>
      </c>
      <c r="N785" s="8">
        <f>IF(L785&gt;0,1,"")</f>
        <v>1</v>
      </c>
      <c r="O785" s="11" t="s">
        <v>1702</v>
      </c>
      <c r="P785" s="16" t="str">
        <f>IF(LEN(G785)=10,CONCATENATE("0",G785),G785)</f>
        <v>30-May-1917</v>
      </c>
      <c r="R785" s="16" t="str">
        <f t="shared" ref="R785:S787" si="328">IF($L785&gt;0,"x","")</f>
        <v>x</v>
      </c>
      <c r="S785" s="16" t="str">
        <f t="shared" si="328"/>
        <v>x</v>
      </c>
      <c r="U785" s="46" t="str">
        <f t="shared" si="327"/>
        <v/>
      </c>
      <c r="V785" s="46">
        <f t="shared" si="327"/>
        <v>1</v>
      </c>
      <c r="W785" s="46" t="str">
        <f t="shared" si="327"/>
        <v/>
      </c>
      <c r="X785" s="46" t="str">
        <f t="shared" si="327"/>
        <v/>
      </c>
    </row>
    <row r="786" spans="2:24" x14ac:dyDescent="0.25">
      <c r="B786" s="11" t="str">
        <f>CONCATENATE("CAMR","-",LEFT(P786,2),UPPER(MID(P786,4,3)),RIGHT(P786,4))</f>
        <v>CAMR-18NOV1917</v>
      </c>
      <c r="C786" s="11" t="s">
        <v>3770</v>
      </c>
      <c r="D786" s="11" t="s">
        <v>2440</v>
      </c>
      <c r="E786" s="39" t="s">
        <v>3079</v>
      </c>
      <c r="F786" s="11" t="s">
        <v>3366</v>
      </c>
      <c r="G786" s="39" t="s">
        <v>11397</v>
      </c>
      <c r="H786" s="7">
        <v>0</v>
      </c>
      <c r="J786" s="17">
        <v>2</v>
      </c>
      <c r="K786" s="17"/>
      <c r="L786" s="7">
        <f>SUM(H786:K786)</f>
        <v>2</v>
      </c>
      <c r="M786" s="8">
        <v>1</v>
      </c>
      <c r="N786" s="8">
        <f>IF(L786&gt;0,1,"")</f>
        <v>1</v>
      </c>
      <c r="O786" s="11" t="s">
        <v>1702</v>
      </c>
      <c r="P786" s="16" t="str">
        <f>IF(LEN(G786)=10,CONCATENATE("0",G786),G786)</f>
        <v>18-Nov-1917</v>
      </c>
      <c r="R786" s="16" t="str">
        <f t="shared" si="328"/>
        <v>x</v>
      </c>
      <c r="S786" s="16" t="str">
        <f t="shared" si="328"/>
        <v>x</v>
      </c>
      <c r="U786" s="46" t="str">
        <f t="shared" ref="U786:X787" si="329">IF($O786=U$5,$L786,"")</f>
        <v/>
      </c>
      <c r="V786" s="46">
        <f t="shared" si="329"/>
        <v>2</v>
      </c>
      <c r="W786" s="46" t="str">
        <f t="shared" si="329"/>
        <v/>
      </c>
      <c r="X786" s="46" t="str">
        <f t="shared" si="329"/>
        <v/>
      </c>
    </row>
    <row r="787" spans="2:24" x14ac:dyDescent="0.25">
      <c r="B787" s="11" t="str">
        <f>CONCATENATE("CAMR","-",LEFT(P787,2),UPPER(MID(P787,4,3)),RIGHT(P787,4))</f>
        <v>CAMR-06OCT1919</v>
      </c>
      <c r="C787" s="11" t="s">
        <v>3770</v>
      </c>
      <c r="D787" s="11" t="s">
        <v>2440</v>
      </c>
      <c r="E787" s="39" t="s">
        <v>5231</v>
      </c>
      <c r="F787" s="11" t="s">
        <v>3366</v>
      </c>
      <c r="G787" s="39" t="s">
        <v>1128</v>
      </c>
      <c r="J787" s="17">
        <v>3</v>
      </c>
      <c r="K787" s="17"/>
      <c r="L787" s="7">
        <f>SUM(H787:K787)</f>
        <v>3</v>
      </c>
      <c r="M787" s="8">
        <v>1</v>
      </c>
      <c r="N787" s="8">
        <f>IF(L787&gt;0,1,"")</f>
        <v>1</v>
      </c>
      <c r="O787" s="11" t="s">
        <v>1702</v>
      </c>
      <c r="P787" s="16" t="str">
        <f>IF(LEN(G787)=10,CONCATENATE("0",G787),G787)</f>
        <v>06-Oct-1919</v>
      </c>
      <c r="R787" s="16" t="str">
        <f t="shared" si="328"/>
        <v>x</v>
      </c>
      <c r="S787" s="16" t="str">
        <f t="shared" si="328"/>
        <v>x</v>
      </c>
      <c r="U787" s="46" t="str">
        <f t="shared" si="329"/>
        <v/>
      </c>
      <c r="V787" s="46">
        <f t="shared" si="329"/>
        <v>3</v>
      </c>
      <c r="W787" s="46" t="str">
        <f t="shared" si="329"/>
        <v/>
      </c>
      <c r="X787" s="46" t="str">
        <f t="shared" si="329"/>
        <v/>
      </c>
    </row>
    <row r="788" spans="2:24" x14ac:dyDescent="0.25">
      <c r="N788" s="8" t="str">
        <f>IF(R788="x",1,"")</f>
        <v/>
      </c>
      <c r="U788" s="46" t="str">
        <f t="shared" si="327"/>
        <v/>
      </c>
      <c r="V788" s="46" t="str">
        <f t="shared" si="327"/>
        <v/>
      </c>
      <c r="W788" s="46" t="str">
        <f t="shared" si="327"/>
        <v/>
      </c>
      <c r="X788" s="46" t="str">
        <f t="shared" si="327"/>
        <v/>
      </c>
    </row>
    <row r="789" spans="2:24" x14ac:dyDescent="0.25">
      <c r="B789" s="18"/>
      <c r="C789" s="18"/>
      <c r="D789" s="18"/>
      <c r="E789" s="40"/>
      <c r="F789" s="18"/>
      <c r="G789" s="40"/>
      <c r="H789" s="7">
        <f t="shared" ref="H789:N789" si="330">SUM(H785:H788)</f>
        <v>0</v>
      </c>
      <c r="I789" s="7">
        <f t="shared" si="330"/>
        <v>0</v>
      </c>
      <c r="J789" s="7">
        <f t="shared" si="330"/>
        <v>6</v>
      </c>
      <c r="K789" s="7">
        <f t="shared" si="330"/>
        <v>0</v>
      </c>
      <c r="L789" s="7">
        <f t="shared" si="330"/>
        <v>6</v>
      </c>
      <c r="M789" s="7">
        <f t="shared" si="330"/>
        <v>3</v>
      </c>
      <c r="N789" s="7">
        <f t="shared" si="330"/>
        <v>3</v>
      </c>
      <c r="O789" s="18"/>
      <c r="P789" s="13"/>
      <c r="Q789" s="13"/>
      <c r="S789" s="13"/>
      <c r="T789" s="15"/>
      <c r="U789" s="46" t="str">
        <f t="shared" si="327"/>
        <v/>
      </c>
      <c r="V789" s="46" t="str">
        <f t="shared" si="327"/>
        <v/>
      </c>
      <c r="W789" s="46" t="str">
        <f t="shared" si="327"/>
        <v/>
      </c>
      <c r="X789" s="46" t="str">
        <f t="shared" si="327"/>
        <v/>
      </c>
    </row>
    <row r="790" spans="2:24" x14ac:dyDescent="0.25">
      <c r="B790" s="18"/>
      <c r="C790" s="18"/>
      <c r="D790" s="18"/>
      <c r="E790" s="40"/>
      <c r="F790" s="18"/>
      <c r="G790" s="40"/>
      <c r="N790" s="8" t="str">
        <f>IF(R790="x",1,"")</f>
        <v/>
      </c>
      <c r="O790" s="18"/>
      <c r="P790" s="13"/>
      <c r="Q790" s="13"/>
      <c r="R790" s="13"/>
      <c r="S790" s="13"/>
      <c r="T790" s="15"/>
      <c r="U790" s="46" t="str">
        <f t="shared" si="311"/>
        <v/>
      </c>
      <c r="V790" s="46" t="str">
        <f t="shared" si="311"/>
        <v/>
      </c>
      <c r="W790" s="46" t="str">
        <f t="shared" si="311"/>
        <v/>
      </c>
      <c r="X790" s="46" t="str">
        <f t="shared" si="311"/>
        <v/>
      </c>
    </row>
    <row r="791" spans="2:24" x14ac:dyDescent="0.25">
      <c r="B791" s="18"/>
      <c r="C791" s="18"/>
      <c r="D791" s="18"/>
      <c r="E791" s="40"/>
      <c r="F791" s="18"/>
      <c r="G791" s="40"/>
      <c r="N791" s="8" t="str">
        <f>IF(R791="x",1,"")</f>
        <v/>
      </c>
      <c r="O791" s="18"/>
      <c r="P791" s="13"/>
      <c r="Q791" s="13"/>
      <c r="R791" s="13"/>
      <c r="S791" s="13"/>
      <c r="T791" s="15"/>
      <c r="U791" s="46" t="str">
        <f t="shared" si="311"/>
        <v/>
      </c>
      <c r="V791" s="46" t="str">
        <f t="shared" si="311"/>
        <v/>
      </c>
      <c r="W791" s="46" t="str">
        <f t="shared" si="311"/>
        <v/>
      </c>
      <c r="X791" s="46" t="str">
        <f t="shared" si="311"/>
        <v/>
      </c>
    </row>
    <row r="792" spans="2:24" x14ac:dyDescent="0.25">
      <c r="B792" s="11" t="str">
        <f>CONCATENATE("CNDN","-",LEFT(P792,2),UPPER(MID(P792,4,3)),RIGHT(P792,4))</f>
        <v>CNDN-27JUN1903</v>
      </c>
      <c r="C792" s="11" t="s">
        <v>5724</v>
      </c>
      <c r="D792" s="11" t="s">
        <v>2097</v>
      </c>
      <c r="E792" s="39" t="s">
        <v>5725</v>
      </c>
      <c r="F792" s="11" t="s">
        <v>3050</v>
      </c>
      <c r="G792" s="39" t="s">
        <v>1386</v>
      </c>
      <c r="H792" s="7">
        <v>1</v>
      </c>
      <c r="J792" s="17"/>
      <c r="K792" s="17"/>
      <c r="L792" s="7">
        <f>SUM(H792:K792)</f>
        <v>1</v>
      </c>
      <c r="M792" s="8">
        <v>1</v>
      </c>
      <c r="N792" s="8">
        <f>IF(L792&gt;0,1,"")</f>
        <v>1</v>
      </c>
      <c r="O792" s="11" t="s">
        <v>1702</v>
      </c>
      <c r="P792" s="16" t="str">
        <f>IF(LEN(G792)=10,CONCATENATE("0",G792),G792)</f>
        <v>27-Jun-1903</v>
      </c>
      <c r="R792" s="16" t="str">
        <f>IF($L792&gt;0,"x","")</f>
        <v>x</v>
      </c>
      <c r="S792" s="16" t="str">
        <f>IF($L792&gt;0,"x","")</f>
        <v>x</v>
      </c>
      <c r="U792" s="46" t="str">
        <f t="shared" si="311"/>
        <v/>
      </c>
      <c r="V792" s="46">
        <f t="shared" si="311"/>
        <v>1</v>
      </c>
      <c r="W792" s="46" t="str">
        <f t="shared" si="311"/>
        <v/>
      </c>
      <c r="X792" s="46" t="str">
        <f t="shared" si="311"/>
        <v/>
      </c>
    </row>
    <row r="793" spans="2:24" x14ac:dyDescent="0.25">
      <c r="B793" s="11" t="str">
        <f>CONCATENATE("CNDN","-",LEFT(P793,2),UPPER(MID(P793,4,3)),RIGHT(P793,4))</f>
        <v>CNDN-18NOV1903</v>
      </c>
      <c r="C793" s="11" t="s">
        <v>5724</v>
      </c>
      <c r="D793" s="11" t="s">
        <v>2097</v>
      </c>
      <c r="E793" s="39" t="s">
        <v>1397</v>
      </c>
      <c r="F793" s="11" t="s">
        <v>3050</v>
      </c>
      <c r="G793" s="39" t="s">
        <v>11374</v>
      </c>
      <c r="H793" s="7">
        <v>2</v>
      </c>
      <c r="J793" s="17"/>
      <c r="K793" s="17"/>
      <c r="L793" s="7">
        <f>SUM(H793:K793)</f>
        <v>2</v>
      </c>
      <c r="M793" s="8">
        <v>1</v>
      </c>
      <c r="N793" s="8">
        <f>IF(L793&gt;0,1,"")</f>
        <v>1</v>
      </c>
      <c r="O793" s="11" t="s">
        <v>1702</v>
      </c>
      <c r="P793" s="16" t="str">
        <f>IF(LEN(G793)=10,CONCATENATE("0",G793),G793)</f>
        <v>18-Nov-1903</v>
      </c>
      <c r="R793" s="16" t="str">
        <f>IF($L793&gt;0,"x","")</f>
        <v>x</v>
      </c>
      <c r="S793" s="16" t="str">
        <f>IF($L793&gt;0,"x","")</f>
        <v>x</v>
      </c>
      <c r="U793" s="46" t="str">
        <f>IF($O793=U$5,$L793,"")</f>
        <v/>
      </c>
      <c r="V793" s="46">
        <f>IF($O793=V$5,$L793,"")</f>
        <v>2</v>
      </c>
      <c r="W793" s="46" t="str">
        <f>IF($O793=W$5,$L793,"")</f>
        <v/>
      </c>
      <c r="X793" s="46" t="str">
        <f>IF($O793=X$5,$L793,"")</f>
        <v/>
      </c>
    </row>
    <row r="794" spans="2:24" x14ac:dyDescent="0.25">
      <c r="N794" s="8" t="str">
        <f>IF(R794="x",1,"")</f>
        <v/>
      </c>
      <c r="U794" s="46" t="str">
        <f t="shared" si="311"/>
        <v/>
      </c>
      <c r="V794" s="46" t="str">
        <f t="shared" si="311"/>
        <v/>
      </c>
      <c r="W794" s="46" t="str">
        <f t="shared" si="311"/>
        <v/>
      </c>
      <c r="X794" s="46" t="str">
        <f t="shared" si="311"/>
        <v/>
      </c>
    </row>
    <row r="795" spans="2:24" x14ac:dyDescent="0.25">
      <c r="B795" s="18"/>
      <c r="C795" s="18"/>
      <c r="D795" s="18"/>
      <c r="E795" s="40"/>
      <c r="F795" s="18"/>
      <c r="G795" s="40"/>
      <c r="H795" s="7">
        <f t="shared" ref="H795:N795" si="331">SUM(H792:H794)</f>
        <v>3</v>
      </c>
      <c r="I795" s="7">
        <f t="shared" si="331"/>
        <v>0</v>
      </c>
      <c r="J795" s="7">
        <f>SUM(J792:J794)</f>
        <v>0</v>
      </c>
      <c r="K795" s="7">
        <f t="shared" si="331"/>
        <v>0</v>
      </c>
      <c r="L795" s="7">
        <f t="shared" si="331"/>
        <v>3</v>
      </c>
      <c r="M795" s="7">
        <f t="shared" si="331"/>
        <v>2</v>
      </c>
      <c r="N795" s="7">
        <f t="shared" si="331"/>
        <v>2</v>
      </c>
      <c r="O795" s="18"/>
      <c r="P795" s="13"/>
      <c r="Q795" s="13"/>
      <c r="S795" s="13"/>
      <c r="T795" s="15"/>
      <c r="U795" s="46" t="str">
        <f t="shared" si="311"/>
        <v/>
      </c>
      <c r="V795" s="46" t="str">
        <f t="shared" si="311"/>
        <v/>
      </c>
      <c r="W795" s="46" t="str">
        <f t="shared" si="311"/>
        <v/>
      </c>
      <c r="X795" s="46" t="str">
        <f t="shared" si="311"/>
        <v/>
      </c>
    </row>
    <row r="796" spans="2:24" x14ac:dyDescent="0.25">
      <c r="B796" s="18"/>
      <c r="C796" s="18"/>
      <c r="D796" s="18"/>
      <c r="E796" s="40"/>
      <c r="F796" s="18"/>
      <c r="G796" s="40"/>
      <c r="N796" s="8" t="str">
        <f>IF(R796="x",1,"")</f>
        <v/>
      </c>
      <c r="O796" s="18"/>
      <c r="P796" s="13"/>
      <c r="Q796" s="13"/>
      <c r="R796" s="13"/>
      <c r="S796" s="13"/>
      <c r="T796" s="15"/>
      <c r="U796" s="46" t="str">
        <f t="shared" si="311"/>
        <v/>
      </c>
      <c r="V796" s="46" t="str">
        <f t="shared" si="311"/>
        <v/>
      </c>
      <c r="W796" s="46" t="str">
        <f t="shared" si="311"/>
        <v/>
      </c>
      <c r="X796" s="46" t="str">
        <f t="shared" si="311"/>
        <v/>
      </c>
    </row>
    <row r="797" spans="2:24" x14ac:dyDescent="0.25">
      <c r="B797" s="18"/>
      <c r="C797" s="18"/>
      <c r="D797" s="18"/>
      <c r="E797" s="40"/>
      <c r="F797" s="18"/>
      <c r="G797" s="40"/>
      <c r="N797" s="8" t="str">
        <f>IF(R797="x",1,"")</f>
        <v/>
      </c>
      <c r="O797" s="18"/>
      <c r="P797" s="13"/>
      <c r="Q797" s="13"/>
      <c r="R797" s="13"/>
      <c r="S797" s="13"/>
      <c r="T797" s="15"/>
      <c r="U797" s="46" t="str">
        <f t="shared" si="311"/>
        <v/>
      </c>
      <c r="V797" s="46" t="str">
        <f t="shared" si="311"/>
        <v/>
      </c>
      <c r="W797" s="46" t="str">
        <f t="shared" si="311"/>
        <v/>
      </c>
      <c r="X797" s="46" t="str">
        <f t="shared" si="311"/>
        <v/>
      </c>
    </row>
    <row r="798" spans="2:24" x14ac:dyDescent="0.25">
      <c r="B798" s="11" t="str">
        <f t="shared" ref="B798:B816" si="332">CONCATENATE("CANO","-",LEFT(P798,2),UPPER(MID(P798,4,3)),RIGHT(P798,4))</f>
        <v>CANO-08MAR1904</v>
      </c>
      <c r="C798" s="11" t="s">
        <v>3398</v>
      </c>
      <c r="D798" s="11" t="s">
        <v>3007</v>
      </c>
      <c r="E798" s="39" t="s">
        <v>6255</v>
      </c>
      <c r="F798" s="11" t="s">
        <v>3050</v>
      </c>
      <c r="G798" s="39" t="s">
        <v>11454</v>
      </c>
      <c r="H798" s="7">
        <v>1</v>
      </c>
      <c r="J798" s="17">
        <v>0</v>
      </c>
      <c r="K798" s="17"/>
      <c r="L798" s="7">
        <f t="shared" ref="L798:L816" si="333">SUM(H798:K798)</f>
        <v>1</v>
      </c>
      <c r="M798" s="8">
        <v>1</v>
      </c>
      <c r="N798" s="8">
        <f t="shared" ref="N798:N816" si="334">IF(L798&gt;0,1,"")</f>
        <v>1</v>
      </c>
      <c r="O798" s="11" t="s">
        <v>1702</v>
      </c>
      <c r="P798" s="16" t="str">
        <f t="shared" ref="P798:P816" si="335">IF(LEN(G798)=10,CONCATENATE("0",G798),G798)</f>
        <v>08-Mar-1904</v>
      </c>
      <c r="R798" s="16" t="str">
        <f t="shared" ref="R798:S800" si="336">IF($L798&gt;0,"x","")</f>
        <v>x</v>
      </c>
      <c r="S798" s="16" t="str">
        <f t="shared" si="336"/>
        <v>x</v>
      </c>
      <c r="U798" s="46" t="str">
        <f t="shared" si="311"/>
        <v/>
      </c>
      <c r="V798" s="46">
        <f t="shared" si="311"/>
        <v>1</v>
      </c>
      <c r="W798" s="46" t="str">
        <f t="shared" si="311"/>
        <v/>
      </c>
      <c r="X798" s="46" t="str">
        <f t="shared" si="311"/>
        <v/>
      </c>
    </row>
    <row r="799" spans="2:24" x14ac:dyDescent="0.25">
      <c r="B799" s="11" t="str">
        <f t="shared" si="332"/>
        <v>CANO-14NOV1904</v>
      </c>
      <c r="C799" s="11" t="s">
        <v>3398</v>
      </c>
      <c r="D799" s="11" t="s">
        <v>3007</v>
      </c>
      <c r="E799" s="39" t="s">
        <v>6081</v>
      </c>
      <c r="F799" s="11" t="s">
        <v>3050</v>
      </c>
      <c r="G799" s="39" t="s">
        <v>11472</v>
      </c>
      <c r="H799" s="7">
        <v>0</v>
      </c>
      <c r="I799" s="7">
        <v>3</v>
      </c>
      <c r="J799" s="17">
        <v>8</v>
      </c>
      <c r="K799" s="17"/>
      <c r="L799" s="7">
        <f t="shared" si="333"/>
        <v>11</v>
      </c>
      <c r="M799" s="8">
        <v>1</v>
      </c>
      <c r="N799" s="8">
        <f t="shared" si="334"/>
        <v>1</v>
      </c>
      <c r="O799" s="11" t="s">
        <v>1702</v>
      </c>
      <c r="P799" s="16" t="str">
        <f t="shared" si="335"/>
        <v>14-Nov-1904</v>
      </c>
      <c r="R799" s="16" t="str">
        <f t="shared" si="336"/>
        <v>x</v>
      </c>
      <c r="S799" s="16" t="str">
        <f t="shared" si="336"/>
        <v>x</v>
      </c>
      <c r="U799" s="46" t="str">
        <f t="shared" ref="U799:X800" si="337">IF($O799=U$5,$L799,"")</f>
        <v/>
      </c>
      <c r="V799" s="46">
        <f t="shared" si="337"/>
        <v>11</v>
      </c>
      <c r="W799" s="46" t="str">
        <f t="shared" si="337"/>
        <v/>
      </c>
      <c r="X799" s="46" t="str">
        <f t="shared" si="337"/>
        <v/>
      </c>
    </row>
    <row r="800" spans="2:24" x14ac:dyDescent="0.25">
      <c r="B800" s="11" t="str">
        <f>CONCATENATE("CANO","-",LEFT(P800,2),UPPER(MID(P800,4,3)),RIGHT(P800,4))</f>
        <v>CANO-02JAN1905</v>
      </c>
      <c r="C800" s="11" t="s">
        <v>3398</v>
      </c>
      <c r="D800" s="11" t="s">
        <v>3007</v>
      </c>
      <c r="E800" s="39" t="s">
        <v>3558</v>
      </c>
      <c r="F800" s="11" t="s">
        <v>3050</v>
      </c>
      <c r="G800" s="39" t="s">
        <v>5557</v>
      </c>
      <c r="H800" s="7">
        <v>0</v>
      </c>
      <c r="I800" s="7">
        <v>1</v>
      </c>
      <c r="J800" s="17">
        <v>27</v>
      </c>
      <c r="K800" s="17"/>
      <c r="L800" s="7">
        <f>SUM(H800:K800)</f>
        <v>28</v>
      </c>
      <c r="M800" s="8">
        <v>1</v>
      </c>
      <c r="N800" s="8">
        <f>IF(L800&gt;0,1,"")</f>
        <v>1</v>
      </c>
      <c r="O800" s="11" t="s">
        <v>1702</v>
      </c>
      <c r="P800" s="16" t="str">
        <f>IF(LEN(G800)=10,CONCATENATE("0",G800),G800)</f>
        <v>02-Jan-1905</v>
      </c>
      <c r="R800" s="16" t="str">
        <f t="shared" si="336"/>
        <v>x</v>
      </c>
      <c r="S800" s="16" t="str">
        <f t="shared" si="336"/>
        <v>x</v>
      </c>
      <c r="U800" s="46" t="str">
        <f t="shared" si="337"/>
        <v/>
      </c>
      <c r="V800" s="46">
        <f t="shared" si="337"/>
        <v>28</v>
      </c>
      <c r="W800" s="46" t="str">
        <f t="shared" si="337"/>
        <v/>
      </c>
      <c r="X800" s="46" t="str">
        <f t="shared" si="337"/>
        <v/>
      </c>
    </row>
    <row r="801" spans="2:24" x14ac:dyDescent="0.25">
      <c r="B801" s="11" t="str">
        <f t="shared" si="332"/>
        <v>CANO-31JUL1905</v>
      </c>
      <c r="C801" s="11" t="s">
        <v>3398</v>
      </c>
      <c r="D801" s="11" t="s">
        <v>3007</v>
      </c>
      <c r="E801" s="39" t="s">
        <v>3332</v>
      </c>
      <c r="F801" s="11" t="s">
        <v>3050</v>
      </c>
      <c r="G801" s="39" t="s">
        <v>3333</v>
      </c>
      <c r="H801" s="7">
        <v>0</v>
      </c>
      <c r="I801" s="7">
        <v>3</v>
      </c>
      <c r="J801" s="17">
        <v>11</v>
      </c>
      <c r="K801" s="17"/>
      <c r="L801" s="7">
        <f t="shared" si="333"/>
        <v>14</v>
      </c>
      <c r="M801" s="8">
        <v>1</v>
      </c>
      <c r="N801" s="8">
        <f t="shared" si="334"/>
        <v>1</v>
      </c>
      <c r="O801" s="11" t="s">
        <v>1702</v>
      </c>
      <c r="P801" s="16" t="str">
        <f t="shared" si="335"/>
        <v>31-Jul-1905</v>
      </c>
      <c r="R801" s="16" t="str">
        <f t="shared" ref="R801:S816" si="338">IF($L801&gt;0,"x","")</f>
        <v>x</v>
      </c>
      <c r="S801" s="16" t="str">
        <f t="shared" si="338"/>
        <v>x</v>
      </c>
      <c r="U801" s="46" t="str">
        <f t="shared" ref="U801:X802" si="339">IF($O801=U$5,$L801,"")</f>
        <v/>
      </c>
      <c r="V801" s="46">
        <f t="shared" si="339"/>
        <v>14</v>
      </c>
      <c r="W801" s="46" t="str">
        <f t="shared" si="339"/>
        <v/>
      </c>
      <c r="X801" s="46" t="str">
        <f t="shared" si="339"/>
        <v/>
      </c>
    </row>
    <row r="802" spans="2:24" x14ac:dyDescent="0.25">
      <c r="B802" s="11" t="str">
        <f>CONCATENATE("CANO","-",LEFT(P802,2),UPPER(MID(P802,4,3)),RIGHT(P802,4))</f>
        <v>CANO-13NOV1905</v>
      </c>
      <c r="C802" s="11" t="s">
        <v>3398</v>
      </c>
      <c r="D802" s="11" t="s">
        <v>3007</v>
      </c>
      <c r="E802" s="39" t="s">
        <v>11348</v>
      </c>
      <c r="F802" s="11" t="s">
        <v>3050</v>
      </c>
      <c r="G802" s="39" t="s">
        <v>11349</v>
      </c>
      <c r="H802" s="7">
        <v>0</v>
      </c>
      <c r="I802" s="7">
        <v>0</v>
      </c>
      <c r="J802" s="17">
        <v>7</v>
      </c>
      <c r="K802" s="17"/>
      <c r="L802" s="7">
        <f>SUM(H802:K802)</f>
        <v>7</v>
      </c>
      <c r="M802" s="8">
        <v>1</v>
      </c>
      <c r="N802" s="8">
        <f>IF(L802&gt;0,1,"")</f>
        <v>1</v>
      </c>
      <c r="O802" s="11" t="s">
        <v>1702</v>
      </c>
      <c r="P802" s="16" t="str">
        <f>IF(LEN(G802)=10,CONCATENATE("0",G802),G802)</f>
        <v>13-Nov-1905</v>
      </c>
      <c r="R802" s="16" t="str">
        <f t="shared" si="338"/>
        <v>x</v>
      </c>
      <c r="S802" s="16" t="str">
        <f t="shared" si="338"/>
        <v>x</v>
      </c>
      <c r="U802" s="46" t="str">
        <f t="shared" si="339"/>
        <v/>
      </c>
      <c r="V802" s="46">
        <f t="shared" si="339"/>
        <v>7</v>
      </c>
      <c r="W802" s="46" t="str">
        <f t="shared" si="339"/>
        <v/>
      </c>
      <c r="X802" s="46" t="str">
        <f t="shared" si="339"/>
        <v/>
      </c>
    </row>
    <row r="803" spans="2:24" x14ac:dyDescent="0.25">
      <c r="B803" s="11" t="str">
        <f t="shared" si="332"/>
        <v>CANO-09JAN1906</v>
      </c>
      <c r="C803" s="11" t="s">
        <v>3398</v>
      </c>
      <c r="D803" s="11" t="s">
        <v>3007</v>
      </c>
      <c r="E803" s="39" t="s">
        <v>3533</v>
      </c>
      <c r="F803" s="11" t="s">
        <v>3050</v>
      </c>
      <c r="G803" s="39" t="s">
        <v>3532</v>
      </c>
      <c r="H803" s="7">
        <v>0</v>
      </c>
      <c r="I803" s="7">
        <v>1</v>
      </c>
      <c r="J803" s="17">
        <v>16</v>
      </c>
      <c r="K803" s="17"/>
      <c r="L803" s="7">
        <f t="shared" si="333"/>
        <v>17</v>
      </c>
      <c r="M803" s="8">
        <v>1</v>
      </c>
      <c r="N803" s="8">
        <f t="shared" si="334"/>
        <v>1</v>
      </c>
      <c r="O803" s="11" t="s">
        <v>1702</v>
      </c>
      <c r="P803" s="16" t="str">
        <f t="shared" si="335"/>
        <v>09-Jan-1906</v>
      </c>
      <c r="R803" s="16" t="str">
        <f t="shared" si="338"/>
        <v>x</v>
      </c>
      <c r="S803" s="16" t="str">
        <f t="shared" si="338"/>
        <v>x</v>
      </c>
      <c r="U803" s="46" t="str">
        <f t="shared" si="311"/>
        <v/>
      </c>
      <c r="V803" s="46">
        <f t="shared" si="311"/>
        <v>17</v>
      </c>
      <c r="W803" s="46" t="str">
        <f t="shared" si="311"/>
        <v/>
      </c>
      <c r="X803" s="46" t="str">
        <f t="shared" si="311"/>
        <v/>
      </c>
    </row>
    <row r="804" spans="2:24" x14ac:dyDescent="0.25">
      <c r="B804" s="11" t="str">
        <f>CONCATENATE("CANO","-",LEFT(P804,2),UPPER(MID(P804,4,3)),RIGHT(P804,4))</f>
        <v>CANO-06AUG1906</v>
      </c>
      <c r="C804" s="11" t="s">
        <v>3398</v>
      </c>
      <c r="D804" s="11" t="s">
        <v>3007</v>
      </c>
      <c r="E804" s="39" t="s">
        <v>11251</v>
      </c>
      <c r="F804" s="11" t="s">
        <v>3050</v>
      </c>
      <c r="G804" s="39" t="s">
        <v>2646</v>
      </c>
      <c r="H804" s="7">
        <v>0</v>
      </c>
      <c r="I804" s="7">
        <v>2</v>
      </c>
      <c r="J804" s="17">
        <v>8</v>
      </c>
      <c r="K804" s="17"/>
      <c r="L804" s="7">
        <f>SUM(H804:K804)</f>
        <v>10</v>
      </c>
      <c r="M804" s="8">
        <v>1</v>
      </c>
      <c r="N804" s="8">
        <f>IF(L804&gt;0,1,"")</f>
        <v>1</v>
      </c>
      <c r="O804" s="11" t="s">
        <v>1702</v>
      </c>
      <c r="P804" s="16" t="str">
        <f>IF(LEN(G804)=10,CONCATENATE("0",G804),G804)</f>
        <v>06-Aug-1906</v>
      </c>
      <c r="R804" s="16" t="str">
        <f t="shared" si="338"/>
        <v>x</v>
      </c>
      <c r="S804" s="16" t="str">
        <f t="shared" si="338"/>
        <v>x</v>
      </c>
      <c r="U804" s="46" t="str">
        <f t="shared" ref="U804:X807" si="340">IF($O804=U$5,$L804,"")</f>
        <v/>
      </c>
      <c r="V804" s="46">
        <f t="shared" si="340"/>
        <v>10</v>
      </c>
      <c r="W804" s="46" t="str">
        <f t="shared" si="340"/>
        <v/>
      </c>
      <c r="X804" s="46" t="str">
        <f t="shared" si="340"/>
        <v/>
      </c>
    </row>
    <row r="805" spans="2:24" x14ac:dyDescent="0.25">
      <c r="B805" s="11" t="str">
        <f t="shared" si="332"/>
        <v>CANO-12NOV1906</v>
      </c>
      <c r="C805" s="11" t="s">
        <v>3398</v>
      </c>
      <c r="D805" s="11" t="s">
        <v>3007</v>
      </c>
      <c r="E805" s="39" t="s">
        <v>4792</v>
      </c>
      <c r="F805" s="11" t="s">
        <v>3050</v>
      </c>
      <c r="G805" s="39" t="s">
        <v>4793</v>
      </c>
      <c r="H805" s="7">
        <v>0</v>
      </c>
      <c r="I805" s="7">
        <v>2</v>
      </c>
      <c r="J805" s="17">
        <v>9</v>
      </c>
      <c r="K805" s="17"/>
      <c r="L805" s="7">
        <f t="shared" si="333"/>
        <v>11</v>
      </c>
      <c r="M805" s="8">
        <v>1</v>
      </c>
      <c r="N805" s="8">
        <f t="shared" si="334"/>
        <v>1</v>
      </c>
      <c r="O805" s="11" t="s">
        <v>1702</v>
      </c>
      <c r="P805" s="16" t="str">
        <f t="shared" si="335"/>
        <v>12-Nov-1906</v>
      </c>
      <c r="R805" s="16" t="str">
        <f t="shared" si="338"/>
        <v>x</v>
      </c>
      <c r="S805" s="16" t="str">
        <f t="shared" si="338"/>
        <v>x</v>
      </c>
      <c r="U805" s="46" t="str">
        <f t="shared" si="340"/>
        <v/>
      </c>
      <c r="V805" s="46">
        <f t="shared" si="340"/>
        <v>11</v>
      </c>
      <c r="W805" s="46" t="str">
        <f t="shared" si="340"/>
        <v/>
      </c>
      <c r="X805" s="46" t="str">
        <f t="shared" si="340"/>
        <v/>
      </c>
    </row>
    <row r="806" spans="2:24" x14ac:dyDescent="0.25">
      <c r="B806" s="11" t="str">
        <f t="shared" si="332"/>
        <v>CANO-09JAN1907</v>
      </c>
      <c r="C806" s="11" t="s">
        <v>3398</v>
      </c>
      <c r="D806" s="11" t="s">
        <v>3007</v>
      </c>
      <c r="E806" s="39" t="s">
        <v>5302</v>
      </c>
      <c r="F806" s="11" t="s">
        <v>3050</v>
      </c>
      <c r="G806" s="39" t="s">
        <v>5361</v>
      </c>
      <c r="H806" s="7">
        <v>0</v>
      </c>
      <c r="I806" s="7">
        <v>1</v>
      </c>
      <c r="J806" s="17">
        <v>3</v>
      </c>
      <c r="K806" s="17"/>
      <c r="L806" s="7">
        <f t="shared" si="333"/>
        <v>4</v>
      </c>
      <c r="M806" s="8">
        <v>1</v>
      </c>
      <c r="N806" s="8">
        <f t="shared" si="334"/>
        <v>1</v>
      </c>
      <c r="O806" s="11" t="s">
        <v>1702</v>
      </c>
      <c r="P806" s="16" t="str">
        <f t="shared" si="335"/>
        <v>09-Jan-1907</v>
      </c>
      <c r="R806" s="16" t="str">
        <f t="shared" si="338"/>
        <v>x</v>
      </c>
      <c r="S806" s="16" t="str">
        <f t="shared" si="338"/>
        <v>x</v>
      </c>
      <c r="U806" s="46" t="str">
        <f t="shared" si="340"/>
        <v/>
      </c>
      <c r="V806" s="46">
        <f t="shared" si="340"/>
        <v>4</v>
      </c>
      <c r="W806" s="46" t="str">
        <f t="shared" si="340"/>
        <v/>
      </c>
      <c r="X806" s="46" t="str">
        <f t="shared" si="340"/>
        <v/>
      </c>
    </row>
    <row r="807" spans="2:24" x14ac:dyDescent="0.25">
      <c r="B807" s="11" t="str">
        <f t="shared" si="332"/>
        <v>CANO-19FEB1907</v>
      </c>
      <c r="C807" s="11" t="s">
        <v>3398</v>
      </c>
      <c r="D807" s="11" t="s">
        <v>3007</v>
      </c>
      <c r="E807" s="39" t="s">
        <v>5151</v>
      </c>
      <c r="F807" s="11" t="s">
        <v>3050</v>
      </c>
      <c r="G807" s="39" t="s">
        <v>2654</v>
      </c>
      <c r="H807" s="7">
        <v>0</v>
      </c>
      <c r="I807" s="7">
        <v>5</v>
      </c>
      <c r="J807" s="17">
        <v>0</v>
      </c>
      <c r="K807" s="17"/>
      <c r="L807" s="7">
        <f t="shared" si="333"/>
        <v>5</v>
      </c>
      <c r="M807" s="8">
        <v>1</v>
      </c>
      <c r="N807" s="8">
        <f t="shared" si="334"/>
        <v>1</v>
      </c>
      <c r="O807" s="11" t="s">
        <v>1702</v>
      </c>
      <c r="P807" s="16" t="str">
        <f t="shared" si="335"/>
        <v>19-Feb-1907</v>
      </c>
      <c r="R807" s="16" t="str">
        <f t="shared" si="338"/>
        <v>x</v>
      </c>
      <c r="S807" s="16" t="str">
        <f t="shared" si="338"/>
        <v>x</v>
      </c>
      <c r="U807" s="46" t="str">
        <f t="shared" si="340"/>
        <v/>
      </c>
      <c r="V807" s="46">
        <f t="shared" si="340"/>
        <v>5</v>
      </c>
      <c r="W807" s="46" t="str">
        <f t="shared" si="340"/>
        <v/>
      </c>
      <c r="X807" s="46" t="str">
        <f t="shared" si="340"/>
        <v/>
      </c>
    </row>
    <row r="808" spans="2:24" x14ac:dyDescent="0.25">
      <c r="B808" s="11" t="str">
        <f t="shared" si="332"/>
        <v>CANO-30SEP1907</v>
      </c>
      <c r="C808" s="11" t="s">
        <v>3398</v>
      </c>
      <c r="D808" s="11" t="s">
        <v>3007</v>
      </c>
      <c r="E808" s="39" t="s">
        <v>3765</v>
      </c>
      <c r="F808" s="11" t="s">
        <v>3050</v>
      </c>
      <c r="G808" s="39" t="s">
        <v>3764</v>
      </c>
      <c r="H808" s="7">
        <v>0</v>
      </c>
      <c r="I808" s="7">
        <v>0</v>
      </c>
      <c r="J808" s="17">
        <v>4</v>
      </c>
      <c r="K808" s="17"/>
      <c r="L808" s="7">
        <f t="shared" si="333"/>
        <v>4</v>
      </c>
      <c r="M808" s="8">
        <v>1</v>
      </c>
      <c r="N808" s="8">
        <f t="shared" si="334"/>
        <v>1</v>
      </c>
      <c r="O808" s="11" t="s">
        <v>1702</v>
      </c>
      <c r="P808" s="16" t="str">
        <f t="shared" si="335"/>
        <v>30-Sep-1907</v>
      </c>
      <c r="R808" s="16" t="str">
        <f t="shared" si="338"/>
        <v>x</v>
      </c>
      <c r="S808" s="16" t="str">
        <f t="shared" si="338"/>
        <v>x</v>
      </c>
      <c r="U808" s="46" t="str">
        <f t="shared" si="311"/>
        <v/>
      </c>
      <c r="V808" s="46">
        <f t="shared" si="311"/>
        <v>4</v>
      </c>
      <c r="W808" s="46" t="str">
        <f t="shared" si="311"/>
        <v/>
      </c>
      <c r="X808" s="46" t="str">
        <f t="shared" si="311"/>
        <v/>
      </c>
    </row>
    <row r="809" spans="2:24" x14ac:dyDescent="0.25">
      <c r="B809" s="11" t="str">
        <f t="shared" si="332"/>
        <v>CANO-03JAN1908</v>
      </c>
      <c r="C809" s="11" t="s">
        <v>3398</v>
      </c>
      <c r="D809" s="11" t="s">
        <v>3007</v>
      </c>
      <c r="E809" s="39" t="s">
        <v>1210</v>
      </c>
      <c r="F809" s="11" t="s">
        <v>3050</v>
      </c>
      <c r="G809" s="39" t="s">
        <v>5599</v>
      </c>
      <c r="H809" s="7">
        <v>0</v>
      </c>
      <c r="I809" s="7">
        <v>0</v>
      </c>
      <c r="J809" s="17">
        <v>4</v>
      </c>
      <c r="K809" s="17"/>
      <c r="L809" s="7">
        <f t="shared" si="333"/>
        <v>4</v>
      </c>
      <c r="M809" s="8">
        <v>1</v>
      </c>
      <c r="N809" s="8">
        <f t="shared" si="334"/>
        <v>1</v>
      </c>
      <c r="O809" s="11" t="s">
        <v>1702</v>
      </c>
      <c r="P809" s="16" t="str">
        <f t="shared" si="335"/>
        <v>03-Jan-1908</v>
      </c>
      <c r="R809" s="16" t="str">
        <f t="shared" si="338"/>
        <v>x</v>
      </c>
      <c r="S809" s="16" t="str">
        <f t="shared" si="338"/>
        <v>x</v>
      </c>
      <c r="U809" s="46" t="str">
        <f t="shared" ref="U809:X810" si="341">IF($O809=U$5,$L809,"")</f>
        <v/>
      </c>
      <c r="V809" s="46">
        <f t="shared" si="341"/>
        <v>4</v>
      </c>
      <c r="W809" s="46" t="str">
        <f t="shared" si="341"/>
        <v/>
      </c>
      <c r="X809" s="46" t="str">
        <f t="shared" si="341"/>
        <v/>
      </c>
    </row>
    <row r="810" spans="2:24" x14ac:dyDescent="0.25">
      <c r="B810" s="11" t="str">
        <f t="shared" si="332"/>
        <v>CANO-08NOV1909</v>
      </c>
      <c r="C810" s="11" t="s">
        <v>3398</v>
      </c>
      <c r="D810" s="11" t="s">
        <v>3007</v>
      </c>
      <c r="E810" s="39" t="s">
        <v>3847</v>
      </c>
      <c r="F810" s="11" t="s">
        <v>3050</v>
      </c>
      <c r="G810" s="39" t="s">
        <v>1485</v>
      </c>
      <c r="H810" s="7">
        <v>0</v>
      </c>
      <c r="I810" s="7">
        <v>0</v>
      </c>
      <c r="J810" s="17">
        <v>46</v>
      </c>
      <c r="K810" s="17"/>
      <c r="L810" s="7">
        <f t="shared" si="333"/>
        <v>46</v>
      </c>
      <c r="M810" s="8">
        <v>1</v>
      </c>
      <c r="N810" s="8">
        <f t="shared" si="334"/>
        <v>1</v>
      </c>
      <c r="O810" s="11" t="s">
        <v>1702</v>
      </c>
      <c r="P810" s="16" t="str">
        <f t="shared" si="335"/>
        <v>08-Nov-1909</v>
      </c>
      <c r="R810" s="16" t="str">
        <f t="shared" si="338"/>
        <v>x</v>
      </c>
      <c r="S810" s="16" t="str">
        <f t="shared" si="338"/>
        <v>x</v>
      </c>
      <c r="U810" s="46" t="str">
        <f t="shared" si="341"/>
        <v/>
      </c>
      <c r="V810" s="46">
        <f t="shared" si="341"/>
        <v>46</v>
      </c>
      <c r="W810" s="46" t="str">
        <f t="shared" si="341"/>
        <v/>
      </c>
      <c r="X810" s="46" t="str">
        <f t="shared" si="341"/>
        <v/>
      </c>
    </row>
    <row r="811" spans="2:24" x14ac:dyDescent="0.25">
      <c r="B811" s="11" t="str">
        <f t="shared" si="332"/>
        <v>CANO-24SEP1911</v>
      </c>
      <c r="C811" s="11" t="s">
        <v>3398</v>
      </c>
      <c r="D811" s="11" t="s">
        <v>3007</v>
      </c>
      <c r="E811" s="39" t="s">
        <v>4426</v>
      </c>
      <c r="F811" s="11" t="s">
        <v>3050</v>
      </c>
      <c r="G811" s="39" t="s">
        <v>4427</v>
      </c>
      <c r="H811" s="7">
        <v>0</v>
      </c>
      <c r="I811" s="7">
        <v>7</v>
      </c>
      <c r="J811" s="17">
        <v>8</v>
      </c>
      <c r="K811" s="17"/>
      <c r="L811" s="7">
        <f t="shared" si="333"/>
        <v>15</v>
      </c>
      <c r="M811" s="8">
        <v>1</v>
      </c>
      <c r="N811" s="8">
        <f t="shared" si="334"/>
        <v>1</v>
      </c>
      <c r="O811" s="11" t="s">
        <v>1702</v>
      </c>
      <c r="P811" s="16" t="str">
        <f t="shared" si="335"/>
        <v>24-Sep-1911</v>
      </c>
      <c r="R811" s="16" t="str">
        <f t="shared" si="338"/>
        <v>x</v>
      </c>
      <c r="S811" s="16" t="str">
        <f t="shared" si="338"/>
        <v>x</v>
      </c>
      <c r="U811" s="46" t="str">
        <f t="shared" si="311"/>
        <v/>
      </c>
      <c r="V811" s="46">
        <f t="shared" si="311"/>
        <v>15</v>
      </c>
      <c r="W811" s="46" t="str">
        <f t="shared" si="311"/>
        <v/>
      </c>
      <c r="X811" s="46" t="str">
        <f t="shared" si="311"/>
        <v/>
      </c>
    </row>
    <row r="812" spans="2:24" x14ac:dyDescent="0.25">
      <c r="B812" s="11" t="str">
        <f t="shared" si="332"/>
        <v>CANO-08OCT1917</v>
      </c>
      <c r="C812" s="11" t="s">
        <v>3398</v>
      </c>
      <c r="D812" s="11" t="s">
        <v>3007</v>
      </c>
      <c r="E812" s="39" t="s">
        <v>5190</v>
      </c>
      <c r="F812" s="11" t="s">
        <v>3050</v>
      </c>
      <c r="G812" s="39" t="s">
        <v>5191</v>
      </c>
      <c r="I812" s="7">
        <v>1</v>
      </c>
      <c r="J812" s="17">
        <v>0</v>
      </c>
      <c r="K812" s="17"/>
      <c r="L812" s="7">
        <f t="shared" si="333"/>
        <v>1</v>
      </c>
      <c r="M812" s="8">
        <v>1</v>
      </c>
      <c r="N812" s="8">
        <f t="shared" si="334"/>
        <v>1</v>
      </c>
      <c r="O812" s="11" t="s">
        <v>1702</v>
      </c>
      <c r="P812" s="16" t="str">
        <f t="shared" si="335"/>
        <v>08-Oct-1917</v>
      </c>
      <c r="R812" s="16" t="str">
        <f t="shared" si="338"/>
        <v>x</v>
      </c>
      <c r="S812" s="16" t="str">
        <f t="shared" si="338"/>
        <v>x</v>
      </c>
      <c r="U812" s="46" t="str">
        <f t="shared" ref="U812:X813" si="342">IF($O812=U$5,$L812,"")</f>
        <v/>
      </c>
      <c r="V812" s="46">
        <f t="shared" si="342"/>
        <v>1</v>
      </c>
      <c r="W812" s="46" t="str">
        <f t="shared" si="342"/>
        <v/>
      </c>
      <c r="X812" s="46" t="str">
        <f t="shared" si="342"/>
        <v/>
      </c>
    </row>
    <row r="813" spans="2:24" x14ac:dyDescent="0.25">
      <c r="B813" s="11" t="str">
        <f t="shared" si="332"/>
        <v>CANO-28APR1920</v>
      </c>
      <c r="C813" s="11" t="s">
        <v>3398</v>
      </c>
      <c r="D813" s="11" t="s">
        <v>3007</v>
      </c>
      <c r="E813" s="39" t="s">
        <v>3110</v>
      </c>
      <c r="F813" s="11" t="s">
        <v>3050</v>
      </c>
      <c r="G813" s="39" t="s">
        <v>5412</v>
      </c>
      <c r="H813" s="7">
        <v>0</v>
      </c>
      <c r="I813" s="7">
        <v>0</v>
      </c>
      <c r="J813" s="17">
        <v>65</v>
      </c>
      <c r="K813" s="17"/>
      <c r="L813" s="7">
        <f t="shared" si="333"/>
        <v>65</v>
      </c>
      <c r="M813" s="8">
        <v>1</v>
      </c>
      <c r="N813" s="8">
        <f t="shared" si="334"/>
        <v>1</v>
      </c>
      <c r="O813" s="11" t="s">
        <v>1702</v>
      </c>
      <c r="P813" s="16" t="str">
        <f t="shared" si="335"/>
        <v>28-Apr-1920</v>
      </c>
      <c r="R813" s="16" t="str">
        <f>IF($L813&gt;0,"x","")</f>
        <v>x</v>
      </c>
      <c r="S813" s="16" t="str">
        <f>IF($L813&gt;0,"x","")</f>
        <v>x</v>
      </c>
      <c r="U813" s="46" t="str">
        <f t="shared" si="342"/>
        <v/>
      </c>
      <c r="V813" s="46">
        <f t="shared" si="342"/>
        <v>65</v>
      </c>
      <c r="W813" s="46" t="str">
        <f t="shared" si="342"/>
        <v/>
      </c>
      <c r="X813" s="46" t="str">
        <f t="shared" si="342"/>
        <v/>
      </c>
    </row>
    <row r="814" spans="2:24" x14ac:dyDescent="0.25">
      <c r="B814" s="11" t="str">
        <f t="shared" si="332"/>
        <v>CANO-18MAR1923</v>
      </c>
      <c r="C814" s="11" t="s">
        <v>3398</v>
      </c>
      <c r="D814" s="11" t="s">
        <v>2224</v>
      </c>
      <c r="E814" s="39" t="s">
        <v>4301</v>
      </c>
      <c r="F814" s="11" t="s">
        <v>1700</v>
      </c>
      <c r="G814" s="39" t="s">
        <v>4302</v>
      </c>
      <c r="I814" s="7">
        <v>0</v>
      </c>
      <c r="J814" s="17">
        <f>0+4</f>
        <v>4</v>
      </c>
      <c r="K814" s="17"/>
      <c r="L814" s="7">
        <f t="shared" si="333"/>
        <v>4</v>
      </c>
      <c r="M814" s="8">
        <v>1</v>
      </c>
      <c r="N814" s="8">
        <f t="shared" si="334"/>
        <v>1</v>
      </c>
      <c r="O814" s="11" t="s">
        <v>1702</v>
      </c>
      <c r="P814" s="16" t="str">
        <f t="shared" si="335"/>
        <v>18-Mar-1923</v>
      </c>
      <c r="R814" s="16" t="str">
        <f t="shared" si="338"/>
        <v>x</v>
      </c>
      <c r="S814" s="16" t="str">
        <f t="shared" si="338"/>
        <v>x</v>
      </c>
      <c r="U814" s="46" t="str">
        <f t="shared" si="311"/>
        <v/>
      </c>
      <c r="V814" s="46">
        <f t="shared" si="311"/>
        <v>4</v>
      </c>
      <c r="W814" s="46" t="str">
        <f t="shared" si="311"/>
        <v/>
      </c>
      <c r="X814" s="46" t="str">
        <f t="shared" si="311"/>
        <v/>
      </c>
    </row>
    <row r="815" spans="2:24" x14ac:dyDescent="0.25">
      <c r="B815" s="11" t="str">
        <f t="shared" si="332"/>
        <v>CANO-23MAR1923</v>
      </c>
      <c r="C815" s="11" t="s">
        <v>3398</v>
      </c>
      <c r="D815" s="11" t="s">
        <v>2224</v>
      </c>
      <c r="E815" s="39" t="s">
        <v>4301</v>
      </c>
      <c r="F815" s="11" t="s">
        <v>2904</v>
      </c>
      <c r="G815" s="39" t="s">
        <v>6175</v>
      </c>
      <c r="J815" s="17">
        <v>1</v>
      </c>
      <c r="K815" s="17"/>
      <c r="L815" s="7">
        <f t="shared" si="333"/>
        <v>1</v>
      </c>
      <c r="M815" s="8">
        <v>1</v>
      </c>
      <c r="N815" s="8">
        <f t="shared" si="334"/>
        <v>1</v>
      </c>
      <c r="O815" s="11" t="s">
        <v>1702</v>
      </c>
      <c r="P815" s="16" t="str">
        <f t="shared" si="335"/>
        <v>23-Mar-1923</v>
      </c>
      <c r="R815" s="16" t="str">
        <f t="shared" si="338"/>
        <v>x</v>
      </c>
      <c r="S815" s="16" t="str">
        <f t="shared" si="338"/>
        <v>x</v>
      </c>
      <c r="U815" s="46" t="str">
        <f t="shared" ref="U815:X817" si="343">IF($O815=U$5,$L815,"")</f>
        <v/>
      </c>
      <c r="V815" s="46">
        <f t="shared" si="343"/>
        <v>1</v>
      </c>
      <c r="W815" s="46" t="str">
        <f t="shared" si="343"/>
        <v/>
      </c>
      <c r="X815" s="46" t="str">
        <f t="shared" si="343"/>
        <v/>
      </c>
    </row>
    <row r="816" spans="2:24" x14ac:dyDescent="0.25">
      <c r="B816" s="11" t="str">
        <f t="shared" si="332"/>
        <v>CANO-08OCT1923</v>
      </c>
      <c r="C816" s="11" t="s">
        <v>3398</v>
      </c>
      <c r="D816" s="11" t="s">
        <v>2224</v>
      </c>
      <c r="E816" s="39" t="s">
        <v>4685</v>
      </c>
      <c r="F816" s="11" t="s">
        <v>2904</v>
      </c>
      <c r="G816" s="39" t="s">
        <v>4686</v>
      </c>
      <c r="I816" s="7">
        <v>0</v>
      </c>
      <c r="J816" s="17">
        <v>6</v>
      </c>
      <c r="K816" s="17"/>
      <c r="L816" s="7">
        <f t="shared" si="333"/>
        <v>6</v>
      </c>
      <c r="M816" s="8">
        <v>1</v>
      </c>
      <c r="N816" s="8">
        <f t="shared" si="334"/>
        <v>1</v>
      </c>
      <c r="O816" s="11" t="s">
        <v>1702</v>
      </c>
      <c r="P816" s="16" t="str">
        <f t="shared" si="335"/>
        <v>08-Oct-1923</v>
      </c>
      <c r="R816" s="16" t="str">
        <f t="shared" si="338"/>
        <v>x</v>
      </c>
      <c r="S816" s="16" t="str">
        <f t="shared" si="338"/>
        <v>x</v>
      </c>
      <c r="U816" s="46" t="str">
        <f t="shared" si="343"/>
        <v/>
      </c>
      <c r="V816" s="46">
        <f t="shared" si="343"/>
        <v>6</v>
      </c>
      <c r="W816" s="46" t="str">
        <f t="shared" si="343"/>
        <v/>
      </c>
      <c r="X816" s="46" t="str">
        <f t="shared" si="343"/>
        <v/>
      </c>
    </row>
    <row r="817" spans="2:24" x14ac:dyDescent="0.25">
      <c r="B817" s="11" t="str">
        <f>CONCATENATE("CANO","-",LEFT(P817,2),UPPER(MID(P817,4,3)),RIGHT(P817,4))</f>
        <v>CANO-09APR1924</v>
      </c>
      <c r="C817" s="11" t="s">
        <v>3398</v>
      </c>
      <c r="D817" s="11" t="s">
        <v>3619</v>
      </c>
      <c r="E817" s="39" t="s">
        <v>1190</v>
      </c>
      <c r="F817" s="11" t="s">
        <v>2904</v>
      </c>
      <c r="G817" s="39" t="s">
        <v>11364</v>
      </c>
      <c r="J817" s="17">
        <v>2</v>
      </c>
      <c r="K817" s="17"/>
      <c r="L817" s="7">
        <f>SUM(H817:K817)</f>
        <v>2</v>
      </c>
      <c r="M817" s="8">
        <v>1</v>
      </c>
      <c r="N817" s="8">
        <f>IF(L817&gt;0,1,"")</f>
        <v>1</v>
      </c>
      <c r="O817" s="11" t="s">
        <v>1702</v>
      </c>
      <c r="P817" s="16" t="str">
        <f>IF(LEN(G817)=10,CONCATENATE("0",G817),G817)</f>
        <v>09-Apr-1924</v>
      </c>
      <c r="R817" s="16" t="str">
        <f>IF($L817&gt;0,"x","")</f>
        <v>x</v>
      </c>
      <c r="S817" s="16" t="str">
        <f>IF($L817&gt;0,"x","")</f>
        <v>x</v>
      </c>
      <c r="U817" s="46" t="str">
        <f t="shared" si="343"/>
        <v/>
      </c>
      <c r="V817" s="46">
        <f t="shared" si="343"/>
        <v>2</v>
      </c>
      <c r="W817" s="46" t="str">
        <f t="shared" si="343"/>
        <v/>
      </c>
      <c r="X817" s="46" t="str">
        <f t="shared" si="343"/>
        <v/>
      </c>
    </row>
    <row r="818" spans="2:24" x14ac:dyDescent="0.25">
      <c r="N818" s="8" t="str">
        <f>IF(R818="x",1,"")</f>
        <v/>
      </c>
      <c r="U818" s="46" t="str">
        <f t="shared" si="311"/>
        <v/>
      </c>
      <c r="V818" s="46" t="str">
        <f t="shared" si="311"/>
        <v/>
      </c>
      <c r="W818" s="46" t="str">
        <f t="shared" si="311"/>
        <v/>
      </c>
      <c r="X818" s="46" t="str">
        <f t="shared" si="311"/>
        <v/>
      </c>
    </row>
    <row r="819" spans="2:24" x14ac:dyDescent="0.25">
      <c r="B819" s="18"/>
      <c r="C819" s="18"/>
      <c r="D819" s="18"/>
      <c r="E819" s="40"/>
      <c r="F819" s="18"/>
      <c r="G819" s="40"/>
      <c r="H819" s="7">
        <f t="shared" ref="H819:N819" si="344">SUM(H798:H818)</f>
        <v>1</v>
      </c>
      <c r="I819" s="7">
        <f t="shared" si="344"/>
        <v>26</v>
      </c>
      <c r="J819" s="7">
        <f>SUM(J798:J818)</f>
        <v>229</v>
      </c>
      <c r="K819" s="7">
        <f t="shared" si="344"/>
        <v>0</v>
      </c>
      <c r="L819" s="7">
        <f t="shared" si="344"/>
        <v>256</v>
      </c>
      <c r="M819" s="7">
        <f t="shared" si="344"/>
        <v>20</v>
      </c>
      <c r="N819" s="7">
        <f t="shared" si="344"/>
        <v>20</v>
      </c>
      <c r="O819" s="18"/>
      <c r="P819" s="13"/>
      <c r="Q819" s="13"/>
      <c r="S819" s="13"/>
      <c r="T819" s="15"/>
      <c r="U819" s="46" t="str">
        <f t="shared" si="311"/>
        <v/>
      </c>
      <c r="V819" s="46" t="str">
        <f t="shared" si="311"/>
        <v/>
      </c>
      <c r="W819" s="46" t="str">
        <f t="shared" si="311"/>
        <v/>
      </c>
      <c r="X819" s="46" t="str">
        <f t="shared" si="311"/>
        <v/>
      </c>
    </row>
    <row r="820" spans="2:24" x14ac:dyDescent="0.25">
      <c r="B820" s="18"/>
      <c r="C820" s="18"/>
      <c r="D820" s="18"/>
      <c r="E820" s="40"/>
      <c r="F820" s="18"/>
      <c r="G820" s="40"/>
      <c r="N820" s="8" t="str">
        <f>IF(R820="x",1,"")</f>
        <v/>
      </c>
      <c r="O820" s="18"/>
      <c r="P820" s="13"/>
      <c r="Q820" s="13"/>
      <c r="R820" s="13"/>
      <c r="S820" s="13"/>
      <c r="T820" s="15"/>
      <c r="U820" s="46" t="str">
        <f t="shared" si="311"/>
        <v/>
      </c>
      <c r="V820" s="46" t="str">
        <f t="shared" si="311"/>
        <v/>
      </c>
      <c r="W820" s="46" t="str">
        <f t="shared" si="311"/>
        <v/>
      </c>
      <c r="X820" s="46" t="str">
        <f t="shared" si="311"/>
        <v/>
      </c>
    </row>
    <row r="821" spans="2:24" x14ac:dyDescent="0.25">
      <c r="B821" s="18"/>
      <c r="C821" s="18"/>
      <c r="D821" s="18"/>
      <c r="E821" s="40"/>
      <c r="F821" s="18"/>
      <c r="G821" s="40"/>
      <c r="N821" s="8" t="str">
        <f>IF(R821="x",1,"")</f>
        <v/>
      </c>
      <c r="O821" s="18"/>
      <c r="P821" s="13"/>
      <c r="Q821" s="13"/>
      <c r="R821" s="13"/>
      <c r="S821" s="13"/>
      <c r="T821" s="15"/>
      <c r="U821" s="46" t="str">
        <f t="shared" si="311"/>
        <v/>
      </c>
      <c r="V821" s="46" t="str">
        <f t="shared" si="311"/>
        <v/>
      </c>
      <c r="W821" s="46" t="str">
        <f t="shared" si="311"/>
        <v/>
      </c>
      <c r="X821" s="46" t="str">
        <f t="shared" si="311"/>
        <v/>
      </c>
    </row>
    <row r="822" spans="2:24" x14ac:dyDescent="0.25">
      <c r="B822" s="11" t="str">
        <f>CONCATENATE("CAPF","-",LEFT(P822,2),UPPER(MID(P822,4,3)),RIGHT(P822,4))</f>
        <v>CAPF-28NOV1900</v>
      </c>
      <c r="C822" s="11" t="s">
        <v>4116</v>
      </c>
      <c r="D822" s="11" t="s">
        <v>2103</v>
      </c>
      <c r="E822" s="39" t="s">
        <v>3219</v>
      </c>
      <c r="F822" s="11" t="s">
        <v>1700</v>
      </c>
      <c r="G822" s="39" t="s">
        <v>4117</v>
      </c>
      <c r="J822" s="17">
        <v>24</v>
      </c>
      <c r="K822" s="17"/>
      <c r="L822" s="7">
        <f>SUM(H822:K822)</f>
        <v>24</v>
      </c>
      <c r="M822" s="8">
        <v>1</v>
      </c>
      <c r="N822" s="8">
        <f>IF(L822&gt;0,1,"")</f>
        <v>1</v>
      </c>
      <c r="O822" s="11" t="s">
        <v>1702</v>
      </c>
      <c r="P822" s="16" t="str">
        <f>IF(LEN(G822)=10,CONCATENATE("0",G822),G822)</f>
        <v>28-Nov-1900</v>
      </c>
      <c r="R822" s="16" t="str">
        <f>IF($L822&gt;0,"x","")</f>
        <v>x</v>
      </c>
      <c r="S822" s="16" t="str">
        <f>IF($L822&gt;0,"x","")</f>
        <v>x</v>
      </c>
      <c r="U822" s="46" t="str">
        <f t="shared" si="311"/>
        <v/>
      </c>
      <c r="V822" s="46">
        <f t="shared" si="311"/>
        <v>24</v>
      </c>
      <c r="W822" s="46" t="str">
        <f t="shared" si="311"/>
        <v/>
      </c>
      <c r="X822" s="46" t="str">
        <f t="shared" si="311"/>
        <v/>
      </c>
    </row>
    <row r="823" spans="2:24" x14ac:dyDescent="0.25">
      <c r="B823" s="11" t="str">
        <f>CONCATENATE("CAPF","-",LEFT(P823,2),UPPER(MID(P823,4,3)),RIGHT(P823,4))</f>
        <v>CAPF-08JAN1901</v>
      </c>
      <c r="C823" s="11" t="s">
        <v>4116</v>
      </c>
      <c r="D823" s="11" t="s">
        <v>2103</v>
      </c>
      <c r="E823" s="39" t="s">
        <v>6019</v>
      </c>
      <c r="F823" s="11" t="s">
        <v>1700</v>
      </c>
      <c r="G823" s="39" t="s">
        <v>6020</v>
      </c>
      <c r="J823" s="17">
        <v>18</v>
      </c>
      <c r="K823" s="17"/>
      <c r="L823" s="7">
        <f>SUM(H823:K823)</f>
        <v>18</v>
      </c>
      <c r="M823" s="8">
        <v>1</v>
      </c>
      <c r="N823" s="8">
        <f>IF(L823&gt;0,1,"")</f>
        <v>1</v>
      </c>
      <c r="O823" s="11" t="s">
        <v>1702</v>
      </c>
      <c r="P823" s="16" t="str">
        <f>IF(LEN(G823)=10,CONCATENATE("0",G823),G823)</f>
        <v>08-Jan-1901</v>
      </c>
      <c r="R823" s="16" t="str">
        <f>IF($L823&gt;0,"x","")</f>
        <v>x</v>
      </c>
      <c r="S823" s="16" t="str">
        <f>IF($L823&gt;0,"x","")</f>
        <v>x</v>
      </c>
      <c r="U823" s="46" t="str">
        <f>IF($O823=U$5,$L823,"")</f>
        <v/>
      </c>
      <c r="V823" s="46">
        <f>IF($O823=V$5,$L823,"")</f>
        <v>18</v>
      </c>
      <c r="W823" s="46" t="str">
        <f>IF($O823=W$5,$L823,"")</f>
        <v/>
      </c>
      <c r="X823" s="46" t="str">
        <f>IF($O823=X$5,$L823,"")</f>
        <v/>
      </c>
    </row>
    <row r="824" spans="2:24" x14ac:dyDescent="0.25">
      <c r="N824" s="8" t="str">
        <f>IF(R824="x",1,"")</f>
        <v/>
      </c>
      <c r="U824" s="46" t="str">
        <f t="shared" si="311"/>
        <v/>
      </c>
      <c r="V824" s="46" t="str">
        <f t="shared" si="311"/>
        <v/>
      </c>
      <c r="W824" s="46" t="str">
        <f t="shared" si="311"/>
        <v/>
      </c>
      <c r="X824" s="46" t="str">
        <f t="shared" si="311"/>
        <v/>
      </c>
    </row>
    <row r="825" spans="2:24" x14ac:dyDescent="0.25">
      <c r="B825" s="18"/>
      <c r="C825" s="18"/>
      <c r="D825" s="18"/>
      <c r="E825" s="40"/>
      <c r="F825" s="18"/>
      <c r="G825" s="40"/>
      <c r="H825" s="7">
        <f t="shared" ref="H825:N825" si="345">SUM(H822:H824)</f>
        <v>0</v>
      </c>
      <c r="I825" s="7">
        <f t="shared" si="345"/>
        <v>0</v>
      </c>
      <c r="J825" s="7">
        <f>SUM(J822:J824)</f>
        <v>42</v>
      </c>
      <c r="K825" s="7">
        <f t="shared" si="345"/>
        <v>0</v>
      </c>
      <c r="L825" s="7">
        <f t="shared" si="345"/>
        <v>42</v>
      </c>
      <c r="M825" s="7">
        <f t="shared" si="345"/>
        <v>2</v>
      </c>
      <c r="N825" s="7">
        <f t="shared" si="345"/>
        <v>2</v>
      </c>
      <c r="O825" s="18"/>
      <c r="P825" s="13"/>
      <c r="Q825" s="13"/>
      <c r="S825" s="13"/>
      <c r="T825" s="15"/>
      <c r="U825" s="46" t="str">
        <f t="shared" si="311"/>
        <v/>
      </c>
      <c r="V825" s="46" t="str">
        <f t="shared" si="311"/>
        <v/>
      </c>
      <c r="W825" s="46" t="str">
        <f t="shared" si="311"/>
        <v/>
      </c>
      <c r="X825" s="46" t="str">
        <f t="shared" si="311"/>
        <v/>
      </c>
    </row>
    <row r="826" spans="2:24" x14ac:dyDescent="0.25">
      <c r="B826" s="18"/>
      <c r="C826" s="18"/>
      <c r="D826" s="18"/>
      <c r="E826" s="40"/>
      <c r="F826" s="18"/>
      <c r="G826" s="40"/>
      <c r="N826" s="8" t="str">
        <f>IF(R826="x",1,"")</f>
        <v/>
      </c>
      <c r="O826" s="18"/>
      <c r="P826" s="13"/>
      <c r="Q826" s="13"/>
      <c r="R826" s="13"/>
      <c r="S826" s="13"/>
      <c r="T826" s="15"/>
      <c r="U826" s="46" t="str">
        <f t="shared" si="311"/>
        <v/>
      </c>
      <c r="V826" s="46" t="str">
        <f t="shared" si="311"/>
        <v/>
      </c>
      <c r="W826" s="46" t="str">
        <f t="shared" si="311"/>
        <v/>
      </c>
      <c r="X826" s="46" t="str">
        <f t="shared" si="311"/>
        <v/>
      </c>
    </row>
    <row r="827" spans="2:24" x14ac:dyDescent="0.25">
      <c r="B827" s="18"/>
      <c r="C827" s="18"/>
      <c r="D827" s="18"/>
      <c r="E827" s="40"/>
      <c r="F827" s="18"/>
      <c r="G827" s="40"/>
      <c r="N827" s="8" t="str">
        <f>IF(R827="x",1,"")</f>
        <v/>
      </c>
      <c r="O827" s="18"/>
      <c r="P827" s="13"/>
      <c r="Q827" s="13"/>
      <c r="R827" s="13"/>
      <c r="S827" s="13"/>
      <c r="T827" s="15"/>
      <c r="U827" s="46" t="str">
        <f t="shared" si="311"/>
        <v/>
      </c>
      <c r="V827" s="46" t="str">
        <f t="shared" si="311"/>
        <v/>
      </c>
      <c r="W827" s="46" t="str">
        <f t="shared" si="311"/>
        <v/>
      </c>
      <c r="X827" s="46" t="str">
        <f t="shared" si="311"/>
        <v/>
      </c>
    </row>
    <row r="828" spans="2:24" x14ac:dyDescent="0.25">
      <c r="B828" s="11" t="str">
        <f t="shared" ref="B828:B833" si="346">CONCATENATE("CARM","-",LEFT(P828,2),UPPER(MID(P828,4,3)),RIGHT(P828,4))</f>
        <v>CARM-02MAY1906</v>
      </c>
      <c r="C828" s="11" t="s">
        <v>3798</v>
      </c>
      <c r="D828" s="11" t="s">
        <v>2097</v>
      </c>
      <c r="E828" s="39" t="s">
        <v>2706</v>
      </c>
      <c r="F828" s="11" t="s">
        <v>1700</v>
      </c>
      <c r="G828" s="39" t="s">
        <v>5840</v>
      </c>
      <c r="H828" s="7">
        <v>0</v>
      </c>
      <c r="I828" s="7">
        <v>4</v>
      </c>
      <c r="J828" s="17">
        <v>0</v>
      </c>
      <c r="K828" s="17"/>
      <c r="L828" s="7">
        <f t="shared" ref="L828:L833" si="347">SUM(H828:K828)</f>
        <v>4</v>
      </c>
      <c r="M828" s="8">
        <v>1</v>
      </c>
      <c r="N828" s="8">
        <f t="shared" ref="N828:N833" si="348">IF(L828&gt;0,1,"")</f>
        <v>1</v>
      </c>
      <c r="O828" s="11" t="s">
        <v>1702</v>
      </c>
      <c r="P828" s="16" t="str">
        <f t="shared" ref="P828:P833" si="349">IF(LEN(G828)=10,CONCATENATE("0",G828),G828)</f>
        <v>02-May-1906</v>
      </c>
      <c r="R828" s="16" t="str">
        <f>IF($L828&gt;0,"x","")</f>
        <v>x</v>
      </c>
      <c r="S828" s="16" t="str">
        <f>IF($L828&gt;0,"x","")</f>
        <v>x</v>
      </c>
      <c r="U828" s="46" t="str">
        <f t="shared" si="311"/>
        <v/>
      </c>
      <c r="V828" s="46">
        <f t="shared" si="311"/>
        <v>4</v>
      </c>
      <c r="W828" s="46" t="str">
        <f t="shared" si="311"/>
        <v/>
      </c>
      <c r="X828" s="46" t="str">
        <f t="shared" si="311"/>
        <v/>
      </c>
    </row>
    <row r="829" spans="2:24" x14ac:dyDescent="0.25">
      <c r="B829" s="11" t="str">
        <f t="shared" si="346"/>
        <v>CARM-21AUG1906</v>
      </c>
      <c r="C829" s="11" t="s">
        <v>3798</v>
      </c>
      <c r="D829" s="11" t="s">
        <v>2097</v>
      </c>
      <c r="E829" s="39" t="s">
        <v>3799</v>
      </c>
      <c r="F829" s="11" t="s">
        <v>1700</v>
      </c>
      <c r="G829" s="39" t="s">
        <v>3800</v>
      </c>
      <c r="H829" s="7">
        <v>2</v>
      </c>
      <c r="I829" s="7">
        <v>0</v>
      </c>
      <c r="J829" s="17">
        <v>0</v>
      </c>
      <c r="K829" s="17"/>
      <c r="L829" s="7">
        <f t="shared" si="347"/>
        <v>2</v>
      </c>
      <c r="M829" s="8">
        <v>1</v>
      </c>
      <c r="N829" s="8">
        <f t="shared" si="348"/>
        <v>1</v>
      </c>
      <c r="O829" s="11" t="s">
        <v>1702</v>
      </c>
      <c r="P829" s="16" t="str">
        <f t="shared" si="349"/>
        <v>21-Aug-1906</v>
      </c>
      <c r="R829" s="16" t="str">
        <f t="shared" ref="R829:S833" si="350">IF($L829&gt;0,"x","")</f>
        <v>x</v>
      </c>
      <c r="S829" s="16" t="str">
        <f t="shared" si="350"/>
        <v>x</v>
      </c>
      <c r="U829" s="46" t="str">
        <f>IF($O829=U$5,$L829,"")</f>
        <v/>
      </c>
      <c r="V829" s="46">
        <f>IF($O829=V$5,$L829,"")</f>
        <v>2</v>
      </c>
      <c r="W829" s="46" t="str">
        <f>IF($O829=W$5,$L829,"")</f>
        <v/>
      </c>
      <c r="X829" s="46" t="str">
        <f>IF($O829=X$5,$L829,"")</f>
        <v/>
      </c>
    </row>
    <row r="830" spans="2:24" x14ac:dyDescent="0.25">
      <c r="B830" s="11" t="str">
        <f t="shared" si="346"/>
        <v>CARM-03SEP1907</v>
      </c>
      <c r="C830" s="11" t="s">
        <v>3798</v>
      </c>
      <c r="D830" s="11" t="s">
        <v>2097</v>
      </c>
      <c r="E830" s="39" t="s">
        <v>11481</v>
      </c>
      <c r="F830" s="11" t="s">
        <v>1700</v>
      </c>
      <c r="G830" s="39" t="s">
        <v>6292</v>
      </c>
      <c r="H830" s="7">
        <v>0</v>
      </c>
      <c r="I830" s="7">
        <v>0</v>
      </c>
      <c r="J830" s="17">
        <v>5</v>
      </c>
      <c r="K830" s="17"/>
      <c r="L830" s="7">
        <f t="shared" si="347"/>
        <v>5</v>
      </c>
      <c r="M830" s="8">
        <v>1</v>
      </c>
      <c r="N830" s="8">
        <f t="shared" si="348"/>
        <v>1</v>
      </c>
      <c r="O830" s="11" t="s">
        <v>1702</v>
      </c>
      <c r="P830" s="16" t="str">
        <f t="shared" si="349"/>
        <v>03-Sep-1907</v>
      </c>
      <c r="R830" s="16" t="str">
        <f t="shared" si="350"/>
        <v>x</v>
      </c>
      <c r="S830" s="16" t="str">
        <f t="shared" si="350"/>
        <v>x</v>
      </c>
      <c r="U830" s="46" t="str">
        <f t="shared" ref="U830:X832" si="351">IF($O830=U$5,$L830,"")</f>
        <v/>
      </c>
      <c r="V830" s="46">
        <f t="shared" si="351"/>
        <v>5</v>
      </c>
      <c r="W830" s="46" t="str">
        <f t="shared" si="351"/>
        <v/>
      </c>
      <c r="X830" s="46" t="str">
        <f t="shared" si="351"/>
        <v/>
      </c>
    </row>
    <row r="831" spans="2:24" x14ac:dyDescent="0.25">
      <c r="B831" s="11" t="str">
        <f t="shared" si="346"/>
        <v>CARM-01DEC1907</v>
      </c>
      <c r="C831" s="11" t="s">
        <v>3798</v>
      </c>
      <c r="D831" s="11" t="s">
        <v>2097</v>
      </c>
      <c r="E831" s="39" t="s">
        <v>1209</v>
      </c>
      <c r="F831" s="11" t="s">
        <v>1700</v>
      </c>
      <c r="G831" s="39" t="s">
        <v>5053</v>
      </c>
      <c r="H831" s="7">
        <v>1</v>
      </c>
      <c r="I831" s="7">
        <v>5</v>
      </c>
      <c r="J831" s="17">
        <v>1</v>
      </c>
      <c r="K831" s="17"/>
      <c r="L831" s="7">
        <f t="shared" si="347"/>
        <v>7</v>
      </c>
      <c r="M831" s="8">
        <v>1</v>
      </c>
      <c r="N831" s="8">
        <f t="shared" si="348"/>
        <v>1</v>
      </c>
      <c r="O831" s="11" t="s">
        <v>1702</v>
      </c>
      <c r="P831" s="16" t="str">
        <f t="shared" si="349"/>
        <v>01-Dec-1907</v>
      </c>
      <c r="R831" s="16" t="str">
        <f t="shared" si="350"/>
        <v>x</v>
      </c>
      <c r="S831" s="16" t="str">
        <f t="shared" si="350"/>
        <v>x</v>
      </c>
      <c r="U831" s="46" t="str">
        <f t="shared" si="351"/>
        <v/>
      </c>
      <c r="V831" s="46">
        <f t="shared" si="351"/>
        <v>7</v>
      </c>
      <c r="W831" s="46" t="str">
        <f t="shared" si="351"/>
        <v/>
      </c>
      <c r="X831" s="46" t="str">
        <f t="shared" si="351"/>
        <v/>
      </c>
    </row>
    <row r="832" spans="2:24" x14ac:dyDescent="0.25">
      <c r="B832" s="11" t="str">
        <f t="shared" si="346"/>
        <v>CARM-10JAN1910</v>
      </c>
      <c r="C832" s="11" t="s">
        <v>3798</v>
      </c>
      <c r="D832" s="11" t="s">
        <v>2097</v>
      </c>
      <c r="E832" s="39" t="s">
        <v>1488</v>
      </c>
      <c r="F832" s="11" t="s">
        <v>1700</v>
      </c>
      <c r="G832" s="39" t="s">
        <v>3226</v>
      </c>
      <c r="H832" s="7">
        <v>0</v>
      </c>
      <c r="I832" s="7">
        <v>1</v>
      </c>
      <c r="J832" s="17">
        <v>1</v>
      </c>
      <c r="K832" s="17"/>
      <c r="L832" s="7">
        <f t="shared" si="347"/>
        <v>2</v>
      </c>
      <c r="M832" s="8">
        <v>1</v>
      </c>
      <c r="N832" s="8">
        <f t="shared" si="348"/>
        <v>1</v>
      </c>
      <c r="O832" s="11" t="s">
        <v>1702</v>
      </c>
      <c r="P832" s="16" t="str">
        <f t="shared" si="349"/>
        <v>10-Jan-1910</v>
      </c>
      <c r="R832" s="16" t="str">
        <f t="shared" si="350"/>
        <v>x</v>
      </c>
      <c r="S832" s="16" t="str">
        <f t="shared" si="350"/>
        <v>x</v>
      </c>
      <c r="U832" s="46" t="str">
        <f t="shared" si="351"/>
        <v/>
      </c>
      <c r="V832" s="46">
        <f t="shared" si="351"/>
        <v>2</v>
      </c>
      <c r="W832" s="46" t="str">
        <f t="shared" si="351"/>
        <v/>
      </c>
      <c r="X832" s="46" t="str">
        <f t="shared" si="351"/>
        <v/>
      </c>
    </row>
    <row r="833" spans="2:26" x14ac:dyDescent="0.25">
      <c r="B833" s="11" t="str">
        <f t="shared" si="346"/>
        <v>CARM-28NOV1921</v>
      </c>
      <c r="C833" s="11" t="s">
        <v>3798</v>
      </c>
      <c r="D833" s="11" t="s">
        <v>2224</v>
      </c>
      <c r="E833" s="39" t="s">
        <v>2066</v>
      </c>
      <c r="F833" s="11" t="s">
        <v>1700</v>
      </c>
      <c r="G833" s="39" t="s">
        <v>4261</v>
      </c>
      <c r="H833" s="7">
        <v>0</v>
      </c>
      <c r="I833" s="7">
        <v>0</v>
      </c>
      <c r="J833" s="17">
        <f>3+4</f>
        <v>7</v>
      </c>
      <c r="K833" s="17"/>
      <c r="L833" s="7">
        <f t="shared" si="347"/>
        <v>7</v>
      </c>
      <c r="M833" s="8">
        <v>1</v>
      </c>
      <c r="N833" s="8">
        <f t="shared" si="348"/>
        <v>1</v>
      </c>
      <c r="O833" s="11" t="s">
        <v>1702</v>
      </c>
      <c r="P833" s="16" t="str">
        <f t="shared" si="349"/>
        <v>28-Nov-1921</v>
      </c>
      <c r="R833" s="16" t="str">
        <f t="shared" si="350"/>
        <v>x</v>
      </c>
      <c r="S833" s="16" t="str">
        <f t="shared" si="350"/>
        <v>x</v>
      </c>
      <c r="U833" s="46" t="str">
        <f t="shared" si="311"/>
        <v/>
      </c>
      <c r="V833" s="46">
        <f t="shared" si="311"/>
        <v>7</v>
      </c>
      <c r="W833" s="46" t="str">
        <f t="shared" si="311"/>
        <v/>
      </c>
      <c r="X833" s="46" t="str">
        <f t="shared" si="311"/>
        <v/>
      </c>
    </row>
    <row r="834" spans="2:26" x14ac:dyDescent="0.25">
      <c r="N834" s="8" t="str">
        <f>IF(R834="x",1,"")</f>
        <v/>
      </c>
      <c r="U834" s="46" t="str">
        <f t="shared" si="311"/>
        <v/>
      </c>
      <c r="V834" s="46" t="str">
        <f t="shared" si="311"/>
        <v/>
      </c>
      <c r="W834" s="46" t="str">
        <f t="shared" si="311"/>
        <v/>
      </c>
      <c r="X834" s="46" t="str">
        <f t="shared" si="311"/>
        <v/>
      </c>
    </row>
    <row r="835" spans="2:26" x14ac:dyDescent="0.25">
      <c r="B835" s="18"/>
      <c r="C835" s="18"/>
      <c r="D835" s="18"/>
      <c r="E835" s="40"/>
      <c r="F835" s="18"/>
      <c r="G835" s="40"/>
      <c r="H835" s="7">
        <f t="shared" ref="H835:N835" si="352">SUM(H828:H834)</f>
        <v>3</v>
      </c>
      <c r="I835" s="7">
        <f t="shared" si="352"/>
        <v>10</v>
      </c>
      <c r="J835" s="7">
        <f>SUM(J828:J834)</f>
        <v>14</v>
      </c>
      <c r="K835" s="7">
        <f t="shared" si="352"/>
        <v>0</v>
      </c>
      <c r="L835" s="7">
        <f t="shared" si="352"/>
        <v>27</v>
      </c>
      <c r="M835" s="7">
        <f t="shared" si="352"/>
        <v>6</v>
      </c>
      <c r="N835" s="7">
        <f t="shared" si="352"/>
        <v>6</v>
      </c>
      <c r="O835" s="18"/>
      <c r="P835" s="13"/>
      <c r="Q835" s="13"/>
      <c r="S835" s="13"/>
      <c r="T835" s="15"/>
      <c r="U835" s="46" t="str">
        <f t="shared" si="311"/>
        <v/>
      </c>
      <c r="V835" s="46" t="str">
        <f t="shared" si="311"/>
        <v/>
      </c>
      <c r="W835" s="46" t="str">
        <f t="shared" si="311"/>
        <v/>
      </c>
      <c r="X835" s="46" t="str">
        <f t="shared" si="311"/>
        <v/>
      </c>
    </row>
    <row r="836" spans="2:26" s="18" customFormat="1" x14ac:dyDescent="0.25">
      <c r="E836" s="40"/>
      <c r="G836" s="40"/>
      <c r="H836" s="7"/>
      <c r="I836" s="7"/>
      <c r="J836" s="7"/>
      <c r="K836" s="7"/>
      <c r="L836" s="7"/>
      <c r="M836" s="8"/>
      <c r="N836" s="8" t="str">
        <f>IF(R836="x",1,"")</f>
        <v/>
      </c>
      <c r="P836" s="13"/>
      <c r="Q836" s="13"/>
      <c r="R836" s="13"/>
      <c r="S836" s="13"/>
      <c r="T836" s="15"/>
      <c r="U836" s="46" t="str">
        <f t="shared" si="311"/>
        <v/>
      </c>
      <c r="V836" s="46" t="str">
        <f t="shared" si="311"/>
        <v/>
      </c>
      <c r="W836" s="46" t="str">
        <f t="shared" si="311"/>
        <v/>
      </c>
      <c r="X836" s="46" t="str">
        <f t="shared" si="311"/>
        <v/>
      </c>
      <c r="Z836" s="11"/>
    </row>
    <row r="837" spans="2:26" s="18" customFormat="1" x14ac:dyDescent="0.25">
      <c r="E837" s="40"/>
      <c r="G837" s="40"/>
      <c r="H837" s="7"/>
      <c r="I837" s="7"/>
      <c r="J837" s="7"/>
      <c r="K837" s="7"/>
      <c r="L837" s="7"/>
      <c r="M837" s="8"/>
      <c r="N837" s="8" t="str">
        <f>IF(R837="x",1,"")</f>
        <v/>
      </c>
      <c r="P837" s="13"/>
      <c r="Q837" s="13"/>
      <c r="R837" s="13"/>
      <c r="S837" s="13"/>
      <c r="T837" s="15"/>
      <c r="U837" s="46" t="str">
        <f t="shared" si="311"/>
        <v/>
      </c>
      <c r="V837" s="46" t="str">
        <f t="shared" si="311"/>
        <v/>
      </c>
      <c r="W837" s="46" t="str">
        <f t="shared" si="311"/>
        <v/>
      </c>
      <c r="X837" s="46" t="str">
        <f t="shared" si="311"/>
        <v/>
      </c>
      <c r="Z837" s="11"/>
    </row>
    <row r="838" spans="2:26" x14ac:dyDescent="0.25">
      <c r="B838" s="11" t="str">
        <f>CONCATENATE("CARO","-",LEFT(P838,2),UPPER(MID(P838,4,3)),RIGHT(P838,4))</f>
        <v>CARO-08JAN1909</v>
      </c>
      <c r="C838" s="11" t="s">
        <v>3011</v>
      </c>
      <c r="D838" s="11" t="s">
        <v>1699</v>
      </c>
      <c r="E838" s="39" t="s">
        <v>1833</v>
      </c>
      <c r="F838" s="11" t="s">
        <v>1700</v>
      </c>
      <c r="G838" s="39" t="s">
        <v>3329</v>
      </c>
      <c r="I838" s="7">
        <v>0</v>
      </c>
      <c r="J838" s="7">
        <v>52</v>
      </c>
      <c r="L838" s="7">
        <f t="shared" ref="L838:L857" si="353">SUM(H838:K838)</f>
        <v>52</v>
      </c>
      <c r="M838" s="8">
        <v>1</v>
      </c>
      <c r="N838" s="8">
        <f t="shared" ref="N838:N858" si="354">IF(L838&gt;0,1,"")</f>
        <v>1</v>
      </c>
      <c r="O838" s="11" t="s">
        <v>1702</v>
      </c>
      <c r="P838" s="16" t="str">
        <f t="shared" ref="P838:P858" si="355">IF(LEN(G838)=10,CONCATENATE("0",G838),G838)</f>
        <v>08-Jan-1909</v>
      </c>
      <c r="R838" s="16" t="str">
        <f t="shared" ref="R838:S848" si="356">IF($L838&gt;0,"x","")</f>
        <v>x</v>
      </c>
      <c r="S838" s="16" t="str">
        <f t="shared" si="356"/>
        <v>x</v>
      </c>
      <c r="U838" s="46" t="str">
        <f t="shared" si="311"/>
        <v/>
      </c>
      <c r="V838" s="46">
        <f t="shared" si="311"/>
        <v>52</v>
      </c>
      <c r="W838" s="46" t="str">
        <f t="shared" si="311"/>
        <v/>
      </c>
      <c r="X838" s="46" t="str">
        <f t="shared" si="311"/>
        <v/>
      </c>
    </row>
    <row r="839" spans="2:26" x14ac:dyDescent="0.25">
      <c r="B839" s="11" t="str">
        <f>CONCATENATE("CARO","-",LEFT(P839,2),UPPER(MID(P839,4,3)),RIGHT(P839,4))</f>
        <v>CARO-16MAY1909</v>
      </c>
      <c r="C839" s="11" t="s">
        <v>3011</v>
      </c>
      <c r="D839" s="11" t="s">
        <v>1699</v>
      </c>
      <c r="E839" s="39" t="s">
        <v>3836</v>
      </c>
      <c r="F839" s="11" t="s">
        <v>1700</v>
      </c>
      <c r="G839" s="39" t="s">
        <v>2737</v>
      </c>
      <c r="I839" s="7">
        <v>0</v>
      </c>
      <c r="J839" s="7">
        <v>23</v>
      </c>
      <c r="L839" s="7">
        <f t="shared" si="353"/>
        <v>23</v>
      </c>
      <c r="M839" s="8">
        <v>1</v>
      </c>
      <c r="N839" s="8">
        <f t="shared" si="354"/>
        <v>1</v>
      </c>
      <c r="O839" s="11" t="s">
        <v>1702</v>
      </c>
      <c r="P839" s="16" t="str">
        <f t="shared" si="355"/>
        <v>16-May-1909</v>
      </c>
      <c r="R839" s="16" t="str">
        <f t="shared" si="356"/>
        <v>x</v>
      </c>
      <c r="S839" s="16" t="str">
        <f t="shared" si="356"/>
        <v>x</v>
      </c>
      <c r="U839" s="46" t="str">
        <f t="shared" si="311"/>
        <v/>
      </c>
      <c r="V839" s="46">
        <f t="shared" si="311"/>
        <v>23</v>
      </c>
      <c r="W839" s="46" t="str">
        <f t="shared" si="311"/>
        <v/>
      </c>
      <c r="X839" s="46" t="str">
        <f t="shared" si="311"/>
        <v/>
      </c>
    </row>
    <row r="840" spans="2:26" x14ac:dyDescent="0.25">
      <c r="B840" s="11" t="str">
        <f>CONCATENATE("CARO","-",LEFT(P840,2),UPPER(MID(P840,4,3)),RIGHT(P840,4))</f>
        <v>CARO-26JUN1909</v>
      </c>
      <c r="C840" s="11" t="s">
        <v>3011</v>
      </c>
      <c r="D840" s="11" t="s">
        <v>1699</v>
      </c>
      <c r="E840" s="39" t="s">
        <v>3841</v>
      </c>
      <c r="F840" s="11" t="s">
        <v>1700</v>
      </c>
      <c r="G840" s="39" t="s">
        <v>1232</v>
      </c>
      <c r="I840" s="7">
        <v>0</v>
      </c>
      <c r="J840" s="7">
        <v>13</v>
      </c>
      <c r="L840" s="7">
        <f t="shared" si="353"/>
        <v>13</v>
      </c>
      <c r="M840" s="8">
        <v>1</v>
      </c>
      <c r="N840" s="8">
        <f t="shared" si="354"/>
        <v>1</v>
      </c>
      <c r="O840" s="11" t="s">
        <v>1702</v>
      </c>
      <c r="P840" s="16" t="str">
        <f t="shared" si="355"/>
        <v>26-Jun-1909</v>
      </c>
      <c r="R840" s="16" t="str">
        <f t="shared" si="356"/>
        <v>x</v>
      </c>
      <c r="S840" s="16" t="str">
        <f t="shared" si="356"/>
        <v>x</v>
      </c>
      <c r="U840" s="46" t="str">
        <f t="shared" si="311"/>
        <v/>
      </c>
      <c r="V840" s="46">
        <f t="shared" si="311"/>
        <v>13</v>
      </c>
      <c r="W840" s="46" t="str">
        <f t="shared" si="311"/>
        <v/>
      </c>
      <c r="X840" s="46" t="str">
        <f t="shared" si="311"/>
        <v/>
      </c>
    </row>
    <row r="841" spans="2:26" x14ac:dyDescent="0.25">
      <c r="B841" s="11" t="str">
        <f>CONCATENATE("CARO","-",LEFT(P841,2),UPPER(MID(P841,4,3)),RIGHT(P841,4))</f>
        <v>CARO-06OCT1909</v>
      </c>
      <c r="C841" s="11" t="s">
        <v>3011</v>
      </c>
      <c r="D841" s="11" t="s">
        <v>1699</v>
      </c>
      <c r="E841" s="39" t="s">
        <v>1845</v>
      </c>
      <c r="F841" s="11" t="s">
        <v>1700</v>
      </c>
      <c r="G841" s="39" t="s">
        <v>3012</v>
      </c>
      <c r="I841" s="7">
        <v>0</v>
      </c>
      <c r="J841" s="7">
        <v>18</v>
      </c>
      <c r="L841" s="7">
        <f t="shared" si="353"/>
        <v>18</v>
      </c>
      <c r="M841" s="8">
        <v>1</v>
      </c>
      <c r="N841" s="8">
        <f t="shared" si="354"/>
        <v>1</v>
      </c>
      <c r="O841" s="11" t="s">
        <v>1702</v>
      </c>
      <c r="P841" s="16" t="str">
        <f t="shared" si="355"/>
        <v>06-Oct-1909</v>
      </c>
      <c r="R841" s="16" t="str">
        <f t="shared" si="356"/>
        <v>x</v>
      </c>
      <c r="S841" s="16" t="str">
        <f t="shared" si="356"/>
        <v>x</v>
      </c>
      <c r="U841" s="46" t="str">
        <f t="shared" si="311"/>
        <v/>
      </c>
      <c r="V841" s="46">
        <f t="shared" si="311"/>
        <v>18</v>
      </c>
      <c r="W841" s="46" t="str">
        <f t="shared" si="311"/>
        <v/>
      </c>
      <c r="X841" s="46" t="str">
        <f t="shared" si="311"/>
        <v/>
      </c>
    </row>
    <row r="842" spans="2:26" x14ac:dyDescent="0.25">
      <c r="B842" s="11" t="str">
        <f t="shared" ref="B842:B848" si="357">CONCATENATE("CARO","-",LEFT(P842,2),UPPER(MID(P842,4,3)),RIGHT(P842,4))</f>
        <v>CARO-18NOV1909</v>
      </c>
      <c r="C842" s="11" t="s">
        <v>3011</v>
      </c>
      <c r="D842" s="11" t="s">
        <v>1699</v>
      </c>
      <c r="E842" s="39" t="s">
        <v>3828</v>
      </c>
      <c r="F842" s="11" t="s">
        <v>1700</v>
      </c>
      <c r="G842" s="39" t="s">
        <v>2672</v>
      </c>
      <c r="I842" s="7">
        <v>0</v>
      </c>
      <c r="J842" s="7">
        <v>24</v>
      </c>
      <c r="L842" s="7">
        <f t="shared" si="353"/>
        <v>24</v>
      </c>
      <c r="M842" s="8">
        <v>1</v>
      </c>
      <c r="N842" s="8">
        <f t="shared" si="354"/>
        <v>1</v>
      </c>
      <c r="O842" s="11" t="s">
        <v>1702</v>
      </c>
      <c r="P842" s="16" t="str">
        <f t="shared" si="355"/>
        <v>18-Nov-1909</v>
      </c>
      <c r="R842" s="16" t="str">
        <f t="shared" si="356"/>
        <v>x</v>
      </c>
      <c r="S842" s="16" t="str">
        <f t="shared" si="356"/>
        <v>x</v>
      </c>
      <c r="U842" s="46" t="str">
        <f t="shared" si="311"/>
        <v/>
      </c>
      <c r="V842" s="46">
        <f t="shared" si="311"/>
        <v>24</v>
      </c>
      <c r="W842" s="46" t="str">
        <f t="shared" si="311"/>
        <v/>
      </c>
      <c r="X842" s="46" t="str">
        <f t="shared" si="311"/>
        <v/>
      </c>
    </row>
    <row r="843" spans="2:26" x14ac:dyDescent="0.25">
      <c r="B843" s="11" t="str">
        <f t="shared" si="357"/>
        <v>CARO-24MAR1910</v>
      </c>
      <c r="C843" s="11" t="s">
        <v>3011</v>
      </c>
      <c r="D843" s="11" t="s">
        <v>1699</v>
      </c>
      <c r="E843" s="39" t="s">
        <v>1855</v>
      </c>
      <c r="F843" s="11" t="s">
        <v>1700</v>
      </c>
      <c r="G843" s="39" t="s">
        <v>4100</v>
      </c>
      <c r="I843" s="7">
        <v>0</v>
      </c>
      <c r="J843" s="7">
        <v>10</v>
      </c>
      <c r="L843" s="7">
        <f t="shared" si="353"/>
        <v>10</v>
      </c>
      <c r="M843" s="8">
        <v>1</v>
      </c>
      <c r="N843" s="8">
        <f t="shared" si="354"/>
        <v>1</v>
      </c>
      <c r="O843" s="11" t="s">
        <v>1702</v>
      </c>
      <c r="P843" s="16" t="str">
        <f t="shared" si="355"/>
        <v>24-Mar-1910</v>
      </c>
      <c r="R843" s="16" t="str">
        <f t="shared" si="356"/>
        <v>x</v>
      </c>
      <c r="S843" s="16" t="str">
        <f t="shared" si="356"/>
        <v>x</v>
      </c>
      <c r="U843" s="46" t="str">
        <f t="shared" si="311"/>
        <v/>
      </c>
      <c r="V843" s="46">
        <f t="shared" si="311"/>
        <v>10</v>
      </c>
      <c r="W843" s="46" t="str">
        <f t="shared" si="311"/>
        <v/>
      </c>
      <c r="X843" s="46" t="str">
        <f t="shared" si="311"/>
        <v/>
      </c>
    </row>
    <row r="844" spans="2:26" x14ac:dyDescent="0.25">
      <c r="B844" s="11" t="str">
        <f t="shared" si="357"/>
        <v>CARO-05MAY1910</v>
      </c>
      <c r="C844" s="11" t="s">
        <v>3011</v>
      </c>
      <c r="D844" s="11" t="s">
        <v>1699</v>
      </c>
      <c r="E844" s="39" t="s">
        <v>2328</v>
      </c>
      <c r="F844" s="11" t="s">
        <v>1700</v>
      </c>
      <c r="G844" s="39" t="s">
        <v>4925</v>
      </c>
      <c r="I844" s="7">
        <v>0</v>
      </c>
      <c r="J844" s="7">
        <v>14</v>
      </c>
      <c r="L844" s="7">
        <f>SUM(H844:K844)</f>
        <v>14</v>
      </c>
      <c r="M844" s="8">
        <v>1</v>
      </c>
      <c r="N844" s="8">
        <f>IF(L844&gt;0,1,"")</f>
        <v>1</v>
      </c>
      <c r="O844" s="11" t="s">
        <v>1702</v>
      </c>
      <c r="P844" s="16" t="str">
        <f>IF(LEN(G844)=10,CONCATENATE("0",G844),G844)</f>
        <v>05-May-1910</v>
      </c>
      <c r="R844" s="16" t="str">
        <f t="shared" si="356"/>
        <v>x</v>
      </c>
      <c r="S844" s="16" t="str">
        <f t="shared" si="356"/>
        <v>x</v>
      </c>
      <c r="U844" s="46" t="str">
        <f t="shared" ref="U844:X848" si="358">IF($O844=U$5,$L844,"")</f>
        <v/>
      </c>
      <c r="V844" s="46">
        <f t="shared" si="358"/>
        <v>14</v>
      </c>
      <c r="W844" s="46" t="str">
        <f t="shared" si="358"/>
        <v/>
      </c>
      <c r="X844" s="46" t="str">
        <f t="shared" si="358"/>
        <v/>
      </c>
    </row>
    <row r="845" spans="2:26" x14ac:dyDescent="0.25">
      <c r="B845" s="11" t="str">
        <f t="shared" si="357"/>
        <v>CARO-16JUN1910</v>
      </c>
      <c r="C845" s="11" t="s">
        <v>3011</v>
      </c>
      <c r="D845" s="11" t="s">
        <v>1699</v>
      </c>
      <c r="E845" s="39" t="s">
        <v>1250</v>
      </c>
      <c r="F845" s="11" t="s">
        <v>1700</v>
      </c>
      <c r="G845" s="39" t="s">
        <v>2927</v>
      </c>
      <c r="I845" s="7">
        <v>2</v>
      </c>
      <c r="J845" s="7">
        <v>6</v>
      </c>
      <c r="L845" s="7">
        <f t="shared" si="353"/>
        <v>8</v>
      </c>
      <c r="M845" s="8">
        <v>1</v>
      </c>
      <c r="N845" s="8">
        <f t="shared" si="354"/>
        <v>1</v>
      </c>
      <c r="O845" s="11" t="s">
        <v>1702</v>
      </c>
      <c r="P845" s="16" t="str">
        <f t="shared" si="355"/>
        <v>16-Jun-1910</v>
      </c>
      <c r="R845" s="16" t="str">
        <f t="shared" si="356"/>
        <v>x</v>
      </c>
      <c r="S845" s="16" t="str">
        <f t="shared" si="356"/>
        <v>x</v>
      </c>
      <c r="U845" s="46" t="str">
        <f t="shared" si="358"/>
        <v/>
      </c>
      <c r="V845" s="46">
        <f t="shared" si="358"/>
        <v>8</v>
      </c>
      <c r="W845" s="46" t="str">
        <f t="shared" si="358"/>
        <v/>
      </c>
      <c r="X845" s="46" t="str">
        <f t="shared" si="358"/>
        <v/>
      </c>
    </row>
    <row r="846" spans="2:26" x14ac:dyDescent="0.25">
      <c r="B846" s="11" t="str">
        <f t="shared" si="357"/>
        <v>CARO-29JUL1910</v>
      </c>
      <c r="C846" s="11" t="s">
        <v>3011</v>
      </c>
      <c r="D846" s="11" t="s">
        <v>1699</v>
      </c>
      <c r="E846" s="39" t="s">
        <v>1501</v>
      </c>
      <c r="F846" s="11" t="s">
        <v>1700</v>
      </c>
      <c r="G846" s="39" t="s">
        <v>4930</v>
      </c>
      <c r="I846" s="7">
        <v>0</v>
      </c>
      <c r="J846" s="7">
        <v>16</v>
      </c>
      <c r="L846" s="7">
        <f t="shared" si="353"/>
        <v>16</v>
      </c>
      <c r="M846" s="8">
        <v>1</v>
      </c>
      <c r="N846" s="8">
        <f t="shared" si="354"/>
        <v>1</v>
      </c>
      <c r="O846" s="11" t="s">
        <v>1702</v>
      </c>
      <c r="P846" s="16" t="str">
        <f t="shared" si="355"/>
        <v>29-Jul-1910</v>
      </c>
      <c r="R846" s="16" t="str">
        <f t="shared" si="356"/>
        <v>x</v>
      </c>
      <c r="S846" s="16" t="str">
        <f t="shared" si="356"/>
        <v>x</v>
      </c>
      <c r="U846" s="46" t="str">
        <f t="shared" si="358"/>
        <v/>
      </c>
      <c r="V846" s="46">
        <f t="shared" si="358"/>
        <v>16</v>
      </c>
      <c r="W846" s="46" t="str">
        <f t="shared" si="358"/>
        <v/>
      </c>
      <c r="X846" s="46" t="str">
        <f t="shared" si="358"/>
        <v/>
      </c>
    </row>
    <row r="847" spans="2:26" x14ac:dyDescent="0.25">
      <c r="B847" s="11" t="str">
        <f>CONCATENATE("CARO","-",LEFT(P847,2),UPPER(MID(P847,4,3)),RIGHT(P847,4))</f>
        <v>CARO-08OCT1910</v>
      </c>
      <c r="C847" s="11" t="s">
        <v>3011</v>
      </c>
      <c r="D847" s="11" t="s">
        <v>1699</v>
      </c>
      <c r="E847" s="39" t="s">
        <v>1917</v>
      </c>
      <c r="F847" s="11" t="s">
        <v>1700</v>
      </c>
      <c r="G847" s="39" t="s">
        <v>1493</v>
      </c>
      <c r="I847" s="7">
        <v>0</v>
      </c>
      <c r="J847" s="7">
        <v>5</v>
      </c>
      <c r="L847" s="7">
        <f>SUM(H847:K847)</f>
        <v>5</v>
      </c>
      <c r="M847" s="8">
        <v>1</v>
      </c>
      <c r="N847" s="8">
        <f>IF(L847&gt;0,1,"")</f>
        <v>1</v>
      </c>
      <c r="O847" s="11" t="s">
        <v>1702</v>
      </c>
      <c r="P847" s="16" t="str">
        <f>IF(LEN(G847)=10,CONCATENATE("0",G847),G847)</f>
        <v>08-Oct-1910</v>
      </c>
      <c r="R847" s="16" t="str">
        <f t="shared" si="356"/>
        <v>x</v>
      </c>
      <c r="S847" s="16" t="str">
        <f t="shared" si="356"/>
        <v>x</v>
      </c>
      <c r="U847" s="46" t="str">
        <f t="shared" si="358"/>
        <v/>
      </c>
      <c r="V847" s="46">
        <f t="shared" si="358"/>
        <v>5</v>
      </c>
      <c r="W847" s="46" t="str">
        <f t="shared" si="358"/>
        <v/>
      </c>
      <c r="X847" s="46" t="str">
        <f t="shared" si="358"/>
        <v/>
      </c>
    </row>
    <row r="848" spans="2:26" x14ac:dyDescent="0.25">
      <c r="B848" s="11" t="str">
        <f t="shared" si="357"/>
        <v>CARO-18NOV1910</v>
      </c>
      <c r="C848" s="11" t="s">
        <v>3011</v>
      </c>
      <c r="D848" s="11" t="s">
        <v>1699</v>
      </c>
      <c r="E848" s="39" t="s">
        <v>1494</v>
      </c>
      <c r="F848" s="11" t="s">
        <v>1700</v>
      </c>
      <c r="G848" s="39" t="s">
        <v>4800</v>
      </c>
      <c r="I848" s="7">
        <v>0</v>
      </c>
      <c r="J848" s="7">
        <v>13</v>
      </c>
      <c r="L848" s="7">
        <f t="shared" si="353"/>
        <v>13</v>
      </c>
      <c r="M848" s="8">
        <v>1</v>
      </c>
      <c r="N848" s="8">
        <f t="shared" si="354"/>
        <v>1</v>
      </c>
      <c r="O848" s="11" t="s">
        <v>1702</v>
      </c>
      <c r="P848" s="16" t="str">
        <f t="shared" si="355"/>
        <v>18-Nov-1910</v>
      </c>
      <c r="R848" s="16" t="str">
        <f t="shared" si="356"/>
        <v>x</v>
      </c>
      <c r="S848" s="16" t="str">
        <f t="shared" si="356"/>
        <v>x</v>
      </c>
      <c r="U848" s="46" t="str">
        <f t="shared" si="358"/>
        <v/>
      </c>
      <c r="V848" s="46">
        <f t="shared" si="358"/>
        <v>13</v>
      </c>
      <c r="W848" s="46" t="str">
        <f t="shared" si="358"/>
        <v/>
      </c>
      <c r="X848" s="46" t="str">
        <f t="shared" si="358"/>
        <v/>
      </c>
    </row>
    <row r="849" spans="2:26" x14ac:dyDescent="0.25">
      <c r="B849" s="11" t="str">
        <f t="shared" ref="B849:B859" si="359">CONCATENATE("CARO","-",LEFT(P849,2),UPPER(MID(P849,4,3)),RIGHT(P849,4))</f>
        <v>CARO-30DEC1910</v>
      </c>
      <c r="C849" s="11" t="s">
        <v>3011</v>
      </c>
      <c r="D849" s="11" t="s">
        <v>1699</v>
      </c>
      <c r="E849" s="39" t="s">
        <v>896</v>
      </c>
      <c r="F849" s="11" t="s">
        <v>1700</v>
      </c>
      <c r="G849" s="39" t="s">
        <v>3015</v>
      </c>
      <c r="I849" s="7">
        <v>0</v>
      </c>
      <c r="J849" s="7">
        <v>15</v>
      </c>
      <c r="L849" s="7">
        <f t="shared" si="353"/>
        <v>15</v>
      </c>
      <c r="M849" s="8">
        <v>1</v>
      </c>
      <c r="N849" s="8">
        <f t="shared" si="354"/>
        <v>1</v>
      </c>
      <c r="O849" s="11" t="s">
        <v>1702</v>
      </c>
      <c r="P849" s="16" t="str">
        <f t="shared" si="355"/>
        <v>30-Dec-1910</v>
      </c>
      <c r="R849" s="16" t="str">
        <f t="shared" ref="R849:S859" si="360">IF($L849&gt;0,"x","")</f>
        <v>x</v>
      </c>
      <c r="S849" s="16" t="str">
        <f t="shared" si="360"/>
        <v>x</v>
      </c>
      <c r="U849" s="46" t="str">
        <f t="shared" si="311"/>
        <v/>
      </c>
      <c r="V849" s="46">
        <f t="shared" si="311"/>
        <v>15</v>
      </c>
      <c r="W849" s="46" t="str">
        <f t="shared" si="311"/>
        <v/>
      </c>
      <c r="X849" s="46" t="str">
        <f t="shared" si="311"/>
        <v/>
      </c>
    </row>
    <row r="850" spans="2:26" x14ac:dyDescent="0.25">
      <c r="B850" s="11" t="str">
        <f t="shared" si="359"/>
        <v>CARO-09FEB1911</v>
      </c>
      <c r="C850" s="11" t="s">
        <v>3011</v>
      </c>
      <c r="D850" s="11" t="s">
        <v>1699</v>
      </c>
      <c r="E850" s="39" t="s">
        <v>1871</v>
      </c>
      <c r="F850" s="11" t="s">
        <v>1700</v>
      </c>
      <c r="G850" s="39" t="s">
        <v>11188</v>
      </c>
      <c r="I850" s="7">
        <v>1</v>
      </c>
      <c r="J850" s="7">
        <v>8</v>
      </c>
      <c r="L850" s="7">
        <f>SUM(H850:K850)</f>
        <v>9</v>
      </c>
      <c r="M850" s="8">
        <v>1</v>
      </c>
      <c r="N850" s="8">
        <f>IF(L850&gt;0,1,"")</f>
        <v>1</v>
      </c>
      <c r="O850" s="11" t="s">
        <v>1702</v>
      </c>
      <c r="P850" s="16" t="str">
        <f>IF(LEN(G850)=10,CONCATENATE("0",G850),G850)</f>
        <v>09-Feb-1911</v>
      </c>
      <c r="R850" s="16" t="str">
        <f t="shared" si="360"/>
        <v>x</v>
      </c>
      <c r="S850" s="16" t="str">
        <f t="shared" si="360"/>
        <v>x</v>
      </c>
      <c r="U850" s="46" t="str">
        <f t="shared" ref="U850:X851" si="361">IF($O850=U$5,$L850,"")</f>
        <v/>
      </c>
      <c r="V850" s="46">
        <f t="shared" si="361"/>
        <v>9</v>
      </c>
      <c r="W850" s="46" t="str">
        <f t="shared" si="361"/>
        <v/>
      </c>
      <c r="X850" s="46" t="str">
        <f t="shared" si="361"/>
        <v/>
      </c>
    </row>
    <row r="851" spans="2:26" x14ac:dyDescent="0.25">
      <c r="B851" s="11" t="str">
        <f t="shared" si="359"/>
        <v>CARO-15JUN1911</v>
      </c>
      <c r="C851" s="11" t="s">
        <v>3011</v>
      </c>
      <c r="D851" s="11" t="s">
        <v>1699</v>
      </c>
      <c r="E851" s="39" t="s">
        <v>1256</v>
      </c>
      <c r="F851" s="11" t="s">
        <v>1700</v>
      </c>
      <c r="G851" s="39" t="s">
        <v>5136</v>
      </c>
      <c r="I851" s="7">
        <v>2</v>
      </c>
      <c r="J851" s="7">
        <v>4</v>
      </c>
      <c r="L851" s="7">
        <f>SUM(H851:K851)</f>
        <v>6</v>
      </c>
      <c r="M851" s="8">
        <v>1</v>
      </c>
      <c r="N851" s="8">
        <f>IF(L851&gt;0,1,"")</f>
        <v>1</v>
      </c>
      <c r="O851" s="11" t="s">
        <v>1702</v>
      </c>
      <c r="P851" s="16" t="str">
        <f>IF(LEN(G851)=10,CONCATENATE("0",G851),G851)</f>
        <v>15-Jun-1911</v>
      </c>
      <c r="R851" s="16" t="str">
        <f t="shared" si="360"/>
        <v>x</v>
      </c>
      <c r="S851" s="16" t="str">
        <f t="shared" si="360"/>
        <v>x</v>
      </c>
      <c r="U851" s="46" t="str">
        <f t="shared" si="361"/>
        <v/>
      </c>
      <c r="V851" s="46">
        <f t="shared" si="361"/>
        <v>6</v>
      </c>
      <c r="W851" s="46" t="str">
        <f t="shared" si="361"/>
        <v/>
      </c>
      <c r="X851" s="46" t="str">
        <f t="shared" si="361"/>
        <v/>
      </c>
    </row>
    <row r="852" spans="2:26" x14ac:dyDescent="0.25">
      <c r="B852" s="11" t="str">
        <f t="shared" si="359"/>
        <v>CARO-04NOV1911</v>
      </c>
      <c r="C852" s="11" t="s">
        <v>3011</v>
      </c>
      <c r="D852" s="11" t="s">
        <v>1699</v>
      </c>
      <c r="E852" s="39" t="s">
        <v>1261</v>
      </c>
      <c r="F852" s="11" t="s">
        <v>1700</v>
      </c>
      <c r="G852" s="39" t="s">
        <v>905</v>
      </c>
      <c r="I852" s="7">
        <v>0</v>
      </c>
      <c r="J852" s="7">
        <v>15</v>
      </c>
      <c r="L852" s="7">
        <f t="shared" si="353"/>
        <v>15</v>
      </c>
      <c r="M852" s="8">
        <v>1</v>
      </c>
      <c r="N852" s="8">
        <f t="shared" si="354"/>
        <v>1</v>
      </c>
      <c r="O852" s="11" t="s">
        <v>1702</v>
      </c>
      <c r="P852" s="16" t="str">
        <f t="shared" si="355"/>
        <v>04-Nov-1911</v>
      </c>
      <c r="R852" s="16" t="str">
        <f t="shared" si="360"/>
        <v>x</v>
      </c>
      <c r="S852" s="16" t="str">
        <f t="shared" si="360"/>
        <v>x</v>
      </c>
      <c r="U852" s="46" t="str">
        <f t="shared" si="311"/>
        <v/>
      </c>
      <c r="V852" s="46">
        <f t="shared" si="311"/>
        <v>15</v>
      </c>
      <c r="W852" s="46" t="str">
        <f t="shared" si="311"/>
        <v/>
      </c>
      <c r="X852" s="46" t="str">
        <f t="shared" si="311"/>
        <v/>
      </c>
    </row>
    <row r="853" spans="2:26" x14ac:dyDescent="0.25">
      <c r="B853" s="11" t="str">
        <f t="shared" si="359"/>
        <v>CARO-14MAR1912</v>
      </c>
      <c r="C853" s="11" t="s">
        <v>3011</v>
      </c>
      <c r="D853" s="11" t="s">
        <v>1699</v>
      </c>
      <c r="E853" s="39" t="s">
        <v>1894</v>
      </c>
      <c r="F853" s="11" t="s">
        <v>1700</v>
      </c>
      <c r="G853" s="39" t="s">
        <v>2050</v>
      </c>
      <c r="I853" s="7">
        <v>0</v>
      </c>
      <c r="J853" s="7">
        <v>11</v>
      </c>
      <c r="L853" s="7">
        <f>SUM(H853:K853)</f>
        <v>11</v>
      </c>
      <c r="M853" s="8">
        <v>1</v>
      </c>
      <c r="N853" s="8">
        <f>IF(L853&gt;0,1,"")</f>
        <v>1</v>
      </c>
      <c r="O853" s="11" t="s">
        <v>1702</v>
      </c>
      <c r="P853" s="16" t="str">
        <f>IF(LEN(G853)=10,CONCATENATE("0",G853),G853)</f>
        <v>14-Mar-1912</v>
      </c>
      <c r="R853" s="16" t="str">
        <f t="shared" si="360"/>
        <v>x</v>
      </c>
      <c r="S853" s="16" t="str">
        <f t="shared" si="360"/>
        <v>x</v>
      </c>
      <c r="U853" s="46" t="str">
        <f>IF($O853=U$5,$L853,"")</f>
        <v/>
      </c>
      <c r="V853" s="46">
        <f>IF($O853=V$5,$L853,"")</f>
        <v>11</v>
      </c>
      <c r="W853" s="46" t="str">
        <f>IF($O853=W$5,$L853,"")</f>
        <v/>
      </c>
      <c r="X853" s="46" t="str">
        <f>IF($O853=X$5,$L853,"")</f>
        <v/>
      </c>
    </row>
    <row r="854" spans="2:26" x14ac:dyDescent="0.25">
      <c r="B854" s="11" t="str">
        <f t="shared" si="359"/>
        <v>CARO-10MAY1912</v>
      </c>
      <c r="C854" s="11" t="s">
        <v>3011</v>
      </c>
      <c r="D854" s="11" t="s">
        <v>1699</v>
      </c>
      <c r="E854" s="39" t="s">
        <v>1280</v>
      </c>
      <c r="F854" s="11" t="s">
        <v>1700</v>
      </c>
      <c r="G854" s="39" t="s">
        <v>3021</v>
      </c>
      <c r="I854" s="7">
        <v>0</v>
      </c>
      <c r="J854" s="7">
        <v>29</v>
      </c>
      <c r="L854" s="7">
        <f t="shared" si="353"/>
        <v>29</v>
      </c>
      <c r="M854" s="8">
        <v>1</v>
      </c>
      <c r="N854" s="8">
        <f t="shared" si="354"/>
        <v>1</v>
      </c>
      <c r="O854" s="11" t="s">
        <v>1702</v>
      </c>
      <c r="P854" s="16" t="str">
        <f t="shared" si="355"/>
        <v>10-May-1912</v>
      </c>
      <c r="R854" s="16" t="str">
        <f t="shared" si="360"/>
        <v>x</v>
      </c>
      <c r="S854" s="16" t="str">
        <f t="shared" si="360"/>
        <v>x</v>
      </c>
      <c r="U854" s="46" t="str">
        <f t="shared" si="311"/>
        <v/>
      </c>
      <c r="V854" s="46">
        <f t="shared" si="311"/>
        <v>29</v>
      </c>
      <c r="W854" s="46" t="str">
        <f t="shared" si="311"/>
        <v/>
      </c>
      <c r="X854" s="46" t="str">
        <f t="shared" si="311"/>
        <v/>
      </c>
    </row>
    <row r="855" spans="2:26" x14ac:dyDescent="0.25">
      <c r="B855" s="11" t="str">
        <f t="shared" si="359"/>
        <v>CARO-25JUL1913</v>
      </c>
      <c r="C855" s="11" t="s">
        <v>3011</v>
      </c>
      <c r="D855" s="11" t="s">
        <v>1699</v>
      </c>
      <c r="E855" s="39" t="s">
        <v>1541</v>
      </c>
      <c r="F855" s="11" t="s">
        <v>1700</v>
      </c>
      <c r="G855" s="39" t="s">
        <v>4492</v>
      </c>
      <c r="I855" s="7">
        <v>2</v>
      </c>
      <c r="J855" s="7">
        <v>53</v>
      </c>
      <c r="L855" s="7">
        <f t="shared" si="353"/>
        <v>55</v>
      </c>
      <c r="M855" s="8">
        <v>1</v>
      </c>
      <c r="N855" s="8">
        <f t="shared" si="354"/>
        <v>1</v>
      </c>
      <c r="O855" s="11" t="s">
        <v>1702</v>
      </c>
      <c r="P855" s="16" t="str">
        <f t="shared" si="355"/>
        <v>25-Jul-1913</v>
      </c>
      <c r="R855" s="16" t="str">
        <f t="shared" si="360"/>
        <v>x</v>
      </c>
      <c r="S855" s="16" t="str">
        <f t="shared" si="360"/>
        <v>x</v>
      </c>
      <c r="U855" s="46" t="str">
        <f t="shared" ref="U855:X856" si="362">IF($O855=U$5,$L855,"")</f>
        <v/>
      </c>
      <c r="V855" s="46">
        <f t="shared" si="362"/>
        <v>55</v>
      </c>
      <c r="W855" s="46" t="str">
        <f t="shared" si="362"/>
        <v/>
      </c>
      <c r="X855" s="46" t="str">
        <f t="shared" si="362"/>
        <v/>
      </c>
    </row>
    <row r="856" spans="2:26" x14ac:dyDescent="0.25">
      <c r="B856" s="11" t="str">
        <f>CONCATENATE("CARO","-",LEFT(P856,2),UPPER(MID(P856,4,3)),RIGHT(P856,4))</f>
        <v>CARO-12NOV1913</v>
      </c>
      <c r="C856" s="11" t="s">
        <v>3011</v>
      </c>
      <c r="D856" s="11" t="s">
        <v>1699</v>
      </c>
      <c r="E856" s="39" t="s">
        <v>2363</v>
      </c>
      <c r="F856" s="11" t="s">
        <v>2813</v>
      </c>
      <c r="G856" s="39" t="s">
        <v>1337</v>
      </c>
      <c r="I856" s="7">
        <v>0</v>
      </c>
      <c r="J856" s="7">
        <v>22</v>
      </c>
      <c r="L856" s="7">
        <f>SUM(H856:K856)</f>
        <v>22</v>
      </c>
      <c r="M856" s="8">
        <v>1</v>
      </c>
      <c r="N856" s="8">
        <f>IF(L856&gt;0,1,"")</f>
        <v>1</v>
      </c>
      <c r="O856" s="11" t="s">
        <v>1702</v>
      </c>
      <c r="P856" s="16" t="str">
        <f>IF(LEN(G856)=10,CONCATENATE("0",G856),G856)</f>
        <v>12-Nov-1913</v>
      </c>
      <c r="R856" s="16" t="str">
        <f t="shared" si="360"/>
        <v>x</v>
      </c>
      <c r="S856" s="16" t="str">
        <f t="shared" si="360"/>
        <v>x</v>
      </c>
      <c r="U856" s="46" t="str">
        <f t="shared" si="362"/>
        <v/>
      </c>
      <c r="V856" s="46">
        <f t="shared" si="362"/>
        <v>22</v>
      </c>
      <c r="W856" s="46" t="str">
        <f t="shared" si="362"/>
        <v/>
      </c>
      <c r="X856" s="46" t="str">
        <f t="shared" si="362"/>
        <v/>
      </c>
    </row>
    <row r="857" spans="2:26" x14ac:dyDescent="0.25">
      <c r="B857" s="11" t="str">
        <f t="shared" si="359"/>
        <v>CARO-06JAN1914</v>
      </c>
      <c r="C857" s="11" t="s">
        <v>3011</v>
      </c>
      <c r="D857" s="11" t="s">
        <v>1699</v>
      </c>
      <c r="E857" s="39" t="s">
        <v>4664</v>
      </c>
      <c r="F857" s="11" t="s">
        <v>1700</v>
      </c>
      <c r="G857" s="39" t="s">
        <v>4663</v>
      </c>
      <c r="I857" s="7">
        <v>0</v>
      </c>
      <c r="J857" s="7">
        <v>12</v>
      </c>
      <c r="L857" s="7">
        <f t="shared" si="353"/>
        <v>12</v>
      </c>
      <c r="M857" s="8">
        <v>1</v>
      </c>
      <c r="N857" s="8">
        <f t="shared" si="354"/>
        <v>1</v>
      </c>
      <c r="O857" s="11" t="s">
        <v>1702</v>
      </c>
      <c r="P857" s="16" t="str">
        <f t="shared" si="355"/>
        <v>06-Jan-1914</v>
      </c>
      <c r="R857" s="16" t="str">
        <f t="shared" si="360"/>
        <v>x</v>
      </c>
      <c r="S857" s="16" t="str">
        <f t="shared" si="360"/>
        <v>x</v>
      </c>
      <c r="U857" s="46" t="str">
        <f t="shared" si="311"/>
        <v/>
      </c>
      <c r="V857" s="46">
        <f t="shared" si="311"/>
        <v>12</v>
      </c>
      <c r="W857" s="46" t="str">
        <f t="shared" si="311"/>
        <v/>
      </c>
      <c r="X857" s="46" t="str">
        <f t="shared" si="311"/>
        <v/>
      </c>
    </row>
    <row r="858" spans="2:26" x14ac:dyDescent="0.25">
      <c r="B858" s="11" t="str">
        <f t="shared" si="359"/>
        <v>CARO-20DEC1920</v>
      </c>
      <c r="C858" s="11" t="s">
        <v>3011</v>
      </c>
      <c r="D858" s="11" t="s">
        <v>1956</v>
      </c>
      <c r="E858" s="39" t="s">
        <v>4164</v>
      </c>
      <c r="F858" s="11" t="s">
        <v>1700</v>
      </c>
      <c r="G858" s="39" t="s">
        <v>1580</v>
      </c>
      <c r="I858" s="7">
        <v>2</v>
      </c>
      <c r="J858" s="7">
        <v>29</v>
      </c>
      <c r="L858" s="7">
        <f>SUM(H858:K858)</f>
        <v>31</v>
      </c>
      <c r="M858" s="8">
        <v>1</v>
      </c>
      <c r="N858" s="8">
        <f t="shared" si="354"/>
        <v>1</v>
      </c>
      <c r="O858" s="11" t="s">
        <v>1702</v>
      </c>
      <c r="P858" s="16" t="str">
        <f t="shared" si="355"/>
        <v>20-Dec-1920</v>
      </c>
      <c r="R858" s="16" t="str">
        <f t="shared" si="360"/>
        <v>x</v>
      </c>
      <c r="S858" s="16" t="str">
        <f t="shared" si="360"/>
        <v>x</v>
      </c>
      <c r="U858" s="46" t="str">
        <f t="shared" ref="U858:X859" si="363">IF($O858=U$5,$L858,"")</f>
        <v/>
      </c>
      <c r="V858" s="46">
        <f t="shared" si="363"/>
        <v>31</v>
      </c>
      <c r="W858" s="46" t="str">
        <f t="shared" si="363"/>
        <v/>
      </c>
      <c r="X858" s="46" t="str">
        <f t="shared" si="363"/>
        <v/>
      </c>
    </row>
    <row r="859" spans="2:26" x14ac:dyDescent="0.25">
      <c r="B859" s="11" t="str">
        <f t="shared" si="359"/>
        <v>CARO-19FEB1921</v>
      </c>
      <c r="C859" s="11" t="s">
        <v>3011</v>
      </c>
      <c r="D859" s="11" t="s">
        <v>1956</v>
      </c>
      <c r="E859" s="39" t="s">
        <v>6060</v>
      </c>
      <c r="F859" s="11" t="s">
        <v>1700</v>
      </c>
      <c r="G859" s="39" t="s">
        <v>4170</v>
      </c>
      <c r="I859" s="7">
        <v>2</v>
      </c>
      <c r="J859" s="7">
        <v>0</v>
      </c>
      <c r="L859" s="7">
        <f>SUM(H859:K859)</f>
        <v>2</v>
      </c>
      <c r="M859" s="8">
        <v>1</v>
      </c>
      <c r="N859" s="8">
        <f>IF(L859&gt;0,1,"")</f>
        <v>1</v>
      </c>
      <c r="O859" s="11" t="s">
        <v>1702</v>
      </c>
      <c r="P859" s="16" t="str">
        <f>IF(LEN(G859)=10,CONCATENATE("0",G859),G859)</f>
        <v>19-Feb-1921</v>
      </c>
      <c r="R859" s="16" t="str">
        <f t="shared" si="360"/>
        <v>x</v>
      </c>
      <c r="S859" s="16" t="str">
        <f t="shared" si="360"/>
        <v>x</v>
      </c>
      <c r="U859" s="46" t="str">
        <f t="shared" si="363"/>
        <v/>
      </c>
      <c r="V859" s="46">
        <f t="shared" si="363"/>
        <v>2</v>
      </c>
      <c r="W859" s="46" t="str">
        <f t="shared" si="363"/>
        <v/>
      </c>
      <c r="X859" s="46" t="str">
        <f t="shared" si="363"/>
        <v/>
      </c>
    </row>
    <row r="860" spans="2:26" x14ac:dyDescent="0.25">
      <c r="N860" s="8" t="str">
        <f>IF(R860="x",1,"")</f>
        <v/>
      </c>
      <c r="U860" s="46" t="str">
        <f t="shared" si="311"/>
        <v/>
      </c>
      <c r="V860" s="46" t="str">
        <f t="shared" si="311"/>
        <v/>
      </c>
      <c r="W860" s="46" t="str">
        <f t="shared" si="311"/>
        <v/>
      </c>
      <c r="X860" s="46" t="str">
        <f t="shared" si="311"/>
        <v/>
      </c>
    </row>
    <row r="861" spans="2:26" s="18" customFormat="1" x14ac:dyDescent="0.25">
      <c r="E861" s="40"/>
      <c r="G861" s="40"/>
      <c r="H861" s="7">
        <f t="shared" ref="H861:N861" si="364">SUM(H838:H860)</f>
        <v>0</v>
      </c>
      <c r="I861" s="7">
        <f t="shared" si="364"/>
        <v>11</v>
      </c>
      <c r="J861" s="7">
        <f>SUM(J838:J860)</f>
        <v>392</v>
      </c>
      <c r="K861" s="7">
        <f t="shared" si="364"/>
        <v>0</v>
      </c>
      <c r="L861" s="7">
        <f t="shared" si="364"/>
        <v>403</v>
      </c>
      <c r="M861" s="7">
        <f t="shared" si="364"/>
        <v>22</v>
      </c>
      <c r="N861" s="7">
        <f t="shared" si="364"/>
        <v>22</v>
      </c>
      <c r="P861" s="13"/>
      <c r="Q861" s="13"/>
      <c r="R861" s="13"/>
      <c r="S861" s="13"/>
      <c r="T861" s="15"/>
      <c r="U861" s="46" t="str">
        <f t="shared" si="311"/>
        <v/>
      </c>
      <c r="V861" s="46" t="str">
        <f t="shared" si="311"/>
        <v/>
      </c>
      <c r="W861" s="46" t="str">
        <f t="shared" si="311"/>
        <v/>
      </c>
      <c r="X861" s="46" t="str">
        <f t="shared" si="311"/>
        <v/>
      </c>
      <c r="Z861" s="11"/>
    </row>
    <row r="862" spans="2:26" x14ac:dyDescent="0.25">
      <c r="B862" s="18"/>
      <c r="C862" s="18"/>
      <c r="D862" s="18"/>
      <c r="E862" s="40"/>
      <c r="F862" s="18"/>
      <c r="G862" s="40"/>
      <c r="N862" s="8" t="str">
        <f>IF(R862="x",1,"")</f>
        <v/>
      </c>
      <c r="O862" s="18"/>
      <c r="P862" s="13"/>
      <c r="Q862" s="13"/>
      <c r="R862" s="13"/>
      <c r="S862" s="13"/>
      <c r="T862" s="15"/>
      <c r="U862" s="46" t="str">
        <f t="shared" si="311"/>
        <v/>
      </c>
      <c r="V862" s="46" t="str">
        <f t="shared" si="311"/>
        <v/>
      </c>
      <c r="W862" s="46" t="str">
        <f t="shared" si="311"/>
        <v/>
      </c>
      <c r="X862" s="46" t="str">
        <f t="shared" si="311"/>
        <v/>
      </c>
    </row>
    <row r="863" spans="2:26" x14ac:dyDescent="0.25">
      <c r="B863" s="18"/>
      <c r="C863" s="18"/>
      <c r="D863" s="18"/>
      <c r="E863" s="40"/>
      <c r="F863" s="18"/>
      <c r="G863" s="40"/>
      <c r="N863" s="8" t="str">
        <f>IF(R863="x",1,"")</f>
        <v/>
      </c>
      <c r="O863" s="18"/>
      <c r="P863" s="13"/>
      <c r="Q863" s="13"/>
      <c r="R863" s="13"/>
      <c r="S863" s="13"/>
      <c r="T863" s="15"/>
      <c r="U863" s="46" t="str">
        <f t="shared" si="311"/>
        <v/>
      </c>
      <c r="V863" s="46" t="str">
        <f t="shared" si="311"/>
        <v/>
      </c>
      <c r="W863" s="46" t="str">
        <f t="shared" si="311"/>
        <v/>
      </c>
      <c r="X863" s="46" t="str">
        <f t="shared" si="311"/>
        <v/>
      </c>
    </row>
    <row r="864" spans="2:26" x14ac:dyDescent="0.25">
      <c r="B864" s="11" t="str">
        <f t="shared" ref="B864:B869" si="365">CONCATENATE("CARN","-",LEFT(P864,2),UPPER(MID(P864,4,3)),RIGHT(P864,4))</f>
        <v>CARN-11DEC1910</v>
      </c>
      <c r="C864" s="11" t="s">
        <v>3982</v>
      </c>
      <c r="D864" s="11" t="s">
        <v>2097</v>
      </c>
      <c r="E864" s="39" t="s">
        <v>1495</v>
      </c>
      <c r="F864" s="11" t="s">
        <v>1700</v>
      </c>
      <c r="G864" s="39" t="s">
        <v>2325</v>
      </c>
      <c r="H864" s="7">
        <v>0</v>
      </c>
      <c r="I864" s="7">
        <v>4</v>
      </c>
      <c r="J864" s="17">
        <v>0</v>
      </c>
      <c r="K864" s="17"/>
      <c r="L864" s="7">
        <f t="shared" ref="L864:L869" si="366">SUM(H864:K864)</f>
        <v>4</v>
      </c>
      <c r="M864" s="8">
        <v>1</v>
      </c>
      <c r="N864" s="8">
        <f t="shared" ref="N864:N869" si="367">IF(L864&gt;0,1,"")</f>
        <v>1</v>
      </c>
      <c r="O864" s="11" t="s">
        <v>1702</v>
      </c>
      <c r="P864" s="16" t="str">
        <f t="shared" ref="P864:P869" si="368">IF(LEN(G864)=10,CONCATENATE("0",G864),G864)</f>
        <v>11-Dec-1910</v>
      </c>
      <c r="R864" s="16" t="str">
        <f t="shared" ref="R864:S869" si="369">IF($L864&gt;0,"x","")</f>
        <v>x</v>
      </c>
      <c r="S864" s="16" t="str">
        <f t="shared" si="369"/>
        <v>x</v>
      </c>
      <c r="U864" s="46" t="str">
        <f t="shared" si="311"/>
        <v/>
      </c>
      <c r="V864" s="46">
        <f t="shared" si="311"/>
        <v>4</v>
      </c>
      <c r="W864" s="46" t="str">
        <f t="shared" si="311"/>
        <v/>
      </c>
      <c r="X864" s="46" t="str">
        <f t="shared" si="311"/>
        <v/>
      </c>
    </row>
    <row r="865" spans="2:26" x14ac:dyDescent="0.25">
      <c r="B865" s="11" t="str">
        <f t="shared" si="365"/>
        <v>CARN-31MAY1911</v>
      </c>
      <c r="C865" s="11" t="s">
        <v>3982</v>
      </c>
      <c r="D865" s="11" t="s">
        <v>2097</v>
      </c>
      <c r="E865" s="39" t="s">
        <v>6135</v>
      </c>
      <c r="F865" s="11" t="s">
        <v>1700</v>
      </c>
      <c r="G865" s="39" t="s">
        <v>5381</v>
      </c>
      <c r="H865" s="7">
        <v>0</v>
      </c>
      <c r="I865" s="7">
        <v>0</v>
      </c>
      <c r="J865" s="17">
        <v>1</v>
      </c>
      <c r="K865" s="17"/>
      <c r="L865" s="7">
        <f t="shared" si="366"/>
        <v>1</v>
      </c>
      <c r="M865" s="8">
        <v>1</v>
      </c>
      <c r="N865" s="8">
        <f t="shared" si="367"/>
        <v>1</v>
      </c>
      <c r="O865" s="11" t="s">
        <v>1702</v>
      </c>
      <c r="P865" s="16" t="str">
        <f t="shared" si="368"/>
        <v>31-May-1911</v>
      </c>
      <c r="R865" s="16" t="str">
        <f t="shared" si="369"/>
        <v>x</v>
      </c>
      <c r="S865" s="16" t="str">
        <f t="shared" si="369"/>
        <v>x</v>
      </c>
      <c r="U865" s="46" t="str">
        <f>IF($O865=U$5,$L865,"")</f>
        <v/>
      </c>
      <c r="V865" s="46">
        <f>IF($O865=V$5,$L865,"")</f>
        <v>1</v>
      </c>
      <c r="W865" s="46" t="str">
        <f>IF($O865=W$5,$L865,"")</f>
        <v/>
      </c>
      <c r="X865" s="46" t="str">
        <f>IF($O865=X$5,$L865,"")</f>
        <v/>
      </c>
    </row>
    <row r="866" spans="2:26" x14ac:dyDescent="0.25">
      <c r="B866" s="11" t="str">
        <f t="shared" si="365"/>
        <v>CARN-16OCT1920</v>
      </c>
      <c r="C866" s="11" t="s">
        <v>3982</v>
      </c>
      <c r="D866" s="11" t="s">
        <v>5810</v>
      </c>
      <c r="E866" s="39" t="s">
        <v>2556</v>
      </c>
      <c r="F866" s="11" t="s">
        <v>1700</v>
      </c>
      <c r="G866" s="39" t="s">
        <v>3265</v>
      </c>
      <c r="H866" s="7">
        <v>0</v>
      </c>
      <c r="I866" s="7">
        <v>0</v>
      </c>
      <c r="J866" s="17">
        <v>1</v>
      </c>
      <c r="K866" s="17"/>
      <c r="L866" s="7">
        <f t="shared" si="366"/>
        <v>1</v>
      </c>
      <c r="M866" s="8">
        <v>1</v>
      </c>
      <c r="N866" s="8">
        <f t="shared" si="367"/>
        <v>1</v>
      </c>
      <c r="O866" s="11" t="s">
        <v>1702</v>
      </c>
      <c r="P866" s="16" t="str">
        <f t="shared" si="368"/>
        <v>16-Oct-1920</v>
      </c>
      <c r="R866" s="16" t="str">
        <f t="shared" si="369"/>
        <v>x</v>
      </c>
      <c r="S866" s="16" t="str">
        <f t="shared" si="369"/>
        <v>x</v>
      </c>
      <c r="U866" s="46" t="str">
        <f t="shared" ref="U866:X868" si="370">IF($O866=U$5,$L866,"")</f>
        <v/>
      </c>
      <c r="V866" s="46">
        <f t="shared" si="370"/>
        <v>1</v>
      </c>
      <c r="W866" s="46" t="str">
        <f t="shared" si="370"/>
        <v/>
      </c>
      <c r="X866" s="46" t="str">
        <f t="shared" si="370"/>
        <v/>
      </c>
    </row>
    <row r="867" spans="2:26" x14ac:dyDescent="0.25">
      <c r="B867" s="11" t="str">
        <f t="shared" si="365"/>
        <v>CARN-21NOV1920</v>
      </c>
      <c r="C867" s="11" t="s">
        <v>3982</v>
      </c>
      <c r="D867" s="11" t="s">
        <v>2224</v>
      </c>
      <c r="E867" s="39" t="s">
        <v>4162</v>
      </c>
      <c r="F867" s="11" t="s">
        <v>1700</v>
      </c>
      <c r="G867" s="39" t="s">
        <v>4163</v>
      </c>
      <c r="H867" s="7">
        <v>0</v>
      </c>
      <c r="I867" s="7">
        <v>0</v>
      </c>
      <c r="J867" s="17">
        <f>5+2</f>
        <v>7</v>
      </c>
      <c r="K867" s="17"/>
      <c r="L867" s="7">
        <f t="shared" si="366"/>
        <v>7</v>
      </c>
      <c r="M867" s="8">
        <v>1</v>
      </c>
      <c r="N867" s="8">
        <f t="shared" si="367"/>
        <v>1</v>
      </c>
      <c r="O867" s="11" t="s">
        <v>1702</v>
      </c>
      <c r="P867" s="16" t="str">
        <f t="shared" si="368"/>
        <v>21-Nov-1920</v>
      </c>
      <c r="R867" s="16" t="str">
        <f t="shared" si="369"/>
        <v>x</v>
      </c>
      <c r="S867" s="16" t="str">
        <f t="shared" si="369"/>
        <v>x</v>
      </c>
      <c r="U867" s="46" t="str">
        <f t="shared" si="370"/>
        <v/>
      </c>
      <c r="V867" s="46">
        <f t="shared" si="370"/>
        <v>7</v>
      </c>
      <c r="W867" s="46" t="str">
        <f t="shared" si="370"/>
        <v/>
      </c>
      <c r="X867" s="46" t="str">
        <f t="shared" si="370"/>
        <v/>
      </c>
    </row>
    <row r="868" spans="2:26" x14ac:dyDescent="0.25">
      <c r="B868" s="11" t="str">
        <f t="shared" si="365"/>
        <v>CARN-04MAR1921</v>
      </c>
      <c r="C868" s="11" t="s">
        <v>3982</v>
      </c>
      <c r="D868" s="11" t="s">
        <v>3395</v>
      </c>
      <c r="E868" s="39" t="s">
        <v>5986</v>
      </c>
      <c r="F868" s="11" t="s">
        <v>3050</v>
      </c>
      <c r="G868" s="39" t="s">
        <v>3983</v>
      </c>
      <c r="H868" s="7">
        <v>0</v>
      </c>
      <c r="J868" s="17">
        <v>51</v>
      </c>
      <c r="K868" s="17"/>
      <c r="L868" s="7">
        <f t="shared" si="366"/>
        <v>51</v>
      </c>
      <c r="M868" s="8">
        <v>1</v>
      </c>
      <c r="N868" s="8">
        <f t="shared" si="367"/>
        <v>1</v>
      </c>
      <c r="O868" s="11" t="s">
        <v>1702</v>
      </c>
      <c r="P868" s="16" t="str">
        <f t="shared" si="368"/>
        <v>04-Mar-1921</v>
      </c>
      <c r="R868" s="16" t="str">
        <f t="shared" si="369"/>
        <v>x</v>
      </c>
      <c r="S868" s="16" t="str">
        <f t="shared" si="369"/>
        <v>x</v>
      </c>
      <c r="U868" s="46" t="str">
        <f t="shared" si="370"/>
        <v/>
      </c>
      <c r="V868" s="46">
        <f t="shared" si="370"/>
        <v>51</v>
      </c>
      <c r="W868" s="46" t="str">
        <f t="shared" si="370"/>
        <v/>
      </c>
      <c r="X868" s="46" t="str">
        <f t="shared" si="370"/>
        <v/>
      </c>
    </row>
    <row r="869" spans="2:26" x14ac:dyDescent="0.25">
      <c r="B869" s="11" t="str">
        <f t="shared" si="365"/>
        <v>CARN-04MAR1921</v>
      </c>
      <c r="C869" s="11" t="s">
        <v>3982</v>
      </c>
      <c r="D869" s="11" t="s">
        <v>847</v>
      </c>
      <c r="E869" s="39" t="s">
        <v>3984</v>
      </c>
      <c r="F869" s="11" t="s">
        <v>3050</v>
      </c>
      <c r="G869" s="39" t="s">
        <v>3983</v>
      </c>
      <c r="I869" s="7">
        <v>0</v>
      </c>
      <c r="J869" s="17">
        <f>182+3</f>
        <v>185</v>
      </c>
      <c r="K869" s="17"/>
      <c r="L869" s="7">
        <f t="shared" si="366"/>
        <v>185</v>
      </c>
      <c r="M869" s="8">
        <v>1</v>
      </c>
      <c r="N869" s="8">
        <f t="shared" si="367"/>
        <v>1</v>
      </c>
      <c r="O869" s="11" t="s">
        <v>1702</v>
      </c>
      <c r="P869" s="16" t="str">
        <f t="shared" si="368"/>
        <v>04-Mar-1921</v>
      </c>
      <c r="R869" s="16" t="str">
        <f t="shared" si="369"/>
        <v>x</v>
      </c>
      <c r="S869" s="16" t="str">
        <f t="shared" si="369"/>
        <v>x</v>
      </c>
      <c r="U869" s="46" t="str">
        <f t="shared" si="311"/>
        <v/>
      </c>
      <c r="V869" s="46">
        <f t="shared" si="311"/>
        <v>185</v>
      </c>
      <c r="W869" s="46" t="str">
        <f t="shared" si="311"/>
        <v/>
      </c>
      <c r="X869" s="46" t="str">
        <f t="shared" si="311"/>
        <v/>
      </c>
    </row>
    <row r="870" spans="2:26" x14ac:dyDescent="0.25">
      <c r="N870" s="8" t="str">
        <f>IF(R870="x",1,"")</f>
        <v/>
      </c>
      <c r="U870" s="46" t="str">
        <f t="shared" si="311"/>
        <v/>
      </c>
      <c r="V870" s="46" t="str">
        <f t="shared" si="311"/>
        <v/>
      </c>
      <c r="W870" s="46" t="str">
        <f t="shared" si="311"/>
        <v/>
      </c>
      <c r="X870" s="46" t="str">
        <f>IF($O870=X$5,$L870,"")</f>
        <v/>
      </c>
    </row>
    <row r="871" spans="2:26" x14ac:dyDescent="0.25">
      <c r="B871" s="18"/>
      <c r="C871" s="18"/>
      <c r="D871" s="18"/>
      <c r="E871" s="40"/>
      <c r="F871" s="18"/>
      <c r="G871" s="40"/>
      <c r="H871" s="7">
        <f t="shared" ref="H871:N871" si="371">SUM(H864:H870)</f>
        <v>0</v>
      </c>
      <c r="I871" s="7">
        <f t="shared" si="371"/>
        <v>4</v>
      </c>
      <c r="J871" s="7">
        <f>SUM(J864:J870)</f>
        <v>245</v>
      </c>
      <c r="K871" s="7">
        <f t="shared" si="371"/>
        <v>0</v>
      </c>
      <c r="L871" s="7">
        <f t="shared" si="371"/>
        <v>249</v>
      </c>
      <c r="M871" s="7">
        <f t="shared" si="371"/>
        <v>6</v>
      </c>
      <c r="N871" s="7">
        <f t="shared" si="371"/>
        <v>6</v>
      </c>
      <c r="O871" s="18"/>
      <c r="P871" s="13"/>
      <c r="Q871" s="13"/>
      <c r="S871" s="13"/>
      <c r="T871" s="15"/>
      <c r="U871" s="46" t="str">
        <f t="shared" ref="U871:W873" si="372">IF($O871=U$5,$L871,"")</f>
        <v/>
      </c>
      <c r="V871" s="46" t="str">
        <f t="shared" si="372"/>
        <v/>
      </c>
      <c r="W871" s="46" t="str">
        <f t="shared" si="372"/>
        <v/>
      </c>
      <c r="X871" s="46" t="str">
        <f>IF($O871=X$5,$L871,"")</f>
        <v/>
      </c>
    </row>
    <row r="872" spans="2:26" s="18" customFormat="1" x14ac:dyDescent="0.25">
      <c r="E872" s="40"/>
      <c r="G872" s="40"/>
      <c r="H872" s="7"/>
      <c r="I872" s="7"/>
      <c r="J872" s="7"/>
      <c r="K872" s="7"/>
      <c r="L872" s="7"/>
      <c r="M872" s="8"/>
      <c r="N872" s="8" t="str">
        <f>IF(R872="x",1,"")</f>
        <v/>
      </c>
      <c r="P872" s="13"/>
      <c r="Q872" s="13"/>
      <c r="R872" s="13"/>
      <c r="S872" s="13"/>
      <c r="T872" s="15"/>
      <c r="U872" s="46" t="str">
        <f t="shared" si="372"/>
        <v/>
      </c>
      <c r="V872" s="46" t="str">
        <f t="shared" si="372"/>
        <v/>
      </c>
      <c r="W872" s="46" t="str">
        <f t="shared" si="372"/>
        <v/>
      </c>
      <c r="X872" s="46" t="str">
        <f>IF($O872=X$5,$L872,"")</f>
        <v/>
      </c>
      <c r="Z872" s="11"/>
    </row>
    <row r="873" spans="2:26" s="18" customFormat="1" x14ac:dyDescent="0.25">
      <c r="E873" s="40"/>
      <c r="G873" s="40"/>
      <c r="H873" s="7"/>
      <c r="I873" s="7"/>
      <c r="J873" s="7"/>
      <c r="K873" s="7"/>
      <c r="L873" s="7"/>
      <c r="M873" s="8"/>
      <c r="N873" s="8" t="str">
        <f>IF(R873="x",1,"")</f>
        <v/>
      </c>
      <c r="P873" s="13"/>
      <c r="Q873" s="13"/>
      <c r="R873" s="13"/>
      <c r="S873" s="13"/>
      <c r="T873" s="15"/>
      <c r="U873" s="46" t="str">
        <f t="shared" si="372"/>
        <v/>
      </c>
      <c r="V873" s="46" t="str">
        <f t="shared" si="372"/>
        <v/>
      </c>
      <c r="W873" s="46" t="str">
        <f t="shared" si="372"/>
        <v/>
      </c>
      <c r="X873" s="46" t="str">
        <f>IF($O873=X$5,$L873,"")</f>
        <v/>
      </c>
      <c r="Z873" s="11"/>
    </row>
    <row r="874" spans="2:26" x14ac:dyDescent="0.25">
      <c r="B874" s="11" t="str">
        <f t="shared" ref="B874:B882" si="373">CONCATENATE("CARP","-",LEFT(P874,2),UPPER(MID(P874,4,3)),RIGHT(P874,4))</f>
        <v>CARP-02SEP1904</v>
      </c>
      <c r="C874" s="11" t="s">
        <v>3189</v>
      </c>
      <c r="D874" s="11" t="s">
        <v>2097</v>
      </c>
      <c r="E874" s="39" t="s">
        <v>11492</v>
      </c>
      <c r="F874" s="11" t="s">
        <v>1700</v>
      </c>
      <c r="G874" s="39" t="s">
        <v>11493</v>
      </c>
      <c r="I874" s="7">
        <v>0</v>
      </c>
      <c r="J874" s="7">
        <v>14</v>
      </c>
      <c r="L874" s="7">
        <f t="shared" ref="L874:L883" si="374">SUM(H874:K874)</f>
        <v>14</v>
      </c>
      <c r="M874" s="8">
        <v>1</v>
      </c>
      <c r="N874" s="8">
        <f t="shared" ref="N874:N883" si="375">IF(L874&gt;0,1,"")</f>
        <v>1</v>
      </c>
      <c r="O874" s="11" t="s">
        <v>1702</v>
      </c>
      <c r="P874" s="16" t="str">
        <f t="shared" ref="P874:P883" si="376">IF(LEN(G874)=10,CONCATENATE("0",G874),G874)</f>
        <v>02-Sep-1904</v>
      </c>
      <c r="R874" s="16" t="str">
        <f>IF($L874&gt;0,"x","")</f>
        <v>x</v>
      </c>
      <c r="S874" s="80"/>
      <c r="U874" s="46" t="str">
        <f t="shared" ref="U874:X881" si="377">IF($O874=U$5,$L874,"")</f>
        <v/>
      </c>
      <c r="V874" s="46">
        <f t="shared" si="377"/>
        <v>14</v>
      </c>
      <c r="W874" s="46" t="str">
        <f t="shared" si="377"/>
        <v/>
      </c>
      <c r="X874" s="46" t="str">
        <f t="shared" si="377"/>
        <v/>
      </c>
    </row>
    <row r="875" spans="2:26" x14ac:dyDescent="0.25">
      <c r="B875" s="11" t="str">
        <f>CONCATENATE("CARP","-",LEFT(P875,2),UPPER(MID(P875,4,3)),RIGHT(P875,4))</f>
        <v>CARP-30SEP1904</v>
      </c>
      <c r="C875" s="11" t="s">
        <v>3189</v>
      </c>
      <c r="D875" s="11" t="s">
        <v>2097</v>
      </c>
      <c r="E875" s="39" t="s">
        <v>5693</v>
      </c>
      <c r="F875" s="11" t="s">
        <v>1700</v>
      </c>
      <c r="G875" s="39" t="s">
        <v>5694</v>
      </c>
      <c r="H875" s="7" t="s">
        <v>5695</v>
      </c>
      <c r="I875" s="7">
        <v>0</v>
      </c>
      <c r="J875" s="7">
        <v>17</v>
      </c>
      <c r="L875" s="7">
        <f>SUM(H875:K875)</f>
        <v>17</v>
      </c>
      <c r="M875" s="8">
        <v>1</v>
      </c>
      <c r="N875" s="8">
        <f>IF(L875&gt;0,1,"")</f>
        <v>1</v>
      </c>
      <c r="O875" s="11" t="s">
        <v>1702</v>
      </c>
      <c r="P875" s="16" t="str">
        <f>IF(LEN(G875)=10,CONCATENATE("0",G875),G875)</f>
        <v>30-Sep-1904</v>
      </c>
      <c r="R875" s="16" t="str">
        <f>IF($L875&gt;0,"x","")</f>
        <v>x</v>
      </c>
      <c r="S875" s="16" t="str">
        <f>IF($L875&gt;0,"x","")</f>
        <v>x</v>
      </c>
      <c r="U875" s="46" t="str">
        <f t="shared" si="377"/>
        <v/>
      </c>
      <c r="V875" s="46">
        <f t="shared" si="377"/>
        <v>17</v>
      </c>
      <c r="W875" s="46" t="str">
        <f t="shared" si="377"/>
        <v/>
      </c>
      <c r="X875" s="46" t="str">
        <f t="shared" si="377"/>
        <v/>
      </c>
    </row>
    <row r="876" spans="2:26" x14ac:dyDescent="0.25">
      <c r="B876" s="11" t="str">
        <f t="shared" si="373"/>
        <v>CARP-02OCT1907</v>
      </c>
      <c r="C876" s="11" t="s">
        <v>3189</v>
      </c>
      <c r="D876" s="11" t="s">
        <v>3007</v>
      </c>
      <c r="E876" s="39" t="s">
        <v>5152</v>
      </c>
      <c r="F876" s="11" t="s">
        <v>1700</v>
      </c>
      <c r="G876" s="39" t="s">
        <v>5153</v>
      </c>
      <c r="H876" s="7">
        <v>0</v>
      </c>
      <c r="I876" s="7">
        <v>2</v>
      </c>
      <c r="L876" s="7">
        <f t="shared" si="374"/>
        <v>2</v>
      </c>
      <c r="M876" s="8">
        <v>1</v>
      </c>
      <c r="N876" s="8">
        <f t="shared" si="375"/>
        <v>1</v>
      </c>
      <c r="O876" s="11" t="s">
        <v>1702</v>
      </c>
      <c r="P876" s="16" t="str">
        <f t="shared" si="376"/>
        <v>02-Oct-1907</v>
      </c>
      <c r="R876" s="16" t="str">
        <f t="shared" ref="R876:S880" si="378">IF($L876&gt;0,"x","")</f>
        <v>x</v>
      </c>
      <c r="S876" s="16" t="str">
        <f t="shared" si="378"/>
        <v>x</v>
      </c>
      <c r="U876" s="46" t="str">
        <f t="shared" si="377"/>
        <v/>
      </c>
      <c r="V876" s="46">
        <f t="shared" si="377"/>
        <v>2</v>
      </c>
      <c r="W876" s="46" t="str">
        <f t="shared" si="377"/>
        <v/>
      </c>
      <c r="X876" s="46" t="str">
        <f t="shared" si="377"/>
        <v/>
      </c>
    </row>
    <row r="877" spans="2:26" x14ac:dyDescent="0.25">
      <c r="B877" s="11" t="str">
        <f t="shared" si="373"/>
        <v>CARP-08JUL1908</v>
      </c>
      <c r="C877" s="11" t="s">
        <v>3189</v>
      </c>
      <c r="D877" s="11" t="s">
        <v>3064</v>
      </c>
      <c r="E877" s="39" t="s">
        <v>5567</v>
      </c>
      <c r="F877" s="11" t="s">
        <v>1700</v>
      </c>
      <c r="G877" s="39" t="s">
        <v>5568</v>
      </c>
      <c r="H877" s="7">
        <v>0</v>
      </c>
      <c r="J877" s="7">
        <v>5</v>
      </c>
      <c r="L877" s="7">
        <f t="shared" si="374"/>
        <v>5</v>
      </c>
      <c r="M877" s="8">
        <v>1</v>
      </c>
      <c r="N877" s="8">
        <f t="shared" si="375"/>
        <v>1</v>
      </c>
      <c r="O877" s="11" t="s">
        <v>1702</v>
      </c>
      <c r="P877" s="16" t="str">
        <f t="shared" si="376"/>
        <v>08-Jul-1908</v>
      </c>
      <c r="R877" s="16" t="str">
        <f t="shared" si="378"/>
        <v>x</v>
      </c>
      <c r="S877" s="16" t="str">
        <f t="shared" si="378"/>
        <v>x</v>
      </c>
      <c r="U877" s="46" t="str">
        <f t="shared" si="377"/>
        <v/>
      </c>
      <c r="V877" s="46">
        <f t="shared" si="377"/>
        <v>5</v>
      </c>
      <c r="W877" s="46" t="str">
        <f t="shared" si="377"/>
        <v/>
      </c>
      <c r="X877" s="46" t="str">
        <f t="shared" si="377"/>
        <v/>
      </c>
    </row>
    <row r="878" spans="2:26" x14ac:dyDescent="0.25">
      <c r="B878" s="11" t="str">
        <f t="shared" si="373"/>
        <v>CARP-25AUG1909</v>
      </c>
      <c r="C878" s="11" t="s">
        <v>3189</v>
      </c>
      <c r="D878" s="11" t="s">
        <v>3957</v>
      </c>
      <c r="E878" s="39" t="s">
        <v>865</v>
      </c>
      <c r="F878" s="11" t="s">
        <v>1700</v>
      </c>
      <c r="G878" s="39" t="s">
        <v>3321</v>
      </c>
      <c r="H878" s="7">
        <v>0</v>
      </c>
      <c r="I878" s="7">
        <v>0</v>
      </c>
      <c r="J878" s="7">
        <v>4</v>
      </c>
      <c r="L878" s="7">
        <f>SUM(H878:K878)</f>
        <v>4</v>
      </c>
      <c r="M878" s="8">
        <v>1</v>
      </c>
      <c r="N878" s="8">
        <f>IF(L878&gt;0,1,"")</f>
        <v>1</v>
      </c>
      <c r="O878" s="11" t="s">
        <v>1702</v>
      </c>
      <c r="P878" s="16" t="str">
        <f>IF(LEN(G878)=10,CONCATENATE("0",G878),G878)</f>
        <v>25-Aug-1909</v>
      </c>
      <c r="R878" s="16" t="str">
        <f t="shared" si="378"/>
        <v>x</v>
      </c>
      <c r="S878" s="16" t="str">
        <f t="shared" si="378"/>
        <v>x</v>
      </c>
      <c r="U878" s="46" t="str">
        <f>IF($O878=U$5,$L878,"")</f>
        <v/>
      </c>
      <c r="V878" s="46">
        <f>IF($O878=V$5,$L878,"")</f>
        <v>4</v>
      </c>
      <c r="W878" s="46" t="str">
        <f>IF($O878=W$5,$L878,"")</f>
        <v/>
      </c>
      <c r="X878" s="46" t="str">
        <f>IF($O878=X$5,$L878,"")</f>
        <v/>
      </c>
    </row>
    <row r="879" spans="2:26" x14ac:dyDescent="0.25">
      <c r="B879" s="11" t="str">
        <f t="shared" si="373"/>
        <v>CARP-29JUN1910</v>
      </c>
      <c r="C879" s="11" t="s">
        <v>3189</v>
      </c>
      <c r="D879" s="11" t="s">
        <v>3064</v>
      </c>
      <c r="E879" s="39" t="s">
        <v>2680</v>
      </c>
      <c r="F879" s="11" t="s">
        <v>1700</v>
      </c>
      <c r="G879" s="39" t="s">
        <v>3023</v>
      </c>
      <c r="H879" s="7">
        <v>0</v>
      </c>
      <c r="I879" s="7">
        <v>0</v>
      </c>
      <c r="J879" s="7">
        <v>4</v>
      </c>
      <c r="L879" s="7">
        <f t="shared" si="374"/>
        <v>4</v>
      </c>
      <c r="M879" s="8">
        <v>1</v>
      </c>
      <c r="N879" s="8">
        <f t="shared" si="375"/>
        <v>1</v>
      </c>
      <c r="O879" s="11" t="s">
        <v>1702</v>
      </c>
      <c r="P879" s="16" t="str">
        <f t="shared" si="376"/>
        <v>29-Jun-1910</v>
      </c>
      <c r="R879" s="16" t="str">
        <f t="shared" si="378"/>
        <v>x</v>
      </c>
      <c r="S879" s="16" t="str">
        <f t="shared" si="378"/>
        <v>x</v>
      </c>
      <c r="U879" s="46" t="str">
        <f t="shared" si="377"/>
        <v/>
      </c>
      <c r="V879" s="46">
        <f t="shared" si="377"/>
        <v>4</v>
      </c>
      <c r="W879" s="46" t="str">
        <f t="shared" si="377"/>
        <v/>
      </c>
      <c r="X879" s="46" t="str">
        <f t="shared" si="377"/>
        <v/>
      </c>
    </row>
    <row r="880" spans="2:26" x14ac:dyDescent="0.25">
      <c r="B880" s="11" t="str">
        <f>CONCATENATE("CARP","-",LEFT(P880,2),UPPER(MID(P880,4,3)),RIGHT(P880,4))</f>
        <v>CARP-23DEC1911</v>
      </c>
      <c r="C880" s="11" t="s">
        <v>3189</v>
      </c>
      <c r="D880" s="11" t="s">
        <v>3064</v>
      </c>
      <c r="E880" s="39" t="s">
        <v>5229</v>
      </c>
      <c r="F880" s="11" t="s">
        <v>1700</v>
      </c>
      <c r="G880" s="39" t="s">
        <v>1601</v>
      </c>
      <c r="H880" s="7">
        <v>0</v>
      </c>
      <c r="I880" s="7">
        <v>0</v>
      </c>
      <c r="J880" s="7">
        <v>22</v>
      </c>
      <c r="L880" s="7">
        <f>SUM(H880:K880)</f>
        <v>22</v>
      </c>
      <c r="M880" s="8">
        <v>1</v>
      </c>
      <c r="N880" s="8">
        <f>IF(L880&gt;0,1,"")</f>
        <v>1</v>
      </c>
      <c r="O880" s="11" t="s">
        <v>1702</v>
      </c>
      <c r="P880" s="16" t="str">
        <f>IF(LEN(G880)=10,CONCATENATE("0",G880),G880)</f>
        <v>23-Dec-1911</v>
      </c>
      <c r="R880" s="16" t="str">
        <f t="shared" si="378"/>
        <v>x</v>
      </c>
      <c r="S880" s="16" t="str">
        <f t="shared" si="378"/>
        <v>x</v>
      </c>
      <c r="U880" s="46" t="str">
        <f t="shared" si="377"/>
        <v/>
      </c>
      <c r="V880" s="46">
        <f t="shared" si="377"/>
        <v>22</v>
      </c>
      <c r="W880" s="46" t="str">
        <f t="shared" si="377"/>
        <v/>
      </c>
      <c r="X880" s="46" t="str">
        <f t="shared" si="377"/>
        <v/>
      </c>
    </row>
    <row r="881" spans="2:24" x14ac:dyDescent="0.25">
      <c r="B881" s="11" t="str">
        <f t="shared" si="373"/>
        <v>CARP-28AUG1912</v>
      </c>
      <c r="C881" s="11" t="s">
        <v>3189</v>
      </c>
      <c r="D881" s="11" t="s">
        <v>3064</v>
      </c>
      <c r="E881" s="39" t="s">
        <v>1321</v>
      </c>
      <c r="F881" s="11" t="s">
        <v>1700</v>
      </c>
      <c r="G881" s="39" t="s">
        <v>4525</v>
      </c>
      <c r="H881" s="7">
        <v>0</v>
      </c>
      <c r="I881" s="7">
        <v>0</v>
      </c>
      <c r="J881" s="7">
        <v>1</v>
      </c>
      <c r="L881" s="7">
        <f t="shared" si="374"/>
        <v>1</v>
      </c>
      <c r="M881" s="8">
        <v>1</v>
      </c>
      <c r="N881" s="8">
        <f t="shared" si="375"/>
        <v>1</v>
      </c>
      <c r="O881" s="11" t="s">
        <v>1702</v>
      </c>
      <c r="P881" s="16" t="str">
        <f t="shared" si="376"/>
        <v>28-Aug-1912</v>
      </c>
      <c r="R881" s="16" t="str">
        <f t="shared" ref="R881:S883" si="379">IF($L881&gt;0,"x","")</f>
        <v>x</v>
      </c>
      <c r="S881" s="16" t="str">
        <f t="shared" si="379"/>
        <v>x</v>
      </c>
      <c r="U881" s="46" t="str">
        <f t="shared" si="377"/>
        <v/>
      </c>
      <c r="V881" s="46">
        <f t="shared" si="377"/>
        <v>1</v>
      </c>
      <c r="W881" s="46" t="str">
        <f t="shared" si="377"/>
        <v/>
      </c>
      <c r="X881" s="46" t="str">
        <f t="shared" si="377"/>
        <v/>
      </c>
    </row>
    <row r="882" spans="2:24" x14ac:dyDescent="0.25">
      <c r="B882" s="11" t="str">
        <f t="shared" si="373"/>
        <v>CARP-28AUG1912</v>
      </c>
      <c r="C882" s="11" t="s">
        <v>3189</v>
      </c>
      <c r="D882" s="11" t="s">
        <v>3957</v>
      </c>
      <c r="E882" s="39" t="s">
        <v>3128</v>
      </c>
      <c r="F882" s="11" t="s">
        <v>1700</v>
      </c>
      <c r="G882" s="39" t="s">
        <v>4525</v>
      </c>
      <c r="H882" s="7">
        <v>0</v>
      </c>
      <c r="I882" s="7">
        <v>0</v>
      </c>
      <c r="J882" s="7">
        <v>14</v>
      </c>
      <c r="L882" s="7">
        <f t="shared" si="374"/>
        <v>14</v>
      </c>
      <c r="M882" s="8">
        <v>1</v>
      </c>
      <c r="N882" s="8">
        <f t="shared" si="375"/>
        <v>1</v>
      </c>
      <c r="O882" s="11" t="s">
        <v>1702</v>
      </c>
      <c r="P882" s="16" t="str">
        <f t="shared" si="376"/>
        <v>28-Aug-1912</v>
      </c>
      <c r="R882" s="16" t="str">
        <f t="shared" si="379"/>
        <v>x</v>
      </c>
      <c r="S882" s="16" t="str">
        <f t="shared" si="379"/>
        <v>x</v>
      </c>
      <c r="U882" s="46" t="str">
        <f>IF($O882=U$5,$L882,"")</f>
        <v/>
      </c>
      <c r="V882" s="46">
        <f>IF($O882=V$5,$L882,"")</f>
        <v>14</v>
      </c>
      <c r="W882" s="46" t="str">
        <f>IF($O882=W$5,$L882,"")</f>
        <v/>
      </c>
      <c r="X882" s="46" t="str">
        <f>IF($O882=X$5,$L882,"")</f>
        <v/>
      </c>
    </row>
    <row r="883" spans="2:24" x14ac:dyDescent="0.25">
      <c r="B883" s="11" t="str">
        <f t="shared" ref="B883:B889" si="380">CONCATENATE("CARP","-",LEFT(P883,2),UPPER(MID(P883,4,3)),RIGHT(P883,4))</f>
        <v>CARP-28AUG1912</v>
      </c>
      <c r="C883" s="11" t="s">
        <v>3189</v>
      </c>
      <c r="D883" s="11" t="s">
        <v>1906</v>
      </c>
      <c r="E883" s="39" t="s">
        <v>994</v>
      </c>
      <c r="F883" s="11" t="s">
        <v>1700</v>
      </c>
      <c r="G883" s="39" t="s">
        <v>4525</v>
      </c>
      <c r="H883" s="7">
        <v>0</v>
      </c>
      <c r="I883" s="7">
        <v>0</v>
      </c>
      <c r="J883" s="7">
        <v>34</v>
      </c>
      <c r="L883" s="7">
        <f t="shared" si="374"/>
        <v>34</v>
      </c>
      <c r="M883" s="8">
        <v>1</v>
      </c>
      <c r="N883" s="8">
        <f t="shared" si="375"/>
        <v>1</v>
      </c>
      <c r="O883" s="11" t="s">
        <v>1702</v>
      </c>
      <c r="P883" s="16" t="str">
        <f t="shared" si="376"/>
        <v>28-Aug-1912</v>
      </c>
      <c r="R883" s="16" t="str">
        <f t="shared" si="379"/>
        <v>x</v>
      </c>
      <c r="S883" s="16" t="str">
        <f t="shared" si="379"/>
        <v>x</v>
      </c>
      <c r="U883" s="46" t="str">
        <f t="shared" ref="U883:X884" si="381">IF($O883=U$5,$L883,"")</f>
        <v/>
      </c>
      <c r="V883" s="46">
        <f t="shared" si="381"/>
        <v>34</v>
      </c>
      <c r="W883" s="46" t="str">
        <f t="shared" si="381"/>
        <v/>
      </c>
      <c r="X883" s="46" t="str">
        <f t="shared" si="381"/>
        <v/>
      </c>
    </row>
    <row r="884" spans="2:24" x14ac:dyDescent="0.25">
      <c r="B884" s="11" t="str">
        <f t="shared" si="380"/>
        <v>CARP-17OCT1912</v>
      </c>
      <c r="C884" s="11" t="s">
        <v>3189</v>
      </c>
      <c r="D884" s="11" t="s">
        <v>3064</v>
      </c>
      <c r="E884" s="39" t="s">
        <v>1904</v>
      </c>
      <c r="F884" s="11" t="s">
        <v>1700</v>
      </c>
      <c r="G884" s="39" t="s">
        <v>3647</v>
      </c>
      <c r="H884" s="7">
        <v>0</v>
      </c>
      <c r="I884" s="7">
        <v>0</v>
      </c>
      <c r="J884" s="7">
        <v>40</v>
      </c>
      <c r="L884" s="7">
        <f t="shared" ref="L884:L889" si="382">SUM(H884:K884)</f>
        <v>40</v>
      </c>
      <c r="M884" s="8">
        <v>1</v>
      </c>
      <c r="N884" s="8">
        <f t="shared" ref="N884:N889" si="383">IF(L884&gt;0,1,"")</f>
        <v>1</v>
      </c>
      <c r="O884" s="11" t="s">
        <v>1702</v>
      </c>
      <c r="P884" s="16" t="str">
        <f t="shared" ref="P884:P889" si="384">IF(LEN(G884)=10,CONCATENATE("0",G884),G884)</f>
        <v>17-Oct-1912</v>
      </c>
      <c r="R884" s="16" t="str">
        <f t="shared" ref="R884:S890" si="385">IF($L884&gt;0,"x","")</f>
        <v>x</v>
      </c>
      <c r="S884" s="16" t="str">
        <f t="shared" si="385"/>
        <v>x</v>
      </c>
      <c r="U884" s="46" t="str">
        <f t="shared" si="381"/>
        <v/>
      </c>
      <c r="V884" s="46">
        <f t="shared" si="381"/>
        <v>40</v>
      </c>
      <c r="W884" s="46" t="str">
        <f t="shared" si="381"/>
        <v/>
      </c>
      <c r="X884" s="46" t="str">
        <f t="shared" si="381"/>
        <v/>
      </c>
    </row>
    <row r="885" spans="2:24" x14ac:dyDescent="0.25">
      <c r="B885" s="11" t="str">
        <f t="shared" si="380"/>
        <v>CARP-17OCT1912</v>
      </c>
      <c r="C885" s="11" t="s">
        <v>3189</v>
      </c>
      <c r="D885" s="11" t="s">
        <v>3957</v>
      </c>
      <c r="E885" s="39" t="s">
        <v>1330</v>
      </c>
      <c r="F885" s="11" t="s">
        <v>1700</v>
      </c>
      <c r="G885" s="39" t="s">
        <v>3647</v>
      </c>
      <c r="H885" s="7">
        <v>0</v>
      </c>
      <c r="I885" s="7">
        <v>0</v>
      </c>
      <c r="J885" s="7">
        <v>53</v>
      </c>
      <c r="L885" s="7">
        <f t="shared" si="382"/>
        <v>53</v>
      </c>
      <c r="M885" s="8">
        <v>1</v>
      </c>
      <c r="N885" s="8">
        <f t="shared" si="383"/>
        <v>1</v>
      </c>
      <c r="O885" s="11" t="s">
        <v>1702</v>
      </c>
      <c r="P885" s="16" t="str">
        <f t="shared" si="384"/>
        <v>17-Oct-1912</v>
      </c>
      <c r="R885" s="16" t="str">
        <f t="shared" si="385"/>
        <v>x</v>
      </c>
      <c r="S885" s="16" t="str">
        <f t="shared" si="385"/>
        <v>x</v>
      </c>
      <c r="U885" s="46" t="str">
        <f t="shared" ref="U885:X889" si="386">IF($O885=U$5,$L885,"")</f>
        <v/>
      </c>
      <c r="V885" s="46">
        <f t="shared" si="386"/>
        <v>53</v>
      </c>
      <c r="W885" s="46" t="str">
        <f t="shared" si="386"/>
        <v/>
      </c>
      <c r="X885" s="46" t="str">
        <f t="shared" si="386"/>
        <v/>
      </c>
    </row>
    <row r="886" spans="2:24" x14ac:dyDescent="0.25">
      <c r="B886" s="11" t="str">
        <f t="shared" si="380"/>
        <v>CARP-17OCT1912</v>
      </c>
      <c r="C886" s="11" t="s">
        <v>3189</v>
      </c>
      <c r="D886" s="11" t="s">
        <v>1906</v>
      </c>
      <c r="E886" s="39" t="s">
        <v>3646</v>
      </c>
      <c r="F886" s="11" t="s">
        <v>1700</v>
      </c>
      <c r="G886" s="39" t="s">
        <v>3647</v>
      </c>
      <c r="H886" s="7">
        <v>0</v>
      </c>
      <c r="J886" s="7">
        <v>25</v>
      </c>
      <c r="L886" s="7">
        <f t="shared" si="382"/>
        <v>25</v>
      </c>
      <c r="M886" s="8">
        <v>1</v>
      </c>
      <c r="N886" s="8">
        <f t="shared" si="383"/>
        <v>1</v>
      </c>
      <c r="O886" s="11" t="s">
        <v>1702</v>
      </c>
      <c r="P886" s="16" t="str">
        <f t="shared" si="384"/>
        <v>17-Oct-1912</v>
      </c>
      <c r="R886" s="16" t="str">
        <f t="shared" si="385"/>
        <v>x</v>
      </c>
      <c r="S886" s="16" t="str">
        <f t="shared" si="385"/>
        <v>x</v>
      </c>
      <c r="U886" s="46" t="str">
        <f t="shared" si="386"/>
        <v/>
      </c>
      <c r="V886" s="46">
        <f t="shared" si="386"/>
        <v>25</v>
      </c>
      <c r="W886" s="46" t="str">
        <f t="shared" si="386"/>
        <v/>
      </c>
      <c r="X886" s="46" t="str">
        <f t="shared" si="386"/>
        <v/>
      </c>
    </row>
    <row r="887" spans="2:24" x14ac:dyDescent="0.25">
      <c r="B887" s="11" t="str">
        <f t="shared" si="380"/>
        <v>CARP-06DEC1912</v>
      </c>
      <c r="C887" s="11" t="s">
        <v>3189</v>
      </c>
      <c r="D887" s="11" t="s">
        <v>3064</v>
      </c>
      <c r="E887" s="39" t="s">
        <v>3379</v>
      </c>
      <c r="F887" s="11" t="s">
        <v>1700</v>
      </c>
      <c r="G887" s="39" t="s">
        <v>5195</v>
      </c>
      <c r="H887" s="7">
        <v>0</v>
      </c>
      <c r="I887" s="7">
        <v>5</v>
      </c>
      <c r="J887" s="7">
        <v>33</v>
      </c>
      <c r="L887" s="7">
        <f t="shared" si="382"/>
        <v>38</v>
      </c>
      <c r="M887" s="8">
        <v>1</v>
      </c>
      <c r="N887" s="8">
        <f t="shared" si="383"/>
        <v>1</v>
      </c>
      <c r="O887" s="11" t="s">
        <v>1702</v>
      </c>
      <c r="P887" s="16" t="str">
        <f t="shared" si="384"/>
        <v>06-Dec-1912</v>
      </c>
      <c r="R887" s="16" t="str">
        <f t="shared" si="385"/>
        <v>x</v>
      </c>
      <c r="S887" s="16" t="str">
        <f t="shared" si="385"/>
        <v>x</v>
      </c>
      <c r="U887" s="46" t="str">
        <f t="shared" si="386"/>
        <v/>
      </c>
      <c r="V887" s="46">
        <f t="shared" si="386"/>
        <v>38</v>
      </c>
      <c r="W887" s="46" t="str">
        <f t="shared" si="386"/>
        <v/>
      </c>
      <c r="X887" s="46" t="str">
        <f t="shared" si="386"/>
        <v/>
      </c>
    </row>
    <row r="888" spans="2:24" x14ac:dyDescent="0.25">
      <c r="B888" s="11" t="str">
        <f t="shared" si="380"/>
        <v>CARP-17MAR1913</v>
      </c>
      <c r="C888" s="11" t="s">
        <v>3189</v>
      </c>
      <c r="D888" s="11" t="s">
        <v>2097</v>
      </c>
      <c r="E888" s="39" t="s">
        <v>5385</v>
      </c>
      <c r="F888" s="11" t="s">
        <v>3050</v>
      </c>
      <c r="G888" s="39" t="s">
        <v>5386</v>
      </c>
      <c r="H888" s="7">
        <v>0</v>
      </c>
      <c r="I888" s="7">
        <v>0</v>
      </c>
      <c r="J888" s="7">
        <v>6</v>
      </c>
      <c r="L888" s="7">
        <f t="shared" si="382"/>
        <v>6</v>
      </c>
      <c r="M888" s="8">
        <v>1</v>
      </c>
      <c r="N888" s="8">
        <f t="shared" si="383"/>
        <v>1</v>
      </c>
      <c r="O888" s="11" t="s">
        <v>1702</v>
      </c>
      <c r="P888" s="16" t="str">
        <f t="shared" si="384"/>
        <v>17-Mar-1913</v>
      </c>
      <c r="R888" s="16" t="str">
        <f>IF($L888&gt;0,"x","")</f>
        <v>x</v>
      </c>
      <c r="S888" s="16" t="str">
        <f>IF($L888&gt;0,"x","")</f>
        <v>x</v>
      </c>
      <c r="U888" s="46" t="str">
        <f t="shared" si="386"/>
        <v/>
      </c>
      <c r="V888" s="46">
        <f t="shared" si="386"/>
        <v>6</v>
      </c>
      <c r="W888" s="46" t="str">
        <f t="shared" si="386"/>
        <v/>
      </c>
      <c r="X888" s="46" t="str">
        <f t="shared" si="386"/>
        <v/>
      </c>
    </row>
    <row r="889" spans="2:24" x14ac:dyDescent="0.25">
      <c r="B889" s="11" t="str">
        <f t="shared" si="380"/>
        <v>CARP-05MAY1913</v>
      </c>
      <c r="C889" s="11" t="s">
        <v>3189</v>
      </c>
      <c r="D889" s="11" t="s">
        <v>3064</v>
      </c>
      <c r="E889" s="39" t="s">
        <v>5484</v>
      </c>
      <c r="F889" s="11" t="s">
        <v>1700</v>
      </c>
      <c r="G889" s="39" t="s">
        <v>4476</v>
      </c>
      <c r="J889" s="7">
        <v>35</v>
      </c>
      <c r="L889" s="7">
        <f t="shared" si="382"/>
        <v>35</v>
      </c>
      <c r="M889" s="8">
        <v>1</v>
      </c>
      <c r="N889" s="8">
        <f t="shared" si="383"/>
        <v>1</v>
      </c>
      <c r="O889" s="11" t="s">
        <v>1702</v>
      </c>
      <c r="P889" s="16" t="str">
        <f t="shared" si="384"/>
        <v>05-May-1913</v>
      </c>
      <c r="R889" s="16" t="str">
        <f>IF($L889&gt;0,"x","")</f>
        <v>x</v>
      </c>
      <c r="S889" s="16" t="str">
        <f>IF($L889&gt;0,"x","")</f>
        <v>x</v>
      </c>
      <c r="U889" s="46" t="str">
        <f t="shared" si="386"/>
        <v/>
      </c>
      <c r="V889" s="46">
        <f t="shared" si="386"/>
        <v>35</v>
      </c>
      <c r="W889" s="46" t="str">
        <f t="shared" si="386"/>
        <v/>
      </c>
      <c r="X889" s="46" t="str">
        <f t="shared" si="386"/>
        <v/>
      </c>
    </row>
    <row r="890" spans="2:24" x14ac:dyDescent="0.25">
      <c r="B890" s="11" t="str">
        <f t="shared" ref="B890:B896" si="387">CONCATENATE("CARP","-",LEFT(P890,2),UPPER(MID(P890,4,3)),RIGHT(P890,4))</f>
        <v>CARP-23JUN1913</v>
      </c>
      <c r="C890" s="11" t="s">
        <v>3189</v>
      </c>
      <c r="D890" s="11" t="s">
        <v>3064</v>
      </c>
      <c r="E890" s="39" t="s">
        <v>3958</v>
      </c>
      <c r="F890" s="11" t="s">
        <v>1700</v>
      </c>
      <c r="G890" s="39" t="s">
        <v>4271</v>
      </c>
      <c r="I890" s="7">
        <v>0</v>
      </c>
      <c r="J890" s="7">
        <v>106</v>
      </c>
      <c r="L890" s="7">
        <f t="shared" ref="L890:L896" si="388">SUM(H890:K890)</f>
        <v>106</v>
      </c>
      <c r="M890" s="8">
        <v>1</v>
      </c>
      <c r="N890" s="8">
        <f t="shared" ref="N890:N896" si="389">IF(L890&gt;0,1,"")</f>
        <v>1</v>
      </c>
      <c r="O890" s="11" t="s">
        <v>1702</v>
      </c>
      <c r="P890" s="16" t="str">
        <f t="shared" ref="P890:P896" si="390">IF(LEN(G890)=10,CONCATENATE("0",G890),G890)</f>
        <v>23-Jun-1913</v>
      </c>
      <c r="R890" s="16" t="str">
        <f t="shared" si="385"/>
        <v>x</v>
      </c>
      <c r="S890" s="16" t="str">
        <f t="shared" si="385"/>
        <v>x</v>
      </c>
      <c r="U890" s="46" t="str">
        <f t="shared" ref="U890:X898" si="391">IF($O890=U$5,$L890,"")</f>
        <v/>
      </c>
      <c r="V890" s="46">
        <f t="shared" si="391"/>
        <v>106</v>
      </c>
      <c r="W890" s="46" t="str">
        <f t="shared" si="391"/>
        <v/>
      </c>
      <c r="X890" s="46" t="str">
        <f t="shared" si="391"/>
        <v/>
      </c>
    </row>
    <row r="891" spans="2:24" x14ac:dyDescent="0.25">
      <c r="B891" s="11" t="str">
        <f t="shared" si="387"/>
        <v>CARP-14AUG1913</v>
      </c>
      <c r="C891" s="11" t="s">
        <v>3189</v>
      </c>
      <c r="D891" s="11" t="s">
        <v>3064</v>
      </c>
      <c r="E891" s="39" t="s">
        <v>3190</v>
      </c>
      <c r="F891" s="11" t="s">
        <v>1700</v>
      </c>
      <c r="G891" s="39" t="s">
        <v>3191</v>
      </c>
      <c r="I891" s="7">
        <v>0</v>
      </c>
      <c r="J891" s="7">
        <v>21</v>
      </c>
      <c r="L891" s="7">
        <f t="shared" si="388"/>
        <v>21</v>
      </c>
      <c r="M891" s="8">
        <v>1</v>
      </c>
      <c r="N891" s="8">
        <f t="shared" si="389"/>
        <v>1</v>
      </c>
      <c r="O891" s="11" t="s">
        <v>1702</v>
      </c>
      <c r="P891" s="16" t="str">
        <f t="shared" si="390"/>
        <v>14-Aug-1913</v>
      </c>
      <c r="R891" s="16" t="str">
        <f t="shared" ref="R891:S896" si="392">IF($L891&gt;0,"x","")</f>
        <v>x</v>
      </c>
      <c r="S891" s="16" t="str">
        <f t="shared" si="392"/>
        <v>x</v>
      </c>
      <c r="U891" s="46" t="str">
        <f t="shared" si="391"/>
        <v/>
      </c>
      <c r="V891" s="46">
        <f t="shared" si="391"/>
        <v>21</v>
      </c>
      <c r="W891" s="46" t="str">
        <f t="shared" si="391"/>
        <v/>
      </c>
      <c r="X891" s="46" t="str">
        <f t="shared" si="391"/>
        <v/>
      </c>
    </row>
    <row r="892" spans="2:24" x14ac:dyDescent="0.25">
      <c r="B892" s="11" t="str">
        <f t="shared" si="387"/>
        <v>CARP-03OCT1913</v>
      </c>
      <c r="C892" s="11" t="s">
        <v>3189</v>
      </c>
      <c r="D892" s="11" t="s">
        <v>3064</v>
      </c>
      <c r="E892" s="39" t="s">
        <v>3526</v>
      </c>
      <c r="F892" s="11" t="s">
        <v>1700</v>
      </c>
      <c r="G892" s="39" t="s">
        <v>3527</v>
      </c>
      <c r="I892" s="7">
        <v>0</v>
      </c>
      <c r="J892" s="7">
        <v>22</v>
      </c>
      <c r="L892" s="7">
        <f t="shared" si="388"/>
        <v>22</v>
      </c>
      <c r="M892" s="8">
        <v>1</v>
      </c>
      <c r="N892" s="8">
        <f t="shared" si="389"/>
        <v>1</v>
      </c>
      <c r="O892" s="11" t="s">
        <v>1702</v>
      </c>
      <c r="P892" s="16" t="str">
        <f t="shared" si="390"/>
        <v>03-Oct-1913</v>
      </c>
      <c r="R892" s="16" t="str">
        <f t="shared" si="392"/>
        <v>x</v>
      </c>
      <c r="S892" s="16" t="str">
        <f t="shared" si="392"/>
        <v>x</v>
      </c>
      <c r="U892" s="46" t="str">
        <f t="shared" si="391"/>
        <v/>
      </c>
      <c r="V892" s="46">
        <f t="shared" si="391"/>
        <v>22</v>
      </c>
      <c r="W892" s="46" t="str">
        <f t="shared" si="391"/>
        <v/>
      </c>
      <c r="X892" s="46" t="str">
        <f t="shared" si="391"/>
        <v/>
      </c>
    </row>
    <row r="893" spans="2:24" x14ac:dyDescent="0.25">
      <c r="B893" s="11" t="str">
        <f t="shared" si="387"/>
        <v>CARP-23JAN1914</v>
      </c>
      <c r="C893" s="11" t="s">
        <v>3189</v>
      </c>
      <c r="D893" s="11" t="s">
        <v>3064</v>
      </c>
      <c r="E893" s="39" t="s">
        <v>2788</v>
      </c>
      <c r="F893" s="11" t="s">
        <v>1700</v>
      </c>
      <c r="G893" s="39" t="s">
        <v>5843</v>
      </c>
      <c r="H893" s="7">
        <v>0</v>
      </c>
      <c r="I893" s="7">
        <v>0</v>
      </c>
      <c r="J893" s="7">
        <v>3</v>
      </c>
      <c r="L893" s="7">
        <f t="shared" si="388"/>
        <v>3</v>
      </c>
      <c r="M893" s="8">
        <v>1</v>
      </c>
      <c r="N893" s="8">
        <f t="shared" si="389"/>
        <v>1</v>
      </c>
      <c r="O893" s="11" t="s">
        <v>1702</v>
      </c>
      <c r="P893" s="16" t="str">
        <f t="shared" si="390"/>
        <v>23-Jan-1914</v>
      </c>
      <c r="R893" s="16" t="str">
        <f t="shared" si="392"/>
        <v>x</v>
      </c>
      <c r="S893" s="16" t="str">
        <f t="shared" si="392"/>
        <v>x</v>
      </c>
      <c r="U893" s="46" t="str">
        <f t="shared" si="391"/>
        <v/>
      </c>
      <c r="V893" s="46">
        <f t="shared" si="391"/>
        <v>3</v>
      </c>
      <c r="W893" s="46" t="str">
        <f t="shared" si="391"/>
        <v/>
      </c>
      <c r="X893" s="46" t="str">
        <f t="shared" si="391"/>
        <v/>
      </c>
    </row>
    <row r="894" spans="2:24" x14ac:dyDescent="0.25">
      <c r="B894" s="11" t="str">
        <f>CONCATENATE("CARP","-",LEFT(P894,2),UPPER(MID(P894,4,3)),RIGHT(P894,4))</f>
        <v>CARP-11MAY1914</v>
      </c>
      <c r="C894" s="11" t="s">
        <v>3189</v>
      </c>
      <c r="D894" s="11" t="s">
        <v>1906</v>
      </c>
      <c r="E894" s="39" t="s">
        <v>11166</v>
      </c>
      <c r="F894" s="11" t="s">
        <v>1700</v>
      </c>
      <c r="G894" s="39" t="s">
        <v>5527</v>
      </c>
      <c r="H894" s="7">
        <v>0</v>
      </c>
      <c r="I894" s="7">
        <v>6</v>
      </c>
      <c r="J894" s="7">
        <v>0</v>
      </c>
      <c r="L894" s="7">
        <f>SUM(H894:K894)</f>
        <v>6</v>
      </c>
      <c r="M894" s="8">
        <v>1</v>
      </c>
      <c r="N894" s="8">
        <f>IF(L894&gt;0,1,"")</f>
        <v>1</v>
      </c>
      <c r="O894" s="11" t="s">
        <v>1702</v>
      </c>
      <c r="P894" s="16" t="str">
        <f>IF(LEN(G894)=10,CONCATENATE("0",G894),G894)</f>
        <v>11-May-1914</v>
      </c>
      <c r="R894" s="16" t="str">
        <f t="shared" si="392"/>
        <v>x</v>
      </c>
      <c r="S894" s="16" t="str">
        <f t="shared" si="392"/>
        <v>x</v>
      </c>
      <c r="U894" s="46" t="str">
        <f t="shared" si="391"/>
        <v/>
      </c>
      <c r="V894" s="46">
        <f t="shared" si="391"/>
        <v>6</v>
      </c>
      <c r="W894" s="46" t="str">
        <f t="shared" si="391"/>
        <v/>
      </c>
      <c r="X894" s="46" t="str">
        <f t="shared" si="391"/>
        <v/>
      </c>
    </row>
    <row r="895" spans="2:24" x14ac:dyDescent="0.25">
      <c r="B895" s="11" t="str">
        <f t="shared" si="387"/>
        <v>CARP-30DEC1914</v>
      </c>
      <c r="C895" s="11" t="s">
        <v>3189</v>
      </c>
      <c r="D895" s="11" t="s">
        <v>1906</v>
      </c>
      <c r="E895" s="39" t="s">
        <v>1946</v>
      </c>
      <c r="F895" s="11" t="s">
        <v>1700</v>
      </c>
      <c r="G895" s="39" t="s">
        <v>4469</v>
      </c>
      <c r="H895" s="7">
        <f>0+3</f>
        <v>3</v>
      </c>
      <c r="I895" s="7">
        <v>0</v>
      </c>
      <c r="J895" s="7">
        <f>0+1</f>
        <v>1</v>
      </c>
      <c r="L895" s="7">
        <f t="shared" si="388"/>
        <v>4</v>
      </c>
      <c r="M895" s="8">
        <v>1</v>
      </c>
      <c r="N895" s="8">
        <f t="shared" si="389"/>
        <v>1</v>
      </c>
      <c r="O895" s="11" t="s">
        <v>1702</v>
      </c>
      <c r="P895" s="16" t="str">
        <f t="shared" si="390"/>
        <v>30-Dec-1914</v>
      </c>
      <c r="R895" s="16" t="str">
        <f t="shared" si="392"/>
        <v>x</v>
      </c>
      <c r="S895" s="16" t="str">
        <f t="shared" si="392"/>
        <v>x</v>
      </c>
      <c r="U895" s="46" t="str">
        <f t="shared" si="391"/>
        <v/>
      </c>
      <c r="V895" s="46">
        <f t="shared" si="391"/>
        <v>4</v>
      </c>
      <c r="W895" s="46" t="str">
        <f t="shared" si="391"/>
        <v/>
      </c>
      <c r="X895" s="46" t="str">
        <f t="shared" si="391"/>
        <v/>
      </c>
    </row>
    <row r="896" spans="2:24" x14ac:dyDescent="0.25">
      <c r="B896" s="11" t="str">
        <f t="shared" si="387"/>
        <v>CARP-09MAR1915</v>
      </c>
      <c r="C896" s="11" t="s">
        <v>3189</v>
      </c>
      <c r="D896" s="11" t="s">
        <v>847</v>
      </c>
      <c r="E896" s="39" t="s">
        <v>1950</v>
      </c>
      <c r="F896" s="11" t="s">
        <v>1700</v>
      </c>
      <c r="G896" s="39" t="s">
        <v>3966</v>
      </c>
      <c r="H896" s="7">
        <v>0</v>
      </c>
      <c r="I896" s="7">
        <v>1</v>
      </c>
      <c r="J896" s="7">
        <v>13</v>
      </c>
      <c r="L896" s="7">
        <f t="shared" si="388"/>
        <v>14</v>
      </c>
      <c r="M896" s="8">
        <v>1</v>
      </c>
      <c r="N896" s="8">
        <f t="shared" si="389"/>
        <v>1</v>
      </c>
      <c r="O896" s="11" t="s">
        <v>1702</v>
      </c>
      <c r="P896" s="16" t="str">
        <f t="shared" si="390"/>
        <v>09-Mar-1915</v>
      </c>
      <c r="R896" s="16" t="str">
        <f t="shared" si="392"/>
        <v>x</v>
      </c>
      <c r="S896" s="16" t="str">
        <f t="shared" si="392"/>
        <v>x</v>
      </c>
      <c r="U896" s="46" t="str">
        <f t="shared" si="391"/>
        <v/>
      </c>
      <c r="V896" s="46">
        <f t="shared" si="391"/>
        <v>14</v>
      </c>
      <c r="W896" s="46" t="str">
        <f t="shared" si="391"/>
        <v/>
      </c>
      <c r="X896" s="46" t="str">
        <f t="shared" si="391"/>
        <v/>
      </c>
    </row>
    <row r="897" spans="2:26" x14ac:dyDescent="0.25">
      <c r="N897" s="8" t="str">
        <f>IF(R897="x",1,"")</f>
        <v/>
      </c>
      <c r="U897" s="46" t="str">
        <f t="shared" si="391"/>
        <v/>
      </c>
      <c r="V897" s="46" t="str">
        <f t="shared" si="391"/>
        <v/>
      </c>
      <c r="W897" s="46" t="str">
        <f t="shared" si="391"/>
        <v/>
      </c>
      <c r="X897" s="46" t="str">
        <f t="shared" si="391"/>
        <v/>
      </c>
    </row>
    <row r="898" spans="2:26" s="18" customFormat="1" x14ac:dyDescent="0.25">
      <c r="E898" s="40"/>
      <c r="G898" s="40"/>
      <c r="H898" s="7">
        <f t="shared" ref="H898:N898" si="393">SUM(H874:H897)</f>
        <v>3</v>
      </c>
      <c r="I898" s="7">
        <f t="shared" si="393"/>
        <v>14</v>
      </c>
      <c r="J898" s="7">
        <f>SUM(J874:J897)</f>
        <v>473</v>
      </c>
      <c r="K898" s="7">
        <f t="shared" si="393"/>
        <v>0</v>
      </c>
      <c r="L898" s="7">
        <f t="shared" si="393"/>
        <v>490</v>
      </c>
      <c r="M898" s="7">
        <f t="shared" si="393"/>
        <v>23</v>
      </c>
      <c r="N898" s="7">
        <f t="shared" si="393"/>
        <v>23</v>
      </c>
      <c r="P898" s="13"/>
      <c r="Q898" s="13"/>
      <c r="R898" s="13"/>
      <c r="S898" s="13"/>
      <c r="T898" s="15"/>
      <c r="U898" s="46" t="str">
        <f t="shared" si="391"/>
        <v/>
      </c>
      <c r="V898" s="46" t="str">
        <f t="shared" si="391"/>
        <v/>
      </c>
      <c r="W898" s="46" t="str">
        <f t="shared" si="391"/>
        <v/>
      </c>
      <c r="X898" s="46" t="str">
        <f t="shared" si="391"/>
        <v/>
      </c>
      <c r="Z898" s="11"/>
    </row>
    <row r="899" spans="2:26" s="18" customFormat="1" x14ac:dyDescent="0.25">
      <c r="E899" s="40"/>
      <c r="G899" s="40"/>
      <c r="H899" s="7"/>
      <c r="I899" s="7"/>
      <c r="J899" s="7"/>
      <c r="K899" s="7"/>
      <c r="L899" s="7"/>
      <c r="M899" s="8"/>
      <c r="N899" s="8" t="str">
        <f>IF(R899="x",1,"")</f>
        <v/>
      </c>
      <c r="P899" s="13"/>
      <c r="Q899" s="13"/>
      <c r="R899" s="13"/>
      <c r="S899" s="13"/>
      <c r="T899" s="15"/>
      <c r="U899" s="46" t="str">
        <f t="shared" ref="U899:X903" si="394">IF($O899=U$5,$L899,"")</f>
        <v/>
      </c>
      <c r="V899" s="46" t="str">
        <f t="shared" si="394"/>
        <v/>
      </c>
      <c r="W899" s="46" t="str">
        <f t="shared" si="394"/>
        <v/>
      </c>
      <c r="X899" s="46" t="str">
        <f t="shared" si="394"/>
        <v/>
      </c>
      <c r="Z899" s="11"/>
    </row>
    <row r="900" spans="2:26" s="18" customFormat="1" x14ac:dyDescent="0.25">
      <c r="E900" s="40"/>
      <c r="G900" s="40"/>
      <c r="H900" s="7"/>
      <c r="I900" s="7"/>
      <c r="J900" s="7"/>
      <c r="K900" s="7"/>
      <c r="L900" s="7"/>
      <c r="M900" s="8"/>
      <c r="N900" s="8" t="str">
        <f>IF(R900="x",1,"")</f>
        <v/>
      </c>
      <c r="P900" s="13"/>
      <c r="Q900" s="13"/>
      <c r="R900" s="13"/>
      <c r="S900" s="13"/>
      <c r="T900" s="15"/>
      <c r="U900" s="46" t="str">
        <f t="shared" si="394"/>
        <v/>
      </c>
      <c r="V900" s="46" t="str">
        <f t="shared" si="394"/>
        <v/>
      </c>
      <c r="W900" s="46" t="str">
        <f t="shared" si="394"/>
        <v/>
      </c>
      <c r="X900" s="46" t="str">
        <f t="shared" si="394"/>
        <v/>
      </c>
      <c r="Z900" s="11"/>
    </row>
    <row r="901" spans="2:26" x14ac:dyDescent="0.25">
      <c r="B901" s="11" t="str">
        <f>CONCATENATE("CRTG","-",LEFT(P901,2),UPPER(MID(P901,4,3)),RIGHT(P901,4))</f>
        <v>CRTG-28APR1930</v>
      </c>
      <c r="C901" s="11" t="s">
        <v>6122</v>
      </c>
      <c r="D901" s="11" t="s">
        <v>3122</v>
      </c>
      <c r="E901" s="39" t="s">
        <v>6123</v>
      </c>
      <c r="F901" s="11" t="s">
        <v>3075</v>
      </c>
      <c r="G901" s="39" t="s">
        <v>6124</v>
      </c>
      <c r="H901" s="7">
        <v>3</v>
      </c>
      <c r="L901" s="7">
        <f>SUM(H901:K901)</f>
        <v>3</v>
      </c>
      <c r="M901" s="8">
        <v>1</v>
      </c>
      <c r="N901" s="8">
        <f>IF(L901&gt;0,1,"")</f>
        <v>1</v>
      </c>
      <c r="O901" s="11" t="s">
        <v>1702</v>
      </c>
      <c r="P901" s="16" t="str">
        <f>IF(LEN(G901)=10,CONCATENATE("0",G901),G901)</f>
        <v>28-Apr-1930</v>
      </c>
      <c r="R901" s="16" t="str">
        <f>IF($L901&gt;0,"x","")</f>
        <v>x</v>
      </c>
      <c r="S901" s="16" t="str">
        <f>IF($L901&gt;0,"x","")</f>
        <v>x</v>
      </c>
      <c r="U901" s="46" t="str">
        <f t="shared" si="394"/>
        <v/>
      </c>
      <c r="V901" s="46">
        <f t="shared" si="394"/>
        <v>3</v>
      </c>
      <c r="W901" s="46" t="str">
        <f t="shared" si="394"/>
        <v/>
      </c>
      <c r="X901" s="46" t="str">
        <f t="shared" si="394"/>
        <v/>
      </c>
    </row>
    <row r="902" spans="2:26" x14ac:dyDescent="0.25">
      <c r="N902" s="8" t="str">
        <f>IF(R902="x",1,"")</f>
        <v/>
      </c>
      <c r="U902" s="46" t="str">
        <f t="shared" si="394"/>
        <v/>
      </c>
      <c r="V902" s="46" t="str">
        <f t="shared" si="394"/>
        <v/>
      </c>
      <c r="W902" s="46" t="str">
        <f t="shared" si="394"/>
        <v/>
      </c>
      <c r="X902" s="46" t="str">
        <f t="shared" si="394"/>
        <v/>
      </c>
    </row>
    <row r="903" spans="2:26" s="18" customFormat="1" x14ac:dyDescent="0.25">
      <c r="E903" s="40"/>
      <c r="G903" s="40"/>
      <c r="H903" s="7">
        <f t="shared" ref="H903:N903" si="395">SUM(H901:H902)</f>
        <v>3</v>
      </c>
      <c r="I903" s="7">
        <f t="shared" si="395"/>
        <v>0</v>
      </c>
      <c r="J903" s="7">
        <f>SUM(J901:J902)</f>
        <v>0</v>
      </c>
      <c r="K903" s="7">
        <f t="shared" si="395"/>
        <v>0</v>
      </c>
      <c r="L903" s="7">
        <f t="shared" si="395"/>
        <v>3</v>
      </c>
      <c r="M903" s="7">
        <f t="shared" si="395"/>
        <v>1</v>
      </c>
      <c r="N903" s="7">
        <f t="shared" si="395"/>
        <v>1</v>
      </c>
      <c r="P903" s="13"/>
      <c r="Q903" s="13"/>
      <c r="R903" s="13"/>
      <c r="S903" s="13"/>
      <c r="T903" s="15"/>
      <c r="U903" s="46" t="str">
        <f t="shared" si="394"/>
        <v/>
      </c>
      <c r="V903" s="46" t="str">
        <f t="shared" si="394"/>
        <v/>
      </c>
      <c r="W903" s="46" t="str">
        <f t="shared" si="394"/>
        <v/>
      </c>
      <c r="X903" s="46" t="str">
        <f t="shared" si="394"/>
        <v/>
      </c>
      <c r="Z903" s="11"/>
    </row>
    <row r="904" spans="2:26" x14ac:dyDescent="0.25">
      <c r="B904" s="18"/>
      <c r="C904" s="18"/>
      <c r="D904" s="18"/>
      <c r="E904" s="40"/>
      <c r="F904" s="18"/>
      <c r="G904" s="40"/>
      <c r="N904" s="8" t="str">
        <f>IF(R904="x",1,"")</f>
        <v/>
      </c>
      <c r="O904" s="18"/>
      <c r="P904" s="13"/>
      <c r="Q904" s="13"/>
      <c r="R904" s="13"/>
      <c r="S904" s="13"/>
      <c r="T904" s="15"/>
      <c r="U904" s="46" t="str">
        <f t="shared" ref="U904:X906" si="396">IF($O904=U$5,$L904,"")</f>
        <v/>
      </c>
      <c r="V904" s="46" t="str">
        <f t="shared" si="396"/>
        <v/>
      </c>
      <c r="W904" s="46" t="str">
        <f t="shared" si="396"/>
        <v/>
      </c>
      <c r="X904" s="46" t="str">
        <f t="shared" si="396"/>
        <v/>
      </c>
    </row>
    <row r="905" spans="2:26" x14ac:dyDescent="0.25">
      <c r="B905" s="18"/>
      <c r="C905" s="18"/>
      <c r="D905" s="18"/>
      <c r="E905" s="40"/>
      <c r="F905" s="18"/>
      <c r="G905" s="40"/>
      <c r="N905" s="8" t="str">
        <f>IF(R905="x",1,"")</f>
        <v/>
      </c>
      <c r="O905" s="18"/>
      <c r="P905" s="13"/>
      <c r="Q905" s="13"/>
      <c r="R905" s="13"/>
      <c r="S905" s="13"/>
      <c r="T905" s="15"/>
      <c r="U905" s="46" t="str">
        <f t="shared" si="396"/>
        <v/>
      </c>
      <c r="V905" s="46" t="str">
        <f t="shared" si="396"/>
        <v/>
      </c>
      <c r="W905" s="46" t="str">
        <f t="shared" si="396"/>
        <v/>
      </c>
      <c r="X905" s="46" t="str">
        <f t="shared" si="396"/>
        <v/>
      </c>
    </row>
    <row r="906" spans="2:26" x14ac:dyDescent="0.25">
      <c r="B906" s="11" t="str">
        <f t="shared" ref="B906:B912" si="397">CONCATENATE("CRTH","-",LEFT(P906,2),UPPER(MID(P906,4,3)),RIGHT(P906,4))</f>
        <v>CRTH-11OCT1906</v>
      </c>
      <c r="C906" s="11" t="s">
        <v>2918</v>
      </c>
      <c r="D906" s="11" t="s">
        <v>2097</v>
      </c>
      <c r="E906" s="39" t="s">
        <v>3495</v>
      </c>
      <c r="F906" s="11" t="s">
        <v>4880</v>
      </c>
      <c r="G906" s="39" t="s">
        <v>5731</v>
      </c>
      <c r="J906" s="17">
        <v>13</v>
      </c>
      <c r="K906" s="17"/>
      <c r="L906" s="7">
        <f t="shared" ref="L906:L912" si="398">SUM(H906:K906)</f>
        <v>13</v>
      </c>
      <c r="M906" s="8">
        <v>1</v>
      </c>
      <c r="N906" s="8">
        <f t="shared" ref="N906:N912" si="399">IF(L906&gt;0,1,"")</f>
        <v>1</v>
      </c>
      <c r="O906" s="11" t="s">
        <v>1702</v>
      </c>
      <c r="P906" s="16" t="str">
        <f t="shared" ref="P906:P912" si="400">IF(LEN(G906)=10,CONCATENATE("0",G906),G906)</f>
        <v>11-Oct-1906</v>
      </c>
      <c r="R906" s="16" t="str">
        <f t="shared" ref="R906:S908" si="401">IF($L906&gt;0,"x","")</f>
        <v>x</v>
      </c>
      <c r="S906" s="16" t="str">
        <f t="shared" si="401"/>
        <v>x</v>
      </c>
      <c r="U906" s="46" t="str">
        <f t="shared" si="396"/>
        <v/>
      </c>
      <c r="V906" s="46">
        <f t="shared" si="396"/>
        <v>13</v>
      </c>
      <c r="W906" s="46" t="str">
        <f t="shared" si="396"/>
        <v/>
      </c>
      <c r="X906" s="46" t="str">
        <f t="shared" si="396"/>
        <v/>
      </c>
    </row>
    <row r="907" spans="2:26" x14ac:dyDescent="0.25">
      <c r="B907" s="11" t="str">
        <f t="shared" si="397"/>
        <v>CRTH-30NOV1906</v>
      </c>
      <c r="C907" s="11" t="s">
        <v>2918</v>
      </c>
      <c r="D907" s="11" t="s">
        <v>2097</v>
      </c>
      <c r="F907" s="11" t="s">
        <v>4880</v>
      </c>
      <c r="G907" s="39" t="s">
        <v>5356</v>
      </c>
      <c r="J907" s="17">
        <v>16</v>
      </c>
      <c r="K907" s="17"/>
      <c r="L907" s="7">
        <f t="shared" si="398"/>
        <v>16</v>
      </c>
      <c r="M907" s="8">
        <v>1</v>
      </c>
      <c r="N907" s="8">
        <f t="shared" si="399"/>
        <v>1</v>
      </c>
      <c r="O907" s="11" t="s">
        <v>1702</v>
      </c>
      <c r="P907" s="16" t="str">
        <f t="shared" si="400"/>
        <v>30-Nov-1906</v>
      </c>
      <c r="R907" s="16" t="str">
        <f t="shared" si="401"/>
        <v>x</v>
      </c>
      <c r="S907" s="16" t="str">
        <f t="shared" si="401"/>
        <v>x</v>
      </c>
      <c r="U907" s="46" t="str">
        <f t="shared" ref="U907:X909" si="402">IF($O907=U$5,$L907,"")</f>
        <v/>
      </c>
      <c r="V907" s="46">
        <f t="shared" si="402"/>
        <v>16</v>
      </c>
      <c r="W907" s="46" t="str">
        <f t="shared" si="402"/>
        <v/>
      </c>
      <c r="X907" s="46" t="str">
        <f t="shared" si="402"/>
        <v/>
      </c>
    </row>
    <row r="908" spans="2:26" x14ac:dyDescent="0.25">
      <c r="B908" s="11" t="str">
        <f>CONCATENATE("CRTH","-",LEFT(P908,2),UPPER(MID(P908,4,3)),RIGHT(P908,4))</f>
        <v>CRTH-12JAN1907</v>
      </c>
      <c r="C908" s="11" t="s">
        <v>2918</v>
      </c>
      <c r="D908" s="11" t="s">
        <v>2097</v>
      </c>
      <c r="F908" s="11" t="s">
        <v>4880</v>
      </c>
      <c r="G908" s="39" t="s">
        <v>2660</v>
      </c>
      <c r="J908" s="17">
        <v>15</v>
      </c>
      <c r="K908" s="17"/>
      <c r="L908" s="7">
        <f>SUM(H908:K908)</f>
        <v>15</v>
      </c>
      <c r="M908" s="8">
        <v>1</v>
      </c>
      <c r="N908" s="8">
        <f>IF(L908&gt;0,1,"")</f>
        <v>1</v>
      </c>
      <c r="O908" s="11" t="s">
        <v>1702</v>
      </c>
      <c r="P908" s="16" t="str">
        <f>IF(LEN(G908)=10,CONCATENATE("0",G908),G908)</f>
        <v>12-Jan-1907</v>
      </c>
      <c r="R908" s="16" t="str">
        <f t="shared" si="401"/>
        <v>x</v>
      </c>
      <c r="S908" s="16" t="str">
        <f t="shared" si="401"/>
        <v>x</v>
      </c>
      <c r="U908" s="46" t="str">
        <f t="shared" si="402"/>
        <v/>
      </c>
      <c r="V908" s="46">
        <f t="shared" si="402"/>
        <v>15</v>
      </c>
      <c r="W908" s="46" t="str">
        <f t="shared" si="402"/>
        <v/>
      </c>
      <c r="X908" s="46" t="str">
        <f t="shared" si="402"/>
        <v/>
      </c>
    </row>
    <row r="909" spans="2:26" x14ac:dyDescent="0.25">
      <c r="B909" s="11" t="str">
        <f t="shared" si="397"/>
        <v>CRTH-04JUL1907</v>
      </c>
      <c r="C909" s="11" t="s">
        <v>2918</v>
      </c>
      <c r="D909" s="11" t="s">
        <v>2097</v>
      </c>
      <c r="E909" s="39" t="s">
        <v>2726</v>
      </c>
      <c r="F909" s="11" t="s">
        <v>2904</v>
      </c>
      <c r="G909" s="39" t="s">
        <v>2929</v>
      </c>
      <c r="H909" s="7">
        <v>0</v>
      </c>
      <c r="I909" s="7">
        <v>0</v>
      </c>
      <c r="J909" s="17">
        <f>22+36</f>
        <v>58</v>
      </c>
      <c r="K909" s="17"/>
      <c r="L909" s="7">
        <f t="shared" si="398"/>
        <v>58</v>
      </c>
      <c r="M909" s="8">
        <v>1</v>
      </c>
      <c r="N909" s="8">
        <f t="shared" si="399"/>
        <v>1</v>
      </c>
      <c r="O909" s="11" t="s">
        <v>1702</v>
      </c>
      <c r="P909" s="16" t="str">
        <f t="shared" si="400"/>
        <v>04-Jul-1907</v>
      </c>
      <c r="R909" s="16" t="str">
        <f t="shared" ref="R909:S912" si="403">IF($L909&gt;0,"x","")</f>
        <v>x</v>
      </c>
      <c r="S909" s="16" t="str">
        <f t="shared" si="403"/>
        <v>x</v>
      </c>
      <c r="U909" s="46" t="str">
        <f t="shared" si="402"/>
        <v/>
      </c>
      <c r="V909" s="46">
        <f t="shared" si="402"/>
        <v>58</v>
      </c>
      <c r="W909" s="46" t="str">
        <f t="shared" si="402"/>
        <v/>
      </c>
      <c r="X909" s="46" t="str">
        <f t="shared" si="402"/>
        <v/>
      </c>
    </row>
    <row r="910" spans="2:26" x14ac:dyDescent="0.25">
      <c r="B910" s="11" t="str">
        <f t="shared" si="397"/>
        <v>CRTH-15AUG1907</v>
      </c>
      <c r="C910" s="11" t="s">
        <v>2918</v>
      </c>
      <c r="D910" s="11" t="s">
        <v>2097</v>
      </c>
      <c r="E910" s="39" t="s">
        <v>833</v>
      </c>
      <c r="F910" s="11" t="s">
        <v>2904</v>
      </c>
      <c r="G910" s="39" t="s">
        <v>2919</v>
      </c>
      <c r="H910" s="7">
        <v>0</v>
      </c>
      <c r="I910" s="7">
        <v>0</v>
      </c>
      <c r="J910" s="17">
        <v>13</v>
      </c>
      <c r="K910" s="17"/>
      <c r="L910" s="7">
        <f t="shared" si="398"/>
        <v>13</v>
      </c>
      <c r="M910" s="8">
        <v>1</v>
      </c>
      <c r="N910" s="8">
        <f t="shared" si="399"/>
        <v>1</v>
      </c>
      <c r="O910" s="11" t="s">
        <v>1702</v>
      </c>
      <c r="P910" s="16" t="str">
        <f t="shared" si="400"/>
        <v>15-Aug-1907</v>
      </c>
      <c r="R910" s="16" t="str">
        <f t="shared" si="403"/>
        <v>x</v>
      </c>
      <c r="S910" s="16" t="str">
        <f t="shared" si="403"/>
        <v>x</v>
      </c>
      <c r="U910" s="46" t="str">
        <f t="shared" ref="U910:X914" si="404">IF($O910=U$5,$L910,"")</f>
        <v/>
      </c>
      <c r="V910" s="46">
        <f t="shared" si="404"/>
        <v>13</v>
      </c>
      <c r="W910" s="46" t="str">
        <f t="shared" si="404"/>
        <v/>
      </c>
      <c r="X910" s="46" t="str">
        <f t="shared" si="404"/>
        <v/>
      </c>
    </row>
    <row r="911" spans="2:26" x14ac:dyDescent="0.25">
      <c r="B911" s="11" t="str">
        <f t="shared" si="397"/>
        <v>CRTH-26SEP1907</v>
      </c>
      <c r="C911" s="11" t="s">
        <v>2918</v>
      </c>
      <c r="D911" s="11" t="s">
        <v>2097</v>
      </c>
      <c r="E911" s="39" t="s">
        <v>834</v>
      </c>
      <c r="F911" s="11" t="s">
        <v>2904</v>
      </c>
      <c r="G911" s="39" t="s">
        <v>4059</v>
      </c>
      <c r="H911" s="7">
        <v>0</v>
      </c>
      <c r="I911" s="7">
        <v>5</v>
      </c>
      <c r="J911" s="17">
        <v>38</v>
      </c>
      <c r="K911" s="17"/>
      <c r="L911" s="7">
        <f t="shared" si="398"/>
        <v>43</v>
      </c>
      <c r="M911" s="8">
        <v>1</v>
      </c>
      <c r="N911" s="8">
        <f t="shared" si="399"/>
        <v>1</v>
      </c>
      <c r="O911" s="11" t="s">
        <v>1702</v>
      </c>
      <c r="P911" s="16" t="str">
        <f t="shared" si="400"/>
        <v>26-Sep-1907</v>
      </c>
      <c r="R911" s="16" t="str">
        <f t="shared" si="403"/>
        <v>x</v>
      </c>
      <c r="S911" s="16" t="str">
        <f t="shared" si="403"/>
        <v>x</v>
      </c>
      <c r="U911" s="46" t="str">
        <f t="shared" si="404"/>
        <v/>
      </c>
      <c r="V911" s="46">
        <f t="shared" si="404"/>
        <v>43</v>
      </c>
      <c r="W911" s="46" t="str">
        <f t="shared" si="404"/>
        <v/>
      </c>
      <c r="X911" s="46" t="str">
        <f t="shared" si="404"/>
        <v/>
      </c>
    </row>
    <row r="912" spans="2:26" x14ac:dyDescent="0.25">
      <c r="B912" s="11" t="str">
        <f t="shared" si="397"/>
        <v>CRTH-10NOV1907</v>
      </c>
      <c r="C912" s="11" t="s">
        <v>2918</v>
      </c>
      <c r="D912" s="11" t="s">
        <v>2097</v>
      </c>
      <c r="E912" s="39" t="s">
        <v>3326</v>
      </c>
      <c r="F912" s="11" t="s">
        <v>2904</v>
      </c>
      <c r="G912" s="39" t="s">
        <v>1810</v>
      </c>
      <c r="H912" s="7">
        <v>5</v>
      </c>
      <c r="I912" s="7">
        <v>3</v>
      </c>
      <c r="J912" s="17">
        <v>52</v>
      </c>
      <c r="K912" s="17"/>
      <c r="L912" s="7">
        <f t="shared" si="398"/>
        <v>60</v>
      </c>
      <c r="M912" s="8">
        <v>1</v>
      </c>
      <c r="N912" s="8">
        <f t="shared" si="399"/>
        <v>1</v>
      </c>
      <c r="O912" s="11" t="s">
        <v>1702</v>
      </c>
      <c r="P912" s="16" t="str">
        <f t="shared" si="400"/>
        <v>10-Nov-1907</v>
      </c>
      <c r="R912" s="16" t="str">
        <f t="shared" si="403"/>
        <v>x</v>
      </c>
      <c r="S912" s="16" t="str">
        <f t="shared" si="403"/>
        <v>x</v>
      </c>
      <c r="U912" s="46" t="str">
        <f t="shared" si="404"/>
        <v/>
      </c>
      <c r="V912" s="46">
        <f t="shared" si="404"/>
        <v>60</v>
      </c>
      <c r="W912" s="46" t="str">
        <f t="shared" si="404"/>
        <v/>
      </c>
      <c r="X912" s="46" t="str">
        <f t="shared" si="404"/>
        <v/>
      </c>
    </row>
    <row r="913" spans="2:26" x14ac:dyDescent="0.25">
      <c r="N913" s="8" t="str">
        <f>IF(R913="x",1,"")</f>
        <v/>
      </c>
      <c r="U913" s="46" t="str">
        <f t="shared" si="404"/>
        <v/>
      </c>
      <c r="V913" s="46" t="str">
        <f t="shared" si="404"/>
        <v/>
      </c>
      <c r="W913" s="46" t="str">
        <f t="shared" si="404"/>
        <v/>
      </c>
      <c r="X913" s="46" t="str">
        <f t="shared" si="404"/>
        <v/>
      </c>
    </row>
    <row r="914" spans="2:26" x14ac:dyDescent="0.25">
      <c r="B914" s="18"/>
      <c r="C914" s="18"/>
      <c r="D914" s="18"/>
      <c r="E914" s="40"/>
      <c r="F914" s="18"/>
      <c r="G914" s="40"/>
      <c r="H914" s="7">
        <f t="shared" ref="H914:N914" si="405">SUM(H906:H913)</f>
        <v>5</v>
      </c>
      <c r="I914" s="7">
        <f t="shared" si="405"/>
        <v>8</v>
      </c>
      <c r="J914" s="7">
        <f>SUM(J906:J913)</f>
        <v>205</v>
      </c>
      <c r="K914" s="7">
        <f t="shared" si="405"/>
        <v>0</v>
      </c>
      <c r="L914" s="7">
        <f t="shared" si="405"/>
        <v>218</v>
      </c>
      <c r="M914" s="7">
        <f t="shared" si="405"/>
        <v>7</v>
      </c>
      <c r="N914" s="7">
        <f t="shared" si="405"/>
        <v>7</v>
      </c>
      <c r="O914" s="18"/>
      <c r="P914" s="13"/>
      <c r="Q914" s="13"/>
      <c r="S914" s="13"/>
      <c r="T914" s="15"/>
      <c r="U914" s="46" t="str">
        <f t="shared" si="404"/>
        <v/>
      </c>
      <c r="V914" s="46" t="str">
        <f t="shared" si="404"/>
        <v/>
      </c>
      <c r="W914" s="46" t="str">
        <f t="shared" si="404"/>
        <v/>
      </c>
      <c r="X914" s="46" t="str">
        <f t="shared" si="404"/>
        <v/>
      </c>
    </row>
    <row r="915" spans="2:26" s="18" customFormat="1" x14ac:dyDescent="0.25">
      <c r="E915" s="40"/>
      <c r="G915" s="40"/>
      <c r="H915" s="7"/>
      <c r="I915" s="7"/>
      <c r="J915" s="7"/>
      <c r="K915" s="7"/>
      <c r="L915" s="7"/>
      <c r="M915" s="8"/>
      <c r="N915" s="8" t="str">
        <f>IF(R915="x",1,"")</f>
        <v/>
      </c>
      <c r="P915" s="13"/>
      <c r="Q915" s="13"/>
      <c r="R915" s="13"/>
      <c r="S915" s="13"/>
      <c r="T915" s="15"/>
      <c r="U915" s="46" t="str">
        <f t="shared" ref="U915:X919" si="406">IF($O915=U$5,$L915,"")</f>
        <v/>
      </c>
      <c r="V915" s="46" t="str">
        <f t="shared" si="406"/>
        <v/>
      </c>
      <c r="W915" s="46" t="str">
        <f t="shared" si="406"/>
        <v/>
      </c>
      <c r="X915" s="46" t="str">
        <f t="shared" si="406"/>
        <v/>
      </c>
      <c r="Z915" s="11"/>
    </row>
    <row r="916" spans="2:26" s="18" customFormat="1" x14ac:dyDescent="0.25">
      <c r="E916" s="40"/>
      <c r="G916" s="40"/>
      <c r="H916" s="7"/>
      <c r="I916" s="7"/>
      <c r="J916" s="7"/>
      <c r="K916" s="7"/>
      <c r="L916" s="7"/>
      <c r="M916" s="8"/>
      <c r="N916" s="8" t="str">
        <f>IF(R916="x",1,"")</f>
        <v/>
      </c>
      <c r="P916" s="13"/>
      <c r="Q916" s="13"/>
      <c r="R916" s="13"/>
      <c r="S916" s="13"/>
      <c r="T916" s="15"/>
      <c r="U916" s="46" t="str">
        <f t="shared" si="406"/>
        <v/>
      </c>
      <c r="V916" s="46" t="str">
        <f t="shared" si="406"/>
        <v/>
      </c>
      <c r="W916" s="46" t="str">
        <f t="shared" si="406"/>
        <v/>
      </c>
      <c r="X916" s="46" t="str">
        <f t="shared" si="406"/>
        <v/>
      </c>
      <c r="Z916" s="11"/>
    </row>
    <row r="917" spans="2:26" x14ac:dyDescent="0.25">
      <c r="B917" s="11" t="str">
        <f>CONCATENATE("CASP","-",LEFT(P917,2),UPPER(MID(P917,4,3)),RIGHT(P917,4))</f>
        <v>CASP-29AUG1883</v>
      </c>
      <c r="C917" s="11" t="s">
        <v>6085</v>
      </c>
      <c r="D917" s="11" t="s">
        <v>2097</v>
      </c>
      <c r="F917" s="11" t="s">
        <v>3538</v>
      </c>
      <c r="G917" s="39" t="s">
        <v>4123</v>
      </c>
      <c r="H917" s="7">
        <v>0</v>
      </c>
      <c r="I917" s="7">
        <v>0</v>
      </c>
      <c r="J917" s="7">
        <v>16</v>
      </c>
      <c r="L917" s="7">
        <f>SUM(H917:K917)</f>
        <v>16</v>
      </c>
      <c r="M917" s="8">
        <v>1</v>
      </c>
      <c r="N917" s="8">
        <f>IF(L917&gt;0,1,"")</f>
        <v>1</v>
      </c>
      <c r="O917" s="11" t="s">
        <v>1702</v>
      </c>
      <c r="P917" s="16" t="str">
        <f>IF(LEN(G917)=10,CONCATENATE("0",G917),G917)</f>
        <v>29-Aug-1883</v>
      </c>
      <c r="R917" s="16" t="str">
        <f>IF($L917&gt;0,"x","")</f>
        <v>x</v>
      </c>
      <c r="S917" s="16" t="str">
        <f>IF($L917&gt;0,"x","")</f>
        <v>x</v>
      </c>
      <c r="U917" s="46" t="str">
        <f t="shared" si="406"/>
        <v/>
      </c>
      <c r="V917" s="46">
        <f t="shared" si="406"/>
        <v>16</v>
      </c>
      <c r="W917" s="46" t="str">
        <f t="shared" si="406"/>
        <v/>
      </c>
      <c r="X917" s="46" t="str">
        <f t="shared" si="406"/>
        <v/>
      </c>
    </row>
    <row r="918" spans="2:26" x14ac:dyDescent="0.25">
      <c r="N918" s="8" t="str">
        <f>IF(R918="x",1,"")</f>
        <v/>
      </c>
      <c r="U918" s="46" t="str">
        <f t="shared" si="406"/>
        <v/>
      </c>
      <c r="V918" s="46" t="str">
        <f t="shared" si="406"/>
        <v/>
      </c>
      <c r="W918" s="46" t="str">
        <f t="shared" si="406"/>
        <v/>
      </c>
      <c r="X918" s="46" t="str">
        <f t="shared" si="406"/>
        <v/>
      </c>
    </row>
    <row r="919" spans="2:26" s="18" customFormat="1" x14ac:dyDescent="0.25">
      <c r="E919" s="40"/>
      <c r="G919" s="40"/>
      <c r="H919" s="7">
        <f t="shared" ref="H919:N919" si="407">SUM(H917:H918)</f>
        <v>0</v>
      </c>
      <c r="I919" s="7">
        <f t="shared" si="407"/>
        <v>0</v>
      </c>
      <c r="J919" s="7">
        <f>SUM(J917:J918)</f>
        <v>16</v>
      </c>
      <c r="K919" s="7">
        <f t="shared" si="407"/>
        <v>0</v>
      </c>
      <c r="L919" s="7">
        <f t="shared" si="407"/>
        <v>16</v>
      </c>
      <c r="M919" s="7">
        <f t="shared" si="407"/>
        <v>1</v>
      </c>
      <c r="N919" s="7">
        <f t="shared" si="407"/>
        <v>1</v>
      </c>
      <c r="P919" s="13"/>
      <c r="Q919" s="13"/>
      <c r="R919" s="13"/>
      <c r="S919" s="13"/>
      <c r="T919" s="15"/>
      <c r="U919" s="46" t="str">
        <f t="shared" si="406"/>
        <v/>
      </c>
      <c r="V919" s="46" t="str">
        <f t="shared" si="406"/>
        <v/>
      </c>
      <c r="W919" s="46" t="str">
        <f t="shared" si="406"/>
        <v/>
      </c>
      <c r="X919" s="46" t="str">
        <f t="shared" si="406"/>
        <v/>
      </c>
      <c r="Z919" s="11"/>
    </row>
    <row r="920" spans="2:26" s="18" customFormat="1" x14ac:dyDescent="0.25">
      <c r="E920" s="40"/>
      <c r="G920" s="40"/>
      <c r="H920" s="7"/>
      <c r="I920" s="7"/>
      <c r="J920" s="7"/>
      <c r="K920" s="7"/>
      <c r="L920" s="7"/>
      <c r="M920" s="8"/>
      <c r="N920" s="8" t="str">
        <f>IF(R920="x",1,"")</f>
        <v/>
      </c>
      <c r="P920" s="13"/>
      <c r="Q920" s="13"/>
      <c r="R920" s="13"/>
      <c r="S920" s="13"/>
      <c r="T920" s="15"/>
      <c r="U920" s="46" t="str">
        <f t="shared" ref="U920:X924" si="408">IF($O920=U$5,$L920,"")</f>
        <v/>
      </c>
      <c r="V920" s="46" t="str">
        <f t="shared" si="408"/>
        <v/>
      </c>
      <c r="W920" s="46" t="str">
        <f t="shared" si="408"/>
        <v/>
      </c>
      <c r="X920" s="46" t="str">
        <f t="shared" si="408"/>
        <v/>
      </c>
      <c r="Z920" s="11"/>
    </row>
    <row r="921" spans="2:26" s="18" customFormat="1" x14ac:dyDescent="0.25">
      <c r="E921" s="40"/>
      <c r="G921" s="40"/>
      <c r="H921" s="7"/>
      <c r="I921" s="7"/>
      <c r="J921" s="7"/>
      <c r="K921" s="7"/>
      <c r="L921" s="7"/>
      <c r="M921" s="8"/>
      <c r="N921" s="8" t="str">
        <f>IF(R921="x",1,"")</f>
        <v/>
      </c>
      <c r="P921" s="13"/>
      <c r="Q921" s="13"/>
      <c r="R921" s="13"/>
      <c r="S921" s="13"/>
      <c r="T921" s="15"/>
      <c r="U921" s="46" t="str">
        <f t="shared" si="408"/>
        <v/>
      </c>
      <c r="V921" s="46" t="str">
        <f t="shared" si="408"/>
        <v/>
      </c>
      <c r="W921" s="46" t="str">
        <f t="shared" si="408"/>
        <v/>
      </c>
      <c r="X921" s="46" t="str">
        <f t="shared" si="408"/>
        <v/>
      </c>
      <c r="Z921" s="11"/>
    </row>
    <row r="922" spans="2:26" x14ac:dyDescent="0.25">
      <c r="B922" s="11" t="str">
        <f>CONCATENATE("CASL","-",LEFT(P922,2),UPPER(MID(P922,4,3)),RIGHT(P922,4))</f>
        <v>CASL-24JUN1906</v>
      </c>
      <c r="C922" s="11" t="s">
        <v>6034</v>
      </c>
      <c r="D922" s="11" t="s">
        <v>3359</v>
      </c>
      <c r="E922" s="39" t="s">
        <v>5161</v>
      </c>
      <c r="F922" s="11" t="s">
        <v>4064</v>
      </c>
      <c r="G922" s="39" t="s">
        <v>6035</v>
      </c>
      <c r="I922" s="7">
        <v>0</v>
      </c>
      <c r="J922" s="7">
        <v>11</v>
      </c>
      <c r="L922" s="7">
        <f>SUM(H922:K922)</f>
        <v>11</v>
      </c>
      <c r="M922" s="8">
        <v>1</v>
      </c>
      <c r="N922" s="8">
        <f>IF(L922&gt;0,1,"")</f>
        <v>1</v>
      </c>
      <c r="O922" s="11" t="s">
        <v>1702</v>
      </c>
      <c r="P922" s="16" t="str">
        <f>IF(LEN(G922)=10,CONCATENATE("0",G922),G922)</f>
        <v>24-Jun-1906</v>
      </c>
      <c r="R922" s="16" t="str">
        <f t="shared" ref="R922:S924" si="409">IF($L922&gt;0,"x","")</f>
        <v>x</v>
      </c>
      <c r="S922" s="16" t="str">
        <f t="shared" si="409"/>
        <v>x</v>
      </c>
      <c r="U922" s="46" t="str">
        <f t="shared" si="408"/>
        <v/>
      </c>
      <c r="V922" s="46">
        <f t="shared" si="408"/>
        <v>11</v>
      </c>
      <c r="W922" s="46" t="str">
        <f t="shared" si="408"/>
        <v/>
      </c>
      <c r="X922" s="46" t="str">
        <f t="shared" si="408"/>
        <v/>
      </c>
    </row>
    <row r="923" spans="2:26" x14ac:dyDescent="0.25">
      <c r="B923" s="11" t="str">
        <f>CONCATENATE("CASL","-",LEFT(P923,2),UPPER(MID(P923,4,3)),RIGHT(P923,4))</f>
        <v>CASL-09DEC1910</v>
      </c>
      <c r="C923" s="11" t="s">
        <v>6034</v>
      </c>
      <c r="D923" s="11" t="s">
        <v>3359</v>
      </c>
      <c r="E923" s="39" t="s">
        <v>3916</v>
      </c>
      <c r="F923" s="11" t="s">
        <v>4064</v>
      </c>
      <c r="G923" s="39" t="s">
        <v>5423</v>
      </c>
      <c r="I923" s="7">
        <v>0</v>
      </c>
      <c r="J923" s="7">
        <v>43</v>
      </c>
      <c r="L923" s="7">
        <f>SUM(H923:K923)</f>
        <v>43</v>
      </c>
      <c r="M923" s="8">
        <v>1</v>
      </c>
      <c r="N923" s="8">
        <f>IF(L923&gt;0,1,"")</f>
        <v>1</v>
      </c>
      <c r="O923" s="11" t="s">
        <v>1702</v>
      </c>
      <c r="P923" s="16" t="str">
        <f>IF(LEN(G923)=10,CONCATENATE("0",G923),G923)</f>
        <v>09-Dec-1910</v>
      </c>
      <c r="R923" s="16" t="str">
        <f t="shared" si="409"/>
        <v>x</v>
      </c>
      <c r="S923" s="16" t="str">
        <f t="shared" si="409"/>
        <v>x</v>
      </c>
      <c r="U923" s="46" t="str">
        <f t="shared" si="408"/>
        <v/>
      </c>
      <c r="V923" s="46">
        <f t="shared" si="408"/>
        <v>43</v>
      </c>
      <c r="W923" s="46" t="str">
        <f t="shared" si="408"/>
        <v/>
      </c>
      <c r="X923" s="46" t="str">
        <f t="shared" si="408"/>
        <v/>
      </c>
    </row>
    <row r="924" spans="2:26" x14ac:dyDescent="0.25">
      <c r="B924" s="11" t="str">
        <f>CONCATENATE("CASL","-",LEFT(P924,2),UPPER(MID(P924,4,3)),RIGHT(P924,4))</f>
        <v>CASL-07JUL1913</v>
      </c>
      <c r="C924" s="11" t="s">
        <v>6034</v>
      </c>
      <c r="D924" s="11" t="s">
        <v>3359</v>
      </c>
      <c r="E924" s="39" t="s">
        <v>3140</v>
      </c>
      <c r="F924" s="11" t="s">
        <v>4064</v>
      </c>
      <c r="G924" s="39" t="s">
        <v>3257</v>
      </c>
      <c r="I924" s="7">
        <v>0</v>
      </c>
      <c r="J924" s="7">
        <v>0</v>
      </c>
      <c r="L924" s="7">
        <f>SUM(H924:K924)</f>
        <v>0</v>
      </c>
      <c r="M924" s="8">
        <v>1</v>
      </c>
      <c r="N924" s="8" t="str">
        <f>IF(L924&gt;0,1,"")</f>
        <v/>
      </c>
      <c r="O924" s="11" t="s">
        <v>1702</v>
      </c>
      <c r="P924" s="16" t="str">
        <f>IF(LEN(G924)=10,CONCATENATE("0",G924),G924)</f>
        <v>07-Jul-1913</v>
      </c>
      <c r="R924" s="16" t="str">
        <f t="shared" si="409"/>
        <v/>
      </c>
      <c r="S924" s="16" t="str">
        <f t="shared" si="409"/>
        <v/>
      </c>
      <c r="U924" s="46" t="str">
        <f t="shared" si="408"/>
        <v/>
      </c>
      <c r="V924" s="46">
        <f t="shared" si="408"/>
        <v>0</v>
      </c>
      <c r="W924" s="46" t="str">
        <f t="shared" si="408"/>
        <v/>
      </c>
      <c r="X924" s="46" t="str">
        <f t="shared" si="408"/>
        <v/>
      </c>
    </row>
    <row r="925" spans="2:26" x14ac:dyDescent="0.25">
      <c r="N925" s="8" t="str">
        <f>IF(R925="x",1,"")</f>
        <v/>
      </c>
      <c r="U925" s="46" t="str">
        <f t="shared" ref="U925:X926" si="410">IF($O925=U$5,$L925,"")</f>
        <v/>
      </c>
      <c r="V925" s="46" t="str">
        <f t="shared" si="410"/>
        <v/>
      </c>
      <c r="W925" s="46" t="str">
        <f t="shared" si="410"/>
        <v/>
      </c>
      <c r="X925" s="46" t="str">
        <f t="shared" si="410"/>
        <v/>
      </c>
    </row>
    <row r="926" spans="2:26" s="18" customFormat="1" x14ac:dyDescent="0.25">
      <c r="E926" s="40"/>
      <c r="G926" s="40"/>
      <c r="H926" s="7">
        <f t="shared" ref="H926:N926" si="411">SUM(H922:H925)</f>
        <v>0</v>
      </c>
      <c r="I926" s="7">
        <f t="shared" si="411"/>
        <v>0</v>
      </c>
      <c r="J926" s="7">
        <f>SUM(J922:J925)</f>
        <v>54</v>
      </c>
      <c r="K926" s="7">
        <f t="shared" si="411"/>
        <v>0</v>
      </c>
      <c r="L926" s="7">
        <f t="shared" si="411"/>
        <v>54</v>
      </c>
      <c r="M926" s="7">
        <f t="shared" si="411"/>
        <v>3</v>
      </c>
      <c r="N926" s="7">
        <f t="shared" si="411"/>
        <v>2</v>
      </c>
      <c r="P926" s="13"/>
      <c r="Q926" s="13"/>
      <c r="R926" s="13"/>
      <c r="S926" s="13"/>
      <c r="T926" s="15"/>
      <c r="U926" s="46" t="str">
        <f t="shared" si="410"/>
        <v/>
      </c>
      <c r="V926" s="46" t="str">
        <f t="shared" si="410"/>
        <v/>
      </c>
      <c r="W926" s="46" t="str">
        <f t="shared" si="410"/>
        <v/>
      </c>
      <c r="X926" s="46" t="str">
        <f t="shared" si="410"/>
        <v/>
      </c>
      <c r="Z926" s="11"/>
    </row>
    <row r="927" spans="2:26" s="18" customFormat="1" x14ac:dyDescent="0.25">
      <c r="E927" s="40"/>
      <c r="G927" s="40"/>
      <c r="H927" s="7"/>
      <c r="I927" s="7"/>
      <c r="J927" s="7"/>
      <c r="K927" s="7"/>
      <c r="L927" s="7"/>
      <c r="M927" s="8"/>
      <c r="N927" s="8" t="str">
        <f>IF(R927="x",1,"")</f>
        <v/>
      </c>
      <c r="P927" s="13"/>
      <c r="Q927" s="13"/>
      <c r="R927" s="13"/>
      <c r="S927" s="13"/>
      <c r="T927" s="15"/>
      <c r="U927" s="46" t="str">
        <f t="shared" ref="U927:X931" si="412">IF($O927=U$5,$L927,"")</f>
        <v/>
      </c>
      <c r="V927" s="46" t="str">
        <f t="shared" si="412"/>
        <v/>
      </c>
      <c r="W927" s="46" t="str">
        <f t="shared" si="412"/>
        <v/>
      </c>
      <c r="X927" s="46" t="str">
        <f t="shared" si="412"/>
        <v/>
      </c>
      <c r="Z927" s="11"/>
    </row>
    <row r="928" spans="2:26" s="18" customFormat="1" x14ac:dyDescent="0.25">
      <c r="E928" s="40"/>
      <c r="G928" s="40"/>
      <c r="H928" s="7"/>
      <c r="I928" s="7"/>
      <c r="J928" s="7"/>
      <c r="K928" s="7"/>
      <c r="L928" s="7"/>
      <c r="M928" s="8"/>
      <c r="N928" s="8" t="str">
        <f>IF(R928="x",1,"")</f>
        <v/>
      </c>
      <c r="P928" s="13"/>
      <c r="Q928" s="13"/>
      <c r="R928" s="13"/>
      <c r="S928" s="13"/>
      <c r="T928" s="15"/>
      <c r="U928" s="46" t="str">
        <f t="shared" si="412"/>
        <v/>
      </c>
      <c r="V928" s="46" t="str">
        <f t="shared" si="412"/>
        <v/>
      </c>
      <c r="W928" s="46" t="str">
        <f t="shared" si="412"/>
        <v/>
      </c>
      <c r="X928" s="46" t="str">
        <f t="shared" si="412"/>
        <v/>
      </c>
      <c r="Z928" s="11"/>
    </row>
    <row r="929" spans="2:26" x14ac:dyDescent="0.25">
      <c r="B929" s="11" t="str">
        <f>CONCATENATE("CASS","-",LEFT(P929,2),UPPER(MID(P929,4,3)),RIGHT(P929,4))</f>
        <v>CASS-24AUG1882</v>
      </c>
      <c r="C929" s="11" t="s">
        <v>5579</v>
      </c>
      <c r="D929" s="11" t="s">
        <v>3342</v>
      </c>
      <c r="F929" s="11" t="s">
        <v>3538</v>
      </c>
      <c r="G929" s="39" t="s">
        <v>5580</v>
      </c>
      <c r="J929" s="7">
        <v>6</v>
      </c>
      <c r="L929" s="7">
        <f>SUM(H929:K929)</f>
        <v>6</v>
      </c>
      <c r="M929" s="8">
        <v>1</v>
      </c>
      <c r="N929" s="8">
        <f>IF(L929&gt;0,1,"")</f>
        <v>1</v>
      </c>
      <c r="O929" s="11" t="s">
        <v>1702</v>
      </c>
      <c r="P929" s="16" t="str">
        <f>IF(LEN(G929)=10,CONCATENATE("0",G929),G929)</f>
        <v>24-Aug-1882</v>
      </c>
      <c r="R929" s="16" t="str">
        <f>IF($L929&gt;0,"x","")</f>
        <v>x</v>
      </c>
      <c r="S929" s="16" t="str">
        <f>IF($L929&gt;0,"x","")</f>
        <v>x</v>
      </c>
      <c r="U929" s="46" t="str">
        <f t="shared" si="412"/>
        <v/>
      </c>
      <c r="V929" s="46">
        <f t="shared" si="412"/>
        <v>6</v>
      </c>
      <c r="W929" s="46" t="str">
        <f t="shared" si="412"/>
        <v/>
      </c>
      <c r="X929" s="46" t="str">
        <f t="shared" si="412"/>
        <v/>
      </c>
    </row>
    <row r="930" spans="2:26" x14ac:dyDescent="0.25">
      <c r="N930" s="8" t="str">
        <f>IF(R930="x",1,"")</f>
        <v/>
      </c>
      <c r="U930" s="46" t="str">
        <f t="shared" si="412"/>
        <v/>
      </c>
      <c r="V930" s="46" t="str">
        <f t="shared" si="412"/>
        <v/>
      </c>
      <c r="W930" s="46" t="str">
        <f t="shared" si="412"/>
        <v/>
      </c>
      <c r="X930" s="46" t="str">
        <f t="shared" si="412"/>
        <v/>
      </c>
    </row>
    <row r="931" spans="2:26" s="18" customFormat="1" x14ac:dyDescent="0.25">
      <c r="E931" s="40"/>
      <c r="G931" s="40"/>
      <c r="H931" s="7">
        <f t="shared" ref="H931:N931" si="413">SUM(H929:H930)</f>
        <v>0</v>
      </c>
      <c r="I931" s="7">
        <f t="shared" si="413"/>
        <v>0</v>
      </c>
      <c r="J931" s="7">
        <f>SUM(J929:J930)</f>
        <v>6</v>
      </c>
      <c r="K931" s="7">
        <f t="shared" si="413"/>
        <v>0</v>
      </c>
      <c r="L931" s="7">
        <f t="shared" si="413"/>
        <v>6</v>
      </c>
      <c r="M931" s="7">
        <f t="shared" si="413"/>
        <v>1</v>
      </c>
      <c r="N931" s="7">
        <f t="shared" si="413"/>
        <v>1</v>
      </c>
      <c r="P931" s="13"/>
      <c r="Q931" s="13"/>
      <c r="R931" s="13"/>
      <c r="S931" s="13"/>
      <c r="T931" s="15"/>
      <c r="U931" s="46" t="str">
        <f t="shared" si="412"/>
        <v/>
      </c>
      <c r="V931" s="46" t="str">
        <f t="shared" si="412"/>
        <v/>
      </c>
      <c r="W931" s="46" t="str">
        <f t="shared" si="412"/>
        <v/>
      </c>
      <c r="X931" s="46" t="str">
        <f t="shared" si="412"/>
        <v/>
      </c>
      <c r="Z931" s="11"/>
    </row>
    <row r="932" spans="2:26" s="18" customFormat="1" x14ac:dyDescent="0.25">
      <c r="E932" s="40"/>
      <c r="G932" s="40"/>
      <c r="H932" s="7"/>
      <c r="I932" s="7"/>
      <c r="J932" s="7"/>
      <c r="K932" s="7"/>
      <c r="L932" s="7"/>
      <c r="M932" s="8"/>
      <c r="N932" s="8" t="str">
        <f>IF(R932="x",1,"")</f>
        <v/>
      </c>
      <c r="P932" s="13"/>
      <c r="Q932" s="13"/>
      <c r="R932" s="13"/>
      <c r="S932" s="13"/>
      <c r="T932" s="15"/>
      <c r="U932" s="46" t="str">
        <f t="shared" ref="U932:X952" si="414">IF($O932=U$5,$L932,"")</f>
        <v/>
      </c>
      <c r="V932" s="46" t="str">
        <f t="shared" si="414"/>
        <v/>
      </c>
      <c r="W932" s="46" t="str">
        <f t="shared" si="414"/>
        <v/>
      </c>
      <c r="X932" s="46" t="str">
        <f t="shared" si="414"/>
        <v/>
      </c>
      <c r="Z932" s="11"/>
    </row>
    <row r="933" spans="2:26" s="18" customFormat="1" x14ac:dyDescent="0.25">
      <c r="E933" s="40"/>
      <c r="G933" s="40"/>
      <c r="H933" s="7"/>
      <c r="I933" s="7"/>
      <c r="J933" s="7"/>
      <c r="K933" s="7"/>
      <c r="L933" s="7"/>
      <c r="M933" s="8"/>
      <c r="N933" s="8" t="str">
        <f>IF(R933="x",1,"")</f>
        <v/>
      </c>
      <c r="P933" s="13"/>
      <c r="Q933" s="13"/>
      <c r="R933" s="13"/>
      <c r="S933" s="13"/>
      <c r="T933" s="15"/>
      <c r="U933" s="46" t="str">
        <f t="shared" si="414"/>
        <v/>
      </c>
      <c r="V933" s="46" t="str">
        <f t="shared" si="414"/>
        <v/>
      </c>
      <c r="W933" s="46" t="str">
        <f t="shared" si="414"/>
        <v/>
      </c>
      <c r="X933" s="46" t="str">
        <f t="shared" si="414"/>
        <v/>
      </c>
      <c r="Z933" s="11"/>
    </row>
    <row r="934" spans="2:26" x14ac:dyDescent="0.25">
      <c r="B934" s="11" t="str">
        <f>CONCATENATE("CATA","-",LEFT(P934,2),UPPER(MID(P934,4,3)),RIGHT(P934,4))</f>
        <v>CATA-30JUN1890</v>
      </c>
      <c r="C934" s="11" t="s">
        <v>4893</v>
      </c>
      <c r="D934" s="11" t="s">
        <v>2097</v>
      </c>
      <c r="F934" s="11" t="s">
        <v>3050</v>
      </c>
      <c r="G934" s="39" t="s">
        <v>3584</v>
      </c>
      <c r="H934" s="7">
        <v>0</v>
      </c>
      <c r="I934" s="7">
        <v>0</v>
      </c>
      <c r="J934" s="7">
        <v>9</v>
      </c>
      <c r="L934" s="7">
        <f>SUM(H934:K934)</f>
        <v>9</v>
      </c>
      <c r="M934" s="8">
        <v>1</v>
      </c>
      <c r="N934" s="8">
        <f>IF(L934&gt;0,1,"")</f>
        <v>1</v>
      </c>
      <c r="O934" s="11" t="s">
        <v>1702</v>
      </c>
      <c r="P934" s="16" t="str">
        <f>IF(LEN(G934)=10,CONCATENATE("0",G934),G934)</f>
        <v>30-Jun-1890</v>
      </c>
      <c r="R934" s="16" t="str">
        <f>IF($L934&gt;0,"x","")</f>
        <v>x</v>
      </c>
      <c r="S934" s="16" t="str">
        <f>IF($L934&gt;0,"x","")</f>
        <v>x</v>
      </c>
      <c r="U934" s="46" t="str">
        <f t="shared" si="414"/>
        <v/>
      </c>
      <c r="V934" s="46">
        <f t="shared" si="414"/>
        <v>9</v>
      </c>
      <c r="W934" s="46" t="str">
        <f t="shared" si="414"/>
        <v/>
      </c>
      <c r="X934" s="46" t="str">
        <f t="shared" si="414"/>
        <v/>
      </c>
    </row>
    <row r="935" spans="2:26" x14ac:dyDescent="0.25">
      <c r="B935" s="11" t="str">
        <f>CONCATENATE("CATA","-",LEFT(P935,2),UPPER(MID(P935,4,3)),RIGHT(P935,4))</f>
        <v>CATA-08NOV1896</v>
      </c>
      <c r="C935" s="11" t="s">
        <v>4893</v>
      </c>
      <c r="D935" s="11" t="s">
        <v>2097</v>
      </c>
      <c r="E935" s="39" t="s">
        <v>4894</v>
      </c>
      <c r="F935" s="11" t="s">
        <v>3050</v>
      </c>
      <c r="G935" s="39" t="s">
        <v>4895</v>
      </c>
      <c r="J935" s="7">
        <v>11</v>
      </c>
      <c r="L935" s="7">
        <f>SUM(H935:K935)</f>
        <v>11</v>
      </c>
      <c r="M935" s="8">
        <v>1</v>
      </c>
      <c r="N935" s="8">
        <f>IF(L935&gt;0,1,"")</f>
        <v>1</v>
      </c>
      <c r="O935" s="11" t="s">
        <v>1702</v>
      </c>
      <c r="P935" s="16" t="str">
        <f>IF(LEN(G935)=10,CONCATENATE("0",G935),G935)</f>
        <v>08-Nov-1896</v>
      </c>
      <c r="R935" s="16" t="str">
        <f>IF($L935&gt;0,"x","")</f>
        <v>x</v>
      </c>
      <c r="S935" s="16" t="str">
        <f>IF($L935&gt;0,"x","")</f>
        <v>x</v>
      </c>
      <c r="U935" s="46" t="str">
        <f t="shared" si="414"/>
        <v/>
      </c>
      <c r="V935" s="46">
        <f t="shared" si="414"/>
        <v>11</v>
      </c>
      <c r="W935" s="46" t="str">
        <f t="shared" si="414"/>
        <v/>
      </c>
      <c r="X935" s="46" t="str">
        <f t="shared" si="414"/>
        <v/>
      </c>
    </row>
    <row r="936" spans="2:26" x14ac:dyDescent="0.25">
      <c r="N936" s="8" t="str">
        <f>IF(R936="x",1,"")</f>
        <v/>
      </c>
      <c r="U936" s="46" t="str">
        <f t="shared" si="414"/>
        <v/>
      </c>
      <c r="V936" s="46" t="str">
        <f t="shared" si="414"/>
        <v/>
      </c>
      <c r="W936" s="46" t="str">
        <f t="shared" si="414"/>
        <v/>
      </c>
      <c r="X936" s="46" t="str">
        <f t="shared" si="414"/>
        <v/>
      </c>
    </row>
    <row r="937" spans="2:26" s="18" customFormat="1" x14ac:dyDescent="0.25">
      <c r="E937" s="40"/>
      <c r="G937" s="40"/>
      <c r="H937" s="7">
        <f t="shared" ref="H937:N937" si="415">SUM(H934:H936)</f>
        <v>0</v>
      </c>
      <c r="I937" s="7">
        <f t="shared" si="415"/>
        <v>0</v>
      </c>
      <c r="J937" s="7">
        <f>SUM(J934:J936)</f>
        <v>20</v>
      </c>
      <c r="K937" s="7">
        <f t="shared" si="415"/>
        <v>0</v>
      </c>
      <c r="L937" s="7">
        <f t="shared" si="415"/>
        <v>20</v>
      </c>
      <c r="M937" s="7">
        <f t="shared" si="415"/>
        <v>2</v>
      </c>
      <c r="N937" s="7">
        <f t="shared" si="415"/>
        <v>2</v>
      </c>
      <c r="P937" s="13"/>
      <c r="Q937" s="13"/>
      <c r="R937" s="13"/>
      <c r="S937" s="13"/>
      <c r="T937" s="15"/>
      <c r="U937" s="46" t="str">
        <f t="shared" si="414"/>
        <v/>
      </c>
      <c r="V937" s="46" t="str">
        <f t="shared" si="414"/>
        <v/>
      </c>
      <c r="W937" s="46" t="str">
        <f t="shared" si="414"/>
        <v/>
      </c>
      <c r="X937" s="46" t="str">
        <f t="shared" si="414"/>
        <v/>
      </c>
      <c r="Z937" s="11"/>
    </row>
    <row r="938" spans="2:26" s="18" customFormat="1" x14ac:dyDescent="0.25">
      <c r="E938" s="40"/>
      <c r="G938" s="40"/>
      <c r="H938" s="7"/>
      <c r="I938" s="7"/>
      <c r="J938" s="7"/>
      <c r="K938" s="7"/>
      <c r="L938" s="7"/>
      <c r="M938" s="8"/>
      <c r="N938" s="8" t="str">
        <f>IF(R938="x",1,"")</f>
        <v/>
      </c>
      <c r="P938" s="13"/>
      <c r="Q938" s="13"/>
      <c r="R938" s="13"/>
      <c r="S938" s="13"/>
      <c r="T938" s="15"/>
      <c r="U938" s="46" t="str">
        <f t="shared" si="414"/>
        <v/>
      </c>
      <c r="V938" s="46" t="str">
        <f t="shared" si="414"/>
        <v/>
      </c>
      <c r="W938" s="46" t="str">
        <f t="shared" si="414"/>
        <v/>
      </c>
      <c r="X938" s="46" t="str">
        <f t="shared" si="414"/>
        <v/>
      </c>
      <c r="Z938" s="11"/>
    </row>
    <row r="939" spans="2:26" s="18" customFormat="1" x14ac:dyDescent="0.25">
      <c r="E939" s="40"/>
      <c r="G939" s="40"/>
      <c r="H939" s="7"/>
      <c r="I939" s="7"/>
      <c r="J939" s="7"/>
      <c r="K939" s="7"/>
      <c r="L939" s="7"/>
      <c r="M939" s="8"/>
      <c r="N939" s="8" t="str">
        <f>IF(R939="x",1,"")</f>
        <v/>
      </c>
      <c r="P939" s="13"/>
      <c r="Q939" s="13"/>
      <c r="R939" s="13"/>
      <c r="S939" s="13"/>
      <c r="T939" s="15"/>
      <c r="U939" s="46" t="str">
        <f t="shared" si="414"/>
        <v/>
      </c>
      <c r="V939" s="46" t="str">
        <f t="shared" si="414"/>
        <v/>
      </c>
      <c r="W939" s="46" t="str">
        <f t="shared" si="414"/>
        <v/>
      </c>
      <c r="X939" s="46" t="str">
        <f t="shared" si="414"/>
        <v/>
      </c>
      <c r="Z939" s="11"/>
    </row>
    <row r="940" spans="2:26" x14ac:dyDescent="0.25">
      <c r="B940" s="11" t="str">
        <f>CONCATENATE("CTLP","-",LEFT(P940,2),UPPER(MID(P940,4,3)),RIGHT(P940,4))</f>
        <v>CTLP-19DEC1848</v>
      </c>
      <c r="C940" s="11" t="s">
        <v>5267</v>
      </c>
      <c r="D940" s="11" t="s">
        <v>2983</v>
      </c>
      <c r="F940" s="11" t="s">
        <v>3050</v>
      </c>
      <c r="G940" s="39" t="s">
        <v>5268</v>
      </c>
      <c r="J940" s="7">
        <v>2</v>
      </c>
      <c r="L940" s="7">
        <f>SUM(H940:K940)</f>
        <v>2</v>
      </c>
      <c r="M940" s="8">
        <v>1</v>
      </c>
      <c r="N940" s="8">
        <f>IF(L940&gt;0,1,"")</f>
        <v>1</v>
      </c>
      <c r="O940" s="11" t="s">
        <v>1702</v>
      </c>
      <c r="P940" s="16" t="str">
        <f>IF(LEN(G940)=10,CONCATENATE("0",G940),G940)</f>
        <v>19-Dec-1848</v>
      </c>
      <c r="R940" s="16" t="str">
        <f>IF($L940&gt;0,"x","")</f>
        <v>x</v>
      </c>
      <c r="S940" s="16" t="str">
        <f>IF($L940&gt;0,"x","")</f>
        <v>x</v>
      </c>
      <c r="U940" s="46" t="str">
        <f t="shared" si="414"/>
        <v/>
      </c>
      <c r="V940" s="46">
        <f t="shared" si="414"/>
        <v>2</v>
      </c>
      <c r="W940" s="46" t="str">
        <f t="shared" si="414"/>
        <v/>
      </c>
      <c r="X940" s="46" t="str">
        <f t="shared" si="414"/>
        <v/>
      </c>
    </row>
    <row r="941" spans="2:26" x14ac:dyDescent="0.25">
      <c r="N941" s="8" t="str">
        <f>IF(R941="x",1,"")</f>
        <v/>
      </c>
      <c r="U941" s="46" t="str">
        <f t="shared" si="414"/>
        <v/>
      </c>
      <c r="V941" s="46" t="str">
        <f t="shared" si="414"/>
        <v/>
      </c>
      <c r="W941" s="46" t="str">
        <f t="shared" si="414"/>
        <v/>
      </c>
      <c r="X941" s="46" t="str">
        <f t="shared" si="414"/>
        <v/>
      </c>
    </row>
    <row r="942" spans="2:26" s="18" customFormat="1" x14ac:dyDescent="0.25">
      <c r="E942" s="40"/>
      <c r="G942" s="40"/>
      <c r="H942" s="7">
        <f t="shared" ref="H942:N942" si="416">SUM(H940:H941)</f>
        <v>0</v>
      </c>
      <c r="I942" s="7">
        <f t="shared" si="416"/>
        <v>0</v>
      </c>
      <c r="J942" s="7">
        <f>SUM(J940:J941)</f>
        <v>2</v>
      </c>
      <c r="K942" s="7">
        <f t="shared" si="416"/>
        <v>0</v>
      </c>
      <c r="L942" s="7">
        <f t="shared" si="416"/>
        <v>2</v>
      </c>
      <c r="M942" s="7">
        <f t="shared" si="416"/>
        <v>1</v>
      </c>
      <c r="N942" s="7">
        <f t="shared" si="416"/>
        <v>1</v>
      </c>
      <c r="P942" s="13"/>
      <c r="Q942" s="13"/>
      <c r="R942" s="13"/>
      <c r="S942" s="13"/>
      <c r="T942" s="15"/>
      <c r="U942" s="46" t="str">
        <f t="shared" si="414"/>
        <v/>
      </c>
      <c r="V942" s="46" t="str">
        <f t="shared" si="414"/>
        <v/>
      </c>
      <c r="W942" s="46" t="str">
        <f t="shared" si="414"/>
        <v/>
      </c>
      <c r="X942" s="46" t="str">
        <f t="shared" si="414"/>
        <v/>
      </c>
      <c r="Z942" s="11"/>
    </row>
    <row r="943" spans="2:26" s="18" customFormat="1" x14ac:dyDescent="0.25">
      <c r="E943" s="40"/>
      <c r="G943" s="40"/>
      <c r="H943" s="7"/>
      <c r="I943" s="7"/>
      <c r="J943" s="7"/>
      <c r="K943" s="7"/>
      <c r="L943" s="7"/>
      <c r="M943" s="8"/>
      <c r="N943" s="8" t="str">
        <f>IF(R943="x",1,"")</f>
        <v/>
      </c>
      <c r="P943" s="13"/>
      <c r="Q943" s="13"/>
      <c r="R943" s="13"/>
      <c r="S943" s="13"/>
      <c r="T943" s="15"/>
      <c r="U943" s="46" t="str">
        <f t="shared" si="414"/>
        <v/>
      </c>
      <c r="V943" s="46" t="str">
        <f t="shared" si="414"/>
        <v/>
      </c>
      <c r="W943" s="46" t="str">
        <f t="shared" si="414"/>
        <v/>
      </c>
      <c r="X943" s="46" t="str">
        <f t="shared" si="414"/>
        <v/>
      </c>
      <c r="Z943" s="11"/>
    </row>
    <row r="944" spans="2:26" s="18" customFormat="1" x14ac:dyDescent="0.25">
      <c r="E944" s="40"/>
      <c r="G944" s="40"/>
      <c r="H944" s="7"/>
      <c r="I944" s="7"/>
      <c r="J944" s="7"/>
      <c r="K944" s="7"/>
      <c r="L944" s="7"/>
      <c r="M944" s="8"/>
      <c r="N944" s="8" t="str">
        <f>IF(R944="x",1,"")</f>
        <v/>
      </c>
      <c r="P944" s="13"/>
      <c r="Q944" s="13"/>
      <c r="R944" s="13"/>
      <c r="S944" s="13"/>
      <c r="T944" s="15"/>
      <c r="U944" s="46" t="str">
        <f t="shared" si="414"/>
        <v/>
      </c>
      <c r="V944" s="46" t="str">
        <f t="shared" si="414"/>
        <v/>
      </c>
      <c r="W944" s="46" t="str">
        <f t="shared" si="414"/>
        <v/>
      </c>
      <c r="X944" s="46" t="str">
        <f t="shared" si="414"/>
        <v/>
      </c>
      <c r="Z944" s="11"/>
    </row>
    <row r="945" spans="2:26" x14ac:dyDescent="0.25">
      <c r="B945" s="11" t="str">
        <f t="shared" ref="B945:B950" si="417">CONCATENATE("CEDR","-",LEFT(P945,2),UPPER(MID(P945,4,3)),RIGHT(P945,4))</f>
        <v>CEDR-02DEC1904</v>
      </c>
      <c r="C945" s="11" t="s">
        <v>5005</v>
      </c>
      <c r="D945" s="11" t="s">
        <v>2097</v>
      </c>
      <c r="E945" s="39" t="s">
        <v>5054</v>
      </c>
      <c r="F945" s="11" t="s">
        <v>1700</v>
      </c>
      <c r="G945" s="39" t="s">
        <v>5055</v>
      </c>
      <c r="H945" s="7">
        <v>0</v>
      </c>
      <c r="I945" s="7">
        <v>2</v>
      </c>
      <c r="J945" s="7">
        <f>18+1</f>
        <v>19</v>
      </c>
      <c r="L945" s="7">
        <f t="shared" ref="L945:L950" si="418">SUM(H945:K945)</f>
        <v>21</v>
      </c>
      <c r="M945" s="8">
        <v>1</v>
      </c>
      <c r="N945" s="8">
        <f t="shared" ref="N945:N950" si="419">IF(L945&gt;0,1,"")</f>
        <v>1</v>
      </c>
      <c r="O945" s="11" t="s">
        <v>1702</v>
      </c>
      <c r="P945" s="16" t="str">
        <f t="shared" ref="P945:P950" si="420">IF(LEN(G945)=10,CONCATENATE("0",G945),G945)</f>
        <v>02-Dec-1904</v>
      </c>
      <c r="R945" s="16" t="str">
        <f>IF($L945&gt;0,"x","")</f>
        <v>x</v>
      </c>
      <c r="S945" s="16" t="str">
        <f>IF($L945&gt;0,"x","")</f>
        <v>x</v>
      </c>
      <c r="U945" s="46" t="str">
        <f t="shared" si="414"/>
        <v/>
      </c>
      <c r="V945" s="46">
        <f t="shared" si="414"/>
        <v>21</v>
      </c>
      <c r="W945" s="46" t="str">
        <f t="shared" si="414"/>
        <v/>
      </c>
      <c r="X945" s="46" t="str">
        <f t="shared" si="414"/>
        <v/>
      </c>
    </row>
    <row r="946" spans="2:26" x14ac:dyDescent="0.25">
      <c r="B946" s="11" t="str">
        <f t="shared" si="417"/>
        <v>CEDR-30DEC1906</v>
      </c>
      <c r="C946" s="11" t="s">
        <v>5005</v>
      </c>
      <c r="D946" s="11" t="s">
        <v>3007</v>
      </c>
      <c r="E946" s="39" t="s">
        <v>3413</v>
      </c>
      <c r="F946" s="11" t="s">
        <v>1700</v>
      </c>
      <c r="G946" s="39" t="s">
        <v>5006</v>
      </c>
      <c r="H946" s="7">
        <v>0</v>
      </c>
      <c r="I946" s="7">
        <v>9</v>
      </c>
      <c r="J946" s="7">
        <v>7</v>
      </c>
      <c r="L946" s="7">
        <f t="shared" si="418"/>
        <v>16</v>
      </c>
      <c r="M946" s="8">
        <v>1</v>
      </c>
      <c r="N946" s="8">
        <f t="shared" si="419"/>
        <v>1</v>
      </c>
      <c r="O946" s="11" t="s">
        <v>1702</v>
      </c>
      <c r="P946" s="16" t="str">
        <f t="shared" si="420"/>
        <v>30-Dec-1906</v>
      </c>
      <c r="R946" s="16" t="str">
        <f t="shared" ref="R946:S950" si="421">IF($L946&gt;0,"x","")</f>
        <v>x</v>
      </c>
      <c r="S946" s="16" t="str">
        <f t="shared" si="421"/>
        <v>x</v>
      </c>
      <c r="U946" s="46" t="str">
        <f t="shared" si="414"/>
        <v/>
      </c>
      <c r="V946" s="46">
        <f t="shared" si="414"/>
        <v>16</v>
      </c>
      <c r="W946" s="46" t="str">
        <f t="shared" si="414"/>
        <v/>
      </c>
      <c r="X946" s="46" t="str">
        <f t="shared" si="414"/>
        <v/>
      </c>
    </row>
    <row r="947" spans="2:26" x14ac:dyDescent="0.25">
      <c r="B947" s="11" t="str">
        <f t="shared" si="417"/>
        <v>CEDR-31DEC1909</v>
      </c>
      <c r="C947" s="11" t="s">
        <v>5005</v>
      </c>
      <c r="D947" s="11" t="s">
        <v>3007</v>
      </c>
      <c r="E947" s="39" t="s">
        <v>1851</v>
      </c>
      <c r="F947" s="11" t="s">
        <v>1700</v>
      </c>
      <c r="G947" s="39" t="s">
        <v>2743</v>
      </c>
      <c r="H947" s="7">
        <v>0</v>
      </c>
      <c r="I947" s="7">
        <v>0</v>
      </c>
      <c r="J947" s="7">
        <v>12</v>
      </c>
      <c r="L947" s="7">
        <f t="shared" si="418"/>
        <v>12</v>
      </c>
      <c r="M947" s="8">
        <v>1</v>
      </c>
      <c r="N947" s="8">
        <f t="shared" si="419"/>
        <v>1</v>
      </c>
      <c r="O947" s="11" t="s">
        <v>1702</v>
      </c>
      <c r="P947" s="16" t="str">
        <f t="shared" si="420"/>
        <v>31-Dec-1909</v>
      </c>
      <c r="R947" s="16" t="str">
        <f t="shared" si="421"/>
        <v>x</v>
      </c>
      <c r="S947" s="16" t="str">
        <f t="shared" si="421"/>
        <v>x</v>
      </c>
      <c r="U947" s="46" t="str">
        <f t="shared" si="414"/>
        <v/>
      </c>
      <c r="V947" s="46">
        <f t="shared" si="414"/>
        <v>12</v>
      </c>
      <c r="W947" s="46" t="str">
        <f t="shared" si="414"/>
        <v/>
      </c>
      <c r="X947" s="46" t="str">
        <f t="shared" si="414"/>
        <v/>
      </c>
    </row>
    <row r="948" spans="2:26" x14ac:dyDescent="0.25">
      <c r="B948" s="11" t="str">
        <f t="shared" si="417"/>
        <v>CEDR-22MAR1914</v>
      </c>
      <c r="C948" s="11" t="s">
        <v>5005</v>
      </c>
      <c r="D948" s="11" t="s">
        <v>2097</v>
      </c>
      <c r="E948" s="39" t="s">
        <v>5465</v>
      </c>
      <c r="F948" s="11" t="s">
        <v>1700</v>
      </c>
      <c r="G948" s="39" t="s">
        <v>5466</v>
      </c>
      <c r="H948" s="7">
        <v>0</v>
      </c>
      <c r="I948" s="7">
        <v>0</v>
      </c>
      <c r="J948" s="7">
        <v>1</v>
      </c>
      <c r="L948" s="7">
        <f t="shared" si="418"/>
        <v>1</v>
      </c>
      <c r="M948" s="8">
        <v>1</v>
      </c>
      <c r="N948" s="8">
        <f t="shared" si="419"/>
        <v>1</v>
      </c>
      <c r="O948" s="11" t="s">
        <v>1702</v>
      </c>
      <c r="P948" s="16" t="str">
        <f t="shared" si="420"/>
        <v>22-Mar-1914</v>
      </c>
      <c r="R948" s="16" t="str">
        <f t="shared" si="421"/>
        <v>x</v>
      </c>
      <c r="S948" s="16" t="str">
        <f t="shared" si="421"/>
        <v>x</v>
      </c>
      <c r="U948" s="46" t="str">
        <f t="shared" si="414"/>
        <v/>
      </c>
      <c r="V948" s="46">
        <f t="shared" si="414"/>
        <v>1</v>
      </c>
      <c r="W948" s="46" t="str">
        <f t="shared" si="414"/>
        <v/>
      </c>
      <c r="X948" s="46" t="str">
        <f t="shared" si="414"/>
        <v/>
      </c>
    </row>
    <row r="949" spans="2:26" x14ac:dyDescent="0.25">
      <c r="B949" s="11" t="str">
        <f t="shared" si="417"/>
        <v>CEDR-02OCT1914</v>
      </c>
      <c r="C949" s="11" t="s">
        <v>5005</v>
      </c>
      <c r="D949" s="11" t="s">
        <v>2097</v>
      </c>
      <c r="E949" s="39" t="s">
        <v>5295</v>
      </c>
      <c r="F949" s="11" t="s">
        <v>1700</v>
      </c>
      <c r="G949" s="39" t="s">
        <v>5157</v>
      </c>
      <c r="H949" s="7">
        <v>0</v>
      </c>
      <c r="I949" s="7">
        <v>1</v>
      </c>
      <c r="J949" s="7">
        <v>0</v>
      </c>
      <c r="L949" s="7">
        <f t="shared" si="418"/>
        <v>1</v>
      </c>
      <c r="M949" s="8">
        <v>1</v>
      </c>
      <c r="N949" s="8">
        <f t="shared" si="419"/>
        <v>1</v>
      </c>
      <c r="O949" s="11" t="s">
        <v>1702</v>
      </c>
      <c r="P949" s="16" t="str">
        <f t="shared" si="420"/>
        <v>02-Oct-1914</v>
      </c>
      <c r="R949" s="16" t="str">
        <f t="shared" si="421"/>
        <v>x</v>
      </c>
      <c r="S949" s="16" t="str">
        <f t="shared" si="421"/>
        <v>x</v>
      </c>
      <c r="U949" s="46" t="str">
        <f t="shared" si="414"/>
        <v/>
      </c>
      <c r="V949" s="46">
        <f t="shared" si="414"/>
        <v>1</v>
      </c>
      <c r="W949" s="46" t="str">
        <f t="shared" si="414"/>
        <v/>
      </c>
      <c r="X949" s="46" t="str">
        <f t="shared" si="414"/>
        <v/>
      </c>
    </row>
    <row r="950" spans="2:26" x14ac:dyDescent="0.25">
      <c r="B950" s="11" t="str">
        <f t="shared" si="417"/>
        <v>CEDR-30OCT1914</v>
      </c>
      <c r="C950" s="11" t="s">
        <v>5005</v>
      </c>
      <c r="D950" s="11" t="s">
        <v>2097</v>
      </c>
      <c r="E950" s="39" t="s">
        <v>5296</v>
      </c>
      <c r="F950" s="11" t="s">
        <v>1700</v>
      </c>
      <c r="G950" s="39" t="s">
        <v>5297</v>
      </c>
      <c r="H950" s="7">
        <v>0</v>
      </c>
      <c r="I950" s="7">
        <v>1</v>
      </c>
      <c r="J950" s="7">
        <v>0</v>
      </c>
      <c r="L950" s="7">
        <f t="shared" si="418"/>
        <v>1</v>
      </c>
      <c r="M950" s="8">
        <v>1</v>
      </c>
      <c r="N950" s="8">
        <f t="shared" si="419"/>
        <v>1</v>
      </c>
      <c r="O950" s="11" t="s">
        <v>1702</v>
      </c>
      <c r="P950" s="16" t="str">
        <f t="shared" si="420"/>
        <v>30-Oct-1914</v>
      </c>
      <c r="R950" s="16" t="str">
        <f t="shared" si="421"/>
        <v>x</v>
      </c>
      <c r="S950" s="16" t="str">
        <f t="shared" si="421"/>
        <v>x</v>
      </c>
      <c r="U950" s="46" t="str">
        <f t="shared" si="414"/>
        <v/>
      </c>
      <c r="V950" s="46">
        <f t="shared" si="414"/>
        <v>1</v>
      </c>
      <c r="W950" s="46" t="str">
        <f t="shared" si="414"/>
        <v/>
      </c>
      <c r="X950" s="46" t="str">
        <f t="shared" si="414"/>
        <v/>
      </c>
    </row>
    <row r="951" spans="2:26" x14ac:dyDescent="0.25">
      <c r="N951" s="8" t="str">
        <f>IF(R951="x",1,"")</f>
        <v/>
      </c>
      <c r="U951" s="46" t="str">
        <f t="shared" si="414"/>
        <v/>
      </c>
      <c r="V951" s="46" t="str">
        <f t="shared" si="414"/>
        <v/>
      </c>
      <c r="W951" s="46" t="str">
        <f t="shared" si="414"/>
        <v/>
      </c>
      <c r="X951" s="46" t="str">
        <f t="shared" si="414"/>
        <v/>
      </c>
    </row>
    <row r="952" spans="2:26" s="18" customFormat="1" x14ac:dyDescent="0.25">
      <c r="E952" s="40"/>
      <c r="G952" s="40"/>
      <c r="H952" s="7">
        <f t="shared" ref="H952:N952" si="422">SUM(H945:H951)</f>
        <v>0</v>
      </c>
      <c r="I952" s="7">
        <f t="shared" si="422"/>
        <v>13</v>
      </c>
      <c r="J952" s="7">
        <f>SUM(J945:J951)</f>
        <v>39</v>
      </c>
      <c r="K952" s="7">
        <f t="shared" si="422"/>
        <v>0</v>
      </c>
      <c r="L952" s="7">
        <f t="shared" si="422"/>
        <v>52</v>
      </c>
      <c r="M952" s="7">
        <f t="shared" si="422"/>
        <v>6</v>
      </c>
      <c r="N952" s="7">
        <f t="shared" si="422"/>
        <v>6</v>
      </c>
      <c r="P952" s="13"/>
      <c r="Q952" s="13"/>
      <c r="R952" s="13"/>
      <c r="S952" s="13"/>
      <c r="T952" s="15"/>
      <c r="U952" s="46" t="str">
        <f t="shared" si="414"/>
        <v/>
      </c>
      <c r="V952" s="46" t="str">
        <f t="shared" si="414"/>
        <v/>
      </c>
      <c r="W952" s="46" t="str">
        <f t="shared" si="414"/>
        <v/>
      </c>
      <c r="X952" s="46" t="str">
        <f t="shared" si="414"/>
        <v/>
      </c>
      <c r="Z952" s="11"/>
    </row>
    <row r="953" spans="2:26" s="18" customFormat="1" x14ac:dyDescent="0.25">
      <c r="E953" s="40"/>
      <c r="G953" s="40"/>
      <c r="H953" s="7"/>
      <c r="I953" s="7"/>
      <c r="J953" s="7"/>
      <c r="K953" s="7"/>
      <c r="L953" s="7"/>
      <c r="M953" s="8"/>
      <c r="N953" s="8" t="str">
        <f>IF(R953="x",1,"")</f>
        <v/>
      </c>
      <c r="P953" s="13"/>
      <c r="Q953" s="13"/>
      <c r="R953" s="13"/>
      <c r="S953" s="13"/>
      <c r="T953" s="15"/>
      <c r="U953" s="46" t="str">
        <f t="shared" ref="U953:X960" si="423">IF($O953=U$5,$L953,"")</f>
        <v/>
      </c>
      <c r="V953" s="46" t="str">
        <f t="shared" si="423"/>
        <v/>
      </c>
      <c r="W953" s="46" t="str">
        <f t="shared" si="423"/>
        <v/>
      </c>
      <c r="X953" s="46" t="str">
        <f t="shared" si="423"/>
        <v/>
      </c>
      <c r="Z953" s="11"/>
    </row>
    <row r="954" spans="2:26" s="18" customFormat="1" x14ac:dyDescent="0.25">
      <c r="E954" s="40"/>
      <c r="G954" s="40"/>
      <c r="H954" s="7"/>
      <c r="I954" s="7"/>
      <c r="J954" s="7"/>
      <c r="K954" s="7"/>
      <c r="L954" s="7"/>
      <c r="M954" s="8"/>
      <c r="N954" s="8" t="str">
        <f>IF(R954="x",1,"")</f>
        <v/>
      </c>
      <c r="P954" s="13"/>
      <c r="Q954" s="13"/>
      <c r="R954" s="13"/>
      <c r="S954" s="13"/>
      <c r="T954" s="15"/>
      <c r="U954" s="46" t="str">
        <f t="shared" si="423"/>
        <v/>
      </c>
      <c r="V954" s="46" t="str">
        <f t="shared" si="423"/>
        <v/>
      </c>
      <c r="W954" s="46" t="str">
        <f t="shared" si="423"/>
        <v/>
      </c>
      <c r="X954" s="46" t="str">
        <f t="shared" si="423"/>
        <v/>
      </c>
      <c r="Z954" s="11"/>
    </row>
    <row r="955" spans="2:26" x14ac:dyDescent="0.25">
      <c r="B955" s="11" t="str">
        <f>CONCATENATE("CELT","-",LEFT(P955,2),UPPER(MID(P955,4,3)),RIGHT(P955,4))</f>
        <v>CELT-23JUN1907</v>
      </c>
      <c r="C955" s="11" t="s">
        <v>2494</v>
      </c>
      <c r="D955" s="11" t="s">
        <v>2097</v>
      </c>
      <c r="E955" s="39" t="s">
        <v>1197</v>
      </c>
      <c r="F955" s="11" t="s">
        <v>1700</v>
      </c>
      <c r="G955" s="39" t="s">
        <v>1448</v>
      </c>
      <c r="H955" s="7">
        <v>0</v>
      </c>
      <c r="I955" s="7">
        <v>0</v>
      </c>
      <c r="J955" s="7">
        <v>20</v>
      </c>
      <c r="L955" s="7">
        <f>SUM(H955:K955)</f>
        <v>20</v>
      </c>
      <c r="M955" s="8">
        <v>1</v>
      </c>
      <c r="N955" s="8">
        <f>IF(L955&gt;0,1,"")</f>
        <v>1</v>
      </c>
      <c r="O955" s="11" t="s">
        <v>1702</v>
      </c>
      <c r="P955" s="16" t="str">
        <f>IF(LEN(G955)=10,CONCATENATE("0",G955),G955)</f>
        <v>23-Jun-1907</v>
      </c>
      <c r="R955" s="16" t="str">
        <f>IF($L955&gt;0,"x","")</f>
        <v>x</v>
      </c>
      <c r="S955" s="16" t="str">
        <f>IF($L955&gt;0,"x","")</f>
        <v>x</v>
      </c>
      <c r="U955" s="46" t="str">
        <f t="shared" si="423"/>
        <v/>
      </c>
      <c r="V955" s="46">
        <f t="shared" si="423"/>
        <v>20</v>
      </c>
      <c r="W955" s="46" t="str">
        <f t="shared" si="423"/>
        <v/>
      </c>
      <c r="X955" s="46" t="str">
        <f t="shared" si="423"/>
        <v/>
      </c>
    </row>
    <row r="956" spans="2:26" x14ac:dyDescent="0.25">
      <c r="B956" s="11" t="str">
        <f>CONCATENATE("CELT","-",LEFT(P956,2),UPPER(MID(P956,4,3)),RIGHT(P956,4))</f>
        <v>CELT-16OCT1908</v>
      </c>
      <c r="C956" s="11" t="s">
        <v>2494</v>
      </c>
      <c r="D956" s="11" t="s">
        <v>2097</v>
      </c>
      <c r="E956" s="39" t="s">
        <v>2495</v>
      </c>
      <c r="F956" s="11" t="s">
        <v>1700</v>
      </c>
      <c r="G956" s="39" t="s">
        <v>2496</v>
      </c>
      <c r="H956" s="7">
        <v>0</v>
      </c>
      <c r="I956" s="7">
        <v>12</v>
      </c>
      <c r="J956" s="7">
        <v>0</v>
      </c>
      <c r="L956" s="7">
        <f>SUM(H956:K956)</f>
        <v>12</v>
      </c>
      <c r="M956" s="8">
        <v>1</v>
      </c>
      <c r="N956" s="8">
        <f>IF(L956&gt;0,1,"")</f>
        <v>1</v>
      </c>
      <c r="O956" s="11" t="s">
        <v>1702</v>
      </c>
      <c r="P956" s="16" t="str">
        <f>IF(LEN(G956)=10,CONCATENATE("0",G956),G956)</f>
        <v>16-Oct-1908</v>
      </c>
      <c r="R956" s="16" t="str">
        <f t="shared" ref="R956:S958" si="424">IF($L956&gt;0,"x","")</f>
        <v>x</v>
      </c>
      <c r="S956" s="16" t="str">
        <f t="shared" si="424"/>
        <v>x</v>
      </c>
      <c r="U956" s="46" t="str">
        <f t="shared" si="423"/>
        <v/>
      </c>
      <c r="V956" s="46">
        <f t="shared" si="423"/>
        <v>12</v>
      </c>
      <c r="W956" s="46" t="str">
        <f t="shared" si="423"/>
        <v/>
      </c>
      <c r="X956" s="46" t="str">
        <f t="shared" si="423"/>
        <v/>
      </c>
    </row>
    <row r="957" spans="2:26" x14ac:dyDescent="0.25">
      <c r="B957" s="11" t="str">
        <f>CONCATENATE("CELT","-",LEFT(P957,2),UPPER(MID(P957,4,3)),RIGHT(P957,4))</f>
        <v>CELT-18OCT1909</v>
      </c>
      <c r="C957" s="11" t="s">
        <v>2494</v>
      </c>
      <c r="D957" s="11" t="s">
        <v>2097</v>
      </c>
      <c r="E957" s="39" t="s">
        <v>866</v>
      </c>
      <c r="F957" s="11" t="s">
        <v>1700</v>
      </c>
      <c r="G957" s="39" t="s">
        <v>937</v>
      </c>
      <c r="H957" s="7">
        <v>0</v>
      </c>
      <c r="I957" s="7">
        <v>2</v>
      </c>
      <c r="J957" s="7">
        <v>0</v>
      </c>
      <c r="L957" s="7">
        <f>SUM(H957:K957)</f>
        <v>2</v>
      </c>
      <c r="M957" s="8">
        <v>1</v>
      </c>
      <c r="N957" s="8">
        <f>IF(L957&gt;0,1,"")</f>
        <v>1</v>
      </c>
      <c r="O957" s="11" t="s">
        <v>1702</v>
      </c>
      <c r="P957" s="16" t="str">
        <f>IF(LEN(G957)=10,CONCATENATE("0",G957),G957)</f>
        <v>18-Oct-1909</v>
      </c>
      <c r="R957" s="16" t="str">
        <f t="shared" si="424"/>
        <v>x</v>
      </c>
      <c r="S957" s="16" t="str">
        <f t="shared" si="424"/>
        <v>x</v>
      </c>
      <c r="U957" s="46" t="str">
        <f t="shared" si="423"/>
        <v/>
      </c>
      <c r="V957" s="46">
        <f t="shared" si="423"/>
        <v>2</v>
      </c>
      <c r="W957" s="46" t="str">
        <f t="shared" si="423"/>
        <v/>
      </c>
      <c r="X957" s="46" t="str">
        <f t="shared" si="423"/>
        <v/>
      </c>
    </row>
    <row r="958" spans="2:26" x14ac:dyDescent="0.25">
      <c r="B958" s="11" t="str">
        <f>CONCATENATE("CELT","-",LEFT(P958,2),UPPER(MID(P958,4,3)),RIGHT(P958,4))</f>
        <v>CELT-08MAY1911</v>
      </c>
      <c r="C958" s="11" t="s">
        <v>2494</v>
      </c>
      <c r="D958" s="11" t="s">
        <v>2097</v>
      </c>
      <c r="E958" s="39" t="s">
        <v>900</v>
      </c>
      <c r="F958" s="11" t="s">
        <v>1700</v>
      </c>
      <c r="G958" s="39" t="s">
        <v>4467</v>
      </c>
      <c r="H958" s="7">
        <v>0</v>
      </c>
      <c r="I958" s="7">
        <v>0</v>
      </c>
      <c r="J958" s="7">
        <v>2</v>
      </c>
      <c r="L958" s="7">
        <f>SUM(H958:K958)</f>
        <v>2</v>
      </c>
      <c r="M958" s="8">
        <v>1</v>
      </c>
      <c r="N958" s="8">
        <f>IF(L958&gt;0,1,"")</f>
        <v>1</v>
      </c>
      <c r="O958" s="11" t="s">
        <v>1702</v>
      </c>
      <c r="P958" s="16" t="str">
        <f>IF(LEN(G958)=10,CONCATENATE("0",G958),G958)</f>
        <v>08-May-1911</v>
      </c>
      <c r="R958" s="16" t="str">
        <f t="shared" si="424"/>
        <v>x</v>
      </c>
      <c r="S958" s="16" t="str">
        <f t="shared" si="424"/>
        <v>x</v>
      </c>
      <c r="U958" s="46" t="str">
        <f t="shared" si="423"/>
        <v/>
      </c>
      <c r="V958" s="46">
        <f t="shared" si="423"/>
        <v>2</v>
      </c>
      <c r="W958" s="46" t="str">
        <f t="shared" si="423"/>
        <v/>
      </c>
      <c r="X958" s="46" t="str">
        <f t="shared" si="423"/>
        <v/>
      </c>
    </row>
    <row r="959" spans="2:26" x14ac:dyDescent="0.25">
      <c r="N959" s="8" t="str">
        <f>IF(R959="x",1,"")</f>
        <v/>
      </c>
      <c r="U959" s="46" t="str">
        <f t="shared" si="423"/>
        <v/>
      </c>
      <c r="V959" s="46" t="str">
        <f t="shared" si="423"/>
        <v/>
      </c>
      <c r="W959" s="46" t="str">
        <f t="shared" si="423"/>
        <v/>
      </c>
      <c r="X959" s="46" t="str">
        <f t="shared" si="423"/>
        <v/>
      </c>
    </row>
    <row r="960" spans="2:26" s="18" customFormat="1" x14ac:dyDescent="0.25">
      <c r="E960" s="40"/>
      <c r="G960" s="40"/>
      <c r="H960" s="7">
        <f t="shared" ref="H960:N960" si="425">SUM(H955:H959)</f>
        <v>0</v>
      </c>
      <c r="I960" s="7">
        <f t="shared" si="425"/>
        <v>14</v>
      </c>
      <c r="J960" s="7">
        <f>SUM(J955:J959)</f>
        <v>22</v>
      </c>
      <c r="K960" s="7">
        <f t="shared" si="425"/>
        <v>0</v>
      </c>
      <c r="L960" s="7">
        <f t="shared" si="425"/>
        <v>36</v>
      </c>
      <c r="M960" s="7">
        <f t="shared" si="425"/>
        <v>4</v>
      </c>
      <c r="N960" s="7">
        <f t="shared" si="425"/>
        <v>4</v>
      </c>
      <c r="P960" s="13"/>
      <c r="Q960" s="13"/>
      <c r="R960" s="13"/>
      <c r="S960" s="13"/>
      <c r="T960" s="15"/>
      <c r="U960" s="46" t="str">
        <f t="shared" si="423"/>
        <v/>
      </c>
      <c r="V960" s="46" t="str">
        <f t="shared" si="423"/>
        <v/>
      </c>
      <c r="W960" s="46" t="str">
        <f t="shared" si="423"/>
        <v/>
      </c>
      <c r="X960" s="46" t="str">
        <f t="shared" si="423"/>
        <v/>
      </c>
      <c r="Z960" s="11"/>
    </row>
    <row r="961" spans="2:26" s="18" customFormat="1" x14ac:dyDescent="0.25">
      <c r="E961" s="40"/>
      <c r="G961" s="40"/>
      <c r="H961" s="7"/>
      <c r="I961" s="7"/>
      <c r="J961" s="7"/>
      <c r="K961" s="7"/>
      <c r="L961" s="7"/>
      <c r="M961" s="8"/>
      <c r="N961" s="8" t="str">
        <f>IF(R961="x",1,"")</f>
        <v/>
      </c>
      <c r="P961" s="13"/>
      <c r="Q961" s="13"/>
      <c r="R961" s="13"/>
      <c r="S961" s="13"/>
      <c r="T961" s="15"/>
      <c r="U961" s="46" t="str">
        <f t="shared" ref="U961:X967" si="426">IF($O961=U$5,$L961,"")</f>
        <v/>
      </c>
      <c r="V961" s="46" t="str">
        <f t="shared" si="426"/>
        <v/>
      </c>
      <c r="W961" s="46" t="str">
        <f t="shared" si="426"/>
        <v/>
      </c>
      <c r="X961" s="46" t="str">
        <f t="shared" si="426"/>
        <v/>
      </c>
      <c r="Z961" s="11"/>
    </row>
    <row r="962" spans="2:26" s="18" customFormat="1" x14ac:dyDescent="0.25">
      <c r="E962" s="40"/>
      <c r="G962" s="40"/>
      <c r="H962" s="7"/>
      <c r="I962" s="7"/>
      <c r="J962" s="7"/>
      <c r="K962" s="7"/>
      <c r="L962" s="7"/>
      <c r="M962" s="8"/>
      <c r="N962" s="8" t="str">
        <f>IF(R962="x",1,"")</f>
        <v/>
      </c>
      <c r="P962" s="13"/>
      <c r="Q962" s="13"/>
      <c r="R962" s="13"/>
      <c r="S962" s="13"/>
      <c r="T962" s="15"/>
      <c r="U962" s="46" t="str">
        <f t="shared" si="426"/>
        <v/>
      </c>
      <c r="V962" s="46" t="str">
        <f t="shared" si="426"/>
        <v/>
      </c>
      <c r="W962" s="46" t="str">
        <f t="shared" si="426"/>
        <v/>
      </c>
      <c r="X962" s="46" t="str">
        <f t="shared" si="426"/>
        <v/>
      </c>
      <c r="Z962" s="11"/>
    </row>
    <row r="963" spans="2:26" x14ac:dyDescent="0.25">
      <c r="B963" s="11" t="str">
        <f>CONCATENATE("CEPH","-",LEFT(P963,2),UPPER(MID(P963,4,3)),RIGHT(P963,4))</f>
        <v>CEPH-11NOV1884</v>
      </c>
      <c r="C963" s="11" t="s">
        <v>4795</v>
      </c>
      <c r="D963" s="11" t="s">
        <v>2097</v>
      </c>
      <c r="F963" s="11" t="s">
        <v>3050</v>
      </c>
      <c r="G963" s="39" t="s">
        <v>4796</v>
      </c>
      <c r="H963" s="7">
        <v>0</v>
      </c>
      <c r="I963" s="7">
        <v>0</v>
      </c>
      <c r="J963" s="7">
        <v>19</v>
      </c>
      <c r="L963" s="7">
        <f>SUM(H963:K963)</f>
        <v>19</v>
      </c>
      <c r="M963" s="8">
        <v>1</v>
      </c>
      <c r="N963" s="8">
        <f>IF(L963&gt;0,1,"")</f>
        <v>1</v>
      </c>
      <c r="O963" s="11" t="s">
        <v>1702</v>
      </c>
      <c r="P963" s="16" t="str">
        <f>IF(LEN(G963)=10,CONCATENATE("0",G963),G963)</f>
        <v>11-Nov-1884</v>
      </c>
      <c r="R963" s="16" t="str">
        <f t="shared" ref="R963:S965" si="427">IF($L963&gt;0,"x","")</f>
        <v>x</v>
      </c>
      <c r="S963" s="16" t="str">
        <f t="shared" si="427"/>
        <v>x</v>
      </c>
      <c r="U963" s="46" t="str">
        <f t="shared" si="426"/>
        <v/>
      </c>
      <c r="V963" s="46">
        <f t="shared" si="426"/>
        <v>19</v>
      </c>
      <c r="W963" s="46" t="str">
        <f t="shared" si="426"/>
        <v/>
      </c>
      <c r="X963" s="46" t="str">
        <f t="shared" si="426"/>
        <v/>
      </c>
    </row>
    <row r="964" spans="2:26" x14ac:dyDescent="0.25">
      <c r="B964" s="11" t="str">
        <f>CONCATENATE("CEPH","-",LEFT(P964,2),UPPER(MID(P964,4,3)),RIGHT(P964,4))</f>
        <v>CEPH-25JUN1893</v>
      </c>
      <c r="C964" s="11" t="s">
        <v>4795</v>
      </c>
      <c r="D964" s="11" t="s">
        <v>2097</v>
      </c>
      <c r="E964" s="39" t="s">
        <v>6301</v>
      </c>
      <c r="F964" s="11" t="s">
        <v>3050</v>
      </c>
      <c r="G964" s="39" t="s">
        <v>6300</v>
      </c>
      <c r="J964" s="7">
        <v>1</v>
      </c>
      <c r="L964" s="7">
        <f>SUM(H964:K964)</f>
        <v>1</v>
      </c>
      <c r="M964" s="8">
        <v>1</v>
      </c>
      <c r="N964" s="8">
        <f>IF(L964&gt;0,1,"")</f>
        <v>1</v>
      </c>
      <c r="O964" s="11" t="s">
        <v>1702</v>
      </c>
      <c r="P964" s="16" t="str">
        <f>IF(LEN(G964)=10,CONCATENATE("0",G964),G964)</f>
        <v>25-Jun-1893</v>
      </c>
      <c r="R964" s="16" t="str">
        <f t="shared" si="427"/>
        <v>x</v>
      </c>
      <c r="S964" s="16" t="str">
        <f t="shared" si="427"/>
        <v>x</v>
      </c>
      <c r="U964" s="46" t="str">
        <f t="shared" si="426"/>
        <v/>
      </c>
      <c r="V964" s="46">
        <f t="shared" si="426"/>
        <v>1</v>
      </c>
      <c r="W964" s="46" t="str">
        <f t="shared" si="426"/>
        <v/>
      </c>
      <c r="X964" s="46" t="str">
        <f t="shared" si="426"/>
        <v/>
      </c>
    </row>
    <row r="965" spans="2:26" x14ac:dyDescent="0.25">
      <c r="B965" s="11" t="str">
        <f>CONCATENATE("CEPH","-",LEFT(P965,2),UPPER(MID(P965,4,3)),RIGHT(P965,4))</f>
        <v>CEPH-24AUG1893</v>
      </c>
      <c r="C965" s="11" t="s">
        <v>4795</v>
      </c>
      <c r="D965" s="11" t="s">
        <v>2097</v>
      </c>
      <c r="F965" s="11" t="s">
        <v>3050</v>
      </c>
      <c r="G965" s="39" t="s">
        <v>6072</v>
      </c>
      <c r="H965" s="7">
        <v>2</v>
      </c>
      <c r="I965" s="7">
        <v>0</v>
      </c>
      <c r="J965" s="7">
        <v>0</v>
      </c>
      <c r="L965" s="7">
        <f>SUM(H965:K965)</f>
        <v>2</v>
      </c>
      <c r="M965" s="8">
        <v>1</v>
      </c>
      <c r="N965" s="8">
        <f>IF(L965&gt;0,1,"")</f>
        <v>1</v>
      </c>
      <c r="O965" s="11" t="s">
        <v>1702</v>
      </c>
      <c r="P965" s="16" t="str">
        <f>IF(LEN(G965)=10,CONCATENATE("0",G965),G965)</f>
        <v>24-Aug-1893</v>
      </c>
      <c r="R965" s="16" t="str">
        <f t="shared" si="427"/>
        <v>x</v>
      </c>
      <c r="S965" s="16" t="str">
        <f t="shared" si="427"/>
        <v>x</v>
      </c>
      <c r="U965" s="46" t="str">
        <f t="shared" si="426"/>
        <v/>
      </c>
      <c r="V965" s="46">
        <f t="shared" si="426"/>
        <v>2</v>
      </c>
      <c r="W965" s="46" t="str">
        <f t="shared" si="426"/>
        <v/>
      </c>
      <c r="X965" s="46" t="str">
        <f t="shared" si="426"/>
        <v/>
      </c>
    </row>
    <row r="966" spans="2:26" x14ac:dyDescent="0.25">
      <c r="N966" s="8" t="str">
        <f>IF(R966="x",1,"")</f>
        <v/>
      </c>
      <c r="U966" s="46" t="str">
        <f t="shared" si="426"/>
        <v/>
      </c>
      <c r="V966" s="46" t="str">
        <f t="shared" si="426"/>
        <v/>
      </c>
      <c r="W966" s="46" t="str">
        <f t="shared" si="426"/>
        <v/>
      </c>
      <c r="X966" s="46" t="str">
        <f t="shared" si="426"/>
        <v/>
      </c>
    </row>
    <row r="967" spans="2:26" s="18" customFormat="1" x14ac:dyDescent="0.25">
      <c r="E967" s="40"/>
      <c r="G967" s="40"/>
      <c r="H967" s="7">
        <f t="shared" ref="H967:N967" si="428">SUM(H963:H966)</f>
        <v>2</v>
      </c>
      <c r="I967" s="7">
        <f t="shared" si="428"/>
        <v>0</v>
      </c>
      <c r="J967" s="7">
        <f>SUM(J963:J966)</f>
        <v>20</v>
      </c>
      <c r="K967" s="7">
        <f t="shared" si="428"/>
        <v>0</v>
      </c>
      <c r="L967" s="7">
        <f t="shared" si="428"/>
        <v>22</v>
      </c>
      <c r="M967" s="7">
        <f t="shared" si="428"/>
        <v>3</v>
      </c>
      <c r="N967" s="7">
        <f t="shared" si="428"/>
        <v>3</v>
      </c>
      <c r="P967" s="13"/>
      <c r="Q967" s="13"/>
      <c r="R967" s="13"/>
      <c r="S967" s="13"/>
      <c r="T967" s="15"/>
      <c r="U967" s="46" t="str">
        <f t="shared" si="426"/>
        <v/>
      </c>
      <c r="V967" s="46" t="str">
        <f t="shared" si="426"/>
        <v/>
      </c>
      <c r="W967" s="46" t="str">
        <f t="shared" si="426"/>
        <v/>
      </c>
      <c r="X967" s="46" t="str">
        <f t="shared" si="426"/>
        <v/>
      </c>
      <c r="Z967" s="11"/>
    </row>
    <row r="968" spans="2:26" s="18" customFormat="1" x14ac:dyDescent="0.25">
      <c r="E968" s="40"/>
      <c r="G968" s="40"/>
      <c r="H968" s="7"/>
      <c r="I968" s="7"/>
      <c r="J968" s="7"/>
      <c r="K968" s="7"/>
      <c r="L968" s="7"/>
      <c r="M968" s="8"/>
      <c r="N968" s="8" t="str">
        <f>IF(R968="x",1,"")</f>
        <v/>
      </c>
      <c r="P968" s="13"/>
      <c r="Q968" s="13"/>
      <c r="R968" s="13"/>
      <c r="S968" s="13"/>
      <c r="T968" s="15"/>
      <c r="U968" s="46" t="str">
        <f t="shared" ref="U968:X983" si="429">IF($O968=U$5,$L968,"")</f>
        <v/>
      </c>
      <c r="V968" s="46" t="str">
        <f t="shared" si="429"/>
        <v/>
      </c>
      <c r="W968" s="46" t="str">
        <f t="shared" si="429"/>
        <v/>
      </c>
      <c r="X968" s="46" t="str">
        <f t="shared" si="429"/>
        <v/>
      </c>
      <c r="Z968" s="11"/>
    </row>
    <row r="969" spans="2:26" s="18" customFormat="1" x14ac:dyDescent="0.25">
      <c r="E969" s="40"/>
      <c r="G969" s="40"/>
      <c r="H969" s="7"/>
      <c r="I969" s="7"/>
      <c r="J969" s="7"/>
      <c r="K969" s="7"/>
      <c r="L969" s="7"/>
      <c r="M969" s="8"/>
      <c r="N969" s="8" t="str">
        <f>IF(R969="x",1,"")</f>
        <v/>
      </c>
      <c r="P969" s="13"/>
      <c r="Q969" s="13"/>
      <c r="R969" s="13"/>
      <c r="S969" s="13"/>
      <c r="T969" s="15"/>
      <c r="U969" s="46" t="str">
        <f t="shared" si="429"/>
        <v/>
      </c>
      <c r="V969" s="46" t="str">
        <f t="shared" si="429"/>
        <v/>
      </c>
      <c r="W969" s="46" t="str">
        <f t="shared" si="429"/>
        <v/>
      </c>
      <c r="X969" s="46" t="str">
        <f t="shared" si="429"/>
        <v/>
      </c>
      <c r="Z969" s="11"/>
    </row>
    <row r="970" spans="2:26" x14ac:dyDescent="0.25">
      <c r="B970" s="11" t="str">
        <f>CONCATENATE("CHLF","-",LEFT(P970,2),UPPER(MID(P970,4,3)),RIGHT(P970,4))</f>
        <v>CHLF-08OCT1896</v>
      </c>
      <c r="C970" s="11" t="s">
        <v>3214</v>
      </c>
      <c r="D970" s="11" t="s">
        <v>1956</v>
      </c>
      <c r="F970" s="11" t="s">
        <v>1700</v>
      </c>
      <c r="G970" s="39" t="s">
        <v>5116</v>
      </c>
      <c r="H970" s="7">
        <v>0</v>
      </c>
      <c r="J970" s="7">
        <v>7</v>
      </c>
      <c r="L970" s="7">
        <f>SUM(H970:K970)</f>
        <v>7</v>
      </c>
      <c r="M970" s="8">
        <v>1</v>
      </c>
      <c r="N970" s="8">
        <f>IF(L970&gt;0,1,"")</f>
        <v>1</v>
      </c>
      <c r="O970" s="11" t="s">
        <v>1702</v>
      </c>
      <c r="P970" s="16" t="str">
        <f>IF(LEN(G970)=10,CONCATENATE("0",G970),G970)</f>
        <v>08-Oct-1896</v>
      </c>
      <c r="R970" s="16" t="str">
        <f>IF($L970&gt;0,"x","")</f>
        <v>x</v>
      </c>
      <c r="S970" s="16" t="str">
        <f>IF($L970&gt;0,"x","")</f>
        <v>x</v>
      </c>
      <c r="U970" s="46" t="str">
        <f t="shared" si="429"/>
        <v/>
      </c>
      <c r="V970" s="46">
        <f t="shared" si="429"/>
        <v>7</v>
      </c>
      <c r="W970" s="46" t="str">
        <f t="shared" si="429"/>
        <v/>
      </c>
      <c r="X970" s="46" t="str">
        <f t="shared" si="429"/>
        <v/>
      </c>
    </row>
    <row r="971" spans="2:26" x14ac:dyDescent="0.25">
      <c r="B971" s="11" t="str">
        <f>CONCATENATE("CHLF","-",LEFT(P971,2),UPPER(MID(P971,4,3)),RIGHT(P971,4))</f>
        <v>CHLF-11JAN1897</v>
      </c>
      <c r="C971" s="11" t="s">
        <v>3214</v>
      </c>
      <c r="D971" s="11" t="s">
        <v>1956</v>
      </c>
      <c r="F971" s="11" t="s">
        <v>1700</v>
      </c>
      <c r="G971" s="39" t="s">
        <v>271</v>
      </c>
      <c r="H971" s="7">
        <v>0</v>
      </c>
      <c r="J971" s="7">
        <v>13</v>
      </c>
      <c r="L971" s="7">
        <f>SUM(H971:K971)</f>
        <v>13</v>
      </c>
      <c r="M971" s="8">
        <v>1</v>
      </c>
      <c r="N971" s="8">
        <f>IF(L971&gt;0,1,"")</f>
        <v>1</v>
      </c>
      <c r="O971" s="11" t="s">
        <v>1702</v>
      </c>
      <c r="P971" s="16" t="str">
        <f>IF(LEN(G971)=10,CONCATENATE("0",G971),G971)</f>
        <v>11-Jan-1897</v>
      </c>
      <c r="R971" s="16" t="str">
        <f>IF($L971&gt;0,"x","")</f>
        <v>x</v>
      </c>
      <c r="S971" s="16" t="str">
        <f>IF($L971&gt;0,"x","")</f>
        <v>x</v>
      </c>
      <c r="U971" s="46" t="str">
        <f t="shared" si="429"/>
        <v/>
      </c>
      <c r="V971" s="46">
        <f t="shared" si="429"/>
        <v>13</v>
      </c>
      <c r="W971" s="46" t="str">
        <f t="shared" si="429"/>
        <v/>
      </c>
      <c r="X971" s="46" t="str">
        <f t="shared" si="429"/>
        <v/>
      </c>
    </row>
    <row r="972" spans="2:26" x14ac:dyDescent="0.25">
      <c r="N972" s="8" t="str">
        <f>IF(R972="x",1,"")</f>
        <v/>
      </c>
      <c r="U972" s="46" t="str">
        <f t="shared" si="429"/>
        <v/>
      </c>
      <c r="V972" s="46" t="str">
        <f t="shared" si="429"/>
        <v/>
      </c>
      <c r="W972" s="46" t="str">
        <f t="shared" si="429"/>
        <v/>
      </c>
      <c r="X972" s="46" t="str">
        <f t="shared" si="429"/>
        <v/>
      </c>
    </row>
    <row r="973" spans="2:26" s="18" customFormat="1" x14ac:dyDescent="0.25">
      <c r="E973" s="40"/>
      <c r="G973" s="40"/>
      <c r="H973" s="7">
        <f t="shared" ref="H973:N973" si="430">SUM(H970:H972)</f>
        <v>0</v>
      </c>
      <c r="I973" s="7">
        <f t="shared" si="430"/>
        <v>0</v>
      </c>
      <c r="J973" s="7">
        <f>SUM(J970:J972)</f>
        <v>20</v>
      </c>
      <c r="K973" s="7">
        <f t="shared" si="430"/>
        <v>0</v>
      </c>
      <c r="L973" s="7">
        <f t="shared" si="430"/>
        <v>20</v>
      </c>
      <c r="M973" s="7">
        <f t="shared" si="430"/>
        <v>2</v>
      </c>
      <c r="N973" s="7">
        <f t="shared" si="430"/>
        <v>2</v>
      </c>
      <c r="P973" s="13"/>
      <c r="Q973" s="13"/>
      <c r="R973" s="13"/>
      <c r="S973" s="13"/>
      <c r="T973" s="15"/>
      <c r="U973" s="46" t="str">
        <f t="shared" si="429"/>
        <v/>
      </c>
      <c r="V973" s="46" t="str">
        <f t="shared" si="429"/>
        <v/>
      </c>
      <c r="W973" s="46" t="str">
        <f t="shared" si="429"/>
        <v/>
      </c>
      <c r="X973" s="46" t="str">
        <f t="shared" si="429"/>
        <v/>
      </c>
      <c r="Z973" s="11"/>
    </row>
    <row r="974" spans="2:26" s="18" customFormat="1" x14ac:dyDescent="0.25">
      <c r="E974" s="40"/>
      <c r="G974" s="40"/>
      <c r="H974" s="7"/>
      <c r="I974" s="7"/>
      <c r="J974" s="7"/>
      <c r="K974" s="7"/>
      <c r="L974" s="7"/>
      <c r="M974" s="8"/>
      <c r="N974" s="8" t="str">
        <f>IF(R974="x",1,"")</f>
        <v/>
      </c>
      <c r="P974" s="13"/>
      <c r="Q974" s="13"/>
      <c r="R974" s="13"/>
      <c r="S974" s="13"/>
      <c r="T974" s="15"/>
      <c r="U974" s="46" t="str">
        <f t="shared" si="429"/>
        <v/>
      </c>
      <c r="V974" s="46" t="str">
        <f t="shared" si="429"/>
        <v/>
      </c>
      <c r="W974" s="46" t="str">
        <f t="shared" si="429"/>
        <v/>
      </c>
      <c r="X974" s="46" t="str">
        <f t="shared" si="429"/>
        <v/>
      </c>
      <c r="Z974" s="11"/>
    </row>
    <row r="975" spans="2:26" s="18" customFormat="1" x14ac:dyDescent="0.25">
      <c r="E975" s="40"/>
      <c r="G975" s="40"/>
      <c r="H975" s="7"/>
      <c r="I975" s="7"/>
      <c r="J975" s="7"/>
      <c r="K975" s="7"/>
      <c r="L975" s="7"/>
      <c r="M975" s="8"/>
      <c r="N975" s="8" t="str">
        <f>IF(R975="x",1,"")</f>
        <v/>
      </c>
      <c r="P975" s="13"/>
      <c r="Q975" s="13"/>
      <c r="R975" s="13"/>
      <c r="S975" s="13"/>
      <c r="T975" s="15"/>
      <c r="U975" s="46" t="str">
        <f t="shared" si="429"/>
        <v/>
      </c>
      <c r="V975" s="46" t="str">
        <f t="shared" si="429"/>
        <v/>
      </c>
      <c r="W975" s="46" t="str">
        <f t="shared" si="429"/>
        <v/>
      </c>
      <c r="X975" s="46" t="str">
        <f t="shared" si="429"/>
        <v/>
      </c>
      <c r="Z975" s="11"/>
    </row>
    <row r="976" spans="2:26" x14ac:dyDescent="0.25">
      <c r="B976" s="11" t="str">
        <f>CONCATENATE("CHLV","-",LEFT(P976,2),UPPER(MID(P976,4,3)),RIGHT(P976,4))</f>
        <v>CHLV-15SEP1883</v>
      </c>
      <c r="C976" s="11" t="s">
        <v>3580</v>
      </c>
      <c r="D976" s="11" t="s">
        <v>1956</v>
      </c>
      <c r="F976" s="11" t="s">
        <v>1700</v>
      </c>
      <c r="G976" s="39" t="s">
        <v>3581</v>
      </c>
      <c r="J976" s="7">
        <v>5</v>
      </c>
      <c r="L976" s="7">
        <f>SUM(H976:K976)</f>
        <v>5</v>
      </c>
      <c r="M976" s="8">
        <v>1</v>
      </c>
      <c r="N976" s="8">
        <f>IF(L976&gt;0,1,"")</f>
        <v>1</v>
      </c>
      <c r="O976" s="11" t="s">
        <v>1702</v>
      </c>
      <c r="P976" s="16" t="str">
        <f>IF(LEN(G976)=10,CONCATENATE("0",G976),G976)</f>
        <v>15-Sep-1883</v>
      </c>
      <c r="R976" s="16" t="str">
        <f>IF($L976&gt;0,"x","")</f>
        <v>x</v>
      </c>
      <c r="S976" s="16" t="str">
        <f>IF($L976&gt;0,"x","")</f>
        <v>x</v>
      </c>
      <c r="U976" s="46" t="str">
        <f t="shared" si="429"/>
        <v/>
      </c>
      <c r="V976" s="46">
        <f t="shared" si="429"/>
        <v>5</v>
      </c>
      <c r="W976" s="46" t="str">
        <f t="shared" si="429"/>
        <v/>
      </c>
      <c r="X976" s="46" t="str">
        <f t="shared" si="429"/>
        <v/>
      </c>
    </row>
    <row r="977" spans="2:26" x14ac:dyDescent="0.25">
      <c r="N977" s="8" t="str">
        <f>IF(R977="x",1,"")</f>
        <v/>
      </c>
      <c r="U977" s="46" t="str">
        <f t="shared" si="429"/>
        <v/>
      </c>
      <c r="V977" s="46" t="str">
        <f t="shared" si="429"/>
        <v/>
      </c>
      <c r="W977" s="46" t="str">
        <f t="shared" si="429"/>
        <v/>
      </c>
      <c r="X977" s="46" t="str">
        <f t="shared" si="429"/>
        <v/>
      </c>
    </row>
    <row r="978" spans="2:26" s="18" customFormat="1" x14ac:dyDescent="0.25">
      <c r="E978" s="40"/>
      <c r="G978" s="40"/>
      <c r="H978" s="7">
        <f t="shared" ref="H978:N978" si="431">SUM(H976:H977)</f>
        <v>0</v>
      </c>
      <c r="I978" s="7">
        <f t="shared" si="431"/>
        <v>0</v>
      </c>
      <c r="J978" s="7">
        <f>SUM(J976:J977)</f>
        <v>5</v>
      </c>
      <c r="K978" s="7">
        <f t="shared" si="431"/>
        <v>0</v>
      </c>
      <c r="L978" s="7">
        <f t="shared" si="431"/>
        <v>5</v>
      </c>
      <c r="M978" s="7">
        <f t="shared" si="431"/>
        <v>1</v>
      </c>
      <c r="N978" s="7">
        <f t="shared" si="431"/>
        <v>1</v>
      </c>
      <c r="P978" s="13"/>
      <c r="Q978" s="13"/>
      <c r="R978" s="13"/>
      <c r="S978" s="13"/>
      <c r="T978" s="15"/>
      <c r="U978" s="46" t="str">
        <f t="shared" si="429"/>
        <v/>
      </c>
      <c r="V978" s="46" t="str">
        <f t="shared" si="429"/>
        <v/>
      </c>
      <c r="W978" s="46" t="str">
        <f t="shared" si="429"/>
        <v/>
      </c>
      <c r="X978" s="46" t="str">
        <f t="shared" si="429"/>
        <v/>
      </c>
      <c r="Z978" s="11"/>
    </row>
    <row r="979" spans="2:26" s="18" customFormat="1" x14ac:dyDescent="0.25">
      <c r="E979" s="40"/>
      <c r="G979" s="40"/>
      <c r="H979" s="7"/>
      <c r="I979" s="7"/>
      <c r="J979" s="7"/>
      <c r="K979" s="7"/>
      <c r="L979" s="7"/>
      <c r="M979" s="8"/>
      <c r="N979" s="8" t="str">
        <f>IF(R979="x",1,"")</f>
        <v/>
      </c>
      <c r="P979" s="13"/>
      <c r="Q979" s="13"/>
      <c r="R979" s="13"/>
      <c r="S979" s="13"/>
      <c r="T979" s="15"/>
      <c r="U979" s="46" t="str">
        <f t="shared" si="429"/>
        <v/>
      </c>
      <c r="V979" s="46" t="str">
        <f t="shared" si="429"/>
        <v/>
      </c>
      <c r="W979" s="46" t="str">
        <f t="shared" si="429"/>
        <v/>
      </c>
      <c r="X979" s="46" t="str">
        <f t="shared" si="429"/>
        <v/>
      </c>
      <c r="Z979" s="11"/>
    </row>
    <row r="980" spans="2:26" s="18" customFormat="1" x14ac:dyDescent="0.25">
      <c r="E980" s="40"/>
      <c r="G980" s="40"/>
      <c r="H980" s="7"/>
      <c r="I980" s="7"/>
      <c r="J980" s="7"/>
      <c r="K980" s="7"/>
      <c r="L980" s="7"/>
      <c r="M980" s="8"/>
      <c r="N980" s="8" t="str">
        <f>IF(R980="x",1,"")</f>
        <v/>
      </c>
      <c r="P980" s="13"/>
      <c r="Q980" s="13"/>
      <c r="R980" s="13"/>
      <c r="S980" s="13"/>
      <c r="T980" s="15"/>
      <c r="U980" s="46" t="str">
        <f t="shared" si="429"/>
        <v/>
      </c>
      <c r="V980" s="46" t="str">
        <f t="shared" si="429"/>
        <v/>
      </c>
      <c r="W980" s="46" t="str">
        <f t="shared" si="429"/>
        <v/>
      </c>
      <c r="X980" s="46" t="str">
        <f t="shared" si="429"/>
        <v/>
      </c>
      <c r="Z980" s="11"/>
    </row>
    <row r="981" spans="2:26" x14ac:dyDescent="0.25">
      <c r="B981" s="11" t="str">
        <f>CONCATENATE("CHMR","-",LEFT(P981,2),UPPER(MID(P981,4,3)),RIGHT(P981,4))</f>
        <v>CHMR-24JUL1888</v>
      </c>
      <c r="C981" s="11" t="s">
        <v>4055</v>
      </c>
      <c r="D981" s="11" t="s">
        <v>1956</v>
      </c>
      <c r="F981" s="11" t="s">
        <v>1700</v>
      </c>
      <c r="G981" s="39" t="s">
        <v>4056</v>
      </c>
      <c r="H981" s="7">
        <v>0</v>
      </c>
      <c r="I981" s="7">
        <v>0</v>
      </c>
      <c r="J981" s="7">
        <v>8</v>
      </c>
      <c r="L981" s="7">
        <f>SUM(H981:K981)</f>
        <v>8</v>
      </c>
      <c r="M981" s="8">
        <v>1</v>
      </c>
      <c r="N981" s="8">
        <f>IF(L981&gt;0,1,"")</f>
        <v>1</v>
      </c>
      <c r="O981" s="11" t="s">
        <v>1702</v>
      </c>
      <c r="P981" s="16" t="str">
        <f>IF(LEN(G981)=10,CONCATENATE("0",G981),G981)</f>
        <v>24-Jul-1888</v>
      </c>
      <c r="R981" s="16" t="str">
        <f>IF($L981&gt;0,"x","")</f>
        <v>x</v>
      </c>
      <c r="S981" s="16" t="str">
        <f>IF($L981&gt;0,"x","")</f>
        <v>x</v>
      </c>
      <c r="U981" s="46" t="str">
        <f t="shared" si="429"/>
        <v/>
      </c>
      <c r="V981" s="46">
        <f t="shared" si="429"/>
        <v>8</v>
      </c>
      <c r="W981" s="46" t="str">
        <f t="shared" si="429"/>
        <v/>
      </c>
      <c r="X981" s="46" t="str">
        <f t="shared" si="429"/>
        <v/>
      </c>
    </row>
    <row r="982" spans="2:26" x14ac:dyDescent="0.25">
      <c r="N982" s="8" t="str">
        <f>IF(R982="x",1,"")</f>
        <v/>
      </c>
      <c r="U982" s="46" t="str">
        <f t="shared" si="429"/>
        <v/>
      </c>
      <c r="V982" s="46" t="str">
        <f t="shared" si="429"/>
        <v/>
      </c>
      <c r="W982" s="46" t="str">
        <f t="shared" si="429"/>
        <v/>
      </c>
      <c r="X982" s="46" t="str">
        <f t="shared" si="429"/>
        <v/>
      </c>
    </row>
    <row r="983" spans="2:26" s="18" customFormat="1" x14ac:dyDescent="0.25">
      <c r="E983" s="40"/>
      <c r="G983" s="40"/>
      <c r="H983" s="7">
        <f t="shared" ref="H983:N983" si="432">SUM(H981:H982)</f>
        <v>0</v>
      </c>
      <c r="I983" s="7">
        <f t="shared" si="432"/>
        <v>0</v>
      </c>
      <c r="J983" s="7">
        <f>SUM(J981:J982)</f>
        <v>8</v>
      </c>
      <c r="K983" s="7">
        <f t="shared" si="432"/>
        <v>0</v>
      </c>
      <c r="L983" s="7">
        <f t="shared" si="432"/>
        <v>8</v>
      </c>
      <c r="M983" s="7">
        <f t="shared" si="432"/>
        <v>1</v>
      </c>
      <c r="N983" s="7">
        <f t="shared" si="432"/>
        <v>1</v>
      </c>
      <c r="P983" s="13"/>
      <c r="Q983" s="13"/>
      <c r="R983" s="13"/>
      <c r="S983" s="13"/>
      <c r="T983" s="15"/>
      <c r="U983" s="46" t="str">
        <f t="shared" si="429"/>
        <v/>
      </c>
      <c r="V983" s="46" t="str">
        <f t="shared" si="429"/>
        <v/>
      </c>
      <c r="W983" s="46" t="str">
        <f t="shared" si="429"/>
        <v/>
      </c>
      <c r="X983" s="46" t="str">
        <f t="shared" si="429"/>
        <v/>
      </c>
      <c r="Z983" s="11"/>
    </row>
    <row r="984" spans="2:26" s="18" customFormat="1" x14ac:dyDescent="0.25">
      <c r="E984" s="40"/>
      <c r="G984" s="40"/>
      <c r="H984" s="7"/>
      <c r="I984" s="7"/>
      <c r="J984" s="7"/>
      <c r="K984" s="7"/>
      <c r="L984" s="7"/>
      <c r="M984" s="8"/>
      <c r="N984" s="8" t="str">
        <f>IF(R984="x",1,"")</f>
        <v/>
      </c>
      <c r="P984" s="13"/>
      <c r="Q984" s="13"/>
      <c r="R984" s="13"/>
      <c r="S984" s="13"/>
      <c r="T984" s="15"/>
      <c r="U984" s="46" t="str">
        <f t="shared" ref="U984:X988" si="433">IF($O984=U$5,$L984,"")</f>
        <v/>
      </c>
      <c r="V984" s="46" t="str">
        <f t="shared" si="433"/>
        <v/>
      </c>
      <c r="W984" s="46" t="str">
        <f t="shared" si="433"/>
        <v/>
      </c>
      <c r="X984" s="46" t="str">
        <f t="shared" si="433"/>
        <v/>
      </c>
      <c r="Z984" s="11"/>
    </row>
    <row r="985" spans="2:26" s="18" customFormat="1" x14ac:dyDescent="0.25">
      <c r="E985" s="40"/>
      <c r="G985" s="40"/>
      <c r="H985" s="7"/>
      <c r="I985" s="7"/>
      <c r="J985" s="7"/>
      <c r="K985" s="7"/>
      <c r="L985" s="7"/>
      <c r="M985" s="8"/>
      <c r="N985" s="8" t="str">
        <f>IF(R985="x",1,"")</f>
        <v/>
      </c>
      <c r="P985" s="13"/>
      <c r="Q985" s="13"/>
      <c r="R985" s="13"/>
      <c r="S985" s="13"/>
      <c r="T985" s="15"/>
      <c r="U985" s="46" t="str">
        <f t="shared" si="433"/>
        <v/>
      </c>
      <c r="V985" s="46" t="str">
        <f t="shared" si="433"/>
        <v/>
      </c>
      <c r="W985" s="46" t="str">
        <f t="shared" si="433"/>
        <v/>
      </c>
      <c r="X985" s="46" t="str">
        <f t="shared" si="433"/>
        <v/>
      </c>
      <c r="Z985" s="11"/>
    </row>
    <row r="986" spans="2:26" x14ac:dyDescent="0.25">
      <c r="B986" s="11" t="str">
        <f>CONCATENATE("CHEM","-",LEFT(P986,2),UPPER(MID(P986,4,3)),RIGHT(P986,4))</f>
        <v>CHEM-20APR1907</v>
      </c>
      <c r="C986" s="11" t="s">
        <v>6116</v>
      </c>
      <c r="D986" s="11" t="s">
        <v>3359</v>
      </c>
      <c r="E986" s="39" t="s">
        <v>1454</v>
      </c>
      <c r="F986" s="11" t="s">
        <v>1700</v>
      </c>
      <c r="G986" s="39" t="s">
        <v>829</v>
      </c>
      <c r="I986" s="7">
        <v>0</v>
      </c>
      <c r="J986" s="7">
        <v>7</v>
      </c>
      <c r="L986" s="7">
        <f>SUM(H986:K986)</f>
        <v>7</v>
      </c>
      <c r="M986" s="8">
        <v>1</v>
      </c>
      <c r="N986" s="8">
        <f>IF(L986&gt;0,1,"")</f>
        <v>1</v>
      </c>
      <c r="O986" s="11" t="s">
        <v>1702</v>
      </c>
      <c r="P986" s="16" t="str">
        <f>IF(LEN(G986)=10,CONCATENATE("0",G986),G986)</f>
        <v>20-Apr-1907</v>
      </c>
      <c r="R986" s="16" t="str">
        <f>IF($L986&gt;0,"x","")</f>
        <v>x</v>
      </c>
      <c r="S986" s="16" t="str">
        <f>IF($L986&gt;0,"x","")</f>
        <v>x</v>
      </c>
      <c r="U986" s="46" t="str">
        <f t="shared" si="433"/>
        <v/>
      </c>
      <c r="V986" s="46">
        <f t="shared" si="433"/>
        <v>7</v>
      </c>
      <c r="W986" s="46" t="str">
        <f t="shared" si="433"/>
        <v/>
      </c>
      <c r="X986" s="46" t="str">
        <f t="shared" si="433"/>
        <v/>
      </c>
    </row>
    <row r="987" spans="2:26" x14ac:dyDescent="0.25">
      <c r="N987" s="8" t="str">
        <f>IF(R987="x",1,"")</f>
        <v/>
      </c>
      <c r="U987" s="46" t="str">
        <f t="shared" si="433"/>
        <v/>
      </c>
      <c r="V987" s="46" t="str">
        <f t="shared" si="433"/>
        <v/>
      </c>
      <c r="W987" s="46" t="str">
        <f t="shared" si="433"/>
        <v/>
      </c>
      <c r="X987" s="46" t="str">
        <f t="shared" si="433"/>
        <v/>
      </c>
    </row>
    <row r="988" spans="2:26" s="18" customFormat="1" x14ac:dyDescent="0.25">
      <c r="E988" s="40"/>
      <c r="G988" s="40"/>
      <c r="H988" s="7">
        <f t="shared" ref="H988:N988" si="434">SUM(H986:H987)</f>
        <v>0</v>
      </c>
      <c r="I988" s="7">
        <f t="shared" si="434"/>
        <v>0</v>
      </c>
      <c r="J988" s="7">
        <f>SUM(J986:J987)</f>
        <v>7</v>
      </c>
      <c r="K988" s="7">
        <f t="shared" si="434"/>
        <v>0</v>
      </c>
      <c r="L988" s="7">
        <f t="shared" si="434"/>
        <v>7</v>
      </c>
      <c r="M988" s="7">
        <f t="shared" si="434"/>
        <v>1</v>
      </c>
      <c r="N988" s="7">
        <f t="shared" si="434"/>
        <v>1</v>
      </c>
      <c r="P988" s="13"/>
      <c r="Q988" s="13"/>
      <c r="R988" s="13"/>
      <c r="S988" s="13"/>
      <c r="T988" s="15"/>
      <c r="U988" s="46" t="str">
        <f t="shared" si="433"/>
        <v/>
      </c>
      <c r="V988" s="46" t="str">
        <f t="shared" si="433"/>
        <v/>
      </c>
      <c r="W988" s="46" t="str">
        <f t="shared" si="433"/>
        <v/>
      </c>
      <c r="X988" s="46" t="str">
        <f t="shared" si="433"/>
        <v/>
      </c>
      <c r="Z988" s="11"/>
    </row>
    <row r="989" spans="2:26" s="18" customFormat="1" x14ac:dyDescent="0.25">
      <c r="E989" s="40"/>
      <c r="G989" s="40"/>
      <c r="H989" s="7"/>
      <c r="I989" s="7"/>
      <c r="J989" s="7"/>
      <c r="K989" s="7"/>
      <c r="L989" s="7"/>
      <c r="M989" s="8"/>
      <c r="N989" s="8" t="str">
        <f>IF(R989="x",1,"")</f>
        <v/>
      </c>
      <c r="P989" s="13"/>
      <c r="Q989" s="13"/>
      <c r="R989" s="13"/>
      <c r="S989" s="13"/>
      <c r="T989" s="15"/>
      <c r="U989" s="46" t="str">
        <f t="shared" ref="U989:X993" si="435">IF($O989=U$5,$L989,"")</f>
        <v/>
      </c>
      <c r="V989" s="46" t="str">
        <f t="shared" si="435"/>
        <v/>
      </c>
      <c r="W989" s="46" t="str">
        <f t="shared" si="435"/>
        <v/>
      </c>
      <c r="X989" s="46" t="str">
        <f t="shared" si="435"/>
        <v/>
      </c>
      <c r="Z989" s="11"/>
    </row>
    <row r="990" spans="2:26" s="18" customFormat="1" x14ac:dyDescent="0.25">
      <c r="E990" s="40"/>
      <c r="G990" s="40"/>
      <c r="H990" s="7"/>
      <c r="I990" s="7"/>
      <c r="J990" s="7"/>
      <c r="K990" s="7"/>
      <c r="L990" s="7"/>
      <c r="M990" s="8"/>
      <c r="N990" s="8" t="str">
        <f>IF(R990="x",1,"")</f>
        <v/>
      </c>
      <c r="P990" s="13"/>
      <c r="Q990" s="13"/>
      <c r="R990" s="13"/>
      <c r="S990" s="13"/>
      <c r="T990" s="15"/>
      <c r="U990" s="46" t="str">
        <f t="shared" si="435"/>
        <v/>
      </c>
      <c r="V990" s="46" t="str">
        <f t="shared" si="435"/>
        <v/>
      </c>
      <c r="W990" s="46" t="str">
        <f t="shared" si="435"/>
        <v/>
      </c>
      <c r="X990" s="46" t="str">
        <f t="shared" si="435"/>
        <v/>
      </c>
      <c r="Z990" s="11"/>
    </row>
    <row r="991" spans="2:26" x14ac:dyDescent="0.25">
      <c r="B991" s="11" t="str">
        <f>CONCATENATE("CHER","-",LEFT(P991,2),UPPER(MID(P991,4,3)),RIGHT(P991,4))</f>
        <v>CHER-06JUL1898</v>
      </c>
      <c r="C991" s="11" t="s">
        <v>4451</v>
      </c>
      <c r="D991" s="11" t="s">
        <v>1699</v>
      </c>
      <c r="E991" s="39" t="s">
        <v>4452</v>
      </c>
      <c r="F991" s="11" t="s">
        <v>1700</v>
      </c>
      <c r="G991" s="39" t="s">
        <v>4453</v>
      </c>
      <c r="J991" s="7">
        <v>12</v>
      </c>
      <c r="L991" s="7">
        <f>SUM(H991:K991)</f>
        <v>12</v>
      </c>
      <c r="M991" s="8">
        <v>1</v>
      </c>
      <c r="N991" s="8">
        <f>IF(L991&gt;0,1,"")</f>
        <v>1</v>
      </c>
      <c r="O991" s="11" t="s">
        <v>1702</v>
      </c>
      <c r="P991" s="16" t="str">
        <f>IF(LEN(G991)=10,CONCATENATE("0",G991),G991)</f>
        <v>06-Jul-1898</v>
      </c>
      <c r="R991" s="16" t="str">
        <f>IF($L991&gt;0,"x","")</f>
        <v>x</v>
      </c>
      <c r="S991" s="16" t="str">
        <f>IF($L991&gt;0,"x","")</f>
        <v>x</v>
      </c>
      <c r="U991" s="46" t="str">
        <f t="shared" si="435"/>
        <v/>
      </c>
      <c r="V991" s="46">
        <f t="shared" si="435"/>
        <v>12</v>
      </c>
      <c r="W991" s="46" t="str">
        <f t="shared" si="435"/>
        <v/>
      </c>
      <c r="X991" s="46" t="str">
        <f t="shared" si="435"/>
        <v/>
      </c>
    </row>
    <row r="992" spans="2:26" x14ac:dyDescent="0.25">
      <c r="N992" s="8" t="str">
        <f>IF(R992="x",1,"")</f>
        <v/>
      </c>
      <c r="U992" s="46" t="str">
        <f t="shared" si="435"/>
        <v/>
      </c>
      <c r="V992" s="46" t="str">
        <f t="shared" si="435"/>
        <v/>
      </c>
      <c r="W992" s="46" t="str">
        <f t="shared" si="435"/>
        <v/>
      </c>
      <c r="X992" s="46" t="str">
        <f t="shared" si="435"/>
        <v/>
      </c>
    </row>
    <row r="993" spans="2:26" s="18" customFormat="1" x14ac:dyDescent="0.25">
      <c r="E993" s="40"/>
      <c r="G993" s="40"/>
      <c r="H993" s="7">
        <f t="shared" ref="H993:N993" si="436">SUM(H991:H992)</f>
        <v>0</v>
      </c>
      <c r="I993" s="7">
        <f t="shared" si="436"/>
        <v>0</v>
      </c>
      <c r="J993" s="7">
        <f>SUM(J991:J992)</f>
        <v>12</v>
      </c>
      <c r="K993" s="7">
        <f t="shared" si="436"/>
        <v>0</v>
      </c>
      <c r="L993" s="7">
        <f t="shared" si="436"/>
        <v>12</v>
      </c>
      <c r="M993" s="7">
        <f t="shared" si="436"/>
        <v>1</v>
      </c>
      <c r="N993" s="7">
        <f t="shared" si="436"/>
        <v>1</v>
      </c>
      <c r="P993" s="13"/>
      <c r="Q993" s="13"/>
      <c r="R993" s="13"/>
      <c r="S993" s="13"/>
      <c r="T993" s="15"/>
      <c r="U993" s="46" t="str">
        <f t="shared" si="435"/>
        <v/>
      </c>
      <c r="V993" s="46" t="str">
        <f t="shared" si="435"/>
        <v/>
      </c>
      <c r="W993" s="46" t="str">
        <f t="shared" si="435"/>
        <v/>
      </c>
      <c r="X993" s="46" t="str">
        <f t="shared" si="435"/>
        <v/>
      </c>
      <c r="Z993" s="11"/>
    </row>
    <row r="994" spans="2:26" s="18" customFormat="1" x14ac:dyDescent="0.25">
      <c r="E994" s="40"/>
      <c r="G994" s="40"/>
      <c r="H994" s="7"/>
      <c r="I994" s="7"/>
      <c r="J994" s="7"/>
      <c r="K994" s="7"/>
      <c r="L994" s="7"/>
      <c r="M994" s="8"/>
      <c r="N994" s="8" t="str">
        <f>IF(R994="x",1,"")</f>
        <v/>
      </c>
      <c r="P994" s="13"/>
      <c r="Q994" s="13"/>
      <c r="R994" s="13"/>
      <c r="S994" s="13"/>
      <c r="T994" s="15"/>
      <c r="U994" s="46" t="str">
        <f t="shared" ref="U994:X1012" si="437">IF($O994=U$5,$L994,"")</f>
        <v/>
      </c>
      <c r="V994" s="46" t="str">
        <f t="shared" si="437"/>
        <v/>
      </c>
      <c r="W994" s="46" t="str">
        <f t="shared" si="437"/>
        <v/>
      </c>
      <c r="X994" s="46" t="str">
        <f t="shared" si="437"/>
        <v/>
      </c>
      <c r="Z994" s="11"/>
    </row>
    <row r="995" spans="2:26" s="18" customFormat="1" x14ac:dyDescent="0.25">
      <c r="E995" s="40"/>
      <c r="G995" s="40"/>
      <c r="H995" s="7"/>
      <c r="I995" s="7"/>
      <c r="J995" s="7"/>
      <c r="K995" s="7"/>
      <c r="L995" s="7"/>
      <c r="M995" s="8"/>
      <c r="N995" s="8" t="str">
        <f>IF(R995="x",1,"")</f>
        <v/>
      </c>
      <c r="P995" s="13"/>
      <c r="Q995" s="13"/>
      <c r="R995" s="13"/>
      <c r="S995" s="13"/>
      <c r="T995" s="15"/>
      <c r="U995" s="46" t="str">
        <f t="shared" si="437"/>
        <v/>
      </c>
      <c r="V995" s="46" t="str">
        <f t="shared" si="437"/>
        <v/>
      </c>
      <c r="W995" s="46" t="str">
        <f t="shared" si="437"/>
        <v/>
      </c>
      <c r="X995" s="46" t="str">
        <f t="shared" si="437"/>
        <v/>
      </c>
      <c r="Z995" s="11"/>
    </row>
    <row r="996" spans="2:26" x14ac:dyDescent="0.25">
      <c r="B996" s="11" t="str">
        <f t="shared" ref="B996:B1001" si="438">CONCATENATE("CHGO","-",LEFT(P996,2),UPPER(MID(P996,4,3)),RIGHT(P996,4))</f>
        <v>CHGO-09JUN1908</v>
      </c>
      <c r="C996" s="11" t="s">
        <v>916</v>
      </c>
      <c r="D996" s="11" t="s">
        <v>1699</v>
      </c>
      <c r="E996" s="39" t="s">
        <v>922</v>
      </c>
      <c r="F996" s="11" t="s">
        <v>1700</v>
      </c>
      <c r="G996" s="39" t="s">
        <v>917</v>
      </c>
      <c r="I996" s="7">
        <v>0</v>
      </c>
      <c r="J996" s="7">
        <v>4</v>
      </c>
      <c r="L996" s="7">
        <f t="shared" ref="L996:L1001" si="439">SUM(H996:K996)</f>
        <v>4</v>
      </c>
      <c r="M996" s="8">
        <v>1</v>
      </c>
      <c r="N996" s="8">
        <f t="shared" ref="N996:N1001" si="440">IF(L996&gt;0,1,"")</f>
        <v>1</v>
      </c>
      <c r="O996" s="11" t="s">
        <v>1702</v>
      </c>
      <c r="P996" s="16" t="str">
        <f t="shared" ref="P996:P1001" si="441">IF(LEN(G996)=10,CONCATENATE("0",G996),G996)</f>
        <v>09-Jun-1908</v>
      </c>
      <c r="R996" s="16" t="str">
        <f t="shared" ref="R996:S1011" si="442">IF($L996&gt;0,"x","")</f>
        <v>x</v>
      </c>
      <c r="S996" s="16" t="str">
        <f t="shared" si="442"/>
        <v>x</v>
      </c>
      <c r="U996" s="46" t="str">
        <f t="shared" si="437"/>
        <v/>
      </c>
      <c r="V996" s="46">
        <f t="shared" si="437"/>
        <v>4</v>
      </c>
      <c r="W996" s="46" t="str">
        <f t="shared" si="437"/>
        <v/>
      </c>
      <c r="X996" s="46" t="str">
        <f t="shared" si="437"/>
        <v/>
      </c>
      <c r="Z996" s="11" t="s">
        <v>1162</v>
      </c>
    </row>
    <row r="997" spans="2:26" x14ac:dyDescent="0.25">
      <c r="B997" s="11" t="str">
        <f t="shared" si="438"/>
        <v>CHGO-02SEP1908</v>
      </c>
      <c r="C997" s="11" t="s">
        <v>916</v>
      </c>
      <c r="D997" s="11" t="s">
        <v>1699</v>
      </c>
      <c r="E997" s="39" t="s">
        <v>1826</v>
      </c>
      <c r="F997" s="11" t="s">
        <v>1700</v>
      </c>
      <c r="G997" s="39" t="s">
        <v>918</v>
      </c>
      <c r="I997" s="7">
        <v>0</v>
      </c>
      <c r="J997" s="7">
        <v>6</v>
      </c>
      <c r="L997" s="7">
        <f t="shared" si="439"/>
        <v>6</v>
      </c>
      <c r="M997" s="8">
        <v>1</v>
      </c>
      <c r="N997" s="8">
        <f t="shared" si="440"/>
        <v>1</v>
      </c>
      <c r="O997" s="11" t="s">
        <v>1702</v>
      </c>
      <c r="P997" s="16" t="str">
        <f t="shared" si="441"/>
        <v>02-Sep-1908</v>
      </c>
      <c r="R997" s="16" t="str">
        <f t="shared" si="442"/>
        <v>x</v>
      </c>
      <c r="S997" s="16" t="str">
        <f t="shared" si="442"/>
        <v>x</v>
      </c>
      <c r="U997" s="46" t="str">
        <f t="shared" si="437"/>
        <v/>
      </c>
      <c r="V997" s="46">
        <f t="shared" si="437"/>
        <v>6</v>
      </c>
      <c r="W997" s="46" t="str">
        <f t="shared" si="437"/>
        <v/>
      </c>
      <c r="X997" s="46" t="str">
        <f t="shared" si="437"/>
        <v/>
      </c>
    </row>
    <row r="998" spans="2:26" x14ac:dyDescent="0.25">
      <c r="B998" s="11" t="str">
        <f t="shared" si="438"/>
        <v>CHGO-29SEP1908</v>
      </c>
      <c r="C998" s="11" t="s">
        <v>916</v>
      </c>
      <c r="D998" s="11" t="s">
        <v>1699</v>
      </c>
      <c r="E998" s="39" t="s">
        <v>923</v>
      </c>
      <c r="F998" s="11" t="s">
        <v>1700</v>
      </c>
      <c r="G998" s="39" t="s">
        <v>919</v>
      </c>
      <c r="I998" s="7">
        <v>0</v>
      </c>
      <c r="J998" s="7">
        <v>0</v>
      </c>
      <c r="L998" s="7">
        <f t="shared" si="439"/>
        <v>0</v>
      </c>
      <c r="M998" s="8">
        <v>1</v>
      </c>
      <c r="N998" s="8" t="str">
        <f t="shared" si="440"/>
        <v/>
      </c>
      <c r="O998" s="11" t="s">
        <v>1702</v>
      </c>
      <c r="P998" s="16" t="str">
        <f t="shared" si="441"/>
        <v>29-Sep-1908</v>
      </c>
      <c r="R998" s="16" t="str">
        <f t="shared" si="442"/>
        <v/>
      </c>
      <c r="S998" s="16" t="str">
        <f t="shared" si="442"/>
        <v/>
      </c>
      <c r="U998" s="46" t="str">
        <f t="shared" si="437"/>
        <v/>
      </c>
      <c r="V998" s="46">
        <f t="shared" si="437"/>
        <v>0</v>
      </c>
      <c r="W998" s="46" t="str">
        <f t="shared" si="437"/>
        <v/>
      </c>
      <c r="X998" s="46" t="str">
        <f t="shared" si="437"/>
        <v/>
      </c>
    </row>
    <row r="999" spans="2:26" x14ac:dyDescent="0.25">
      <c r="B999" s="11" t="str">
        <f t="shared" si="438"/>
        <v>CHGO-26OCT1908</v>
      </c>
      <c r="C999" s="11" t="s">
        <v>916</v>
      </c>
      <c r="D999" s="11" t="s">
        <v>1699</v>
      </c>
      <c r="E999" s="39" t="s">
        <v>924</v>
      </c>
      <c r="F999" s="11" t="s">
        <v>1700</v>
      </c>
      <c r="G999" s="39" t="s">
        <v>920</v>
      </c>
      <c r="I999" s="7">
        <v>0</v>
      </c>
      <c r="J999" s="7">
        <v>46</v>
      </c>
      <c r="L999" s="7">
        <f t="shared" si="439"/>
        <v>46</v>
      </c>
      <c r="M999" s="8">
        <v>1</v>
      </c>
      <c r="N999" s="8">
        <f t="shared" si="440"/>
        <v>1</v>
      </c>
      <c r="O999" s="11" t="s">
        <v>1702</v>
      </c>
      <c r="P999" s="16" t="str">
        <f t="shared" si="441"/>
        <v>26-Oct-1908</v>
      </c>
      <c r="R999" s="16" t="str">
        <f t="shared" si="442"/>
        <v>x</v>
      </c>
      <c r="S999" s="16" t="str">
        <f t="shared" si="442"/>
        <v>x</v>
      </c>
      <c r="U999" s="46" t="str">
        <f t="shared" si="437"/>
        <v/>
      </c>
      <c r="V999" s="46">
        <f t="shared" si="437"/>
        <v>46</v>
      </c>
      <c r="W999" s="46" t="str">
        <f t="shared" si="437"/>
        <v/>
      </c>
      <c r="X999" s="46" t="str">
        <f t="shared" si="437"/>
        <v/>
      </c>
    </row>
    <row r="1000" spans="2:26" x14ac:dyDescent="0.25">
      <c r="B1000" s="11" t="str">
        <f t="shared" si="438"/>
        <v>CHGO-07DEC1908</v>
      </c>
      <c r="C1000" s="11" t="s">
        <v>916</v>
      </c>
      <c r="D1000" s="11" t="s">
        <v>1699</v>
      </c>
      <c r="E1000" s="39" t="s">
        <v>1831</v>
      </c>
      <c r="F1000" s="11" t="s">
        <v>1700</v>
      </c>
      <c r="G1000" s="39" t="s">
        <v>921</v>
      </c>
      <c r="I1000" s="7">
        <v>0</v>
      </c>
      <c r="J1000" s="7">
        <v>13</v>
      </c>
      <c r="L1000" s="7">
        <f t="shared" si="439"/>
        <v>13</v>
      </c>
      <c r="M1000" s="8">
        <v>1</v>
      </c>
      <c r="N1000" s="8">
        <f t="shared" si="440"/>
        <v>1</v>
      </c>
      <c r="O1000" s="11" t="s">
        <v>1702</v>
      </c>
      <c r="P1000" s="16" t="str">
        <f t="shared" si="441"/>
        <v>07-Dec-1908</v>
      </c>
      <c r="R1000" s="16" t="str">
        <f t="shared" si="442"/>
        <v>x</v>
      </c>
      <c r="S1000" s="16" t="str">
        <f t="shared" si="442"/>
        <v>x</v>
      </c>
      <c r="U1000" s="46" t="str">
        <f t="shared" si="437"/>
        <v/>
      </c>
      <c r="V1000" s="46">
        <f t="shared" si="437"/>
        <v>13</v>
      </c>
      <c r="W1000" s="46" t="str">
        <f t="shared" si="437"/>
        <v/>
      </c>
      <c r="X1000" s="46" t="str">
        <f t="shared" si="437"/>
        <v/>
      </c>
    </row>
    <row r="1001" spans="2:26" x14ac:dyDescent="0.25">
      <c r="B1001" s="11" t="str">
        <f t="shared" si="438"/>
        <v>CHGO-23FEB1909</v>
      </c>
      <c r="C1001" s="11" t="s">
        <v>916</v>
      </c>
      <c r="D1001" s="11" t="s">
        <v>1699</v>
      </c>
      <c r="E1001" s="39" t="s">
        <v>932</v>
      </c>
      <c r="F1001" s="11" t="s">
        <v>1700</v>
      </c>
      <c r="G1001" s="39" t="s">
        <v>925</v>
      </c>
      <c r="I1001" s="7">
        <v>0</v>
      </c>
      <c r="J1001" s="7">
        <v>57</v>
      </c>
      <c r="L1001" s="7">
        <f t="shared" si="439"/>
        <v>57</v>
      </c>
      <c r="M1001" s="8">
        <v>1</v>
      </c>
      <c r="N1001" s="8">
        <f t="shared" si="440"/>
        <v>1</v>
      </c>
      <c r="O1001" s="11" t="s">
        <v>1702</v>
      </c>
      <c r="P1001" s="16" t="str">
        <f t="shared" si="441"/>
        <v>23-Feb-1909</v>
      </c>
      <c r="R1001" s="16" t="str">
        <f t="shared" si="442"/>
        <v>x</v>
      </c>
      <c r="S1001" s="16" t="str">
        <f t="shared" si="442"/>
        <v>x</v>
      </c>
      <c r="U1001" s="46" t="str">
        <f t="shared" si="437"/>
        <v/>
      </c>
      <c r="V1001" s="46">
        <f t="shared" si="437"/>
        <v>57</v>
      </c>
      <c r="W1001" s="46" t="str">
        <f t="shared" si="437"/>
        <v/>
      </c>
      <c r="X1001" s="46" t="str">
        <f t="shared" si="437"/>
        <v/>
      </c>
    </row>
    <row r="1002" spans="2:26" x14ac:dyDescent="0.25">
      <c r="B1002" s="11" t="str">
        <f t="shared" ref="B1002:B1009" si="443">CONCATENATE("CHGO","-",LEFT(P1002,2),UPPER(MID(P1002,4,3)),RIGHT(P1002,4))</f>
        <v>CHGO-23MAR1909</v>
      </c>
      <c r="C1002" s="11" t="s">
        <v>916</v>
      </c>
      <c r="D1002" s="11" t="s">
        <v>1699</v>
      </c>
      <c r="E1002" s="39" t="s">
        <v>933</v>
      </c>
      <c r="F1002" s="11" t="s">
        <v>1700</v>
      </c>
      <c r="G1002" s="39" t="s">
        <v>926</v>
      </c>
      <c r="I1002" s="7">
        <v>0</v>
      </c>
      <c r="J1002" s="7">
        <v>34</v>
      </c>
      <c r="L1002" s="7">
        <f t="shared" ref="L1002:L1022" si="444">SUM(H1002:K1002)</f>
        <v>34</v>
      </c>
      <c r="M1002" s="8">
        <v>1</v>
      </c>
      <c r="N1002" s="8">
        <f t="shared" ref="N1002:N1009" si="445">IF(L1002&gt;0,1,"")</f>
        <v>1</v>
      </c>
      <c r="O1002" s="11" t="s">
        <v>1702</v>
      </c>
      <c r="P1002" s="16" t="str">
        <f t="shared" ref="P1002:P1009" si="446">IF(LEN(G1002)=10,CONCATENATE("0",G1002),G1002)</f>
        <v>23-Mar-1909</v>
      </c>
      <c r="R1002" s="16" t="str">
        <f t="shared" si="442"/>
        <v>x</v>
      </c>
      <c r="S1002" s="16" t="str">
        <f t="shared" si="442"/>
        <v>x</v>
      </c>
      <c r="U1002" s="46" t="str">
        <f t="shared" si="437"/>
        <v/>
      </c>
      <c r="V1002" s="46">
        <f t="shared" si="437"/>
        <v>34</v>
      </c>
      <c r="W1002" s="46" t="str">
        <f t="shared" si="437"/>
        <v/>
      </c>
      <c r="X1002" s="46" t="str">
        <f t="shared" si="437"/>
        <v/>
      </c>
    </row>
    <row r="1003" spans="2:26" x14ac:dyDescent="0.25">
      <c r="B1003" s="11" t="str">
        <f t="shared" si="443"/>
        <v>CHGO-27APR1909</v>
      </c>
      <c r="C1003" s="11" t="s">
        <v>916</v>
      </c>
      <c r="D1003" s="11" t="s">
        <v>1699</v>
      </c>
      <c r="E1003" s="39" t="s">
        <v>862</v>
      </c>
      <c r="F1003" s="11" t="s">
        <v>1700</v>
      </c>
      <c r="G1003" s="39" t="s">
        <v>927</v>
      </c>
      <c r="I1003" s="7">
        <v>0</v>
      </c>
      <c r="J1003" s="7">
        <v>40</v>
      </c>
      <c r="L1003" s="7">
        <f t="shared" si="444"/>
        <v>40</v>
      </c>
      <c r="M1003" s="8">
        <v>1</v>
      </c>
      <c r="N1003" s="8">
        <f t="shared" si="445"/>
        <v>1</v>
      </c>
      <c r="O1003" s="11" t="s">
        <v>1702</v>
      </c>
      <c r="P1003" s="16" t="str">
        <f t="shared" si="446"/>
        <v>27-Apr-1909</v>
      </c>
      <c r="R1003" s="16" t="str">
        <f t="shared" si="442"/>
        <v>x</v>
      </c>
      <c r="S1003" s="16" t="str">
        <f t="shared" si="442"/>
        <v>x</v>
      </c>
      <c r="U1003" s="46" t="str">
        <f t="shared" si="437"/>
        <v/>
      </c>
      <c r="V1003" s="46">
        <f t="shared" si="437"/>
        <v>40</v>
      </c>
      <c r="W1003" s="46" t="str">
        <f t="shared" si="437"/>
        <v/>
      </c>
      <c r="X1003" s="46" t="str">
        <f t="shared" si="437"/>
        <v/>
      </c>
    </row>
    <row r="1004" spans="2:26" x14ac:dyDescent="0.25">
      <c r="B1004" s="11" t="str">
        <f t="shared" si="443"/>
        <v>CHGO-01JUN1909</v>
      </c>
      <c r="C1004" s="11" t="s">
        <v>916</v>
      </c>
      <c r="D1004" s="11" t="s">
        <v>1699</v>
      </c>
      <c r="E1004" s="39" t="s">
        <v>934</v>
      </c>
      <c r="F1004" s="11" t="s">
        <v>1700</v>
      </c>
      <c r="G1004" s="39" t="s">
        <v>928</v>
      </c>
      <c r="I1004" s="7">
        <v>4</v>
      </c>
      <c r="J1004" s="7">
        <v>59</v>
      </c>
      <c r="L1004" s="7">
        <f t="shared" si="444"/>
        <v>63</v>
      </c>
      <c r="M1004" s="8">
        <v>1</v>
      </c>
      <c r="N1004" s="8">
        <f t="shared" si="445"/>
        <v>1</v>
      </c>
      <c r="O1004" s="11" t="s">
        <v>1702</v>
      </c>
      <c r="P1004" s="16" t="str">
        <f t="shared" si="446"/>
        <v>01-Jun-1909</v>
      </c>
      <c r="R1004" s="16" t="str">
        <f t="shared" si="442"/>
        <v>x</v>
      </c>
      <c r="S1004" s="16" t="str">
        <f t="shared" si="442"/>
        <v>x</v>
      </c>
      <c r="U1004" s="46" t="str">
        <f t="shared" si="437"/>
        <v/>
      </c>
      <c r="V1004" s="46">
        <f t="shared" si="437"/>
        <v>63</v>
      </c>
      <c r="W1004" s="46" t="str">
        <f t="shared" si="437"/>
        <v/>
      </c>
      <c r="X1004" s="46" t="str">
        <f t="shared" si="437"/>
        <v/>
      </c>
    </row>
    <row r="1005" spans="2:26" x14ac:dyDescent="0.25">
      <c r="B1005" s="11" t="str">
        <f t="shared" si="443"/>
        <v>CHGO-28JUN1909</v>
      </c>
      <c r="C1005" s="11" t="s">
        <v>916</v>
      </c>
      <c r="D1005" s="11" t="s">
        <v>1699</v>
      </c>
      <c r="E1005" s="39" t="s">
        <v>935</v>
      </c>
      <c r="F1005" s="11" t="s">
        <v>1700</v>
      </c>
      <c r="G1005" s="39" t="s">
        <v>929</v>
      </c>
      <c r="I1005" s="7">
        <v>3</v>
      </c>
      <c r="J1005" s="7">
        <v>48</v>
      </c>
      <c r="L1005" s="7">
        <f t="shared" si="444"/>
        <v>51</v>
      </c>
      <c r="M1005" s="8">
        <v>1</v>
      </c>
      <c r="N1005" s="8">
        <f t="shared" si="445"/>
        <v>1</v>
      </c>
      <c r="O1005" s="11" t="s">
        <v>1702</v>
      </c>
      <c r="P1005" s="16" t="str">
        <f t="shared" si="446"/>
        <v>28-Jun-1909</v>
      </c>
      <c r="R1005" s="16" t="str">
        <f t="shared" si="442"/>
        <v>x</v>
      </c>
      <c r="S1005" s="16" t="str">
        <f t="shared" si="442"/>
        <v>x</v>
      </c>
      <c r="U1005" s="46" t="str">
        <f t="shared" si="437"/>
        <v/>
      </c>
      <c r="V1005" s="46">
        <f t="shared" si="437"/>
        <v>51</v>
      </c>
      <c r="W1005" s="46" t="str">
        <f t="shared" si="437"/>
        <v/>
      </c>
      <c r="X1005" s="46" t="str">
        <f t="shared" si="437"/>
        <v/>
      </c>
    </row>
    <row r="1006" spans="2:26" x14ac:dyDescent="0.25">
      <c r="B1006" s="11" t="str">
        <f t="shared" si="443"/>
        <v>CHGO-30AUG1909</v>
      </c>
      <c r="C1006" s="11" t="s">
        <v>916</v>
      </c>
      <c r="D1006" s="11" t="s">
        <v>1699</v>
      </c>
      <c r="E1006" s="39" t="s">
        <v>1843</v>
      </c>
      <c r="F1006" s="11" t="s">
        <v>1700</v>
      </c>
      <c r="G1006" s="39" t="s">
        <v>1844</v>
      </c>
      <c r="I1006" s="7">
        <v>0</v>
      </c>
      <c r="J1006" s="7">
        <v>79</v>
      </c>
      <c r="L1006" s="7">
        <f t="shared" si="444"/>
        <v>79</v>
      </c>
      <c r="M1006" s="8">
        <v>1</v>
      </c>
      <c r="N1006" s="8">
        <f t="shared" si="445"/>
        <v>1</v>
      </c>
      <c r="O1006" s="11" t="s">
        <v>1702</v>
      </c>
      <c r="P1006" s="16" t="str">
        <f t="shared" si="446"/>
        <v>30-Aug-1909</v>
      </c>
      <c r="R1006" s="16" t="str">
        <f t="shared" si="442"/>
        <v>x</v>
      </c>
      <c r="S1006" s="16" t="str">
        <f t="shared" si="442"/>
        <v>x</v>
      </c>
      <c r="U1006" s="46" t="str">
        <f t="shared" si="437"/>
        <v/>
      </c>
      <c r="V1006" s="46">
        <f t="shared" si="437"/>
        <v>79</v>
      </c>
      <c r="W1006" s="46" t="str">
        <f t="shared" si="437"/>
        <v/>
      </c>
      <c r="X1006" s="46" t="str">
        <f t="shared" si="437"/>
        <v/>
      </c>
    </row>
    <row r="1007" spans="2:26" x14ac:dyDescent="0.25">
      <c r="B1007" s="11" t="str">
        <f t="shared" si="443"/>
        <v>CHGO-27SEP1909</v>
      </c>
      <c r="C1007" s="11" t="s">
        <v>916</v>
      </c>
      <c r="D1007" s="11" t="s">
        <v>1699</v>
      </c>
      <c r="E1007" s="39" t="s">
        <v>936</v>
      </c>
      <c r="F1007" s="11" t="s">
        <v>1700</v>
      </c>
      <c r="G1007" s="39" t="s">
        <v>930</v>
      </c>
      <c r="I1007" s="7">
        <v>3</v>
      </c>
      <c r="J1007" s="7">
        <v>42</v>
      </c>
      <c r="L1007" s="7">
        <f t="shared" si="444"/>
        <v>45</v>
      </c>
      <c r="M1007" s="8">
        <v>1</v>
      </c>
      <c r="N1007" s="8">
        <f t="shared" si="445"/>
        <v>1</v>
      </c>
      <c r="O1007" s="11" t="s">
        <v>1702</v>
      </c>
      <c r="P1007" s="16" t="str">
        <f t="shared" si="446"/>
        <v>27-Sep-1909</v>
      </c>
      <c r="R1007" s="16" t="str">
        <f t="shared" si="442"/>
        <v>x</v>
      </c>
      <c r="S1007" s="16" t="str">
        <f t="shared" si="442"/>
        <v>x</v>
      </c>
      <c r="U1007" s="46" t="str">
        <f t="shared" si="437"/>
        <v/>
      </c>
      <c r="V1007" s="46">
        <f t="shared" si="437"/>
        <v>45</v>
      </c>
      <c r="W1007" s="46" t="str">
        <f t="shared" si="437"/>
        <v/>
      </c>
      <c r="X1007" s="46" t="str">
        <f t="shared" si="437"/>
        <v/>
      </c>
    </row>
    <row r="1008" spans="2:26" x14ac:dyDescent="0.25">
      <c r="B1008" s="11" t="str">
        <f t="shared" si="443"/>
        <v>CHGO-28OCT1909</v>
      </c>
      <c r="C1008" s="11" t="s">
        <v>916</v>
      </c>
      <c r="D1008" s="11" t="s">
        <v>1699</v>
      </c>
      <c r="E1008" s="39" t="s">
        <v>937</v>
      </c>
      <c r="F1008" s="11" t="s">
        <v>1700</v>
      </c>
      <c r="G1008" s="39" t="s">
        <v>938</v>
      </c>
      <c r="I1008" s="7">
        <v>0</v>
      </c>
      <c r="J1008" s="7">
        <v>50</v>
      </c>
      <c r="L1008" s="7">
        <f t="shared" si="444"/>
        <v>50</v>
      </c>
      <c r="M1008" s="8">
        <v>1</v>
      </c>
      <c r="N1008" s="8">
        <f t="shared" si="445"/>
        <v>1</v>
      </c>
      <c r="O1008" s="11" t="s">
        <v>1702</v>
      </c>
      <c r="P1008" s="16" t="str">
        <f t="shared" si="446"/>
        <v>28-Oct-1909</v>
      </c>
      <c r="R1008" s="16" t="str">
        <f t="shared" si="442"/>
        <v>x</v>
      </c>
      <c r="S1008" s="16" t="str">
        <f t="shared" si="442"/>
        <v>x</v>
      </c>
      <c r="U1008" s="46" t="str">
        <f t="shared" si="437"/>
        <v/>
      </c>
      <c r="V1008" s="46">
        <f t="shared" si="437"/>
        <v>50</v>
      </c>
      <c r="W1008" s="46" t="str">
        <f t="shared" si="437"/>
        <v/>
      </c>
      <c r="X1008" s="46" t="str">
        <f t="shared" si="437"/>
        <v/>
      </c>
    </row>
    <row r="1009" spans="2:24" x14ac:dyDescent="0.25">
      <c r="B1009" s="11" t="str">
        <f t="shared" si="443"/>
        <v>CHGO-07DEC1909</v>
      </c>
      <c r="C1009" s="11" t="s">
        <v>916</v>
      </c>
      <c r="D1009" s="11" t="s">
        <v>1699</v>
      </c>
      <c r="E1009" s="39" t="s">
        <v>868</v>
      </c>
      <c r="F1009" s="11" t="s">
        <v>1700</v>
      </c>
      <c r="G1009" s="39" t="s">
        <v>931</v>
      </c>
      <c r="I1009" s="7">
        <v>0</v>
      </c>
      <c r="J1009" s="7">
        <v>1</v>
      </c>
      <c r="L1009" s="7">
        <f t="shared" si="444"/>
        <v>1</v>
      </c>
      <c r="M1009" s="8">
        <v>1</v>
      </c>
      <c r="N1009" s="8">
        <f t="shared" si="445"/>
        <v>1</v>
      </c>
      <c r="O1009" s="11" t="s">
        <v>1702</v>
      </c>
      <c r="P1009" s="16" t="str">
        <f t="shared" si="446"/>
        <v>07-Dec-1909</v>
      </c>
      <c r="R1009" s="16" t="str">
        <f t="shared" si="442"/>
        <v>x</v>
      </c>
      <c r="S1009" s="16" t="str">
        <f t="shared" si="442"/>
        <v>x</v>
      </c>
      <c r="U1009" s="46" t="str">
        <f t="shared" si="437"/>
        <v/>
      </c>
      <c r="V1009" s="46">
        <f t="shared" si="437"/>
        <v>1</v>
      </c>
      <c r="W1009" s="46" t="str">
        <f t="shared" si="437"/>
        <v/>
      </c>
      <c r="X1009" s="46" t="str">
        <f t="shared" si="437"/>
        <v/>
      </c>
    </row>
    <row r="1010" spans="2:24" x14ac:dyDescent="0.25">
      <c r="B1010" s="11" t="str">
        <f t="shared" ref="B1010:B1022" si="447">CONCATENATE("CHGO","-",LEFT(P1010,2),UPPER(MID(P1010,4,3)),RIGHT(P1010,4))</f>
        <v>CHGO-04MAR1910</v>
      </c>
      <c r="C1010" s="11" t="s">
        <v>916</v>
      </c>
      <c r="D1010" s="11" t="s">
        <v>1699</v>
      </c>
      <c r="E1010" s="39" t="s">
        <v>946</v>
      </c>
      <c r="F1010" s="11" t="s">
        <v>1700</v>
      </c>
      <c r="G1010" s="39" t="s">
        <v>939</v>
      </c>
      <c r="I1010" s="7">
        <v>0</v>
      </c>
      <c r="J1010" s="7">
        <v>15</v>
      </c>
      <c r="L1010" s="7">
        <f t="shared" si="444"/>
        <v>15</v>
      </c>
      <c r="M1010" s="8">
        <v>1</v>
      </c>
      <c r="N1010" s="8">
        <f t="shared" ref="N1010:N1022" si="448">IF(L1010&gt;0,1,"")</f>
        <v>1</v>
      </c>
      <c r="O1010" s="11" t="s">
        <v>1702</v>
      </c>
      <c r="P1010" s="16" t="str">
        <f t="shared" ref="P1010:P1022" si="449">IF(LEN(G1010)=10,CONCATENATE("0",G1010),G1010)</f>
        <v>04-Mar-1910</v>
      </c>
      <c r="R1010" s="16" t="str">
        <f t="shared" si="442"/>
        <v>x</v>
      </c>
      <c r="S1010" s="16" t="str">
        <f t="shared" si="442"/>
        <v>x</v>
      </c>
      <c r="U1010" s="46" t="str">
        <f t="shared" si="437"/>
        <v/>
      </c>
      <c r="V1010" s="46">
        <f t="shared" si="437"/>
        <v>15</v>
      </c>
      <c r="W1010" s="46" t="str">
        <f t="shared" si="437"/>
        <v/>
      </c>
      <c r="X1010" s="46" t="str">
        <f t="shared" si="437"/>
        <v/>
      </c>
    </row>
    <row r="1011" spans="2:24" x14ac:dyDescent="0.25">
      <c r="B1011" s="11" t="str">
        <f t="shared" si="447"/>
        <v>CHGO-29MAR1910</v>
      </c>
      <c r="C1011" s="11" t="s">
        <v>916</v>
      </c>
      <c r="D1011" s="11" t="s">
        <v>1699</v>
      </c>
      <c r="E1011" s="39" t="s">
        <v>1856</v>
      </c>
      <c r="F1011" s="11" t="s">
        <v>1700</v>
      </c>
      <c r="G1011" s="39" t="s">
        <v>940</v>
      </c>
      <c r="I1011" s="7">
        <v>0</v>
      </c>
      <c r="J1011" s="7">
        <v>19</v>
      </c>
      <c r="L1011" s="7">
        <f t="shared" si="444"/>
        <v>19</v>
      </c>
      <c r="M1011" s="8">
        <v>1</v>
      </c>
      <c r="N1011" s="8">
        <f t="shared" si="448"/>
        <v>1</v>
      </c>
      <c r="O1011" s="11" t="s">
        <v>1702</v>
      </c>
      <c r="P1011" s="16" t="str">
        <f t="shared" si="449"/>
        <v>29-Mar-1910</v>
      </c>
      <c r="R1011" s="16" t="str">
        <f t="shared" si="442"/>
        <v>x</v>
      </c>
      <c r="S1011" s="16" t="str">
        <f t="shared" si="442"/>
        <v>x</v>
      </c>
      <c r="U1011" s="46" t="str">
        <f t="shared" si="437"/>
        <v/>
      </c>
      <c r="V1011" s="46">
        <f t="shared" si="437"/>
        <v>19</v>
      </c>
      <c r="W1011" s="46" t="str">
        <f t="shared" si="437"/>
        <v/>
      </c>
      <c r="X1011" s="46" t="str">
        <f t="shared" si="437"/>
        <v/>
      </c>
    </row>
    <row r="1012" spans="2:24" x14ac:dyDescent="0.25">
      <c r="B1012" s="11" t="str">
        <f t="shared" si="447"/>
        <v>CHGO-25APR1910</v>
      </c>
      <c r="C1012" s="11" t="s">
        <v>916</v>
      </c>
      <c r="D1012" s="11" t="s">
        <v>1699</v>
      </c>
      <c r="E1012" s="39" t="s">
        <v>892</v>
      </c>
      <c r="F1012" s="11" t="s">
        <v>1700</v>
      </c>
      <c r="G1012" s="39" t="s">
        <v>875</v>
      </c>
      <c r="I1012" s="7">
        <v>1</v>
      </c>
      <c r="J1012" s="7">
        <v>37</v>
      </c>
      <c r="L1012" s="7">
        <f t="shared" si="444"/>
        <v>38</v>
      </c>
      <c r="M1012" s="8">
        <v>1</v>
      </c>
      <c r="N1012" s="8">
        <f t="shared" si="448"/>
        <v>1</v>
      </c>
      <c r="O1012" s="11" t="s">
        <v>1702</v>
      </c>
      <c r="P1012" s="16" t="str">
        <f t="shared" si="449"/>
        <v>25-Apr-1910</v>
      </c>
      <c r="R1012" s="16" t="str">
        <f t="shared" ref="R1012:S1031" si="450">IF($L1012&gt;0,"x","")</f>
        <v>x</v>
      </c>
      <c r="S1012" s="16" t="str">
        <f t="shared" si="450"/>
        <v>x</v>
      </c>
      <c r="U1012" s="46" t="str">
        <f t="shared" si="437"/>
        <v/>
      </c>
      <c r="V1012" s="46">
        <f t="shared" si="437"/>
        <v>38</v>
      </c>
      <c r="W1012" s="46" t="str">
        <f t="shared" si="437"/>
        <v/>
      </c>
      <c r="X1012" s="46" t="str">
        <f t="shared" si="437"/>
        <v/>
      </c>
    </row>
    <row r="1013" spans="2:24" x14ac:dyDescent="0.25">
      <c r="B1013" s="11" t="str">
        <f t="shared" si="447"/>
        <v>CHGO-23MAY1910</v>
      </c>
      <c r="C1013" s="11" t="s">
        <v>916</v>
      </c>
      <c r="D1013" s="11" t="s">
        <v>1699</v>
      </c>
      <c r="E1013" s="39" t="s">
        <v>1859</v>
      </c>
      <c r="F1013" s="11" t="s">
        <v>1700</v>
      </c>
      <c r="G1013" s="39" t="s">
        <v>941</v>
      </c>
      <c r="I1013" s="7">
        <v>7</v>
      </c>
      <c r="J1013" s="7">
        <v>43</v>
      </c>
      <c r="L1013" s="7">
        <f t="shared" si="444"/>
        <v>50</v>
      </c>
      <c r="M1013" s="8">
        <v>1</v>
      </c>
      <c r="N1013" s="8">
        <f t="shared" si="448"/>
        <v>1</v>
      </c>
      <c r="O1013" s="11" t="s">
        <v>1702</v>
      </c>
      <c r="P1013" s="16" t="str">
        <f t="shared" si="449"/>
        <v>23-May-1910</v>
      </c>
      <c r="R1013" s="16" t="str">
        <f t="shared" si="450"/>
        <v>x</v>
      </c>
      <c r="S1013" s="16" t="str">
        <f t="shared" si="450"/>
        <v>x</v>
      </c>
      <c r="U1013" s="46" t="str">
        <f t="shared" ref="U1013:X1076" si="451">IF($O1013=U$5,$L1013,"")</f>
        <v/>
      </c>
      <c r="V1013" s="46">
        <f t="shared" si="451"/>
        <v>50</v>
      </c>
      <c r="W1013" s="46" t="str">
        <f t="shared" si="451"/>
        <v/>
      </c>
      <c r="X1013" s="46" t="str">
        <f t="shared" si="451"/>
        <v/>
      </c>
    </row>
    <row r="1014" spans="2:24" x14ac:dyDescent="0.25">
      <c r="B1014" s="11" t="str">
        <f t="shared" si="447"/>
        <v>CHGO-21JUN1910</v>
      </c>
      <c r="C1014" s="11" t="s">
        <v>916</v>
      </c>
      <c r="D1014" s="11" t="s">
        <v>1699</v>
      </c>
      <c r="E1014" s="39" t="s">
        <v>947</v>
      </c>
      <c r="F1014" s="11" t="s">
        <v>1700</v>
      </c>
      <c r="G1014" s="39" t="s">
        <v>942</v>
      </c>
      <c r="I1014" s="7">
        <v>0</v>
      </c>
      <c r="J1014" s="7">
        <v>33</v>
      </c>
      <c r="L1014" s="7">
        <f t="shared" si="444"/>
        <v>33</v>
      </c>
      <c r="M1014" s="8">
        <v>1</v>
      </c>
      <c r="N1014" s="8">
        <f t="shared" si="448"/>
        <v>1</v>
      </c>
      <c r="O1014" s="11" t="s">
        <v>1702</v>
      </c>
      <c r="P1014" s="16" t="str">
        <f t="shared" si="449"/>
        <v>21-Jun-1910</v>
      </c>
      <c r="R1014" s="16" t="str">
        <f t="shared" si="450"/>
        <v>x</v>
      </c>
      <c r="S1014" s="16" t="str">
        <f t="shared" si="450"/>
        <v>x</v>
      </c>
      <c r="U1014" s="46" t="str">
        <f t="shared" si="451"/>
        <v/>
      </c>
      <c r="V1014" s="46">
        <f t="shared" si="451"/>
        <v>33</v>
      </c>
      <c r="W1014" s="46" t="str">
        <f t="shared" si="451"/>
        <v/>
      </c>
      <c r="X1014" s="46" t="str">
        <f t="shared" si="451"/>
        <v/>
      </c>
    </row>
    <row r="1015" spans="2:24" x14ac:dyDescent="0.25">
      <c r="B1015" s="11" t="str">
        <f t="shared" si="447"/>
        <v>CHGO-18JUL1910</v>
      </c>
      <c r="C1015" s="11" t="s">
        <v>916</v>
      </c>
      <c r="D1015" s="11" t="s">
        <v>1699</v>
      </c>
      <c r="E1015" s="39" t="s">
        <v>948</v>
      </c>
      <c r="F1015" s="11" t="s">
        <v>1700</v>
      </c>
      <c r="G1015" s="39" t="s">
        <v>949</v>
      </c>
      <c r="I1015" s="7">
        <v>0</v>
      </c>
      <c r="J1015" s="7">
        <v>19</v>
      </c>
      <c r="L1015" s="7">
        <f t="shared" si="444"/>
        <v>19</v>
      </c>
      <c r="M1015" s="8">
        <v>1</v>
      </c>
      <c r="N1015" s="8">
        <f t="shared" si="448"/>
        <v>1</v>
      </c>
      <c r="O1015" s="11" t="s">
        <v>1702</v>
      </c>
      <c r="P1015" s="16" t="str">
        <f t="shared" si="449"/>
        <v>18-Jul-1910</v>
      </c>
      <c r="R1015" s="16" t="str">
        <f t="shared" si="450"/>
        <v>x</v>
      </c>
      <c r="S1015" s="16" t="str">
        <f t="shared" si="450"/>
        <v>x</v>
      </c>
      <c r="U1015" s="46" t="str">
        <f t="shared" si="451"/>
        <v/>
      </c>
      <c r="V1015" s="46">
        <f t="shared" si="451"/>
        <v>19</v>
      </c>
      <c r="W1015" s="46" t="str">
        <f t="shared" si="451"/>
        <v/>
      </c>
      <c r="X1015" s="46" t="str">
        <f t="shared" si="451"/>
        <v/>
      </c>
    </row>
    <row r="1016" spans="2:24" x14ac:dyDescent="0.25">
      <c r="B1016" s="11" t="str">
        <f t="shared" si="447"/>
        <v>CHGO-30AUG1910</v>
      </c>
      <c r="C1016" s="11" t="s">
        <v>916</v>
      </c>
      <c r="D1016" s="11" t="s">
        <v>1699</v>
      </c>
      <c r="E1016" s="39" t="s">
        <v>950</v>
      </c>
      <c r="F1016" s="11" t="s">
        <v>1700</v>
      </c>
      <c r="G1016" s="39" t="s">
        <v>943</v>
      </c>
      <c r="I1016" s="7">
        <v>0</v>
      </c>
      <c r="J1016" s="7">
        <v>32</v>
      </c>
      <c r="L1016" s="7">
        <f t="shared" si="444"/>
        <v>32</v>
      </c>
      <c r="M1016" s="8">
        <v>1</v>
      </c>
      <c r="N1016" s="8">
        <f t="shared" si="448"/>
        <v>1</v>
      </c>
      <c r="O1016" s="11" t="s">
        <v>1702</v>
      </c>
      <c r="P1016" s="16" t="str">
        <f t="shared" si="449"/>
        <v>30-Aug-1910</v>
      </c>
      <c r="R1016" s="16" t="str">
        <f t="shared" si="450"/>
        <v>x</v>
      </c>
      <c r="S1016" s="16" t="str">
        <f t="shared" si="450"/>
        <v>x</v>
      </c>
      <c r="U1016" s="46" t="str">
        <f t="shared" si="451"/>
        <v/>
      </c>
      <c r="V1016" s="46">
        <f t="shared" si="451"/>
        <v>32</v>
      </c>
      <c r="W1016" s="46" t="str">
        <f t="shared" si="451"/>
        <v/>
      </c>
      <c r="X1016" s="46" t="str">
        <f t="shared" si="451"/>
        <v/>
      </c>
    </row>
    <row r="1017" spans="2:24" x14ac:dyDescent="0.25">
      <c r="B1017" s="11" t="str">
        <f t="shared" si="447"/>
        <v>CHGO-26SEP1910</v>
      </c>
      <c r="C1017" s="11" t="s">
        <v>916</v>
      </c>
      <c r="D1017" s="11" t="s">
        <v>1699</v>
      </c>
      <c r="E1017" s="39" t="s">
        <v>951</v>
      </c>
      <c r="F1017" s="11" t="s">
        <v>1700</v>
      </c>
      <c r="G1017" s="39" t="s">
        <v>944</v>
      </c>
      <c r="I1017" s="7">
        <v>0</v>
      </c>
      <c r="J1017" s="7">
        <v>10</v>
      </c>
      <c r="L1017" s="7">
        <f t="shared" si="444"/>
        <v>10</v>
      </c>
      <c r="M1017" s="8">
        <v>1</v>
      </c>
      <c r="N1017" s="8">
        <f t="shared" si="448"/>
        <v>1</v>
      </c>
      <c r="O1017" s="11" t="s">
        <v>1702</v>
      </c>
      <c r="P1017" s="16" t="str">
        <f t="shared" si="449"/>
        <v>26-Sep-1910</v>
      </c>
      <c r="R1017" s="16" t="str">
        <f t="shared" si="450"/>
        <v>x</v>
      </c>
      <c r="S1017" s="16" t="str">
        <f t="shared" si="450"/>
        <v>x</v>
      </c>
      <c r="U1017" s="46" t="str">
        <f t="shared" si="451"/>
        <v/>
      </c>
      <c r="V1017" s="46">
        <f t="shared" si="451"/>
        <v>10</v>
      </c>
      <c r="W1017" s="46" t="str">
        <f t="shared" si="451"/>
        <v/>
      </c>
      <c r="X1017" s="46" t="str">
        <f t="shared" si="451"/>
        <v/>
      </c>
    </row>
    <row r="1018" spans="2:24" x14ac:dyDescent="0.25">
      <c r="B1018" s="11" t="str">
        <f t="shared" si="447"/>
        <v>CHGO-26OCT1910</v>
      </c>
      <c r="C1018" s="11" t="s">
        <v>916</v>
      </c>
      <c r="D1018" s="11" t="s">
        <v>1699</v>
      </c>
      <c r="E1018" s="39" t="s">
        <v>952</v>
      </c>
      <c r="F1018" s="11" t="s">
        <v>1700</v>
      </c>
      <c r="G1018" s="39" t="s">
        <v>945</v>
      </c>
      <c r="I1018" s="7">
        <v>0</v>
      </c>
      <c r="J1018" s="7">
        <v>0</v>
      </c>
      <c r="L1018" s="7">
        <f t="shared" si="444"/>
        <v>0</v>
      </c>
      <c r="M1018" s="8">
        <v>1</v>
      </c>
      <c r="N1018" s="8" t="str">
        <f t="shared" si="448"/>
        <v/>
      </c>
      <c r="O1018" s="11" t="s">
        <v>1702</v>
      </c>
      <c r="P1018" s="16" t="str">
        <f t="shared" si="449"/>
        <v>26-Oct-1910</v>
      </c>
      <c r="R1018" s="16" t="str">
        <f t="shared" si="450"/>
        <v/>
      </c>
      <c r="S1018" s="16" t="str">
        <f t="shared" si="450"/>
        <v/>
      </c>
      <c r="U1018" s="46" t="str">
        <f t="shared" si="451"/>
        <v/>
      </c>
      <c r="V1018" s="46">
        <f t="shared" si="451"/>
        <v>0</v>
      </c>
      <c r="W1018" s="46" t="str">
        <f t="shared" si="451"/>
        <v/>
      </c>
      <c r="X1018" s="46" t="str">
        <f t="shared" si="451"/>
        <v/>
      </c>
    </row>
    <row r="1019" spans="2:24" x14ac:dyDescent="0.25">
      <c r="B1019" s="11" t="str">
        <f t="shared" si="447"/>
        <v>CHGO-23NOV1910</v>
      </c>
      <c r="C1019" s="11" t="s">
        <v>916</v>
      </c>
      <c r="D1019" s="11" t="s">
        <v>1699</v>
      </c>
      <c r="E1019" s="39" t="s">
        <v>1867</v>
      </c>
      <c r="F1019" s="11" t="s">
        <v>1700</v>
      </c>
      <c r="G1019" s="39" t="s">
        <v>953</v>
      </c>
      <c r="I1019" s="7">
        <v>0</v>
      </c>
      <c r="J1019" s="7">
        <v>19</v>
      </c>
      <c r="L1019" s="7">
        <f t="shared" si="444"/>
        <v>19</v>
      </c>
      <c r="M1019" s="8">
        <v>1</v>
      </c>
      <c r="N1019" s="8">
        <f t="shared" si="448"/>
        <v>1</v>
      </c>
      <c r="O1019" s="11" t="s">
        <v>1702</v>
      </c>
      <c r="P1019" s="16" t="str">
        <f t="shared" si="449"/>
        <v>23-Nov-1910</v>
      </c>
      <c r="R1019" s="16" t="str">
        <f t="shared" si="450"/>
        <v>x</v>
      </c>
      <c r="S1019" s="16" t="str">
        <f t="shared" si="450"/>
        <v>x</v>
      </c>
      <c r="U1019" s="46" t="str">
        <f t="shared" si="451"/>
        <v/>
      </c>
      <c r="V1019" s="46">
        <f t="shared" si="451"/>
        <v>19</v>
      </c>
      <c r="W1019" s="46" t="str">
        <f t="shared" si="451"/>
        <v/>
      </c>
      <c r="X1019" s="46" t="str">
        <f t="shared" si="451"/>
        <v/>
      </c>
    </row>
    <row r="1020" spans="2:24" x14ac:dyDescent="0.25">
      <c r="B1020" s="11" t="str">
        <f t="shared" si="447"/>
        <v>CHGO-21DEC1910</v>
      </c>
      <c r="C1020" s="11" t="s">
        <v>916</v>
      </c>
      <c r="D1020" s="11" t="s">
        <v>1699</v>
      </c>
      <c r="E1020" s="39" t="s">
        <v>1869</v>
      </c>
      <c r="F1020" s="11" t="s">
        <v>1700</v>
      </c>
      <c r="G1020" s="39" t="s">
        <v>954</v>
      </c>
      <c r="I1020" s="7">
        <v>0</v>
      </c>
      <c r="J1020" s="7">
        <v>22</v>
      </c>
      <c r="L1020" s="7">
        <f t="shared" si="444"/>
        <v>22</v>
      </c>
      <c r="M1020" s="8">
        <v>1</v>
      </c>
      <c r="N1020" s="8">
        <f t="shared" si="448"/>
        <v>1</v>
      </c>
      <c r="O1020" s="11" t="s">
        <v>1702</v>
      </c>
      <c r="P1020" s="16" t="str">
        <f t="shared" si="449"/>
        <v>21-Dec-1910</v>
      </c>
      <c r="R1020" s="16" t="str">
        <f t="shared" si="450"/>
        <v>x</v>
      </c>
      <c r="S1020" s="16" t="str">
        <f t="shared" si="450"/>
        <v>x</v>
      </c>
      <c r="U1020" s="46" t="str">
        <f t="shared" si="451"/>
        <v/>
      </c>
      <c r="V1020" s="46">
        <f t="shared" si="451"/>
        <v>22</v>
      </c>
      <c r="W1020" s="46" t="str">
        <f t="shared" si="451"/>
        <v/>
      </c>
      <c r="X1020" s="46" t="str">
        <f t="shared" si="451"/>
        <v/>
      </c>
    </row>
    <row r="1021" spans="2:24" x14ac:dyDescent="0.25">
      <c r="B1021" s="11" t="str">
        <f t="shared" si="447"/>
        <v>CHGO-02FEB1911</v>
      </c>
      <c r="C1021" s="11" t="s">
        <v>916</v>
      </c>
      <c r="D1021" s="11" t="s">
        <v>1699</v>
      </c>
      <c r="E1021" s="39" t="s">
        <v>964</v>
      </c>
      <c r="F1021" s="11" t="s">
        <v>1700</v>
      </c>
      <c r="G1021" s="39" t="s">
        <v>955</v>
      </c>
      <c r="I1021" s="7">
        <v>2</v>
      </c>
      <c r="J1021" s="7">
        <v>18</v>
      </c>
      <c r="L1021" s="7">
        <f t="shared" si="444"/>
        <v>20</v>
      </c>
      <c r="M1021" s="8">
        <v>1</v>
      </c>
      <c r="N1021" s="8">
        <f t="shared" si="448"/>
        <v>1</v>
      </c>
      <c r="O1021" s="11" t="s">
        <v>1702</v>
      </c>
      <c r="P1021" s="16" t="str">
        <f t="shared" si="449"/>
        <v>02-Feb-1911</v>
      </c>
      <c r="R1021" s="16" t="str">
        <f t="shared" si="450"/>
        <v>x</v>
      </c>
      <c r="S1021" s="16" t="str">
        <f t="shared" si="450"/>
        <v>x</v>
      </c>
      <c r="U1021" s="46" t="str">
        <f t="shared" si="451"/>
        <v/>
      </c>
      <c r="V1021" s="46">
        <f t="shared" si="451"/>
        <v>20</v>
      </c>
      <c r="W1021" s="46" t="str">
        <f t="shared" si="451"/>
        <v/>
      </c>
      <c r="X1021" s="46" t="str">
        <f t="shared" si="451"/>
        <v/>
      </c>
    </row>
    <row r="1022" spans="2:24" x14ac:dyDescent="0.25">
      <c r="B1022" s="11" t="str">
        <f t="shared" si="447"/>
        <v>CHGO-02MAR1911</v>
      </c>
      <c r="C1022" s="11" t="s">
        <v>916</v>
      </c>
      <c r="D1022" s="11" t="s">
        <v>1699</v>
      </c>
      <c r="E1022" s="39" t="s">
        <v>898</v>
      </c>
      <c r="F1022" s="11" t="s">
        <v>1700</v>
      </c>
      <c r="G1022" s="39" t="s">
        <v>956</v>
      </c>
      <c r="I1022" s="7">
        <v>0</v>
      </c>
      <c r="J1022" s="7">
        <v>14</v>
      </c>
      <c r="L1022" s="7">
        <f t="shared" si="444"/>
        <v>14</v>
      </c>
      <c r="M1022" s="8">
        <v>1</v>
      </c>
      <c r="N1022" s="8">
        <f t="shared" si="448"/>
        <v>1</v>
      </c>
      <c r="O1022" s="11" t="s">
        <v>1702</v>
      </c>
      <c r="P1022" s="16" t="str">
        <f t="shared" si="449"/>
        <v>02-Mar-1911</v>
      </c>
      <c r="R1022" s="16" t="str">
        <f t="shared" si="450"/>
        <v>x</v>
      </c>
      <c r="S1022" s="16" t="str">
        <f t="shared" si="450"/>
        <v>x</v>
      </c>
      <c r="U1022" s="46" t="str">
        <f t="shared" si="451"/>
        <v/>
      </c>
      <c r="V1022" s="46">
        <f t="shared" si="451"/>
        <v>14</v>
      </c>
      <c r="W1022" s="46" t="str">
        <f t="shared" si="451"/>
        <v/>
      </c>
      <c r="X1022" s="46" t="str">
        <f t="shared" si="451"/>
        <v/>
      </c>
    </row>
    <row r="1023" spans="2:24" x14ac:dyDescent="0.25">
      <c r="B1023" s="11" t="str">
        <f t="shared" ref="B1023:B1030" si="452">CONCATENATE("CHGO","-",LEFT(P1023,2),UPPER(MID(P1023,4,3)),RIGHT(P1023,4))</f>
        <v>CHGO-31MAR1911</v>
      </c>
      <c r="C1023" s="11" t="s">
        <v>916</v>
      </c>
      <c r="D1023" s="11" t="s">
        <v>1699</v>
      </c>
      <c r="E1023" s="39" t="s">
        <v>965</v>
      </c>
      <c r="F1023" s="11" t="s">
        <v>1700</v>
      </c>
      <c r="G1023" s="39" t="s">
        <v>957</v>
      </c>
      <c r="I1023" s="7">
        <v>0</v>
      </c>
      <c r="J1023" s="7">
        <v>3</v>
      </c>
      <c r="L1023" s="7">
        <f t="shared" ref="L1023:L1030" si="453">SUM(H1023:K1023)</f>
        <v>3</v>
      </c>
      <c r="M1023" s="8">
        <v>1</v>
      </c>
      <c r="N1023" s="8">
        <f t="shared" ref="N1023:N1030" si="454">IF(L1023&gt;0,1,"")</f>
        <v>1</v>
      </c>
      <c r="O1023" s="11" t="s">
        <v>1702</v>
      </c>
      <c r="P1023" s="16" t="str">
        <f t="shared" ref="P1023:P1030" si="455">IF(LEN(G1023)=10,CONCATENATE("0",G1023),G1023)</f>
        <v>31-Mar-1911</v>
      </c>
      <c r="R1023" s="16" t="str">
        <f t="shared" si="450"/>
        <v>x</v>
      </c>
      <c r="S1023" s="16" t="str">
        <f t="shared" si="450"/>
        <v>x</v>
      </c>
      <c r="U1023" s="46" t="str">
        <f t="shared" si="451"/>
        <v/>
      </c>
      <c r="V1023" s="46">
        <f t="shared" si="451"/>
        <v>3</v>
      </c>
      <c r="W1023" s="46" t="str">
        <f t="shared" si="451"/>
        <v/>
      </c>
      <c r="X1023" s="46" t="str">
        <f t="shared" si="451"/>
        <v/>
      </c>
    </row>
    <row r="1024" spans="2:24" x14ac:dyDescent="0.25">
      <c r="B1024" s="11" t="str">
        <f t="shared" si="452"/>
        <v>CHGO-27APR1911</v>
      </c>
      <c r="C1024" s="11" t="s">
        <v>916</v>
      </c>
      <c r="D1024" s="11" t="s">
        <v>1699</v>
      </c>
      <c r="E1024" s="39" t="s">
        <v>970</v>
      </c>
      <c r="F1024" s="11" t="s">
        <v>1700</v>
      </c>
      <c r="G1024" s="39" t="s">
        <v>958</v>
      </c>
      <c r="I1024" s="7">
        <v>0</v>
      </c>
      <c r="J1024" s="7">
        <v>15</v>
      </c>
      <c r="L1024" s="7">
        <f t="shared" si="453"/>
        <v>15</v>
      </c>
      <c r="M1024" s="8">
        <v>1</v>
      </c>
      <c r="N1024" s="8">
        <f t="shared" si="454"/>
        <v>1</v>
      </c>
      <c r="O1024" s="11" t="s">
        <v>1702</v>
      </c>
      <c r="P1024" s="16" t="str">
        <f t="shared" si="455"/>
        <v>27-Apr-1911</v>
      </c>
      <c r="R1024" s="16" t="str">
        <f t="shared" si="450"/>
        <v>x</v>
      </c>
      <c r="S1024" s="16" t="str">
        <f t="shared" si="450"/>
        <v>x</v>
      </c>
      <c r="U1024" s="46" t="str">
        <f t="shared" si="451"/>
        <v/>
      </c>
      <c r="V1024" s="46">
        <f t="shared" si="451"/>
        <v>15</v>
      </c>
      <c r="W1024" s="46" t="str">
        <f t="shared" si="451"/>
        <v/>
      </c>
      <c r="X1024" s="46" t="str">
        <f t="shared" si="451"/>
        <v/>
      </c>
    </row>
    <row r="1025" spans="2:24" x14ac:dyDescent="0.25">
      <c r="B1025" s="11" t="str">
        <f t="shared" si="452"/>
        <v>CHGO-24MAY1911</v>
      </c>
      <c r="C1025" s="11" t="s">
        <v>916</v>
      </c>
      <c r="D1025" s="11" t="s">
        <v>1699</v>
      </c>
      <c r="E1025" s="39" t="s">
        <v>971</v>
      </c>
      <c r="F1025" s="11" t="s">
        <v>1700</v>
      </c>
      <c r="G1025" s="39" t="s">
        <v>959</v>
      </c>
      <c r="I1025" s="7">
        <v>0</v>
      </c>
      <c r="J1025" s="7">
        <v>14</v>
      </c>
      <c r="L1025" s="7">
        <f t="shared" si="453"/>
        <v>14</v>
      </c>
      <c r="M1025" s="8">
        <v>1</v>
      </c>
      <c r="N1025" s="8">
        <f t="shared" si="454"/>
        <v>1</v>
      </c>
      <c r="O1025" s="11" t="s">
        <v>1702</v>
      </c>
      <c r="P1025" s="16" t="str">
        <f t="shared" si="455"/>
        <v>24-May-1911</v>
      </c>
      <c r="R1025" s="16" t="str">
        <f t="shared" si="450"/>
        <v>x</v>
      </c>
      <c r="S1025" s="16" t="str">
        <f t="shared" si="450"/>
        <v>x</v>
      </c>
      <c r="U1025" s="46" t="str">
        <f t="shared" si="451"/>
        <v/>
      </c>
      <c r="V1025" s="46">
        <f t="shared" si="451"/>
        <v>14</v>
      </c>
      <c r="W1025" s="46" t="str">
        <f t="shared" si="451"/>
        <v/>
      </c>
      <c r="X1025" s="46" t="str">
        <f t="shared" si="451"/>
        <v/>
      </c>
    </row>
    <row r="1026" spans="2:24" x14ac:dyDescent="0.25">
      <c r="B1026" s="11" t="str">
        <f t="shared" si="452"/>
        <v>CHGO-20JUN1911</v>
      </c>
      <c r="C1026" s="11" t="s">
        <v>916</v>
      </c>
      <c r="D1026" s="11" t="s">
        <v>1699</v>
      </c>
      <c r="E1026" s="39" t="s">
        <v>972</v>
      </c>
      <c r="F1026" s="11" t="s">
        <v>1700</v>
      </c>
      <c r="G1026" s="39" t="s">
        <v>960</v>
      </c>
      <c r="I1026" s="7">
        <v>0</v>
      </c>
      <c r="J1026" s="7">
        <v>50</v>
      </c>
      <c r="L1026" s="7">
        <f t="shared" si="453"/>
        <v>50</v>
      </c>
      <c r="M1026" s="8">
        <v>1</v>
      </c>
      <c r="N1026" s="8">
        <f t="shared" si="454"/>
        <v>1</v>
      </c>
      <c r="O1026" s="11" t="s">
        <v>1702</v>
      </c>
      <c r="P1026" s="16" t="str">
        <f t="shared" si="455"/>
        <v>20-Jun-1911</v>
      </c>
      <c r="R1026" s="16" t="str">
        <f t="shared" si="450"/>
        <v>x</v>
      </c>
      <c r="S1026" s="16" t="str">
        <f t="shared" si="450"/>
        <v>x</v>
      </c>
      <c r="U1026" s="46" t="str">
        <f t="shared" si="451"/>
        <v/>
      </c>
      <c r="V1026" s="46">
        <f t="shared" si="451"/>
        <v>50</v>
      </c>
      <c r="W1026" s="46" t="str">
        <f t="shared" si="451"/>
        <v/>
      </c>
      <c r="X1026" s="46" t="str">
        <f t="shared" si="451"/>
        <v/>
      </c>
    </row>
    <row r="1027" spans="2:24" x14ac:dyDescent="0.25">
      <c r="B1027" s="11" t="str">
        <f t="shared" si="452"/>
        <v>CHGO-29AUG1911</v>
      </c>
      <c r="C1027" s="11" t="s">
        <v>916</v>
      </c>
      <c r="D1027" s="11" t="s">
        <v>1699</v>
      </c>
      <c r="E1027" s="39" t="s">
        <v>973</v>
      </c>
      <c r="F1027" s="11" t="s">
        <v>1700</v>
      </c>
      <c r="G1027" s="39" t="s">
        <v>961</v>
      </c>
      <c r="I1027" s="7">
        <v>1</v>
      </c>
      <c r="J1027" s="7">
        <v>36</v>
      </c>
      <c r="L1027" s="7">
        <f t="shared" si="453"/>
        <v>37</v>
      </c>
      <c r="M1027" s="8">
        <v>1</v>
      </c>
      <c r="N1027" s="8">
        <f t="shared" si="454"/>
        <v>1</v>
      </c>
      <c r="O1027" s="11" t="s">
        <v>1702</v>
      </c>
      <c r="P1027" s="16" t="str">
        <f t="shared" si="455"/>
        <v>29-Aug-1911</v>
      </c>
      <c r="R1027" s="16" t="str">
        <f t="shared" si="450"/>
        <v>x</v>
      </c>
      <c r="S1027" s="16" t="str">
        <f t="shared" si="450"/>
        <v>x</v>
      </c>
      <c r="U1027" s="46" t="str">
        <f t="shared" si="451"/>
        <v/>
      </c>
      <c r="V1027" s="46">
        <f t="shared" si="451"/>
        <v>37</v>
      </c>
      <c r="W1027" s="46" t="str">
        <f t="shared" si="451"/>
        <v/>
      </c>
      <c r="X1027" s="46" t="str">
        <f t="shared" si="451"/>
        <v/>
      </c>
    </row>
    <row r="1028" spans="2:24" x14ac:dyDescent="0.25">
      <c r="B1028" s="11" t="str">
        <f t="shared" si="452"/>
        <v>CHGO-10OCT1911</v>
      </c>
      <c r="C1028" s="11" t="s">
        <v>916</v>
      </c>
      <c r="D1028" s="11" t="s">
        <v>1699</v>
      </c>
      <c r="E1028" s="39" t="s">
        <v>974</v>
      </c>
      <c r="F1028" s="11" t="s">
        <v>1700</v>
      </c>
      <c r="G1028" s="39" t="s">
        <v>962</v>
      </c>
      <c r="I1028" s="7">
        <v>0</v>
      </c>
      <c r="J1028" s="7">
        <v>31</v>
      </c>
      <c r="L1028" s="7">
        <f t="shared" si="453"/>
        <v>31</v>
      </c>
      <c r="M1028" s="8">
        <v>1</v>
      </c>
      <c r="N1028" s="8">
        <f t="shared" si="454"/>
        <v>1</v>
      </c>
      <c r="O1028" s="11" t="s">
        <v>1702</v>
      </c>
      <c r="P1028" s="16" t="str">
        <f t="shared" si="455"/>
        <v>10-Oct-1911</v>
      </c>
      <c r="R1028" s="16" t="str">
        <f t="shared" si="450"/>
        <v>x</v>
      </c>
      <c r="S1028" s="16" t="str">
        <f t="shared" si="450"/>
        <v>x</v>
      </c>
      <c r="U1028" s="46" t="str">
        <f t="shared" si="451"/>
        <v/>
      </c>
      <c r="V1028" s="46">
        <f t="shared" si="451"/>
        <v>31</v>
      </c>
      <c r="W1028" s="46" t="str">
        <f t="shared" si="451"/>
        <v/>
      </c>
      <c r="X1028" s="46" t="str">
        <f t="shared" si="451"/>
        <v/>
      </c>
    </row>
    <row r="1029" spans="2:24" x14ac:dyDescent="0.25">
      <c r="B1029" s="11" t="str">
        <f t="shared" si="452"/>
        <v>CHGO-08NOV1911</v>
      </c>
      <c r="C1029" s="11" t="s">
        <v>916</v>
      </c>
      <c r="D1029" s="11" t="s">
        <v>1699</v>
      </c>
      <c r="E1029" s="39" t="s">
        <v>975</v>
      </c>
      <c r="F1029" s="11" t="s">
        <v>1700</v>
      </c>
      <c r="G1029" s="39" t="s">
        <v>963</v>
      </c>
      <c r="I1029" s="7">
        <v>0</v>
      </c>
      <c r="J1029" s="7">
        <v>58</v>
      </c>
      <c r="L1029" s="7">
        <f t="shared" si="453"/>
        <v>58</v>
      </c>
      <c r="M1029" s="8">
        <v>1</v>
      </c>
      <c r="N1029" s="8">
        <f t="shared" si="454"/>
        <v>1</v>
      </c>
      <c r="O1029" s="11" t="s">
        <v>1702</v>
      </c>
      <c r="P1029" s="16" t="str">
        <f t="shared" si="455"/>
        <v>08-Nov-1911</v>
      </c>
      <c r="R1029" s="16" t="str">
        <f t="shared" si="450"/>
        <v>x</v>
      </c>
      <c r="S1029" s="16" t="str">
        <f t="shared" si="450"/>
        <v>x</v>
      </c>
      <c r="U1029" s="46" t="str">
        <f t="shared" si="451"/>
        <v/>
      </c>
      <c r="V1029" s="46">
        <f t="shared" si="451"/>
        <v>58</v>
      </c>
      <c r="W1029" s="46" t="str">
        <f t="shared" si="451"/>
        <v/>
      </c>
      <c r="X1029" s="46" t="str">
        <f t="shared" si="451"/>
        <v/>
      </c>
    </row>
    <row r="1030" spans="2:24" x14ac:dyDescent="0.25">
      <c r="B1030" s="11" t="str">
        <f t="shared" si="452"/>
        <v>CHGO-05DEC1911</v>
      </c>
      <c r="C1030" s="11" t="s">
        <v>916</v>
      </c>
      <c r="D1030" s="11" t="s">
        <v>1699</v>
      </c>
      <c r="E1030" s="39" t="s">
        <v>976</v>
      </c>
      <c r="F1030" s="11" t="s">
        <v>1700</v>
      </c>
      <c r="G1030" s="39" t="s">
        <v>977</v>
      </c>
      <c r="I1030" s="7">
        <v>8</v>
      </c>
      <c r="J1030" s="7">
        <v>138</v>
      </c>
      <c r="L1030" s="7">
        <f t="shared" si="453"/>
        <v>146</v>
      </c>
      <c r="M1030" s="8">
        <v>1</v>
      </c>
      <c r="N1030" s="8">
        <f t="shared" si="454"/>
        <v>1</v>
      </c>
      <c r="O1030" s="11" t="s">
        <v>1702</v>
      </c>
      <c r="P1030" s="16" t="str">
        <f t="shared" si="455"/>
        <v>05-Dec-1911</v>
      </c>
      <c r="R1030" s="16" t="str">
        <f t="shared" si="450"/>
        <v>x</v>
      </c>
      <c r="S1030" s="16" t="str">
        <f t="shared" si="450"/>
        <v>x</v>
      </c>
      <c r="U1030" s="46" t="str">
        <f t="shared" si="451"/>
        <v/>
      </c>
      <c r="V1030" s="46">
        <f t="shared" si="451"/>
        <v>146</v>
      </c>
      <c r="W1030" s="46" t="str">
        <f t="shared" si="451"/>
        <v/>
      </c>
      <c r="X1030" s="46" t="str">
        <f t="shared" si="451"/>
        <v/>
      </c>
    </row>
    <row r="1031" spans="2:24" x14ac:dyDescent="0.25">
      <c r="B1031" s="11" t="str">
        <f>CONCATENATE("CHGO","-",LEFT(P1031,2),UPPER(MID(P1031,4,3)),RIGHT(P1031,4))</f>
        <v>CHGO-18JAN1912</v>
      </c>
      <c r="C1031" s="11" t="s">
        <v>916</v>
      </c>
      <c r="D1031" s="11" t="s">
        <v>1699</v>
      </c>
      <c r="E1031" s="39" t="s">
        <v>910</v>
      </c>
      <c r="F1031" s="11" t="s">
        <v>1700</v>
      </c>
      <c r="G1031" s="39" t="s">
        <v>906</v>
      </c>
      <c r="I1031" s="7">
        <v>0</v>
      </c>
      <c r="J1031" s="7">
        <v>43</v>
      </c>
      <c r="L1031" s="7">
        <f>SUM(H1031:K1031)</f>
        <v>43</v>
      </c>
      <c r="M1031" s="8">
        <v>1</v>
      </c>
      <c r="N1031" s="8">
        <f>IF(L1031&gt;0,1,"")</f>
        <v>1</v>
      </c>
      <c r="O1031" s="11" t="s">
        <v>1702</v>
      </c>
      <c r="P1031" s="16" t="str">
        <f>IF(LEN(G1031)=10,CONCATENATE("0",G1031),G1031)</f>
        <v>18-Jan-1912</v>
      </c>
      <c r="R1031" s="16" t="str">
        <f t="shared" si="450"/>
        <v>x</v>
      </c>
      <c r="S1031" s="16" t="str">
        <f t="shared" si="450"/>
        <v>x</v>
      </c>
      <c r="U1031" s="46" t="str">
        <f t="shared" si="451"/>
        <v/>
      </c>
      <c r="V1031" s="46">
        <f t="shared" si="451"/>
        <v>43</v>
      </c>
      <c r="W1031" s="46" t="str">
        <f t="shared" si="451"/>
        <v/>
      </c>
      <c r="X1031" s="46" t="str">
        <f t="shared" si="451"/>
        <v/>
      </c>
    </row>
    <row r="1032" spans="2:24" x14ac:dyDescent="0.25">
      <c r="B1032" s="11" t="str">
        <f t="shared" ref="B1032:B1044" si="456">CONCATENATE("CHGO","-",LEFT(P1032,2),UPPER(MID(P1032,4,3)),RIGHT(P1032,4))</f>
        <v>CHGO-20FEB1912</v>
      </c>
      <c r="C1032" s="11" t="s">
        <v>916</v>
      </c>
      <c r="D1032" s="11" t="s">
        <v>1699</v>
      </c>
      <c r="E1032" s="39" t="s">
        <v>998</v>
      </c>
      <c r="F1032" s="11" t="s">
        <v>1700</v>
      </c>
      <c r="G1032" s="39" t="s">
        <v>978</v>
      </c>
      <c r="I1032" s="7">
        <v>0</v>
      </c>
      <c r="J1032" s="7">
        <v>18</v>
      </c>
      <c r="L1032" s="7">
        <f t="shared" ref="L1032:L1044" si="457">SUM(H1032:K1032)</f>
        <v>18</v>
      </c>
      <c r="M1032" s="8">
        <v>1</v>
      </c>
      <c r="N1032" s="8">
        <f t="shared" ref="N1032:N1044" si="458">IF(L1032&gt;0,1,"")</f>
        <v>1</v>
      </c>
      <c r="O1032" s="11" t="s">
        <v>1702</v>
      </c>
      <c r="P1032" s="16" t="str">
        <f t="shared" ref="P1032:P1044" si="459">IF(LEN(G1032)=10,CONCATENATE("0",G1032),G1032)</f>
        <v>20-Feb-1912</v>
      </c>
      <c r="R1032" s="16" t="str">
        <f t="shared" ref="R1032:S1048" si="460">IF($L1032&gt;0,"x","")</f>
        <v>x</v>
      </c>
      <c r="S1032" s="16" t="str">
        <f t="shared" si="460"/>
        <v>x</v>
      </c>
      <c r="U1032" s="46" t="str">
        <f t="shared" si="451"/>
        <v/>
      </c>
      <c r="V1032" s="46">
        <f t="shared" si="451"/>
        <v>18</v>
      </c>
      <c r="W1032" s="46" t="str">
        <f t="shared" si="451"/>
        <v/>
      </c>
      <c r="X1032" s="46" t="str">
        <f t="shared" si="451"/>
        <v/>
      </c>
    </row>
    <row r="1033" spans="2:24" x14ac:dyDescent="0.25">
      <c r="B1033" s="11" t="str">
        <f t="shared" si="456"/>
        <v>CHGO-21MAR1912</v>
      </c>
      <c r="C1033" s="11" t="s">
        <v>916</v>
      </c>
      <c r="D1033" s="11" t="s">
        <v>1699</v>
      </c>
      <c r="E1033" s="39" t="s">
        <v>999</v>
      </c>
      <c r="F1033" s="11" t="s">
        <v>1700</v>
      </c>
      <c r="G1033" s="39" t="s">
        <v>979</v>
      </c>
      <c r="I1033" s="7">
        <v>0</v>
      </c>
      <c r="J1033" s="7">
        <v>0</v>
      </c>
      <c r="L1033" s="7">
        <f t="shared" si="457"/>
        <v>0</v>
      </c>
      <c r="M1033" s="8">
        <v>1</v>
      </c>
      <c r="N1033" s="8" t="str">
        <f t="shared" si="458"/>
        <v/>
      </c>
      <c r="O1033" s="11" t="s">
        <v>1702</v>
      </c>
      <c r="P1033" s="16" t="str">
        <f t="shared" si="459"/>
        <v>21-Mar-1912</v>
      </c>
      <c r="R1033" s="16" t="str">
        <f t="shared" si="460"/>
        <v/>
      </c>
      <c r="S1033" s="16" t="str">
        <f t="shared" si="460"/>
        <v/>
      </c>
      <c r="U1033" s="46" t="str">
        <f t="shared" si="451"/>
        <v/>
      </c>
      <c r="V1033" s="46">
        <f t="shared" si="451"/>
        <v>0</v>
      </c>
      <c r="W1033" s="46" t="str">
        <f t="shared" si="451"/>
        <v/>
      </c>
      <c r="X1033" s="46" t="str">
        <f t="shared" si="451"/>
        <v/>
      </c>
    </row>
    <row r="1034" spans="2:24" x14ac:dyDescent="0.25">
      <c r="B1034" s="11" t="str">
        <f t="shared" si="456"/>
        <v>CHGO-17APR1912</v>
      </c>
      <c r="C1034" s="11" t="s">
        <v>916</v>
      </c>
      <c r="D1034" s="11" t="s">
        <v>1699</v>
      </c>
      <c r="E1034" s="39" t="s">
        <v>2049</v>
      </c>
      <c r="F1034" s="11" t="s">
        <v>1700</v>
      </c>
      <c r="G1034" s="39" t="s">
        <v>980</v>
      </c>
      <c r="I1034" s="7">
        <v>0</v>
      </c>
      <c r="J1034" s="7">
        <v>30</v>
      </c>
      <c r="L1034" s="7">
        <f t="shared" si="457"/>
        <v>30</v>
      </c>
      <c r="M1034" s="8">
        <v>1</v>
      </c>
      <c r="N1034" s="8">
        <f t="shared" si="458"/>
        <v>1</v>
      </c>
      <c r="O1034" s="11" t="s">
        <v>1702</v>
      </c>
      <c r="P1034" s="16" t="str">
        <f t="shared" si="459"/>
        <v>17-Apr-1912</v>
      </c>
      <c r="R1034" s="16" t="str">
        <f t="shared" si="460"/>
        <v>x</v>
      </c>
      <c r="S1034" s="16" t="str">
        <f t="shared" si="460"/>
        <v>x</v>
      </c>
      <c r="U1034" s="46" t="str">
        <f t="shared" si="451"/>
        <v/>
      </c>
      <c r="V1034" s="46">
        <f t="shared" si="451"/>
        <v>30</v>
      </c>
      <c r="W1034" s="46" t="str">
        <f t="shared" si="451"/>
        <v/>
      </c>
      <c r="X1034" s="46" t="str">
        <f t="shared" si="451"/>
        <v/>
      </c>
    </row>
    <row r="1035" spans="2:24" x14ac:dyDescent="0.25">
      <c r="B1035" s="11" t="str">
        <f t="shared" si="456"/>
        <v>CHGO-04JUN1912</v>
      </c>
      <c r="C1035" s="11" t="s">
        <v>916</v>
      </c>
      <c r="D1035" s="11" t="s">
        <v>1699</v>
      </c>
      <c r="E1035" s="39" t="s">
        <v>1000</v>
      </c>
      <c r="F1035" s="11" t="s">
        <v>1700</v>
      </c>
      <c r="G1035" s="39" t="s">
        <v>993</v>
      </c>
      <c r="I1035" s="7">
        <v>0</v>
      </c>
      <c r="J1035" s="7">
        <v>31</v>
      </c>
      <c r="L1035" s="7">
        <f t="shared" si="457"/>
        <v>31</v>
      </c>
      <c r="M1035" s="8">
        <v>1</v>
      </c>
      <c r="N1035" s="8">
        <f t="shared" si="458"/>
        <v>1</v>
      </c>
      <c r="O1035" s="11" t="s">
        <v>1702</v>
      </c>
      <c r="P1035" s="16" t="str">
        <f t="shared" si="459"/>
        <v>04-Jun-1912</v>
      </c>
      <c r="R1035" s="16" t="str">
        <f t="shared" si="460"/>
        <v>x</v>
      </c>
      <c r="S1035" s="16" t="str">
        <f t="shared" si="460"/>
        <v>x</v>
      </c>
      <c r="U1035" s="46" t="str">
        <f t="shared" si="451"/>
        <v/>
      </c>
      <c r="V1035" s="46">
        <f t="shared" si="451"/>
        <v>31</v>
      </c>
      <c r="W1035" s="46" t="str">
        <f t="shared" si="451"/>
        <v/>
      </c>
      <c r="X1035" s="46" t="str">
        <f t="shared" si="451"/>
        <v/>
      </c>
    </row>
    <row r="1036" spans="2:24" x14ac:dyDescent="0.25">
      <c r="B1036" s="11" t="str">
        <f t="shared" si="456"/>
        <v>CHGO-13AUG1912</v>
      </c>
      <c r="C1036" s="11" t="s">
        <v>916</v>
      </c>
      <c r="D1036" s="11" t="s">
        <v>1699</v>
      </c>
      <c r="E1036" s="39" t="s">
        <v>1002</v>
      </c>
      <c r="F1036" s="11" t="s">
        <v>1700</v>
      </c>
      <c r="G1036" s="39" t="s">
        <v>994</v>
      </c>
      <c r="I1036" s="7">
        <v>1</v>
      </c>
      <c r="J1036" s="7">
        <v>27</v>
      </c>
      <c r="L1036" s="7">
        <f t="shared" si="457"/>
        <v>28</v>
      </c>
      <c r="M1036" s="8">
        <v>1</v>
      </c>
      <c r="N1036" s="8">
        <f t="shared" si="458"/>
        <v>1</v>
      </c>
      <c r="O1036" s="11" t="s">
        <v>1702</v>
      </c>
      <c r="P1036" s="16" t="str">
        <f t="shared" si="459"/>
        <v>13-Aug-1912</v>
      </c>
      <c r="R1036" s="16" t="str">
        <f t="shared" si="460"/>
        <v>x</v>
      </c>
      <c r="S1036" s="16" t="str">
        <f t="shared" si="460"/>
        <v>x</v>
      </c>
      <c r="U1036" s="46" t="str">
        <f t="shared" si="451"/>
        <v/>
      </c>
      <c r="V1036" s="46">
        <f t="shared" si="451"/>
        <v>28</v>
      </c>
      <c r="W1036" s="46" t="str">
        <f t="shared" si="451"/>
        <v/>
      </c>
      <c r="X1036" s="46" t="str">
        <f t="shared" si="451"/>
        <v/>
      </c>
    </row>
    <row r="1037" spans="2:24" x14ac:dyDescent="0.25">
      <c r="B1037" s="11" t="str">
        <f t="shared" si="456"/>
        <v>CHGO-17SEP1912</v>
      </c>
      <c r="C1037" s="11" t="s">
        <v>916</v>
      </c>
      <c r="D1037" s="11" t="s">
        <v>1699</v>
      </c>
      <c r="E1037" s="39" t="s">
        <v>1001</v>
      </c>
      <c r="F1037" s="11" t="s">
        <v>1700</v>
      </c>
      <c r="G1037" s="39" t="s">
        <v>995</v>
      </c>
      <c r="I1037" s="7">
        <v>0</v>
      </c>
      <c r="J1037" s="7">
        <v>14</v>
      </c>
      <c r="L1037" s="7">
        <f t="shared" si="457"/>
        <v>14</v>
      </c>
      <c r="M1037" s="8">
        <v>1</v>
      </c>
      <c r="N1037" s="8">
        <f t="shared" si="458"/>
        <v>1</v>
      </c>
      <c r="O1037" s="11" t="s">
        <v>1702</v>
      </c>
      <c r="P1037" s="16" t="str">
        <f t="shared" si="459"/>
        <v>17-Sep-1912</v>
      </c>
      <c r="R1037" s="16" t="str">
        <f t="shared" si="460"/>
        <v>x</v>
      </c>
      <c r="S1037" s="16" t="str">
        <f t="shared" si="460"/>
        <v>x</v>
      </c>
      <c r="U1037" s="46" t="str">
        <f t="shared" si="451"/>
        <v/>
      </c>
      <c r="V1037" s="46">
        <f t="shared" si="451"/>
        <v>14</v>
      </c>
      <c r="W1037" s="46" t="str">
        <f t="shared" si="451"/>
        <v/>
      </c>
      <c r="X1037" s="46" t="str">
        <f t="shared" si="451"/>
        <v/>
      </c>
    </row>
    <row r="1038" spans="2:24" x14ac:dyDescent="0.25">
      <c r="B1038" s="11" t="str">
        <f t="shared" si="456"/>
        <v>CHGO-14OCT1912</v>
      </c>
      <c r="C1038" s="11" t="s">
        <v>916</v>
      </c>
      <c r="D1038" s="11" t="s">
        <v>1699</v>
      </c>
      <c r="E1038" s="39" t="s">
        <v>1003</v>
      </c>
      <c r="F1038" s="11" t="s">
        <v>1700</v>
      </c>
      <c r="G1038" s="39" t="s">
        <v>1004</v>
      </c>
      <c r="I1038" s="7">
        <v>0</v>
      </c>
      <c r="J1038" s="7">
        <v>34</v>
      </c>
      <c r="L1038" s="7">
        <f t="shared" si="457"/>
        <v>34</v>
      </c>
      <c r="M1038" s="8">
        <v>1</v>
      </c>
      <c r="N1038" s="8">
        <f t="shared" si="458"/>
        <v>1</v>
      </c>
      <c r="O1038" s="11" t="s">
        <v>1702</v>
      </c>
      <c r="P1038" s="16" t="str">
        <f t="shared" si="459"/>
        <v>14-Oct-1912</v>
      </c>
      <c r="R1038" s="16" t="str">
        <f t="shared" si="460"/>
        <v>x</v>
      </c>
      <c r="S1038" s="16" t="str">
        <f t="shared" si="460"/>
        <v>x</v>
      </c>
      <c r="U1038" s="46" t="str">
        <f t="shared" si="451"/>
        <v/>
      </c>
      <c r="V1038" s="46">
        <f t="shared" si="451"/>
        <v>34</v>
      </c>
      <c r="W1038" s="46" t="str">
        <f t="shared" si="451"/>
        <v/>
      </c>
      <c r="X1038" s="46" t="str">
        <f t="shared" si="451"/>
        <v/>
      </c>
    </row>
    <row r="1039" spans="2:24" x14ac:dyDescent="0.25">
      <c r="B1039" s="11" t="str">
        <f t="shared" si="456"/>
        <v>CHGO-11NOV1912</v>
      </c>
      <c r="C1039" s="11" t="s">
        <v>916</v>
      </c>
      <c r="D1039" s="11" t="s">
        <v>1699</v>
      </c>
      <c r="E1039" s="39" t="s">
        <v>1005</v>
      </c>
      <c r="F1039" s="11" t="s">
        <v>1700</v>
      </c>
      <c r="G1039" s="39" t="s">
        <v>996</v>
      </c>
      <c r="I1039" s="7">
        <v>0</v>
      </c>
      <c r="J1039" s="7">
        <v>60</v>
      </c>
      <c r="L1039" s="7">
        <f t="shared" si="457"/>
        <v>60</v>
      </c>
      <c r="M1039" s="8">
        <v>1</v>
      </c>
      <c r="N1039" s="8">
        <f t="shared" si="458"/>
        <v>1</v>
      </c>
      <c r="O1039" s="11" t="s">
        <v>1702</v>
      </c>
      <c r="P1039" s="16" t="str">
        <f t="shared" si="459"/>
        <v>11-Nov-1912</v>
      </c>
      <c r="R1039" s="16" t="str">
        <f t="shared" si="460"/>
        <v>x</v>
      </c>
      <c r="S1039" s="16" t="str">
        <f t="shared" si="460"/>
        <v>x</v>
      </c>
      <c r="U1039" s="46" t="str">
        <f t="shared" si="451"/>
        <v/>
      </c>
      <c r="V1039" s="46">
        <f t="shared" si="451"/>
        <v>60</v>
      </c>
      <c r="W1039" s="46" t="str">
        <f t="shared" si="451"/>
        <v/>
      </c>
      <c r="X1039" s="46" t="str">
        <f t="shared" si="451"/>
        <v/>
      </c>
    </row>
    <row r="1040" spans="2:24" x14ac:dyDescent="0.25">
      <c r="B1040" s="11" t="str">
        <f t="shared" si="456"/>
        <v>CHGO-12DEC1912</v>
      </c>
      <c r="C1040" s="11" t="s">
        <v>916</v>
      </c>
      <c r="D1040" s="11" t="s">
        <v>1699</v>
      </c>
      <c r="E1040" s="39" t="s">
        <v>1006</v>
      </c>
      <c r="F1040" s="11" t="s">
        <v>1700</v>
      </c>
      <c r="G1040" s="39" t="s">
        <v>997</v>
      </c>
      <c r="I1040" s="7">
        <v>14</v>
      </c>
      <c r="J1040" s="7">
        <v>115</v>
      </c>
      <c r="L1040" s="7">
        <f t="shared" si="457"/>
        <v>129</v>
      </c>
      <c r="M1040" s="8">
        <v>1</v>
      </c>
      <c r="N1040" s="8">
        <f t="shared" si="458"/>
        <v>1</v>
      </c>
      <c r="O1040" s="11" t="s">
        <v>1702</v>
      </c>
      <c r="P1040" s="16" t="str">
        <f t="shared" si="459"/>
        <v>12-Dec-1912</v>
      </c>
      <c r="R1040" s="16" t="str">
        <f t="shared" si="460"/>
        <v>x</v>
      </c>
      <c r="S1040" s="16" t="str">
        <f t="shared" si="460"/>
        <v>x</v>
      </c>
      <c r="U1040" s="46" t="str">
        <f t="shared" si="451"/>
        <v/>
      </c>
      <c r="V1040" s="46">
        <f t="shared" si="451"/>
        <v>129</v>
      </c>
      <c r="W1040" s="46" t="str">
        <f t="shared" si="451"/>
        <v/>
      </c>
      <c r="X1040" s="46" t="str">
        <f t="shared" si="451"/>
        <v/>
      </c>
    </row>
    <row r="1041" spans="2:24" x14ac:dyDescent="0.25">
      <c r="B1041" s="11" t="str">
        <f t="shared" si="456"/>
        <v>CHGO-15JAN1913</v>
      </c>
      <c r="C1041" s="11" t="s">
        <v>916</v>
      </c>
      <c r="D1041" s="11" t="s">
        <v>1699</v>
      </c>
      <c r="E1041" s="39" t="s">
        <v>1018</v>
      </c>
      <c r="F1041" s="11" t="s">
        <v>1700</v>
      </c>
      <c r="G1041" s="39" t="s">
        <v>1007</v>
      </c>
      <c r="I1041" s="7">
        <v>1</v>
      </c>
      <c r="J1041" s="7">
        <v>25</v>
      </c>
      <c r="L1041" s="7">
        <f t="shared" si="457"/>
        <v>26</v>
      </c>
      <c r="M1041" s="8">
        <v>1</v>
      </c>
      <c r="N1041" s="8">
        <f t="shared" si="458"/>
        <v>1</v>
      </c>
      <c r="O1041" s="11" t="s">
        <v>1702</v>
      </c>
      <c r="P1041" s="16" t="str">
        <f t="shared" si="459"/>
        <v>15-Jan-1913</v>
      </c>
      <c r="R1041" s="16" t="str">
        <f t="shared" si="460"/>
        <v>x</v>
      </c>
      <c r="S1041" s="16" t="str">
        <f t="shared" si="460"/>
        <v>x</v>
      </c>
      <c r="U1041" s="46" t="str">
        <f t="shared" si="451"/>
        <v/>
      </c>
      <c r="V1041" s="46">
        <f t="shared" si="451"/>
        <v>26</v>
      </c>
      <c r="W1041" s="46" t="str">
        <f t="shared" si="451"/>
        <v/>
      </c>
      <c r="X1041" s="46" t="str">
        <f t="shared" si="451"/>
        <v/>
      </c>
    </row>
    <row r="1042" spans="2:24" x14ac:dyDescent="0.25">
      <c r="B1042" s="11" t="str">
        <f t="shared" si="456"/>
        <v>CHGO-14FEB1913</v>
      </c>
      <c r="C1042" s="11" t="s">
        <v>916</v>
      </c>
      <c r="D1042" s="11" t="s">
        <v>1699</v>
      </c>
      <c r="E1042" s="39" t="s">
        <v>1019</v>
      </c>
      <c r="F1042" s="11" t="s">
        <v>1700</v>
      </c>
      <c r="G1042" s="39" t="s">
        <v>1008</v>
      </c>
      <c r="I1042" s="7">
        <v>0</v>
      </c>
      <c r="J1042" s="7">
        <v>14</v>
      </c>
      <c r="L1042" s="7">
        <f t="shared" si="457"/>
        <v>14</v>
      </c>
      <c r="M1042" s="8">
        <v>1</v>
      </c>
      <c r="N1042" s="8">
        <f t="shared" si="458"/>
        <v>1</v>
      </c>
      <c r="O1042" s="11" t="s">
        <v>1702</v>
      </c>
      <c r="P1042" s="16" t="str">
        <f t="shared" si="459"/>
        <v>14-Feb-1913</v>
      </c>
      <c r="R1042" s="16" t="str">
        <f t="shared" si="460"/>
        <v>x</v>
      </c>
      <c r="S1042" s="16" t="str">
        <f t="shared" si="460"/>
        <v>x</v>
      </c>
      <c r="U1042" s="46" t="str">
        <f t="shared" si="451"/>
        <v/>
      </c>
      <c r="V1042" s="46">
        <f t="shared" si="451"/>
        <v>14</v>
      </c>
      <c r="W1042" s="46" t="str">
        <f t="shared" si="451"/>
        <v/>
      </c>
      <c r="X1042" s="46" t="str">
        <f t="shared" si="451"/>
        <v/>
      </c>
    </row>
    <row r="1043" spans="2:24" x14ac:dyDescent="0.25">
      <c r="B1043" s="11" t="str">
        <f t="shared" si="456"/>
        <v>CHGO-14MAR1913</v>
      </c>
      <c r="C1043" s="11" t="s">
        <v>916</v>
      </c>
      <c r="D1043" s="11" t="s">
        <v>1699</v>
      </c>
      <c r="E1043" s="39" t="s">
        <v>1020</v>
      </c>
      <c r="F1043" s="11" t="s">
        <v>1700</v>
      </c>
      <c r="G1043" s="39" t="s">
        <v>1009</v>
      </c>
      <c r="I1043" s="7">
        <v>1</v>
      </c>
      <c r="J1043" s="7">
        <v>21</v>
      </c>
      <c r="L1043" s="7">
        <f t="shared" si="457"/>
        <v>22</v>
      </c>
      <c r="M1043" s="8">
        <v>1</v>
      </c>
      <c r="N1043" s="8">
        <f t="shared" si="458"/>
        <v>1</v>
      </c>
      <c r="O1043" s="11" t="s">
        <v>1702</v>
      </c>
      <c r="P1043" s="16" t="str">
        <f t="shared" si="459"/>
        <v>14-Mar-1913</v>
      </c>
      <c r="R1043" s="16" t="str">
        <f t="shared" si="460"/>
        <v>x</v>
      </c>
      <c r="S1043" s="16" t="str">
        <f t="shared" si="460"/>
        <v>x</v>
      </c>
      <c r="U1043" s="46" t="str">
        <f t="shared" si="451"/>
        <v/>
      </c>
      <c r="V1043" s="46">
        <f t="shared" si="451"/>
        <v>22</v>
      </c>
      <c r="W1043" s="46" t="str">
        <f t="shared" si="451"/>
        <v/>
      </c>
      <c r="X1043" s="46" t="str">
        <f t="shared" si="451"/>
        <v/>
      </c>
    </row>
    <row r="1044" spans="2:24" x14ac:dyDescent="0.25">
      <c r="B1044" s="11" t="str">
        <f t="shared" si="456"/>
        <v>CHGO-10APR1913</v>
      </c>
      <c r="C1044" s="11" t="s">
        <v>916</v>
      </c>
      <c r="D1044" s="11" t="s">
        <v>1699</v>
      </c>
      <c r="E1044" s="39" t="s">
        <v>1021</v>
      </c>
      <c r="F1044" s="11" t="s">
        <v>1700</v>
      </c>
      <c r="G1044" s="39" t="s">
        <v>1010</v>
      </c>
      <c r="I1044" s="7">
        <v>0</v>
      </c>
      <c r="J1044" s="7">
        <v>16</v>
      </c>
      <c r="L1044" s="7">
        <f t="shared" si="457"/>
        <v>16</v>
      </c>
      <c r="M1044" s="8">
        <v>1</v>
      </c>
      <c r="N1044" s="8">
        <f t="shared" si="458"/>
        <v>1</v>
      </c>
      <c r="O1044" s="11" t="s">
        <v>1702</v>
      </c>
      <c r="P1044" s="16" t="str">
        <f t="shared" si="459"/>
        <v>10-Apr-1913</v>
      </c>
      <c r="R1044" s="16" t="str">
        <f>IF($L1044&gt;0,"x","")</f>
        <v>x</v>
      </c>
      <c r="S1044" s="16" t="str">
        <f>IF($L1044&gt;0,"x","")</f>
        <v>x</v>
      </c>
      <c r="U1044" s="46" t="str">
        <f t="shared" si="451"/>
        <v/>
      </c>
      <c r="V1044" s="46">
        <f t="shared" si="451"/>
        <v>16</v>
      </c>
      <c r="W1044" s="46" t="str">
        <f t="shared" si="451"/>
        <v/>
      </c>
      <c r="X1044" s="46" t="str">
        <f t="shared" si="451"/>
        <v/>
      </c>
    </row>
    <row r="1045" spans="2:24" x14ac:dyDescent="0.25">
      <c r="B1045" s="11" t="str">
        <f t="shared" ref="B1045:B1052" si="461">CONCATENATE("CHGO","-",LEFT(P1045,2),UPPER(MID(P1045,4,3)),RIGHT(P1045,4))</f>
        <v>CHGO-08MAY1913</v>
      </c>
      <c r="C1045" s="11" t="s">
        <v>916</v>
      </c>
      <c r="D1045" s="11" t="s">
        <v>1699</v>
      </c>
      <c r="E1045" s="39" t="s">
        <v>1022</v>
      </c>
      <c r="F1045" s="11" t="s">
        <v>1700</v>
      </c>
      <c r="G1045" s="39" t="s">
        <v>1011</v>
      </c>
      <c r="I1045" s="7">
        <v>0</v>
      </c>
      <c r="J1045" s="7">
        <v>6</v>
      </c>
      <c r="L1045" s="7">
        <f t="shared" ref="L1045:L1052" si="462">SUM(H1045:K1045)</f>
        <v>6</v>
      </c>
      <c r="M1045" s="8">
        <v>1</v>
      </c>
      <c r="N1045" s="8">
        <f t="shared" ref="N1045:N1052" si="463">IF(L1045&gt;0,1,"")</f>
        <v>1</v>
      </c>
      <c r="O1045" s="11" t="s">
        <v>1702</v>
      </c>
      <c r="P1045" s="16" t="str">
        <f t="shared" ref="P1045:P1052" si="464">IF(LEN(G1045)=10,CONCATENATE("0",G1045),G1045)</f>
        <v>08-May-1913</v>
      </c>
      <c r="R1045" s="16" t="str">
        <f t="shared" si="460"/>
        <v>x</v>
      </c>
      <c r="S1045" s="16" t="str">
        <f t="shared" si="460"/>
        <v>x</v>
      </c>
      <c r="U1045" s="46" t="str">
        <f t="shared" si="451"/>
        <v/>
      </c>
      <c r="V1045" s="46">
        <f t="shared" si="451"/>
        <v>6</v>
      </c>
      <c r="W1045" s="46" t="str">
        <f t="shared" si="451"/>
        <v/>
      </c>
      <c r="X1045" s="46" t="str">
        <f t="shared" si="451"/>
        <v/>
      </c>
    </row>
    <row r="1046" spans="2:24" x14ac:dyDescent="0.25">
      <c r="B1046" s="11" t="str">
        <f t="shared" si="461"/>
        <v>CHGO-24JUN1913</v>
      </c>
      <c r="C1046" s="11" t="s">
        <v>916</v>
      </c>
      <c r="D1046" s="11" t="s">
        <v>1699</v>
      </c>
      <c r="E1046" s="39" t="s">
        <v>1023</v>
      </c>
      <c r="F1046" s="11" t="s">
        <v>1700</v>
      </c>
      <c r="G1046" s="39" t="s">
        <v>1012</v>
      </c>
      <c r="I1046" s="7">
        <v>0</v>
      </c>
      <c r="J1046" s="7">
        <v>28</v>
      </c>
      <c r="L1046" s="7">
        <f t="shared" si="462"/>
        <v>28</v>
      </c>
      <c r="M1046" s="8">
        <v>1</v>
      </c>
      <c r="N1046" s="8">
        <f t="shared" si="463"/>
        <v>1</v>
      </c>
      <c r="O1046" s="11" t="s">
        <v>1702</v>
      </c>
      <c r="P1046" s="16" t="str">
        <f t="shared" si="464"/>
        <v>24-Jun-1913</v>
      </c>
      <c r="R1046" s="16" t="str">
        <f t="shared" si="460"/>
        <v>x</v>
      </c>
      <c r="S1046" s="16" t="str">
        <f t="shared" si="460"/>
        <v>x</v>
      </c>
      <c r="U1046" s="46" t="str">
        <f t="shared" si="451"/>
        <v/>
      </c>
      <c r="V1046" s="46">
        <f t="shared" si="451"/>
        <v>28</v>
      </c>
      <c r="W1046" s="46" t="str">
        <f t="shared" si="451"/>
        <v/>
      </c>
      <c r="X1046" s="46" t="str">
        <f t="shared" si="451"/>
        <v/>
      </c>
    </row>
    <row r="1047" spans="2:24" x14ac:dyDescent="0.25">
      <c r="B1047" s="11" t="str">
        <f t="shared" si="461"/>
        <v>CHGO-29JUL1913</v>
      </c>
      <c r="C1047" s="11" t="s">
        <v>916</v>
      </c>
      <c r="D1047" s="11" t="s">
        <v>1699</v>
      </c>
      <c r="E1047" s="39" t="s">
        <v>2100</v>
      </c>
      <c r="F1047" s="11" t="s">
        <v>1700</v>
      </c>
      <c r="G1047" s="39" t="s">
        <v>1013</v>
      </c>
      <c r="I1047" s="7">
        <v>3</v>
      </c>
      <c r="J1047" s="7">
        <v>153</v>
      </c>
      <c r="L1047" s="7">
        <f t="shared" si="462"/>
        <v>156</v>
      </c>
      <c r="M1047" s="8">
        <v>1</v>
      </c>
      <c r="N1047" s="8">
        <f t="shared" si="463"/>
        <v>1</v>
      </c>
      <c r="O1047" s="11" t="s">
        <v>1702</v>
      </c>
      <c r="P1047" s="16" t="str">
        <f t="shared" si="464"/>
        <v>29-Jul-1913</v>
      </c>
      <c r="R1047" s="16" t="str">
        <f t="shared" si="460"/>
        <v>x</v>
      </c>
      <c r="S1047" s="16" t="str">
        <f t="shared" si="460"/>
        <v>x</v>
      </c>
      <c r="U1047" s="46" t="str">
        <f t="shared" si="451"/>
        <v/>
      </c>
      <c r="V1047" s="46">
        <f t="shared" si="451"/>
        <v>156</v>
      </c>
      <c r="W1047" s="46" t="str">
        <f t="shared" si="451"/>
        <v/>
      </c>
      <c r="X1047" s="46" t="str">
        <f t="shared" si="451"/>
        <v/>
      </c>
    </row>
    <row r="1048" spans="2:24" x14ac:dyDescent="0.25">
      <c r="B1048" s="11" t="str">
        <f t="shared" si="461"/>
        <v>CHGO-26AUG1913</v>
      </c>
      <c r="C1048" s="11" t="s">
        <v>916</v>
      </c>
      <c r="D1048" s="11" t="s">
        <v>1699</v>
      </c>
      <c r="E1048" s="39" t="s">
        <v>1024</v>
      </c>
      <c r="F1048" s="11" t="s">
        <v>1700</v>
      </c>
      <c r="G1048" s="39" t="s">
        <v>1929</v>
      </c>
      <c r="I1048" s="7">
        <v>0</v>
      </c>
      <c r="J1048" s="7">
        <v>69</v>
      </c>
      <c r="L1048" s="7">
        <f t="shared" si="462"/>
        <v>69</v>
      </c>
      <c r="M1048" s="8">
        <v>1</v>
      </c>
      <c r="N1048" s="8">
        <f t="shared" si="463"/>
        <v>1</v>
      </c>
      <c r="O1048" s="11" t="s">
        <v>1702</v>
      </c>
      <c r="P1048" s="16" t="str">
        <f t="shared" si="464"/>
        <v>26-Aug-1913</v>
      </c>
      <c r="R1048" s="16" t="str">
        <f t="shared" si="460"/>
        <v>x</v>
      </c>
      <c r="S1048" s="16" t="str">
        <f t="shared" si="460"/>
        <v>x</v>
      </c>
      <c r="U1048" s="46" t="str">
        <f t="shared" si="451"/>
        <v/>
      </c>
      <c r="V1048" s="46">
        <f t="shared" si="451"/>
        <v>69</v>
      </c>
      <c r="W1048" s="46" t="str">
        <f t="shared" si="451"/>
        <v/>
      </c>
      <c r="X1048" s="46" t="str">
        <f t="shared" si="451"/>
        <v/>
      </c>
    </row>
    <row r="1049" spans="2:24" x14ac:dyDescent="0.25">
      <c r="B1049" s="11" t="str">
        <f t="shared" si="461"/>
        <v>CHGO-23SEP1913</v>
      </c>
      <c r="C1049" s="11" t="s">
        <v>916</v>
      </c>
      <c r="D1049" s="11" t="s">
        <v>1699</v>
      </c>
      <c r="E1049" s="39" t="s">
        <v>1025</v>
      </c>
      <c r="F1049" s="11" t="s">
        <v>1700</v>
      </c>
      <c r="G1049" s="39" t="s">
        <v>1014</v>
      </c>
      <c r="I1049" s="7">
        <v>1</v>
      </c>
      <c r="J1049" s="7">
        <v>89</v>
      </c>
      <c r="L1049" s="7">
        <f t="shared" si="462"/>
        <v>90</v>
      </c>
      <c r="M1049" s="8">
        <v>1</v>
      </c>
      <c r="N1049" s="8">
        <f t="shared" si="463"/>
        <v>1</v>
      </c>
      <c r="O1049" s="11" t="s">
        <v>1702</v>
      </c>
      <c r="P1049" s="16" t="str">
        <f t="shared" si="464"/>
        <v>23-Sep-1913</v>
      </c>
      <c r="R1049" s="16" t="str">
        <f t="shared" ref="R1049:S1064" si="465">IF($L1049&gt;0,"x","")</f>
        <v>x</v>
      </c>
      <c r="S1049" s="16" t="str">
        <f t="shared" si="465"/>
        <v>x</v>
      </c>
      <c r="U1049" s="46" t="str">
        <f t="shared" si="451"/>
        <v/>
      </c>
      <c r="V1049" s="46">
        <f t="shared" si="451"/>
        <v>90</v>
      </c>
      <c r="W1049" s="46" t="str">
        <f t="shared" si="451"/>
        <v/>
      </c>
      <c r="X1049" s="46" t="str">
        <f t="shared" si="451"/>
        <v/>
      </c>
    </row>
    <row r="1050" spans="2:24" x14ac:dyDescent="0.25">
      <c r="B1050" s="11" t="str">
        <f t="shared" si="461"/>
        <v>CHGO-20OCT1913</v>
      </c>
      <c r="C1050" s="11" t="s">
        <v>916</v>
      </c>
      <c r="D1050" s="11" t="s">
        <v>1699</v>
      </c>
      <c r="E1050" s="39" t="s">
        <v>1026</v>
      </c>
      <c r="F1050" s="11" t="s">
        <v>1700</v>
      </c>
      <c r="G1050" s="39" t="s">
        <v>1015</v>
      </c>
      <c r="I1050" s="7">
        <v>0</v>
      </c>
      <c r="J1050" s="7">
        <v>63</v>
      </c>
      <c r="L1050" s="7">
        <f t="shared" si="462"/>
        <v>63</v>
      </c>
      <c r="M1050" s="8">
        <v>1</v>
      </c>
      <c r="N1050" s="8">
        <f t="shared" si="463"/>
        <v>1</v>
      </c>
      <c r="O1050" s="11" t="s">
        <v>1702</v>
      </c>
      <c r="P1050" s="16" t="str">
        <f t="shared" si="464"/>
        <v>20-Oct-1913</v>
      </c>
      <c r="R1050" s="16" t="str">
        <f t="shared" si="465"/>
        <v>x</v>
      </c>
      <c r="S1050" s="16" t="str">
        <f t="shared" si="465"/>
        <v>x</v>
      </c>
      <c r="U1050" s="46" t="str">
        <f t="shared" si="451"/>
        <v/>
      </c>
      <c r="V1050" s="46">
        <f t="shared" si="451"/>
        <v>63</v>
      </c>
      <c r="W1050" s="46" t="str">
        <f t="shared" si="451"/>
        <v/>
      </c>
      <c r="X1050" s="46" t="str">
        <f t="shared" si="451"/>
        <v/>
      </c>
    </row>
    <row r="1051" spans="2:24" x14ac:dyDescent="0.25">
      <c r="B1051" s="11" t="str">
        <f t="shared" si="461"/>
        <v>CHGO-18NOV1913</v>
      </c>
      <c r="C1051" s="11" t="s">
        <v>916</v>
      </c>
      <c r="D1051" s="11" t="s">
        <v>1699</v>
      </c>
      <c r="E1051" s="39" t="s">
        <v>1027</v>
      </c>
      <c r="F1051" s="11" t="s">
        <v>1700</v>
      </c>
      <c r="G1051" s="39" t="s">
        <v>1016</v>
      </c>
      <c r="I1051" s="7">
        <v>0</v>
      </c>
      <c r="J1051" s="7">
        <v>101</v>
      </c>
      <c r="L1051" s="7">
        <f t="shared" si="462"/>
        <v>101</v>
      </c>
      <c r="M1051" s="8">
        <v>1</v>
      </c>
      <c r="N1051" s="8">
        <f t="shared" si="463"/>
        <v>1</v>
      </c>
      <c r="O1051" s="11" t="s">
        <v>1702</v>
      </c>
      <c r="P1051" s="16" t="str">
        <f t="shared" si="464"/>
        <v>18-Nov-1913</v>
      </c>
      <c r="R1051" s="16" t="str">
        <f t="shared" si="465"/>
        <v>x</v>
      </c>
      <c r="S1051" s="16" t="str">
        <f t="shared" si="465"/>
        <v>x</v>
      </c>
      <c r="U1051" s="46" t="str">
        <f t="shared" si="451"/>
        <v/>
      </c>
      <c r="V1051" s="46">
        <f t="shared" si="451"/>
        <v>101</v>
      </c>
      <c r="W1051" s="46" t="str">
        <f t="shared" si="451"/>
        <v/>
      </c>
      <c r="X1051" s="46" t="str">
        <f t="shared" si="451"/>
        <v/>
      </c>
    </row>
    <row r="1052" spans="2:24" x14ac:dyDescent="0.25">
      <c r="B1052" s="11" t="str">
        <f t="shared" si="461"/>
        <v>CHGO-23DEC1913</v>
      </c>
      <c r="C1052" s="11" t="s">
        <v>916</v>
      </c>
      <c r="D1052" s="11" t="s">
        <v>1699</v>
      </c>
      <c r="E1052" s="39" t="s">
        <v>1028</v>
      </c>
      <c r="F1052" s="11" t="s">
        <v>1700</v>
      </c>
      <c r="G1052" s="39" t="s">
        <v>1017</v>
      </c>
      <c r="I1052" s="7">
        <v>0</v>
      </c>
      <c r="J1052" s="7">
        <v>97</v>
      </c>
      <c r="L1052" s="7">
        <f t="shared" si="462"/>
        <v>97</v>
      </c>
      <c r="M1052" s="8">
        <v>1</v>
      </c>
      <c r="N1052" s="8">
        <f t="shared" si="463"/>
        <v>1</v>
      </c>
      <c r="O1052" s="11" t="s">
        <v>1702</v>
      </c>
      <c r="P1052" s="16" t="str">
        <f t="shared" si="464"/>
        <v>23-Dec-1913</v>
      </c>
      <c r="R1052" s="16" t="str">
        <f t="shared" si="465"/>
        <v>x</v>
      </c>
      <c r="S1052" s="16" t="str">
        <f t="shared" si="465"/>
        <v>x</v>
      </c>
      <c r="U1052" s="46" t="str">
        <f t="shared" si="451"/>
        <v/>
      </c>
      <c r="V1052" s="46">
        <f t="shared" si="451"/>
        <v>97</v>
      </c>
      <c r="W1052" s="46" t="str">
        <f t="shared" si="451"/>
        <v/>
      </c>
      <c r="X1052" s="46" t="str">
        <f t="shared" si="451"/>
        <v/>
      </c>
    </row>
    <row r="1053" spans="2:24" x14ac:dyDescent="0.25">
      <c r="B1053" s="11" t="str">
        <f t="shared" ref="B1053:B1065" si="466">CONCATENATE("CHGO","-",LEFT(P1053,2),UPPER(MID(P1053,4,3)),RIGHT(P1053,4))</f>
        <v>CHGO-15FEB1914</v>
      </c>
      <c r="C1053" s="11" t="s">
        <v>916</v>
      </c>
      <c r="D1053" s="11" t="s">
        <v>1699</v>
      </c>
      <c r="E1053" s="39" t="s">
        <v>1038</v>
      </c>
      <c r="F1053" s="11" t="s">
        <v>1700</v>
      </c>
      <c r="G1053" s="39" t="s">
        <v>1029</v>
      </c>
      <c r="I1053" s="7">
        <v>0</v>
      </c>
      <c r="J1053" s="7">
        <v>22</v>
      </c>
      <c r="L1053" s="7">
        <f t="shared" ref="L1053:L1065" si="467">SUM(H1053:K1053)</f>
        <v>22</v>
      </c>
      <c r="M1053" s="8">
        <v>1</v>
      </c>
      <c r="N1053" s="8">
        <f t="shared" ref="N1053:N1065" si="468">IF(L1053&gt;0,1,"")</f>
        <v>1</v>
      </c>
      <c r="O1053" s="11" t="s">
        <v>1702</v>
      </c>
      <c r="P1053" s="16" t="str">
        <f t="shared" ref="P1053:P1065" si="469">IF(LEN(G1053)=10,CONCATENATE("0",G1053),G1053)</f>
        <v>15-Feb-1914</v>
      </c>
      <c r="R1053" s="16" t="str">
        <f t="shared" si="465"/>
        <v>x</v>
      </c>
      <c r="S1053" s="16" t="str">
        <f t="shared" si="465"/>
        <v>x</v>
      </c>
      <c r="U1053" s="46" t="str">
        <f t="shared" si="451"/>
        <v/>
      </c>
      <c r="V1053" s="46">
        <f t="shared" si="451"/>
        <v>22</v>
      </c>
      <c r="W1053" s="46" t="str">
        <f t="shared" si="451"/>
        <v/>
      </c>
      <c r="X1053" s="46" t="str">
        <f t="shared" si="451"/>
        <v/>
      </c>
    </row>
    <row r="1054" spans="2:24" x14ac:dyDescent="0.25">
      <c r="B1054" s="11" t="str">
        <f t="shared" si="466"/>
        <v>CHGO-14MAR1914</v>
      </c>
      <c r="C1054" s="11" t="s">
        <v>916</v>
      </c>
      <c r="D1054" s="11" t="s">
        <v>1699</v>
      </c>
      <c r="E1054" s="39" t="s">
        <v>1039</v>
      </c>
      <c r="F1054" s="11" t="s">
        <v>1700</v>
      </c>
      <c r="G1054" s="39" t="s">
        <v>1030</v>
      </c>
      <c r="I1054" s="7">
        <v>0</v>
      </c>
      <c r="J1054" s="7">
        <v>4</v>
      </c>
      <c r="L1054" s="7">
        <f t="shared" si="467"/>
        <v>4</v>
      </c>
      <c r="M1054" s="8">
        <v>1</v>
      </c>
      <c r="N1054" s="8">
        <f t="shared" si="468"/>
        <v>1</v>
      </c>
      <c r="O1054" s="11" t="s">
        <v>1702</v>
      </c>
      <c r="P1054" s="16" t="str">
        <f t="shared" si="469"/>
        <v>14-Mar-1914</v>
      </c>
      <c r="R1054" s="16" t="str">
        <f t="shared" si="465"/>
        <v>x</v>
      </c>
      <c r="S1054" s="16" t="str">
        <f t="shared" si="465"/>
        <v>x</v>
      </c>
      <c r="U1054" s="46" t="str">
        <f t="shared" si="451"/>
        <v/>
      </c>
      <c r="V1054" s="46">
        <f t="shared" si="451"/>
        <v>4</v>
      </c>
      <c r="W1054" s="46" t="str">
        <f t="shared" si="451"/>
        <v/>
      </c>
      <c r="X1054" s="46" t="str">
        <f t="shared" si="451"/>
        <v/>
      </c>
    </row>
    <row r="1055" spans="2:24" x14ac:dyDescent="0.25">
      <c r="B1055" s="11" t="str">
        <f t="shared" si="466"/>
        <v>CHGO-11APR1914</v>
      </c>
      <c r="C1055" s="11" t="s">
        <v>916</v>
      </c>
      <c r="D1055" s="11" t="s">
        <v>1699</v>
      </c>
      <c r="E1055" s="39" t="s">
        <v>1040</v>
      </c>
      <c r="F1055" s="11" t="s">
        <v>1700</v>
      </c>
      <c r="G1055" s="39" t="s">
        <v>1031</v>
      </c>
      <c r="I1055" s="7">
        <v>2</v>
      </c>
      <c r="J1055" s="7">
        <v>12</v>
      </c>
      <c r="L1055" s="7">
        <f t="shared" si="467"/>
        <v>14</v>
      </c>
      <c r="M1055" s="8">
        <v>1</v>
      </c>
      <c r="N1055" s="8">
        <f t="shared" si="468"/>
        <v>1</v>
      </c>
      <c r="O1055" s="11" t="s">
        <v>1702</v>
      </c>
      <c r="P1055" s="16" t="str">
        <f t="shared" si="469"/>
        <v>11-Apr-1914</v>
      </c>
      <c r="R1055" s="16" t="str">
        <f t="shared" si="465"/>
        <v>x</v>
      </c>
      <c r="S1055" s="16" t="str">
        <f t="shared" si="465"/>
        <v>x</v>
      </c>
      <c r="U1055" s="46" t="str">
        <f t="shared" si="451"/>
        <v/>
      </c>
      <c r="V1055" s="46">
        <f t="shared" si="451"/>
        <v>14</v>
      </c>
      <c r="W1055" s="46" t="str">
        <f t="shared" si="451"/>
        <v/>
      </c>
      <c r="X1055" s="46" t="str">
        <f t="shared" si="451"/>
        <v/>
      </c>
    </row>
    <row r="1056" spans="2:24" x14ac:dyDescent="0.25">
      <c r="B1056" s="11" t="str">
        <f t="shared" si="466"/>
        <v>CHGO-09MAY1914</v>
      </c>
      <c r="C1056" s="11" t="s">
        <v>916</v>
      </c>
      <c r="D1056" s="11" t="s">
        <v>1699</v>
      </c>
      <c r="E1056" s="39" t="s">
        <v>1041</v>
      </c>
      <c r="F1056" s="11" t="s">
        <v>1700</v>
      </c>
      <c r="G1056" s="39" t="s">
        <v>1032</v>
      </c>
      <c r="I1056" s="7">
        <v>0</v>
      </c>
      <c r="J1056" s="7">
        <v>16</v>
      </c>
      <c r="L1056" s="7">
        <f t="shared" si="467"/>
        <v>16</v>
      </c>
      <c r="M1056" s="8">
        <v>1</v>
      </c>
      <c r="N1056" s="8">
        <f t="shared" si="468"/>
        <v>1</v>
      </c>
      <c r="O1056" s="11" t="s">
        <v>1702</v>
      </c>
      <c r="P1056" s="16" t="str">
        <f t="shared" si="469"/>
        <v>09-May-1914</v>
      </c>
      <c r="R1056" s="16" t="str">
        <f t="shared" si="465"/>
        <v>x</v>
      </c>
      <c r="S1056" s="16" t="str">
        <f t="shared" si="465"/>
        <v>x</v>
      </c>
      <c r="U1056" s="46" t="str">
        <f t="shared" si="451"/>
        <v/>
      </c>
      <c r="V1056" s="46">
        <f t="shared" si="451"/>
        <v>16</v>
      </c>
      <c r="W1056" s="46" t="str">
        <f t="shared" si="451"/>
        <v/>
      </c>
      <c r="X1056" s="46" t="str">
        <f t="shared" si="451"/>
        <v/>
      </c>
    </row>
    <row r="1057" spans="2:24" x14ac:dyDescent="0.25">
      <c r="B1057" s="11" t="str">
        <f t="shared" si="466"/>
        <v>CHGO-04JUN1914</v>
      </c>
      <c r="C1057" s="11" t="s">
        <v>916</v>
      </c>
      <c r="D1057" s="11" t="s">
        <v>1699</v>
      </c>
      <c r="E1057" s="39" t="s">
        <v>1042</v>
      </c>
      <c r="F1057" s="11" t="s">
        <v>1700</v>
      </c>
      <c r="G1057" s="39" t="s">
        <v>1033</v>
      </c>
      <c r="I1057" s="7">
        <v>0</v>
      </c>
      <c r="J1057" s="7">
        <v>12</v>
      </c>
      <c r="L1057" s="7">
        <f t="shared" si="467"/>
        <v>12</v>
      </c>
      <c r="M1057" s="8">
        <v>1</v>
      </c>
      <c r="N1057" s="8">
        <f t="shared" si="468"/>
        <v>1</v>
      </c>
      <c r="O1057" s="11" t="s">
        <v>1702</v>
      </c>
      <c r="P1057" s="16" t="str">
        <f t="shared" si="469"/>
        <v>04-Jun-1914</v>
      </c>
      <c r="R1057" s="16" t="str">
        <f t="shared" si="465"/>
        <v>x</v>
      </c>
      <c r="S1057" s="16" t="str">
        <f t="shared" si="465"/>
        <v>x</v>
      </c>
      <c r="U1057" s="46" t="str">
        <f t="shared" si="451"/>
        <v/>
      </c>
      <c r="V1057" s="46">
        <f t="shared" si="451"/>
        <v>12</v>
      </c>
      <c r="W1057" s="46" t="str">
        <f t="shared" si="451"/>
        <v/>
      </c>
      <c r="X1057" s="46" t="str">
        <f t="shared" si="451"/>
        <v/>
      </c>
    </row>
    <row r="1058" spans="2:24" x14ac:dyDescent="0.25">
      <c r="B1058" s="11" t="str">
        <f t="shared" si="466"/>
        <v>CHGO-24AUG1914</v>
      </c>
      <c r="C1058" s="11" t="s">
        <v>916</v>
      </c>
      <c r="D1058" s="11" t="s">
        <v>1699</v>
      </c>
      <c r="E1058" s="39" t="s">
        <v>1043</v>
      </c>
      <c r="F1058" s="11" t="s">
        <v>1700</v>
      </c>
      <c r="G1058" s="39" t="s">
        <v>1034</v>
      </c>
      <c r="I1058" s="7">
        <v>0</v>
      </c>
      <c r="J1058" s="7">
        <v>0</v>
      </c>
      <c r="L1058" s="7">
        <f t="shared" si="467"/>
        <v>0</v>
      </c>
      <c r="M1058" s="8">
        <v>1</v>
      </c>
      <c r="N1058" s="8" t="str">
        <f t="shared" si="468"/>
        <v/>
      </c>
      <c r="O1058" s="11" t="s">
        <v>1702</v>
      </c>
      <c r="P1058" s="16" t="str">
        <f t="shared" si="469"/>
        <v>24-Aug-1914</v>
      </c>
      <c r="R1058" s="16" t="str">
        <f t="shared" si="465"/>
        <v/>
      </c>
      <c r="S1058" s="16" t="str">
        <f t="shared" si="465"/>
        <v/>
      </c>
      <c r="U1058" s="46" t="str">
        <f t="shared" si="451"/>
        <v/>
      </c>
      <c r="V1058" s="46">
        <f t="shared" si="451"/>
        <v>0</v>
      </c>
      <c r="W1058" s="46" t="str">
        <f t="shared" si="451"/>
        <v/>
      </c>
      <c r="X1058" s="46" t="str">
        <f t="shared" si="451"/>
        <v/>
      </c>
    </row>
    <row r="1059" spans="2:24" x14ac:dyDescent="0.25">
      <c r="B1059" s="11" t="str">
        <f t="shared" si="466"/>
        <v>CHGO-24SEP1914</v>
      </c>
      <c r="C1059" s="11" t="s">
        <v>916</v>
      </c>
      <c r="D1059" s="11" t="s">
        <v>1699</v>
      </c>
      <c r="E1059" s="39" t="s">
        <v>1044</v>
      </c>
      <c r="F1059" s="11" t="s">
        <v>1700</v>
      </c>
      <c r="G1059" s="39" t="s">
        <v>1035</v>
      </c>
      <c r="I1059" s="7">
        <v>0</v>
      </c>
      <c r="J1059" s="7">
        <v>0</v>
      </c>
      <c r="L1059" s="7">
        <f t="shared" si="467"/>
        <v>0</v>
      </c>
      <c r="M1059" s="8">
        <v>1</v>
      </c>
      <c r="N1059" s="8" t="str">
        <f t="shared" si="468"/>
        <v/>
      </c>
      <c r="O1059" s="11" t="s">
        <v>1702</v>
      </c>
      <c r="P1059" s="16" t="str">
        <f t="shared" si="469"/>
        <v>24-Sep-1914</v>
      </c>
      <c r="R1059" s="16" t="str">
        <f t="shared" si="465"/>
        <v/>
      </c>
      <c r="S1059" s="16" t="str">
        <f t="shared" si="465"/>
        <v/>
      </c>
      <c r="U1059" s="46" t="str">
        <f t="shared" si="451"/>
        <v/>
      </c>
      <c r="V1059" s="46">
        <f t="shared" si="451"/>
        <v>0</v>
      </c>
      <c r="W1059" s="46" t="str">
        <f t="shared" si="451"/>
        <v/>
      </c>
      <c r="X1059" s="46" t="str">
        <f t="shared" si="451"/>
        <v/>
      </c>
    </row>
    <row r="1060" spans="2:24" x14ac:dyDescent="0.25">
      <c r="B1060" s="11" t="str">
        <f t="shared" si="466"/>
        <v>CHGO-27OCT1914</v>
      </c>
      <c r="C1060" s="11" t="s">
        <v>916</v>
      </c>
      <c r="D1060" s="11" t="s">
        <v>1699</v>
      </c>
      <c r="E1060" s="39" t="s">
        <v>1045</v>
      </c>
      <c r="F1060" s="11" t="s">
        <v>1700</v>
      </c>
      <c r="G1060" s="39" t="s">
        <v>1036</v>
      </c>
      <c r="I1060" s="7">
        <v>0</v>
      </c>
      <c r="J1060" s="7">
        <v>1</v>
      </c>
      <c r="L1060" s="7">
        <f t="shared" si="467"/>
        <v>1</v>
      </c>
      <c r="M1060" s="8">
        <v>1</v>
      </c>
      <c r="N1060" s="8">
        <f t="shared" si="468"/>
        <v>1</v>
      </c>
      <c r="O1060" s="11" t="s">
        <v>1702</v>
      </c>
      <c r="P1060" s="16" t="str">
        <f t="shared" si="469"/>
        <v>27-Oct-1914</v>
      </c>
      <c r="R1060" s="16" t="str">
        <f t="shared" si="465"/>
        <v>x</v>
      </c>
      <c r="S1060" s="16" t="str">
        <f t="shared" si="465"/>
        <v>x</v>
      </c>
      <c r="U1060" s="46" t="str">
        <f t="shared" si="451"/>
        <v/>
      </c>
      <c r="V1060" s="46">
        <f t="shared" si="451"/>
        <v>1</v>
      </c>
      <c r="W1060" s="46" t="str">
        <f t="shared" si="451"/>
        <v/>
      </c>
      <c r="X1060" s="46" t="str">
        <f t="shared" si="451"/>
        <v/>
      </c>
    </row>
    <row r="1061" spans="2:24" x14ac:dyDescent="0.25">
      <c r="B1061" s="11" t="str">
        <f t="shared" si="466"/>
        <v>CHGO-25NOV1914</v>
      </c>
      <c r="C1061" s="11" t="s">
        <v>916</v>
      </c>
      <c r="D1061" s="11" t="s">
        <v>1699</v>
      </c>
      <c r="E1061" s="39" t="s">
        <v>1046</v>
      </c>
      <c r="F1061" s="11" t="s">
        <v>1700</v>
      </c>
      <c r="G1061" s="39" t="s">
        <v>1047</v>
      </c>
      <c r="I1061" s="7">
        <v>0</v>
      </c>
      <c r="J1061" s="7">
        <v>2</v>
      </c>
      <c r="L1061" s="7">
        <f t="shared" si="467"/>
        <v>2</v>
      </c>
      <c r="M1061" s="8">
        <v>1</v>
      </c>
      <c r="N1061" s="8">
        <f t="shared" si="468"/>
        <v>1</v>
      </c>
      <c r="O1061" s="11" t="s">
        <v>1702</v>
      </c>
      <c r="P1061" s="16" t="str">
        <f t="shared" si="469"/>
        <v>25-Nov-1914</v>
      </c>
      <c r="R1061" s="16" t="str">
        <f t="shared" si="465"/>
        <v>x</v>
      </c>
      <c r="S1061" s="16" t="str">
        <f t="shared" si="465"/>
        <v>x</v>
      </c>
      <c r="U1061" s="46" t="str">
        <f t="shared" si="451"/>
        <v/>
      </c>
      <c r="V1061" s="46">
        <f t="shared" si="451"/>
        <v>2</v>
      </c>
      <c r="W1061" s="46" t="str">
        <f t="shared" si="451"/>
        <v/>
      </c>
      <c r="X1061" s="46" t="str">
        <f t="shared" si="451"/>
        <v/>
      </c>
    </row>
    <row r="1062" spans="2:24" x14ac:dyDescent="0.25">
      <c r="B1062" s="11" t="str">
        <f t="shared" si="466"/>
        <v>CHGO-26DEC1914</v>
      </c>
      <c r="C1062" s="11" t="s">
        <v>916</v>
      </c>
      <c r="D1062" s="11" t="s">
        <v>1699</v>
      </c>
      <c r="E1062" s="39" t="s">
        <v>1048</v>
      </c>
      <c r="F1062" s="11" t="s">
        <v>1700</v>
      </c>
      <c r="G1062" s="39" t="s">
        <v>1037</v>
      </c>
      <c r="I1062" s="7">
        <v>1</v>
      </c>
      <c r="J1062" s="7">
        <v>1</v>
      </c>
      <c r="L1062" s="7">
        <f t="shared" si="467"/>
        <v>2</v>
      </c>
      <c r="M1062" s="8">
        <v>1</v>
      </c>
      <c r="N1062" s="8">
        <f t="shared" si="468"/>
        <v>1</v>
      </c>
      <c r="O1062" s="11" t="s">
        <v>1702</v>
      </c>
      <c r="P1062" s="16" t="str">
        <f t="shared" si="469"/>
        <v>26-Dec-1914</v>
      </c>
      <c r="R1062" s="16" t="str">
        <f t="shared" si="465"/>
        <v>x</v>
      </c>
      <c r="S1062" s="16" t="str">
        <f t="shared" si="465"/>
        <v>x</v>
      </c>
      <c r="U1062" s="46" t="str">
        <f t="shared" si="451"/>
        <v/>
      </c>
      <c r="V1062" s="46">
        <f t="shared" si="451"/>
        <v>2</v>
      </c>
      <c r="W1062" s="46" t="str">
        <f t="shared" si="451"/>
        <v/>
      </c>
      <c r="X1062" s="46" t="str">
        <f t="shared" si="451"/>
        <v/>
      </c>
    </row>
    <row r="1063" spans="2:24" x14ac:dyDescent="0.25">
      <c r="B1063" s="11" t="str">
        <f t="shared" si="466"/>
        <v>CHGO-26JAN1915</v>
      </c>
      <c r="C1063" s="11" t="s">
        <v>916</v>
      </c>
      <c r="D1063" s="11" t="s">
        <v>1699</v>
      </c>
      <c r="E1063" s="39" t="s">
        <v>1054</v>
      </c>
      <c r="F1063" s="11" t="s">
        <v>1700</v>
      </c>
      <c r="G1063" s="39" t="s">
        <v>1055</v>
      </c>
      <c r="I1063" s="7">
        <v>0</v>
      </c>
      <c r="J1063" s="7">
        <v>0</v>
      </c>
      <c r="L1063" s="7">
        <f t="shared" si="467"/>
        <v>0</v>
      </c>
      <c r="M1063" s="8">
        <v>1</v>
      </c>
      <c r="N1063" s="8" t="str">
        <f t="shared" si="468"/>
        <v/>
      </c>
      <c r="O1063" s="11" t="s">
        <v>1702</v>
      </c>
      <c r="P1063" s="16" t="str">
        <f t="shared" si="469"/>
        <v>26-Jan-1915</v>
      </c>
      <c r="R1063" s="16" t="str">
        <f t="shared" si="465"/>
        <v/>
      </c>
      <c r="S1063" s="16" t="str">
        <f t="shared" si="465"/>
        <v/>
      </c>
      <c r="U1063" s="46" t="str">
        <f t="shared" si="451"/>
        <v/>
      </c>
      <c r="V1063" s="46">
        <f t="shared" si="451"/>
        <v>0</v>
      </c>
      <c r="W1063" s="46" t="str">
        <f t="shared" si="451"/>
        <v/>
      </c>
      <c r="X1063" s="46" t="str">
        <f t="shared" si="451"/>
        <v/>
      </c>
    </row>
    <row r="1064" spans="2:24" x14ac:dyDescent="0.25">
      <c r="B1064" s="11" t="str">
        <f t="shared" si="466"/>
        <v>CHGO-02MAR1915</v>
      </c>
      <c r="C1064" s="11" t="s">
        <v>916</v>
      </c>
      <c r="D1064" s="11" t="s">
        <v>1699</v>
      </c>
      <c r="E1064" s="39" t="s">
        <v>1056</v>
      </c>
      <c r="F1064" s="11" t="s">
        <v>1700</v>
      </c>
      <c r="G1064" s="39" t="s">
        <v>1049</v>
      </c>
      <c r="I1064" s="7">
        <v>1</v>
      </c>
      <c r="J1064" s="7">
        <v>0</v>
      </c>
      <c r="L1064" s="7">
        <f t="shared" si="467"/>
        <v>1</v>
      </c>
      <c r="M1064" s="8">
        <v>1</v>
      </c>
      <c r="N1064" s="8">
        <f t="shared" si="468"/>
        <v>1</v>
      </c>
      <c r="O1064" s="11" t="s">
        <v>1702</v>
      </c>
      <c r="P1064" s="16" t="str">
        <f t="shared" si="469"/>
        <v>02-Mar-1915</v>
      </c>
      <c r="R1064" s="16" t="str">
        <f t="shared" si="465"/>
        <v>x</v>
      </c>
      <c r="S1064" s="16" t="str">
        <f t="shared" si="465"/>
        <v>x</v>
      </c>
      <c r="U1064" s="46" t="str">
        <f t="shared" si="451"/>
        <v/>
      </c>
      <c r="V1064" s="46">
        <f t="shared" si="451"/>
        <v>1</v>
      </c>
      <c r="W1064" s="46" t="str">
        <f t="shared" si="451"/>
        <v/>
      </c>
      <c r="X1064" s="46" t="str">
        <f t="shared" si="451"/>
        <v/>
      </c>
    </row>
    <row r="1065" spans="2:24" x14ac:dyDescent="0.25">
      <c r="B1065" s="11" t="str">
        <f t="shared" si="466"/>
        <v>CHGO-02APR1915</v>
      </c>
      <c r="C1065" s="11" t="s">
        <v>916</v>
      </c>
      <c r="D1065" s="11" t="s">
        <v>1699</v>
      </c>
      <c r="E1065" s="39" t="s">
        <v>1953</v>
      </c>
      <c r="F1065" s="11" t="s">
        <v>1700</v>
      </c>
      <c r="G1065" s="39" t="s">
        <v>1057</v>
      </c>
      <c r="I1065" s="7">
        <v>0</v>
      </c>
      <c r="J1065" s="7">
        <v>0</v>
      </c>
      <c r="L1065" s="7">
        <f t="shared" si="467"/>
        <v>0</v>
      </c>
      <c r="M1065" s="8">
        <v>1</v>
      </c>
      <c r="N1065" s="8" t="str">
        <f t="shared" si="468"/>
        <v/>
      </c>
      <c r="O1065" s="11" t="s">
        <v>1702</v>
      </c>
      <c r="P1065" s="16" t="str">
        <f t="shared" si="469"/>
        <v>02-Apr-1915</v>
      </c>
      <c r="R1065" s="16" t="str">
        <f t="shared" ref="R1065:S1090" si="470">IF($L1065&gt;0,"x","")</f>
        <v/>
      </c>
      <c r="S1065" s="16" t="str">
        <f t="shared" si="470"/>
        <v/>
      </c>
      <c r="U1065" s="46" t="str">
        <f t="shared" si="451"/>
        <v/>
      </c>
      <c r="V1065" s="46">
        <f t="shared" si="451"/>
        <v>0</v>
      </c>
      <c r="W1065" s="46" t="str">
        <f t="shared" si="451"/>
        <v/>
      </c>
      <c r="X1065" s="46" t="str">
        <f t="shared" si="451"/>
        <v/>
      </c>
    </row>
    <row r="1066" spans="2:24" x14ac:dyDescent="0.25">
      <c r="B1066" s="11" t="str">
        <f t="shared" ref="B1066:B1079" si="471">CONCATENATE("CHGO","-",LEFT(P1066,2),UPPER(MID(P1066,4,3)),RIGHT(P1066,4))</f>
        <v>CHGO-26MAY1915</v>
      </c>
      <c r="C1066" s="11" t="s">
        <v>916</v>
      </c>
      <c r="D1066" s="11" t="s">
        <v>1956</v>
      </c>
      <c r="E1066" s="39" t="s">
        <v>1058</v>
      </c>
      <c r="F1066" s="11" t="s">
        <v>1700</v>
      </c>
      <c r="G1066" s="39" t="s">
        <v>1059</v>
      </c>
      <c r="I1066" s="7">
        <v>1</v>
      </c>
      <c r="J1066" s="7">
        <v>0</v>
      </c>
      <c r="L1066" s="7">
        <f t="shared" ref="L1066:L1079" si="472">SUM(H1066:K1066)</f>
        <v>1</v>
      </c>
      <c r="M1066" s="8">
        <v>1</v>
      </c>
      <c r="N1066" s="8">
        <f t="shared" ref="N1066:N1079" si="473">IF(L1066&gt;0,1,"")</f>
        <v>1</v>
      </c>
      <c r="O1066" s="11" t="s">
        <v>1702</v>
      </c>
      <c r="P1066" s="16" t="str">
        <f t="shared" ref="P1066:P1079" si="474">IF(LEN(G1066)=10,CONCATENATE("0",G1066),G1066)</f>
        <v>26-May-1915</v>
      </c>
      <c r="R1066" s="16" t="str">
        <f t="shared" si="470"/>
        <v>x</v>
      </c>
      <c r="S1066" s="16" t="str">
        <f t="shared" si="470"/>
        <v>x</v>
      </c>
      <c r="U1066" s="46" t="str">
        <f t="shared" si="451"/>
        <v/>
      </c>
      <c r="V1066" s="46">
        <f t="shared" si="451"/>
        <v>1</v>
      </c>
      <c r="W1066" s="46" t="str">
        <f t="shared" si="451"/>
        <v/>
      </c>
      <c r="X1066" s="46" t="str">
        <f t="shared" si="451"/>
        <v/>
      </c>
    </row>
    <row r="1067" spans="2:24" x14ac:dyDescent="0.25">
      <c r="B1067" s="11" t="str">
        <f t="shared" si="471"/>
        <v>CHGO-30JUN1915</v>
      </c>
      <c r="C1067" s="11" t="s">
        <v>916</v>
      </c>
      <c r="D1067" s="11" t="s">
        <v>1956</v>
      </c>
      <c r="E1067" s="39" t="s">
        <v>1060</v>
      </c>
      <c r="F1067" s="11" t="s">
        <v>1700</v>
      </c>
      <c r="G1067" s="39" t="s">
        <v>1050</v>
      </c>
      <c r="I1067" s="7">
        <v>0</v>
      </c>
      <c r="J1067" s="7">
        <v>0</v>
      </c>
      <c r="L1067" s="7">
        <f t="shared" si="472"/>
        <v>0</v>
      </c>
      <c r="M1067" s="8">
        <v>1</v>
      </c>
      <c r="N1067" s="8" t="str">
        <f t="shared" si="473"/>
        <v/>
      </c>
      <c r="O1067" s="11" t="s">
        <v>1702</v>
      </c>
      <c r="P1067" s="16" t="str">
        <f t="shared" si="474"/>
        <v>30-Jun-1915</v>
      </c>
      <c r="R1067" s="16" t="str">
        <f t="shared" si="470"/>
        <v/>
      </c>
      <c r="S1067" s="16" t="str">
        <f t="shared" si="470"/>
        <v/>
      </c>
      <c r="U1067" s="46" t="str">
        <f t="shared" si="451"/>
        <v/>
      </c>
      <c r="V1067" s="46">
        <f t="shared" si="451"/>
        <v>0</v>
      </c>
      <c r="W1067" s="46" t="str">
        <f t="shared" si="451"/>
        <v/>
      </c>
      <c r="X1067" s="46" t="str">
        <f t="shared" si="451"/>
        <v/>
      </c>
    </row>
    <row r="1068" spans="2:24" x14ac:dyDescent="0.25">
      <c r="B1068" s="11" t="str">
        <f t="shared" si="471"/>
        <v>CHGO-30JUL1915</v>
      </c>
      <c r="C1068" s="11" t="s">
        <v>916</v>
      </c>
      <c r="D1068" s="11" t="s">
        <v>1956</v>
      </c>
      <c r="E1068" s="39" t="s">
        <v>1061</v>
      </c>
      <c r="F1068" s="11" t="s">
        <v>1700</v>
      </c>
      <c r="G1068" s="39" t="s">
        <v>1051</v>
      </c>
      <c r="I1068" s="7">
        <v>2</v>
      </c>
      <c r="J1068" s="7">
        <v>0</v>
      </c>
      <c r="L1068" s="7">
        <f t="shared" si="472"/>
        <v>2</v>
      </c>
      <c r="M1068" s="8">
        <v>1</v>
      </c>
      <c r="N1068" s="8">
        <f t="shared" si="473"/>
        <v>1</v>
      </c>
      <c r="O1068" s="11" t="s">
        <v>1702</v>
      </c>
      <c r="P1068" s="16" t="str">
        <f t="shared" si="474"/>
        <v>30-Jul-1915</v>
      </c>
      <c r="R1068" s="16" t="str">
        <f t="shared" si="470"/>
        <v>x</v>
      </c>
      <c r="S1068" s="16" t="str">
        <f t="shared" si="470"/>
        <v>x</v>
      </c>
      <c r="U1068" s="46" t="str">
        <f t="shared" si="451"/>
        <v/>
      </c>
      <c r="V1068" s="46">
        <f t="shared" si="451"/>
        <v>2</v>
      </c>
      <c r="W1068" s="46" t="str">
        <f t="shared" si="451"/>
        <v/>
      </c>
      <c r="X1068" s="46" t="str">
        <f t="shared" si="451"/>
        <v/>
      </c>
    </row>
    <row r="1069" spans="2:24" x14ac:dyDescent="0.25">
      <c r="B1069" s="11" t="str">
        <f t="shared" si="471"/>
        <v>CHGO-17SEP1915</v>
      </c>
      <c r="C1069" s="11" t="s">
        <v>916</v>
      </c>
      <c r="D1069" s="11" t="s">
        <v>1956</v>
      </c>
      <c r="E1069" s="39" t="s">
        <v>1062</v>
      </c>
      <c r="F1069" s="11" t="s">
        <v>1700</v>
      </c>
      <c r="G1069" s="39" t="s">
        <v>1052</v>
      </c>
      <c r="I1069" s="7">
        <v>0</v>
      </c>
      <c r="J1069" s="7">
        <v>0</v>
      </c>
      <c r="L1069" s="7">
        <f t="shared" si="472"/>
        <v>0</v>
      </c>
      <c r="M1069" s="8">
        <v>1</v>
      </c>
      <c r="N1069" s="8" t="str">
        <f t="shared" si="473"/>
        <v/>
      </c>
      <c r="O1069" s="11" t="s">
        <v>1702</v>
      </c>
      <c r="P1069" s="16" t="str">
        <f t="shared" si="474"/>
        <v>17-Sep-1915</v>
      </c>
      <c r="R1069" s="16" t="str">
        <f t="shared" si="470"/>
        <v/>
      </c>
      <c r="S1069" s="16" t="str">
        <f t="shared" si="470"/>
        <v/>
      </c>
      <c r="U1069" s="46" t="str">
        <f t="shared" si="451"/>
        <v/>
      </c>
      <c r="V1069" s="46">
        <f t="shared" si="451"/>
        <v>0</v>
      </c>
      <c r="W1069" s="46" t="str">
        <f t="shared" si="451"/>
        <v/>
      </c>
      <c r="X1069" s="46" t="str">
        <f t="shared" si="451"/>
        <v/>
      </c>
    </row>
    <row r="1070" spans="2:24" x14ac:dyDescent="0.25">
      <c r="B1070" s="11" t="str">
        <f t="shared" si="471"/>
        <v>CHGO-14OCT1915</v>
      </c>
      <c r="C1070" s="11" t="s">
        <v>916</v>
      </c>
      <c r="D1070" s="11" t="s">
        <v>1956</v>
      </c>
      <c r="E1070" s="39" t="s">
        <v>1063</v>
      </c>
      <c r="F1070" s="11" t="s">
        <v>1700</v>
      </c>
      <c r="G1070" s="39" t="s">
        <v>1053</v>
      </c>
      <c r="I1070" s="7">
        <v>0</v>
      </c>
      <c r="J1070" s="7">
        <v>1</v>
      </c>
      <c r="L1070" s="7">
        <f t="shared" si="472"/>
        <v>1</v>
      </c>
      <c r="M1070" s="8">
        <v>1</v>
      </c>
      <c r="N1070" s="8">
        <f t="shared" si="473"/>
        <v>1</v>
      </c>
      <c r="O1070" s="11" t="s">
        <v>1702</v>
      </c>
      <c r="P1070" s="16" t="str">
        <f t="shared" si="474"/>
        <v>14-Oct-1915</v>
      </c>
      <c r="R1070" s="16" t="str">
        <f t="shared" si="470"/>
        <v>x</v>
      </c>
      <c r="S1070" s="16" t="str">
        <f t="shared" si="470"/>
        <v>x</v>
      </c>
      <c r="U1070" s="46" t="str">
        <f t="shared" si="451"/>
        <v/>
      </c>
      <c r="V1070" s="46">
        <f t="shared" si="451"/>
        <v>1</v>
      </c>
      <c r="W1070" s="46" t="str">
        <f t="shared" si="451"/>
        <v/>
      </c>
      <c r="X1070" s="46" t="str">
        <f t="shared" si="451"/>
        <v/>
      </c>
    </row>
    <row r="1071" spans="2:24" x14ac:dyDescent="0.25">
      <c r="B1071" s="11" t="str">
        <f t="shared" si="471"/>
        <v>CHGO-05FEB1916</v>
      </c>
      <c r="C1071" s="11" t="s">
        <v>916</v>
      </c>
      <c r="D1071" s="11" t="s">
        <v>1956</v>
      </c>
      <c r="E1071" s="39" t="s">
        <v>1072</v>
      </c>
      <c r="F1071" s="11" t="s">
        <v>1700</v>
      </c>
      <c r="G1071" s="39" t="s">
        <v>1064</v>
      </c>
      <c r="I1071" s="7">
        <v>8</v>
      </c>
      <c r="J1071" s="7">
        <v>0</v>
      </c>
      <c r="L1071" s="7">
        <f t="shared" si="472"/>
        <v>8</v>
      </c>
      <c r="M1071" s="8">
        <v>1</v>
      </c>
      <c r="N1071" s="8">
        <f t="shared" si="473"/>
        <v>1</v>
      </c>
      <c r="O1071" s="11" t="s">
        <v>1702</v>
      </c>
      <c r="P1071" s="16" t="str">
        <f t="shared" si="474"/>
        <v>05-Feb-1916</v>
      </c>
      <c r="R1071" s="16" t="str">
        <f t="shared" si="470"/>
        <v>x</v>
      </c>
      <c r="S1071" s="16" t="str">
        <f t="shared" si="470"/>
        <v>x</v>
      </c>
      <c r="U1071" s="46" t="str">
        <f t="shared" si="451"/>
        <v/>
      </c>
      <c r="V1071" s="46">
        <f t="shared" si="451"/>
        <v>8</v>
      </c>
      <c r="W1071" s="46" t="str">
        <f t="shared" si="451"/>
        <v/>
      </c>
      <c r="X1071" s="46" t="str">
        <f t="shared" si="451"/>
        <v/>
      </c>
    </row>
    <row r="1072" spans="2:24" x14ac:dyDescent="0.25">
      <c r="B1072" s="11" t="str">
        <f t="shared" si="471"/>
        <v>CHGO-10MAR1916</v>
      </c>
      <c r="C1072" s="11" t="s">
        <v>916</v>
      </c>
      <c r="D1072" s="11" t="s">
        <v>1956</v>
      </c>
      <c r="E1072" s="39" t="s">
        <v>1073</v>
      </c>
      <c r="F1072" s="11" t="s">
        <v>1700</v>
      </c>
      <c r="G1072" s="39" t="s">
        <v>1065</v>
      </c>
      <c r="I1072" s="7">
        <v>1</v>
      </c>
      <c r="J1072" s="7">
        <v>0</v>
      </c>
      <c r="L1072" s="7">
        <f t="shared" si="472"/>
        <v>1</v>
      </c>
      <c r="M1072" s="8">
        <v>1</v>
      </c>
      <c r="N1072" s="8">
        <f t="shared" si="473"/>
        <v>1</v>
      </c>
      <c r="O1072" s="11" t="s">
        <v>1702</v>
      </c>
      <c r="P1072" s="16" t="str">
        <f t="shared" si="474"/>
        <v>10-Mar-1916</v>
      </c>
      <c r="R1072" s="16" t="str">
        <f t="shared" si="470"/>
        <v>x</v>
      </c>
      <c r="S1072" s="16" t="str">
        <f t="shared" si="470"/>
        <v>x</v>
      </c>
      <c r="U1072" s="46" t="str">
        <f t="shared" si="451"/>
        <v/>
      </c>
      <c r="V1072" s="46">
        <f t="shared" si="451"/>
        <v>1</v>
      </c>
      <c r="W1072" s="46" t="str">
        <f t="shared" si="451"/>
        <v/>
      </c>
      <c r="X1072" s="46" t="str">
        <f t="shared" si="451"/>
        <v/>
      </c>
    </row>
    <row r="1073" spans="2:24" x14ac:dyDescent="0.25">
      <c r="B1073" s="11" t="str">
        <f t="shared" si="471"/>
        <v>CHGO-21APR1916</v>
      </c>
      <c r="C1073" s="11" t="s">
        <v>916</v>
      </c>
      <c r="D1073" s="11" t="s">
        <v>1956</v>
      </c>
      <c r="E1073" s="39" t="s">
        <v>1074</v>
      </c>
      <c r="F1073" s="11" t="s">
        <v>1700</v>
      </c>
      <c r="G1073" s="39" t="s">
        <v>1066</v>
      </c>
      <c r="I1073" s="7">
        <v>0</v>
      </c>
      <c r="J1073" s="7">
        <v>0</v>
      </c>
      <c r="L1073" s="7">
        <f t="shared" si="472"/>
        <v>0</v>
      </c>
      <c r="M1073" s="8">
        <v>1</v>
      </c>
      <c r="N1073" s="8" t="str">
        <f t="shared" si="473"/>
        <v/>
      </c>
      <c r="O1073" s="11" t="s">
        <v>1702</v>
      </c>
      <c r="P1073" s="16" t="str">
        <f t="shared" si="474"/>
        <v>21-Apr-1916</v>
      </c>
      <c r="R1073" s="16" t="str">
        <f t="shared" si="470"/>
        <v/>
      </c>
      <c r="S1073" s="16" t="str">
        <f t="shared" si="470"/>
        <v/>
      </c>
      <c r="U1073" s="46" t="str">
        <f t="shared" si="451"/>
        <v/>
      </c>
      <c r="V1073" s="46">
        <f t="shared" si="451"/>
        <v>0</v>
      </c>
      <c r="W1073" s="46" t="str">
        <f t="shared" si="451"/>
        <v/>
      </c>
      <c r="X1073" s="46" t="str">
        <f t="shared" si="451"/>
        <v/>
      </c>
    </row>
    <row r="1074" spans="2:24" x14ac:dyDescent="0.25">
      <c r="B1074" s="11" t="str">
        <f t="shared" si="471"/>
        <v>CHGO-01JUN1916</v>
      </c>
      <c r="C1074" s="11" t="s">
        <v>916</v>
      </c>
      <c r="D1074" s="11" t="s">
        <v>1956</v>
      </c>
      <c r="E1074" s="39" t="s">
        <v>1075</v>
      </c>
      <c r="F1074" s="11" t="s">
        <v>1700</v>
      </c>
      <c r="G1074" s="39" t="s">
        <v>1067</v>
      </c>
      <c r="I1074" s="7">
        <v>0</v>
      </c>
      <c r="J1074" s="7">
        <v>0</v>
      </c>
      <c r="L1074" s="7">
        <f t="shared" si="472"/>
        <v>0</v>
      </c>
      <c r="M1074" s="8">
        <v>1</v>
      </c>
      <c r="N1074" s="8" t="str">
        <f t="shared" si="473"/>
        <v/>
      </c>
      <c r="O1074" s="11" t="s">
        <v>1702</v>
      </c>
      <c r="P1074" s="16" t="str">
        <f t="shared" si="474"/>
        <v>01-Jun-1916</v>
      </c>
      <c r="R1074" s="16" t="str">
        <f t="shared" si="470"/>
        <v/>
      </c>
      <c r="S1074" s="16" t="str">
        <f t="shared" si="470"/>
        <v/>
      </c>
      <c r="U1074" s="46" t="str">
        <f t="shared" si="451"/>
        <v/>
      </c>
      <c r="V1074" s="46">
        <f t="shared" si="451"/>
        <v>0</v>
      </c>
      <c r="W1074" s="46" t="str">
        <f t="shared" si="451"/>
        <v/>
      </c>
      <c r="X1074" s="46" t="str">
        <f t="shared" si="451"/>
        <v/>
      </c>
    </row>
    <row r="1075" spans="2:24" x14ac:dyDescent="0.25">
      <c r="B1075" s="11" t="str">
        <f t="shared" si="471"/>
        <v>CHGO-30JUN1916</v>
      </c>
      <c r="C1075" s="11" t="s">
        <v>916</v>
      </c>
      <c r="D1075" s="11" t="s">
        <v>1956</v>
      </c>
      <c r="E1075" s="39" t="s">
        <v>1076</v>
      </c>
      <c r="F1075" s="11" t="s">
        <v>1700</v>
      </c>
      <c r="G1075" s="39" t="s">
        <v>1077</v>
      </c>
      <c r="I1075" s="7">
        <v>0</v>
      </c>
      <c r="J1075" s="7">
        <v>4</v>
      </c>
      <c r="L1075" s="7">
        <f t="shared" si="472"/>
        <v>4</v>
      </c>
      <c r="M1075" s="8">
        <v>1</v>
      </c>
      <c r="N1075" s="8">
        <f t="shared" si="473"/>
        <v>1</v>
      </c>
      <c r="O1075" s="11" t="s">
        <v>1702</v>
      </c>
      <c r="P1075" s="16" t="str">
        <f t="shared" si="474"/>
        <v>30-Jun-1916</v>
      </c>
      <c r="R1075" s="16" t="str">
        <f t="shared" si="470"/>
        <v>x</v>
      </c>
      <c r="S1075" s="16" t="str">
        <f t="shared" si="470"/>
        <v>x</v>
      </c>
      <c r="U1075" s="46" t="str">
        <f t="shared" si="451"/>
        <v/>
      </c>
      <c r="V1075" s="46">
        <f t="shared" si="451"/>
        <v>4</v>
      </c>
      <c r="W1075" s="46" t="str">
        <f t="shared" si="451"/>
        <v/>
      </c>
      <c r="X1075" s="46" t="str">
        <f t="shared" si="451"/>
        <v/>
      </c>
    </row>
    <row r="1076" spans="2:24" x14ac:dyDescent="0.25">
      <c r="B1076" s="11" t="str">
        <f t="shared" si="471"/>
        <v>CHGO-11AUG1916</v>
      </c>
      <c r="C1076" s="11" t="s">
        <v>916</v>
      </c>
      <c r="D1076" s="11" t="s">
        <v>1956</v>
      </c>
      <c r="E1076" s="39" t="s">
        <v>1078</v>
      </c>
      <c r="F1076" s="11" t="s">
        <v>1700</v>
      </c>
      <c r="G1076" s="39" t="s">
        <v>1068</v>
      </c>
      <c r="I1076" s="7">
        <v>0</v>
      </c>
      <c r="J1076" s="7">
        <v>1</v>
      </c>
      <c r="L1076" s="7">
        <f t="shared" si="472"/>
        <v>1</v>
      </c>
      <c r="M1076" s="8">
        <v>1</v>
      </c>
      <c r="N1076" s="8">
        <f t="shared" si="473"/>
        <v>1</v>
      </c>
      <c r="O1076" s="11" t="s">
        <v>1702</v>
      </c>
      <c r="P1076" s="16" t="str">
        <f t="shared" si="474"/>
        <v>11-Aug-1916</v>
      </c>
      <c r="R1076" s="16" t="str">
        <f t="shared" si="470"/>
        <v>x</v>
      </c>
      <c r="S1076" s="16" t="str">
        <f t="shared" si="470"/>
        <v>x</v>
      </c>
      <c r="U1076" s="46" t="str">
        <f t="shared" si="451"/>
        <v/>
      </c>
      <c r="V1076" s="46">
        <f t="shared" si="451"/>
        <v>1</v>
      </c>
      <c r="W1076" s="46" t="str">
        <f t="shared" si="451"/>
        <v/>
      </c>
      <c r="X1076" s="46" t="str">
        <f>IF($O1076=X$5,$L1076,"")</f>
        <v/>
      </c>
    </row>
    <row r="1077" spans="2:24" x14ac:dyDescent="0.25">
      <c r="B1077" s="11" t="str">
        <f t="shared" si="471"/>
        <v>CHGO-09SEP1916</v>
      </c>
      <c r="C1077" s="11" t="s">
        <v>916</v>
      </c>
      <c r="D1077" s="11" t="s">
        <v>1956</v>
      </c>
      <c r="E1077" s="39" t="s">
        <v>1079</v>
      </c>
      <c r="F1077" s="11" t="s">
        <v>1700</v>
      </c>
      <c r="G1077" s="39" t="s">
        <v>1069</v>
      </c>
      <c r="I1077" s="7">
        <v>1</v>
      </c>
      <c r="J1077" s="7">
        <v>0</v>
      </c>
      <c r="L1077" s="7">
        <f t="shared" si="472"/>
        <v>1</v>
      </c>
      <c r="M1077" s="8">
        <v>1</v>
      </c>
      <c r="N1077" s="8">
        <f t="shared" si="473"/>
        <v>1</v>
      </c>
      <c r="O1077" s="11" t="s">
        <v>1702</v>
      </c>
      <c r="P1077" s="16" t="str">
        <f t="shared" si="474"/>
        <v>09-Sep-1916</v>
      </c>
      <c r="R1077" s="16" t="str">
        <f t="shared" si="470"/>
        <v>x</v>
      </c>
      <c r="S1077" s="16" t="str">
        <f t="shared" si="470"/>
        <v>x</v>
      </c>
      <c r="U1077" s="46" t="str">
        <f t="shared" ref="U1077:X1161" si="475">IF($O1077=U$5,$L1077,"")</f>
        <v/>
      </c>
      <c r="V1077" s="46">
        <f t="shared" si="475"/>
        <v>1</v>
      </c>
      <c r="W1077" s="46" t="str">
        <f t="shared" si="475"/>
        <v/>
      </c>
      <c r="X1077" s="46" t="str">
        <f t="shared" si="475"/>
        <v/>
      </c>
    </row>
    <row r="1078" spans="2:24" x14ac:dyDescent="0.25">
      <c r="B1078" s="11" t="str">
        <f t="shared" si="471"/>
        <v>CHGO-15NOV1916</v>
      </c>
      <c r="C1078" s="11" t="s">
        <v>916</v>
      </c>
      <c r="D1078" s="11" t="s">
        <v>1956</v>
      </c>
      <c r="E1078" s="39" t="s">
        <v>1080</v>
      </c>
      <c r="F1078" s="11" t="s">
        <v>1700</v>
      </c>
      <c r="G1078" s="39" t="s">
        <v>1070</v>
      </c>
      <c r="I1078" s="7">
        <v>0</v>
      </c>
      <c r="J1078" s="7">
        <v>0</v>
      </c>
      <c r="L1078" s="7">
        <f t="shared" si="472"/>
        <v>0</v>
      </c>
      <c r="M1078" s="8">
        <v>1</v>
      </c>
      <c r="N1078" s="8" t="str">
        <f t="shared" si="473"/>
        <v/>
      </c>
      <c r="O1078" s="11" t="s">
        <v>1702</v>
      </c>
      <c r="P1078" s="16" t="str">
        <f t="shared" si="474"/>
        <v>15-Nov-1916</v>
      </c>
      <c r="R1078" s="16" t="str">
        <f t="shared" si="470"/>
        <v/>
      </c>
      <c r="S1078" s="16" t="str">
        <f t="shared" si="470"/>
        <v/>
      </c>
      <c r="U1078" s="46" t="str">
        <f t="shared" si="475"/>
        <v/>
      </c>
      <c r="V1078" s="46">
        <f t="shared" si="475"/>
        <v>0</v>
      </c>
      <c r="W1078" s="46" t="str">
        <f t="shared" si="475"/>
        <v/>
      </c>
      <c r="X1078" s="46" t="str">
        <f t="shared" si="475"/>
        <v/>
      </c>
    </row>
    <row r="1079" spans="2:24" x14ac:dyDescent="0.25">
      <c r="B1079" s="11" t="str">
        <f t="shared" si="471"/>
        <v>CHGO-15DEC1916</v>
      </c>
      <c r="C1079" s="11" t="s">
        <v>916</v>
      </c>
      <c r="D1079" s="11" t="s">
        <v>1956</v>
      </c>
      <c r="E1079" s="39" t="s">
        <v>1081</v>
      </c>
      <c r="F1079" s="11" t="s">
        <v>1700</v>
      </c>
      <c r="G1079" s="39" t="s">
        <v>1071</v>
      </c>
      <c r="I1079" s="7">
        <v>0</v>
      </c>
      <c r="J1079" s="7">
        <v>1</v>
      </c>
      <c r="L1079" s="7">
        <f t="shared" si="472"/>
        <v>1</v>
      </c>
      <c r="M1079" s="8">
        <v>1</v>
      </c>
      <c r="N1079" s="8">
        <f t="shared" si="473"/>
        <v>1</v>
      </c>
      <c r="O1079" s="11" t="s">
        <v>1702</v>
      </c>
      <c r="P1079" s="16" t="str">
        <f t="shared" si="474"/>
        <v>15-Dec-1916</v>
      </c>
      <c r="R1079" s="16" t="str">
        <f t="shared" si="470"/>
        <v>x</v>
      </c>
      <c r="S1079" s="16" t="str">
        <f t="shared" si="470"/>
        <v>x</v>
      </c>
      <c r="U1079" s="46" t="str">
        <f t="shared" si="475"/>
        <v/>
      </c>
      <c r="V1079" s="46">
        <f t="shared" si="475"/>
        <v>1</v>
      </c>
      <c r="W1079" s="46" t="str">
        <f t="shared" si="475"/>
        <v/>
      </c>
      <c r="X1079" s="46" t="str">
        <f t="shared" si="475"/>
        <v/>
      </c>
    </row>
    <row r="1080" spans="2:24" x14ac:dyDescent="0.25">
      <c r="B1080" s="11" t="str">
        <f t="shared" ref="B1080:B1089" si="476">CONCATENATE("CHGO","-",LEFT(P1080,2),UPPER(MID(P1080,4,3)),RIGHT(P1080,4))</f>
        <v>CHGO-15JAN1917</v>
      </c>
      <c r="C1080" s="11" t="s">
        <v>916</v>
      </c>
      <c r="D1080" s="11" t="s">
        <v>1956</v>
      </c>
      <c r="E1080" s="39" t="s">
        <v>1091</v>
      </c>
      <c r="F1080" s="11" t="s">
        <v>1700</v>
      </c>
      <c r="G1080" s="39" t="s">
        <v>1082</v>
      </c>
      <c r="I1080" s="7">
        <v>0</v>
      </c>
      <c r="J1080" s="7">
        <v>0</v>
      </c>
      <c r="L1080" s="7">
        <f t="shared" ref="L1080:L1089" si="477">SUM(H1080:K1080)</f>
        <v>0</v>
      </c>
      <c r="M1080" s="8">
        <v>1</v>
      </c>
      <c r="N1080" s="8" t="str">
        <f t="shared" ref="N1080:N1089" si="478">IF(L1080&gt;0,1,"")</f>
        <v/>
      </c>
      <c r="O1080" s="11" t="s">
        <v>1702</v>
      </c>
      <c r="P1080" s="16" t="str">
        <f t="shared" ref="P1080:P1089" si="479">IF(LEN(G1080)=10,CONCATENATE("0",G1080),G1080)</f>
        <v>15-Jan-1917</v>
      </c>
      <c r="R1080" s="16" t="str">
        <f t="shared" si="470"/>
        <v/>
      </c>
      <c r="S1080" s="16" t="str">
        <f t="shared" si="470"/>
        <v/>
      </c>
      <c r="U1080" s="46" t="str">
        <f t="shared" si="475"/>
        <v/>
      </c>
      <c r="V1080" s="46">
        <f t="shared" si="475"/>
        <v>0</v>
      </c>
      <c r="W1080" s="46" t="str">
        <f t="shared" si="475"/>
        <v/>
      </c>
      <c r="X1080" s="46" t="str">
        <f t="shared" si="475"/>
        <v/>
      </c>
    </row>
    <row r="1081" spans="2:24" x14ac:dyDescent="0.25">
      <c r="B1081" s="11" t="str">
        <f t="shared" si="476"/>
        <v>CHGO-15FEB1917</v>
      </c>
      <c r="C1081" s="11" t="s">
        <v>916</v>
      </c>
      <c r="D1081" s="11" t="s">
        <v>1956</v>
      </c>
      <c r="E1081" s="39" t="s">
        <v>1092</v>
      </c>
      <c r="F1081" s="11" t="s">
        <v>1700</v>
      </c>
      <c r="G1081" s="39" t="s">
        <v>1083</v>
      </c>
      <c r="I1081" s="7">
        <v>0</v>
      </c>
      <c r="J1081" s="7">
        <v>1</v>
      </c>
      <c r="L1081" s="7">
        <f t="shared" si="477"/>
        <v>1</v>
      </c>
      <c r="M1081" s="8">
        <v>1</v>
      </c>
      <c r="N1081" s="8">
        <f t="shared" si="478"/>
        <v>1</v>
      </c>
      <c r="O1081" s="11" t="s">
        <v>1702</v>
      </c>
      <c r="P1081" s="16" t="str">
        <f t="shared" si="479"/>
        <v>15-Feb-1917</v>
      </c>
      <c r="R1081" s="16" t="str">
        <f t="shared" si="470"/>
        <v>x</v>
      </c>
      <c r="S1081" s="16" t="str">
        <f t="shared" si="470"/>
        <v>x</v>
      </c>
      <c r="U1081" s="46" t="str">
        <f t="shared" si="475"/>
        <v/>
      </c>
      <c r="V1081" s="46">
        <f t="shared" si="475"/>
        <v>1</v>
      </c>
      <c r="W1081" s="46" t="str">
        <f t="shared" si="475"/>
        <v/>
      </c>
      <c r="X1081" s="46" t="str">
        <f t="shared" si="475"/>
        <v/>
      </c>
    </row>
    <row r="1082" spans="2:24" x14ac:dyDescent="0.25">
      <c r="B1082" s="11" t="str">
        <f t="shared" si="476"/>
        <v>CHGO-06APR1917</v>
      </c>
      <c r="C1082" s="11" t="s">
        <v>916</v>
      </c>
      <c r="D1082" s="11" t="s">
        <v>1956</v>
      </c>
      <c r="E1082" s="39" t="s">
        <v>1093</v>
      </c>
      <c r="F1082" s="11" t="s">
        <v>1700</v>
      </c>
      <c r="G1082" s="39" t="s">
        <v>1084</v>
      </c>
      <c r="I1082" s="7">
        <v>0</v>
      </c>
      <c r="J1082" s="7">
        <v>6</v>
      </c>
      <c r="L1082" s="7">
        <f t="shared" si="477"/>
        <v>6</v>
      </c>
      <c r="M1082" s="8">
        <v>1</v>
      </c>
      <c r="N1082" s="8">
        <f t="shared" si="478"/>
        <v>1</v>
      </c>
      <c r="O1082" s="11" t="s">
        <v>1702</v>
      </c>
      <c r="P1082" s="16" t="str">
        <f t="shared" si="479"/>
        <v>06-Apr-1917</v>
      </c>
      <c r="R1082" s="16" t="str">
        <f t="shared" si="470"/>
        <v>x</v>
      </c>
      <c r="S1082" s="16" t="str">
        <f t="shared" si="470"/>
        <v>x</v>
      </c>
      <c r="U1082" s="46" t="str">
        <f t="shared" si="475"/>
        <v/>
      </c>
      <c r="V1082" s="46">
        <f t="shared" si="475"/>
        <v>6</v>
      </c>
      <c r="W1082" s="46" t="str">
        <f t="shared" si="475"/>
        <v/>
      </c>
      <c r="X1082" s="46" t="str">
        <f t="shared" si="475"/>
        <v/>
      </c>
    </row>
    <row r="1083" spans="2:24" x14ac:dyDescent="0.25">
      <c r="B1083" s="11" t="str">
        <f t="shared" si="476"/>
        <v>CHGO-13MAY1917</v>
      </c>
      <c r="C1083" s="11" t="s">
        <v>916</v>
      </c>
      <c r="D1083" s="11" t="s">
        <v>1956</v>
      </c>
      <c r="E1083" s="39" t="s">
        <v>1094</v>
      </c>
      <c r="F1083" s="11" t="s">
        <v>1700</v>
      </c>
      <c r="G1083" s="39" t="s">
        <v>1991</v>
      </c>
      <c r="I1083" s="7">
        <v>0</v>
      </c>
      <c r="J1083" s="7">
        <v>0</v>
      </c>
      <c r="L1083" s="7">
        <f t="shared" si="477"/>
        <v>0</v>
      </c>
      <c r="M1083" s="8">
        <v>1</v>
      </c>
      <c r="N1083" s="8" t="str">
        <f t="shared" si="478"/>
        <v/>
      </c>
      <c r="O1083" s="11" t="s">
        <v>1702</v>
      </c>
      <c r="P1083" s="16" t="str">
        <f t="shared" si="479"/>
        <v>13-May-1917</v>
      </c>
      <c r="R1083" s="16" t="str">
        <f t="shared" si="470"/>
        <v/>
      </c>
      <c r="S1083" s="16" t="str">
        <f t="shared" si="470"/>
        <v/>
      </c>
      <c r="U1083" s="46" t="str">
        <f t="shared" si="475"/>
        <v/>
      </c>
      <c r="V1083" s="46">
        <f t="shared" si="475"/>
        <v>0</v>
      </c>
      <c r="W1083" s="46" t="str">
        <f t="shared" si="475"/>
        <v/>
      </c>
      <c r="X1083" s="46" t="str">
        <f t="shared" si="475"/>
        <v/>
      </c>
    </row>
    <row r="1084" spans="2:24" x14ac:dyDescent="0.25">
      <c r="B1084" s="11" t="str">
        <f t="shared" si="476"/>
        <v>CHGO-16JUN1917</v>
      </c>
      <c r="C1084" s="11" t="s">
        <v>916</v>
      </c>
      <c r="D1084" s="11" t="s">
        <v>1956</v>
      </c>
      <c r="E1084" s="39" t="s">
        <v>1095</v>
      </c>
      <c r="F1084" s="11" t="s">
        <v>1700</v>
      </c>
      <c r="G1084" s="39" t="s">
        <v>1085</v>
      </c>
      <c r="I1084" s="7">
        <v>0</v>
      </c>
      <c r="J1084" s="7">
        <v>0</v>
      </c>
      <c r="L1084" s="7">
        <f t="shared" si="477"/>
        <v>0</v>
      </c>
      <c r="M1084" s="8">
        <v>1</v>
      </c>
      <c r="N1084" s="8" t="str">
        <f t="shared" si="478"/>
        <v/>
      </c>
      <c r="O1084" s="11" t="s">
        <v>1702</v>
      </c>
      <c r="P1084" s="16" t="str">
        <f t="shared" si="479"/>
        <v>16-Jun-1917</v>
      </c>
      <c r="R1084" s="16" t="str">
        <f t="shared" si="470"/>
        <v/>
      </c>
      <c r="S1084" s="16" t="str">
        <f t="shared" si="470"/>
        <v/>
      </c>
      <c r="U1084" s="46" t="str">
        <f t="shared" si="475"/>
        <v/>
      </c>
      <c r="V1084" s="46">
        <f t="shared" si="475"/>
        <v>0</v>
      </c>
      <c r="W1084" s="46" t="str">
        <f t="shared" si="475"/>
        <v/>
      </c>
      <c r="X1084" s="46" t="str">
        <f t="shared" si="475"/>
        <v/>
      </c>
    </row>
    <row r="1085" spans="2:24" x14ac:dyDescent="0.25">
      <c r="B1085" s="11" t="str">
        <f t="shared" si="476"/>
        <v>CHGO-20JUL1917</v>
      </c>
      <c r="C1085" s="11" t="s">
        <v>916</v>
      </c>
      <c r="D1085" s="11" t="s">
        <v>1956</v>
      </c>
      <c r="E1085" s="39" t="s">
        <v>1096</v>
      </c>
      <c r="F1085" s="11" t="s">
        <v>1700</v>
      </c>
      <c r="G1085" s="39" t="s">
        <v>1086</v>
      </c>
      <c r="I1085" s="7">
        <v>1</v>
      </c>
      <c r="J1085" s="7">
        <v>2</v>
      </c>
      <c r="L1085" s="7">
        <f t="shared" si="477"/>
        <v>3</v>
      </c>
      <c r="M1085" s="8">
        <v>1</v>
      </c>
      <c r="N1085" s="8">
        <f t="shared" si="478"/>
        <v>1</v>
      </c>
      <c r="O1085" s="11" t="s">
        <v>1702</v>
      </c>
      <c r="P1085" s="16" t="str">
        <f t="shared" si="479"/>
        <v>20-Jul-1917</v>
      </c>
      <c r="R1085" s="16" t="str">
        <f t="shared" si="470"/>
        <v>x</v>
      </c>
      <c r="S1085" s="16" t="str">
        <f t="shared" si="470"/>
        <v>x</v>
      </c>
      <c r="U1085" s="46" t="str">
        <f t="shared" si="475"/>
        <v/>
      </c>
      <c r="V1085" s="46">
        <f t="shared" si="475"/>
        <v>3</v>
      </c>
      <c r="W1085" s="46" t="str">
        <f t="shared" si="475"/>
        <v/>
      </c>
      <c r="X1085" s="46" t="str">
        <f t="shared" si="475"/>
        <v/>
      </c>
    </row>
    <row r="1086" spans="2:24" x14ac:dyDescent="0.25">
      <c r="B1086" s="11" t="str">
        <f t="shared" si="476"/>
        <v>CHGO-22AUG1917</v>
      </c>
      <c r="C1086" s="11" t="s">
        <v>916</v>
      </c>
      <c r="D1086" s="11" t="s">
        <v>1956</v>
      </c>
      <c r="E1086" s="39" t="s">
        <v>1097</v>
      </c>
      <c r="F1086" s="11" t="s">
        <v>1700</v>
      </c>
      <c r="G1086" s="39" t="s">
        <v>1087</v>
      </c>
      <c r="I1086" s="7">
        <v>0</v>
      </c>
      <c r="J1086" s="7">
        <v>0</v>
      </c>
      <c r="L1086" s="7">
        <f t="shared" si="477"/>
        <v>0</v>
      </c>
      <c r="M1086" s="8">
        <v>1</v>
      </c>
      <c r="N1086" s="8" t="str">
        <f t="shared" si="478"/>
        <v/>
      </c>
      <c r="O1086" s="11" t="s">
        <v>1702</v>
      </c>
      <c r="P1086" s="16" t="str">
        <f t="shared" si="479"/>
        <v>22-Aug-1917</v>
      </c>
      <c r="R1086" s="16" t="str">
        <f t="shared" si="470"/>
        <v/>
      </c>
      <c r="S1086" s="16" t="str">
        <f t="shared" si="470"/>
        <v/>
      </c>
      <c r="U1086" s="46" t="str">
        <f t="shared" si="475"/>
        <v/>
      </c>
      <c r="V1086" s="46">
        <f t="shared" si="475"/>
        <v>0</v>
      </c>
      <c r="W1086" s="46" t="str">
        <f t="shared" si="475"/>
        <v/>
      </c>
      <c r="X1086" s="46" t="str">
        <f t="shared" si="475"/>
        <v/>
      </c>
    </row>
    <row r="1087" spans="2:24" x14ac:dyDescent="0.25">
      <c r="B1087" s="11" t="str">
        <f t="shared" si="476"/>
        <v>CHGO-10OCT1917</v>
      </c>
      <c r="C1087" s="11" t="s">
        <v>916</v>
      </c>
      <c r="D1087" s="11" t="s">
        <v>1956</v>
      </c>
      <c r="E1087" s="39" t="s">
        <v>1098</v>
      </c>
      <c r="F1087" s="11" t="s">
        <v>1700</v>
      </c>
      <c r="G1087" s="39" t="s">
        <v>1088</v>
      </c>
      <c r="I1087" s="7">
        <v>0</v>
      </c>
      <c r="J1087" s="7">
        <v>2</v>
      </c>
      <c r="L1087" s="7">
        <f t="shared" si="477"/>
        <v>2</v>
      </c>
      <c r="M1087" s="8">
        <v>1</v>
      </c>
      <c r="N1087" s="8">
        <f t="shared" si="478"/>
        <v>1</v>
      </c>
      <c r="O1087" s="11" t="s">
        <v>1702</v>
      </c>
      <c r="P1087" s="16" t="str">
        <f t="shared" si="479"/>
        <v>10-Oct-1917</v>
      </c>
      <c r="R1087" s="16" t="str">
        <f t="shared" si="470"/>
        <v>x</v>
      </c>
      <c r="S1087" s="16" t="str">
        <f t="shared" si="470"/>
        <v>x</v>
      </c>
      <c r="U1087" s="46" t="str">
        <f t="shared" si="475"/>
        <v/>
      </c>
      <c r="V1087" s="46">
        <f t="shared" si="475"/>
        <v>2</v>
      </c>
      <c r="W1087" s="46" t="str">
        <f t="shared" si="475"/>
        <v/>
      </c>
      <c r="X1087" s="46" t="str">
        <f t="shared" si="475"/>
        <v/>
      </c>
    </row>
    <row r="1088" spans="2:24" x14ac:dyDescent="0.25">
      <c r="B1088" s="11" t="str">
        <f t="shared" si="476"/>
        <v>CHGO-11NOV1917</v>
      </c>
      <c r="C1088" s="11" t="s">
        <v>916</v>
      </c>
      <c r="D1088" s="11" t="s">
        <v>1956</v>
      </c>
      <c r="E1088" s="39" t="s">
        <v>1099</v>
      </c>
      <c r="F1088" s="11" t="s">
        <v>1700</v>
      </c>
      <c r="G1088" s="39" t="s">
        <v>1089</v>
      </c>
      <c r="I1088" s="7">
        <v>0</v>
      </c>
      <c r="J1088" s="7">
        <v>0</v>
      </c>
      <c r="L1088" s="7">
        <f t="shared" si="477"/>
        <v>0</v>
      </c>
      <c r="M1088" s="8">
        <v>1</v>
      </c>
      <c r="N1088" s="8" t="str">
        <f t="shared" si="478"/>
        <v/>
      </c>
      <c r="O1088" s="11" t="s">
        <v>1702</v>
      </c>
      <c r="P1088" s="16" t="str">
        <f t="shared" si="479"/>
        <v>11-Nov-1917</v>
      </c>
      <c r="R1088" s="16" t="str">
        <f t="shared" si="470"/>
        <v/>
      </c>
      <c r="S1088" s="16" t="str">
        <f t="shared" si="470"/>
        <v/>
      </c>
      <c r="U1088" s="46" t="str">
        <f t="shared" si="475"/>
        <v/>
      </c>
      <c r="V1088" s="46">
        <f t="shared" si="475"/>
        <v>0</v>
      </c>
      <c r="W1088" s="46" t="str">
        <f t="shared" si="475"/>
        <v/>
      </c>
      <c r="X1088" s="46" t="str">
        <f t="shared" si="475"/>
        <v/>
      </c>
    </row>
    <row r="1089" spans="2:24" x14ac:dyDescent="0.25">
      <c r="B1089" s="11" t="str">
        <f t="shared" si="476"/>
        <v>CHGO-20DEC1917</v>
      </c>
      <c r="C1089" s="11" t="s">
        <v>916</v>
      </c>
      <c r="D1089" s="11" t="s">
        <v>1956</v>
      </c>
      <c r="E1089" s="39" t="s">
        <v>1100</v>
      </c>
      <c r="F1089" s="11" t="s">
        <v>1700</v>
      </c>
      <c r="G1089" s="39" t="s">
        <v>1090</v>
      </c>
      <c r="I1089" s="7">
        <v>0</v>
      </c>
      <c r="J1089" s="7">
        <v>0</v>
      </c>
      <c r="L1089" s="7">
        <f t="shared" si="477"/>
        <v>0</v>
      </c>
      <c r="M1089" s="8">
        <v>1</v>
      </c>
      <c r="N1089" s="8" t="str">
        <f t="shared" si="478"/>
        <v/>
      </c>
      <c r="O1089" s="11" t="s">
        <v>1702</v>
      </c>
      <c r="P1089" s="16" t="str">
        <f t="shared" si="479"/>
        <v>20-Dec-1917</v>
      </c>
      <c r="R1089" s="16" t="str">
        <f t="shared" si="470"/>
        <v/>
      </c>
      <c r="S1089" s="16" t="str">
        <f t="shared" si="470"/>
        <v/>
      </c>
      <c r="U1089" s="46" t="str">
        <f t="shared" si="475"/>
        <v/>
      </c>
      <c r="V1089" s="46">
        <f t="shared" si="475"/>
        <v>0</v>
      </c>
      <c r="W1089" s="46" t="str">
        <f t="shared" si="475"/>
        <v/>
      </c>
      <c r="X1089" s="46" t="str">
        <f t="shared" si="475"/>
        <v/>
      </c>
    </row>
    <row r="1090" spans="2:24" x14ac:dyDescent="0.25">
      <c r="B1090" s="11" t="str">
        <f t="shared" ref="B1090:B1101" si="480">CONCATENATE("CHGO","-",LEFT(P1090,2),UPPER(MID(P1090,4,3)),RIGHT(P1090,4))</f>
        <v>CHGO-03MAR1918</v>
      </c>
      <c r="C1090" s="11" t="s">
        <v>916</v>
      </c>
      <c r="D1090" s="11" t="s">
        <v>1956</v>
      </c>
      <c r="E1090" s="39" t="s">
        <v>1108</v>
      </c>
      <c r="F1090" s="11" t="s">
        <v>1700</v>
      </c>
      <c r="G1090" s="39" t="s">
        <v>1101</v>
      </c>
      <c r="I1090" s="7">
        <v>0</v>
      </c>
      <c r="J1090" s="7">
        <v>0</v>
      </c>
      <c r="L1090" s="7">
        <f t="shared" ref="L1090:L1102" si="481">SUM(H1090:K1090)</f>
        <v>0</v>
      </c>
      <c r="M1090" s="8">
        <v>1</v>
      </c>
      <c r="N1090" s="8" t="str">
        <f t="shared" ref="N1090:N1101" si="482">IF(L1090&gt;0,1,"")</f>
        <v/>
      </c>
      <c r="O1090" s="11" t="s">
        <v>1702</v>
      </c>
      <c r="P1090" s="16" t="str">
        <f t="shared" ref="P1090:P1101" si="483">IF(LEN(G1090)=10,CONCATENATE("0",G1090),G1090)</f>
        <v>03-Mar-1918</v>
      </c>
      <c r="R1090" s="16" t="str">
        <f t="shared" si="470"/>
        <v/>
      </c>
      <c r="S1090" s="16" t="str">
        <f t="shared" si="470"/>
        <v/>
      </c>
      <c r="U1090" s="46" t="str">
        <f t="shared" si="475"/>
        <v/>
      </c>
      <c r="V1090" s="46">
        <f t="shared" si="475"/>
        <v>0</v>
      </c>
      <c r="W1090" s="46" t="str">
        <f t="shared" si="475"/>
        <v/>
      </c>
      <c r="X1090" s="46" t="str">
        <f t="shared" si="475"/>
        <v/>
      </c>
    </row>
    <row r="1091" spans="2:24" x14ac:dyDescent="0.25">
      <c r="B1091" s="11" t="str">
        <f t="shared" si="480"/>
        <v>CHGO-10APR1918</v>
      </c>
      <c r="C1091" s="11" t="s">
        <v>916</v>
      </c>
      <c r="D1091" s="11" t="s">
        <v>1956</v>
      </c>
      <c r="E1091" s="39" t="s">
        <v>1109</v>
      </c>
      <c r="F1091" s="11" t="s">
        <v>1700</v>
      </c>
      <c r="G1091" s="39" t="s">
        <v>1102</v>
      </c>
      <c r="I1091" s="7">
        <v>0</v>
      </c>
      <c r="J1091" s="7">
        <v>0</v>
      </c>
      <c r="L1091" s="7">
        <f t="shared" si="481"/>
        <v>0</v>
      </c>
      <c r="M1091" s="8">
        <v>1</v>
      </c>
      <c r="N1091" s="8" t="str">
        <f t="shared" si="482"/>
        <v/>
      </c>
      <c r="O1091" s="11" t="s">
        <v>1702</v>
      </c>
      <c r="P1091" s="16" t="str">
        <f t="shared" si="483"/>
        <v>10-Apr-1918</v>
      </c>
      <c r="R1091" s="16" t="str">
        <f t="shared" ref="R1091:S1137" si="484">IF($L1091&gt;0,"x","")</f>
        <v/>
      </c>
      <c r="S1091" s="16" t="str">
        <f t="shared" si="484"/>
        <v/>
      </c>
      <c r="U1091" s="46" t="str">
        <f t="shared" si="475"/>
        <v/>
      </c>
      <c r="V1091" s="46">
        <f t="shared" si="475"/>
        <v>0</v>
      </c>
      <c r="W1091" s="46" t="str">
        <f t="shared" si="475"/>
        <v/>
      </c>
      <c r="X1091" s="46" t="str">
        <f t="shared" si="475"/>
        <v/>
      </c>
    </row>
    <row r="1092" spans="2:24" x14ac:dyDescent="0.25">
      <c r="B1092" s="11" t="str">
        <f t="shared" si="480"/>
        <v>CHGO-17MAY1918</v>
      </c>
      <c r="C1092" s="11" t="s">
        <v>916</v>
      </c>
      <c r="D1092" s="11" t="s">
        <v>1956</v>
      </c>
      <c r="E1092" s="39" t="s">
        <v>1110</v>
      </c>
      <c r="F1092" s="11" t="s">
        <v>1700</v>
      </c>
      <c r="G1092" s="39" t="s">
        <v>1103</v>
      </c>
      <c r="I1092" s="7">
        <v>0</v>
      </c>
      <c r="J1092" s="7">
        <v>0</v>
      </c>
      <c r="L1092" s="7">
        <f t="shared" si="481"/>
        <v>0</v>
      </c>
      <c r="M1092" s="8">
        <v>1</v>
      </c>
      <c r="N1092" s="8" t="str">
        <f t="shared" si="482"/>
        <v/>
      </c>
      <c r="O1092" s="11" t="s">
        <v>1702</v>
      </c>
      <c r="P1092" s="16" t="str">
        <f t="shared" si="483"/>
        <v>17-May-1918</v>
      </c>
      <c r="R1092" s="16" t="str">
        <f t="shared" si="484"/>
        <v/>
      </c>
      <c r="S1092" s="16" t="str">
        <f t="shared" si="484"/>
        <v/>
      </c>
      <c r="U1092" s="46" t="str">
        <f t="shared" si="475"/>
        <v/>
      </c>
      <c r="V1092" s="46">
        <f t="shared" si="475"/>
        <v>0</v>
      </c>
      <c r="W1092" s="46" t="str">
        <f t="shared" si="475"/>
        <v/>
      </c>
      <c r="X1092" s="46" t="str">
        <f t="shared" si="475"/>
        <v/>
      </c>
    </row>
    <row r="1093" spans="2:24" x14ac:dyDescent="0.25">
      <c r="B1093" s="11" t="str">
        <f t="shared" si="480"/>
        <v>CHGO-23JUN1918</v>
      </c>
      <c r="C1093" s="11" t="s">
        <v>916</v>
      </c>
      <c r="D1093" s="11" t="s">
        <v>1956</v>
      </c>
      <c r="E1093" s="39" t="s">
        <v>1111</v>
      </c>
      <c r="F1093" s="11" t="s">
        <v>1700</v>
      </c>
      <c r="G1093" s="39" t="s">
        <v>1104</v>
      </c>
      <c r="I1093" s="7">
        <v>0</v>
      </c>
      <c r="J1093" s="7">
        <v>0</v>
      </c>
      <c r="L1093" s="7">
        <f t="shared" si="481"/>
        <v>0</v>
      </c>
      <c r="M1093" s="8">
        <v>1</v>
      </c>
      <c r="N1093" s="8" t="str">
        <f t="shared" si="482"/>
        <v/>
      </c>
      <c r="O1093" s="11" t="s">
        <v>1702</v>
      </c>
      <c r="P1093" s="16" t="str">
        <f t="shared" si="483"/>
        <v>23-Jun-1918</v>
      </c>
      <c r="R1093" s="16" t="str">
        <f t="shared" si="484"/>
        <v/>
      </c>
      <c r="S1093" s="16" t="str">
        <f t="shared" si="484"/>
        <v/>
      </c>
      <c r="U1093" s="46" t="str">
        <f t="shared" si="475"/>
        <v/>
      </c>
      <c r="V1093" s="46">
        <f t="shared" si="475"/>
        <v>0</v>
      </c>
      <c r="W1093" s="46" t="str">
        <f t="shared" si="475"/>
        <v/>
      </c>
      <c r="X1093" s="46" t="str">
        <f t="shared" si="475"/>
        <v/>
      </c>
    </row>
    <row r="1094" spans="2:24" x14ac:dyDescent="0.25">
      <c r="B1094" s="11" t="str">
        <f t="shared" si="480"/>
        <v>CHGO-15AUG1918</v>
      </c>
      <c r="C1094" s="11" t="s">
        <v>916</v>
      </c>
      <c r="D1094" s="11" t="s">
        <v>1956</v>
      </c>
      <c r="E1094" s="39" t="s">
        <v>1112</v>
      </c>
      <c r="F1094" s="11" t="s">
        <v>1700</v>
      </c>
      <c r="G1094" s="39" t="s">
        <v>1105</v>
      </c>
      <c r="I1094" s="7">
        <v>0</v>
      </c>
      <c r="J1094" s="7">
        <v>26</v>
      </c>
      <c r="L1094" s="7">
        <f t="shared" si="481"/>
        <v>26</v>
      </c>
      <c r="M1094" s="8">
        <v>1</v>
      </c>
      <c r="N1094" s="8">
        <f t="shared" si="482"/>
        <v>1</v>
      </c>
      <c r="O1094" s="11" t="s">
        <v>1702</v>
      </c>
      <c r="P1094" s="16" t="str">
        <f t="shared" si="483"/>
        <v>15-Aug-1918</v>
      </c>
      <c r="R1094" s="16" t="str">
        <f t="shared" si="484"/>
        <v>x</v>
      </c>
      <c r="S1094" s="16" t="str">
        <f t="shared" si="484"/>
        <v>x</v>
      </c>
      <c r="U1094" s="46" t="str">
        <f t="shared" si="475"/>
        <v/>
      </c>
      <c r="V1094" s="46">
        <f t="shared" si="475"/>
        <v>26</v>
      </c>
      <c r="W1094" s="46" t="str">
        <f t="shared" si="475"/>
        <v/>
      </c>
      <c r="X1094" s="46" t="str">
        <f t="shared" si="475"/>
        <v/>
      </c>
    </row>
    <row r="1095" spans="2:24" x14ac:dyDescent="0.25">
      <c r="B1095" s="11" t="str">
        <f t="shared" si="480"/>
        <v>CHGO-28OCT1918</v>
      </c>
      <c r="C1095" s="11" t="s">
        <v>916</v>
      </c>
      <c r="D1095" s="11" t="s">
        <v>1956</v>
      </c>
      <c r="E1095" s="39" t="s">
        <v>1113</v>
      </c>
      <c r="F1095" s="11" t="s">
        <v>1700</v>
      </c>
      <c r="G1095" s="39" t="s">
        <v>1106</v>
      </c>
      <c r="I1095" s="7">
        <v>0</v>
      </c>
      <c r="J1095" s="7">
        <v>0</v>
      </c>
      <c r="L1095" s="7">
        <f t="shared" si="481"/>
        <v>0</v>
      </c>
      <c r="M1095" s="8">
        <v>1</v>
      </c>
      <c r="N1095" s="8" t="str">
        <f t="shared" si="482"/>
        <v/>
      </c>
      <c r="O1095" s="11" t="s">
        <v>1702</v>
      </c>
      <c r="P1095" s="16" t="str">
        <f t="shared" si="483"/>
        <v>28-Oct-1918</v>
      </c>
      <c r="R1095" s="16" t="str">
        <f t="shared" si="484"/>
        <v/>
      </c>
      <c r="S1095" s="16" t="str">
        <f t="shared" si="484"/>
        <v/>
      </c>
      <c r="U1095" s="46" t="str">
        <f t="shared" si="475"/>
        <v/>
      </c>
      <c r="V1095" s="46">
        <f t="shared" si="475"/>
        <v>0</v>
      </c>
      <c r="W1095" s="46" t="str">
        <f t="shared" si="475"/>
        <v/>
      </c>
      <c r="X1095" s="46" t="str">
        <f t="shared" si="475"/>
        <v/>
      </c>
    </row>
    <row r="1096" spans="2:24" x14ac:dyDescent="0.25">
      <c r="B1096" s="11" t="str">
        <f t="shared" si="480"/>
        <v>CHGO-09DEC1918</v>
      </c>
      <c r="C1096" s="11" t="s">
        <v>916</v>
      </c>
      <c r="D1096" s="11" t="s">
        <v>1956</v>
      </c>
      <c r="E1096" s="39" t="s">
        <v>1114</v>
      </c>
      <c r="F1096" s="11" t="s">
        <v>1700</v>
      </c>
      <c r="G1096" s="39" t="s">
        <v>1107</v>
      </c>
      <c r="I1096" s="7">
        <v>0</v>
      </c>
      <c r="J1096" s="7">
        <v>0</v>
      </c>
      <c r="L1096" s="7">
        <f t="shared" si="481"/>
        <v>0</v>
      </c>
      <c r="M1096" s="8">
        <v>1</v>
      </c>
      <c r="N1096" s="8" t="str">
        <f t="shared" si="482"/>
        <v/>
      </c>
      <c r="O1096" s="11" t="s">
        <v>1702</v>
      </c>
      <c r="P1096" s="16" t="str">
        <f t="shared" si="483"/>
        <v>09-Dec-1918</v>
      </c>
      <c r="R1096" s="16" t="str">
        <f t="shared" si="484"/>
        <v/>
      </c>
      <c r="S1096" s="16" t="str">
        <f t="shared" si="484"/>
        <v/>
      </c>
      <c r="U1096" s="46" t="str">
        <f t="shared" si="475"/>
        <v/>
      </c>
      <c r="V1096" s="46">
        <f t="shared" si="475"/>
        <v>0</v>
      </c>
      <c r="W1096" s="46" t="str">
        <f t="shared" si="475"/>
        <v/>
      </c>
      <c r="X1096" s="46" t="str">
        <f t="shared" si="475"/>
        <v/>
      </c>
    </row>
    <row r="1097" spans="2:24" x14ac:dyDescent="0.25">
      <c r="B1097" s="11" t="str">
        <f t="shared" si="480"/>
        <v>CHGO-24JAN1919</v>
      </c>
      <c r="C1097" s="11" t="s">
        <v>916</v>
      </c>
      <c r="D1097" s="11" t="s">
        <v>1956</v>
      </c>
      <c r="E1097" s="39" t="s">
        <v>1123</v>
      </c>
      <c r="F1097" s="11" t="s">
        <v>1700</v>
      </c>
      <c r="G1097" s="39" t="s">
        <v>1115</v>
      </c>
      <c r="I1097" s="7">
        <v>0</v>
      </c>
      <c r="J1097" s="7">
        <v>0</v>
      </c>
      <c r="L1097" s="7">
        <f t="shared" si="481"/>
        <v>0</v>
      </c>
      <c r="M1097" s="8">
        <v>1</v>
      </c>
      <c r="N1097" s="8" t="str">
        <f t="shared" si="482"/>
        <v/>
      </c>
      <c r="O1097" s="11" t="s">
        <v>1702</v>
      </c>
      <c r="P1097" s="16" t="str">
        <f t="shared" si="483"/>
        <v>24-Jan-1919</v>
      </c>
      <c r="R1097" s="16" t="str">
        <f t="shared" si="484"/>
        <v/>
      </c>
      <c r="S1097" s="16" t="str">
        <f t="shared" si="484"/>
        <v/>
      </c>
      <c r="U1097" s="46" t="str">
        <f t="shared" si="475"/>
        <v/>
      </c>
      <c r="V1097" s="46">
        <f t="shared" si="475"/>
        <v>0</v>
      </c>
      <c r="W1097" s="46" t="str">
        <f t="shared" si="475"/>
        <v/>
      </c>
      <c r="X1097" s="46" t="str">
        <f t="shared" si="475"/>
        <v/>
      </c>
    </row>
    <row r="1098" spans="2:24" x14ac:dyDescent="0.25">
      <c r="B1098" s="11" t="str">
        <f t="shared" si="480"/>
        <v>CHGO-08MAR1919</v>
      </c>
      <c r="C1098" s="11" t="s">
        <v>916</v>
      </c>
      <c r="D1098" s="11" t="s">
        <v>1956</v>
      </c>
      <c r="E1098" s="39" t="s">
        <v>1124</v>
      </c>
      <c r="F1098" s="11" t="s">
        <v>1700</v>
      </c>
      <c r="G1098" s="39" t="s">
        <v>1116</v>
      </c>
      <c r="I1098" s="7">
        <v>0</v>
      </c>
      <c r="J1098" s="7">
        <v>3</v>
      </c>
      <c r="L1098" s="7">
        <f t="shared" si="481"/>
        <v>3</v>
      </c>
      <c r="M1098" s="8">
        <v>1</v>
      </c>
      <c r="N1098" s="8">
        <f t="shared" si="482"/>
        <v>1</v>
      </c>
      <c r="O1098" s="11" t="s">
        <v>1702</v>
      </c>
      <c r="P1098" s="16" t="str">
        <f t="shared" si="483"/>
        <v>08-Mar-1919</v>
      </c>
      <c r="R1098" s="16" t="str">
        <f t="shared" si="484"/>
        <v>x</v>
      </c>
      <c r="S1098" s="16" t="str">
        <f t="shared" si="484"/>
        <v>x</v>
      </c>
      <c r="U1098" s="46" t="str">
        <f t="shared" si="475"/>
        <v/>
      </c>
      <c r="V1098" s="46">
        <f t="shared" si="475"/>
        <v>3</v>
      </c>
      <c r="W1098" s="46" t="str">
        <f t="shared" si="475"/>
        <v/>
      </c>
      <c r="X1098" s="46" t="str">
        <f t="shared" si="475"/>
        <v/>
      </c>
    </row>
    <row r="1099" spans="2:24" x14ac:dyDescent="0.25">
      <c r="B1099" s="11" t="str">
        <f t="shared" si="480"/>
        <v>CHGO-27APR1919</v>
      </c>
      <c r="C1099" s="11" t="s">
        <v>916</v>
      </c>
      <c r="D1099" s="11" t="s">
        <v>1956</v>
      </c>
      <c r="E1099" s="39" t="s">
        <v>2009</v>
      </c>
      <c r="F1099" s="11" t="s">
        <v>1700</v>
      </c>
      <c r="G1099" s="39" t="s">
        <v>1117</v>
      </c>
      <c r="I1099" s="7">
        <v>0</v>
      </c>
      <c r="J1099" s="7">
        <v>0</v>
      </c>
      <c r="L1099" s="7">
        <f t="shared" si="481"/>
        <v>0</v>
      </c>
      <c r="M1099" s="8">
        <v>1</v>
      </c>
      <c r="N1099" s="8" t="str">
        <f t="shared" si="482"/>
        <v/>
      </c>
      <c r="O1099" s="11" t="s">
        <v>1702</v>
      </c>
      <c r="P1099" s="16" t="str">
        <f t="shared" si="483"/>
        <v>27-Apr-1919</v>
      </c>
      <c r="R1099" s="16" t="str">
        <f t="shared" si="484"/>
        <v/>
      </c>
      <c r="S1099" s="16" t="str">
        <f t="shared" si="484"/>
        <v/>
      </c>
      <c r="U1099" s="46" t="str">
        <f t="shared" si="475"/>
        <v/>
      </c>
      <c r="V1099" s="46">
        <f t="shared" si="475"/>
        <v>0</v>
      </c>
      <c r="W1099" s="46" t="str">
        <f t="shared" si="475"/>
        <v/>
      </c>
      <c r="X1099" s="46" t="str">
        <f t="shared" si="475"/>
        <v/>
      </c>
    </row>
    <row r="1100" spans="2:24" x14ac:dyDescent="0.25">
      <c r="B1100" s="11" t="str">
        <f t="shared" si="480"/>
        <v>CHGO-05JUN1919</v>
      </c>
      <c r="C1100" s="11" t="s">
        <v>916</v>
      </c>
      <c r="D1100" s="11" t="s">
        <v>1956</v>
      </c>
      <c r="E1100" s="39" t="s">
        <v>1125</v>
      </c>
      <c r="F1100" s="11" t="s">
        <v>1700</v>
      </c>
      <c r="G1100" s="39" t="s">
        <v>1118</v>
      </c>
      <c r="I1100" s="7">
        <v>0</v>
      </c>
      <c r="J1100" s="7">
        <v>0</v>
      </c>
      <c r="L1100" s="7">
        <f t="shared" si="481"/>
        <v>0</v>
      </c>
      <c r="M1100" s="8">
        <v>1</v>
      </c>
      <c r="N1100" s="8" t="str">
        <f t="shared" si="482"/>
        <v/>
      </c>
      <c r="O1100" s="11" t="s">
        <v>1702</v>
      </c>
      <c r="P1100" s="16" t="str">
        <f t="shared" si="483"/>
        <v>05-Jun-1919</v>
      </c>
      <c r="R1100" s="16" t="str">
        <f t="shared" si="484"/>
        <v/>
      </c>
      <c r="S1100" s="16" t="str">
        <f t="shared" si="484"/>
        <v/>
      </c>
      <c r="U1100" s="46" t="str">
        <f t="shared" si="475"/>
        <v/>
      </c>
      <c r="V1100" s="46">
        <f t="shared" si="475"/>
        <v>0</v>
      </c>
      <c r="W1100" s="46" t="str">
        <f t="shared" si="475"/>
        <v/>
      </c>
      <c r="X1100" s="46" t="str">
        <f t="shared" si="475"/>
        <v/>
      </c>
    </row>
    <row r="1101" spans="2:24" x14ac:dyDescent="0.25">
      <c r="B1101" s="11" t="str">
        <f t="shared" si="480"/>
        <v>CHGO-29JUL1919</v>
      </c>
      <c r="C1101" s="11" t="s">
        <v>916</v>
      </c>
      <c r="D1101" s="11" t="s">
        <v>1956</v>
      </c>
      <c r="E1101" s="39" t="s">
        <v>1126</v>
      </c>
      <c r="F1101" s="11" t="s">
        <v>1700</v>
      </c>
      <c r="G1101" s="39" t="s">
        <v>1119</v>
      </c>
      <c r="I1101" s="7">
        <v>0</v>
      </c>
      <c r="J1101" s="7">
        <v>0</v>
      </c>
      <c r="L1101" s="7">
        <f t="shared" si="481"/>
        <v>0</v>
      </c>
      <c r="M1101" s="8">
        <v>1</v>
      </c>
      <c r="N1101" s="8" t="str">
        <f t="shared" si="482"/>
        <v/>
      </c>
      <c r="O1101" s="11" t="s">
        <v>1702</v>
      </c>
      <c r="P1101" s="16" t="str">
        <f t="shared" si="483"/>
        <v>29-Jul-1919</v>
      </c>
      <c r="R1101" s="16" t="str">
        <f t="shared" si="484"/>
        <v/>
      </c>
      <c r="S1101" s="16" t="str">
        <f t="shared" si="484"/>
        <v/>
      </c>
      <c r="U1101" s="46" t="str">
        <f t="shared" si="475"/>
        <v/>
      </c>
      <c r="V1101" s="46">
        <f t="shared" si="475"/>
        <v>0</v>
      </c>
      <c r="W1101" s="46" t="str">
        <f t="shared" si="475"/>
        <v/>
      </c>
      <c r="X1101" s="46" t="str">
        <f t="shared" si="475"/>
        <v/>
      </c>
    </row>
    <row r="1102" spans="2:24" x14ac:dyDescent="0.25">
      <c r="B1102" s="11" t="str">
        <f t="shared" ref="B1102:B1116" si="485">CONCATENATE("CHGO","-",LEFT(P1102,2),UPPER(MID(P1102,4,3)),RIGHT(P1102,4))</f>
        <v>CHGO-07SEP1919</v>
      </c>
      <c r="C1102" s="11" t="s">
        <v>916</v>
      </c>
      <c r="D1102" s="11" t="s">
        <v>1956</v>
      </c>
      <c r="E1102" s="39" t="s">
        <v>1127</v>
      </c>
      <c r="F1102" s="11" t="s">
        <v>1700</v>
      </c>
      <c r="G1102" s="39" t="s">
        <v>1120</v>
      </c>
      <c r="I1102" s="7">
        <v>0</v>
      </c>
      <c r="J1102" s="7">
        <v>2</v>
      </c>
      <c r="L1102" s="7">
        <f t="shared" si="481"/>
        <v>2</v>
      </c>
      <c r="M1102" s="8">
        <v>1</v>
      </c>
      <c r="N1102" s="8">
        <f t="shared" ref="N1102:N1116" si="486">IF(L1102&gt;0,1,"")</f>
        <v>1</v>
      </c>
      <c r="O1102" s="11" t="s">
        <v>1702</v>
      </c>
      <c r="P1102" s="16" t="str">
        <f t="shared" ref="P1102:P1116" si="487">IF(LEN(G1102)=10,CONCATENATE("0",G1102),G1102)</f>
        <v>07-Sep-1919</v>
      </c>
      <c r="R1102" s="16" t="str">
        <f t="shared" si="484"/>
        <v>x</v>
      </c>
      <c r="S1102" s="16" t="str">
        <f t="shared" si="484"/>
        <v>x</v>
      </c>
      <c r="U1102" s="46" t="str">
        <f t="shared" si="475"/>
        <v/>
      </c>
      <c r="V1102" s="46">
        <f t="shared" si="475"/>
        <v>2</v>
      </c>
      <c r="W1102" s="46" t="str">
        <f t="shared" si="475"/>
        <v/>
      </c>
      <c r="X1102" s="46" t="str">
        <f t="shared" si="475"/>
        <v/>
      </c>
    </row>
    <row r="1103" spans="2:24" x14ac:dyDescent="0.25">
      <c r="B1103" s="11" t="str">
        <f t="shared" si="485"/>
        <v>CHGO-18OCT1919</v>
      </c>
      <c r="C1103" s="11" t="s">
        <v>916</v>
      </c>
      <c r="D1103" s="11" t="s">
        <v>1956</v>
      </c>
      <c r="E1103" s="39" t="s">
        <v>1128</v>
      </c>
      <c r="F1103" s="11" t="s">
        <v>1700</v>
      </c>
      <c r="G1103" s="39" t="s">
        <v>1121</v>
      </c>
      <c r="I1103" s="7">
        <v>0</v>
      </c>
      <c r="J1103" s="7">
        <v>2</v>
      </c>
      <c r="L1103" s="7">
        <f t="shared" ref="L1103:L1117" si="488">SUM(H1103:K1103)</f>
        <v>2</v>
      </c>
      <c r="M1103" s="8">
        <v>1</v>
      </c>
      <c r="N1103" s="8">
        <f t="shared" si="486"/>
        <v>1</v>
      </c>
      <c r="O1103" s="11" t="s">
        <v>1702</v>
      </c>
      <c r="P1103" s="16" t="str">
        <f t="shared" si="487"/>
        <v>18-Oct-1919</v>
      </c>
      <c r="R1103" s="16" t="str">
        <f t="shared" si="484"/>
        <v>x</v>
      </c>
      <c r="S1103" s="16" t="str">
        <f t="shared" si="484"/>
        <v>x</v>
      </c>
      <c r="U1103" s="46" t="str">
        <f t="shared" si="475"/>
        <v/>
      </c>
      <c r="V1103" s="46">
        <f t="shared" si="475"/>
        <v>2</v>
      </c>
      <c r="W1103" s="46" t="str">
        <f t="shared" si="475"/>
        <v/>
      </c>
      <c r="X1103" s="46" t="str">
        <f t="shared" si="475"/>
        <v/>
      </c>
    </row>
    <row r="1104" spans="2:24" x14ac:dyDescent="0.25">
      <c r="B1104" s="11" t="str">
        <f t="shared" si="485"/>
        <v>CHGO-15DEC1919</v>
      </c>
      <c r="C1104" s="11" t="s">
        <v>916</v>
      </c>
      <c r="D1104" s="11" t="s">
        <v>1956</v>
      </c>
      <c r="E1104" s="39" t="s">
        <v>2024</v>
      </c>
      <c r="F1104" s="11" t="s">
        <v>1700</v>
      </c>
      <c r="G1104" s="39" t="s">
        <v>1122</v>
      </c>
      <c r="I1104" s="7">
        <v>0</v>
      </c>
      <c r="J1104" s="7">
        <v>3</v>
      </c>
      <c r="L1104" s="7">
        <f t="shared" si="488"/>
        <v>3</v>
      </c>
      <c r="M1104" s="8">
        <v>1</v>
      </c>
      <c r="N1104" s="8">
        <f t="shared" si="486"/>
        <v>1</v>
      </c>
      <c r="O1104" s="11" t="s">
        <v>1702</v>
      </c>
      <c r="P1104" s="16" t="str">
        <f t="shared" si="487"/>
        <v>15-Dec-1919</v>
      </c>
      <c r="R1104" s="16" t="str">
        <f t="shared" si="484"/>
        <v>x</v>
      </c>
      <c r="S1104" s="16" t="str">
        <f t="shared" si="484"/>
        <v>x</v>
      </c>
      <c r="U1104" s="46" t="str">
        <f t="shared" si="475"/>
        <v/>
      </c>
      <c r="V1104" s="46">
        <f t="shared" si="475"/>
        <v>3</v>
      </c>
      <c r="W1104" s="46" t="str">
        <f t="shared" si="475"/>
        <v/>
      </c>
      <c r="X1104" s="46" t="str">
        <f t="shared" si="475"/>
        <v/>
      </c>
    </row>
    <row r="1105" spans="2:24" x14ac:dyDescent="0.25">
      <c r="B1105" s="11" t="str">
        <f t="shared" si="485"/>
        <v>CHGO-28FEB1920</v>
      </c>
      <c r="C1105" s="11" t="s">
        <v>916</v>
      </c>
      <c r="D1105" s="11" t="s">
        <v>1956</v>
      </c>
      <c r="E1105" s="39" t="s">
        <v>1137</v>
      </c>
      <c r="F1105" s="11" t="s">
        <v>1700</v>
      </c>
      <c r="G1105" s="39" t="s">
        <v>1129</v>
      </c>
      <c r="I1105" s="7">
        <v>0</v>
      </c>
      <c r="J1105" s="7">
        <v>0</v>
      </c>
      <c r="L1105" s="7">
        <f t="shared" si="488"/>
        <v>0</v>
      </c>
      <c r="M1105" s="8">
        <v>1</v>
      </c>
      <c r="N1105" s="8" t="str">
        <f t="shared" si="486"/>
        <v/>
      </c>
      <c r="O1105" s="11" t="s">
        <v>1702</v>
      </c>
      <c r="P1105" s="16" t="str">
        <f t="shared" si="487"/>
        <v>28-Feb-1920</v>
      </c>
      <c r="R1105" s="16" t="str">
        <f t="shared" si="484"/>
        <v/>
      </c>
      <c r="S1105" s="16" t="str">
        <f t="shared" si="484"/>
        <v/>
      </c>
      <c r="U1105" s="46" t="str">
        <f t="shared" si="475"/>
        <v/>
      </c>
      <c r="V1105" s="46">
        <f t="shared" si="475"/>
        <v>0</v>
      </c>
      <c r="W1105" s="46" t="str">
        <f t="shared" si="475"/>
        <v/>
      </c>
      <c r="X1105" s="46" t="str">
        <f t="shared" si="475"/>
        <v/>
      </c>
    </row>
    <row r="1106" spans="2:24" x14ac:dyDescent="0.25">
      <c r="B1106" s="11" t="str">
        <f t="shared" si="485"/>
        <v>CHGO-17FEB1921</v>
      </c>
      <c r="C1106" s="11" t="s">
        <v>916</v>
      </c>
      <c r="D1106" s="11" t="s">
        <v>1699</v>
      </c>
      <c r="E1106" s="39" t="s">
        <v>1138</v>
      </c>
      <c r="F1106" s="11" t="s">
        <v>1700</v>
      </c>
      <c r="G1106" s="39" t="s">
        <v>1130</v>
      </c>
      <c r="I1106" s="7">
        <v>6</v>
      </c>
      <c r="J1106" s="7">
        <v>41</v>
      </c>
      <c r="L1106" s="7">
        <f t="shared" si="488"/>
        <v>47</v>
      </c>
      <c r="M1106" s="8">
        <v>1</v>
      </c>
      <c r="N1106" s="8">
        <f t="shared" si="486"/>
        <v>1</v>
      </c>
      <c r="O1106" s="11" t="s">
        <v>1702</v>
      </c>
      <c r="P1106" s="16" t="str">
        <f t="shared" si="487"/>
        <v>17-Feb-1921</v>
      </c>
      <c r="R1106" s="16" t="str">
        <f t="shared" si="484"/>
        <v>x</v>
      </c>
      <c r="S1106" s="16" t="str">
        <f t="shared" si="484"/>
        <v>x</v>
      </c>
      <c r="U1106" s="46" t="str">
        <f t="shared" si="475"/>
        <v/>
      </c>
      <c r="V1106" s="46">
        <f t="shared" si="475"/>
        <v>47</v>
      </c>
      <c r="W1106" s="46" t="str">
        <f t="shared" si="475"/>
        <v/>
      </c>
      <c r="X1106" s="46" t="str">
        <f t="shared" si="475"/>
        <v/>
      </c>
    </row>
    <row r="1107" spans="2:24" x14ac:dyDescent="0.25">
      <c r="B1107" s="11" t="str">
        <f t="shared" si="485"/>
        <v>CHGO-29MAR1921</v>
      </c>
      <c r="C1107" s="11" t="s">
        <v>916</v>
      </c>
      <c r="D1107" s="11" t="s">
        <v>1699</v>
      </c>
      <c r="E1107" s="39" t="s">
        <v>1139</v>
      </c>
      <c r="F1107" s="11" t="s">
        <v>1700</v>
      </c>
      <c r="G1107" s="39" t="s">
        <v>1131</v>
      </c>
      <c r="I1107" s="7">
        <v>6</v>
      </c>
      <c r="J1107" s="7">
        <v>19</v>
      </c>
      <c r="L1107" s="7">
        <f t="shared" si="488"/>
        <v>25</v>
      </c>
      <c r="M1107" s="8">
        <v>1</v>
      </c>
      <c r="N1107" s="8">
        <f t="shared" si="486"/>
        <v>1</v>
      </c>
      <c r="O1107" s="11" t="s">
        <v>1702</v>
      </c>
      <c r="P1107" s="16" t="str">
        <f t="shared" si="487"/>
        <v>29-Mar-1921</v>
      </c>
      <c r="R1107" s="16" t="str">
        <f t="shared" si="484"/>
        <v>x</v>
      </c>
      <c r="S1107" s="16" t="str">
        <f t="shared" si="484"/>
        <v>x</v>
      </c>
      <c r="U1107" s="46" t="str">
        <f t="shared" si="475"/>
        <v/>
      </c>
      <c r="V1107" s="46">
        <f t="shared" si="475"/>
        <v>25</v>
      </c>
      <c r="W1107" s="46" t="str">
        <f t="shared" si="475"/>
        <v/>
      </c>
      <c r="X1107" s="46" t="str">
        <f t="shared" si="475"/>
        <v/>
      </c>
    </row>
    <row r="1108" spans="2:24" x14ac:dyDescent="0.25">
      <c r="B1108" s="11" t="str">
        <f t="shared" si="485"/>
        <v>CHGO-15MAY1921</v>
      </c>
      <c r="C1108" s="11" t="s">
        <v>916</v>
      </c>
      <c r="D1108" s="11" t="s">
        <v>1699</v>
      </c>
      <c r="E1108" s="39" t="s">
        <v>1140</v>
      </c>
      <c r="F1108" s="11" t="s">
        <v>1700</v>
      </c>
      <c r="G1108" s="39" t="s">
        <v>1141</v>
      </c>
      <c r="I1108" s="7">
        <v>0</v>
      </c>
      <c r="J1108" s="7">
        <v>3</v>
      </c>
      <c r="L1108" s="7">
        <f t="shared" si="488"/>
        <v>3</v>
      </c>
      <c r="M1108" s="8">
        <v>1</v>
      </c>
      <c r="N1108" s="8">
        <f t="shared" si="486"/>
        <v>1</v>
      </c>
      <c r="O1108" s="11" t="s">
        <v>1702</v>
      </c>
      <c r="P1108" s="16" t="str">
        <f t="shared" si="487"/>
        <v>15-May-1921</v>
      </c>
      <c r="R1108" s="16" t="str">
        <f t="shared" si="484"/>
        <v>x</v>
      </c>
      <c r="S1108" s="16" t="str">
        <f t="shared" si="484"/>
        <v>x</v>
      </c>
      <c r="U1108" s="46" t="str">
        <f t="shared" si="475"/>
        <v/>
      </c>
      <c r="V1108" s="46">
        <f t="shared" si="475"/>
        <v>3</v>
      </c>
      <c r="W1108" s="46" t="str">
        <f t="shared" si="475"/>
        <v/>
      </c>
      <c r="X1108" s="46" t="str">
        <f t="shared" si="475"/>
        <v/>
      </c>
    </row>
    <row r="1109" spans="2:24" x14ac:dyDescent="0.25">
      <c r="B1109" s="11" t="str">
        <f t="shared" si="485"/>
        <v>CHGO-20JUN1921</v>
      </c>
      <c r="C1109" s="11" t="s">
        <v>916</v>
      </c>
      <c r="D1109" s="11" t="s">
        <v>1699</v>
      </c>
      <c r="E1109" s="39" t="s">
        <v>1142</v>
      </c>
      <c r="F1109" s="11" t="s">
        <v>1700</v>
      </c>
      <c r="G1109" s="39" t="s">
        <v>1132</v>
      </c>
      <c r="I1109" s="7">
        <v>0</v>
      </c>
      <c r="J1109" s="7">
        <v>11</v>
      </c>
      <c r="L1109" s="7">
        <f t="shared" si="488"/>
        <v>11</v>
      </c>
      <c r="M1109" s="8">
        <v>1</v>
      </c>
      <c r="N1109" s="8">
        <f t="shared" si="486"/>
        <v>1</v>
      </c>
      <c r="O1109" s="11" t="s">
        <v>1702</v>
      </c>
      <c r="P1109" s="16" t="str">
        <f t="shared" si="487"/>
        <v>20-Jun-1921</v>
      </c>
      <c r="R1109" s="16" t="str">
        <f t="shared" si="484"/>
        <v>x</v>
      </c>
      <c r="S1109" s="16" t="str">
        <f t="shared" si="484"/>
        <v>x</v>
      </c>
      <c r="U1109" s="46" t="str">
        <f t="shared" si="475"/>
        <v/>
      </c>
      <c r="V1109" s="46">
        <f t="shared" si="475"/>
        <v>11</v>
      </c>
      <c r="W1109" s="46" t="str">
        <f t="shared" si="475"/>
        <v/>
      </c>
      <c r="X1109" s="46" t="str">
        <f t="shared" si="475"/>
        <v/>
      </c>
    </row>
    <row r="1110" spans="2:24" x14ac:dyDescent="0.25">
      <c r="B1110" s="11" t="str">
        <f t="shared" si="485"/>
        <v>CHGO-23JUL1921</v>
      </c>
      <c r="C1110" s="11" t="s">
        <v>916</v>
      </c>
      <c r="D1110" s="11" t="s">
        <v>1699</v>
      </c>
      <c r="E1110" s="39" t="s">
        <v>1143</v>
      </c>
      <c r="F1110" s="11" t="s">
        <v>1700</v>
      </c>
      <c r="G1110" s="39" t="s">
        <v>1133</v>
      </c>
      <c r="I1110" s="7">
        <v>0</v>
      </c>
      <c r="J1110" s="7">
        <v>12</v>
      </c>
      <c r="L1110" s="7">
        <f t="shared" si="488"/>
        <v>12</v>
      </c>
      <c r="M1110" s="8">
        <v>1</v>
      </c>
      <c r="N1110" s="8">
        <f t="shared" si="486"/>
        <v>1</v>
      </c>
      <c r="O1110" s="11" t="s">
        <v>1702</v>
      </c>
      <c r="P1110" s="16" t="str">
        <f t="shared" si="487"/>
        <v>23-Jul-1921</v>
      </c>
      <c r="R1110" s="16" t="str">
        <f t="shared" si="484"/>
        <v>x</v>
      </c>
      <c r="S1110" s="16" t="str">
        <f t="shared" si="484"/>
        <v>x</v>
      </c>
      <c r="U1110" s="46" t="str">
        <f t="shared" si="475"/>
        <v/>
      </c>
      <c r="V1110" s="46">
        <f t="shared" si="475"/>
        <v>12</v>
      </c>
      <c r="W1110" s="46" t="str">
        <f t="shared" si="475"/>
        <v/>
      </c>
      <c r="X1110" s="46" t="str">
        <f t="shared" si="475"/>
        <v/>
      </c>
    </row>
    <row r="1111" spans="2:24" x14ac:dyDescent="0.25">
      <c r="B1111" s="11" t="str">
        <f t="shared" si="485"/>
        <v>CHGO-01SEP1921</v>
      </c>
      <c r="C1111" s="11" t="s">
        <v>916</v>
      </c>
      <c r="D1111" s="11" t="s">
        <v>1699</v>
      </c>
      <c r="E1111" s="39" t="s">
        <v>1144</v>
      </c>
      <c r="F1111" s="11" t="s">
        <v>1700</v>
      </c>
      <c r="G1111" s="39" t="s">
        <v>1134</v>
      </c>
      <c r="I1111" s="7">
        <v>0</v>
      </c>
      <c r="J1111" s="7">
        <v>0</v>
      </c>
      <c r="L1111" s="7">
        <f t="shared" si="488"/>
        <v>0</v>
      </c>
      <c r="M1111" s="8">
        <v>1</v>
      </c>
      <c r="N1111" s="8" t="str">
        <f t="shared" si="486"/>
        <v/>
      </c>
      <c r="O1111" s="11" t="s">
        <v>1702</v>
      </c>
      <c r="P1111" s="16" t="str">
        <f t="shared" si="487"/>
        <v>01-Sep-1921</v>
      </c>
      <c r="R1111" s="16" t="str">
        <f t="shared" si="484"/>
        <v/>
      </c>
      <c r="S1111" s="16" t="str">
        <f t="shared" si="484"/>
        <v/>
      </c>
      <c r="U1111" s="46" t="str">
        <f t="shared" si="475"/>
        <v/>
      </c>
      <c r="V1111" s="46">
        <f t="shared" si="475"/>
        <v>0</v>
      </c>
      <c r="W1111" s="46" t="str">
        <f t="shared" si="475"/>
        <v/>
      </c>
      <c r="X1111" s="46" t="str">
        <f t="shared" si="475"/>
        <v/>
      </c>
    </row>
    <row r="1112" spans="2:24" x14ac:dyDescent="0.25">
      <c r="B1112" s="11" t="str">
        <f t="shared" si="485"/>
        <v>CHGO-04OCT1921</v>
      </c>
      <c r="C1112" s="11" t="s">
        <v>916</v>
      </c>
      <c r="D1112" s="11" t="s">
        <v>1699</v>
      </c>
      <c r="E1112" s="39" t="s">
        <v>1145</v>
      </c>
      <c r="F1112" s="11" t="s">
        <v>1700</v>
      </c>
      <c r="G1112" s="39" t="s">
        <v>1135</v>
      </c>
      <c r="I1112" s="7">
        <v>0</v>
      </c>
      <c r="J1112" s="7">
        <v>1</v>
      </c>
      <c r="L1112" s="7">
        <f t="shared" si="488"/>
        <v>1</v>
      </c>
      <c r="M1112" s="8">
        <v>1</v>
      </c>
      <c r="N1112" s="8">
        <f t="shared" si="486"/>
        <v>1</v>
      </c>
      <c r="O1112" s="11" t="s">
        <v>1702</v>
      </c>
      <c r="P1112" s="16" t="str">
        <f t="shared" si="487"/>
        <v>04-Oct-1921</v>
      </c>
      <c r="R1112" s="16" t="str">
        <f t="shared" si="484"/>
        <v>x</v>
      </c>
      <c r="S1112" s="16" t="str">
        <f t="shared" si="484"/>
        <v>x</v>
      </c>
      <c r="U1112" s="46" t="str">
        <f t="shared" si="475"/>
        <v/>
      </c>
      <c r="V1112" s="46">
        <f t="shared" si="475"/>
        <v>1</v>
      </c>
      <c r="W1112" s="46" t="str">
        <f t="shared" si="475"/>
        <v/>
      </c>
      <c r="X1112" s="46" t="str">
        <f t="shared" si="475"/>
        <v/>
      </c>
    </row>
    <row r="1113" spans="2:24" x14ac:dyDescent="0.25">
      <c r="B1113" s="11" t="str">
        <f t="shared" si="485"/>
        <v>CHGO-21NOV1921</v>
      </c>
      <c r="C1113" s="11" t="s">
        <v>916</v>
      </c>
      <c r="D1113" s="11" t="s">
        <v>1699</v>
      </c>
      <c r="E1113" s="39" t="s">
        <v>1146</v>
      </c>
      <c r="F1113" s="11" t="s">
        <v>1700</v>
      </c>
      <c r="G1113" s="39" t="s">
        <v>1136</v>
      </c>
      <c r="I1113" s="7">
        <v>0</v>
      </c>
      <c r="J1113" s="7">
        <v>0</v>
      </c>
      <c r="L1113" s="7">
        <f t="shared" si="488"/>
        <v>0</v>
      </c>
      <c r="M1113" s="8">
        <v>1</v>
      </c>
      <c r="N1113" s="8" t="str">
        <f t="shared" si="486"/>
        <v/>
      </c>
      <c r="O1113" s="11" t="s">
        <v>1702</v>
      </c>
      <c r="P1113" s="16" t="str">
        <f t="shared" si="487"/>
        <v>21-Nov-1921</v>
      </c>
      <c r="R1113" s="16" t="str">
        <f t="shared" si="484"/>
        <v/>
      </c>
      <c r="S1113" s="16" t="str">
        <f t="shared" si="484"/>
        <v/>
      </c>
      <c r="U1113" s="46" t="str">
        <f t="shared" si="475"/>
        <v/>
      </c>
      <c r="V1113" s="46">
        <f t="shared" si="475"/>
        <v>0</v>
      </c>
      <c r="W1113" s="46" t="str">
        <f t="shared" si="475"/>
        <v/>
      </c>
      <c r="X1113" s="46" t="str">
        <f t="shared" si="475"/>
        <v/>
      </c>
    </row>
    <row r="1114" spans="2:24" x14ac:dyDescent="0.25">
      <c r="B1114" s="11" t="str">
        <f t="shared" si="485"/>
        <v>CHGO-21JAN1922</v>
      </c>
      <c r="C1114" s="11" t="s">
        <v>916</v>
      </c>
      <c r="D1114" s="11" t="s">
        <v>1699</v>
      </c>
      <c r="E1114" s="39" t="s">
        <v>1154</v>
      </c>
      <c r="F1114" s="11" t="s">
        <v>1700</v>
      </c>
      <c r="G1114" s="39" t="s">
        <v>2070</v>
      </c>
      <c r="I1114" s="7">
        <v>0</v>
      </c>
      <c r="J1114" s="7">
        <v>0</v>
      </c>
      <c r="L1114" s="7">
        <f t="shared" si="488"/>
        <v>0</v>
      </c>
      <c r="M1114" s="8">
        <v>1</v>
      </c>
      <c r="N1114" s="8" t="str">
        <f t="shared" si="486"/>
        <v/>
      </c>
      <c r="O1114" s="11" t="s">
        <v>1702</v>
      </c>
      <c r="P1114" s="16" t="str">
        <f t="shared" si="487"/>
        <v>21-Jan-1922</v>
      </c>
      <c r="R1114" s="16" t="str">
        <f t="shared" si="484"/>
        <v/>
      </c>
      <c r="S1114" s="16" t="str">
        <f t="shared" si="484"/>
        <v/>
      </c>
      <c r="U1114" s="46" t="str">
        <f t="shared" si="475"/>
        <v/>
      </c>
      <c r="V1114" s="46">
        <f t="shared" si="475"/>
        <v>0</v>
      </c>
      <c r="W1114" s="46" t="str">
        <f t="shared" si="475"/>
        <v/>
      </c>
      <c r="X1114" s="46" t="str">
        <f t="shared" si="475"/>
        <v/>
      </c>
    </row>
    <row r="1115" spans="2:24" x14ac:dyDescent="0.25">
      <c r="B1115" s="11" t="str">
        <f t="shared" si="485"/>
        <v>CHGO-01APR1922</v>
      </c>
      <c r="C1115" s="11" t="s">
        <v>916</v>
      </c>
      <c r="D1115" s="11" t="s">
        <v>1699</v>
      </c>
      <c r="E1115" s="39" t="s">
        <v>1155</v>
      </c>
      <c r="F1115" s="11" t="s">
        <v>1700</v>
      </c>
      <c r="G1115" s="39" t="s">
        <v>1147</v>
      </c>
      <c r="I1115" s="7">
        <v>0</v>
      </c>
      <c r="J1115" s="7">
        <v>0</v>
      </c>
      <c r="L1115" s="7">
        <f t="shared" si="488"/>
        <v>0</v>
      </c>
      <c r="M1115" s="8">
        <v>1</v>
      </c>
      <c r="N1115" s="8" t="str">
        <f t="shared" si="486"/>
        <v/>
      </c>
      <c r="O1115" s="11" t="s">
        <v>1702</v>
      </c>
      <c r="P1115" s="16" t="str">
        <f t="shared" si="487"/>
        <v>01-Apr-1922</v>
      </c>
      <c r="R1115" s="16" t="str">
        <f t="shared" si="484"/>
        <v/>
      </c>
      <c r="S1115" s="16" t="str">
        <f t="shared" si="484"/>
        <v/>
      </c>
      <c r="U1115" s="46" t="str">
        <f t="shared" si="475"/>
        <v/>
      </c>
      <c r="V1115" s="46">
        <f t="shared" si="475"/>
        <v>0</v>
      </c>
      <c r="W1115" s="46" t="str">
        <f t="shared" si="475"/>
        <v/>
      </c>
      <c r="X1115" s="46" t="str">
        <f t="shared" si="475"/>
        <v/>
      </c>
    </row>
    <row r="1116" spans="2:24" x14ac:dyDescent="0.25">
      <c r="B1116" s="11" t="str">
        <f t="shared" si="485"/>
        <v>CHGO-06MAY1922</v>
      </c>
      <c r="C1116" s="11" t="s">
        <v>916</v>
      </c>
      <c r="D1116" s="11" t="s">
        <v>1699</v>
      </c>
      <c r="E1116" s="39" t="s">
        <v>1156</v>
      </c>
      <c r="F1116" s="11" t="s">
        <v>1700</v>
      </c>
      <c r="G1116" s="39" t="s">
        <v>1148</v>
      </c>
      <c r="I1116" s="7">
        <v>0</v>
      </c>
      <c r="J1116" s="7">
        <v>0</v>
      </c>
      <c r="L1116" s="7">
        <f t="shared" si="488"/>
        <v>0</v>
      </c>
      <c r="M1116" s="8">
        <v>1</v>
      </c>
      <c r="N1116" s="8" t="str">
        <f t="shared" si="486"/>
        <v/>
      </c>
      <c r="O1116" s="11" t="s">
        <v>1702</v>
      </c>
      <c r="P1116" s="16" t="str">
        <f t="shared" si="487"/>
        <v>06-May-1922</v>
      </c>
      <c r="R1116" s="16" t="str">
        <f t="shared" si="484"/>
        <v/>
      </c>
      <c r="S1116" s="16" t="str">
        <f t="shared" si="484"/>
        <v/>
      </c>
      <c r="U1116" s="46" t="str">
        <f t="shared" si="475"/>
        <v/>
      </c>
      <c r="V1116" s="46">
        <f t="shared" si="475"/>
        <v>0</v>
      </c>
      <c r="W1116" s="46" t="str">
        <f t="shared" si="475"/>
        <v/>
      </c>
      <c r="X1116" s="46" t="str">
        <f t="shared" si="475"/>
        <v/>
      </c>
    </row>
    <row r="1117" spans="2:24" x14ac:dyDescent="0.25">
      <c r="B1117" s="11" t="str">
        <f t="shared" ref="B1117:B1122" si="489">CONCATENATE("CHGO","-",LEFT(P1117,2),UPPER(MID(P1117,4,3)),RIGHT(P1117,4))</f>
        <v>CHGO-09JUN1922</v>
      </c>
      <c r="C1117" s="11" t="s">
        <v>916</v>
      </c>
      <c r="D1117" s="11" t="s">
        <v>1699</v>
      </c>
      <c r="E1117" s="39" t="s">
        <v>1157</v>
      </c>
      <c r="F1117" s="11" t="s">
        <v>1700</v>
      </c>
      <c r="G1117" s="39" t="s">
        <v>1149</v>
      </c>
      <c r="I1117" s="7">
        <v>0</v>
      </c>
      <c r="J1117" s="7">
        <v>0</v>
      </c>
      <c r="L1117" s="7">
        <f t="shared" si="488"/>
        <v>0</v>
      </c>
      <c r="M1117" s="8">
        <v>1</v>
      </c>
      <c r="N1117" s="8" t="str">
        <f t="shared" ref="N1117:N1122" si="490">IF(L1117&gt;0,1,"")</f>
        <v/>
      </c>
      <c r="O1117" s="11" t="s">
        <v>1702</v>
      </c>
      <c r="P1117" s="16" t="str">
        <f t="shared" ref="P1117:P1122" si="491">IF(LEN(G1117)=10,CONCATENATE("0",G1117),G1117)</f>
        <v>09-Jun-1922</v>
      </c>
      <c r="R1117" s="16" t="str">
        <f t="shared" si="484"/>
        <v/>
      </c>
      <c r="S1117" s="16" t="str">
        <f t="shared" si="484"/>
        <v/>
      </c>
      <c r="U1117" s="46" t="str">
        <f t="shared" si="475"/>
        <v/>
      </c>
      <c r="V1117" s="46">
        <f t="shared" si="475"/>
        <v>0</v>
      </c>
      <c r="W1117" s="46" t="str">
        <f t="shared" si="475"/>
        <v/>
      </c>
      <c r="X1117" s="46" t="str">
        <f t="shared" si="475"/>
        <v/>
      </c>
    </row>
    <row r="1118" spans="2:24" x14ac:dyDescent="0.25">
      <c r="B1118" s="11" t="str">
        <f t="shared" si="489"/>
        <v>CHGO-14JUL1922</v>
      </c>
      <c r="C1118" s="11" t="s">
        <v>916</v>
      </c>
      <c r="D1118" s="11" t="s">
        <v>1699</v>
      </c>
      <c r="E1118" s="39" t="s">
        <v>1158</v>
      </c>
      <c r="F1118" s="11" t="s">
        <v>1700</v>
      </c>
      <c r="G1118" s="39" t="s">
        <v>1150</v>
      </c>
      <c r="I1118" s="7">
        <v>0</v>
      </c>
      <c r="J1118" s="7">
        <v>0</v>
      </c>
      <c r="L1118" s="7">
        <f>SUM(H1118:K1118)</f>
        <v>0</v>
      </c>
      <c r="M1118" s="8">
        <v>1</v>
      </c>
      <c r="N1118" s="8" t="str">
        <f t="shared" si="490"/>
        <v/>
      </c>
      <c r="O1118" s="11" t="s">
        <v>1702</v>
      </c>
      <c r="P1118" s="16" t="str">
        <f t="shared" si="491"/>
        <v>14-Jul-1922</v>
      </c>
      <c r="R1118" s="16" t="str">
        <f t="shared" si="484"/>
        <v/>
      </c>
      <c r="S1118" s="16" t="str">
        <f t="shared" si="484"/>
        <v/>
      </c>
      <c r="U1118" s="46" t="str">
        <f t="shared" si="475"/>
        <v/>
      </c>
      <c r="V1118" s="46">
        <f t="shared" si="475"/>
        <v>0</v>
      </c>
      <c r="W1118" s="46" t="str">
        <f t="shared" si="475"/>
        <v/>
      </c>
      <c r="X1118" s="46" t="str">
        <f t="shared" si="475"/>
        <v/>
      </c>
    </row>
    <row r="1119" spans="2:24" x14ac:dyDescent="0.25">
      <c r="B1119" s="11" t="str">
        <f t="shared" si="489"/>
        <v>CHGO-25AUG1922</v>
      </c>
      <c r="C1119" s="11" t="s">
        <v>916</v>
      </c>
      <c r="D1119" s="11" t="s">
        <v>1699</v>
      </c>
      <c r="E1119" s="39" t="s">
        <v>1159</v>
      </c>
      <c r="F1119" s="11" t="s">
        <v>1700</v>
      </c>
      <c r="G1119" s="39" t="s">
        <v>1151</v>
      </c>
      <c r="I1119" s="7">
        <v>0</v>
      </c>
      <c r="J1119" s="7">
        <v>0</v>
      </c>
      <c r="L1119" s="7">
        <f>SUM(H1119:K1119)</f>
        <v>0</v>
      </c>
      <c r="M1119" s="8">
        <v>1</v>
      </c>
      <c r="N1119" s="8" t="str">
        <f t="shared" si="490"/>
        <v/>
      </c>
      <c r="O1119" s="11" t="s">
        <v>1702</v>
      </c>
      <c r="P1119" s="16" t="str">
        <f t="shared" si="491"/>
        <v>25-Aug-1922</v>
      </c>
      <c r="R1119" s="16" t="str">
        <f t="shared" si="484"/>
        <v/>
      </c>
      <c r="S1119" s="16" t="str">
        <f t="shared" si="484"/>
        <v/>
      </c>
      <c r="U1119" s="46" t="str">
        <f t="shared" si="475"/>
        <v/>
      </c>
      <c r="V1119" s="46">
        <f t="shared" si="475"/>
        <v>0</v>
      </c>
      <c r="W1119" s="46" t="str">
        <f t="shared" si="475"/>
        <v/>
      </c>
      <c r="X1119" s="46" t="str">
        <f t="shared" si="475"/>
        <v/>
      </c>
    </row>
    <row r="1120" spans="2:24" x14ac:dyDescent="0.25">
      <c r="B1120" s="11" t="str">
        <f t="shared" si="489"/>
        <v>CHGO-29SEP1922</v>
      </c>
      <c r="C1120" s="11" t="s">
        <v>916</v>
      </c>
      <c r="D1120" s="11" t="s">
        <v>1699</v>
      </c>
      <c r="E1120" s="39" t="s">
        <v>1160</v>
      </c>
      <c r="F1120" s="11" t="s">
        <v>1700</v>
      </c>
      <c r="G1120" s="39" t="s">
        <v>1152</v>
      </c>
      <c r="I1120" s="7">
        <v>0</v>
      </c>
      <c r="J1120" s="7">
        <v>0</v>
      </c>
      <c r="L1120" s="7">
        <f>SUM(H1120:K1120)</f>
        <v>0</v>
      </c>
      <c r="M1120" s="8">
        <v>1</v>
      </c>
      <c r="N1120" s="8" t="str">
        <f t="shared" si="490"/>
        <v/>
      </c>
      <c r="O1120" s="11" t="s">
        <v>1702</v>
      </c>
      <c r="P1120" s="16" t="str">
        <f t="shared" si="491"/>
        <v>29-Sep-1922</v>
      </c>
      <c r="R1120" s="16" t="str">
        <f t="shared" si="484"/>
        <v/>
      </c>
      <c r="S1120" s="16" t="str">
        <f t="shared" si="484"/>
        <v/>
      </c>
      <c r="U1120" s="46" t="str">
        <f t="shared" si="475"/>
        <v/>
      </c>
      <c r="V1120" s="46">
        <f t="shared" si="475"/>
        <v>0</v>
      </c>
      <c r="W1120" s="46" t="str">
        <f t="shared" si="475"/>
        <v/>
      </c>
      <c r="X1120" s="46" t="str">
        <f t="shared" si="475"/>
        <v/>
      </c>
    </row>
    <row r="1121" spans="2:24" x14ac:dyDescent="0.25">
      <c r="B1121" s="11" t="str">
        <f t="shared" si="489"/>
        <v>CHGO-07NOV1922</v>
      </c>
      <c r="C1121" s="11" t="s">
        <v>916</v>
      </c>
      <c r="D1121" s="11" t="s">
        <v>1699</v>
      </c>
      <c r="E1121" s="39" t="s">
        <v>1161</v>
      </c>
      <c r="F1121" s="11" t="s">
        <v>1700</v>
      </c>
      <c r="G1121" s="39" t="s">
        <v>1153</v>
      </c>
      <c r="I1121" s="7">
        <v>6</v>
      </c>
      <c r="J1121" s="7">
        <v>0</v>
      </c>
      <c r="L1121" s="7">
        <f>SUM(H1121:K1121)</f>
        <v>6</v>
      </c>
      <c r="M1121" s="8">
        <v>1</v>
      </c>
      <c r="N1121" s="8">
        <f t="shared" si="490"/>
        <v>1</v>
      </c>
      <c r="O1121" s="11" t="s">
        <v>1702</v>
      </c>
      <c r="P1121" s="16" t="str">
        <f t="shared" si="491"/>
        <v>07-Nov-1922</v>
      </c>
      <c r="R1121" s="16" t="str">
        <f t="shared" si="484"/>
        <v>x</v>
      </c>
      <c r="S1121" s="16" t="str">
        <f t="shared" si="484"/>
        <v>x</v>
      </c>
      <c r="U1121" s="46" t="str">
        <f t="shared" si="475"/>
        <v/>
      </c>
      <c r="V1121" s="46">
        <f t="shared" si="475"/>
        <v>6</v>
      </c>
      <c r="W1121" s="46" t="str">
        <f t="shared" si="475"/>
        <v/>
      </c>
      <c r="X1121" s="46" t="str">
        <f t="shared" si="475"/>
        <v/>
      </c>
    </row>
    <row r="1122" spans="2:24" x14ac:dyDescent="0.25">
      <c r="B1122" s="11" t="str">
        <f t="shared" si="489"/>
        <v>CHGO-24JAN1923</v>
      </c>
      <c r="C1122" s="11" t="s">
        <v>916</v>
      </c>
      <c r="D1122" s="11" t="s">
        <v>1699</v>
      </c>
      <c r="E1122" s="39" t="s">
        <v>1179</v>
      </c>
      <c r="F1122" s="11" t="s">
        <v>1700</v>
      </c>
      <c r="G1122" s="39" t="s">
        <v>1163</v>
      </c>
      <c r="I1122" s="7">
        <v>0</v>
      </c>
      <c r="J1122" s="7">
        <v>0</v>
      </c>
      <c r="L1122" s="7">
        <f>SUM(H1122:K1122)</f>
        <v>0</v>
      </c>
      <c r="M1122" s="8">
        <v>1</v>
      </c>
      <c r="N1122" s="8" t="str">
        <f t="shared" si="490"/>
        <v/>
      </c>
      <c r="O1122" s="11" t="s">
        <v>1702</v>
      </c>
      <c r="P1122" s="16" t="str">
        <f t="shared" si="491"/>
        <v>24-Jan-1923</v>
      </c>
      <c r="R1122" s="16" t="str">
        <f t="shared" si="484"/>
        <v/>
      </c>
      <c r="S1122" s="16" t="str">
        <f t="shared" si="484"/>
        <v/>
      </c>
      <c r="U1122" s="46" t="str">
        <f t="shared" si="475"/>
        <v/>
      </c>
      <c r="V1122" s="46">
        <f t="shared" si="475"/>
        <v>0</v>
      </c>
      <c r="W1122" s="46" t="str">
        <f t="shared" si="475"/>
        <v/>
      </c>
      <c r="X1122" s="46" t="str">
        <f t="shared" si="475"/>
        <v/>
      </c>
    </row>
    <row r="1123" spans="2:24" x14ac:dyDescent="0.25">
      <c r="B1123" s="11" t="str">
        <f t="shared" ref="B1123:B1137" si="492">CONCATENATE("CHGO","-",LEFT(P1123,2),UPPER(MID(P1123,4,3)),RIGHT(P1123,4))</f>
        <v>CHGO-02MAR1923</v>
      </c>
      <c r="C1123" s="11" t="s">
        <v>916</v>
      </c>
      <c r="D1123" s="11" t="s">
        <v>1699</v>
      </c>
      <c r="E1123" s="39" t="s">
        <v>1180</v>
      </c>
      <c r="F1123" s="11" t="s">
        <v>1700</v>
      </c>
      <c r="G1123" s="39" t="s">
        <v>1164</v>
      </c>
      <c r="I1123" s="7">
        <v>2</v>
      </c>
      <c r="J1123" s="7">
        <v>0</v>
      </c>
      <c r="L1123" s="7">
        <f t="shared" ref="L1123:L1137" si="493">SUM(H1123:K1123)</f>
        <v>2</v>
      </c>
      <c r="M1123" s="8">
        <v>1</v>
      </c>
      <c r="N1123" s="8">
        <f t="shared" ref="N1123:N1137" si="494">IF(L1123&gt;0,1,"")</f>
        <v>1</v>
      </c>
      <c r="O1123" s="11" t="s">
        <v>1702</v>
      </c>
      <c r="P1123" s="16" t="str">
        <f t="shared" ref="P1123:P1137" si="495">IF(LEN(G1123)=10,CONCATENATE("0",G1123),G1123)</f>
        <v>02-Mar-1923</v>
      </c>
      <c r="R1123" s="16" t="str">
        <f t="shared" si="484"/>
        <v>x</v>
      </c>
      <c r="S1123" s="16" t="str">
        <f t="shared" si="484"/>
        <v>x</v>
      </c>
      <c r="U1123" s="46" t="str">
        <f t="shared" si="475"/>
        <v/>
      </c>
      <c r="V1123" s="46">
        <f t="shared" si="475"/>
        <v>2</v>
      </c>
      <c r="W1123" s="46" t="str">
        <f t="shared" si="475"/>
        <v/>
      </c>
      <c r="X1123" s="46" t="str">
        <f t="shared" si="475"/>
        <v/>
      </c>
    </row>
    <row r="1124" spans="2:24" x14ac:dyDescent="0.25">
      <c r="B1124" s="11" t="str">
        <f t="shared" si="492"/>
        <v>CHGO-21APR1923</v>
      </c>
      <c r="C1124" s="11" t="s">
        <v>916</v>
      </c>
      <c r="D1124" s="11" t="s">
        <v>1699</v>
      </c>
      <c r="E1124" s="39" t="s">
        <v>1181</v>
      </c>
      <c r="F1124" s="11" t="s">
        <v>1700</v>
      </c>
      <c r="G1124" s="39" t="s">
        <v>1165</v>
      </c>
      <c r="I1124" s="7">
        <v>0</v>
      </c>
      <c r="J1124" s="7">
        <v>0</v>
      </c>
      <c r="L1124" s="7">
        <f t="shared" si="493"/>
        <v>0</v>
      </c>
      <c r="M1124" s="8">
        <v>1</v>
      </c>
      <c r="N1124" s="8" t="str">
        <f t="shared" si="494"/>
        <v/>
      </c>
      <c r="O1124" s="11" t="s">
        <v>1702</v>
      </c>
      <c r="P1124" s="16" t="str">
        <f t="shared" si="495"/>
        <v>21-Apr-1923</v>
      </c>
      <c r="R1124" s="16" t="str">
        <f t="shared" si="484"/>
        <v/>
      </c>
      <c r="S1124" s="16" t="str">
        <f t="shared" si="484"/>
        <v/>
      </c>
      <c r="U1124" s="46" t="str">
        <f t="shared" si="475"/>
        <v/>
      </c>
      <c r="V1124" s="46">
        <f t="shared" si="475"/>
        <v>0</v>
      </c>
      <c r="W1124" s="46" t="str">
        <f t="shared" si="475"/>
        <v/>
      </c>
      <c r="X1124" s="46" t="str">
        <f t="shared" si="475"/>
        <v/>
      </c>
    </row>
    <row r="1125" spans="2:24" x14ac:dyDescent="0.25">
      <c r="B1125" s="11" t="str">
        <f t="shared" si="492"/>
        <v>CHGO-29MAY1923</v>
      </c>
      <c r="C1125" s="11" t="s">
        <v>916</v>
      </c>
      <c r="D1125" s="11" t="s">
        <v>1699</v>
      </c>
      <c r="E1125" s="39" t="s">
        <v>1182</v>
      </c>
      <c r="F1125" s="11" t="s">
        <v>1700</v>
      </c>
      <c r="G1125" s="39" t="s">
        <v>1166</v>
      </c>
      <c r="I1125" s="7">
        <v>0</v>
      </c>
      <c r="J1125" s="7">
        <v>0</v>
      </c>
      <c r="L1125" s="7">
        <f t="shared" si="493"/>
        <v>0</v>
      </c>
      <c r="M1125" s="8">
        <v>1</v>
      </c>
      <c r="N1125" s="8" t="str">
        <f t="shared" si="494"/>
        <v/>
      </c>
      <c r="O1125" s="11" t="s">
        <v>1702</v>
      </c>
      <c r="P1125" s="16" t="str">
        <f t="shared" si="495"/>
        <v>29-May-1923</v>
      </c>
      <c r="R1125" s="16" t="str">
        <f t="shared" si="484"/>
        <v/>
      </c>
      <c r="S1125" s="16" t="str">
        <f t="shared" si="484"/>
        <v/>
      </c>
      <c r="U1125" s="46" t="str">
        <f t="shared" si="475"/>
        <v/>
      </c>
      <c r="V1125" s="46">
        <f t="shared" si="475"/>
        <v>0</v>
      </c>
      <c r="W1125" s="46" t="str">
        <f t="shared" si="475"/>
        <v/>
      </c>
      <c r="X1125" s="46" t="str">
        <f t="shared" si="475"/>
        <v/>
      </c>
    </row>
    <row r="1126" spans="2:24" x14ac:dyDescent="0.25">
      <c r="B1126" s="11" t="str">
        <f t="shared" si="492"/>
        <v>CHGO-27JUN1923</v>
      </c>
      <c r="C1126" s="11" t="s">
        <v>916</v>
      </c>
      <c r="D1126" s="11" t="s">
        <v>1699</v>
      </c>
      <c r="E1126" s="39" t="s">
        <v>1183</v>
      </c>
      <c r="F1126" s="11" t="s">
        <v>1700</v>
      </c>
      <c r="G1126" s="39" t="s">
        <v>1167</v>
      </c>
      <c r="I1126" s="7">
        <v>0</v>
      </c>
      <c r="J1126" s="7">
        <v>0</v>
      </c>
      <c r="L1126" s="7">
        <f t="shared" si="493"/>
        <v>0</v>
      </c>
      <c r="M1126" s="8">
        <v>1</v>
      </c>
      <c r="N1126" s="8" t="str">
        <f t="shared" si="494"/>
        <v/>
      </c>
      <c r="O1126" s="11" t="s">
        <v>1702</v>
      </c>
      <c r="P1126" s="16" t="str">
        <f t="shared" si="495"/>
        <v>27-Jun-1923</v>
      </c>
      <c r="R1126" s="16" t="str">
        <f t="shared" si="484"/>
        <v/>
      </c>
      <c r="S1126" s="16" t="str">
        <f t="shared" si="484"/>
        <v/>
      </c>
      <c r="U1126" s="46" t="str">
        <f t="shared" si="475"/>
        <v/>
      </c>
      <c r="V1126" s="46">
        <f t="shared" si="475"/>
        <v>0</v>
      </c>
      <c r="W1126" s="46" t="str">
        <f t="shared" si="475"/>
        <v/>
      </c>
      <c r="X1126" s="46" t="str">
        <f t="shared" si="475"/>
        <v/>
      </c>
    </row>
    <row r="1127" spans="2:24" x14ac:dyDescent="0.25">
      <c r="B1127" s="11" t="str">
        <f t="shared" si="492"/>
        <v>CHGO-01SEP1923</v>
      </c>
      <c r="C1127" s="11" t="s">
        <v>916</v>
      </c>
      <c r="D1127" s="11" t="s">
        <v>1699</v>
      </c>
      <c r="E1127" s="39" t="s">
        <v>1184</v>
      </c>
      <c r="F1127" s="11" t="s">
        <v>1700</v>
      </c>
      <c r="G1127" s="39" t="s">
        <v>1168</v>
      </c>
      <c r="I1127" s="7">
        <v>51</v>
      </c>
      <c r="J1127" s="7">
        <v>56</v>
      </c>
      <c r="L1127" s="7">
        <f t="shared" si="493"/>
        <v>107</v>
      </c>
      <c r="M1127" s="8">
        <v>1</v>
      </c>
      <c r="N1127" s="8">
        <f t="shared" si="494"/>
        <v>1</v>
      </c>
      <c r="O1127" s="11" t="s">
        <v>1702</v>
      </c>
      <c r="P1127" s="16" t="str">
        <f t="shared" si="495"/>
        <v>01-Sep-1923</v>
      </c>
      <c r="R1127" s="16" t="str">
        <f t="shared" si="484"/>
        <v>x</v>
      </c>
      <c r="S1127" s="16" t="str">
        <f t="shared" si="484"/>
        <v>x</v>
      </c>
      <c r="U1127" s="46" t="str">
        <f t="shared" si="475"/>
        <v/>
      </c>
      <c r="V1127" s="46">
        <f t="shared" si="475"/>
        <v>107</v>
      </c>
      <c r="W1127" s="46" t="str">
        <f t="shared" si="475"/>
        <v/>
      </c>
      <c r="X1127" s="46" t="str">
        <f t="shared" si="475"/>
        <v/>
      </c>
    </row>
    <row r="1128" spans="2:24" x14ac:dyDescent="0.25">
      <c r="B1128" s="11" t="str">
        <f t="shared" si="492"/>
        <v>CHGO-06OCT1923</v>
      </c>
      <c r="C1128" s="11" t="s">
        <v>916</v>
      </c>
      <c r="D1128" s="11" t="s">
        <v>1699</v>
      </c>
      <c r="E1128" s="39" t="s">
        <v>1185</v>
      </c>
      <c r="F1128" s="11" t="s">
        <v>1700</v>
      </c>
      <c r="G1128" s="39" t="s">
        <v>1169</v>
      </c>
      <c r="I1128" s="7">
        <v>1</v>
      </c>
      <c r="J1128" s="7">
        <v>0</v>
      </c>
      <c r="L1128" s="7">
        <f t="shared" si="493"/>
        <v>1</v>
      </c>
      <c r="M1128" s="8">
        <v>1</v>
      </c>
      <c r="N1128" s="8">
        <f t="shared" si="494"/>
        <v>1</v>
      </c>
      <c r="O1128" s="11" t="s">
        <v>1702</v>
      </c>
      <c r="P1128" s="16" t="str">
        <f t="shared" si="495"/>
        <v>06-Oct-1923</v>
      </c>
      <c r="R1128" s="16" t="str">
        <f t="shared" si="484"/>
        <v>x</v>
      </c>
      <c r="S1128" s="16" t="str">
        <f t="shared" si="484"/>
        <v>x</v>
      </c>
      <c r="U1128" s="46" t="str">
        <f t="shared" si="475"/>
        <v/>
      </c>
      <c r="V1128" s="46">
        <f t="shared" si="475"/>
        <v>1</v>
      </c>
      <c r="W1128" s="46" t="str">
        <f t="shared" si="475"/>
        <v/>
      </c>
      <c r="X1128" s="46" t="str">
        <f t="shared" si="475"/>
        <v/>
      </c>
    </row>
    <row r="1129" spans="2:24" x14ac:dyDescent="0.25">
      <c r="B1129" s="11" t="str">
        <f t="shared" si="492"/>
        <v>CHGO-07NOV1923</v>
      </c>
      <c r="C1129" s="11" t="s">
        <v>916</v>
      </c>
      <c r="D1129" s="11" t="s">
        <v>1699</v>
      </c>
      <c r="E1129" s="39" t="s">
        <v>1186</v>
      </c>
      <c r="F1129" s="11" t="s">
        <v>1700</v>
      </c>
      <c r="G1129" s="39" t="s">
        <v>1170</v>
      </c>
      <c r="I1129" s="7">
        <v>0</v>
      </c>
      <c r="J1129" s="7">
        <v>0</v>
      </c>
      <c r="L1129" s="7">
        <f t="shared" si="493"/>
        <v>0</v>
      </c>
      <c r="M1129" s="8">
        <v>1</v>
      </c>
      <c r="N1129" s="8" t="str">
        <f t="shared" si="494"/>
        <v/>
      </c>
      <c r="O1129" s="11" t="s">
        <v>1702</v>
      </c>
      <c r="P1129" s="16" t="str">
        <f t="shared" si="495"/>
        <v>07-Nov-1923</v>
      </c>
      <c r="R1129" s="16" t="str">
        <f t="shared" si="484"/>
        <v/>
      </c>
      <c r="S1129" s="16" t="str">
        <f t="shared" si="484"/>
        <v/>
      </c>
      <c r="U1129" s="46" t="str">
        <f t="shared" si="475"/>
        <v/>
      </c>
      <c r="V1129" s="46">
        <f t="shared" si="475"/>
        <v>0</v>
      </c>
      <c r="W1129" s="46" t="str">
        <f t="shared" si="475"/>
        <v/>
      </c>
      <c r="X1129" s="46" t="str">
        <f t="shared" si="475"/>
        <v/>
      </c>
    </row>
    <row r="1130" spans="2:24" x14ac:dyDescent="0.25">
      <c r="B1130" s="11" t="str">
        <f t="shared" si="492"/>
        <v>CHGO-19DEC1923</v>
      </c>
      <c r="C1130" s="11" t="s">
        <v>916</v>
      </c>
      <c r="D1130" s="11" t="s">
        <v>1699</v>
      </c>
      <c r="E1130" s="39" t="s">
        <v>1187</v>
      </c>
      <c r="F1130" s="11" t="s">
        <v>1700</v>
      </c>
      <c r="G1130" s="39" t="s">
        <v>1171</v>
      </c>
      <c r="I1130" s="7">
        <v>1</v>
      </c>
      <c r="J1130" s="7">
        <v>2</v>
      </c>
      <c r="L1130" s="7">
        <f t="shared" si="493"/>
        <v>3</v>
      </c>
      <c r="M1130" s="8">
        <v>1</v>
      </c>
      <c r="N1130" s="8">
        <f t="shared" si="494"/>
        <v>1</v>
      </c>
      <c r="O1130" s="11" t="s">
        <v>1702</v>
      </c>
      <c r="P1130" s="16" t="str">
        <f t="shared" si="495"/>
        <v>19-Dec-1923</v>
      </c>
      <c r="R1130" s="16" t="str">
        <f t="shared" si="484"/>
        <v>x</v>
      </c>
      <c r="S1130" s="16" t="str">
        <f t="shared" si="484"/>
        <v>x</v>
      </c>
      <c r="U1130" s="46" t="str">
        <f t="shared" si="475"/>
        <v/>
      </c>
      <c r="V1130" s="46">
        <f t="shared" si="475"/>
        <v>3</v>
      </c>
      <c r="W1130" s="46" t="str">
        <f t="shared" si="475"/>
        <v/>
      </c>
      <c r="X1130" s="46" t="str">
        <f t="shared" si="475"/>
        <v/>
      </c>
    </row>
    <row r="1131" spans="2:24" x14ac:dyDescent="0.25">
      <c r="B1131" s="11" t="str">
        <f t="shared" si="492"/>
        <v>CHGO-23JAN1924</v>
      </c>
      <c r="C1131" s="11" t="s">
        <v>916</v>
      </c>
      <c r="D1131" s="11" t="s">
        <v>1699</v>
      </c>
      <c r="E1131" s="39" t="s">
        <v>1188</v>
      </c>
      <c r="F1131" s="11" t="s">
        <v>1700</v>
      </c>
      <c r="G1131" s="39" t="s">
        <v>1172</v>
      </c>
      <c r="I1131" s="7">
        <v>3</v>
      </c>
      <c r="J1131" s="7">
        <v>0</v>
      </c>
      <c r="L1131" s="7">
        <f t="shared" si="493"/>
        <v>3</v>
      </c>
      <c r="M1131" s="8">
        <v>1</v>
      </c>
      <c r="N1131" s="8">
        <f t="shared" si="494"/>
        <v>1</v>
      </c>
      <c r="O1131" s="11" t="s">
        <v>1702</v>
      </c>
      <c r="P1131" s="16" t="str">
        <f t="shared" si="495"/>
        <v>23-Jan-1924</v>
      </c>
      <c r="R1131" s="16" t="str">
        <f t="shared" si="484"/>
        <v>x</v>
      </c>
      <c r="S1131" s="16" t="str">
        <f t="shared" si="484"/>
        <v>x</v>
      </c>
      <c r="U1131" s="46" t="str">
        <f t="shared" si="475"/>
        <v/>
      </c>
      <c r="V1131" s="46">
        <f t="shared" si="475"/>
        <v>3</v>
      </c>
      <c r="W1131" s="46" t="str">
        <f t="shared" si="475"/>
        <v/>
      </c>
      <c r="X1131" s="46" t="str">
        <f t="shared" si="475"/>
        <v/>
      </c>
    </row>
    <row r="1132" spans="2:24" x14ac:dyDescent="0.25">
      <c r="B1132" s="11" t="str">
        <f t="shared" si="492"/>
        <v>CHGO-04MAR1924</v>
      </c>
      <c r="C1132" s="11" t="s">
        <v>916</v>
      </c>
      <c r="D1132" s="11" t="s">
        <v>1699</v>
      </c>
      <c r="E1132" s="39" t="s">
        <v>1189</v>
      </c>
      <c r="F1132" s="11" t="s">
        <v>1700</v>
      </c>
      <c r="G1132" s="39" t="s">
        <v>1173</v>
      </c>
      <c r="I1132" s="7">
        <v>0</v>
      </c>
      <c r="J1132" s="7">
        <v>0</v>
      </c>
      <c r="L1132" s="7">
        <f t="shared" si="493"/>
        <v>0</v>
      </c>
      <c r="M1132" s="8">
        <v>1</v>
      </c>
      <c r="N1132" s="8" t="str">
        <f t="shared" si="494"/>
        <v/>
      </c>
      <c r="O1132" s="11" t="s">
        <v>1702</v>
      </c>
      <c r="P1132" s="16" t="str">
        <f t="shared" si="495"/>
        <v>04-Mar-1924</v>
      </c>
      <c r="R1132" s="16" t="str">
        <f t="shared" si="484"/>
        <v/>
      </c>
      <c r="S1132" s="16" t="str">
        <f t="shared" si="484"/>
        <v/>
      </c>
      <c r="U1132" s="46" t="str">
        <f t="shared" si="475"/>
        <v/>
      </c>
      <c r="V1132" s="46">
        <f t="shared" si="475"/>
        <v>0</v>
      </c>
      <c r="W1132" s="46" t="str">
        <f t="shared" si="475"/>
        <v/>
      </c>
      <c r="X1132" s="46" t="str">
        <f t="shared" si="475"/>
        <v/>
      </c>
    </row>
    <row r="1133" spans="2:24" x14ac:dyDescent="0.25">
      <c r="B1133" s="11" t="str">
        <f t="shared" si="492"/>
        <v>CHGO-08APR1924</v>
      </c>
      <c r="C1133" s="11" t="s">
        <v>916</v>
      </c>
      <c r="D1133" s="11" t="s">
        <v>1699</v>
      </c>
      <c r="E1133" s="39" t="s">
        <v>1190</v>
      </c>
      <c r="F1133" s="11" t="s">
        <v>1700</v>
      </c>
      <c r="G1133" s="39" t="s">
        <v>1174</v>
      </c>
      <c r="I1133" s="7">
        <v>14</v>
      </c>
      <c r="J1133" s="7">
        <v>2</v>
      </c>
      <c r="L1133" s="7">
        <f t="shared" si="493"/>
        <v>16</v>
      </c>
      <c r="M1133" s="8">
        <v>1</v>
      </c>
      <c r="N1133" s="8">
        <f t="shared" si="494"/>
        <v>1</v>
      </c>
      <c r="O1133" s="11" t="s">
        <v>1702</v>
      </c>
      <c r="P1133" s="16" t="str">
        <f t="shared" si="495"/>
        <v>08-Apr-1924</v>
      </c>
      <c r="R1133" s="16" t="str">
        <f t="shared" si="484"/>
        <v>x</v>
      </c>
      <c r="S1133" s="16" t="str">
        <f t="shared" si="484"/>
        <v>x</v>
      </c>
      <c r="U1133" s="46" t="str">
        <f t="shared" si="475"/>
        <v/>
      </c>
      <c r="V1133" s="46">
        <f t="shared" si="475"/>
        <v>16</v>
      </c>
      <c r="W1133" s="46" t="str">
        <f t="shared" si="475"/>
        <v/>
      </c>
      <c r="X1133" s="46" t="str">
        <f t="shared" si="475"/>
        <v/>
      </c>
    </row>
    <row r="1134" spans="2:24" x14ac:dyDescent="0.25">
      <c r="B1134" s="11" t="str">
        <f t="shared" si="492"/>
        <v>CHGO-14JUN1924</v>
      </c>
      <c r="C1134" s="11" t="s">
        <v>916</v>
      </c>
      <c r="D1134" s="11" t="s">
        <v>1699</v>
      </c>
      <c r="E1134" s="39" t="s">
        <v>1191</v>
      </c>
      <c r="F1134" s="11" t="s">
        <v>1700</v>
      </c>
      <c r="G1134" s="39" t="s">
        <v>1175</v>
      </c>
      <c r="I1134" s="7">
        <v>0</v>
      </c>
      <c r="J1134" s="7">
        <v>0</v>
      </c>
      <c r="L1134" s="7">
        <f t="shared" si="493"/>
        <v>0</v>
      </c>
      <c r="M1134" s="8">
        <v>1</v>
      </c>
      <c r="N1134" s="8" t="str">
        <f t="shared" si="494"/>
        <v/>
      </c>
      <c r="O1134" s="11" t="s">
        <v>1702</v>
      </c>
      <c r="P1134" s="16" t="str">
        <f t="shared" si="495"/>
        <v>14-Jun-1924</v>
      </c>
      <c r="R1134" s="16" t="str">
        <f t="shared" si="484"/>
        <v/>
      </c>
      <c r="S1134" s="16" t="str">
        <f t="shared" si="484"/>
        <v/>
      </c>
      <c r="U1134" s="46" t="str">
        <f t="shared" si="475"/>
        <v/>
      </c>
      <c r="V1134" s="46">
        <f t="shared" si="475"/>
        <v>0</v>
      </c>
      <c r="W1134" s="46" t="str">
        <f t="shared" si="475"/>
        <v/>
      </c>
      <c r="X1134" s="46" t="str">
        <f t="shared" si="475"/>
        <v/>
      </c>
    </row>
    <row r="1135" spans="2:24" x14ac:dyDescent="0.25">
      <c r="B1135" s="11" t="str">
        <f t="shared" si="492"/>
        <v>CHGO-16SEP1924</v>
      </c>
      <c r="C1135" s="11" t="s">
        <v>916</v>
      </c>
      <c r="D1135" s="11" t="s">
        <v>1699</v>
      </c>
      <c r="E1135" s="39" t="s">
        <v>1192</v>
      </c>
      <c r="F1135" s="11" t="s">
        <v>1700</v>
      </c>
      <c r="G1135" s="39" t="s">
        <v>1176</v>
      </c>
      <c r="I1135" s="7">
        <v>0</v>
      </c>
      <c r="J1135" s="7">
        <v>0</v>
      </c>
      <c r="L1135" s="7">
        <f t="shared" si="493"/>
        <v>0</v>
      </c>
      <c r="M1135" s="8">
        <v>1</v>
      </c>
      <c r="N1135" s="8" t="str">
        <f t="shared" si="494"/>
        <v/>
      </c>
      <c r="O1135" s="11" t="s">
        <v>1702</v>
      </c>
      <c r="P1135" s="16" t="str">
        <f t="shared" si="495"/>
        <v>16-Sep-1924</v>
      </c>
      <c r="R1135" s="16" t="str">
        <f t="shared" si="484"/>
        <v/>
      </c>
      <c r="S1135" s="16" t="str">
        <f t="shared" si="484"/>
        <v/>
      </c>
      <c r="U1135" s="46" t="str">
        <f t="shared" si="475"/>
        <v/>
      </c>
      <c r="V1135" s="46">
        <f t="shared" si="475"/>
        <v>0</v>
      </c>
      <c r="W1135" s="46" t="str">
        <f t="shared" si="475"/>
        <v/>
      </c>
      <c r="X1135" s="46" t="str">
        <f t="shared" si="475"/>
        <v/>
      </c>
    </row>
    <row r="1136" spans="2:24" x14ac:dyDescent="0.25">
      <c r="B1136" s="11" t="str">
        <f t="shared" si="492"/>
        <v>CHGO-30OCT1924</v>
      </c>
      <c r="C1136" s="11" t="s">
        <v>916</v>
      </c>
      <c r="D1136" s="11" t="s">
        <v>1956</v>
      </c>
      <c r="E1136" s="39" t="s">
        <v>1193</v>
      </c>
      <c r="F1136" s="11" t="s">
        <v>1700</v>
      </c>
      <c r="G1136" s="39" t="s">
        <v>1177</v>
      </c>
      <c r="I1136" s="7">
        <v>0</v>
      </c>
      <c r="J1136" s="7">
        <v>0</v>
      </c>
      <c r="L1136" s="7">
        <f t="shared" si="493"/>
        <v>0</v>
      </c>
      <c r="M1136" s="8">
        <v>1</v>
      </c>
      <c r="N1136" s="8" t="str">
        <f t="shared" si="494"/>
        <v/>
      </c>
      <c r="O1136" s="11" t="s">
        <v>1702</v>
      </c>
      <c r="P1136" s="16" t="str">
        <f t="shared" si="495"/>
        <v>30-Oct-1924</v>
      </c>
      <c r="R1136" s="16" t="str">
        <f t="shared" si="484"/>
        <v/>
      </c>
      <c r="S1136" s="16" t="str">
        <f t="shared" si="484"/>
        <v/>
      </c>
      <c r="U1136" s="46" t="str">
        <f t="shared" si="475"/>
        <v/>
      </c>
      <c r="V1136" s="46">
        <f t="shared" si="475"/>
        <v>0</v>
      </c>
      <c r="W1136" s="46" t="str">
        <f t="shared" si="475"/>
        <v/>
      </c>
      <c r="X1136" s="46" t="str">
        <f t="shared" si="475"/>
        <v/>
      </c>
    </row>
    <row r="1137" spans="2:26" x14ac:dyDescent="0.25">
      <c r="B1137" s="11" t="str">
        <f t="shared" si="492"/>
        <v>CHGO-12DEC1924</v>
      </c>
      <c r="C1137" s="11" t="s">
        <v>916</v>
      </c>
      <c r="D1137" s="11" t="s">
        <v>1956</v>
      </c>
      <c r="E1137" s="39" t="s">
        <v>1194</v>
      </c>
      <c r="F1137" s="11" t="s">
        <v>1700</v>
      </c>
      <c r="G1137" s="39" t="s">
        <v>1178</v>
      </c>
      <c r="I1137" s="7">
        <v>0</v>
      </c>
      <c r="J1137" s="7">
        <v>0</v>
      </c>
      <c r="L1137" s="7">
        <f t="shared" si="493"/>
        <v>0</v>
      </c>
      <c r="M1137" s="8">
        <v>1</v>
      </c>
      <c r="N1137" s="8" t="str">
        <f t="shared" si="494"/>
        <v/>
      </c>
      <c r="O1137" s="11" t="s">
        <v>1702</v>
      </c>
      <c r="P1137" s="16" t="str">
        <f t="shared" si="495"/>
        <v>12-Dec-1924</v>
      </c>
      <c r="R1137" s="16" t="str">
        <f t="shared" si="484"/>
        <v/>
      </c>
      <c r="S1137" s="16" t="str">
        <f t="shared" si="484"/>
        <v/>
      </c>
      <c r="U1137" s="46" t="str">
        <f t="shared" si="475"/>
        <v/>
      </c>
      <c r="V1137" s="46">
        <f t="shared" si="475"/>
        <v>0</v>
      </c>
      <c r="W1137" s="46" t="str">
        <f t="shared" si="475"/>
        <v/>
      </c>
      <c r="X1137" s="46" t="str">
        <f t="shared" si="475"/>
        <v/>
      </c>
    </row>
    <row r="1138" spans="2:26" x14ac:dyDescent="0.25">
      <c r="N1138" s="8" t="str">
        <f>IF(R1138="x",1,"")</f>
        <v/>
      </c>
      <c r="U1138" s="46" t="str">
        <f t="shared" si="475"/>
        <v/>
      </c>
      <c r="V1138" s="46" t="str">
        <f t="shared" si="475"/>
        <v/>
      </c>
      <c r="W1138" s="46" t="str">
        <f t="shared" si="475"/>
        <v/>
      </c>
      <c r="X1138" s="46" t="str">
        <f t="shared" si="475"/>
        <v/>
      </c>
    </row>
    <row r="1139" spans="2:26" s="18" customFormat="1" x14ac:dyDescent="0.25">
      <c r="E1139" s="40"/>
      <c r="G1139" s="40"/>
      <c r="H1139" s="7">
        <f t="shared" ref="H1139:N1139" si="496">SUM(H996:H1138)</f>
        <v>0</v>
      </c>
      <c r="I1139" s="7">
        <f t="shared" si="496"/>
        <v>158</v>
      </c>
      <c r="J1139" s="7">
        <f>SUM(J996:J1138)</f>
        <v>2430</v>
      </c>
      <c r="K1139" s="7">
        <f t="shared" si="496"/>
        <v>0</v>
      </c>
      <c r="L1139" s="7">
        <f t="shared" si="496"/>
        <v>2588</v>
      </c>
      <c r="M1139" s="7">
        <f t="shared" si="496"/>
        <v>142</v>
      </c>
      <c r="N1139" s="7">
        <f t="shared" si="496"/>
        <v>94</v>
      </c>
      <c r="P1139" s="13"/>
      <c r="Q1139" s="13"/>
      <c r="R1139" s="16"/>
      <c r="S1139" s="13"/>
      <c r="T1139" s="15"/>
      <c r="U1139" s="46" t="str">
        <f t="shared" si="475"/>
        <v/>
      </c>
      <c r="V1139" s="46" t="str">
        <f t="shared" si="475"/>
        <v/>
      </c>
      <c r="W1139" s="46" t="str">
        <f t="shared" si="475"/>
        <v/>
      </c>
      <c r="X1139" s="46" t="str">
        <f t="shared" si="475"/>
        <v/>
      </c>
      <c r="Z1139" s="11"/>
    </row>
    <row r="1140" spans="2:26" x14ac:dyDescent="0.25">
      <c r="B1140" s="18"/>
      <c r="C1140" s="18"/>
      <c r="D1140" s="18"/>
      <c r="E1140" s="40"/>
      <c r="F1140" s="18"/>
      <c r="G1140" s="40"/>
      <c r="N1140" s="8" t="str">
        <f>IF(R1140="x",1,"")</f>
        <v/>
      </c>
      <c r="O1140" s="18"/>
      <c r="P1140" s="13"/>
      <c r="Q1140" s="13"/>
      <c r="R1140" s="13"/>
      <c r="S1140" s="13"/>
      <c r="T1140" s="15"/>
      <c r="U1140" s="46" t="str">
        <f t="shared" ref="U1140:X1155" si="497">IF($O1140=U$5,$L1140,"")</f>
        <v/>
      </c>
      <c r="V1140" s="46" t="str">
        <f t="shared" si="497"/>
        <v/>
      </c>
      <c r="W1140" s="46" t="str">
        <f t="shared" si="497"/>
        <v/>
      </c>
      <c r="X1140" s="46" t="str">
        <f t="shared" si="497"/>
        <v/>
      </c>
    </row>
    <row r="1141" spans="2:26" x14ac:dyDescent="0.25">
      <c r="B1141" s="18"/>
      <c r="C1141" s="18"/>
      <c r="D1141" s="18"/>
      <c r="E1141" s="40"/>
      <c r="F1141" s="18"/>
      <c r="G1141" s="40"/>
      <c r="N1141" s="8" t="str">
        <f>IF(R1141="x",1,"")</f>
        <v/>
      </c>
      <c r="O1141" s="18"/>
      <c r="P1141" s="13"/>
      <c r="Q1141" s="13"/>
      <c r="R1141" s="13"/>
      <c r="S1141" s="13"/>
      <c r="T1141" s="15"/>
      <c r="U1141" s="46" t="str">
        <f t="shared" si="497"/>
        <v/>
      </c>
      <c r="V1141" s="46" t="str">
        <f t="shared" si="497"/>
        <v/>
      </c>
      <c r="W1141" s="46" t="str">
        <f t="shared" si="497"/>
        <v/>
      </c>
      <c r="X1141" s="46" t="str">
        <f t="shared" si="497"/>
        <v/>
      </c>
    </row>
    <row r="1142" spans="2:26" x14ac:dyDescent="0.25">
      <c r="B1142" s="11" t="str">
        <f>CONCATENATE("CHIN","-",LEFT(P1142,2),UPPER(MID(P1142,4,3)),RIGHT(P1142,4))</f>
        <v>CHIN-06MAY1918</v>
      </c>
      <c r="C1142" s="11" t="s">
        <v>4883</v>
      </c>
      <c r="D1142" s="11" t="s">
        <v>4884</v>
      </c>
      <c r="E1142" s="39" t="s">
        <v>4885</v>
      </c>
      <c r="F1142" s="11" t="s">
        <v>2441</v>
      </c>
      <c r="G1142" s="39" t="s">
        <v>4886</v>
      </c>
      <c r="H1142" s="7">
        <v>0</v>
      </c>
      <c r="I1142" s="7">
        <v>4</v>
      </c>
      <c r="J1142" s="17"/>
      <c r="K1142" s="17"/>
      <c r="L1142" s="7">
        <f>SUM(H1142:K1142)</f>
        <v>4</v>
      </c>
      <c r="M1142" s="8">
        <v>1</v>
      </c>
      <c r="N1142" s="8">
        <f>IF(L1142&gt;0,1,"")</f>
        <v>1</v>
      </c>
      <c r="O1142" s="11" t="s">
        <v>1702</v>
      </c>
      <c r="P1142" s="16" t="str">
        <f>IF(LEN(G1142)=10,CONCATENATE("0",G1142),G1142)</f>
        <v>06-May-1918</v>
      </c>
      <c r="R1142" s="16" t="str">
        <f>IF($L1142&gt;0,"x","")</f>
        <v>x</v>
      </c>
      <c r="S1142" s="16" t="str">
        <f>IF($L1142&gt;0,"x","")</f>
        <v>x</v>
      </c>
      <c r="U1142" s="46" t="str">
        <f t="shared" si="497"/>
        <v/>
      </c>
      <c r="V1142" s="46">
        <f t="shared" si="497"/>
        <v>4</v>
      </c>
      <c r="W1142" s="46" t="str">
        <f t="shared" si="497"/>
        <v/>
      </c>
      <c r="X1142" s="46" t="str">
        <f t="shared" si="497"/>
        <v/>
      </c>
    </row>
    <row r="1143" spans="2:26" x14ac:dyDescent="0.25">
      <c r="N1143" s="8" t="str">
        <f>IF(R1143="x",1,"")</f>
        <v/>
      </c>
      <c r="U1143" s="46" t="str">
        <f t="shared" si="497"/>
        <v/>
      </c>
      <c r="V1143" s="46" t="str">
        <f t="shared" si="497"/>
        <v/>
      </c>
      <c r="W1143" s="46" t="str">
        <f t="shared" si="497"/>
        <v/>
      </c>
      <c r="X1143" s="46" t="str">
        <f t="shared" si="497"/>
        <v/>
      </c>
    </row>
    <row r="1144" spans="2:26" x14ac:dyDescent="0.25">
      <c r="B1144" s="18"/>
      <c r="C1144" s="18"/>
      <c r="D1144" s="18"/>
      <c r="E1144" s="40"/>
      <c r="F1144" s="18"/>
      <c r="G1144" s="40"/>
      <c r="H1144" s="7">
        <f t="shared" ref="H1144:N1144" si="498">SUM(H1142:H1143)</f>
        <v>0</v>
      </c>
      <c r="I1144" s="7">
        <f t="shared" si="498"/>
        <v>4</v>
      </c>
      <c r="J1144" s="7">
        <f>SUM(J1142:J1143)</f>
        <v>0</v>
      </c>
      <c r="K1144" s="7">
        <f t="shared" si="498"/>
        <v>0</v>
      </c>
      <c r="L1144" s="7">
        <f t="shared" si="498"/>
        <v>4</v>
      </c>
      <c r="M1144" s="7">
        <f t="shared" si="498"/>
        <v>1</v>
      </c>
      <c r="N1144" s="7">
        <f t="shared" si="498"/>
        <v>1</v>
      </c>
      <c r="O1144" s="18"/>
      <c r="P1144" s="13"/>
      <c r="Q1144" s="13"/>
      <c r="S1144" s="13"/>
      <c r="T1144" s="15"/>
      <c r="U1144" s="46" t="str">
        <f t="shared" si="497"/>
        <v/>
      </c>
      <c r="V1144" s="46" t="str">
        <f t="shared" si="497"/>
        <v/>
      </c>
      <c r="W1144" s="46" t="str">
        <f t="shared" si="497"/>
        <v/>
      </c>
      <c r="X1144" s="46" t="str">
        <f t="shared" si="497"/>
        <v/>
      </c>
    </row>
    <row r="1145" spans="2:26" x14ac:dyDescent="0.25">
      <c r="B1145" s="18"/>
      <c r="C1145" s="18"/>
      <c r="D1145" s="18"/>
      <c r="E1145" s="40"/>
      <c r="F1145" s="18"/>
      <c r="G1145" s="40"/>
      <c r="N1145" s="8" t="str">
        <f>IF(R1145="x",1,"")</f>
        <v/>
      </c>
      <c r="O1145" s="18"/>
      <c r="P1145" s="13"/>
      <c r="Q1145" s="13"/>
      <c r="R1145" s="13"/>
      <c r="S1145" s="13"/>
      <c r="T1145" s="15"/>
      <c r="U1145" s="46" t="str">
        <f t="shared" si="497"/>
        <v/>
      </c>
      <c r="V1145" s="46" t="str">
        <f t="shared" si="497"/>
        <v/>
      </c>
      <c r="W1145" s="46" t="str">
        <f t="shared" si="497"/>
        <v/>
      </c>
      <c r="X1145" s="46" t="str">
        <f t="shared" si="497"/>
        <v/>
      </c>
    </row>
    <row r="1146" spans="2:26" x14ac:dyDescent="0.25">
      <c r="B1146" s="18"/>
      <c r="C1146" s="18"/>
      <c r="D1146" s="18"/>
      <c r="E1146" s="40"/>
      <c r="F1146" s="18"/>
      <c r="G1146" s="40"/>
      <c r="N1146" s="8" t="str">
        <f>IF(R1146="x",1,"")</f>
        <v/>
      </c>
      <c r="O1146" s="18"/>
      <c r="P1146" s="13"/>
      <c r="Q1146" s="13"/>
      <c r="R1146" s="13"/>
      <c r="S1146" s="13"/>
      <c r="T1146" s="15"/>
      <c r="U1146" s="46" t="str">
        <f t="shared" si="497"/>
        <v/>
      </c>
      <c r="V1146" s="46" t="str">
        <f t="shared" si="497"/>
        <v/>
      </c>
      <c r="W1146" s="46" t="str">
        <f t="shared" si="497"/>
        <v/>
      </c>
      <c r="X1146" s="46" t="str">
        <f t="shared" si="497"/>
        <v/>
      </c>
    </row>
    <row r="1147" spans="2:26" x14ac:dyDescent="0.25">
      <c r="B1147" s="11" t="str">
        <f>CONCATENATE("CHRI","-",LEFT(P1147,2),UPPER(MID(P1147,4,3)),RIGHT(P1147,4))</f>
        <v>CHRI-25FEB1896</v>
      </c>
      <c r="C1147" s="11" t="s">
        <v>117</v>
      </c>
      <c r="D1147" s="11" t="s">
        <v>1699</v>
      </c>
      <c r="F1147" s="11" t="s">
        <v>1700</v>
      </c>
      <c r="G1147" s="39" t="s">
        <v>11333</v>
      </c>
      <c r="J1147" s="17">
        <v>5</v>
      </c>
      <c r="K1147" s="17"/>
      <c r="L1147" s="7">
        <f>SUM(H1147:K1147)</f>
        <v>5</v>
      </c>
      <c r="M1147" s="8">
        <v>1</v>
      </c>
      <c r="N1147" s="8">
        <f>IF(L1147&gt;0,1,"")</f>
        <v>1</v>
      </c>
      <c r="O1147" s="11" t="s">
        <v>1702</v>
      </c>
      <c r="P1147" s="16" t="str">
        <f>IF(LEN(G1147)=10,CONCATENATE("0",G1147),G1147)</f>
        <v>25-Feb-1896</v>
      </c>
      <c r="R1147" s="16" t="str">
        <f>IF($L1147&gt;0,"x","")</f>
        <v>x</v>
      </c>
      <c r="S1147" s="16" t="str">
        <f>IF($L1147&gt;0,"x","")</f>
        <v>x</v>
      </c>
      <c r="U1147" s="46" t="str">
        <f t="shared" si="497"/>
        <v/>
      </c>
      <c r="V1147" s="46">
        <f t="shared" si="497"/>
        <v>5</v>
      </c>
      <c r="W1147" s="46" t="str">
        <f t="shared" si="497"/>
        <v/>
      </c>
      <c r="X1147" s="46" t="str">
        <f t="shared" si="497"/>
        <v/>
      </c>
    </row>
    <row r="1148" spans="2:26" x14ac:dyDescent="0.25">
      <c r="B1148" s="11" t="str">
        <f>CONCATENATE("CHRI","-",LEFT(P1148,2),UPPER(MID(P1148,4,3)),RIGHT(P1148,4))</f>
        <v>CHRI-24JUN1897</v>
      </c>
      <c r="C1148" s="11" t="s">
        <v>117</v>
      </c>
      <c r="D1148" s="11" t="s">
        <v>1699</v>
      </c>
      <c r="E1148" s="39" t="s">
        <v>11148</v>
      </c>
      <c r="F1148" s="11" t="s">
        <v>1700</v>
      </c>
      <c r="G1148" s="39" t="s">
        <v>191</v>
      </c>
      <c r="J1148" s="17">
        <v>5</v>
      </c>
      <c r="K1148" s="17"/>
      <c r="L1148" s="7">
        <f>SUM(H1148:K1148)</f>
        <v>5</v>
      </c>
      <c r="M1148" s="8">
        <v>1</v>
      </c>
      <c r="N1148" s="8">
        <f>IF(L1148&gt;0,1,"")</f>
        <v>1</v>
      </c>
      <c r="O1148" s="11" t="s">
        <v>1702</v>
      </c>
      <c r="P1148" s="16" t="str">
        <f>IF(LEN(G1148)=10,CONCATENATE("0",G1148),G1148)</f>
        <v>24-Jun-1897</v>
      </c>
      <c r="R1148" s="16" t="str">
        <f>IF($L1148&gt;0,"x","")</f>
        <v>x</v>
      </c>
      <c r="S1148" s="16" t="str">
        <f>IF($L1148&gt;0,"x","")</f>
        <v>x</v>
      </c>
      <c r="U1148" s="46" t="str">
        <f t="shared" si="497"/>
        <v/>
      </c>
      <c r="V1148" s="46">
        <f t="shared" si="497"/>
        <v>5</v>
      </c>
      <c r="W1148" s="46" t="str">
        <f t="shared" si="497"/>
        <v/>
      </c>
      <c r="X1148" s="46" t="str">
        <f t="shared" si="497"/>
        <v/>
      </c>
    </row>
    <row r="1149" spans="2:26" x14ac:dyDescent="0.25">
      <c r="N1149" s="8" t="str">
        <f>IF(R1149="x",1,"")</f>
        <v/>
      </c>
      <c r="U1149" s="46" t="str">
        <f t="shared" si="497"/>
        <v/>
      </c>
      <c r="V1149" s="46" t="str">
        <f t="shared" si="497"/>
        <v/>
      </c>
      <c r="W1149" s="46" t="str">
        <f t="shared" si="497"/>
        <v/>
      </c>
      <c r="X1149" s="46" t="str">
        <f t="shared" si="497"/>
        <v/>
      </c>
    </row>
    <row r="1150" spans="2:26" x14ac:dyDescent="0.25">
      <c r="B1150" s="18"/>
      <c r="C1150" s="18"/>
      <c r="D1150" s="18"/>
      <c r="E1150" s="40"/>
      <c r="F1150" s="18"/>
      <c r="G1150" s="40"/>
      <c r="H1150" s="7">
        <f t="shared" ref="H1150:N1150" si="499">SUM(H1147:H1149)</f>
        <v>0</v>
      </c>
      <c r="I1150" s="7">
        <f t="shared" si="499"/>
        <v>0</v>
      </c>
      <c r="J1150" s="7">
        <f>SUM(J1147:J1149)</f>
        <v>10</v>
      </c>
      <c r="K1150" s="7">
        <f t="shared" si="499"/>
        <v>0</v>
      </c>
      <c r="L1150" s="7">
        <f t="shared" si="499"/>
        <v>10</v>
      </c>
      <c r="M1150" s="7">
        <f t="shared" si="499"/>
        <v>2</v>
      </c>
      <c r="N1150" s="7">
        <f t="shared" si="499"/>
        <v>2</v>
      </c>
      <c r="O1150" s="18"/>
      <c r="P1150" s="13"/>
      <c r="Q1150" s="13"/>
      <c r="S1150" s="13"/>
      <c r="T1150" s="15"/>
      <c r="U1150" s="46" t="str">
        <f t="shared" si="497"/>
        <v/>
      </c>
      <c r="V1150" s="46" t="str">
        <f t="shared" si="497"/>
        <v/>
      </c>
      <c r="W1150" s="46" t="str">
        <f t="shared" si="497"/>
        <v/>
      </c>
      <c r="X1150" s="46" t="str">
        <f t="shared" si="497"/>
        <v/>
      </c>
    </row>
    <row r="1151" spans="2:26" x14ac:dyDescent="0.25">
      <c r="B1151" s="18"/>
      <c r="C1151" s="18"/>
      <c r="D1151" s="18"/>
      <c r="E1151" s="40"/>
      <c r="F1151" s="18"/>
      <c r="G1151" s="40"/>
      <c r="N1151" s="8" t="str">
        <f>IF(R1151="x",1,"")</f>
        <v/>
      </c>
      <c r="O1151" s="18"/>
      <c r="P1151" s="13"/>
      <c r="Q1151" s="13"/>
      <c r="R1151" s="13"/>
      <c r="S1151" s="13"/>
      <c r="T1151" s="15"/>
      <c r="U1151" s="46" t="str">
        <f t="shared" si="497"/>
        <v/>
      </c>
      <c r="V1151" s="46" t="str">
        <f t="shared" si="497"/>
        <v/>
      </c>
      <c r="W1151" s="46" t="str">
        <f t="shared" si="497"/>
        <v/>
      </c>
      <c r="X1151" s="46" t="str">
        <f t="shared" si="497"/>
        <v/>
      </c>
    </row>
    <row r="1152" spans="2:26" x14ac:dyDescent="0.25">
      <c r="B1152" s="18"/>
      <c r="C1152" s="18"/>
      <c r="D1152" s="18"/>
      <c r="E1152" s="40"/>
      <c r="F1152" s="18"/>
      <c r="G1152" s="40"/>
      <c r="N1152" s="8" t="str">
        <f>IF(R1152="x",1,"")</f>
        <v/>
      </c>
      <c r="O1152" s="18"/>
      <c r="P1152" s="13"/>
      <c r="Q1152" s="13"/>
      <c r="R1152" s="13"/>
      <c r="S1152" s="13"/>
      <c r="T1152" s="15"/>
      <c r="U1152" s="46" t="str">
        <f t="shared" si="497"/>
        <v/>
      </c>
      <c r="V1152" s="46" t="str">
        <f t="shared" si="497"/>
        <v/>
      </c>
      <c r="W1152" s="46" t="str">
        <f t="shared" si="497"/>
        <v/>
      </c>
      <c r="X1152" s="46" t="str">
        <f t="shared" si="497"/>
        <v/>
      </c>
    </row>
    <row r="1153" spans="2:24" x14ac:dyDescent="0.25">
      <c r="B1153" s="11" t="str">
        <f>CONCATENATE("CINC","-",LEFT(P1153,2),UPPER(MID(P1153,4,3)),RIGHT(P1153,4))</f>
        <v>CINC-27JUN1912</v>
      </c>
      <c r="C1153" s="11" t="s">
        <v>5160</v>
      </c>
      <c r="D1153" s="11" t="s">
        <v>3134</v>
      </c>
      <c r="E1153" s="39" t="s">
        <v>3131</v>
      </c>
      <c r="F1153" s="11" t="s">
        <v>1700</v>
      </c>
      <c r="G1153" s="39" t="s">
        <v>5227</v>
      </c>
      <c r="H1153" s="7">
        <v>1</v>
      </c>
      <c r="I1153" s="7">
        <v>0</v>
      </c>
      <c r="J1153" s="17">
        <v>7</v>
      </c>
      <c r="K1153" s="17"/>
      <c r="L1153" s="7">
        <f>SUM(H1153:K1153)</f>
        <v>8</v>
      </c>
      <c r="M1153" s="8">
        <v>1</v>
      </c>
      <c r="N1153" s="8">
        <f>IF(L1153&gt;0,1,"")</f>
        <v>1</v>
      </c>
      <c r="O1153" s="11" t="s">
        <v>1702</v>
      </c>
      <c r="P1153" s="16" t="str">
        <f>IF(LEN(G1153)=10,CONCATENATE("0",G1153),G1153)</f>
        <v>27-Jun-1912</v>
      </c>
      <c r="R1153" s="16" t="str">
        <f>IF($L1153&gt;0,"x","")</f>
        <v>x</v>
      </c>
      <c r="S1153" s="16" t="str">
        <f>IF($L1153&gt;0,"x","")</f>
        <v>x</v>
      </c>
      <c r="U1153" s="46" t="str">
        <f t="shared" si="497"/>
        <v/>
      </c>
      <c r="V1153" s="46">
        <f t="shared" si="497"/>
        <v>8</v>
      </c>
      <c r="W1153" s="46" t="str">
        <f t="shared" si="497"/>
        <v/>
      </c>
      <c r="X1153" s="46" t="str">
        <f t="shared" si="497"/>
        <v/>
      </c>
    </row>
    <row r="1154" spans="2:24" x14ac:dyDescent="0.25">
      <c r="N1154" s="8" t="str">
        <f>IF(R1154="x",1,"")</f>
        <v/>
      </c>
      <c r="U1154" s="46" t="str">
        <f t="shared" si="497"/>
        <v/>
      </c>
      <c r="V1154" s="46" t="str">
        <f t="shared" si="497"/>
        <v/>
      </c>
      <c r="W1154" s="46" t="str">
        <f t="shared" si="497"/>
        <v/>
      </c>
      <c r="X1154" s="46" t="str">
        <f t="shared" si="497"/>
        <v/>
      </c>
    </row>
    <row r="1155" spans="2:24" x14ac:dyDescent="0.25">
      <c r="B1155" s="18"/>
      <c r="C1155" s="18"/>
      <c r="D1155" s="18"/>
      <c r="E1155" s="40"/>
      <c r="F1155" s="18"/>
      <c r="G1155" s="40"/>
      <c r="H1155" s="7">
        <f t="shared" ref="H1155:N1155" si="500">SUM(H1153:H1154)</f>
        <v>1</v>
      </c>
      <c r="I1155" s="7">
        <f t="shared" si="500"/>
        <v>0</v>
      </c>
      <c r="J1155" s="7">
        <f>SUM(J1153:J1154)</f>
        <v>7</v>
      </c>
      <c r="K1155" s="7">
        <f t="shared" si="500"/>
        <v>0</v>
      </c>
      <c r="L1155" s="7">
        <f t="shared" si="500"/>
        <v>8</v>
      </c>
      <c r="M1155" s="7">
        <f t="shared" si="500"/>
        <v>1</v>
      </c>
      <c r="N1155" s="7">
        <f t="shared" si="500"/>
        <v>1</v>
      </c>
      <c r="O1155" s="18"/>
      <c r="P1155" s="13"/>
      <c r="Q1155" s="13"/>
      <c r="S1155" s="13"/>
      <c r="T1155" s="15"/>
      <c r="U1155" s="46" t="str">
        <f t="shared" si="497"/>
        <v/>
      </c>
      <c r="V1155" s="46" t="str">
        <f t="shared" si="497"/>
        <v/>
      </c>
      <c r="W1155" s="46" t="str">
        <f t="shared" si="497"/>
        <v/>
      </c>
      <c r="X1155" s="46" t="str">
        <f t="shared" si="497"/>
        <v/>
      </c>
    </row>
    <row r="1156" spans="2:24" x14ac:dyDescent="0.25">
      <c r="B1156" s="18"/>
      <c r="C1156" s="18"/>
      <c r="D1156" s="18"/>
      <c r="E1156" s="40"/>
      <c r="F1156" s="18"/>
      <c r="G1156" s="40"/>
      <c r="N1156" s="8" t="str">
        <f>IF(R1156="x",1,"")</f>
        <v/>
      </c>
      <c r="O1156" s="18"/>
      <c r="P1156" s="13"/>
      <c r="Q1156" s="13"/>
      <c r="R1156" s="13"/>
      <c r="S1156" s="13"/>
      <c r="T1156" s="15"/>
      <c r="U1156" s="46" t="str">
        <f t="shared" ref="U1156:X1160" si="501">IF($O1156=U$5,$L1156,"")</f>
        <v/>
      </c>
      <c r="V1156" s="46" t="str">
        <f t="shared" si="501"/>
        <v/>
      </c>
      <c r="W1156" s="46" t="str">
        <f t="shared" si="501"/>
        <v/>
      </c>
      <c r="X1156" s="46" t="str">
        <f t="shared" si="501"/>
        <v/>
      </c>
    </row>
    <row r="1157" spans="2:24" x14ac:dyDescent="0.25">
      <c r="B1157" s="18"/>
      <c r="C1157" s="18"/>
      <c r="D1157" s="18"/>
      <c r="E1157" s="40"/>
      <c r="F1157" s="18"/>
      <c r="G1157" s="40"/>
      <c r="N1157" s="8" t="str">
        <f>IF(R1157="x",1,"")</f>
        <v/>
      </c>
      <c r="O1157" s="18"/>
      <c r="P1157" s="13"/>
      <c r="Q1157" s="13"/>
      <c r="R1157" s="13"/>
      <c r="S1157" s="13"/>
      <c r="T1157" s="15"/>
      <c r="U1157" s="46" t="str">
        <f t="shared" si="501"/>
        <v/>
      </c>
      <c r="V1157" s="46" t="str">
        <f t="shared" si="501"/>
        <v/>
      </c>
      <c r="W1157" s="46" t="str">
        <f t="shared" si="501"/>
        <v/>
      </c>
      <c r="X1157" s="46" t="str">
        <f t="shared" si="501"/>
        <v/>
      </c>
    </row>
    <row r="1158" spans="2:24" x14ac:dyDescent="0.25">
      <c r="B1158" s="11" t="str">
        <f>CONCATENATE("CGEN","-",LEFT(P1158,2),UPPER(MID(P1158,4,3)),RIGHT(P1158,4))</f>
        <v>CGEN-05MAY1903</v>
      </c>
      <c r="C1158" s="11" t="s">
        <v>4675</v>
      </c>
      <c r="D1158" s="11" t="s">
        <v>3007</v>
      </c>
      <c r="E1158" s="39" t="s">
        <v>4676</v>
      </c>
      <c r="F1158" s="11" t="s">
        <v>1700</v>
      </c>
      <c r="G1158" s="39" t="s">
        <v>4677</v>
      </c>
      <c r="H1158" s="7">
        <v>0</v>
      </c>
      <c r="I1158" s="7">
        <v>0</v>
      </c>
      <c r="J1158" s="17">
        <v>1</v>
      </c>
      <c r="K1158" s="17"/>
      <c r="L1158" s="7">
        <f>SUM(H1158:K1158)</f>
        <v>1</v>
      </c>
      <c r="M1158" s="8">
        <v>1</v>
      </c>
      <c r="N1158" s="8">
        <f>IF(L1158&gt;0,1,"")</f>
        <v>1</v>
      </c>
      <c r="O1158" s="11" t="s">
        <v>1702</v>
      </c>
      <c r="P1158" s="16" t="str">
        <f>IF(LEN(G1158)=10,CONCATENATE("0",G1158),G1158)</f>
        <v>05-May-1903</v>
      </c>
      <c r="R1158" s="16" t="str">
        <f>IF($L1158&gt;0,"x","")</f>
        <v>x</v>
      </c>
      <c r="S1158" s="16" t="str">
        <f>IF($L1158&gt;0,"x","")</f>
        <v>x</v>
      </c>
      <c r="U1158" s="46" t="str">
        <f t="shared" si="501"/>
        <v/>
      </c>
      <c r="V1158" s="46">
        <f t="shared" si="501"/>
        <v>1</v>
      </c>
      <c r="W1158" s="46" t="str">
        <f t="shared" si="501"/>
        <v/>
      </c>
      <c r="X1158" s="46" t="str">
        <f t="shared" si="501"/>
        <v/>
      </c>
    </row>
    <row r="1159" spans="2:24" x14ac:dyDescent="0.25">
      <c r="N1159" s="8" t="str">
        <f>IF(R1159="x",1,"")</f>
        <v/>
      </c>
      <c r="U1159" s="46" t="str">
        <f t="shared" si="501"/>
        <v/>
      </c>
      <c r="V1159" s="46" t="str">
        <f t="shared" si="501"/>
        <v/>
      </c>
      <c r="W1159" s="46" t="str">
        <f t="shared" si="501"/>
        <v/>
      </c>
      <c r="X1159" s="46" t="str">
        <f t="shared" si="501"/>
        <v/>
      </c>
    </row>
    <row r="1160" spans="2:24" x14ac:dyDescent="0.25">
      <c r="B1160" s="18"/>
      <c r="C1160" s="18"/>
      <c r="D1160" s="18"/>
      <c r="E1160" s="40"/>
      <c r="F1160" s="18"/>
      <c r="G1160" s="40"/>
      <c r="H1160" s="7">
        <f t="shared" ref="H1160:N1160" si="502">SUM(H1158:H1159)</f>
        <v>0</v>
      </c>
      <c r="I1160" s="7">
        <f t="shared" si="502"/>
        <v>0</v>
      </c>
      <c r="J1160" s="7">
        <f>SUM(J1158:J1159)</f>
        <v>1</v>
      </c>
      <c r="K1160" s="7">
        <f t="shared" si="502"/>
        <v>0</v>
      </c>
      <c r="L1160" s="7">
        <f t="shared" si="502"/>
        <v>1</v>
      </c>
      <c r="M1160" s="7">
        <f t="shared" si="502"/>
        <v>1</v>
      </c>
      <c r="N1160" s="7">
        <f t="shared" si="502"/>
        <v>1</v>
      </c>
      <c r="O1160" s="18"/>
      <c r="P1160" s="13"/>
      <c r="Q1160" s="13"/>
      <c r="S1160" s="13"/>
      <c r="T1160" s="15"/>
      <c r="U1160" s="46" t="str">
        <f t="shared" si="501"/>
        <v/>
      </c>
      <c r="V1160" s="46" t="str">
        <f t="shared" si="501"/>
        <v/>
      </c>
      <c r="W1160" s="46" t="str">
        <f t="shared" si="501"/>
        <v/>
      </c>
      <c r="X1160" s="46" t="str">
        <f t="shared" si="501"/>
        <v/>
      </c>
    </row>
    <row r="1161" spans="2:24" x14ac:dyDescent="0.25">
      <c r="B1161" s="18"/>
      <c r="C1161" s="18"/>
      <c r="D1161" s="18"/>
      <c r="E1161" s="40"/>
      <c r="F1161" s="18"/>
      <c r="G1161" s="40"/>
      <c r="N1161" s="8" t="str">
        <f>IF(R1161="x",1,"")</f>
        <v/>
      </c>
      <c r="O1161" s="18"/>
      <c r="P1161" s="13"/>
      <c r="Q1161" s="13"/>
      <c r="R1161" s="13"/>
      <c r="S1161" s="13"/>
      <c r="T1161" s="15"/>
      <c r="U1161" s="46" t="str">
        <f t="shared" si="475"/>
        <v/>
      </c>
      <c r="V1161" s="46" t="str">
        <f t="shared" si="475"/>
        <v/>
      </c>
      <c r="W1161" s="46" t="str">
        <f t="shared" si="475"/>
        <v/>
      </c>
      <c r="X1161" s="46" t="str">
        <f>IF($O1161=X$5,$L1161,"")</f>
        <v/>
      </c>
    </row>
    <row r="1162" spans="2:24" x14ac:dyDescent="0.25">
      <c r="B1162" s="18"/>
      <c r="C1162" s="18"/>
      <c r="D1162" s="18"/>
      <c r="E1162" s="40"/>
      <c r="F1162" s="18"/>
      <c r="G1162" s="40"/>
      <c r="N1162" s="8" t="str">
        <f>IF(R1162="x",1,"")</f>
        <v/>
      </c>
      <c r="O1162" s="18"/>
      <c r="P1162" s="13"/>
      <c r="Q1162" s="13"/>
      <c r="R1162" s="13"/>
      <c r="S1162" s="13"/>
      <c r="T1162" s="15"/>
      <c r="U1162" s="46" t="str">
        <f t="shared" ref="U1162:X1270" si="503">IF($O1162=U$5,$L1162,"")</f>
        <v/>
      </c>
      <c r="V1162" s="46" t="str">
        <f t="shared" si="503"/>
        <v/>
      </c>
      <c r="W1162" s="46" t="str">
        <f t="shared" si="503"/>
        <v/>
      </c>
      <c r="X1162" s="46" t="str">
        <f t="shared" si="503"/>
        <v/>
      </c>
    </row>
    <row r="1163" spans="2:24" x14ac:dyDescent="0.25">
      <c r="B1163" s="11" t="str">
        <f>CONCATENATE("CNAP","-",LEFT(P1163,2),UPPER(MID(P1163,4,3)),RIGHT(P1163,4))</f>
        <v>CNAP-18AUG1905</v>
      </c>
      <c r="C1163" s="11" t="s">
        <v>3575</v>
      </c>
      <c r="D1163" s="11" t="s">
        <v>3217</v>
      </c>
      <c r="E1163" s="39" t="s">
        <v>3577</v>
      </c>
      <c r="F1163" s="11" t="s">
        <v>1700</v>
      </c>
      <c r="G1163" s="39" t="s">
        <v>3576</v>
      </c>
      <c r="J1163" s="17">
        <v>6</v>
      </c>
      <c r="K1163" s="17"/>
      <c r="L1163" s="7">
        <f>SUM(H1163:K1163)</f>
        <v>6</v>
      </c>
      <c r="M1163" s="8">
        <v>1</v>
      </c>
      <c r="N1163" s="8">
        <f>IF(L1163&gt;0,1,"")</f>
        <v>1</v>
      </c>
      <c r="O1163" s="11" t="s">
        <v>1702</v>
      </c>
      <c r="P1163" s="16" t="str">
        <f>IF(LEN(G1163)=10,CONCATENATE("0",G1163),G1163)</f>
        <v>18-Aug-1905</v>
      </c>
      <c r="R1163" s="16" t="str">
        <f>IF($L1163&gt;0,"x","")</f>
        <v>x</v>
      </c>
      <c r="S1163" s="16" t="str">
        <f>IF($L1163&gt;0,"x","")</f>
        <v>x</v>
      </c>
      <c r="U1163" s="46" t="str">
        <f t="shared" si="503"/>
        <v/>
      </c>
      <c r="V1163" s="46">
        <f t="shared" si="503"/>
        <v>6</v>
      </c>
      <c r="W1163" s="46" t="str">
        <f t="shared" si="503"/>
        <v/>
      </c>
      <c r="X1163" s="46" t="str">
        <f t="shared" si="503"/>
        <v/>
      </c>
    </row>
    <row r="1164" spans="2:24" x14ac:dyDescent="0.25">
      <c r="N1164" s="8" t="str">
        <f>IF(R1164="x",1,"")</f>
        <v/>
      </c>
      <c r="U1164" s="46" t="str">
        <f t="shared" si="503"/>
        <v/>
      </c>
      <c r="V1164" s="46" t="str">
        <f t="shared" si="503"/>
        <v/>
      </c>
      <c r="W1164" s="46" t="str">
        <f t="shared" si="503"/>
        <v/>
      </c>
      <c r="X1164" s="46" t="str">
        <f t="shared" si="503"/>
        <v/>
      </c>
    </row>
    <row r="1165" spans="2:24" x14ac:dyDescent="0.25">
      <c r="B1165" s="18"/>
      <c r="C1165" s="18"/>
      <c r="D1165" s="18"/>
      <c r="E1165" s="40"/>
      <c r="F1165" s="18"/>
      <c r="G1165" s="40"/>
      <c r="H1165" s="7">
        <f t="shared" ref="H1165:N1165" si="504">SUM(H1163:H1164)</f>
        <v>0</v>
      </c>
      <c r="I1165" s="7">
        <f t="shared" si="504"/>
        <v>0</v>
      </c>
      <c r="J1165" s="7">
        <f>SUM(J1163:J1164)</f>
        <v>6</v>
      </c>
      <c r="K1165" s="7">
        <f t="shared" si="504"/>
        <v>0</v>
      </c>
      <c r="L1165" s="7">
        <f t="shared" si="504"/>
        <v>6</v>
      </c>
      <c r="M1165" s="7">
        <f t="shared" si="504"/>
        <v>1</v>
      </c>
      <c r="N1165" s="7">
        <f t="shared" si="504"/>
        <v>1</v>
      </c>
      <c r="O1165" s="18"/>
      <c r="P1165" s="13"/>
      <c r="Q1165" s="13"/>
      <c r="S1165" s="13"/>
      <c r="T1165" s="15"/>
      <c r="U1165" s="46" t="str">
        <f t="shared" si="503"/>
        <v/>
      </c>
      <c r="V1165" s="46" t="str">
        <f t="shared" si="503"/>
        <v/>
      </c>
      <c r="W1165" s="46" t="str">
        <f t="shared" si="503"/>
        <v/>
      </c>
      <c r="X1165" s="46" t="str">
        <f t="shared" si="503"/>
        <v/>
      </c>
    </row>
    <row r="1166" spans="2:24" x14ac:dyDescent="0.25">
      <c r="B1166" s="18"/>
      <c r="C1166" s="18"/>
      <c r="D1166" s="18"/>
      <c r="E1166" s="40"/>
      <c r="F1166" s="18"/>
      <c r="G1166" s="40"/>
      <c r="N1166" s="8" t="str">
        <f>IF(R1166="x",1,"")</f>
        <v/>
      </c>
      <c r="O1166" s="18"/>
      <c r="P1166" s="13"/>
      <c r="Q1166" s="13"/>
      <c r="R1166" s="13"/>
      <c r="S1166" s="13"/>
      <c r="T1166" s="15"/>
      <c r="U1166" s="46" t="str">
        <f t="shared" si="503"/>
        <v/>
      </c>
      <c r="V1166" s="46" t="str">
        <f t="shared" si="503"/>
        <v/>
      </c>
      <c r="W1166" s="46" t="str">
        <f t="shared" si="503"/>
        <v/>
      </c>
      <c r="X1166" s="46" t="str">
        <f t="shared" si="503"/>
        <v/>
      </c>
    </row>
    <row r="1167" spans="2:24" x14ac:dyDescent="0.25">
      <c r="B1167" s="18"/>
      <c r="C1167" s="18"/>
      <c r="D1167" s="18"/>
      <c r="E1167" s="40"/>
      <c r="F1167" s="18"/>
      <c r="G1167" s="40"/>
      <c r="N1167" s="8" t="str">
        <f>IF(R1167="x",1,"")</f>
        <v/>
      </c>
      <c r="O1167" s="18"/>
      <c r="P1167" s="13"/>
      <c r="Q1167" s="13"/>
      <c r="R1167" s="13"/>
      <c r="S1167" s="13"/>
      <c r="T1167" s="15"/>
      <c r="U1167" s="46" t="str">
        <f t="shared" si="503"/>
        <v/>
      </c>
      <c r="V1167" s="46" t="str">
        <f t="shared" si="503"/>
        <v/>
      </c>
      <c r="W1167" s="46" t="str">
        <f t="shared" si="503"/>
        <v/>
      </c>
      <c r="X1167" s="46" t="str">
        <f t="shared" si="503"/>
        <v/>
      </c>
    </row>
    <row r="1168" spans="2:24" x14ac:dyDescent="0.25">
      <c r="B1168" s="11" t="str">
        <f>CONCATENATE("CTOR","-",LEFT(P1168,2),UPPER(MID(P1168,4,3)),RIGHT(P1168,4))</f>
        <v>CTOR-04JUN1904</v>
      </c>
      <c r="C1168" s="11" t="s">
        <v>3825</v>
      </c>
      <c r="D1168" s="11" t="s">
        <v>3007</v>
      </c>
      <c r="E1168" s="39" t="s">
        <v>3826</v>
      </c>
      <c r="F1168" s="11" t="s">
        <v>1700</v>
      </c>
      <c r="G1168" s="39" t="s">
        <v>1658</v>
      </c>
      <c r="H1168" s="7">
        <v>0</v>
      </c>
      <c r="I1168" s="7">
        <v>0</v>
      </c>
      <c r="J1168" s="17">
        <v>2</v>
      </c>
      <c r="K1168" s="17"/>
      <c r="L1168" s="7">
        <f>SUM(H1168:K1168)</f>
        <v>2</v>
      </c>
      <c r="M1168" s="8">
        <v>1</v>
      </c>
      <c r="N1168" s="8">
        <f>IF(L1168&gt;0,1,"")</f>
        <v>1</v>
      </c>
      <c r="O1168" s="11" t="s">
        <v>1702</v>
      </c>
      <c r="P1168" s="16" t="str">
        <f>IF(LEN(G1168)=10,CONCATENATE("0",G1168),G1168)</f>
        <v>04-Jun-1904</v>
      </c>
      <c r="R1168" s="16" t="str">
        <f t="shared" ref="R1168:S1170" si="505">IF($L1168&gt;0,"x","")</f>
        <v>x</v>
      </c>
      <c r="S1168" s="16" t="str">
        <f t="shared" si="505"/>
        <v>x</v>
      </c>
      <c r="U1168" s="46" t="str">
        <f t="shared" si="503"/>
        <v/>
      </c>
      <c r="V1168" s="46">
        <f t="shared" si="503"/>
        <v>2</v>
      </c>
      <c r="W1168" s="46" t="str">
        <f t="shared" si="503"/>
        <v/>
      </c>
      <c r="X1168" s="46" t="str">
        <f t="shared" si="503"/>
        <v/>
      </c>
    </row>
    <row r="1169" spans="2:24" x14ac:dyDescent="0.25">
      <c r="B1169" s="11" t="str">
        <f>CONCATENATE("CTOR","-",LEFT(P1169,2),UPPER(MID(P1169,4,3)),RIGHT(P1169,4))</f>
        <v>CTOR-10SEP1904</v>
      </c>
      <c r="C1169" s="11" t="s">
        <v>3825</v>
      </c>
      <c r="D1169" s="11" t="s">
        <v>3007</v>
      </c>
      <c r="E1169" s="39" t="s">
        <v>5594</v>
      </c>
      <c r="F1169" s="11" t="s">
        <v>1700</v>
      </c>
      <c r="G1169" s="39" t="s">
        <v>1671</v>
      </c>
      <c r="H1169" s="7">
        <v>0</v>
      </c>
      <c r="J1169" s="17">
        <v>5</v>
      </c>
      <c r="K1169" s="17"/>
      <c r="L1169" s="7">
        <f>SUM(H1169:K1169)</f>
        <v>5</v>
      </c>
      <c r="M1169" s="8">
        <v>1</v>
      </c>
      <c r="N1169" s="8">
        <f>IF(L1169&gt;0,1,"")</f>
        <v>1</v>
      </c>
      <c r="O1169" s="11" t="s">
        <v>1702</v>
      </c>
      <c r="P1169" s="16" t="str">
        <f>IF(LEN(G1169)=10,CONCATENATE("0",G1169),G1169)</f>
        <v>10-Sep-1904</v>
      </c>
      <c r="R1169" s="16" t="str">
        <f t="shared" si="505"/>
        <v>x</v>
      </c>
      <c r="S1169" s="16" t="str">
        <f t="shared" si="505"/>
        <v>x</v>
      </c>
      <c r="U1169" s="46" t="str">
        <f t="shared" ref="U1169:X1170" si="506">IF($O1169=U$5,$L1169,"")</f>
        <v/>
      </c>
      <c r="V1169" s="46">
        <f t="shared" si="506"/>
        <v>5</v>
      </c>
      <c r="W1169" s="46" t="str">
        <f t="shared" si="506"/>
        <v/>
      </c>
      <c r="X1169" s="46" t="str">
        <f t="shared" si="506"/>
        <v/>
      </c>
    </row>
    <row r="1170" spans="2:24" x14ac:dyDescent="0.25">
      <c r="B1170" s="11" t="str">
        <f>CONCATENATE("CTOR","-",LEFT(P1170,2),UPPER(MID(P1170,4,3)),RIGHT(P1170,4))</f>
        <v>CTOR-08OCT1907</v>
      </c>
      <c r="C1170" s="11" t="s">
        <v>3825</v>
      </c>
      <c r="D1170" s="11" t="s">
        <v>3007</v>
      </c>
      <c r="E1170" s="39" t="s">
        <v>5152</v>
      </c>
      <c r="F1170" s="11" t="s">
        <v>1700</v>
      </c>
      <c r="G1170" s="39" t="s">
        <v>5065</v>
      </c>
      <c r="H1170" s="7">
        <v>0</v>
      </c>
      <c r="J1170" s="17">
        <v>9</v>
      </c>
      <c r="K1170" s="17"/>
      <c r="L1170" s="7">
        <f>SUM(H1170:K1170)</f>
        <v>9</v>
      </c>
      <c r="M1170" s="8">
        <v>1</v>
      </c>
      <c r="N1170" s="8">
        <f>IF(L1170&gt;0,1,"")</f>
        <v>1</v>
      </c>
      <c r="O1170" s="11" t="s">
        <v>1702</v>
      </c>
      <c r="P1170" s="16" t="str">
        <f>IF(LEN(G1170)=10,CONCATENATE("0",G1170),G1170)</f>
        <v>08-Oct-1907</v>
      </c>
      <c r="R1170" s="16" t="str">
        <f t="shared" si="505"/>
        <v>x</v>
      </c>
      <c r="S1170" s="16" t="str">
        <f t="shared" si="505"/>
        <v>x</v>
      </c>
      <c r="U1170" s="46" t="str">
        <f t="shared" si="506"/>
        <v/>
      </c>
      <c r="V1170" s="46">
        <f t="shared" si="506"/>
        <v>9</v>
      </c>
      <c r="W1170" s="46" t="str">
        <f t="shared" si="506"/>
        <v/>
      </c>
      <c r="X1170" s="46" t="str">
        <f t="shared" si="506"/>
        <v/>
      </c>
    </row>
    <row r="1171" spans="2:24" x14ac:dyDescent="0.25">
      <c r="N1171" s="8" t="str">
        <f>IF(R1171="x",1,"")</f>
        <v/>
      </c>
      <c r="U1171" s="46" t="str">
        <f t="shared" si="503"/>
        <v/>
      </c>
      <c r="V1171" s="46" t="str">
        <f t="shared" si="503"/>
        <v/>
      </c>
      <c r="W1171" s="46" t="str">
        <f t="shared" si="503"/>
        <v/>
      </c>
      <c r="X1171" s="46" t="str">
        <f t="shared" si="503"/>
        <v/>
      </c>
    </row>
    <row r="1172" spans="2:24" x14ac:dyDescent="0.25">
      <c r="B1172" s="18"/>
      <c r="C1172" s="18"/>
      <c r="D1172" s="18"/>
      <c r="E1172" s="40"/>
      <c r="F1172" s="18"/>
      <c r="G1172" s="40"/>
      <c r="H1172" s="7">
        <f t="shared" ref="H1172:N1172" si="507">SUM(H1168:H1171)</f>
        <v>0</v>
      </c>
      <c r="I1172" s="7">
        <f t="shared" si="507"/>
        <v>0</v>
      </c>
      <c r="J1172" s="7">
        <f>SUM(J1168:J1171)</f>
        <v>16</v>
      </c>
      <c r="K1172" s="7">
        <f t="shared" si="507"/>
        <v>0</v>
      </c>
      <c r="L1172" s="7">
        <f t="shared" si="507"/>
        <v>16</v>
      </c>
      <c r="M1172" s="7">
        <f t="shared" si="507"/>
        <v>3</v>
      </c>
      <c r="N1172" s="7">
        <f t="shared" si="507"/>
        <v>3</v>
      </c>
      <c r="O1172" s="18"/>
      <c r="P1172" s="13"/>
      <c r="Q1172" s="13"/>
      <c r="S1172" s="13"/>
      <c r="T1172" s="15"/>
      <c r="U1172" s="46" t="str">
        <f t="shared" si="503"/>
        <v/>
      </c>
      <c r="V1172" s="46" t="str">
        <f t="shared" si="503"/>
        <v/>
      </c>
      <c r="W1172" s="46" t="str">
        <f t="shared" si="503"/>
        <v/>
      </c>
      <c r="X1172" s="46" t="str">
        <f t="shared" si="503"/>
        <v/>
      </c>
    </row>
    <row r="1173" spans="2:24" x14ac:dyDescent="0.25">
      <c r="B1173" s="18"/>
      <c r="C1173" s="18"/>
      <c r="D1173" s="18"/>
      <c r="E1173" s="40"/>
      <c r="F1173" s="18"/>
      <c r="G1173" s="40"/>
      <c r="N1173" s="8" t="str">
        <f>IF(R1173="x",1,"")</f>
        <v/>
      </c>
      <c r="O1173" s="18"/>
      <c r="P1173" s="13"/>
      <c r="Q1173" s="13"/>
      <c r="R1173" s="13"/>
      <c r="S1173" s="13"/>
      <c r="T1173" s="15"/>
      <c r="U1173" s="46" t="str">
        <f t="shared" ref="U1173:X1182" si="508">IF($O1173=U$5,$L1173,"")</f>
        <v/>
      </c>
      <c r="V1173" s="46" t="str">
        <f t="shared" si="508"/>
        <v/>
      </c>
      <c r="W1173" s="46" t="str">
        <f t="shared" si="508"/>
        <v/>
      </c>
      <c r="X1173" s="46" t="str">
        <f t="shared" si="508"/>
        <v/>
      </c>
    </row>
    <row r="1174" spans="2:24" x14ac:dyDescent="0.25">
      <c r="B1174" s="18"/>
      <c r="C1174" s="18"/>
      <c r="D1174" s="18"/>
      <c r="E1174" s="40"/>
      <c r="F1174" s="18"/>
      <c r="G1174" s="40"/>
      <c r="N1174" s="8" t="str">
        <f>IF(R1174="x",1,"")</f>
        <v/>
      </c>
      <c r="O1174" s="18"/>
      <c r="P1174" s="13"/>
      <c r="Q1174" s="13"/>
      <c r="R1174" s="13"/>
      <c r="S1174" s="13"/>
      <c r="T1174" s="15"/>
      <c r="U1174" s="46" t="str">
        <f t="shared" si="508"/>
        <v/>
      </c>
      <c r="V1174" s="46" t="str">
        <f t="shared" si="508"/>
        <v/>
      </c>
      <c r="W1174" s="46" t="str">
        <f t="shared" si="508"/>
        <v/>
      </c>
      <c r="X1174" s="46" t="str">
        <f t="shared" si="508"/>
        <v/>
      </c>
    </row>
    <row r="1175" spans="2:24" x14ac:dyDescent="0.25">
      <c r="B1175" s="11" t="str">
        <f>CONCATENATE("CBOM","-",LEFT(P1175,2),UPPER(MID(P1175,4,3)),RIGHT(P1175,4))</f>
        <v>CBOM-19JUL1906</v>
      </c>
      <c r="C1175" s="11" t="s">
        <v>4882</v>
      </c>
      <c r="F1175" s="11" t="s">
        <v>4880</v>
      </c>
      <c r="G1175" s="39" t="s">
        <v>3722</v>
      </c>
      <c r="J1175" s="17">
        <v>4</v>
      </c>
      <c r="K1175" s="17"/>
      <c r="L1175" s="7">
        <f>SUM(H1175:K1175)</f>
        <v>4</v>
      </c>
      <c r="M1175" s="8">
        <v>1</v>
      </c>
      <c r="N1175" s="8">
        <f>IF(L1175&gt;0,1,"")</f>
        <v>1</v>
      </c>
      <c r="O1175" s="11" t="s">
        <v>1702</v>
      </c>
      <c r="P1175" s="16" t="str">
        <f>IF(LEN(G1175)=10,CONCATENATE("0",G1175),G1175)</f>
        <v>19-Jul-1906</v>
      </c>
      <c r="R1175" s="16" t="str">
        <f>IF($L1175&gt;0,"x","")</f>
        <v>x</v>
      </c>
      <c r="S1175" s="16" t="str">
        <f>IF($L1175&gt;0,"x","")</f>
        <v>x</v>
      </c>
      <c r="U1175" s="46" t="str">
        <f t="shared" si="508"/>
        <v/>
      </c>
      <c r="V1175" s="46">
        <f t="shared" si="508"/>
        <v>4</v>
      </c>
      <c r="W1175" s="46" t="str">
        <f t="shared" si="508"/>
        <v/>
      </c>
      <c r="X1175" s="46" t="str">
        <f t="shared" si="508"/>
        <v/>
      </c>
    </row>
    <row r="1176" spans="2:24" x14ac:dyDescent="0.25">
      <c r="N1176" s="8" t="str">
        <f>IF(R1176="x",1,"")</f>
        <v/>
      </c>
      <c r="U1176" s="46" t="str">
        <f t="shared" si="508"/>
        <v/>
      </c>
      <c r="V1176" s="46" t="str">
        <f t="shared" si="508"/>
        <v/>
      </c>
      <c r="W1176" s="46" t="str">
        <f t="shared" si="508"/>
        <v/>
      </c>
      <c r="X1176" s="46" t="str">
        <f t="shared" si="508"/>
        <v/>
      </c>
    </row>
    <row r="1177" spans="2:24" x14ac:dyDescent="0.25">
      <c r="B1177" s="18"/>
      <c r="C1177" s="18"/>
      <c r="D1177" s="18"/>
      <c r="E1177" s="40"/>
      <c r="F1177" s="18"/>
      <c r="G1177" s="40"/>
      <c r="H1177" s="7">
        <f t="shared" ref="H1177:N1177" si="509">SUM(H1175:H1176)</f>
        <v>0</v>
      </c>
      <c r="I1177" s="7">
        <f t="shared" si="509"/>
        <v>0</v>
      </c>
      <c r="J1177" s="7">
        <f>SUM(J1175:J1176)</f>
        <v>4</v>
      </c>
      <c r="K1177" s="7">
        <f t="shared" si="509"/>
        <v>0</v>
      </c>
      <c r="L1177" s="7">
        <f t="shared" si="509"/>
        <v>4</v>
      </c>
      <c r="M1177" s="7">
        <f t="shared" si="509"/>
        <v>1</v>
      </c>
      <c r="N1177" s="7">
        <f t="shared" si="509"/>
        <v>1</v>
      </c>
      <c r="O1177" s="18"/>
      <c r="P1177" s="13"/>
      <c r="Q1177" s="13"/>
      <c r="S1177" s="13"/>
      <c r="T1177" s="15"/>
      <c r="U1177" s="46" t="str">
        <f t="shared" si="508"/>
        <v/>
      </c>
      <c r="V1177" s="46" t="str">
        <f t="shared" si="508"/>
        <v/>
      </c>
      <c r="W1177" s="46" t="str">
        <f t="shared" si="508"/>
        <v/>
      </c>
      <c r="X1177" s="46" t="str">
        <f t="shared" si="508"/>
        <v/>
      </c>
    </row>
    <row r="1178" spans="2:24" x14ac:dyDescent="0.25">
      <c r="B1178" s="18"/>
      <c r="C1178" s="18"/>
      <c r="D1178" s="18"/>
      <c r="E1178" s="40"/>
      <c r="F1178" s="18"/>
      <c r="G1178" s="40"/>
      <c r="N1178" s="8" t="str">
        <f>IF(R1178="x",1,"")</f>
        <v/>
      </c>
      <c r="O1178" s="18"/>
      <c r="P1178" s="13"/>
      <c r="Q1178" s="13"/>
      <c r="R1178" s="13"/>
      <c r="S1178" s="13"/>
      <c r="T1178" s="15"/>
      <c r="U1178" s="46" t="str">
        <f t="shared" si="508"/>
        <v/>
      </c>
      <c r="V1178" s="46" t="str">
        <f t="shared" si="508"/>
        <v/>
      </c>
      <c r="W1178" s="46" t="str">
        <f t="shared" si="508"/>
        <v/>
      </c>
      <c r="X1178" s="46" t="str">
        <f t="shared" si="508"/>
        <v/>
      </c>
    </row>
    <row r="1179" spans="2:24" x14ac:dyDescent="0.25">
      <c r="B1179" s="18"/>
      <c r="C1179" s="18"/>
      <c r="D1179" s="18"/>
      <c r="E1179" s="40"/>
      <c r="F1179" s="18"/>
      <c r="G1179" s="40"/>
      <c r="N1179" s="8" t="str">
        <f>IF(R1179="x",1,"")</f>
        <v/>
      </c>
      <c r="O1179" s="18"/>
      <c r="P1179" s="13"/>
      <c r="Q1179" s="13"/>
      <c r="R1179" s="13"/>
      <c r="S1179" s="13"/>
      <c r="T1179" s="15"/>
      <c r="U1179" s="46" t="str">
        <f t="shared" si="508"/>
        <v/>
      </c>
      <c r="V1179" s="46" t="str">
        <f t="shared" si="508"/>
        <v/>
      </c>
      <c r="W1179" s="46" t="str">
        <f t="shared" si="508"/>
        <v/>
      </c>
      <c r="X1179" s="46" t="str">
        <f t="shared" si="508"/>
        <v/>
      </c>
    </row>
    <row r="1180" spans="2:24" x14ac:dyDescent="0.25">
      <c r="B1180" s="11" t="str">
        <f>CONCATENATE("CCAI","-",LEFT(P1180,2),UPPER(MID(P1180,4,3)),RIGHT(P1180,4))</f>
        <v>CCAI-15SEP1918</v>
      </c>
      <c r="C1180" s="11" t="s">
        <v>5867</v>
      </c>
      <c r="D1180" s="11" t="s">
        <v>4043</v>
      </c>
      <c r="F1180" s="11" t="s">
        <v>3854</v>
      </c>
      <c r="G1180" s="39" t="s">
        <v>5868</v>
      </c>
      <c r="H1180" s="7">
        <v>0</v>
      </c>
      <c r="I1180" s="7">
        <v>5</v>
      </c>
      <c r="J1180" s="17">
        <v>4</v>
      </c>
      <c r="K1180" s="17"/>
      <c r="L1180" s="7">
        <f>SUM(H1180:K1180)</f>
        <v>9</v>
      </c>
      <c r="M1180" s="8">
        <v>1</v>
      </c>
      <c r="N1180" s="8">
        <f>IF(L1180&gt;0,1,"")</f>
        <v>1</v>
      </c>
      <c r="O1180" s="11" t="s">
        <v>1702</v>
      </c>
      <c r="P1180" s="16" t="str">
        <f>IF(LEN(G1180)=10,CONCATENATE("0",G1180),G1180)</f>
        <v>15-Sep-1918</v>
      </c>
      <c r="R1180" s="16" t="str">
        <f>IF($L1180&gt;0,"x","")</f>
        <v>x</v>
      </c>
      <c r="S1180" s="16" t="str">
        <f>IF($L1180&gt;0,"x","")</f>
        <v>x</v>
      </c>
      <c r="U1180" s="46" t="str">
        <f t="shared" si="508"/>
        <v/>
      </c>
      <c r="V1180" s="46">
        <f t="shared" si="508"/>
        <v>9</v>
      </c>
      <c r="W1180" s="46" t="str">
        <f t="shared" si="508"/>
        <v/>
      </c>
      <c r="X1180" s="46" t="str">
        <f t="shared" si="508"/>
        <v/>
      </c>
    </row>
    <row r="1181" spans="2:24" x14ac:dyDescent="0.25">
      <c r="N1181" s="8" t="str">
        <f>IF(R1181="x",1,"")</f>
        <v/>
      </c>
      <c r="U1181" s="46" t="str">
        <f t="shared" si="508"/>
        <v/>
      </c>
      <c r="V1181" s="46" t="str">
        <f t="shared" si="508"/>
        <v/>
      </c>
      <c r="W1181" s="46" t="str">
        <f t="shared" si="508"/>
        <v/>
      </c>
      <c r="X1181" s="46" t="str">
        <f t="shared" si="508"/>
        <v/>
      </c>
    </row>
    <row r="1182" spans="2:24" x14ac:dyDescent="0.25">
      <c r="B1182" s="18"/>
      <c r="C1182" s="18"/>
      <c r="D1182" s="18"/>
      <c r="E1182" s="40"/>
      <c r="F1182" s="18"/>
      <c r="G1182" s="40"/>
      <c r="H1182" s="7">
        <f t="shared" ref="H1182:N1182" si="510">SUM(H1180:H1181)</f>
        <v>0</v>
      </c>
      <c r="I1182" s="7">
        <f t="shared" si="510"/>
        <v>5</v>
      </c>
      <c r="J1182" s="7">
        <f>SUM(J1180:J1181)</f>
        <v>4</v>
      </c>
      <c r="K1182" s="7">
        <f t="shared" si="510"/>
        <v>0</v>
      </c>
      <c r="L1182" s="7">
        <f t="shared" si="510"/>
        <v>9</v>
      </c>
      <c r="M1182" s="7">
        <f t="shared" si="510"/>
        <v>1</v>
      </c>
      <c r="N1182" s="7">
        <f t="shared" si="510"/>
        <v>1</v>
      </c>
      <c r="O1182" s="18"/>
      <c r="P1182" s="13"/>
      <c r="Q1182" s="13"/>
      <c r="S1182" s="13"/>
      <c r="T1182" s="15"/>
      <c r="U1182" s="46" t="str">
        <f t="shared" si="508"/>
        <v/>
      </c>
      <c r="V1182" s="46" t="str">
        <f t="shared" si="508"/>
        <v/>
      </c>
      <c r="W1182" s="46" t="str">
        <f t="shared" si="508"/>
        <v/>
      </c>
      <c r="X1182" s="46" t="str">
        <f t="shared" si="508"/>
        <v/>
      </c>
    </row>
    <row r="1183" spans="2:24" x14ac:dyDescent="0.25">
      <c r="B1183" s="18"/>
      <c r="C1183" s="18"/>
      <c r="D1183" s="18"/>
      <c r="E1183" s="40"/>
      <c r="F1183" s="18"/>
      <c r="G1183" s="40"/>
      <c r="N1183" s="8" t="str">
        <f>IF(R1183="x",1,"")</f>
        <v/>
      </c>
      <c r="O1183" s="18"/>
      <c r="P1183" s="13"/>
      <c r="Q1183" s="13"/>
      <c r="R1183" s="13"/>
      <c r="S1183" s="13"/>
      <c r="T1183" s="15"/>
      <c r="U1183" s="46" t="str">
        <f t="shared" ref="U1183:X1187" si="511">IF($O1183=U$5,$L1183,"")</f>
        <v/>
      </c>
      <c r="V1183" s="46" t="str">
        <f t="shared" si="511"/>
        <v/>
      </c>
      <c r="W1183" s="46" t="str">
        <f t="shared" si="511"/>
        <v/>
      </c>
      <c r="X1183" s="46" t="str">
        <f t="shared" si="511"/>
        <v/>
      </c>
    </row>
    <row r="1184" spans="2:24" x14ac:dyDescent="0.25">
      <c r="B1184" s="18"/>
      <c r="C1184" s="18"/>
      <c r="D1184" s="18"/>
      <c r="E1184" s="40"/>
      <c r="F1184" s="18"/>
      <c r="G1184" s="40"/>
      <c r="N1184" s="8" t="str">
        <f>IF(R1184="x",1,"")</f>
        <v/>
      </c>
      <c r="O1184" s="18"/>
      <c r="P1184" s="13"/>
      <c r="Q1184" s="13"/>
      <c r="R1184" s="13"/>
      <c r="S1184" s="13"/>
      <c r="T1184" s="15"/>
      <c r="U1184" s="46" t="str">
        <f t="shared" si="511"/>
        <v/>
      </c>
      <c r="V1184" s="46" t="str">
        <f t="shared" si="511"/>
        <v/>
      </c>
      <c r="W1184" s="46" t="str">
        <f t="shared" si="511"/>
        <v/>
      </c>
      <c r="X1184" s="46" t="str">
        <f t="shared" si="511"/>
        <v/>
      </c>
    </row>
    <row r="1185" spans="2:24" x14ac:dyDescent="0.25">
      <c r="B1185" s="11" t="str">
        <f>CONCATENATE("CCHS","-",LEFT(P1185,2),UPPER(MID(P1185,4,3)),RIGHT(P1185,4))</f>
        <v>CCHS-12SEP1884</v>
      </c>
      <c r="C1185" s="11" t="s">
        <v>5131</v>
      </c>
      <c r="D1185" s="11" t="s">
        <v>2097</v>
      </c>
      <c r="F1185" s="11" t="s">
        <v>4980</v>
      </c>
      <c r="G1185" s="39" t="s">
        <v>5132</v>
      </c>
      <c r="H1185" s="7">
        <v>0</v>
      </c>
      <c r="I1185" s="7">
        <v>0</v>
      </c>
      <c r="J1185" s="17">
        <v>19</v>
      </c>
      <c r="K1185" s="17"/>
      <c r="L1185" s="7">
        <f>SUM(H1185:K1185)</f>
        <v>19</v>
      </c>
      <c r="M1185" s="8">
        <v>1</v>
      </c>
      <c r="N1185" s="8">
        <f>IF(L1185&gt;0,1,"")</f>
        <v>1</v>
      </c>
      <c r="O1185" s="11" t="s">
        <v>1702</v>
      </c>
      <c r="P1185" s="16" t="str">
        <f>IF(LEN(G1185)=10,CONCATENATE("0",G1185),G1185)</f>
        <v>12-Sep-1884</v>
      </c>
      <c r="R1185" s="16" t="str">
        <f>IF($L1185&gt;0,"x","")</f>
        <v>x</v>
      </c>
      <c r="S1185" s="16" t="str">
        <f>IF($L1185&gt;0,"x","")</f>
        <v>x</v>
      </c>
      <c r="U1185" s="46" t="str">
        <f t="shared" si="511"/>
        <v/>
      </c>
      <c r="V1185" s="46">
        <f t="shared" si="511"/>
        <v>19</v>
      </c>
      <c r="W1185" s="46" t="str">
        <f t="shared" si="511"/>
        <v/>
      </c>
      <c r="X1185" s="46" t="str">
        <f t="shared" si="511"/>
        <v/>
      </c>
    </row>
    <row r="1186" spans="2:24" x14ac:dyDescent="0.25">
      <c r="N1186" s="8" t="str">
        <f>IF(R1186="x",1,"")</f>
        <v/>
      </c>
      <c r="U1186" s="46" t="str">
        <f t="shared" si="511"/>
        <v/>
      </c>
      <c r="V1186" s="46" t="str">
        <f t="shared" si="511"/>
        <v/>
      </c>
      <c r="W1186" s="46" t="str">
        <f t="shared" si="511"/>
        <v/>
      </c>
      <c r="X1186" s="46" t="str">
        <f t="shared" si="511"/>
        <v/>
      </c>
    </row>
    <row r="1187" spans="2:24" x14ac:dyDescent="0.25">
      <c r="B1187" s="18"/>
      <c r="C1187" s="18"/>
      <c r="D1187" s="18"/>
      <c r="E1187" s="40"/>
      <c r="F1187" s="18"/>
      <c r="G1187" s="40"/>
      <c r="H1187" s="7">
        <f t="shared" ref="H1187:N1187" si="512">SUM(H1185:H1186)</f>
        <v>0</v>
      </c>
      <c r="I1187" s="7">
        <f t="shared" si="512"/>
        <v>0</v>
      </c>
      <c r="J1187" s="7">
        <f>SUM(J1185:J1186)</f>
        <v>19</v>
      </c>
      <c r="K1187" s="7">
        <f t="shared" si="512"/>
        <v>0</v>
      </c>
      <c r="L1187" s="7">
        <f t="shared" si="512"/>
        <v>19</v>
      </c>
      <c r="M1187" s="7">
        <f t="shared" si="512"/>
        <v>1</v>
      </c>
      <c r="N1187" s="7">
        <f t="shared" si="512"/>
        <v>1</v>
      </c>
      <c r="O1187" s="18"/>
      <c r="P1187" s="13"/>
      <c r="Q1187" s="13"/>
      <c r="S1187" s="13"/>
      <c r="T1187" s="15"/>
      <c r="U1187" s="46" t="str">
        <f t="shared" si="511"/>
        <v/>
      </c>
      <c r="V1187" s="46" t="str">
        <f t="shared" si="511"/>
        <v/>
      </c>
      <c r="W1187" s="46" t="str">
        <f t="shared" si="511"/>
        <v/>
      </c>
      <c r="X1187" s="46" t="str">
        <f t="shared" si="511"/>
        <v/>
      </c>
    </row>
    <row r="1188" spans="2:24" x14ac:dyDescent="0.25">
      <c r="B1188" s="18"/>
      <c r="C1188" s="18"/>
      <c r="D1188" s="18"/>
      <c r="E1188" s="40"/>
      <c r="F1188" s="18"/>
      <c r="G1188" s="40"/>
      <c r="N1188" s="8" t="str">
        <f>IF(R1188="x",1,"")</f>
        <v/>
      </c>
      <c r="O1188" s="18"/>
      <c r="P1188" s="13"/>
      <c r="Q1188" s="13"/>
      <c r="R1188" s="13"/>
      <c r="S1188" s="13"/>
      <c r="T1188" s="15"/>
      <c r="U1188" s="46" t="str">
        <f t="shared" ref="U1188:X1194" si="513">IF($O1188=U$5,$L1188,"")</f>
        <v/>
      </c>
      <c r="V1188" s="46" t="str">
        <f t="shared" si="513"/>
        <v/>
      </c>
      <c r="W1188" s="46" t="str">
        <f t="shared" si="513"/>
        <v/>
      </c>
      <c r="X1188" s="46" t="str">
        <f t="shared" si="513"/>
        <v/>
      </c>
    </row>
    <row r="1189" spans="2:24" x14ac:dyDescent="0.25">
      <c r="B1189" s="18"/>
      <c r="C1189" s="18"/>
      <c r="D1189" s="18"/>
      <c r="E1189" s="40"/>
      <c r="F1189" s="18"/>
      <c r="G1189" s="40"/>
      <c r="N1189" s="8" t="str">
        <f>IF(R1189="x",1,"")</f>
        <v/>
      </c>
      <c r="O1189" s="18"/>
      <c r="P1189" s="13"/>
      <c r="Q1189" s="13"/>
      <c r="R1189" s="13"/>
      <c r="S1189" s="13"/>
      <c r="T1189" s="15"/>
      <c r="U1189" s="46" t="str">
        <f t="shared" si="513"/>
        <v/>
      </c>
      <c r="V1189" s="46" t="str">
        <f t="shared" si="513"/>
        <v/>
      </c>
      <c r="W1189" s="46" t="str">
        <f t="shared" si="513"/>
        <v/>
      </c>
      <c r="X1189" s="46" t="str">
        <f t="shared" si="513"/>
        <v/>
      </c>
    </row>
    <row r="1190" spans="2:24" x14ac:dyDescent="0.25">
      <c r="B1190" s="11" t="str">
        <f>CONCATENATE("CLHR","-",LEFT(P1190,2),UPPER(MID(P1190,4,3)),RIGHT(P1190,4))</f>
        <v>CLHR-23MAR1920</v>
      </c>
      <c r="C1190" s="11" t="s">
        <v>4867</v>
      </c>
      <c r="D1190" s="11" t="s">
        <v>4868</v>
      </c>
      <c r="E1190" s="39" t="s">
        <v>4869</v>
      </c>
      <c r="F1190" s="11" t="s">
        <v>3050</v>
      </c>
      <c r="G1190" s="39" t="s">
        <v>1572</v>
      </c>
      <c r="H1190" s="7">
        <v>0</v>
      </c>
      <c r="I1190" s="7">
        <v>3</v>
      </c>
      <c r="J1190" s="17"/>
      <c r="K1190" s="17"/>
      <c r="L1190" s="7">
        <f>SUM(H1190:K1190)</f>
        <v>3</v>
      </c>
      <c r="M1190" s="8">
        <v>1</v>
      </c>
      <c r="N1190" s="8">
        <f>IF(L1190&gt;0,1,"")</f>
        <v>1</v>
      </c>
      <c r="O1190" s="11" t="s">
        <v>1702</v>
      </c>
      <c r="P1190" s="16" t="str">
        <f>IF(LEN(G1190)=10,CONCATENATE("0",G1190),G1190)</f>
        <v>23-Mar-1920</v>
      </c>
      <c r="R1190" s="16" t="str">
        <f t="shared" ref="R1190:S1192" si="514">IF($L1190&gt;0,"x","")</f>
        <v>x</v>
      </c>
      <c r="S1190" s="16" t="str">
        <f t="shared" si="514"/>
        <v>x</v>
      </c>
      <c r="U1190" s="46" t="str">
        <f t="shared" si="513"/>
        <v/>
      </c>
      <c r="V1190" s="46">
        <f t="shared" si="513"/>
        <v>3</v>
      </c>
      <c r="W1190" s="46" t="str">
        <f t="shared" si="513"/>
        <v/>
      </c>
      <c r="X1190" s="46" t="str">
        <f t="shared" si="513"/>
        <v/>
      </c>
    </row>
    <row r="1191" spans="2:24" x14ac:dyDescent="0.25">
      <c r="B1191" s="11" t="str">
        <f>CONCATENATE("CLHR","-",LEFT(P1191,2),UPPER(MID(P1191,4,3)),RIGHT(P1191,4))</f>
        <v>CLHR-21AUG1922</v>
      </c>
      <c r="C1191" s="11" t="s">
        <v>4867</v>
      </c>
      <c r="D1191" s="11" t="s">
        <v>4868</v>
      </c>
      <c r="E1191" s="39" t="s">
        <v>11214</v>
      </c>
      <c r="F1191" s="11" t="s">
        <v>3050</v>
      </c>
      <c r="G1191" s="39" t="s">
        <v>11213</v>
      </c>
      <c r="H1191" s="7">
        <v>2</v>
      </c>
      <c r="I1191" s="7">
        <v>0</v>
      </c>
      <c r="J1191" s="17"/>
      <c r="K1191" s="17"/>
      <c r="L1191" s="7">
        <f>SUM(H1191:K1191)</f>
        <v>2</v>
      </c>
      <c r="M1191" s="8">
        <v>1</v>
      </c>
      <c r="N1191" s="8">
        <f>IF(L1191&gt;0,1,"")</f>
        <v>1</v>
      </c>
      <c r="O1191" s="11" t="s">
        <v>1702</v>
      </c>
      <c r="P1191" s="16" t="str">
        <f>IF(LEN(G1191)=10,CONCATENATE("0",G1191),G1191)</f>
        <v>21-Aug-1922</v>
      </c>
      <c r="R1191" s="16" t="str">
        <f t="shared" si="514"/>
        <v>x</v>
      </c>
      <c r="S1191" s="16" t="str">
        <f t="shared" si="514"/>
        <v>x</v>
      </c>
      <c r="U1191" s="46" t="str">
        <f t="shared" si="513"/>
        <v/>
      </c>
      <c r="V1191" s="46">
        <f t="shared" si="513"/>
        <v>2</v>
      </c>
      <c r="W1191" s="46" t="str">
        <f t="shared" si="513"/>
        <v/>
      </c>
      <c r="X1191" s="46" t="str">
        <f t="shared" si="513"/>
        <v/>
      </c>
    </row>
    <row r="1192" spans="2:24" x14ac:dyDescent="0.25">
      <c r="B1192" s="11" t="str">
        <f>CONCATENATE("CLHR","-",LEFT(P1192,2),UPPER(MID(P1192,4,3)),RIGHT(P1192,4))</f>
        <v>CLHR-21AUG1922</v>
      </c>
      <c r="C1192" s="11" t="s">
        <v>4867</v>
      </c>
      <c r="D1192" s="11" t="s">
        <v>3940</v>
      </c>
      <c r="E1192" s="39" t="s">
        <v>3627</v>
      </c>
      <c r="F1192" s="11" t="s">
        <v>3050</v>
      </c>
      <c r="G1192" s="39" t="s">
        <v>11213</v>
      </c>
      <c r="H1192" s="7">
        <v>0</v>
      </c>
      <c r="I1192" s="7">
        <v>1</v>
      </c>
      <c r="J1192" s="17"/>
      <c r="K1192" s="17"/>
      <c r="L1192" s="7">
        <f>SUM(H1192:K1192)</f>
        <v>1</v>
      </c>
      <c r="M1192" s="8">
        <v>1</v>
      </c>
      <c r="N1192" s="8">
        <f>IF(L1192&gt;0,1,"")</f>
        <v>1</v>
      </c>
      <c r="O1192" s="11" t="s">
        <v>1702</v>
      </c>
      <c r="P1192" s="16" t="str">
        <f>IF(LEN(G1192)=10,CONCATENATE("0",G1192),G1192)</f>
        <v>21-Aug-1922</v>
      </c>
      <c r="R1192" s="16" t="str">
        <f t="shared" si="514"/>
        <v>x</v>
      </c>
      <c r="S1192" s="16" t="str">
        <f t="shared" si="514"/>
        <v>x</v>
      </c>
      <c r="U1192" s="46" t="str">
        <f t="shared" si="513"/>
        <v/>
      </c>
      <c r="V1192" s="46">
        <f t="shared" si="513"/>
        <v>1</v>
      </c>
      <c r="W1192" s="46" t="str">
        <f t="shared" si="513"/>
        <v/>
      </c>
      <c r="X1192" s="46" t="str">
        <f t="shared" si="513"/>
        <v/>
      </c>
    </row>
    <row r="1193" spans="2:24" x14ac:dyDescent="0.25">
      <c r="N1193" s="8" t="str">
        <f>IF(R1193="x",1,"")</f>
        <v/>
      </c>
      <c r="U1193" s="46" t="str">
        <f t="shared" si="513"/>
        <v/>
      </c>
      <c r="V1193" s="46" t="str">
        <f t="shared" si="513"/>
        <v/>
      </c>
      <c r="W1193" s="46" t="str">
        <f t="shared" si="513"/>
        <v/>
      </c>
      <c r="X1193" s="46" t="str">
        <f t="shared" si="513"/>
        <v/>
      </c>
    </row>
    <row r="1194" spans="2:24" x14ac:dyDescent="0.25">
      <c r="B1194" s="18"/>
      <c r="C1194" s="18"/>
      <c r="D1194" s="18"/>
      <c r="E1194" s="40"/>
      <c r="F1194" s="18"/>
      <c r="G1194" s="40"/>
      <c r="H1194" s="7">
        <f t="shared" ref="H1194:N1194" si="515">SUM(H1190:H1193)</f>
        <v>2</v>
      </c>
      <c r="I1194" s="7">
        <f t="shared" si="515"/>
        <v>4</v>
      </c>
      <c r="J1194" s="7">
        <f>SUM(J1190:J1193)</f>
        <v>0</v>
      </c>
      <c r="K1194" s="7">
        <f t="shared" si="515"/>
        <v>0</v>
      </c>
      <c r="L1194" s="7">
        <f t="shared" si="515"/>
        <v>6</v>
      </c>
      <c r="M1194" s="7">
        <f t="shared" si="515"/>
        <v>3</v>
      </c>
      <c r="N1194" s="7">
        <f t="shared" si="515"/>
        <v>3</v>
      </c>
      <c r="O1194" s="18"/>
      <c r="P1194" s="13"/>
      <c r="Q1194" s="13"/>
      <c r="S1194" s="13"/>
      <c r="T1194" s="15"/>
      <c r="U1194" s="46" t="str">
        <f t="shared" si="513"/>
        <v/>
      </c>
      <c r="V1194" s="46" t="str">
        <f t="shared" si="513"/>
        <v/>
      </c>
      <c r="W1194" s="46" t="str">
        <f t="shared" si="513"/>
        <v/>
      </c>
      <c r="X1194" s="46" t="str">
        <f t="shared" si="513"/>
        <v/>
      </c>
    </row>
    <row r="1195" spans="2:24" x14ac:dyDescent="0.25">
      <c r="B1195" s="18"/>
      <c r="C1195" s="18"/>
      <c r="D1195" s="18"/>
      <c r="E1195" s="40"/>
      <c r="F1195" s="18"/>
      <c r="G1195" s="40"/>
      <c r="N1195" s="8" t="str">
        <f>IF(R1195="x",1,"")</f>
        <v/>
      </c>
      <c r="O1195" s="18"/>
      <c r="P1195" s="13"/>
      <c r="Q1195" s="13"/>
      <c r="R1195" s="13"/>
      <c r="S1195" s="13"/>
      <c r="T1195" s="15"/>
      <c r="U1195" s="46" t="str">
        <f t="shared" ref="U1195:X1199" si="516">IF($O1195=U$5,$L1195,"")</f>
        <v/>
      </c>
      <c r="V1195" s="46" t="str">
        <f t="shared" si="516"/>
        <v/>
      </c>
      <c r="W1195" s="46" t="str">
        <f t="shared" si="516"/>
        <v/>
      </c>
      <c r="X1195" s="46" t="str">
        <f t="shared" si="516"/>
        <v/>
      </c>
    </row>
    <row r="1196" spans="2:24" x14ac:dyDescent="0.25">
      <c r="B1196" s="18"/>
      <c r="C1196" s="18"/>
      <c r="D1196" s="18"/>
      <c r="E1196" s="40"/>
      <c r="F1196" s="18"/>
      <c r="G1196" s="40"/>
      <c r="N1196" s="8" t="str">
        <f>IF(R1196="x",1,"")</f>
        <v/>
      </c>
      <c r="O1196" s="18"/>
      <c r="P1196" s="13"/>
      <c r="Q1196" s="13"/>
      <c r="R1196" s="13"/>
      <c r="S1196" s="13"/>
      <c r="T1196" s="15"/>
      <c r="U1196" s="46" t="str">
        <f t="shared" si="516"/>
        <v/>
      </c>
      <c r="V1196" s="46" t="str">
        <f t="shared" si="516"/>
        <v/>
      </c>
      <c r="W1196" s="46" t="str">
        <f t="shared" si="516"/>
        <v/>
      </c>
      <c r="X1196" s="46" t="str">
        <f t="shared" si="516"/>
        <v/>
      </c>
    </row>
    <row r="1197" spans="2:24" x14ac:dyDescent="0.25">
      <c r="B1197" s="11" t="str">
        <f>CONCATENATE("CLSA","-",LEFT(P1197,2),UPPER(MID(P1197,4,3)),RIGHT(P1197,4))</f>
        <v>CLSA-20AUG1926</v>
      </c>
      <c r="C1197" s="11" t="s">
        <v>4767</v>
      </c>
      <c r="D1197" s="11" t="s">
        <v>4768</v>
      </c>
      <c r="E1197" s="39" t="s">
        <v>4769</v>
      </c>
      <c r="F1197" s="11" t="s">
        <v>4770</v>
      </c>
      <c r="G1197" s="39" t="s">
        <v>4771</v>
      </c>
      <c r="H1197" s="7">
        <v>1</v>
      </c>
      <c r="J1197" s="17">
        <v>0</v>
      </c>
      <c r="K1197" s="17"/>
      <c r="L1197" s="7">
        <f>SUM(H1197:K1197)</f>
        <v>1</v>
      </c>
      <c r="M1197" s="8">
        <v>1</v>
      </c>
      <c r="N1197" s="8">
        <f>IF(L1197&gt;0,1,"")</f>
        <v>1</v>
      </c>
      <c r="O1197" s="11" t="s">
        <v>1702</v>
      </c>
      <c r="P1197" s="16" t="str">
        <f>IF(LEN(G1197)=10,CONCATENATE("0",G1197),G1197)</f>
        <v>20-Aug-1926</v>
      </c>
      <c r="S1197" s="16" t="s">
        <v>1703</v>
      </c>
      <c r="U1197" s="46" t="str">
        <f t="shared" si="516"/>
        <v/>
      </c>
      <c r="V1197" s="46">
        <f t="shared" si="516"/>
        <v>1</v>
      </c>
      <c r="W1197" s="46" t="str">
        <f t="shared" si="516"/>
        <v/>
      </c>
      <c r="X1197" s="46" t="str">
        <f t="shared" si="516"/>
        <v/>
      </c>
    </row>
    <row r="1198" spans="2:24" x14ac:dyDescent="0.25">
      <c r="N1198" s="8" t="str">
        <f>IF(R1198="x",1,"")</f>
        <v/>
      </c>
      <c r="U1198" s="46" t="str">
        <f t="shared" si="516"/>
        <v/>
      </c>
      <c r="V1198" s="46" t="str">
        <f t="shared" si="516"/>
        <v/>
      </c>
      <c r="W1198" s="46" t="str">
        <f t="shared" si="516"/>
        <v/>
      </c>
      <c r="X1198" s="46" t="str">
        <f t="shared" si="516"/>
        <v/>
      </c>
    </row>
    <row r="1199" spans="2:24" x14ac:dyDescent="0.25">
      <c r="B1199" s="18"/>
      <c r="C1199" s="18"/>
      <c r="D1199" s="18"/>
      <c r="E1199" s="40"/>
      <c r="F1199" s="18"/>
      <c r="G1199" s="40"/>
      <c r="H1199" s="7">
        <f t="shared" ref="H1199:N1199" si="517">SUM(H1197:H1198)</f>
        <v>1</v>
      </c>
      <c r="I1199" s="7">
        <f t="shared" si="517"/>
        <v>0</v>
      </c>
      <c r="J1199" s="7">
        <f>SUM(J1197:J1198)</f>
        <v>0</v>
      </c>
      <c r="K1199" s="7">
        <f t="shared" si="517"/>
        <v>0</v>
      </c>
      <c r="L1199" s="7">
        <f t="shared" si="517"/>
        <v>1</v>
      </c>
      <c r="M1199" s="7">
        <f t="shared" si="517"/>
        <v>1</v>
      </c>
      <c r="N1199" s="7">
        <f t="shared" si="517"/>
        <v>1</v>
      </c>
      <c r="O1199" s="18"/>
      <c r="P1199" s="13"/>
      <c r="Q1199" s="13"/>
      <c r="S1199" s="13"/>
      <c r="T1199" s="15"/>
      <c r="U1199" s="46" t="str">
        <f t="shared" si="516"/>
        <v/>
      </c>
      <c r="V1199" s="46" t="str">
        <f t="shared" si="516"/>
        <v/>
      </c>
      <c r="W1199" s="46" t="str">
        <f t="shared" si="516"/>
        <v/>
      </c>
      <c r="X1199" s="46" t="str">
        <f t="shared" si="516"/>
        <v/>
      </c>
    </row>
    <row r="1200" spans="2:24" x14ac:dyDescent="0.25">
      <c r="B1200" s="18"/>
      <c r="C1200" s="18"/>
      <c r="D1200" s="18"/>
      <c r="E1200" s="40"/>
      <c r="F1200" s="18"/>
      <c r="G1200" s="40"/>
      <c r="N1200" s="8" t="str">
        <f>IF(R1200="x",1,"")</f>
        <v/>
      </c>
      <c r="O1200" s="18"/>
      <c r="P1200" s="13"/>
      <c r="Q1200" s="13"/>
      <c r="R1200" s="13"/>
      <c r="S1200" s="13"/>
      <c r="T1200" s="15"/>
      <c r="U1200" s="46" t="str">
        <f t="shared" si="503"/>
        <v/>
      </c>
      <c r="V1200" s="46" t="str">
        <f t="shared" si="503"/>
        <v/>
      </c>
      <c r="W1200" s="46" t="str">
        <f t="shared" si="503"/>
        <v/>
      </c>
      <c r="X1200" s="46" t="str">
        <f t="shared" si="503"/>
        <v/>
      </c>
    </row>
    <row r="1201" spans="2:24" x14ac:dyDescent="0.25">
      <c r="B1201" s="18"/>
      <c r="C1201" s="18"/>
      <c r="D1201" s="18"/>
      <c r="E1201" s="40"/>
      <c r="F1201" s="18"/>
      <c r="G1201" s="40"/>
      <c r="N1201" s="8" t="str">
        <f>IF(R1201="x",1,"")</f>
        <v/>
      </c>
      <c r="O1201" s="18"/>
      <c r="P1201" s="13"/>
      <c r="Q1201" s="13"/>
      <c r="R1201" s="13"/>
      <c r="S1201" s="13"/>
      <c r="T1201" s="15"/>
      <c r="U1201" s="46" t="str">
        <f t="shared" si="503"/>
        <v/>
      </c>
      <c r="V1201" s="46" t="str">
        <f t="shared" si="503"/>
        <v/>
      </c>
      <c r="W1201" s="46" t="str">
        <f t="shared" si="503"/>
        <v/>
      </c>
      <c r="X1201" s="46" t="str">
        <f t="shared" si="503"/>
        <v/>
      </c>
    </row>
    <row r="1202" spans="2:24" x14ac:dyDescent="0.25">
      <c r="B1202" s="11" t="str">
        <f>CONCATENATE("CPKG","-",LEFT(P1202,2),UPPER(MID(P1202,4,3)),RIGHT(P1202,4))</f>
        <v>CPKG-14AUG1901</v>
      </c>
      <c r="C1202" s="11" t="s">
        <v>3496</v>
      </c>
      <c r="D1202" s="11" t="s">
        <v>3497</v>
      </c>
      <c r="E1202" s="39" t="s">
        <v>3498</v>
      </c>
      <c r="F1202" s="11" t="s">
        <v>2441</v>
      </c>
      <c r="G1202" s="39" t="s">
        <v>3499</v>
      </c>
      <c r="J1202" s="17">
        <v>6</v>
      </c>
      <c r="K1202" s="17"/>
      <c r="L1202" s="7">
        <f>SUM(H1202:K1202)</f>
        <v>6</v>
      </c>
      <c r="M1202" s="8">
        <v>1</v>
      </c>
      <c r="N1202" s="8">
        <f>IF(L1202&gt;0,1,"")</f>
        <v>1</v>
      </c>
      <c r="O1202" s="11" t="s">
        <v>1702</v>
      </c>
      <c r="P1202" s="16" t="str">
        <f>IF(LEN(G1202)=10,CONCATENATE("0",G1202),G1202)</f>
        <v>14-Aug-1901</v>
      </c>
      <c r="R1202" s="16" t="str">
        <f>IF($L1202&gt;0,"x","")</f>
        <v>x</v>
      </c>
      <c r="S1202" s="16" t="str">
        <f>IF($L1202&gt;0,"x","")</f>
        <v>x</v>
      </c>
      <c r="U1202" s="46" t="str">
        <f t="shared" si="503"/>
        <v/>
      </c>
      <c r="V1202" s="46">
        <f t="shared" si="503"/>
        <v>6</v>
      </c>
      <c r="W1202" s="46" t="str">
        <f t="shared" si="503"/>
        <v/>
      </c>
      <c r="X1202" s="46" t="str">
        <f t="shared" si="503"/>
        <v/>
      </c>
    </row>
    <row r="1203" spans="2:24" x14ac:dyDescent="0.25">
      <c r="N1203" s="8" t="str">
        <f>IF(R1203="x",1,"")</f>
        <v/>
      </c>
      <c r="U1203" s="46" t="str">
        <f t="shared" si="503"/>
        <v/>
      </c>
      <c r="V1203" s="46" t="str">
        <f t="shared" si="503"/>
        <v/>
      </c>
      <c r="W1203" s="46" t="str">
        <f t="shared" si="503"/>
        <v/>
      </c>
      <c r="X1203" s="46" t="str">
        <f t="shared" si="503"/>
        <v/>
      </c>
    </row>
    <row r="1204" spans="2:24" x14ac:dyDescent="0.25">
      <c r="B1204" s="18"/>
      <c r="C1204" s="18"/>
      <c r="D1204" s="18"/>
      <c r="E1204" s="40"/>
      <c r="F1204" s="18"/>
      <c r="G1204" s="40"/>
      <c r="H1204" s="7">
        <f t="shared" ref="H1204:N1204" si="518">SUM(H1202:H1203)</f>
        <v>0</v>
      </c>
      <c r="I1204" s="7">
        <f t="shared" si="518"/>
        <v>0</v>
      </c>
      <c r="J1204" s="7">
        <f>SUM(J1202:J1203)</f>
        <v>6</v>
      </c>
      <c r="K1204" s="7">
        <f t="shared" si="518"/>
        <v>0</v>
      </c>
      <c r="L1204" s="7">
        <f t="shared" si="518"/>
        <v>6</v>
      </c>
      <c r="M1204" s="7">
        <f t="shared" si="518"/>
        <v>1</v>
      </c>
      <c r="N1204" s="7">
        <f t="shared" si="518"/>
        <v>1</v>
      </c>
      <c r="O1204" s="18"/>
      <c r="P1204" s="13"/>
      <c r="Q1204" s="13"/>
      <c r="S1204" s="13"/>
      <c r="T1204" s="15"/>
      <c r="U1204" s="46" t="str">
        <f t="shared" si="503"/>
        <v/>
      </c>
      <c r="V1204" s="46" t="str">
        <f t="shared" si="503"/>
        <v/>
      </c>
      <c r="W1204" s="46" t="str">
        <f t="shared" si="503"/>
        <v/>
      </c>
      <c r="X1204" s="46" t="str">
        <f t="shared" si="503"/>
        <v/>
      </c>
    </row>
    <row r="1205" spans="2:24" x14ac:dyDescent="0.25">
      <c r="B1205" s="18"/>
      <c r="C1205" s="18"/>
      <c r="D1205" s="18"/>
      <c r="E1205" s="40"/>
      <c r="F1205" s="18"/>
      <c r="G1205" s="40"/>
      <c r="N1205" s="8" t="str">
        <f>IF(R1205="x",1,"")</f>
        <v/>
      </c>
      <c r="O1205" s="18"/>
      <c r="P1205" s="13"/>
      <c r="Q1205" s="13"/>
      <c r="R1205" s="13"/>
      <c r="S1205" s="13"/>
      <c r="T1205" s="15"/>
      <c r="U1205" s="46" t="str">
        <f t="shared" ref="U1205:X1209" si="519">IF($O1205=U$5,$L1205,"")</f>
        <v/>
      </c>
      <c r="V1205" s="46" t="str">
        <f t="shared" si="519"/>
        <v/>
      </c>
      <c r="W1205" s="46" t="str">
        <f t="shared" si="519"/>
        <v/>
      </c>
      <c r="X1205" s="46" t="str">
        <f t="shared" si="519"/>
        <v/>
      </c>
    </row>
    <row r="1206" spans="2:24" x14ac:dyDescent="0.25">
      <c r="B1206" s="18"/>
      <c r="C1206" s="18"/>
      <c r="D1206" s="18"/>
      <c r="E1206" s="40"/>
      <c r="F1206" s="18"/>
      <c r="G1206" s="40"/>
      <c r="N1206" s="8" t="str">
        <f>IF(R1206="x",1,"")</f>
        <v/>
      </c>
      <c r="O1206" s="18"/>
      <c r="P1206" s="13"/>
      <c r="Q1206" s="13"/>
      <c r="R1206" s="13"/>
      <c r="S1206" s="13"/>
      <c r="T1206" s="15"/>
      <c r="U1206" s="46" t="str">
        <f t="shared" si="519"/>
        <v/>
      </c>
      <c r="V1206" s="46" t="str">
        <f t="shared" si="519"/>
        <v/>
      </c>
      <c r="W1206" s="46" t="str">
        <f t="shared" si="519"/>
        <v/>
      </c>
      <c r="X1206" s="46" t="str">
        <f t="shared" si="519"/>
        <v/>
      </c>
    </row>
    <row r="1207" spans="2:24" x14ac:dyDescent="0.25">
      <c r="B1207" s="11" t="str">
        <f>CONCATENATE("CRCH","-",LEFT(P1207,2),UPPER(MID(P1207,4,3)),RIGHT(P1207,4))</f>
        <v>CRCH-06NOV1877</v>
      </c>
      <c r="C1207" s="11" t="s">
        <v>11262</v>
      </c>
      <c r="D1207" s="11" t="s">
        <v>2097</v>
      </c>
      <c r="F1207" s="11" t="s">
        <v>1700</v>
      </c>
      <c r="G1207" s="39" t="s">
        <v>11263</v>
      </c>
      <c r="H1207" s="7">
        <v>0</v>
      </c>
      <c r="J1207" s="17">
        <v>12</v>
      </c>
      <c r="K1207" s="17"/>
      <c r="L1207" s="7">
        <f>SUM(H1207:K1207)</f>
        <v>12</v>
      </c>
      <c r="M1207" s="8">
        <v>1</v>
      </c>
      <c r="N1207" s="8">
        <f>IF(L1207&gt;0,1,"")</f>
        <v>1</v>
      </c>
      <c r="O1207" s="11" t="s">
        <v>1702</v>
      </c>
      <c r="P1207" s="16" t="str">
        <f>IF(LEN(G1207)=10,CONCATENATE("0",G1207),G1207)</f>
        <v>06-Nov-1877</v>
      </c>
      <c r="R1207" s="16" t="str">
        <f>IF($L1207&gt;0,"x","")</f>
        <v>x</v>
      </c>
      <c r="S1207" s="16" t="str">
        <f>IF($L1207&gt;0,"x","")</f>
        <v>x</v>
      </c>
      <c r="U1207" s="46" t="str">
        <f t="shared" si="519"/>
        <v/>
      </c>
      <c r="V1207" s="46">
        <f t="shared" si="519"/>
        <v>12</v>
      </c>
      <c r="W1207" s="46" t="str">
        <f t="shared" si="519"/>
        <v/>
      </c>
      <c r="X1207" s="46" t="str">
        <f t="shared" si="519"/>
        <v/>
      </c>
    </row>
    <row r="1208" spans="2:24" x14ac:dyDescent="0.25">
      <c r="N1208" s="8" t="str">
        <f>IF(R1208="x",1,"")</f>
        <v/>
      </c>
      <c r="U1208" s="46" t="str">
        <f t="shared" si="519"/>
        <v/>
      </c>
      <c r="V1208" s="46" t="str">
        <f t="shared" si="519"/>
        <v/>
      </c>
      <c r="W1208" s="46" t="str">
        <f t="shared" si="519"/>
        <v/>
      </c>
      <c r="X1208" s="46" t="str">
        <f t="shared" si="519"/>
        <v/>
      </c>
    </row>
    <row r="1209" spans="2:24" x14ac:dyDescent="0.25">
      <c r="B1209" s="18"/>
      <c r="C1209" s="18"/>
      <c r="D1209" s="18"/>
      <c r="E1209" s="40"/>
      <c r="F1209" s="18"/>
      <c r="G1209" s="40"/>
      <c r="H1209" s="7">
        <f t="shared" ref="H1209:N1209" si="520">SUM(H1207:H1208)</f>
        <v>0</v>
      </c>
      <c r="I1209" s="7">
        <f t="shared" si="520"/>
        <v>0</v>
      </c>
      <c r="J1209" s="7">
        <f>SUM(J1207:J1208)</f>
        <v>12</v>
      </c>
      <c r="K1209" s="7">
        <f t="shared" si="520"/>
        <v>0</v>
      </c>
      <c r="L1209" s="7">
        <f t="shared" si="520"/>
        <v>12</v>
      </c>
      <c r="M1209" s="7">
        <f t="shared" si="520"/>
        <v>1</v>
      </c>
      <c r="N1209" s="7">
        <f t="shared" si="520"/>
        <v>1</v>
      </c>
      <c r="O1209" s="18"/>
      <c r="P1209" s="13"/>
      <c r="Q1209" s="13"/>
      <c r="S1209" s="13"/>
      <c r="T1209" s="15"/>
      <c r="U1209" s="46" t="str">
        <f t="shared" si="519"/>
        <v/>
      </c>
      <c r="V1209" s="46" t="str">
        <f t="shared" si="519"/>
        <v/>
      </c>
      <c r="W1209" s="46" t="str">
        <f t="shared" si="519"/>
        <v/>
      </c>
      <c r="X1209" s="46" t="str">
        <f t="shared" si="519"/>
        <v/>
      </c>
    </row>
    <row r="1210" spans="2:24" x14ac:dyDescent="0.25">
      <c r="B1210" s="18"/>
      <c r="C1210" s="18"/>
      <c r="D1210" s="18"/>
      <c r="E1210" s="40"/>
      <c r="F1210" s="18"/>
      <c r="G1210" s="40"/>
      <c r="N1210" s="8" t="str">
        <f>IF(R1210="x",1,"")</f>
        <v/>
      </c>
      <c r="O1210" s="18"/>
      <c r="P1210" s="13"/>
      <c r="Q1210" s="13"/>
      <c r="R1210" s="13"/>
      <c r="S1210" s="13"/>
      <c r="T1210" s="15"/>
      <c r="U1210" s="46" t="str">
        <f t="shared" si="503"/>
        <v/>
      </c>
      <c r="V1210" s="46" t="str">
        <f t="shared" si="503"/>
        <v/>
      </c>
      <c r="W1210" s="46" t="str">
        <f t="shared" si="503"/>
        <v/>
      </c>
      <c r="X1210" s="46" t="str">
        <f t="shared" si="503"/>
        <v/>
      </c>
    </row>
    <row r="1211" spans="2:24" x14ac:dyDescent="0.25">
      <c r="B1211" s="18"/>
      <c r="C1211" s="18"/>
      <c r="D1211" s="18"/>
      <c r="E1211" s="40"/>
      <c r="F1211" s="18"/>
      <c r="G1211" s="40"/>
      <c r="N1211" s="8" t="str">
        <f>IF(R1211="x",1,"")</f>
        <v/>
      </c>
      <c r="O1211" s="18"/>
      <c r="P1211" s="13"/>
      <c r="Q1211" s="13"/>
      <c r="R1211" s="13"/>
      <c r="S1211" s="13"/>
      <c r="T1211" s="15"/>
      <c r="U1211" s="46" t="str">
        <f t="shared" si="503"/>
        <v/>
      </c>
      <c r="V1211" s="46" t="str">
        <f t="shared" si="503"/>
        <v/>
      </c>
      <c r="W1211" s="46" t="str">
        <f t="shared" si="503"/>
        <v/>
      </c>
      <c r="X1211" s="46" t="str">
        <f t="shared" si="503"/>
        <v/>
      </c>
    </row>
    <row r="1212" spans="2:24" x14ac:dyDescent="0.25">
      <c r="B1212" s="11" t="str">
        <f>CONCATENATE("CROM","-",LEFT(P1212,2),UPPER(MID(P1212,4,3)),RIGHT(P1212,4))</f>
        <v>CROM-25OCT1881</v>
      </c>
      <c r="C1212" s="11" t="s">
        <v>4020</v>
      </c>
      <c r="D1212" s="11" t="s">
        <v>2097</v>
      </c>
      <c r="F1212" s="11" t="s">
        <v>1700</v>
      </c>
      <c r="G1212" s="39" t="s">
        <v>6058</v>
      </c>
      <c r="H1212" s="7">
        <v>0</v>
      </c>
      <c r="J1212" s="17">
        <v>6</v>
      </c>
      <c r="K1212" s="17"/>
      <c r="L1212" s="7">
        <f>SUM(H1212:K1212)</f>
        <v>6</v>
      </c>
      <c r="M1212" s="8">
        <v>1</v>
      </c>
      <c r="N1212" s="8">
        <f>IF(L1212&gt;0,1,"")</f>
        <v>1</v>
      </c>
      <c r="O1212" s="11" t="s">
        <v>1702</v>
      </c>
      <c r="P1212" s="16" t="str">
        <f>IF(LEN(G1212)=10,CONCATENATE("0",G1212),G1212)</f>
        <v>25-Oct-1881</v>
      </c>
      <c r="R1212" s="16" t="str">
        <f>IF($L1212&gt;0,"x","")</f>
        <v>x</v>
      </c>
      <c r="S1212" s="16" t="str">
        <f>IF($L1212&gt;0,"x","")</f>
        <v>x</v>
      </c>
      <c r="U1212" s="46" t="str">
        <f t="shared" si="503"/>
        <v/>
      </c>
      <c r="V1212" s="46">
        <f t="shared" si="503"/>
        <v>6</v>
      </c>
      <c r="W1212" s="46" t="str">
        <f t="shared" si="503"/>
        <v/>
      </c>
      <c r="X1212" s="46" t="str">
        <f t="shared" si="503"/>
        <v/>
      </c>
    </row>
    <row r="1213" spans="2:24" x14ac:dyDescent="0.25">
      <c r="B1213" s="11" t="str">
        <f>CONCATENATE("CROM","-",LEFT(P1213,2),UPPER(MID(P1213,4,3)),RIGHT(P1213,4))</f>
        <v>CROM-18AUG1890</v>
      </c>
      <c r="C1213" s="11" t="s">
        <v>4020</v>
      </c>
      <c r="D1213" s="11" t="s">
        <v>2097</v>
      </c>
      <c r="F1213" s="11" t="s">
        <v>1700</v>
      </c>
      <c r="G1213" s="39" t="s">
        <v>4021</v>
      </c>
      <c r="H1213" s="7">
        <v>0</v>
      </c>
      <c r="J1213" s="17">
        <v>1</v>
      </c>
      <c r="K1213" s="17"/>
      <c r="L1213" s="7">
        <f>SUM(H1213:K1213)</f>
        <v>1</v>
      </c>
      <c r="M1213" s="8">
        <v>1</v>
      </c>
      <c r="N1213" s="8">
        <f>IF(L1213&gt;0,1,"")</f>
        <v>1</v>
      </c>
      <c r="O1213" s="11" t="s">
        <v>1702</v>
      </c>
      <c r="P1213" s="16" t="str">
        <f>IF(LEN(G1213)=10,CONCATENATE("0",G1213),G1213)</f>
        <v>18-Aug-1890</v>
      </c>
      <c r="R1213" s="16" t="str">
        <f>IF($L1213&gt;0,"x","")</f>
        <v>x</v>
      </c>
      <c r="S1213" s="16" t="str">
        <f>IF($L1213&gt;0,"x","")</f>
        <v>x</v>
      </c>
      <c r="U1213" s="46" t="str">
        <f>IF($O1213=U$5,$L1213,"")</f>
        <v/>
      </c>
      <c r="V1213" s="46">
        <f>IF($O1213=V$5,$L1213,"")</f>
        <v>1</v>
      </c>
      <c r="W1213" s="46" t="str">
        <f>IF($O1213=W$5,$L1213,"")</f>
        <v/>
      </c>
      <c r="X1213" s="46" t="str">
        <f>IF($O1213=X$5,$L1213,"")</f>
        <v/>
      </c>
    </row>
    <row r="1214" spans="2:24" x14ac:dyDescent="0.25">
      <c r="N1214" s="8" t="str">
        <f>IF(R1214="x",1,"")</f>
        <v/>
      </c>
      <c r="U1214" s="46" t="str">
        <f t="shared" si="503"/>
        <v/>
      </c>
      <c r="V1214" s="46" t="str">
        <f t="shared" si="503"/>
        <v/>
      </c>
      <c r="W1214" s="46" t="str">
        <f t="shared" si="503"/>
        <v/>
      </c>
      <c r="X1214" s="46" t="str">
        <f t="shared" si="503"/>
        <v/>
      </c>
    </row>
    <row r="1215" spans="2:24" x14ac:dyDescent="0.25">
      <c r="B1215" s="18"/>
      <c r="C1215" s="18"/>
      <c r="D1215" s="18"/>
      <c r="E1215" s="40"/>
      <c r="F1215" s="18"/>
      <c r="G1215" s="40"/>
      <c r="H1215" s="7">
        <f t="shared" ref="H1215:N1215" si="521">SUM(H1212:H1214)</f>
        <v>0</v>
      </c>
      <c r="I1215" s="7">
        <f t="shared" si="521"/>
        <v>0</v>
      </c>
      <c r="J1215" s="7">
        <f>SUM(J1212:J1214)</f>
        <v>7</v>
      </c>
      <c r="K1215" s="7">
        <f t="shared" si="521"/>
        <v>0</v>
      </c>
      <c r="L1215" s="7">
        <f t="shared" si="521"/>
        <v>7</v>
      </c>
      <c r="M1215" s="7">
        <f t="shared" si="521"/>
        <v>2</v>
      </c>
      <c r="N1215" s="7">
        <f t="shared" si="521"/>
        <v>2</v>
      </c>
      <c r="O1215" s="18"/>
      <c r="P1215" s="13"/>
      <c r="Q1215" s="13"/>
      <c r="S1215" s="13"/>
      <c r="T1215" s="15"/>
      <c r="U1215" s="46" t="str">
        <f t="shared" si="503"/>
        <v/>
      </c>
      <c r="V1215" s="46" t="str">
        <f t="shared" si="503"/>
        <v/>
      </c>
      <c r="W1215" s="46" t="str">
        <f t="shared" si="503"/>
        <v/>
      </c>
      <c r="X1215" s="46" t="str">
        <f t="shared" si="503"/>
        <v/>
      </c>
    </row>
    <row r="1216" spans="2:24" x14ac:dyDescent="0.25">
      <c r="B1216" s="18"/>
      <c r="C1216" s="18"/>
      <c r="D1216" s="18"/>
      <c r="E1216" s="40"/>
      <c r="F1216" s="18"/>
      <c r="G1216" s="40"/>
      <c r="N1216" s="8" t="str">
        <f>IF(R1216="x",1,"")</f>
        <v/>
      </c>
      <c r="O1216" s="18"/>
      <c r="P1216" s="13"/>
      <c r="Q1216" s="13"/>
      <c r="R1216" s="13"/>
      <c r="S1216" s="13"/>
      <c r="T1216" s="15"/>
      <c r="U1216" s="46" t="str">
        <f t="shared" ref="U1216:X1220" si="522">IF($O1216=U$5,$L1216,"")</f>
        <v/>
      </c>
      <c r="V1216" s="46" t="str">
        <f t="shared" si="522"/>
        <v/>
      </c>
      <c r="W1216" s="46" t="str">
        <f t="shared" si="522"/>
        <v/>
      </c>
      <c r="X1216" s="46" t="str">
        <f t="shared" si="522"/>
        <v/>
      </c>
    </row>
    <row r="1217" spans="2:24" x14ac:dyDescent="0.25">
      <c r="B1217" s="18"/>
      <c r="C1217" s="18"/>
      <c r="D1217" s="18"/>
      <c r="E1217" s="40"/>
      <c r="F1217" s="18"/>
      <c r="G1217" s="40"/>
      <c r="N1217" s="8" t="str">
        <f>IF(R1217="x",1,"")</f>
        <v/>
      </c>
      <c r="O1217" s="18"/>
      <c r="P1217" s="13"/>
      <c r="Q1217" s="13"/>
      <c r="R1217" s="13"/>
      <c r="S1217" s="13"/>
      <c r="T1217" s="15"/>
      <c r="U1217" s="46" t="str">
        <f t="shared" si="522"/>
        <v/>
      </c>
      <c r="V1217" s="46" t="str">
        <f t="shared" si="522"/>
        <v/>
      </c>
      <c r="W1217" s="46" t="str">
        <f t="shared" si="522"/>
        <v/>
      </c>
      <c r="X1217" s="46" t="str">
        <f t="shared" si="522"/>
        <v/>
      </c>
    </row>
    <row r="1218" spans="2:24" x14ac:dyDescent="0.25">
      <c r="B1218" s="11" t="str">
        <f>CONCATENATE("CSPA","-",LEFT(P1218,2),UPPER(MID(P1218,4,3)),RIGHT(P1218,4))</f>
        <v>CSPA-19SEP1920</v>
      </c>
      <c r="C1218" s="11" t="s">
        <v>5417</v>
      </c>
      <c r="D1218" s="11" t="s">
        <v>4868</v>
      </c>
      <c r="E1218" s="39" t="s">
        <v>1575</v>
      </c>
      <c r="F1218" s="11" t="s">
        <v>3050</v>
      </c>
      <c r="G1218" s="39" t="s">
        <v>5418</v>
      </c>
      <c r="H1218" s="7">
        <v>0</v>
      </c>
      <c r="I1218" s="7">
        <v>2</v>
      </c>
      <c r="J1218" s="17"/>
      <c r="K1218" s="17"/>
      <c r="L1218" s="7">
        <f>SUM(H1218:K1218)</f>
        <v>2</v>
      </c>
      <c r="M1218" s="8">
        <v>1</v>
      </c>
      <c r="N1218" s="8">
        <f>IF(L1218&gt;0,1,"")</f>
        <v>1</v>
      </c>
      <c r="O1218" s="11" t="s">
        <v>1702</v>
      </c>
      <c r="P1218" s="16" t="str">
        <f>IF(LEN(G1218)=10,CONCATENATE("0",G1218),G1218)</f>
        <v>19-Sep-1920</v>
      </c>
      <c r="R1218" s="16" t="str">
        <f>IF($L1218&gt;0,"x","")</f>
        <v>x</v>
      </c>
      <c r="S1218" s="16" t="str">
        <f>IF($L1218&gt;0,"x","")</f>
        <v>x</v>
      </c>
      <c r="U1218" s="46" t="str">
        <f t="shared" si="522"/>
        <v/>
      </c>
      <c r="V1218" s="46">
        <f t="shared" si="522"/>
        <v>2</v>
      </c>
      <c r="W1218" s="46" t="str">
        <f t="shared" si="522"/>
        <v/>
      </c>
      <c r="X1218" s="46" t="str">
        <f t="shared" si="522"/>
        <v/>
      </c>
    </row>
    <row r="1219" spans="2:24" x14ac:dyDescent="0.25">
      <c r="N1219" s="8" t="str">
        <f>IF(R1219="x",1,"")</f>
        <v/>
      </c>
      <c r="U1219" s="46" t="str">
        <f t="shared" si="522"/>
        <v/>
      </c>
      <c r="V1219" s="46" t="str">
        <f t="shared" si="522"/>
        <v/>
      </c>
      <c r="W1219" s="46" t="str">
        <f t="shared" si="522"/>
        <v/>
      </c>
      <c r="X1219" s="46" t="str">
        <f t="shared" si="522"/>
        <v/>
      </c>
    </row>
    <row r="1220" spans="2:24" x14ac:dyDescent="0.25">
      <c r="B1220" s="18"/>
      <c r="C1220" s="18"/>
      <c r="D1220" s="18"/>
      <c r="E1220" s="40"/>
      <c r="F1220" s="18"/>
      <c r="G1220" s="40"/>
      <c r="H1220" s="7">
        <f t="shared" ref="H1220:N1220" si="523">SUM(H1218:H1219)</f>
        <v>0</v>
      </c>
      <c r="I1220" s="7">
        <f t="shared" si="523"/>
        <v>2</v>
      </c>
      <c r="J1220" s="7">
        <f>SUM(J1218:J1219)</f>
        <v>0</v>
      </c>
      <c r="K1220" s="7">
        <f t="shared" si="523"/>
        <v>0</v>
      </c>
      <c r="L1220" s="7">
        <f t="shared" si="523"/>
        <v>2</v>
      </c>
      <c r="M1220" s="7">
        <f t="shared" si="523"/>
        <v>1</v>
      </c>
      <c r="N1220" s="7">
        <f t="shared" si="523"/>
        <v>1</v>
      </c>
      <c r="O1220" s="18"/>
      <c r="P1220" s="13"/>
      <c r="Q1220" s="13"/>
      <c r="S1220" s="13"/>
      <c r="T1220" s="15"/>
      <c r="U1220" s="46" t="str">
        <f t="shared" si="522"/>
        <v/>
      </c>
      <c r="V1220" s="46" t="str">
        <f t="shared" si="522"/>
        <v/>
      </c>
      <c r="W1220" s="46" t="str">
        <f t="shared" si="522"/>
        <v/>
      </c>
      <c r="X1220" s="46" t="str">
        <f t="shared" si="522"/>
        <v/>
      </c>
    </row>
    <row r="1221" spans="2:24" x14ac:dyDescent="0.25">
      <c r="B1221" s="18"/>
      <c r="C1221" s="18"/>
      <c r="D1221" s="18"/>
      <c r="E1221" s="40"/>
      <c r="F1221" s="18"/>
      <c r="G1221" s="40"/>
      <c r="N1221" s="8" t="str">
        <f>IF(R1221="x",1,"")</f>
        <v/>
      </c>
      <c r="O1221" s="18"/>
      <c r="P1221" s="13"/>
      <c r="Q1221" s="13"/>
      <c r="R1221" s="13"/>
      <c r="S1221" s="13"/>
      <c r="T1221" s="15"/>
      <c r="U1221" s="46" t="str">
        <f t="shared" si="503"/>
        <v/>
      </c>
      <c r="V1221" s="46" t="str">
        <f t="shared" si="503"/>
        <v/>
      </c>
      <c r="W1221" s="46" t="str">
        <f t="shared" si="503"/>
        <v/>
      </c>
      <c r="X1221" s="46" t="str">
        <f t="shared" si="503"/>
        <v/>
      </c>
    </row>
    <row r="1222" spans="2:24" x14ac:dyDescent="0.25">
      <c r="B1222" s="18"/>
      <c r="C1222" s="18"/>
      <c r="D1222" s="18"/>
      <c r="E1222" s="40"/>
      <c r="F1222" s="18"/>
      <c r="G1222" s="40"/>
      <c r="N1222" s="8" t="str">
        <f>IF(R1222="x",1,"")</f>
        <v/>
      </c>
      <c r="O1222" s="18"/>
      <c r="P1222" s="13"/>
      <c r="Q1222" s="13"/>
      <c r="R1222" s="13"/>
      <c r="S1222" s="13"/>
      <c r="T1222" s="15"/>
      <c r="U1222" s="46" t="str">
        <f t="shared" si="503"/>
        <v/>
      </c>
      <c r="V1222" s="46" t="str">
        <f t="shared" si="503"/>
        <v/>
      </c>
      <c r="W1222" s="46" t="str">
        <f t="shared" si="503"/>
        <v/>
      </c>
      <c r="X1222" s="46" t="str">
        <f t="shared" si="503"/>
        <v/>
      </c>
    </row>
    <row r="1223" spans="2:24" x14ac:dyDescent="0.25">
      <c r="B1223" s="11" t="str">
        <f>CONCATENATE("COLA","-",LEFT(P1223,2),UPPER(MID(P1223,4,3)),RIGHT(P1223,4))</f>
        <v>COLA-15APR1909</v>
      </c>
      <c r="C1223" s="11" t="s">
        <v>4006</v>
      </c>
      <c r="D1223" s="11" t="s">
        <v>1906</v>
      </c>
      <c r="E1223" s="39" t="s">
        <v>2312</v>
      </c>
      <c r="F1223" s="11" t="s">
        <v>1700</v>
      </c>
      <c r="G1223" s="39" t="s">
        <v>4940</v>
      </c>
      <c r="H1223" s="7">
        <v>0</v>
      </c>
      <c r="I1223" s="7">
        <v>0</v>
      </c>
      <c r="J1223" s="17">
        <v>4</v>
      </c>
      <c r="K1223" s="17"/>
      <c r="L1223" s="7">
        <f>SUM(H1223:K1223)</f>
        <v>4</v>
      </c>
      <c r="M1223" s="8">
        <v>1</v>
      </c>
      <c r="N1223" s="8">
        <f>IF(L1223&gt;0,1,"")</f>
        <v>1</v>
      </c>
      <c r="O1223" s="11" t="s">
        <v>1702</v>
      </c>
      <c r="P1223" s="16" t="str">
        <f>IF(LEN(G1223)=10,CONCATENATE("0",G1223),G1223)</f>
        <v>15-Apr-1909</v>
      </c>
      <c r="R1223" s="16" t="str">
        <f t="shared" ref="R1223:S1226" si="524">IF($L1223&gt;0,"x","")</f>
        <v>x</v>
      </c>
      <c r="S1223" s="16" t="str">
        <f t="shared" si="524"/>
        <v>x</v>
      </c>
      <c r="U1223" s="46" t="str">
        <f t="shared" si="503"/>
        <v/>
      </c>
      <c r="V1223" s="46">
        <f t="shared" si="503"/>
        <v>4</v>
      </c>
      <c r="W1223" s="46" t="str">
        <f t="shared" si="503"/>
        <v/>
      </c>
      <c r="X1223" s="46" t="str">
        <f t="shared" si="503"/>
        <v/>
      </c>
    </row>
    <row r="1224" spans="2:24" x14ac:dyDescent="0.25">
      <c r="B1224" s="11" t="str">
        <f>CONCATENATE("COLA","-",LEFT(P1224,2),UPPER(MID(P1224,4,3)),RIGHT(P1224,4))</f>
        <v>COLA-31AUG1911</v>
      </c>
      <c r="C1224" s="11" t="s">
        <v>4006</v>
      </c>
      <c r="D1224" s="11" t="s">
        <v>1906</v>
      </c>
      <c r="E1224" s="39" t="s">
        <v>5303</v>
      </c>
      <c r="F1224" s="11" t="s">
        <v>1700</v>
      </c>
      <c r="G1224" s="39" t="s">
        <v>5304</v>
      </c>
      <c r="H1224" s="7">
        <v>0</v>
      </c>
      <c r="I1224" s="7">
        <v>0</v>
      </c>
      <c r="J1224" s="17">
        <v>18</v>
      </c>
      <c r="K1224" s="17"/>
      <c r="L1224" s="7">
        <f>SUM(H1224:K1224)</f>
        <v>18</v>
      </c>
      <c r="M1224" s="8">
        <v>1</v>
      </c>
      <c r="N1224" s="8">
        <f>IF(L1224&gt;0,1,"")</f>
        <v>1</v>
      </c>
      <c r="O1224" s="11" t="s">
        <v>1702</v>
      </c>
      <c r="P1224" s="16" t="str">
        <f>IF(LEN(G1224)=10,CONCATENATE("0",G1224),G1224)</f>
        <v>31-Aug-1911</v>
      </c>
      <c r="R1224" s="16" t="str">
        <f t="shared" si="524"/>
        <v>x</v>
      </c>
      <c r="S1224" s="16" t="str">
        <f t="shared" si="524"/>
        <v>x</v>
      </c>
      <c r="U1224" s="46" t="str">
        <f t="shared" ref="U1224:X1226" si="525">IF($O1224=U$5,$L1224,"")</f>
        <v/>
      </c>
      <c r="V1224" s="46">
        <f t="shared" si="525"/>
        <v>18</v>
      </c>
      <c r="W1224" s="46" t="str">
        <f t="shared" si="525"/>
        <v/>
      </c>
      <c r="X1224" s="46" t="str">
        <f t="shared" si="525"/>
        <v/>
      </c>
    </row>
    <row r="1225" spans="2:24" x14ac:dyDescent="0.25">
      <c r="B1225" s="11" t="str">
        <f>CONCATENATE("COLA","-",LEFT(P1225,2),UPPER(MID(P1225,4,3)),RIGHT(P1225,4))</f>
        <v>COLA-08JUN1912</v>
      </c>
      <c r="C1225" s="11" t="s">
        <v>4006</v>
      </c>
      <c r="D1225" s="11" t="s">
        <v>1906</v>
      </c>
      <c r="E1225" s="39" t="s">
        <v>1320</v>
      </c>
      <c r="F1225" s="11" t="s">
        <v>1700</v>
      </c>
      <c r="G1225" s="39" t="s">
        <v>914</v>
      </c>
      <c r="I1225" s="7">
        <v>0</v>
      </c>
      <c r="J1225" s="17">
        <v>37</v>
      </c>
      <c r="K1225" s="17"/>
      <c r="L1225" s="7">
        <f>SUM(H1225:K1225)</f>
        <v>37</v>
      </c>
      <c r="M1225" s="8">
        <v>1</v>
      </c>
      <c r="N1225" s="8">
        <f>IF(L1225&gt;0,1,"")</f>
        <v>1</v>
      </c>
      <c r="O1225" s="11" t="s">
        <v>1702</v>
      </c>
      <c r="P1225" s="16" t="str">
        <f>IF(LEN(G1225)=10,CONCATENATE("0",G1225),G1225)</f>
        <v>08-Jun-1912</v>
      </c>
      <c r="R1225" s="16" t="str">
        <f t="shared" si="524"/>
        <v>x</v>
      </c>
      <c r="S1225" s="16" t="str">
        <f t="shared" si="524"/>
        <v>x</v>
      </c>
      <c r="U1225" s="46" t="str">
        <f t="shared" si="525"/>
        <v/>
      </c>
      <c r="V1225" s="46">
        <f t="shared" si="525"/>
        <v>37</v>
      </c>
      <c r="W1225" s="46" t="str">
        <f t="shared" si="525"/>
        <v/>
      </c>
      <c r="X1225" s="46" t="str">
        <f t="shared" si="525"/>
        <v/>
      </c>
    </row>
    <row r="1226" spans="2:24" x14ac:dyDescent="0.25">
      <c r="B1226" s="11" t="str">
        <f>CONCATENATE("COLA","-",LEFT(P1226,2),UPPER(MID(P1226,4,3)),RIGHT(P1226,4))</f>
        <v>COLA-12AUG1912</v>
      </c>
      <c r="C1226" s="11" t="s">
        <v>4006</v>
      </c>
      <c r="D1226" s="11" t="s">
        <v>1906</v>
      </c>
      <c r="E1226" s="39" t="s">
        <v>4007</v>
      </c>
      <c r="F1226" s="11" t="s">
        <v>1700</v>
      </c>
      <c r="G1226" s="39" t="s">
        <v>2342</v>
      </c>
      <c r="I1226" s="7">
        <v>2</v>
      </c>
      <c r="J1226" s="17">
        <v>70</v>
      </c>
      <c r="K1226" s="17"/>
      <c r="L1226" s="7">
        <f>SUM(H1226:K1226)</f>
        <v>72</v>
      </c>
      <c r="M1226" s="8">
        <v>1</v>
      </c>
      <c r="N1226" s="8">
        <f>IF(L1226&gt;0,1,"")</f>
        <v>1</v>
      </c>
      <c r="O1226" s="11" t="s">
        <v>1702</v>
      </c>
      <c r="P1226" s="16" t="str">
        <f>IF(LEN(G1226)=10,CONCATENATE("0",G1226),G1226)</f>
        <v>12-Aug-1912</v>
      </c>
      <c r="R1226" s="16" t="str">
        <f t="shared" si="524"/>
        <v>x</v>
      </c>
      <c r="S1226" s="16" t="str">
        <f t="shared" si="524"/>
        <v>x</v>
      </c>
      <c r="U1226" s="46" t="str">
        <f t="shared" si="525"/>
        <v/>
      </c>
      <c r="V1226" s="46">
        <f t="shared" si="525"/>
        <v>72</v>
      </c>
      <c r="W1226" s="46" t="str">
        <f t="shared" si="525"/>
        <v/>
      </c>
      <c r="X1226" s="46" t="str">
        <f t="shared" si="525"/>
        <v/>
      </c>
    </row>
    <row r="1227" spans="2:24" x14ac:dyDescent="0.25">
      <c r="N1227" s="8" t="str">
        <f>IF(R1227="x",1,"")</f>
        <v/>
      </c>
      <c r="U1227" s="46" t="str">
        <f t="shared" si="503"/>
        <v/>
      </c>
      <c r="V1227" s="46" t="str">
        <f t="shared" si="503"/>
        <v/>
      </c>
      <c r="W1227" s="46" t="str">
        <f t="shared" si="503"/>
        <v/>
      </c>
      <c r="X1227" s="46" t="str">
        <f t="shared" si="503"/>
        <v/>
      </c>
    </row>
    <row r="1228" spans="2:24" x14ac:dyDescent="0.25">
      <c r="B1228" s="18"/>
      <c r="C1228" s="18"/>
      <c r="D1228" s="18"/>
      <c r="E1228" s="40"/>
      <c r="F1228" s="18"/>
      <c r="G1228" s="40"/>
      <c r="H1228" s="7">
        <f t="shared" ref="H1228:N1228" si="526">SUM(H1223:H1227)</f>
        <v>0</v>
      </c>
      <c r="I1228" s="7">
        <f t="shared" si="526"/>
        <v>2</v>
      </c>
      <c r="J1228" s="7">
        <f>SUM(J1223:J1227)</f>
        <v>129</v>
      </c>
      <c r="K1228" s="7">
        <f t="shared" si="526"/>
        <v>0</v>
      </c>
      <c r="L1228" s="7">
        <f>SUM(L1223:L1227)</f>
        <v>131</v>
      </c>
      <c r="M1228" s="7">
        <f t="shared" si="526"/>
        <v>4</v>
      </c>
      <c r="N1228" s="7">
        <f t="shared" si="526"/>
        <v>4</v>
      </c>
      <c r="O1228" s="18"/>
      <c r="P1228" s="13"/>
      <c r="Q1228" s="13"/>
      <c r="S1228" s="13"/>
      <c r="T1228" s="15"/>
      <c r="U1228" s="46" t="str">
        <f t="shared" si="503"/>
        <v/>
      </c>
      <c r="V1228" s="46" t="str">
        <f t="shared" si="503"/>
        <v/>
      </c>
      <c r="W1228" s="46" t="str">
        <f t="shared" si="503"/>
        <v/>
      </c>
      <c r="X1228" s="46" t="str">
        <f t="shared" si="503"/>
        <v/>
      </c>
    </row>
    <row r="1229" spans="2:24" x14ac:dyDescent="0.25">
      <c r="B1229" s="18"/>
      <c r="C1229" s="18"/>
      <c r="D1229" s="18"/>
      <c r="E1229" s="40"/>
      <c r="F1229" s="18"/>
      <c r="G1229" s="40"/>
      <c r="N1229" s="8" t="str">
        <f>IF(R1229="x",1,"")</f>
        <v/>
      </c>
      <c r="O1229" s="18"/>
      <c r="P1229" s="13"/>
      <c r="Q1229" s="13"/>
      <c r="R1229" s="13"/>
      <c r="S1229" s="13"/>
      <c r="T1229" s="15"/>
      <c r="U1229" s="46" t="str">
        <f t="shared" si="503"/>
        <v/>
      </c>
      <c r="V1229" s="46" t="str">
        <f t="shared" si="503"/>
        <v/>
      </c>
      <c r="W1229" s="46" t="str">
        <f t="shared" si="503"/>
        <v/>
      </c>
      <c r="X1229" s="46" t="str">
        <f t="shared" si="503"/>
        <v/>
      </c>
    </row>
    <row r="1230" spans="2:24" x14ac:dyDescent="0.25">
      <c r="B1230" s="18"/>
      <c r="C1230" s="18"/>
      <c r="D1230" s="18"/>
      <c r="E1230" s="40"/>
      <c r="F1230" s="18"/>
      <c r="G1230" s="40"/>
      <c r="N1230" s="8" t="str">
        <f>IF(R1230="x",1,"")</f>
        <v/>
      </c>
      <c r="O1230" s="18"/>
      <c r="P1230" s="13"/>
      <c r="Q1230" s="13"/>
      <c r="R1230" s="13"/>
      <c r="S1230" s="13"/>
      <c r="T1230" s="15"/>
      <c r="U1230" s="46" t="str">
        <f t="shared" si="503"/>
        <v/>
      </c>
      <c r="V1230" s="46" t="str">
        <f t="shared" si="503"/>
        <v/>
      </c>
      <c r="W1230" s="46" t="str">
        <f t="shared" si="503"/>
        <v/>
      </c>
      <c r="X1230" s="46" t="str">
        <f t="shared" si="503"/>
        <v/>
      </c>
    </row>
    <row r="1231" spans="2:24" x14ac:dyDescent="0.25">
      <c r="B1231" s="11" t="str">
        <f>CONCATENATE("COLU","-",LEFT(P1231,2),UPPER(MID(P1231,4,3)),RIGHT(P1231,4))</f>
        <v>COLU-10OCT1903</v>
      </c>
      <c r="C1231" s="11" t="s">
        <v>3649</v>
      </c>
      <c r="D1231" s="11" t="s">
        <v>2097</v>
      </c>
      <c r="E1231" s="39" t="s">
        <v>3650</v>
      </c>
      <c r="F1231" s="11" t="s">
        <v>3050</v>
      </c>
      <c r="G1231" s="39" t="s">
        <v>756</v>
      </c>
      <c r="H1231" s="7">
        <v>0</v>
      </c>
      <c r="I1231" s="7">
        <v>5</v>
      </c>
      <c r="J1231" s="17">
        <v>2</v>
      </c>
      <c r="K1231" s="17"/>
      <c r="L1231" s="7">
        <f>SUM(H1231:K1231)</f>
        <v>7</v>
      </c>
      <c r="M1231" s="8">
        <v>1</v>
      </c>
      <c r="N1231" s="8">
        <f>IF(L1231&gt;0,1,"")</f>
        <v>1</v>
      </c>
      <c r="O1231" s="11" t="s">
        <v>1702</v>
      </c>
      <c r="P1231" s="16" t="str">
        <f>IF(LEN(G1231)=10,CONCATENATE("0",G1231),G1231)</f>
        <v>10-Oct-1903</v>
      </c>
      <c r="R1231" s="16" t="str">
        <f>IF($L1231&gt;0,"x","")</f>
        <v>x</v>
      </c>
      <c r="S1231" s="16" t="str">
        <f>IF($L1231&gt;0,"x","")</f>
        <v>x</v>
      </c>
      <c r="U1231" s="46" t="str">
        <f t="shared" si="503"/>
        <v/>
      </c>
      <c r="V1231" s="46">
        <f t="shared" si="503"/>
        <v>7</v>
      </c>
      <c r="W1231" s="46" t="str">
        <f t="shared" si="503"/>
        <v/>
      </c>
      <c r="X1231" s="46" t="str">
        <f t="shared" si="503"/>
        <v/>
      </c>
    </row>
    <row r="1232" spans="2:24" x14ac:dyDescent="0.25">
      <c r="N1232" s="8" t="str">
        <f>IF(R1232="x",1,"")</f>
        <v/>
      </c>
      <c r="U1232" s="46" t="str">
        <f t="shared" si="503"/>
        <v/>
      </c>
      <c r="V1232" s="46" t="str">
        <f t="shared" si="503"/>
        <v/>
      </c>
      <c r="W1232" s="46" t="str">
        <f t="shared" si="503"/>
        <v/>
      </c>
      <c r="X1232" s="46" t="str">
        <f t="shared" si="503"/>
        <v/>
      </c>
    </row>
    <row r="1233" spans="2:24" x14ac:dyDescent="0.25">
      <c r="B1233" s="18"/>
      <c r="C1233" s="18"/>
      <c r="D1233" s="18"/>
      <c r="E1233" s="40"/>
      <c r="F1233" s="18"/>
      <c r="G1233" s="40"/>
      <c r="H1233" s="7">
        <f t="shared" ref="H1233:N1233" si="527">SUM(H1231:H1232)</f>
        <v>0</v>
      </c>
      <c r="I1233" s="7">
        <f t="shared" si="527"/>
        <v>5</v>
      </c>
      <c r="J1233" s="7">
        <f>SUM(J1231:J1232)</f>
        <v>2</v>
      </c>
      <c r="K1233" s="7">
        <f t="shared" si="527"/>
        <v>0</v>
      </c>
      <c r="L1233" s="7">
        <f t="shared" si="527"/>
        <v>7</v>
      </c>
      <c r="M1233" s="7">
        <f t="shared" si="527"/>
        <v>1</v>
      </c>
      <c r="N1233" s="7">
        <f t="shared" si="527"/>
        <v>1</v>
      </c>
      <c r="O1233" s="18"/>
      <c r="P1233" s="13"/>
      <c r="Q1233" s="13"/>
      <c r="S1233" s="13"/>
      <c r="T1233" s="15"/>
      <c r="U1233" s="46" t="str">
        <f t="shared" si="503"/>
        <v/>
      </c>
      <c r="V1233" s="46" t="str">
        <f t="shared" si="503"/>
        <v/>
      </c>
      <c r="W1233" s="46" t="str">
        <f t="shared" si="503"/>
        <v/>
      </c>
      <c r="X1233" s="46" t="str">
        <f t="shared" si="503"/>
        <v/>
      </c>
    </row>
    <row r="1234" spans="2:24" x14ac:dyDescent="0.25">
      <c r="B1234" s="18"/>
      <c r="C1234" s="18"/>
      <c r="D1234" s="18"/>
      <c r="E1234" s="40"/>
      <c r="F1234" s="18"/>
      <c r="G1234" s="40"/>
      <c r="N1234" s="8" t="str">
        <f>IF(R1234="x",1,"")</f>
        <v/>
      </c>
      <c r="O1234" s="18"/>
      <c r="P1234" s="13"/>
      <c r="Q1234" s="13"/>
      <c r="R1234" s="13"/>
      <c r="S1234" s="13"/>
      <c r="T1234" s="15"/>
      <c r="U1234" s="46" t="str">
        <f t="shared" si="503"/>
        <v/>
      </c>
      <c r="V1234" s="46" t="str">
        <f t="shared" si="503"/>
        <v/>
      </c>
      <c r="W1234" s="46" t="str">
        <f t="shared" si="503"/>
        <v/>
      </c>
      <c r="X1234" s="46" t="str">
        <f t="shared" si="503"/>
        <v/>
      </c>
    </row>
    <row r="1235" spans="2:24" x14ac:dyDescent="0.25">
      <c r="B1235" s="18"/>
      <c r="C1235" s="18"/>
      <c r="D1235" s="18"/>
      <c r="E1235" s="40"/>
      <c r="F1235" s="18"/>
      <c r="G1235" s="40"/>
      <c r="N1235" s="8" t="str">
        <f>IF(R1235="x",1,"")</f>
        <v/>
      </c>
      <c r="O1235" s="18"/>
      <c r="P1235" s="13"/>
      <c r="Q1235" s="13"/>
      <c r="R1235" s="13"/>
      <c r="S1235" s="13"/>
      <c r="T1235" s="15"/>
      <c r="U1235" s="46" t="str">
        <f t="shared" si="503"/>
        <v/>
      </c>
      <c r="V1235" s="46" t="str">
        <f t="shared" si="503"/>
        <v/>
      </c>
      <c r="W1235" s="46" t="str">
        <f t="shared" si="503"/>
        <v/>
      </c>
      <c r="X1235" s="46" t="str">
        <f t="shared" si="503"/>
        <v/>
      </c>
    </row>
    <row r="1236" spans="2:24" x14ac:dyDescent="0.25">
      <c r="B1236" s="11" t="str">
        <f>CONCATENATE("COMM","-",LEFT(P1236,2),UPPER(MID(P1236,4,3)),RIGHT(P1236,4))</f>
        <v>COMM-31JAN1901</v>
      </c>
      <c r="C1236" s="11" t="s">
        <v>4067</v>
      </c>
      <c r="D1236" s="11" t="s">
        <v>2097</v>
      </c>
      <c r="F1236" s="11" t="s">
        <v>3050</v>
      </c>
      <c r="G1236" s="39" t="s">
        <v>4690</v>
      </c>
      <c r="H1236" s="7">
        <v>0</v>
      </c>
      <c r="I1236" s="7">
        <v>0</v>
      </c>
      <c r="J1236" s="17">
        <v>6</v>
      </c>
      <c r="K1236" s="17"/>
      <c r="L1236" s="7">
        <f>SUM(H1236:K1236)</f>
        <v>6</v>
      </c>
      <c r="M1236" s="8">
        <v>1</v>
      </c>
      <c r="N1236" s="8">
        <f>IF(L1236&gt;0,1,"")</f>
        <v>1</v>
      </c>
      <c r="O1236" s="11" t="s">
        <v>1702</v>
      </c>
      <c r="P1236" s="16" t="str">
        <f>IF(LEN(G1236)=10,CONCATENATE("0",G1236),G1236)</f>
        <v>31-Jan-1901</v>
      </c>
      <c r="R1236" s="16" t="str">
        <f t="shared" ref="R1236:S1238" si="528">IF($L1236&gt;0,"x","")</f>
        <v>x</v>
      </c>
      <c r="S1236" s="16" t="str">
        <f t="shared" si="528"/>
        <v>x</v>
      </c>
      <c r="U1236" s="46" t="str">
        <f t="shared" si="503"/>
        <v/>
      </c>
      <c r="V1236" s="46">
        <f t="shared" si="503"/>
        <v>6</v>
      </c>
      <c r="W1236" s="46" t="str">
        <f t="shared" si="503"/>
        <v/>
      </c>
      <c r="X1236" s="46" t="str">
        <f t="shared" si="503"/>
        <v/>
      </c>
    </row>
    <row r="1237" spans="2:24" x14ac:dyDescent="0.25">
      <c r="B1237" s="11" t="str">
        <f>CONCATENATE("COMM","-",LEFT(P1237,2),UPPER(MID(P1237,4,3)),RIGHT(P1237,4))</f>
        <v>COMM-28APR1903</v>
      </c>
      <c r="C1237" s="11" t="s">
        <v>4067</v>
      </c>
      <c r="D1237" s="11" t="s">
        <v>3007</v>
      </c>
      <c r="E1237" s="39" t="s">
        <v>5094</v>
      </c>
      <c r="F1237" s="11" t="s">
        <v>3050</v>
      </c>
      <c r="G1237" s="39" t="s">
        <v>2608</v>
      </c>
      <c r="J1237" s="17">
        <v>12</v>
      </c>
      <c r="K1237" s="17"/>
      <c r="L1237" s="7">
        <f>SUM(H1237:K1237)</f>
        <v>12</v>
      </c>
      <c r="M1237" s="8">
        <v>1</v>
      </c>
      <c r="N1237" s="8">
        <f>IF(L1237&gt;0,1,"")</f>
        <v>1</v>
      </c>
      <c r="O1237" s="11" t="s">
        <v>1702</v>
      </c>
      <c r="P1237" s="16" t="str">
        <f>IF(LEN(G1237)=10,CONCATENATE("0",G1237),G1237)</f>
        <v>28-Apr-1903</v>
      </c>
      <c r="R1237" s="16" t="str">
        <f t="shared" si="528"/>
        <v>x</v>
      </c>
      <c r="S1237" s="16" t="str">
        <f t="shared" si="528"/>
        <v>x</v>
      </c>
      <c r="U1237" s="46" t="str">
        <f t="shared" ref="U1237:X1238" si="529">IF($O1237=U$5,$L1237,"")</f>
        <v/>
      </c>
      <c r="V1237" s="46">
        <f t="shared" si="529"/>
        <v>12</v>
      </c>
      <c r="W1237" s="46" t="str">
        <f t="shared" si="529"/>
        <v/>
      </c>
      <c r="X1237" s="46" t="str">
        <f t="shared" si="529"/>
        <v/>
      </c>
    </row>
    <row r="1238" spans="2:24" x14ac:dyDescent="0.25">
      <c r="B1238" s="11" t="str">
        <f>CONCATENATE("COMM","-",LEFT(P1238,2),UPPER(MID(P1238,4,3)),RIGHT(P1238,4))</f>
        <v>COMM-21AUG1903</v>
      </c>
      <c r="C1238" s="11" t="s">
        <v>4067</v>
      </c>
      <c r="D1238" s="11" t="s">
        <v>2097</v>
      </c>
      <c r="E1238" s="39" t="s">
        <v>4068</v>
      </c>
      <c r="F1238" s="11" t="s">
        <v>3050</v>
      </c>
      <c r="G1238" s="39" t="s">
        <v>4069</v>
      </c>
      <c r="H1238" s="7">
        <v>0</v>
      </c>
      <c r="I1238" s="7">
        <v>3</v>
      </c>
      <c r="J1238" s="17">
        <v>13</v>
      </c>
      <c r="K1238" s="17"/>
      <c r="L1238" s="7">
        <f>SUM(H1238:K1238)</f>
        <v>16</v>
      </c>
      <c r="M1238" s="8">
        <v>1</v>
      </c>
      <c r="N1238" s="8">
        <f>IF(L1238&gt;0,1,"")</f>
        <v>1</v>
      </c>
      <c r="O1238" s="11" t="s">
        <v>1702</v>
      </c>
      <c r="P1238" s="16" t="str">
        <f>IF(LEN(G1238)=10,CONCATENATE("0",G1238),G1238)</f>
        <v>21-Aug-1903</v>
      </c>
      <c r="R1238" s="16" t="str">
        <f t="shared" si="528"/>
        <v>x</v>
      </c>
      <c r="S1238" s="16" t="str">
        <f t="shared" si="528"/>
        <v>x</v>
      </c>
      <c r="U1238" s="46" t="str">
        <f t="shared" si="529"/>
        <v/>
      </c>
      <c r="V1238" s="46">
        <f t="shared" si="529"/>
        <v>16</v>
      </c>
      <c r="W1238" s="46" t="str">
        <f t="shared" si="529"/>
        <v/>
      </c>
      <c r="X1238" s="46" t="str">
        <f t="shared" si="529"/>
        <v/>
      </c>
    </row>
    <row r="1239" spans="2:24" x14ac:dyDescent="0.25">
      <c r="N1239" s="8" t="str">
        <f>IF(R1239="x",1,"")</f>
        <v/>
      </c>
      <c r="U1239" s="46" t="str">
        <f t="shared" si="503"/>
        <v/>
      </c>
      <c r="V1239" s="46" t="str">
        <f t="shared" si="503"/>
        <v/>
      </c>
      <c r="W1239" s="46" t="str">
        <f t="shared" si="503"/>
        <v/>
      </c>
      <c r="X1239" s="46" t="str">
        <f t="shared" si="503"/>
        <v/>
      </c>
    </row>
    <row r="1240" spans="2:24" x14ac:dyDescent="0.25">
      <c r="B1240" s="18"/>
      <c r="C1240" s="18"/>
      <c r="D1240" s="18"/>
      <c r="E1240" s="40"/>
      <c r="F1240" s="18"/>
      <c r="G1240" s="40"/>
      <c r="H1240" s="7">
        <f t="shared" ref="H1240:N1240" si="530">SUM(H1236:H1239)</f>
        <v>0</v>
      </c>
      <c r="I1240" s="7">
        <f t="shared" si="530"/>
        <v>3</v>
      </c>
      <c r="J1240" s="7">
        <f>SUM(J1236:J1239)</f>
        <v>31</v>
      </c>
      <c r="K1240" s="7">
        <f t="shared" si="530"/>
        <v>0</v>
      </c>
      <c r="L1240" s="7">
        <f t="shared" si="530"/>
        <v>34</v>
      </c>
      <c r="M1240" s="7">
        <f t="shared" si="530"/>
        <v>3</v>
      </c>
      <c r="N1240" s="7">
        <f t="shared" si="530"/>
        <v>3</v>
      </c>
      <c r="O1240" s="18"/>
      <c r="P1240" s="13"/>
      <c r="Q1240" s="13"/>
      <c r="S1240" s="13"/>
      <c r="T1240" s="15"/>
      <c r="U1240" s="46" t="str">
        <f t="shared" si="503"/>
        <v/>
      </c>
      <c r="V1240" s="46" t="str">
        <f t="shared" si="503"/>
        <v/>
      </c>
      <c r="W1240" s="46" t="str">
        <f t="shared" si="503"/>
        <v/>
      </c>
      <c r="X1240" s="46" t="str">
        <f t="shared" si="503"/>
        <v/>
      </c>
    </row>
    <row r="1241" spans="2:24" x14ac:dyDescent="0.25">
      <c r="B1241" s="18"/>
      <c r="C1241" s="18"/>
      <c r="D1241" s="18"/>
      <c r="E1241" s="40"/>
      <c r="F1241" s="18"/>
      <c r="G1241" s="40"/>
      <c r="N1241" s="8" t="str">
        <f>IF(R1241="x",1,"")</f>
        <v/>
      </c>
      <c r="O1241" s="18"/>
      <c r="P1241" s="13"/>
      <c r="Q1241" s="13"/>
      <c r="R1241" s="13"/>
      <c r="S1241" s="13"/>
      <c r="T1241" s="15"/>
      <c r="U1241" s="46" t="str">
        <f t="shared" si="503"/>
        <v/>
      </c>
      <c r="V1241" s="46" t="str">
        <f t="shared" si="503"/>
        <v/>
      </c>
      <c r="W1241" s="46" t="str">
        <f t="shared" si="503"/>
        <v/>
      </c>
      <c r="X1241" s="46" t="str">
        <f t="shared" si="503"/>
        <v/>
      </c>
    </row>
    <row r="1242" spans="2:24" x14ac:dyDescent="0.25">
      <c r="B1242" s="18"/>
      <c r="C1242" s="18"/>
      <c r="D1242" s="18"/>
      <c r="E1242" s="40"/>
      <c r="F1242" s="18"/>
      <c r="G1242" s="40"/>
      <c r="N1242" s="8" t="str">
        <f>IF(R1242="x",1,"")</f>
        <v/>
      </c>
      <c r="O1242" s="18"/>
      <c r="P1242" s="13"/>
      <c r="Q1242" s="13"/>
      <c r="R1242" s="13"/>
      <c r="S1242" s="13"/>
      <c r="T1242" s="15"/>
      <c r="U1242" s="46" t="str">
        <f t="shared" si="503"/>
        <v/>
      </c>
      <c r="V1242" s="46" t="str">
        <f t="shared" si="503"/>
        <v/>
      </c>
      <c r="W1242" s="46" t="str">
        <f t="shared" si="503"/>
        <v/>
      </c>
      <c r="X1242" s="46" t="str">
        <f t="shared" si="503"/>
        <v/>
      </c>
    </row>
    <row r="1243" spans="2:24" x14ac:dyDescent="0.25">
      <c r="B1243" s="11" t="str">
        <f t="shared" ref="B1243:B1248" si="531">CONCATENATE("CONS","-",LEFT(P1243,2),UPPER(MID(P1243,4,3)),RIGHT(P1243,4))</f>
        <v>CONS-02JAN1922</v>
      </c>
      <c r="C1243" s="11" t="s">
        <v>2808</v>
      </c>
      <c r="D1243" s="11" t="s">
        <v>2808</v>
      </c>
      <c r="E1243" s="39" t="s">
        <v>2977</v>
      </c>
      <c r="F1243" s="11" t="s">
        <v>1700</v>
      </c>
      <c r="G1243" s="39" t="s">
        <v>2972</v>
      </c>
      <c r="H1243" s="7">
        <v>0</v>
      </c>
      <c r="I1243" s="7">
        <v>12</v>
      </c>
      <c r="J1243" s="17">
        <f>18+1</f>
        <v>19</v>
      </c>
      <c r="K1243" s="17"/>
      <c r="L1243" s="7">
        <f t="shared" ref="L1243:L1248" si="532">SUM(H1243:K1243)</f>
        <v>31</v>
      </c>
      <c r="M1243" s="8">
        <v>1</v>
      </c>
      <c r="N1243" s="8">
        <f t="shared" ref="N1243:N1248" si="533">IF(L1243&gt;0,1,"")</f>
        <v>1</v>
      </c>
      <c r="O1243" s="11" t="s">
        <v>1702</v>
      </c>
      <c r="P1243" s="16" t="str">
        <f t="shared" ref="P1243:P1248" si="534">IF(LEN(G1243)=10,CONCATENATE("0",G1243),G1243)</f>
        <v>02-Jan-1922</v>
      </c>
      <c r="R1243" s="16" t="str">
        <f>IF($L1243&gt;0,"x","")</f>
        <v>x</v>
      </c>
      <c r="S1243" s="16" t="str">
        <f>IF($L1243&gt;0,"x","")</f>
        <v>x</v>
      </c>
      <c r="U1243" s="46" t="str">
        <f t="shared" si="503"/>
        <v/>
      </c>
      <c r="V1243" s="46">
        <f t="shared" si="503"/>
        <v>31</v>
      </c>
      <c r="W1243" s="46" t="str">
        <f t="shared" si="503"/>
        <v/>
      </c>
      <c r="X1243" s="46" t="str">
        <f t="shared" si="503"/>
        <v/>
      </c>
    </row>
    <row r="1244" spans="2:24" x14ac:dyDescent="0.25">
      <c r="B1244" s="11" t="str">
        <f t="shared" si="531"/>
        <v>CONS-02JAN1922</v>
      </c>
      <c r="C1244" s="11" t="s">
        <v>2808</v>
      </c>
      <c r="D1244" s="11" t="s">
        <v>847</v>
      </c>
      <c r="E1244" s="39" t="s">
        <v>2976</v>
      </c>
      <c r="F1244" s="11" t="s">
        <v>1700</v>
      </c>
      <c r="G1244" s="39" t="s">
        <v>2972</v>
      </c>
      <c r="H1244" s="7">
        <v>0</v>
      </c>
      <c r="I1244" s="7">
        <v>0</v>
      </c>
      <c r="J1244" s="17">
        <v>6</v>
      </c>
      <c r="K1244" s="17"/>
      <c r="L1244" s="7">
        <f t="shared" si="532"/>
        <v>6</v>
      </c>
      <c r="M1244" s="8">
        <v>1</v>
      </c>
      <c r="N1244" s="8">
        <f t="shared" si="533"/>
        <v>1</v>
      </c>
      <c r="O1244" s="11" t="s">
        <v>1702</v>
      </c>
      <c r="P1244" s="16" t="str">
        <f t="shared" si="534"/>
        <v>02-Jan-1922</v>
      </c>
      <c r="R1244" s="16" t="str">
        <f t="shared" ref="R1244:S1268" si="535">IF($L1244&gt;0,"x","")</f>
        <v>x</v>
      </c>
      <c r="S1244" s="16" t="str">
        <f t="shared" si="535"/>
        <v>x</v>
      </c>
      <c r="U1244" s="46" t="str">
        <f t="shared" si="503"/>
        <v/>
      </c>
      <c r="V1244" s="46">
        <f t="shared" si="503"/>
        <v>6</v>
      </c>
      <c r="W1244" s="46" t="str">
        <f t="shared" si="503"/>
        <v/>
      </c>
      <c r="X1244" s="46" t="str">
        <f t="shared" si="503"/>
        <v/>
      </c>
    </row>
    <row r="1245" spans="2:24" x14ac:dyDescent="0.25">
      <c r="B1245" s="11" t="str">
        <f t="shared" si="531"/>
        <v>CONS-02JAN1922</v>
      </c>
      <c r="C1245" s="11" t="s">
        <v>2808</v>
      </c>
      <c r="D1245" s="11" t="s">
        <v>1906</v>
      </c>
      <c r="E1245" s="39" t="s">
        <v>2978</v>
      </c>
      <c r="F1245" s="11" t="s">
        <v>1700</v>
      </c>
      <c r="G1245" s="39" t="s">
        <v>2972</v>
      </c>
      <c r="H1245" s="7">
        <v>0</v>
      </c>
      <c r="I1245" s="7">
        <v>0</v>
      </c>
      <c r="J1245" s="17">
        <v>0</v>
      </c>
      <c r="K1245" s="17"/>
      <c r="L1245" s="7">
        <f t="shared" si="532"/>
        <v>0</v>
      </c>
      <c r="M1245" s="8">
        <v>1</v>
      </c>
      <c r="N1245" s="8" t="str">
        <f t="shared" si="533"/>
        <v/>
      </c>
      <c r="O1245" s="11" t="s">
        <v>1702</v>
      </c>
      <c r="P1245" s="16" t="str">
        <f t="shared" si="534"/>
        <v>02-Jan-1922</v>
      </c>
      <c r="R1245" s="16" t="str">
        <f t="shared" si="535"/>
        <v/>
      </c>
      <c r="S1245" s="16" t="str">
        <f t="shared" si="535"/>
        <v/>
      </c>
      <c r="U1245" s="46" t="str">
        <f t="shared" si="503"/>
        <v/>
      </c>
      <c r="V1245" s="46">
        <f t="shared" si="503"/>
        <v>0</v>
      </c>
      <c r="W1245" s="46" t="str">
        <f t="shared" si="503"/>
        <v/>
      </c>
      <c r="X1245" s="46" t="str">
        <f t="shared" si="503"/>
        <v/>
      </c>
    </row>
    <row r="1246" spans="2:24" x14ac:dyDescent="0.25">
      <c r="B1246" s="11" t="str">
        <f t="shared" si="531"/>
        <v>CONS-16MAR1922</v>
      </c>
      <c r="C1246" s="11" t="s">
        <v>2808</v>
      </c>
      <c r="D1246" s="11" t="s">
        <v>2808</v>
      </c>
      <c r="E1246" s="39" t="s">
        <v>2967</v>
      </c>
      <c r="F1246" s="11" t="s">
        <v>1700</v>
      </c>
      <c r="G1246" s="39" t="s">
        <v>2963</v>
      </c>
      <c r="H1246" s="7">
        <v>3</v>
      </c>
      <c r="I1246" s="7">
        <f>3+3</f>
        <v>6</v>
      </c>
      <c r="J1246" s="17">
        <v>38</v>
      </c>
      <c r="K1246" s="17"/>
      <c r="L1246" s="7">
        <f t="shared" si="532"/>
        <v>47</v>
      </c>
      <c r="M1246" s="8">
        <v>1</v>
      </c>
      <c r="N1246" s="8">
        <f t="shared" si="533"/>
        <v>1</v>
      </c>
      <c r="O1246" s="11" t="s">
        <v>1702</v>
      </c>
      <c r="P1246" s="16" t="str">
        <f t="shared" si="534"/>
        <v>16-Mar-1922</v>
      </c>
      <c r="R1246" s="16" t="str">
        <f t="shared" si="535"/>
        <v>x</v>
      </c>
      <c r="S1246" s="16" t="str">
        <f t="shared" si="535"/>
        <v>x</v>
      </c>
      <c r="U1246" s="46" t="str">
        <f t="shared" si="503"/>
        <v/>
      </c>
      <c r="V1246" s="46">
        <f t="shared" si="503"/>
        <v>47</v>
      </c>
      <c r="W1246" s="46" t="str">
        <f t="shared" si="503"/>
        <v/>
      </c>
      <c r="X1246" s="46" t="str">
        <f t="shared" si="503"/>
        <v/>
      </c>
    </row>
    <row r="1247" spans="2:24" x14ac:dyDescent="0.25">
      <c r="B1247" s="11" t="str">
        <f t="shared" si="531"/>
        <v>CONS-16MAR1922</v>
      </c>
      <c r="C1247" s="11" t="s">
        <v>2808</v>
      </c>
      <c r="D1247" s="11" t="s">
        <v>847</v>
      </c>
      <c r="E1247" s="39" t="s">
        <v>2966</v>
      </c>
      <c r="F1247" s="11" t="s">
        <v>1700</v>
      </c>
      <c r="G1247" s="39" t="s">
        <v>2963</v>
      </c>
      <c r="H1247" s="7">
        <v>0</v>
      </c>
      <c r="I1247" s="7">
        <v>0</v>
      </c>
      <c r="J1247" s="17">
        <v>2</v>
      </c>
      <c r="K1247" s="17"/>
      <c r="L1247" s="7">
        <f t="shared" si="532"/>
        <v>2</v>
      </c>
      <c r="M1247" s="8">
        <v>1</v>
      </c>
      <c r="N1247" s="8">
        <f t="shared" si="533"/>
        <v>1</v>
      </c>
      <c r="O1247" s="11" t="s">
        <v>1702</v>
      </c>
      <c r="P1247" s="16" t="str">
        <f t="shared" si="534"/>
        <v>16-Mar-1922</v>
      </c>
      <c r="R1247" s="16" t="str">
        <f t="shared" si="535"/>
        <v>x</v>
      </c>
      <c r="S1247" s="16" t="str">
        <f t="shared" si="535"/>
        <v>x</v>
      </c>
      <c r="U1247" s="46" t="str">
        <f t="shared" si="503"/>
        <v/>
      </c>
      <c r="V1247" s="46">
        <f t="shared" si="503"/>
        <v>2</v>
      </c>
      <c r="W1247" s="46" t="str">
        <f t="shared" si="503"/>
        <v/>
      </c>
      <c r="X1247" s="46" t="str">
        <f t="shared" si="503"/>
        <v/>
      </c>
    </row>
    <row r="1248" spans="2:24" x14ac:dyDescent="0.25">
      <c r="B1248" s="11" t="str">
        <f t="shared" si="531"/>
        <v>CONS-16MAR1922</v>
      </c>
      <c r="C1248" s="11" t="s">
        <v>2808</v>
      </c>
      <c r="D1248" s="11" t="s">
        <v>1906</v>
      </c>
      <c r="E1248" s="39" t="s">
        <v>2965</v>
      </c>
      <c r="F1248" s="11" t="s">
        <v>1700</v>
      </c>
      <c r="G1248" s="39" t="s">
        <v>2963</v>
      </c>
      <c r="H1248" s="7">
        <v>0</v>
      </c>
      <c r="I1248" s="7">
        <v>0</v>
      </c>
      <c r="J1248" s="17">
        <v>0</v>
      </c>
      <c r="K1248" s="17"/>
      <c r="L1248" s="7">
        <f t="shared" si="532"/>
        <v>0</v>
      </c>
      <c r="M1248" s="8">
        <v>1</v>
      </c>
      <c r="N1248" s="8" t="str">
        <f t="shared" si="533"/>
        <v/>
      </c>
      <c r="O1248" s="11" t="s">
        <v>1702</v>
      </c>
      <c r="P1248" s="16" t="str">
        <f t="shared" si="534"/>
        <v>16-Mar-1922</v>
      </c>
      <c r="R1248" s="16" t="str">
        <f t="shared" si="535"/>
        <v/>
      </c>
      <c r="S1248" s="16" t="str">
        <f t="shared" si="535"/>
        <v/>
      </c>
      <c r="U1248" s="46" t="str">
        <f t="shared" si="503"/>
        <v/>
      </c>
      <c r="V1248" s="46">
        <f t="shared" si="503"/>
        <v>0</v>
      </c>
      <c r="W1248" s="46" t="str">
        <f t="shared" si="503"/>
        <v/>
      </c>
      <c r="X1248" s="46" t="str">
        <f t="shared" si="503"/>
        <v/>
      </c>
    </row>
    <row r="1249" spans="2:24" x14ac:dyDescent="0.25">
      <c r="B1249" s="11" t="str">
        <f t="shared" ref="B1249:B1266" si="536">CONCATENATE("CONS","-",LEFT(P1249,2),UPPER(MID(P1249,4,3)),RIGHT(P1249,4))</f>
        <v>CONS-22MAY1922</v>
      </c>
      <c r="C1249" s="11" t="s">
        <v>2808</v>
      </c>
      <c r="D1249" s="11" t="s">
        <v>2808</v>
      </c>
      <c r="E1249" s="39" t="s">
        <v>1156</v>
      </c>
      <c r="F1249" s="11" t="s">
        <v>1700</v>
      </c>
      <c r="G1249" s="39" t="s">
        <v>2975</v>
      </c>
      <c r="H1249" s="7">
        <v>0</v>
      </c>
      <c r="I1249" s="7">
        <v>0</v>
      </c>
      <c r="J1249" s="17">
        <v>2</v>
      </c>
      <c r="K1249" s="17"/>
      <c r="L1249" s="7">
        <f t="shared" ref="L1249:L1266" si="537">SUM(H1249:K1249)</f>
        <v>2</v>
      </c>
      <c r="M1249" s="8">
        <v>1</v>
      </c>
      <c r="N1249" s="8">
        <f t="shared" ref="N1249:N1266" si="538">IF(L1249&gt;0,1,"")</f>
        <v>1</v>
      </c>
      <c r="O1249" s="11" t="s">
        <v>1702</v>
      </c>
      <c r="P1249" s="16" t="str">
        <f t="shared" ref="P1249:P1266" si="539">IF(LEN(G1249)=10,CONCATENATE("0",G1249),G1249)</f>
        <v>22-May-1922</v>
      </c>
      <c r="R1249" s="16" t="str">
        <f t="shared" si="535"/>
        <v>x</v>
      </c>
      <c r="S1249" s="16" t="str">
        <f t="shared" si="535"/>
        <v>x</v>
      </c>
      <c r="U1249" s="46" t="str">
        <f t="shared" si="503"/>
        <v/>
      </c>
      <c r="V1249" s="46">
        <f t="shared" si="503"/>
        <v>2</v>
      </c>
      <c r="W1249" s="46" t="str">
        <f t="shared" si="503"/>
        <v/>
      </c>
      <c r="X1249" s="46" t="str">
        <f t="shared" si="503"/>
        <v/>
      </c>
    </row>
    <row r="1250" spans="2:24" x14ac:dyDescent="0.25">
      <c r="B1250" s="11" t="str">
        <f>CONCATENATE("CONS","-",LEFT(P1250,2),UPPER(MID(P1250,4,3)),RIGHT(P1250,4))</f>
        <v>CONS-22MAY1922</v>
      </c>
      <c r="C1250" s="11" t="s">
        <v>2808</v>
      </c>
      <c r="D1250" s="11" t="s">
        <v>847</v>
      </c>
      <c r="E1250" s="39" t="s">
        <v>2979</v>
      </c>
      <c r="F1250" s="11" t="s">
        <v>1700</v>
      </c>
      <c r="G1250" s="39" t="s">
        <v>2975</v>
      </c>
      <c r="H1250" s="7">
        <v>0</v>
      </c>
      <c r="I1250" s="7">
        <v>2</v>
      </c>
      <c r="J1250" s="17">
        <v>0</v>
      </c>
      <c r="K1250" s="17"/>
      <c r="L1250" s="7">
        <f>SUM(H1250:K1250)</f>
        <v>2</v>
      </c>
      <c r="M1250" s="8">
        <v>1</v>
      </c>
      <c r="N1250" s="8">
        <f>IF(L1250&gt;0,1,"")</f>
        <v>1</v>
      </c>
      <c r="O1250" s="11" t="s">
        <v>1702</v>
      </c>
      <c r="P1250" s="16" t="str">
        <f>IF(LEN(G1250)=10,CONCATENATE("0",G1250),G1250)</f>
        <v>22-May-1922</v>
      </c>
      <c r="R1250" s="16" t="str">
        <f t="shared" si="535"/>
        <v>x</v>
      </c>
      <c r="S1250" s="16" t="str">
        <f t="shared" si="535"/>
        <v>x</v>
      </c>
      <c r="U1250" s="46" t="str">
        <f t="shared" si="503"/>
        <v/>
      </c>
      <c r="V1250" s="46">
        <f t="shared" si="503"/>
        <v>2</v>
      </c>
      <c r="W1250" s="46" t="str">
        <f t="shared" si="503"/>
        <v/>
      </c>
      <c r="X1250" s="46" t="str">
        <f t="shared" si="503"/>
        <v/>
      </c>
    </row>
    <row r="1251" spans="2:24" x14ac:dyDescent="0.25">
      <c r="B1251" s="11" t="str">
        <f>CONCATENATE("CONS","-",LEFT(P1251,2),UPPER(MID(P1251,4,3)),RIGHT(P1251,4))</f>
        <v>CONS-02AUG1922</v>
      </c>
      <c r="C1251" s="11" t="s">
        <v>2808</v>
      </c>
      <c r="D1251" s="11" t="s">
        <v>2985</v>
      </c>
      <c r="E1251" s="39" t="s">
        <v>2986</v>
      </c>
      <c r="F1251" s="11" t="s">
        <v>1700</v>
      </c>
      <c r="G1251" s="39" t="s">
        <v>2971</v>
      </c>
      <c r="H1251" s="7">
        <v>0</v>
      </c>
      <c r="I1251" s="7">
        <v>0</v>
      </c>
      <c r="J1251" s="17">
        <v>1</v>
      </c>
      <c r="K1251" s="17"/>
      <c r="L1251" s="7">
        <f>SUM(H1251:K1251)</f>
        <v>1</v>
      </c>
      <c r="M1251" s="8">
        <v>1</v>
      </c>
      <c r="N1251" s="8">
        <f>IF(L1251&gt;0,1,"")</f>
        <v>1</v>
      </c>
      <c r="O1251" s="11" t="s">
        <v>1702</v>
      </c>
      <c r="P1251" s="16" t="str">
        <f>IF(LEN(G1251)=10,CONCATENATE("0",G1251),G1251)</f>
        <v>02-Aug-1922</v>
      </c>
      <c r="R1251" s="16" t="str">
        <f t="shared" si="535"/>
        <v>x</v>
      </c>
      <c r="S1251" s="16" t="str">
        <f t="shared" si="535"/>
        <v>x</v>
      </c>
      <c r="U1251" s="46" t="str">
        <f t="shared" si="503"/>
        <v/>
      </c>
      <c r="V1251" s="46">
        <f t="shared" si="503"/>
        <v>1</v>
      </c>
      <c r="W1251" s="46" t="str">
        <f t="shared" si="503"/>
        <v/>
      </c>
      <c r="X1251" s="46" t="str">
        <f t="shared" si="503"/>
        <v/>
      </c>
    </row>
    <row r="1252" spans="2:24" x14ac:dyDescent="0.25">
      <c r="B1252" s="11" t="str">
        <f t="shared" si="536"/>
        <v>CONS-02AUG1922</v>
      </c>
      <c r="C1252" s="11" t="s">
        <v>2808</v>
      </c>
      <c r="D1252" s="11" t="s">
        <v>2808</v>
      </c>
      <c r="E1252" s="39" t="s">
        <v>2980</v>
      </c>
      <c r="F1252" s="11" t="s">
        <v>1700</v>
      </c>
      <c r="G1252" s="39" t="s">
        <v>2971</v>
      </c>
      <c r="H1252" s="7">
        <v>0</v>
      </c>
      <c r="I1252" s="7">
        <v>30</v>
      </c>
      <c r="J1252" s="17">
        <v>49</v>
      </c>
      <c r="K1252" s="17"/>
      <c r="L1252" s="7">
        <f t="shared" si="537"/>
        <v>79</v>
      </c>
      <c r="M1252" s="8">
        <v>1</v>
      </c>
      <c r="N1252" s="8">
        <f t="shared" si="538"/>
        <v>1</v>
      </c>
      <c r="O1252" s="11" t="s">
        <v>1702</v>
      </c>
      <c r="P1252" s="16" t="str">
        <f t="shared" si="539"/>
        <v>02-Aug-1922</v>
      </c>
      <c r="R1252" s="16" t="str">
        <f t="shared" si="535"/>
        <v>x</v>
      </c>
      <c r="S1252" s="16" t="str">
        <f t="shared" si="535"/>
        <v>x</v>
      </c>
      <c r="U1252" s="46" t="str">
        <f t="shared" si="503"/>
        <v/>
      </c>
      <c r="V1252" s="46">
        <f t="shared" si="503"/>
        <v>79</v>
      </c>
      <c r="W1252" s="46" t="str">
        <f t="shared" si="503"/>
        <v/>
      </c>
      <c r="X1252" s="46" t="str">
        <f t="shared" si="503"/>
        <v/>
      </c>
    </row>
    <row r="1253" spans="2:24" x14ac:dyDescent="0.25">
      <c r="B1253" s="11" t="str">
        <f t="shared" si="536"/>
        <v>CONS-02AUG1922</v>
      </c>
      <c r="C1253" s="11" t="s">
        <v>2808</v>
      </c>
      <c r="D1253" s="11" t="s">
        <v>2983</v>
      </c>
      <c r="E1253" s="39" t="s">
        <v>2984</v>
      </c>
      <c r="F1253" s="11" t="s">
        <v>1700</v>
      </c>
      <c r="G1253" s="39" t="s">
        <v>2971</v>
      </c>
      <c r="H1253" s="7">
        <v>0</v>
      </c>
      <c r="I1253" s="7">
        <v>2</v>
      </c>
      <c r="J1253" s="17">
        <v>2</v>
      </c>
      <c r="K1253" s="17"/>
      <c r="L1253" s="7">
        <f t="shared" si="537"/>
        <v>4</v>
      </c>
      <c r="M1253" s="8">
        <v>1</v>
      </c>
      <c r="N1253" s="8">
        <f t="shared" si="538"/>
        <v>1</v>
      </c>
      <c r="O1253" s="11" t="s">
        <v>1702</v>
      </c>
      <c r="P1253" s="16" t="str">
        <f t="shared" si="539"/>
        <v>02-Aug-1922</v>
      </c>
      <c r="R1253" s="16" t="str">
        <f t="shared" si="535"/>
        <v>x</v>
      </c>
      <c r="S1253" s="16" t="str">
        <f t="shared" si="535"/>
        <v>x</v>
      </c>
      <c r="U1253" s="46" t="str">
        <f t="shared" si="503"/>
        <v/>
      </c>
      <c r="V1253" s="46">
        <f t="shared" si="503"/>
        <v>4</v>
      </c>
      <c r="W1253" s="46" t="str">
        <f t="shared" si="503"/>
        <v/>
      </c>
      <c r="X1253" s="46" t="str">
        <f t="shared" si="503"/>
        <v/>
      </c>
    </row>
    <row r="1254" spans="2:24" x14ac:dyDescent="0.25">
      <c r="B1254" s="11" t="str">
        <f>CONCATENATE("CONS","-",LEFT(P1254,2),UPPER(MID(P1254,4,3)),RIGHT(P1254,4))</f>
        <v>CONS-02AUG1922</v>
      </c>
      <c r="C1254" s="11" t="s">
        <v>2808</v>
      </c>
      <c r="D1254" s="11" t="s">
        <v>847</v>
      </c>
      <c r="E1254" s="39" t="s">
        <v>2982</v>
      </c>
      <c r="F1254" s="11" t="s">
        <v>1700</v>
      </c>
      <c r="G1254" s="39" t="s">
        <v>2971</v>
      </c>
      <c r="H1254" s="7">
        <v>0</v>
      </c>
      <c r="I1254" s="7">
        <v>0</v>
      </c>
      <c r="J1254" s="17">
        <v>49</v>
      </c>
      <c r="K1254" s="17"/>
      <c r="L1254" s="7">
        <f>SUM(H1254:K1254)</f>
        <v>49</v>
      </c>
      <c r="M1254" s="8">
        <v>1</v>
      </c>
      <c r="N1254" s="8">
        <f>IF(L1254&gt;0,1,"")</f>
        <v>1</v>
      </c>
      <c r="O1254" s="11" t="s">
        <v>1702</v>
      </c>
      <c r="P1254" s="16" t="str">
        <f>IF(LEN(G1254)=10,CONCATENATE("0",G1254),G1254)</f>
        <v>02-Aug-1922</v>
      </c>
      <c r="R1254" s="16" t="str">
        <f t="shared" si="535"/>
        <v>x</v>
      </c>
      <c r="S1254" s="16" t="str">
        <f t="shared" si="535"/>
        <v>x</v>
      </c>
      <c r="U1254" s="46" t="str">
        <f t="shared" si="503"/>
        <v/>
      </c>
      <c r="V1254" s="46">
        <f t="shared" si="503"/>
        <v>49</v>
      </c>
      <c r="W1254" s="46" t="str">
        <f t="shared" si="503"/>
        <v/>
      </c>
      <c r="X1254" s="46" t="str">
        <f t="shared" si="503"/>
        <v/>
      </c>
    </row>
    <row r="1255" spans="2:24" x14ac:dyDescent="0.25">
      <c r="B1255" s="11" t="str">
        <f>CONCATENATE("CONS","-",LEFT(P1255,2),UPPER(MID(P1255,4,3)),RIGHT(P1255,4))</f>
        <v>CONS-02AUG1922</v>
      </c>
      <c r="C1255" s="11" t="s">
        <v>2808</v>
      </c>
      <c r="D1255" s="11" t="s">
        <v>1906</v>
      </c>
      <c r="E1255" s="39" t="s">
        <v>2981</v>
      </c>
      <c r="F1255" s="11" t="s">
        <v>1700</v>
      </c>
      <c r="G1255" s="39" t="s">
        <v>2971</v>
      </c>
      <c r="H1255" s="7">
        <v>0</v>
      </c>
      <c r="I1255" s="7">
        <v>0</v>
      </c>
      <c r="J1255" s="17">
        <v>0</v>
      </c>
      <c r="K1255" s="17"/>
      <c r="L1255" s="7">
        <f>SUM(H1255:K1255)</f>
        <v>0</v>
      </c>
      <c r="M1255" s="8">
        <v>1</v>
      </c>
      <c r="N1255" s="8" t="str">
        <f>IF(L1255&gt;0,1,"")</f>
        <v/>
      </c>
      <c r="O1255" s="11" t="s">
        <v>1702</v>
      </c>
      <c r="P1255" s="16" t="str">
        <f>IF(LEN(G1255)=10,CONCATENATE("0",G1255),G1255)</f>
        <v>02-Aug-1922</v>
      </c>
      <c r="R1255" s="16" t="str">
        <f t="shared" si="535"/>
        <v/>
      </c>
      <c r="S1255" s="16" t="str">
        <f t="shared" si="535"/>
        <v/>
      </c>
      <c r="U1255" s="46" t="str">
        <f t="shared" si="503"/>
        <v/>
      </c>
      <c r="V1255" s="46">
        <f t="shared" si="503"/>
        <v>0</v>
      </c>
      <c r="W1255" s="46" t="str">
        <f t="shared" si="503"/>
        <v/>
      </c>
      <c r="X1255" s="46" t="str">
        <f t="shared" si="503"/>
        <v/>
      </c>
    </row>
    <row r="1256" spans="2:24" x14ac:dyDescent="0.25">
      <c r="B1256" s="11" t="str">
        <f t="shared" si="536"/>
        <v>CONS-02OCT1922</v>
      </c>
      <c r="C1256" s="11" t="s">
        <v>2808</v>
      </c>
      <c r="D1256" s="11" t="s">
        <v>2808</v>
      </c>
      <c r="E1256" s="39" t="s">
        <v>2959</v>
      </c>
      <c r="F1256" s="11" t="s">
        <v>1700</v>
      </c>
      <c r="G1256" s="39" t="s">
        <v>2960</v>
      </c>
      <c r="H1256" s="7">
        <v>6</v>
      </c>
      <c r="I1256" s="7">
        <v>69</v>
      </c>
      <c r="J1256" s="17">
        <v>70</v>
      </c>
      <c r="K1256" s="17"/>
      <c r="L1256" s="7">
        <f t="shared" si="537"/>
        <v>145</v>
      </c>
      <c r="M1256" s="8">
        <v>1</v>
      </c>
      <c r="N1256" s="8">
        <f t="shared" si="538"/>
        <v>1</v>
      </c>
      <c r="O1256" s="11" t="s">
        <v>1702</v>
      </c>
      <c r="P1256" s="16" t="str">
        <f t="shared" si="539"/>
        <v>02-Oct-1922</v>
      </c>
      <c r="R1256" s="16" t="str">
        <f t="shared" si="535"/>
        <v>x</v>
      </c>
      <c r="S1256" s="16" t="str">
        <f t="shared" si="535"/>
        <v>x</v>
      </c>
      <c r="U1256" s="46" t="str">
        <f t="shared" si="503"/>
        <v/>
      </c>
      <c r="V1256" s="46">
        <f t="shared" si="503"/>
        <v>145</v>
      </c>
      <c r="W1256" s="46" t="str">
        <f t="shared" si="503"/>
        <v/>
      </c>
      <c r="X1256" s="46" t="str">
        <f t="shared" si="503"/>
        <v/>
      </c>
    </row>
    <row r="1257" spans="2:24" x14ac:dyDescent="0.25">
      <c r="B1257" s="11" t="str">
        <f t="shared" si="536"/>
        <v>CONS-02OCT1922</v>
      </c>
      <c r="C1257" s="11" t="s">
        <v>2808</v>
      </c>
      <c r="D1257" s="11" t="s">
        <v>847</v>
      </c>
      <c r="E1257" s="39" t="s">
        <v>2961</v>
      </c>
      <c r="F1257" s="11" t="s">
        <v>1700</v>
      </c>
      <c r="G1257" s="39" t="s">
        <v>2960</v>
      </c>
      <c r="H1257" s="7">
        <v>3</v>
      </c>
      <c r="I1257" s="7">
        <v>15</v>
      </c>
      <c r="J1257" s="17">
        <v>21</v>
      </c>
      <c r="K1257" s="17"/>
      <c r="L1257" s="7">
        <f t="shared" si="537"/>
        <v>39</v>
      </c>
      <c r="M1257" s="8">
        <v>1</v>
      </c>
      <c r="N1257" s="8">
        <f t="shared" si="538"/>
        <v>1</v>
      </c>
      <c r="O1257" s="11" t="s">
        <v>1702</v>
      </c>
      <c r="P1257" s="16" t="str">
        <f t="shared" si="539"/>
        <v>02-Oct-1922</v>
      </c>
      <c r="R1257" s="16" t="str">
        <f t="shared" si="535"/>
        <v>x</v>
      </c>
      <c r="S1257" s="16" t="str">
        <f t="shared" si="535"/>
        <v>x</v>
      </c>
      <c r="U1257" s="46" t="str">
        <f t="shared" si="503"/>
        <v/>
      </c>
      <c r="V1257" s="46">
        <f t="shared" si="503"/>
        <v>39</v>
      </c>
      <c r="W1257" s="46" t="str">
        <f t="shared" si="503"/>
        <v/>
      </c>
      <c r="X1257" s="46" t="str">
        <f t="shared" si="503"/>
        <v/>
      </c>
    </row>
    <row r="1258" spans="2:24" x14ac:dyDescent="0.25">
      <c r="B1258" s="11" t="str">
        <f t="shared" si="536"/>
        <v>CONS-02OCT1922</v>
      </c>
      <c r="C1258" s="11" t="s">
        <v>2808</v>
      </c>
      <c r="D1258" s="11" t="s">
        <v>1906</v>
      </c>
      <c r="E1258" s="39" t="s">
        <v>2962</v>
      </c>
      <c r="F1258" s="11" t="s">
        <v>1700</v>
      </c>
      <c r="G1258" s="39" t="s">
        <v>2960</v>
      </c>
      <c r="H1258" s="7">
        <v>0</v>
      </c>
      <c r="I1258" s="7">
        <v>0</v>
      </c>
      <c r="J1258" s="17">
        <v>3</v>
      </c>
      <c r="K1258" s="17"/>
      <c r="L1258" s="7">
        <f t="shared" si="537"/>
        <v>3</v>
      </c>
      <c r="M1258" s="8">
        <v>1</v>
      </c>
      <c r="N1258" s="8">
        <f t="shared" si="538"/>
        <v>1</v>
      </c>
      <c r="O1258" s="11" t="s">
        <v>1702</v>
      </c>
      <c r="P1258" s="16" t="str">
        <f t="shared" si="539"/>
        <v>02-Oct-1922</v>
      </c>
      <c r="R1258" s="16" t="str">
        <f t="shared" si="535"/>
        <v>x</v>
      </c>
      <c r="S1258" s="16" t="str">
        <f t="shared" si="535"/>
        <v>x</v>
      </c>
      <c r="U1258" s="46" t="str">
        <f t="shared" si="503"/>
        <v/>
      </c>
      <c r="V1258" s="46">
        <f t="shared" si="503"/>
        <v>3</v>
      </c>
      <c r="W1258" s="46" t="str">
        <f t="shared" si="503"/>
        <v/>
      </c>
      <c r="X1258" s="46" t="str">
        <f t="shared" si="503"/>
        <v/>
      </c>
    </row>
    <row r="1259" spans="2:24" x14ac:dyDescent="0.25">
      <c r="B1259" s="11" t="str">
        <f t="shared" si="536"/>
        <v>CONS-08DEC1922</v>
      </c>
      <c r="C1259" s="11" t="s">
        <v>2808</v>
      </c>
      <c r="D1259" s="11" t="s">
        <v>2808</v>
      </c>
      <c r="E1259" s="39" t="s">
        <v>2987</v>
      </c>
      <c r="F1259" s="11" t="s">
        <v>1700</v>
      </c>
      <c r="G1259" s="39" t="s">
        <v>2973</v>
      </c>
      <c r="H1259" s="7">
        <v>2</v>
      </c>
      <c r="I1259" s="7">
        <v>10</v>
      </c>
      <c r="J1259" s="17">
        <v>13</v>
      </c>
      <c r="K1259" s="17"/>
      <c r="L1259" s="7">
        <f t="shared" si="537"/>
        <v>25</v>
      </c>
      <c r="M1259" s="8">
        <v>1</v>
      </c>
      <c r="N1259" s="8">
        <f t="shared" si="538"/>
        <v>1</v>
      </c>
      <c r="O1259" s="11" t="s">
        <v>1702</v>
      </c>
      <c r="P1259" s="16" t="str">
        <f t="shared" si="539"/>
        <v>08-Dec-1922</v>
      </c>
      <c r="R1259" s="16" t="str">
        <f t="shared" si="535"/>
        <v>x</v>
      </c>
      <c r="S1259" s="16" t="str">
        <f t="shared" si="535"/>
        <v>x</v>
      </c>
      <c r="U1259" s="46" t="str">
        <f t="shared" si="503"/>
        <v/>
      </c>
      <c r="V1259" s="46">
        <f t="shared" si="503"/>
        <v>25</v>
      </c>
      <c r="W1259" s="46" t="str">
        <f t="shared" si="503"/>
        <v/>
      </c>
      <c r="X1259" s="46" t="str">
        <f t="shared" si="503"/>
        <v/>
      </c>
    </row>
    <row r="1260" spans="2:24" x14ac:dyDescent="0.25">
      <c r="B1260" s="11" t="str">
        <f>CONCATENATE("CONS","-",LEFT(P1260,2),UPPER(MID(P1260,4,3)),RIGHT(P1260,4))</f>
        <v>CONS-08DEC1922</v>
      </c>
      <c r="C1260" s="11" t="s">
        <v>2808</v>
      </c>
      <c r="D1260" s="11" t="s">
        <v>847</v>
      </c>
      <c r="E1260" s="39" t="s">
        <v>2989</v>
      </c>
      <c r="F1260" s="11" t="s">
        <v>1700</v>
      </c>
      <c r="G1260" s="39" t="s">
        <v>2973</v>
      </c>
      <c r="H1260" s="7">
        <v>2</v>
      </c>
      <c r="I1260" s="7">
        <v>0</v>
      </c>
      <c r="J1260" s="17">
        <v>0</v>
      </c>
      <c r="K1260" s="17"/>
      <c r="L1260" s="7">
        <f>SUM(H1260:K1260)</f>
        <v>2</v>
      </c>
      <c r="M1260" s="8">
        <v>1</v>
      </c>
      <c r="N1260" s="8">
        <f>IF(L1260&gt;0,1,"")</f>
        <v>1</v>
      </c>
      <c r="O1260" s="11" t="s">
        <v>1702</v>
      </c>
      <c r="P1260" s="16" t="str">
        <f>IF(LEN(G1260)=10,CONCATENATE("0",G1260),G1260)</f>
        <v>08-Dec-1922</v>
      </c>
      <c r="R1260" s="16" t="str">
        <f t="shared" si="535"/>
        <v>x</v>
      </c>
      <c r="S1260" s="16" t="str">
        <f t="shared" si="535"/>
        <v>x</v>
      </c>
      <c r="U1260" s="46" t="str">
        <f t="shared" si="503"/>
        <v/>
      </c>
      <c r="V1260" s="46">
        <f t="shared" si="503"/>
        <v>2</v>
      </c>
      <c r="W1260" s="46" t="str">
        <f t="shared" si="503"/>
        <v/>
      </c>
      <c r="X1260" s="46" t="str">
        <f t="shared" si="503"/>
        <v/>
      </c>
    </row>
    <row r="1261" spans="2:24" x14ac:dyDescent="0.25">
      <c r="B1261" s="11" t="str">
        <f>CONCATENATE("CONS","-",LEFT(P1261,2),UPPER(MID(P1261,4,3)),RIGHT(P1261,4))</f>
        <v>CONS-08DEC1922</v>
      </c>
      <c r="C1261" s="11" t="s">
        <v>2808</v>
      </c>
      <c r="D1261" s="11" t="s">
        <v>1906</v>
      </c>
      <c r="E1261" s="39" t="s">
        <v>2988</v>
      </c>
      <c r="F1261" s="11" t="s">
        <v>1700</v>
      </c>
      <c r="G1261" s="39" t="s">
        <v>2973</v>
      </c>
      <c r="H1261" s="7">
        <v>0</v>
      </c>
      <c r="I1261" s="7">
        <v>15</v>
      </c>
      <c r="J1261" s="17">
        <v>1</v>
      </c>
      <c r="K1261" s="17"/>
      <c r="L1261" s="7">
        <f>SUM(H1261:K1261)</f>
        <v>16</v>
      </c>
      <c r="M1261" s="8">
        <v>1</v>
      </c>
      <c r="N1261" s="8">
        <f>IF(L1261&gt;0,1,"")</f>
        <v>1</v>
      </c>
      <c r="O1261" s="11" t="s">
        <v>1702</v>
      </c>
      <c r="P1261" s="16" t="str">
        <f>IF(LEN(G1261)=10,CONCATENATE("0",G1261),G1261)</f>
        <v>08-Dec-1922</v>
      </c>
      <c r="R1261" s="16" t="str">
        <f t="shared" si="535"/>
        <v>x</v>
      </c>
      <c r="S1261" s="16" t="str">
        <f t="shared" si="535"/>
        <v>x</v>
      </c>
      <c r="U1261" s="46" t="str">
        <f t="shared" si="503"/>
        <v/>
      </c>
      <c r="V1261" s="46">
        <f t="shared" si="503"/>
        <v>16</v>
      </c>
      <c r="W1261" s="46" t="str">
        <f t="shared" si="503"/>
        <v/>
      </c>
      <c r="X1261" s="46" t="str">
        <f t="shared" si="503"/>
        <v/>
      </c>
    </row>
    <row r="1262" spans="2:24" x14ac:dyDescent="0.25">
      <c r="B1262" s="11" t="str">
        <f>CONCATENATE("CONS","-",LEFT(P1262,2),UPPER(MID(P1262,4,3)),RIGHT(P1262,4))</f>
        <v>CONS-01AUG1923</v>
      </c>
      <c r="C1262" s="11" t="s">
        <v>2808</v>
      </c>
      <c r="D1262" s="11" t="s">
        <v>2994</v>
      </c>
      <c r="E1262" s="39" t="s">
        <v>2995</v>
      </c>
      <c r="F1262" s="11" t="s">
        <v>1700</v>
      </c>
      <c r="G1262" s="39" t="s">
        <v>2970</v>
      </c>
      <c r="H1262" s="7">
        <v>1</v>
      </c>
      <c r="I1262" s="7">
        <v>0</v>
      </c>
      <c r="J1262" s="17">
        <v>0</v>
      </c>
      <c r="K1262" s="17"/>
      <c r="L1262" s="7">
        <f>SUM(H1262:K1262)</f>
        <v>1</v>
      </c>
      <c r="M1262" s="8">
        <v>1</v>
      </c>
      <c r="N1262" s="8">
        <f>IF(L1262&gt;0,1,"")</f>
        <v>1</v>
      </c>
      <c r="O1262" s="11" t="s">
        <v>1702</v>
      </c>
      <c r="P1262" s="16" t="str">
        <f>IF(LEN(G1262)=10,CONCATENATE("0",G1262),G1262)</f>
        <v>01-Aug-1923</v>
      </c>
      <c r="R1262" s="16" t="str">
        <f t="shared" si="535"/>
        <v>x</v>
      </c>
      <c r="S1262" s="16" t="str">
        <f t="shared" si="535"/>
        <v>x</v>
      </c>
      <c r="U1262" s="46" t="str">
        <f t="shared" si="503"/>
        <v/>
      </c>
      <c r="V1262" s="46">
        <f t="shared" si="503"/>
        <v>1</v>
      </c>
      <c r="W1262" s="46" t="str">
        <f t="shared" si="503"/>
        <v/>
      </c>
      <c r="X1262" s="46" t="str">
        <f t="shared" si="503"/>
        <v/>
      </c>
    </row>
    <row r="1263" spans="2:24" x14ac:dyDescent="0.25">
      <c r="B1263" s="11" t="str">
        <f t="shared" si="536"/>
        <v>CONS-01AUG1923</v>
      </c>
      <c r="C1263" s="11" t="s">
        <v>2808</v>
      </c>
      <c r="D1263" s="11" t="s">
        <v>2808</v>
      </c>
      <c r="E1263" s="39" t="s">
        <v>2993</v>
      </c>
      <c r="F1263" s="11" t="s">
        <v>1700</v>
      </c>
      <c r="G1263" s="39" t="s">
        <v>2970</v>
      </c>
      <c r="H1263" s="7">
        <v>3</v>
      </c>
      <c r="I1263" s="7">
        <v>44</v>
      </c>
      <c r="J1263" s="17">
        <v>56</v>
      </c>
      <c r="K1263" s="17"/>
      <c r="L1263" s="7">
        <f t="shared" si="537"/>
        <v>103</v>
      </c>
      <c r="M1263" s="8">
        <v>1</v>
      </c>
      <c r="N1263" s="8">
        <f t="shared" si="538"/>
        <v>1</v>
      </c>
      <c r="O1263" s="11" t="s">
        <v>1702</v>
      </c>
      <c r="P1263" s="16" t="str">
        <f t="shared" si="539"/>
        <v>01-Aug-1923</v>
      </c>
      <c r="R1263" s="16" t="str">
        <f t="shared" si="535"/>
        <v>x</v>
      </c>
      <c r="S1263" s="16" t="str">
        <f t="shared" si="535"/>
        <v>x</v>
      </c>
      <c r="U1263" s="46" t="str">
        <f t="shared" si="503"/>
        <v/>
      </c>
      <c r="V1263" s="46">
        <f t="shared" si="503"/>
        <v>103</v>
      </c>
      <c r="W1263" s="46" t="str">
        <f t="shared" si="503"/>
        <v/>
      </c>
      <c r="X1263" s="46" t="str">
        <f t="shared" si="503"/>
        <v/>
      </c>
    </row>
    <row r="1264" spans="2:24" x14ac:dyDescent="0.25">
      <c r="B1264" s="11" t="str">
        <f t="shared" si="536"/>
        <v>CONS-01AUG1923</v>
      </c>
      <c r="C1264" s="11" t="s">
        <v>2808</v>
      </c>
      <c r="D1264" s="11" t="s">
        <v>847</v>
      </c>
      <c r="E1264" s="39" t="s">
        <v>2996</v>
      </c>
      <c r="F1264" s="11" t="s">
        <v>1700</v>
      </c>
      <c r="G1264" s="39" t="s">
        <v>2970</v>
      </c>
      <c r="H1264" s="7">
        <v>0</v>
      </c>
      <c r="I1264" s="7">
        <v>12</v>
      </c>
      <c r="J1264" s="17">
        <v>10</v>
      </c>
      <c r="K1264" s="17"/>
      <c r="L1264" s="7">
        <f t="shared" si="537"/>
        <v>22</v>
      </c>
      <c r="M1264" s="8">
        <v>1</v>
      </c>
      <c r="N1264" s="8">
        <f t="shared" si="538"/>
        <v>1</v>
      </c>
      <c r="O1264" s="11" t="s">
        <v>1702</v>
      </c>
      <c r="P1264" s="16" t="str">
        <f t="shared" si="539"/>
        <v>01-Aug-1923</v>
      </c>
      <c r="R1264" s="16" t="str">
        <f t="shared" si="535"/>
        <v>x</v>
      </c>
      <c r="S1264" s="16" t="str">
        <f t="shared" si="535"/>
        <v>x</v>
      </c>
      <c r="U1264" s="46" t="str">
        <f t="shared" si="503"/>
        <v/>
      </c>
      <c r="V1264" s="46">
        <f t="shared" si="503"/>
        <v>22</v>
      </c>
      <c r="W1264" s="46" t="str">
        <f t="shared" si="503"/>
        <v/>
      </c>
      <c r="X1264" s="46" t="str">
        <f t="shared" si="503"/>
        <v/>
      </c>
    </row>
    <row r="1265" spans="2:24" x14ac:dyDescent="0.25">
      <c r="B1265" s="11" t="str">
        <f>CONCATENATE("CONS","-",LEFT(P1265,2),UPPER(MID(P1265,4,3)),RIGHT(P1265,4))</f>
        <v>CONS-01AUG1923</v>
      </c>
      <c r="C1265" s="11" t="s">
        <v>2808</v>
      </c>
      <c r="D1265" s="11" t="s">
        <v>1906</v>
      </c>
      <c r="E1265" s="39" t="s">
        <v>2862</v>
      </c>
      <c r="F1265" s="11" t="s">
        <v>1700</v>
      </c>
      <c r="G1265" s="39" t="s">
        <v>2970</v>
      </c>
      <c r="H1265" s="7">
        <v>0</v>
      </c>
      <c r="I1265" s="7">
        <v>2</v>
      </c>
      <c r="J1265" s="17">
        <v>0</v>
      </c>
      <c r="K1265" s="17"/>
      <c r="L1265" s="7">
        <f>SUM(H1265:K1265)</f>
        <v>2</v>
      </c>
      <c r="M1265" s="8">
        <v>1</v>
      </c>
      <c r="N1265" s="8">
        <f>IF(L1265&gt;0,1,"")</f>
        <v>1</v>
      </c>
      <c r="O1265" s="11" t="s">
        <v>1702</v>
      </c>
      <c r="P1265" s="16" t="str">
        <f>IF(LEN(G1265)=10,CONCATENATE("0",G1265),G1265)</f>
        <v>01-Aug-1923</v>
      </c>
      <c r="R1265" s="16" t="str">
        <f t="shared" si="535"/>
        <v>x</v>
      </c>
      <c r="S1265" s="16" t="str">
        <f t="shared" si="535"/>
        <v>x</v>
      </c>
      <c r="U1265" s="46" t="str">
        <f t="shared" si="503"/>
        <v/>
      </c>
      <c r="V1265" s="46">
        <f t="shared" si="503"/>
        <v>2</v>
      </c>
      <c r="W1265" s="46" t="str">
        <f t="shared" si="503"/>
        <v/>
      </c>
      <c r="X1265" s="46" t="str">
        <f t="shared" si="503"/>
        <v/>
      </c>
    </row>
    <row r="1266" spans="2:24" x14ac:dyDescent="0.25">
      <c r="B1266" s="11" t="str">
        <f t="shared" si="536"/>
        <v>CONS-02OCT1923</v>
      </c>
      <c r="C1266" s="11" t="s">
        <v>2808</v>
      </c>
      <c r="D1266" s="11" t="s">
        <v>2808</v>
      </c>
      <c r="E1266" s="39" t="s">
        <v>2968</v>
      </c>
      <c r="F1266" s="11" t="s">
        <v>1700</v>
      </c>
      <c r="G1266" s="39" t="s">
        <v>2964</v>
      </c>
      <c r="H1266" s="7">
        <v>0</v>
      </c>
      <c r="I1266" s="7">
        <v>29</v>
      </c>
      <c r="J1266" s="17">
        <v>45</v>
      </c>
      <c r="K1266" s="17"/>
      <c r="L1266" s="7">
        <f t="shared" si="537"/>
        <v>74</v>
      </c>
      <c r="M1266" s="8">
        <v>1</v>
      </c>
      <c r="N1266" s="8">
        <f t="shared" si="538"/>
        <v>1</v>
      </c>
      <c r="O1266" s="11" t="s">
        <v>1702</v>
      </c>
      <c r="P1266" s="16" t="str">
        <f t="shared" si="539"/>
        <v>02-Oct-1923</v>
      </c>
      <c r="R1266" s="16" t="str">
        <f t="shared" si="535"/>
        <v>x</v>
      </c>
      <c r="S1266" s="16" t="str">
        <f t="shared" si="535"/>
        <v>x</v>
      </c>
      <c r="U1266" s="46" t="str">
        <f t="shared" si="503"/>
        <v/>
      </c>
      <c r="V1266" s="46">
        <f t="shared" si="503"/>
        <v>74</v>
      </c>
      <c r="W1266" s="46" t="str">
        <f t="shared" si="503"/>
        <v/>
      </c>
      <c r="X1266" s="46" t="str">
        <f t="shared" si="503"/>
        <v/>
      </c>
    </row>
    <row r="1267" spans="2:24" x14ac:dyDescent="0.25">
      <c r="B1267" s="11" t="str">
        <f>CONCATENATE("CONS","-",LEFT(P1267,2),UPPER(MID(P1267,4,3)),RIGHT(P1267,4))</f>
        <v>CONS-02OCT1923</v>
      </c>
      <c r="C1267" s="11" t="s">
        <v>2808</v>
      </c>
      <c r="D1267" s="11" t="s">
        <v>847</v>
      </c>
      <c r="E1267" s="39" t="s">
        <v>2969</v>
      </c>
      <c r="F1267" s="11" t="s">
        <v>1700</v>
      </c>
      <c r="G1267" s="39" t="s">
        <v>2964</v>
      </c>
      <c r="H1267" s="7">
        <v>0</v>
      </c>
      <c r="I1267" s="7">
        <v>0</v>
      </c>
      <c r="J1267" s="17">
        <v>2</v>
      </c>
      <c r="K1267" s="17"/>
      <c r="L1267" s="7">
        <f>SUM(H1267:K1267)</f>
        <v>2</v>
      </c>
      <c r="M1267" s="8">
        <v>1</v>
      </c>
      <c r="N1267" s="8">
        <f>IF(L1267&gt;0,1,"")</f>
        <v>1</v>
      </c>
      <c r="O1267" s="11" t="s">
        <v>1702</v>
      </c>
      <c r="P1267" s="16" t="str">
        <f>IF(LEN(G1267)=10,CONCATENATE("0",G1267),G1267)</f>
        <v>02-Oct-1923</v>
      </c>
      <c r="R1267" s="16" t="str">
        <f t="shared" si="535"/>
        <v>x</v>
      </c>
      <c r="S1267" s="16" t="str">
        <f t="shared" si="535"/>
        <v>x</v>
      </c>
      <c r="U1267" s="46" t="str">
        <f t="shared" si="503"/>
        <v/>
      </c>
      <c r="V1267" s="46">
        <f t="shared" si="503"/>
        <v>2</v>
      </c>
      <c r="W1267" s="46" t="str">
        <f t="shared" si="503"/>
        <v/>
      </c>
      <c r="X1267" s="46" t="str">
        <f t="shared" si="503"/>
        <v/>
      </c>
    </row>
    <row r="1268" spans="2:24" x14ac:dyDescent="0.25">
      <c r="B1268" s="11" t="str">
        <f>CONCATENATE("CONS","-",LEFT(P1268,2),UPPER(MID(P1268,4,3)),RIGHT(P1268,4))</f>
        <v>CONS-02OCT1923</v>
      </c>
      <c r="C1268" s="11" t="s">
        <v>2808</v>
      </c>
      <c r="D1268" s="11" t="s">
        <v>1906</v>
      </c>
      <c r="E1268" s="39" t="s">
        <v>2900</v>
      </c>
      <c r="F1268" s="11" t="s">
        <v>1700</v>
      </c>
      <c r="G1268" s="39" t="s">
        <v>2964</v>
      </c>
      <c r="H1268" s="7">
        <v>0</v>
      </c>
      <c r="I1268" s="7">
        <v>6</v>
      </c>
      <c r="J1268" s="17">
        <v>1</v>
      </c>
      <c r="K1268" s="17"/>
      <c r="L1268" s="7">
        <f>SUM(H1268:K1268)</f>
        <v>7</v>
      </c>
      <c r="M1268" s="8">
        <v>1</v>
      </c>
      <c r="N1268" s="8">
        <f>IF(L1268&gt;0,1,"")</f>
        <v>1</v>
      </c>
      <c r="O1268" s="11" t="s">
        <v>1702</v>
      </c>
      <c r="P1268" s="16" t="str">
        <f>IF(LEN(G1268)=10,CONCATENATE("0",G1268),G1268)</f>
        <v>02-Oct-1923</v>
      </c>
      <c r="R1268" s="16" t="str">
        <f t="shared" si="535"/>
        <v>x</v>
      </c>
      <c r="S1268" s="16" t="str">
        <f t="shared" si="535"/>
        <v>x</v>
      </c>
      <c r="U1268" s="46" t="str">
        <f t="shared" si="503"/>
        <v/>
      </c>
      <c r="V1268" s="46">
        <f t="shared" si="503"/>
        <v>7</v>
      </c>
      <c r="W1268" s="46" t="str">
        <f t="shared" si="503"/>
        <v/>
      </c>
      <c r="X1268" s="46" t="str">
        <f t="shared" si="503"/>
        <v/>
      </c>
    </row>
    <row r="1269" spans="2:24" x14ac:dyDescent="0.25">
      <c r="N1269" s="8" t="str">
        <f>IF(R1269="x",1,"")</f>
        <v/>
      </c>
      <c r="U1269" s="46" t="str">
        <f t="shared" si="503"/>
        <v/>
      </c>
      <c r="V1269" s="46" t="str">
        <f t="shared" si="503"/>
        <v/>
      </c>
      <c r="W1269" s="46" t="str">
        <f t="shared" si="503"/>
        <v/>
      </c>
      <c r="X1269" s="46" t="str">
        <f t="shared" si="503"/>
        <v/>
      </c>
    </row>
    <row r="1270" spans="2:24" x14ac:dyDescent="0.25">
      <c r="B1270" s="18"/>
      <c r="C1270" s="18"/>
      <c r="D1270" s="18"/>
      <c r="E1270" s="40"/>
      <c r="F1270" s="18"/>
      <c r="G1270" s="40"/>
      <c r="H1270" s="7">
        <f>SUM(H1243:H1269)</f>
        <v>20</v>
      </c>
      <c r="I1270" s="7">
        <f>SUM(I1243:I1269)</f>
        <v>254</v>
      </c>
      <c r="J1270" s="7">
        <f>SUM(J1243:J1269)</f>
        <v>390</v>
      </c>
      <c r="K1270" s="7">
        <f>SUM(K1243:K1269)</f>
        <v>0</v>
      </c>
      <c r="L1270" s="7">
        <f>SUM(L1243:L1269)</f>
        <v>664</v>
      </c>
      <c r="M1270" s="7">
        <f>SUM(M1246:M1269)</f>
        <v>23</v>
      </c>
      <c r="N1270" s="7">
        <f>SUM(N1246:N1269)</f>
        <v>21</v>
      </c>
      <c r="O1270" s="18"/>
      <c r="P1270" s="13"/>
      <c r="Q1270" s="13"/>
      <c r="S1270" s="13"/>
      <c r="T1270" s="15"/>
      <c r="U1270" s="46" t="str">
        <f t="shared" si="503"/>
        <v/>
      </c>
      <c r="V1270" s="46" t="str">
        <f t="shared" si="503"/>
        <v/>
      </c>
      <c r="W1270" s="46" t="str">
        <f t="shared" si="503"/>
        <v/>
      </c>
      <c r="X1270" s="46" t="str">
        <f>IF($O1270=X$5,$L1270,"")</f>
        <v/>
      </c>
    </row>
    <row r="1271" spans="2:24" x14ac:dyDescent="0.25">
      <c r="B1271" s="18"/>
      <c r="C1271" s="18"/>
      <c r="D1271" s="18"/>
      <c r="E1271" s="40"/>
      <c r="F1271" s="18"/>
      <c r="G1271" s="40"/>
      <c r="N1271" s="8" t="str">
        <f>IF(R1271="x",1,"")</f>
        <v/>
      </c>
      <c r="O1271" s="18"/>
      <c r="P1271" s="13"/>
      <c r="Q1271" s="13"/>
      <c r="R1271" s="13"/>
      <c r="S1271" s="13"/>
      <c r="T1271" s="15"/>
      <c r="U1271" s="46" t="str">
        <f t="shared" ref="U1271:X1280" si="540">IF($O1271=U$5,$L1271,"")</f>
        <v/>
      </c>
      <c r="V1271" s="46" t="str">
        <f t="shared" si="540"/>
        <v/>
      </c>
      <c r="W1271" s="46" t="str">
        <f t="shared" si="540"/>
        <v/>
      </c>
      <c r="X1271" s="46" t="str">
        <f t="shared" si="540"/>
        <v/>
      </c>
    </row>
    <row r="1272" spans="2:24" x14ac:dyDescent="0.25">
      <c r="B1272" s="18"/>
      <c r="C1272" s="18"/>
      <c r="D1272" s="18"/>
      <c r="E1272" s="40"/>
      <c r="F1272" s="18"/>
      <c r="G1272" s="40"/>
      <c r="N1272" s="8" t="str">
        <f>IF(R1272="x",1,"")</f>
        <v/>
      </c>
      <c r="O1272" s="18"/>
      <c r="P1272" s="13"/>
      <c r="Q1272" s="13"/>
      <c r="R1272" s="13"/>
      <c r="S1272" s="13"/>
      <c r="T1272" s="15"/>
      <c r="U1272" s="46" t="str">
        <f t="shared" si="540"/>
        <v/>
      </c>
      <c r="V1272" s="46" t="str">
        <f t="shared" si="540"/>
        <v/>
      </c>
      <c r="W1272" s="46" t="str">
        <f t="shared" si="540"/>
        <v/>
      </c>
      <c r="X1272" s="46" t="str">
        <f t="shared" si="540"/>
        <v/>
      </c>
    </row>
    <row r="1273" spans="2:24" x14ac:dyDescent="0.25">
      <c r="B1273" s="11" t="str">
        <f>CONCATENATE("CTBM","-",LEFT(P1273,2),UPPER(MID(P1273,4,3)),RIGHT(P1273,4))</f>
        <v>CTBM-09JUN1930</v>
      </c>
      <c r="C1273" s="11" t="s">
        <v>11443</v>
      </c>
      <c r="D1273" s="11" t="s">
        <v>3007</v>
      </c>
      <c r="E1273" s="39" t="s">
        <v>11444</v>
      </c>
      <c r="F1273" s="11" t="s">
        <v>1700</v>
      </c>
      <c r="G1273" s="39" t="s">
        <v>11140</v>
      </c>
      <c r="H1273" s="7">
        <v>0</v>
      </c>
      <c r="I1273" s="7">
        <v>0</v>
      </c>
      <c r="J1273" s="17">
        <v>3</v>
      </c>
      <c r="K1273" s="17"/>
      <c r="L1273" s="7">
        <f>SUM(H1273:K1273)</f>
        <v>3</v>
      </c>
      <c r="M1273" s="8">
        <v>1</v>
      </c>
      <c r="N1273" s="8">
        <f>IF(L1273&gt;0,1,"")</f>
        <v>1</v>
      </c>
      <c r="O1273" s="11" t="s">
        <v>1702</v>
      </c>
      <c r="P1273" s="16" t="str">
        <f>IF(LEN(G1273)=10,CONCATENATE("0",G1273),G1273)</f>
        <v>09-Jun-1930</v>
      </c>
      <c r="R1273" s="16" t="str">
        <f>IF($L1273&gt;0,"x","")</f>
        <v>x</v>
      </c>
      <c r="S1273" s="16" t="str">
        <f>IF($L1273&gt;0,"x","")</f>
        <v>x</v>
      </c>
      <c r="U1273" s="46" t="str">
        <f t="shared" si="540"/>
        <v/>
      </c>
      <c r="V1273" s="46">
        <f t="shared" si="540"/>
        <v>3</v>
      </c>
      <c r="W1273" s="46" t="str">
        <f t="shared" si="540"/>
        <v/>
      </c>
      <c r="X1273" s="46" t="str">
        <f t="shared" si="540"/>
        <v/>
      </c>
    </row>
    <row r="1274" spans="2:24" x14ac:dyDescent="0.25">
      <c r="N1274" s="8" t="str">
        <f>IF(R1274="x",1,"")</f>
        <v/>
      </c>
      <c r="U1274" s="46" t="str">
        <f t="shared" si="540"/>
        <v/>
      </c>
      <c r="V1274" s="46" t="str">
        <f t="shared" si="540"/>
        <v/>
      </c>
      <c r="W1274" s="46" t="str">
        <f t="shared" si="540"/>
        <v/>
      </c>
      <c r="X1274" s="46" t="str">
        <f t="shared" si="540"/>
        <v/>
      </c>
    </row>
    <row r="1275" spans="2:24" x14ac:dyDescent="0.25">
      <c r="B1275" s="18"/>
      <c r="C1275" s="18"/>
      <c r="D1275" s="18"/>
      <c r="E1275" s="40"/>
      <c r="F1275" s="18"/>
      <c r="G1275" s="40"/>
      <c r="H1275" s="7">
        <f t="shared" ref="H1275:N1275" si="541">SUM(H1273:H1274)</f>
        <v>0</v>
      </c>
      <c r="I1275" s="7">
        <f t="shared" si="541"/>
        <v>0</v>
      </c>
      <c r="J1275" s="7">
        <f t="shared" si="541"/>
        <v>3</v>
      </c>
      <c r="K1275" s="7">
        <f t="shared" si="541"/>
        <v>0</v>
      </c>
      <c r="L1275" s="7">
        <f t="shared" si="541"/>
        <v>3</v>
      </c>
      <c r="M1275" s="7">
        <f t="shared" si="541"/>
        <v>1</v>
      </c>
      <c r="N1275" s="7">
        <f t="shared" si="541"/>
        <v>1</v>
      </c>
      <c r="O1275" s="18"/>
      <c r="P1275" s="13"/>
      <c r="Q1275" s="13"/>
      <c r="S1275" s="13"/>
      <c r="T1275" s="15"/>
      <c r="U1275" s="46" t="str">
        <f t="shared" si="540"/>
        <v/>
      </c>
      <c r="V1275" s="46" t="str">
        <f t="shared" si="540"/>
        <v/>
      </c>
      <c r="W1275" s="46" t="str">
        <f t="shared" si="540"/>
        <v/>
      </c>
      <c r="X1275" s="46" t="str">
        <f t="shared" si="540"/>
        <v/>
      </c>
    </row>
    <row r="1276" spans="2:24" x14ac:dyDescent="0.25">
      <c r="B1276" s="18"/>
      <c r="C1276" s="18"/>
      <c r="D1276" s="18"/>
      <c r="E1276" s="40"/>
      <c r="F1276" s="18"/>
      <c r="G1276" s="40"/>
      <c r="N1276" s="8" t="str">
        <f>IF(R1276="x",1,"")</f>
        <v/>
      </c>
      <c r="O1276" s="18"/>
      <c r="P1276" s="13"/>
      <c r="Q1276" s="13"/>
      <c r="R1276" s="13"/>
      <c r="S1276" s="13"/>
      <c r="T1276" s="15"/>
      <c r="U1276" s="46" t="str">
        <f t="shared" si="540"/>
        <v/>
      </c>
      <c r="V1276" s="46" t="str">
        <f t="shared" si="540"/>
        <v/>
      </c>
      <c r="W1276" s="46" t="str">
        <f t="shared" si="540"/>
        <v/>
      </c>
      <c r="X1276" s="46" t="str">
        <f t="shared" si="540"/>
        <v/>
      </c>
    </row>
    <row r="1277" spans="2:24" x14ac:dyDescent="0.25">
      <c r="B1277" s="18"/>
      <c r="C1277" s="18"/>
      <c r="D1277" s="18"/>
      <c r="E1277" s="40"/>
      <c r="F1277" s="18"/>
      <c r="G1277" s="40"/>
      <c r="N1277" s="8" t="str">
        <f>IF(R1277="x",1,"")</f>
        <v/>
      </c>
      <c r="O1277" s="18"/>
      <c r="P1277" s="13"/>
      <c r="Q1277" s="13"/>
      <c r="R1277" s="13"/>
      <c r="S1277" s="13"/>
      <c r="T1277" s="15"/>
      <c r="U1277" s="46" t="str">
        <f t="shared" si="540"/>
        <v/>
      </c>
      <c r="V1277" s="46" t="str">
        <f t="shared" si="540"/>
        <v/>
      </c>
      <c r="W1277" s="46" t="str">
        <f t="shared" si="540"/>
        <v/>
      </c>
      <c r="X1277" s="46" t="str">
        <f t="shared" si="540"/>
        <v/>
      </c>
    </row>
    <row r="1278" spans="2:24" x14ac:dyDescent="0.25">
      <c r="B1278" s="11" t="str">
        <f>CONCATENATE("CTRO","-",LEFT(P1278,2),UPPER(MID(P1278,4,3)),RIGHT(P1278,4))</f>
        <v>CTRO-05AUG1922</v>
      </c>
      <c r="C1278" s="11" t="s">
        <v>5968</v>
      </c>
      <c r="D1278" s="11" t="s">
        <v>3217</v>
      </c>
      <c r="E1278" s="39" t="s">
        <v>5969</v>
      </c>
      <c r="F1278" s="11" t="s">
        <v>1700</v>
      </c>
      <c r="G1278" s="39" t="s">
        <v>5970</v>
      </c>
      <c r="H1278" s="7">
        <v>0</v>
      </c>
      <c r="I1278" s="7">
        <v>0</v>
      </c>
      <c r="J1278" s="17">
        <v>5</v>
      </c>
      <c r="K1278" s="17"/>
      <c r="L1278" s="7">
        <f>SUM(H1278:K1278)</f>
        <v>5</v>
      </c>
      <c r="M1278" s="8">
        <v>1</v>
      </c>
      <c r="N1278" s="8">
        <f>IF(L1278&gt;0,1,"")</f>
        <v>1</v>
      </c>
      <c r="O1278" s="11" t="s">
        <v>1702</v>
      </c>
      <c r="P1278" s="16" t="str">
        <f>IF(LEN(G1278)=10,CONCATENATE("0",G1278),G1278)</f>
        <v>05-Aug-1922</v>
      </c>
      <c r="R1278" s="16" t="str">
        <f>IF($L1278&gt;0,"x","")</f>
        <v>x</v>
      </c>
      <c r="S1278" s="16" t="str">
        <f>IF($L1278&gt;0,"x","")</f>
        <v>x</v>
      </c>
      <c r="U1278" s="46" t="str">
        <f t="shared" si="540"/>
        <v/>
      </c>
      <c r="V1278" s="46">
        <f t="shared" si="540"/>
        <v>5</v>
      </c>
      <c r="W1278" s="46" t="str">
        <f t="shared" si="540"/>
        <v/>
      </c>
      <c r="X1278" s="46" t="str">
        <f t="shared" si="540"/>
        <v/>
      </c>
    </row>
    <row r="1279" spans="2:24" x14ac:dyDescent="0.25">
      <c r="N1279" s="8" t="str">
        <f>IF(R1279="x",1,"")</f>
        <v/>
      </c>
      <c r="U1279" s="46" t="str">
        <f t="shared" si="540"/>
        <v/>
      </c>
      <c r="V1279" s="46" t="str">
        <f t="shared" si="540"/>
        <v/>
      </c>
      <c r="W1279" s="46" t="str">
        <f t="shared" si="540"/>
        <v/>
      </c>
      <c r="X1279" s="46" t="str">
        <f t="shared" si="540"/>
        <v/>
      </c>
    </row>
    <row r="1280" spans="2:24" x14ac:dyDescent="0.25">
      <c r="B1280" s="18"/>
      <c r="C1280" s="18"/>
      <c r="D1280" s="18"/>
      <c r="E1280" s="40"/>
      <c r="F1280" s="18"/>
      <c r="G1280" s="40"/>
      <c r="H1280" s="7">
        <f t="shared" ref="H1280:N1280" si="542">SUM(H1278:H1279)</f>
        <v>0</v>
      </c>
      <c r="I1280" s="7">
        <f t="shared" si="542"/>
        <v>0</v>
      </c>
      <c r="J1280" s="7">
        <f t="shared" si="542"/>
        <v>5</v>
      </c>
      <c r="K1280" s="7">
        <f t="shared" si="542"/>
        <v>0</v>
      </c>
      <c r="L1280" s="7">
        <f t="shared" si="542"/>
        <v>5</v>
      </c>
      <c r="M1280" s="7">
        <f t="shared" si="542"/>
        <v>1</v>
      </c>
      <c r="N1280" s="7">
        <f t="shared" si="542"/>
        <v>1</v>
      </c>
      <c r="O1280" s="18"/>
      <c r="P1280" s="13"/>
      <c r="Q1280" s="13"/>
      <c r="S1280" s="13"/>
      <c r="T1280" s="15"/>
      <c r="U1280" s="46" t="str">
        <f t="shared" si="540"/>
        <v/>
      </c>
      <c r="V1280" s="46" t="str">
        <f t="shared" si="540"/>
        <v/>
      </c>
      <c r="W1280" s="46" t="str">
        <f t="shared" si="540"/>
        <v/>
      </c>
      <c r="X1280" s="46" t="str">
        <f t="shared" si="540"/>
        <v/>
      </c>
    </row>
    <row r="1281" spans="2:26" x14ac:dyDescent="0.25">
      <c r="B1281" s="18"/>
      <c r="C1281" s="18"/>
      <c r="D1281" s="18"/>
      <c r="E1281" s="40"/>
      <c r="F1281" s="18"/>
      <c r="G1281" s="40"/>
      <c r="N1281" s="8" t="str">
        <f>IF(R1281="x",1,"")</f>
        <v/>
      </c>
      <c r="O1281" s="18"/>
      <c r="P1281" s="13"/>
      <c r="Q1281" s="13"/>
      <c r="R1281" s="13"/>
      <c r="S1281" s="13"/>
      <c r="T1281" s="15"/>
      <c r="U1281" s="46" t="str">
        <f t="shared" ref="U1281:X1285" si="543">IF($O1281=U$5,$L1281,"")</f>
        <v/>
      </c>
      <c r="V1281" s="46" t="str">
        <f t="shared" si="543"/>
        <v/>
      </c>
      <c r="W1281" s="46" t="str">
        <f t="shared" si="543"/>
        <v/>
      </c>
      <c r="X1281" s="46" t="str">
        <f t="shared" si="543"/>
        <v/>
      </c>
    </row>
    <row r="1282" spans="2:26" x14ac:dyDescent="0.25">
      <c r="B1282" s="18"/>
      <c r="C1282" s="18"/>
      <c r="D1282" s="18"/>
      <c r="E1282" s="40"/>
      <c r="F1282" s="18"/>
      <c r="G1282" s="40"/>
      <c r="N1282" s="8" t="str">
        <f>IF(R1282="x",1,"")</f>
        <v/>
      </c>
      <c r="O1282" s="18"/>
      <c r="P1282" s="13"/>
      <c r="Q1282" s="13"/>
      <c r="R1282" s="13"/>
      <c r="S1282" s="13"/>
      <c r="T1282" s="15"/>
      <c r="U1282" s="46" t="str">
        <f t="shared" si="543"/>
        <v/>
      </c>
      <c r="V1282" s="46" t="str">
        <f t="shared" si="543"/>
        <v/>
      </c>
      <c r="W1282" s="46" t="str">
        <f t="shared" si="543"/>
        <v/>
      </c>
      <c r="X1282" s="46" t="str">
        <f t="shared" si="543"/>
        <v/>
      </c>
    </row>
    <row r="1283" spans="2:26" x14ac:dyDescent="0.25">
      <c r="B1283" s="11" t="str">
        <f>CONCATENATE("CORC","-",LEFT(P1283,2),UPPER(MID(P1283,4,3)),RIGHT(P1283,4))</f>
        <v>CORC-19JUN1914</v>
      </c>
      <c r="C1283" s="11" t="s">
        <v>11501</v>
      </c>
      <c r="D1283" s="11" t="s">
        <v>2808</v>
      </c>
      <c r="E1283" s="39" t="s">
        <v>2547</v>
      </c>
      <c r="F1283" s="11" t="s">
        <v>1700</v>
      </c>
      <c r="G1283" s="39" t="s">
        <v>3874</v>
      </c>
      <c r="I1283" s="7">
        <v>0</v>
      </c>
      <c r="J1283" s="17">
        <v>9</v>
      </c>
      <c r="K1283" s="17"/>
      <c r="L1283" s="7">
        <f>SUM(H1283:K1283)</f>
        <v>9</v>
      </c>
      <c r="M1283" s="8">
        <v>1</v>
      </c>
      <c r="N1283" s="8">
        <f>IF(L1283&gt;0,1,"")</f>
        <v>1</v>
      </c>
      <c r="O1283" s="11" t="s">
        <v>1702</v>
      </c>
      <c r="P1283" s="16" t="str">
        <f>IF(LEN(G1283)=10,CONCATENATE("0",G1283),G1283)</f>
        <v>19-Jun-1914</v>
      </c>
      <c r="R1283" s="16" t="str">
        <f>IF($L1283&gt;0,"x","")</f>
        <v>x</v>
      </c>
      <c r="S1283" s="80"/>
      <c r="U1283" s="46" t="str">
        <f t="shared" si="543"/>
        <v/>
      </c>
      <c r="V1283" s="46">
        <f t="shared" si="543"/>
        <v>9</v>
      </c>
      <c r="W1283" s="46" t="str">
        <f t="shared" si="543"/>
        <v/>
      </c>
      <c r="X1283" s="46" t="str">
        <f t="shared" si="543"/>
        <v/>
      </c>
    </row>
    <row r="1284" spans="2:26" x14ac:dyDescent="0.25">
      <c r="N1284" s="8" t="str">
        <f>IF(R1284="x",1,"")</f>
        <v/>
      </c>
      <c r="U1284" s="46" t="str">
        <f t="shared" si="543"/>
        <v/>
      </c>
      <c r="V1284" s="46" t="str">
        <f t="shared" si="543"/>
        <v/>
      </c>
      <c r="W1284" s="46" t="str">
        <f t="shared" si="543"/>
        <v/>
      </c>
      <c r="X1284" s="46" t="str">
        <f t="shared" si="543"/>
        <v/>
      </c>
    </row>
    <row r="1285" spans="2:26" x14ac:dyDescent="0.25">
      <c r="B1285" s="18"/>
      <c r="C1285" s="18"/>
      <c r="D1285" s="18"/>
      <c r="E1285" s="40"/>
      <c r="F1285" s="18"/>
      <c r="G1285" s="40"/>
      <c r="H1285" s="7">
        <f t="shared" ref="H1285:N1285" si="544">SUM(H1283:H1284)</f>
        <v>0</v>
      </c>
      <c r="I1285" s="7">
        <f t="shared" si="544"/>
        <v>0</v>
      </c>
      <c r="J1285" s="7">
        <f>SUM(J1283:J1284)</f>
        <v>9</v>
      </c>
      <c r="K1285" s="7">
        <f t="shared" si="544"/>
        <v>0</v>
      </c>
      <c r="L1285" s="7">
        <f t="shared" si="544"/>
        <v>9</v>
      </c>
      <c r="M1285" s="7">
        <f t="shared" si="544"/>
        <v>1</v>
      </c>
      <c r="N1285" s="7">
        <f t="shared" si="544"/>
        <v>1</v>
      </c>
      <c r="O1285" s="18"/>
      <c r="P1285" s="13"/>
      <c r="Q1285" s="13"/>
      <c r="S1285" s="13"/>
      <c r="T1285" s="15"/>
      <c r="U1285" s="46" t="str">
        <f t="shared" si="543"/>
        <v/>
      </c>
      <c r="V1285" s="46" t="str">
        <f t="shared" si="543"/>
        <v/>
      </c>
      <c r="W1285" s="46" t="str">
        <f t="shared" si="543"/>
        <v/>
      </c>
      <c r="X1285" s="46" t="str">
        <f t="shared" si="543"/>
        <v/>
      </c>
    </row>
    <row r="1286" spans="2:26" x14ac:dyDescent="0.25">
      <c r="B1286" s="18"/>
      <c r="C1286" s="18"/>
      <c r="D1286" s="18"/>
      <c r="E1286" s="40"/>
      <c r="F1286" s="18"/>
      <c r="G1286" s="40"/>
      <c r="N1286" s="8" t="str">
        <f>IF(R1286="x",1,"")</f>
        <v/>
      </c>
      <c r="O1286" s="18"/>
      <c r="P1286" s="13"/>
      <c r="Q1286" s="13"/>
      <c r="R1286" s="13"/>
      <c r="S1286" s="13"/>
      <c r="T1286" s="15"/>
      <c r="U1286" s="46" t="str">
        <f t="shared" ref="U1286:X1399" si="545">IF($O1286=U$5,$L1286,"")</f>
        <v/>
      </c>
      <c r="V1286" s="46" t="str">
        <f t="shared" si="545"/>
        <v/>
      </c>
      <c r="W1286" s="46" t="str">
        <f t="shared" si="545"/>
        <v/>
      </c>
      <c r="X1286" s="46" t="str">
        <f t="shared" si="545"/>
        <v/>
      </c>
    </row>
    <row r="1287" spans="2:26" x14ac:dyDescent="0.25">
      <c r="B1287" s="18"/>
      <c r="C1287" s="18"/>
      <c r="D1287" s="18"/>
      <c r="E1287" s="40"/>
      <c r="F1287" s="18"/>
      <c r="G1287" s="40"/>
      <c r="N1287" s="8" t="str">
        <f>IF(R1287="x",1,"")</f>
        <v/>
      </c>
      <c r="O1287" s="18"/>
      <c r="P1287" s="13"/>
      <c r="Q1287" s="13"/>
      <c r="R1287" s="13"/>
      <c r="S1287" s="13"/>
      <c r="T1287" s="15"/>
      <c r="U1287" s="46" t="str">
        <f t="shared" si="545"/>
        <v/>
      </c>
      <c r="V1287" s="46" t="str">
        <f t="shared" si="545"/>
        <v/>
      </c>
      <c r="W1287" s="46" t="str">
        <f t="shared" si="545"/>
        <v/>
      </c>
      <c r="X1287" s="46" t="str">
        <f t="shared" si="545"/>
        <v/>
      </c>
    </row>
    <row r="1288" spans="2:26" x14ac:dyDescent="0.25">
      <c r="B1288" s="11" t="str">
        <f>CONCATENATE("CORE","-",LEFT(P1288,2),UPPER(MID(P1288,4,3)),RIGHT(P1288,4))</f>
        <v>CORE-28MAR1906</v>
      </c>
      <c r="C1288" s="11" t="s">
        <v>3602</v>
      </c>
      <c r="D1288" s="11" t="s">
        <v>2097</v>
      </c>
      <c r="E1288" s="39" t="s">
        <v>1434</v>
      </c>
      <c r="F1288" s="11" t="s">
        <v>2904</v>
      </c>
      <c r="G1288" s="39" t="s">
        <v>3603</v>
      </c>
      <c r="J1288" s="17">
        <v>5</v>
      </c>
      <c r="K1288" s="17"/>
      <c r="L1288" s="7">
        <f>SUM(H1288:K1288)</f>
        <v>5</v>
      </c>
      <c r="M1288" s="8">
        <v>1</v>
      </c>
      <c r="N1288" s="8">
        <f>IF(L1288&gt;0,1,"")</f>
        <v>1</v>
      </c>
      <c r="O1288" s="11" t="s">
        <v>1702</v>
      </c>
      <c r="P1288" s="16" t="str">
        <f>IF(LEN(G1288)=10,CONCATENATE("0",G1288),G1288)</f>
        <v>28-Mar-1906</v>
      </c>
      <c r="R1288" s="16" t="str">
        <f t="shared" ref="R1288:S1291" si="546">IF($L1288&gt;0,"x","")</f>
        <v>x</v>
      </c>
      <c r="S1288" s="16" t="str">
        <f t="shared" si="546"/>
        <v>x</v>
      </c>
      <c r="U1288" s="46" t="str">
        <f t="shared" si="545"/>
        <v/>
      </c>
      <c r="V1288" s="46">
        <f t="shared" si="545"/>
        <v>5</v>
      </c>
      <c r="W1288" s="46" t="str">
        <f t="shared" si="545"/>
        <v/>
      </c>
      <c r="X1288" s="46" t="str">
        <f t="shared" si="545"/>
        <v/>
      </c>
    </row>
    <row r="1289" spans="2:26" x14ac:dyDescent="0.25">
      <c r="B1289" s="11" t="str">
        <f>CONCATENATE("CORE","-",LEFT(P1289,2),UPPER(MID(P1289,4,3)),RIGHT(P1289,4))</f>
        <v>CORE-10NOV1906</v>
      </c>
      <c r="C1289" s="11" t="s">
        <v>3602</v>
      </c>
      <c r="D1289" s="11" t="s">
        <v>2097</v>
      </c>
      <c r="E1289" s="39" t="s">
        <v>3856</v>
      </c>
      <c r="F1289" s="11" t="s">
        <v>211</v>
      </c>
      <c r="G1289" s="39" t="s">
        <v>1441</v>
      </c>
      <c r="J1289" s="17">
        <v>29</v>
      </c>
      <c r="K1289" s="17"/>
      <c r="L1289" s="7">
        <f>SUM(H1289:K1289)</f>
        <v>29</v>
      </c>
      <c r="M1289" s="8">
        <v>1</v>
      </c>
      <c r="N1289" s="8">
        <f>IF(L1289&gt;0,1,"")</f>
        <v>1</v>
      </c>
      <c r="O1289" s="11" t="s">
        <v>1702</v>
      </c>
      <c r="P1289" s="16" t="str">
        <f>IF(LEN(G1289)=10,CONCATENATE("0",G1289),G1289)</f>
        <v>10-Nov-1906</v>
      </c>
      <c r="R1289" s="16" t="str">
        <f t="shared" si="546"/>
        <v>x</v>
      </c>
      <c r="S1289" s="16" t="str">
        <f t="shared" si="546"/>
        <v>x</v>
      </c>
      <c r="U1289" s="46" t="str">
        <f t="shared" si="545"/>
        <v/>
      </c>
      <c r="V1289" s="46">
        <f t="shared" si="545"/>
        <v>29</v>
      </c>
      <c r="W1289" s="46" t="str">
        <f t="shared" si="545"/>
        <v/>
      </c>
      <c r="X1289" s="46" t="str">
        <f t="shared" si="545"/>
        <v/>
      </c>
    </row>
    <row r="1290" spans="2:26" x14ac:dyDescent="0.25">
      <c r="B1290" s="11" t="str">
        <f>CONCATENATE("CORE","-",LEFT(P1290,2),UPPER(MID(P1290,4,3)),RIGHT(P1290,4))</f>
        <v>CORE-12SEP1907</v>
      </c>
      <c r="C1290" s="11" t="s">
        <v>3602</v>
      </c>
      <c r="D1290" s="11" t="s">
        <v>2097</v>
      </c>
      <c r="E1290" s="39" t="s">
        <v>1459</v>
      </c>
      <c r="F1290" s="11" t="s">
        <v>2904</v>
      </c>
      <c r="G1290" s="39" t="s">
        <v>4033</v>
      </c>
      <c r="H1290" s="7">
        <v>0</v>
      </c>
      <c r="I1290" s="7">
        <v>0</v>
      </c>
      <c r="J1290" s="17">
        <f>37+9</f>
        <v>46</v>
      </c>
      <c r="K1290" s="17"/>
      <c r="L1290" s="7">
        <f>SUM(H1290:K1290)</f>
        <v>46</v>
      </c>
      <c r="M1290" s="8">
        <v>1</v>
      </c>
      <c r="N1290" s="8">
        <f>IF(L1290&gt;0,1,"")</f>
        <v>1</v>
      </c>
      <c r="O1290" s="11" t="s">
        <v>1702</v>
      </c>
      <c r="P1290" s="16" t="str">
        <f>IF(LEN(G1290)=10,CONCATENATE("0",G1290),G1290)</f>
        <v>12-Sep-1907</v>
      </c>
      <c r="R1290" s="16" t="str">
        <f t="shared" si="546"/>
        <v>x</v>
      </c>
      <c r="S1290" s="16" t="str">
        <f t="shared" si="546"/>
        <v>x</v>
      </c>
      <c r="U1290" s="46" t="str">
        <f>IF($O1290=U$5,$L1290,"")</f>
        <v/>
      </c>
      <c r="V1290" s="46">
        <f>IF($O1290=V$5,$L1290,"")</f>
        <v>46</v>
      </c>
      <c r="W1290" s="46" t="str">
        <f>IF($O1290=W$5,$L1290,"")</f>
        <v/>
      </c>
      <c r="X1290" s="46" t="str">
        <f>IF($O1290=X$5,$L1290,"")</f>
        <v/>
      </c>
      <c r="Z1290" s="11" t="s">
        <v>4034</v>
      </c>
    </row>
    <row r="1291" spans="2:26" x14ac:dyDescent="0.25">
      <c r="B1291" s="11" t="str">
        <f>CONCATENATE("CORE","-",LEFT(P1291,2),UPPER(MID(P1291,4,3)),RIGHT(P1291,4))</f>
        <v>CORE-25OCT1907</v>
      </c>
      <c r="C1291" s="11" t="s">
        <v>3602</v>
      </c>
      <c r="D1291" s="11" t="s">
        <v>2097</v>
      </c>
      <c r="E1291" s="39" t="s">
        <v>1808</v>
      </c>
      <c r="F1291" s="11" t="s">
        <v>2904</v>
      </c>
      <c r="G1291" s="39" t="s">
        <v>3589</v>
      </c>
      <c r="H1291" s="7">
        <v>0</v>
      </c>
      <c r="I1291" s="7">
        <v>0</v>
      </c>
      <c r="J1291" s="17">
        <v>30</v>
      </c>
      <c r="K1291" s="17"/>
      <c r="L1291" s="7">
        <f>SUM(H1291:K1291)</f>
        <v>30</v>
      </c>
      <c r="M1291" s="8">
        <v>1</v>
      </c>
      <c r="N1291" s="8">
        <f>IF(L1291&gt;0,1,"")</f>
        <v>1</v>
      </c>
      <c r="O1291" s="11" t="s">
        <v>1702</v>
      </c>
      <c r="P1291" s="16" t="str">
        <f>IF(LEN(G1291)=10,CONCATENATE("0",G1291),G1291)</f>
        <v>25-Oct-1907</v>
      </c>
      <c r="R1291" s="16" t="str">
        <f t="shared" si="546"/>
        <v>x</v>
      </c>
      <c r="S1291" s="16" t="str">
        <f t="shared" si="546"/>
        <v>x</v>
      </c>
      <c r="U1291" s="46" t="str">
        <f t="shared" si="545"/>
        <v/>
      </c>
      <c r="V1291" s="46">
        <f t="shared" si="545"/>
        <v>30</v>
      </c>
      <c r="W1291" s="46" t="str">
        <f t="shared" si="545"/>
        <v/>
      </c>
      <c r="X1291" s="46" t="str">
        <f t="shared" si="545"/>
        <v/>
      </c>
    </row>
    <row r="1292" spans="2:26" x14ac:dyDescent="0.25">
      <c r="N1292" s="8" t="str">
        <f>IF(R1292="x",1,"")</f>
        <v/>
      </c>
      <c r="U1292" s="46" t="str">
        <f t="shared" si="545"/>
        <v/>
      </c>
      <c r="V1292" s="46" t="str">
        <f t="shared" si="545"/>
        <v/>
      </c>
      <c r="W1292" s="46" t="str">
        <f t="shared" si="545"/>
        <v/>
      </c>
      <c r="X1292" s="46" t="str">
        <f t="shared" si="545"/>
        <v/>
      </c>
    </row>
    <row r="1293" spans="2:26" x14ac:dyDescent="0.25">
      <c r="B1293" s="18"/>
      <c r="C1293" s="18"/>
      <c r="D1293" s="18"/>
      <c r="E1293" s="40"/>
      <c r="F1293" s="18"/>
      <c r="G1293" s="40"/>
      <c r="H1293" s="7">
        <f t="shared" ref="H1293:N1293" si="547">SUM(H1288:H1292)</f>
        <v>0</v>
      </c>
      <c r="I1293" s="7">
        <f t="shared" si="547"/>
        <v>0</v>
      </c>
      <c r="J1293" s="7">
        <f>SUM(J1288:J1292)</f>
        <v>110</v>
      </c>
      <c r="K1293" s="7">
        <f t="shared" si="547"/>
        <v>0</v>
      </c>
      <c r="L1293" s="7">
        <f t="shared" si="547"/>
        <v>110</v>
      </c>
      <c r="M1293" s="7">
        <f t="shared" si="547"/>
        <v>4</v>
      </c>
      <c r="N1293" s="7">
        <f t="shared" si="547"/>
        <v>4</v>
      </c>
      <c r="O1293" s="18"/>
      <c r="P1293" s="13"/>
      <c r="Q1293" s="13"/>
      <c r="S1293" s="13"/>
      <c r="T1293" s="15"/>
      <c r="U1293" s="46" t="str">
        <f t="shared" si="545"/>
        <v/>
      </c>
      <c r="V1293" s="46" t="str">
        <f t="shared" si="545"/>
        <v/>
      </c>
      <c r="W1293" s="46" t="str">
        <f t="shared" si="545"/>
        <v/>
      </c>
      <c r="X1293" s="46" t="str">
        <f t="shared" si="545"/>
        <v/>
      </c>
    </row>
    <row r="1294" spans="2:26" x14ac:dyDescent="0.25">
      <c r="B1294" s="18"/>
      <c r="C1294" s="18"/>
      <c r="D1294" s="18"/>
      <c r="E1294" s="40"/>
      <c r="F1294" s="18"/>
      <c r="G1294" s="40"/>
      <c r="N1294" s="8" t="str">
        <f>IF(R1294="x",1,"")</f>
        <v/>
      </c>
      <c r="O1294" s="18"/>
      <c r="P1294" s="13"/>
      <c r="Q1294" s="13"/>
      <c r="R1294" s="13"/>
      <c r="S1294" s="13"/>
      <c r="T1294" s="15"/>
      <c r="U1294" s="46" t="str">
        <f t="shared" si="545"/>
        <v/>
      </c>
      <c r="V1294" s="46" t="str">
        <f t="shared" si="545"/>
        <v/>
      </c>
      <c r="W1294" s="46" t="str">
        <f t="shared" si="545"/>
        <v/>
      </c>
      <c r="X1294" s="46" t="str">
        <f t="shared" si="545"/>
        <v/>
      </c>
    </row>
    <row r="1295" spans="2:26" x14ac:dyDescent="0.25">
      <c r="B1295" s="18"/>
      <c r="C1295" s="18"/>
      <c r="D1295" s="18"/>
      <c r="E1295" s="40"/>
      <c r="F1295" s="18"/>
      <c r="G1295" s="40"/>
      <c r="N1295" s="8" t="str">
        <f>IF(R1295="x",1,"")</f>
        <v/>
      </c>
      <c r="O1295" s="18"/>
      <c r="P1295" s="13"/>
      <c r="Q1295" s="13"/>
      <c r="R1295" s="13"/>
      <c r="S1295" s="13"/>
      <c r="T1295" s="15"/>
      <c r="U1295" s="46" t="str">
        <f t="shared" si="545"/>
        <v/>
      </c>
      <c r="V1295" s="46" t="str">
        <f t="shared" si="545"/>
        <v/>
      </c>
      <c r="W1295" s="46" t="str">
        <f t="shared" si="545"/>
        <v/>
      </c>
      <c r="X1295" s="46" t="str">
        <f t="shared" si="545"/>
        <v/>
      </c>
    </row>
    <row r="1296" spans="2:26" x14ac:dyDescent="0.25">
      <c r="B1296" s="11" t="str">
        <f t="shared" ref="B1296:B1302" si="548">CONCATENATE("CORI","-",LEFT(P1296,2),UPPER(MID(P1296,4,3)),RIGHT(P1296,4))</f>
        <v>CORI-01NOV1909</v>
      </c>
      <c r="C1296" s="11" t="s">
        <v>3591</v>
      </c>
      <c r="D1296" s="11" t="s">
        <v>1699</v>
      </c>
      <c r="E1296" s="39" t="s">
        <v>1848</v>
      </c>
      <c r="F1296" s="11" t="s">
        <v>2813</v>
      </c>
      <c r="G1296" s="39" t="s">
        <v>1848</v>
      </c>
      <c r="I1296" s="7">
        <v>0</v>
      </c>
      <c r="J1296" s="17">
        <v>3</v>
      </c>
      <c r="K1296" s="17"/>
      <c r="L1296" s="7">
        <f t="shared" ref="L1296:L1302" si="549">SUM(H1296:K1296)</f>
        <v>3</v>
      </c>
      <c r="M1296" s="8">
        <v>1</v>
      </c>
      <c r="N1296" s="8">
        <f t="shared" ref="N1296:N1302" si="550">IF(L1296&gt;0,1,"")</f>
        <v>1</v>
      </c>
      <c r="O1296" s="11" t="s">
        <v>1702</v>
      </c>
      <c r="P1296" s="16" t="str">
        <f t="shared" ref="P1296:P1302" si="551">IF(LEN(G1296)=10,CONCATENATE("0",G1296),G1296)</f>
        <v>01-Nov-1909</v>
      </c>
      <c r="R1296" s="16" t="str">
        <f>IF($L1296&gt;0,"x","")</f>
        <v>x</v>
      </c>
      <c r="S1296" s="16" t="str">
        <f>IF($L1296&gt;0,"x","")</f>
        <v>x</v>
      </c>
      <c r="U1296" s="46" t="str">
        <f t="shared" si="545"/>
        <v/>
      </c>
      <c r="V1296" s="46">
        <f t="shared" si="545"/>
        <v>3</v>
      </c>
      <c r="W1296" s="46" t="str">
        <f t="shared" si="545"/>
        <v/>
      </c>
      <c r="X1296" s="46" t="str">
        <f t="shared" si="545"/>
        <v/>
      </c>
    </row>
    <row r="1297" spans="2:26" x14ac:dyDescent="0.25">
      <c r="B1297" s="11" t="str">
        <f t="shared" si="548"/>
        <v>CORI-10DEC1909</v>
      </c>
      <c r="C1297" s="11" t="s">
        <v>3591</v>
      </c>
      <c r="D1297" s="11" t="s">
        <v>1699</v>
      </c>
      <c r="E1297" s="39" t="s">
        <v>2931</v>
      </c>
      <c r="F1297" s="11" t="s">
        <v>2904</v>
      </c>
      <c r="G1297" s="39" t="s">
        <v>3592</v>
      </c>
      <c r="I1297" s="7">
        <v>0</v>
      </c>
      <c r="J1297" s="17">
        <v>4</v>
      </c>
      <c r="K1297" s="17"/>
      <c r="L1297" s="7">
        <f t="shared" si="549"/>
        <v>4</v>
      </c>
      <c r="M1297" s="8">
        <v>1</v>
      </c>
      <c r="N1297" s="8">
        <f t="shared" si="550"/>
        <v>1</v>
      </c>
      <c r="O1297" s="11" t="s">
        <v>1702</v>
      </c>
      <c r="P1297" s="16" t="str">
        <f t="shared" si="551"/>
        <v>10-Dec-1909</v>
      </c>
      <c r="R1297" s="16" t="str">
        <f t="shared" ref="R1297:S1302" si="552">IF($L1297&gt;0,"x","")</f>
        <v>x</v>
      </c>
      <c r="S1297" s="16" t="str">
        <f t="shared" si="552"/>
        <v>x</v>
      </c>
      <c r="U1297" s="46" t="str">
        <f t="shared" ref="U1297:X1298" si="553">IF($O1297=U$5,$L1297,"")</f>
        <v/>
      </c>
      <c r="V1297" s="46">
        <f t="shared" si="553"/>
        <v>4</v>
      </c>
      <c r="W1297" s="46" t="str">
        <f t="shared" si="553"/>
        <v/>
      </c>
      <c r="X1297" s="46" t="str">
        <f t="shared" si="553"/>
        <v/>
      </c>
    </row>
    <row r="1298" spans="2:26" x14ac:dyDescent="0.25">
      <c r="B1298" s="11" t="str">
        <f t="shared" si="548"/>
        <v>CORI-15SEP1910</v>
      </c>
      <c r="C1298" s="11" t="s">
        <v>3591</v>
      </c>
      <c r="D1298" s="11" t="s">
        <v>1699</v>
      </c>
      <c r="E1298" s="39" t="s">
        <v>1916</v>
      </c>
      <c r="F1298" s="11" t="s">
        <v>2813</v>
      </c>
      <c r="G1298" s="39" t="s">
        <v>6185</v>
      </c>
      <c r="I1298" s="7">
        <v>0</v>
      </c>
      <c r="J1298" s="17">
        <v>6</v>
      </c>
      <c r="K1298" s="17"/>
      <c r="L1298" s="7">
        <f t="shared" si="549"/>
        <v>6</v>
      </c>
      <c r="M1298" s="8">
        <v>1</v>
      </c>
      <c r="N1298" s="8">
        <f t="shared" si="550"/>
        <v>1</v>
      </c>
      <c r="O1298" s="11" t="s">
        <v>1702</v>
      </c>
      <c r="P1298" s="16" t="str">
        <f t="shared" si="551"/>
        <v>15-Sep-1910</v>
      </c>
      <c r="R1298" s="16" t="str">
        <f t="shared" si="552"/>
        <v>x</v>
      </c>
      <c r="S1298" s="16" t="str">
        <f t="shared" si="552"/>
        <v>x</v>
      </c>
      <c r="U1298" s="46" t="str">
        <f t="shared" si="553"/>
        <v/>
      </c>
      <c r="V1298" s="46">
        <f t="shared" si="553"/>
        <v>6</v>
      </c>
      <c r="W1298" s="46" t="str">
        <f t="shared" si="553"/>
        <v/>
      </c>
      <c r="X1298" s="46" t="str">
        <f t="shared" si="553"/>
        <v/>
      </c>
    </row>
    <row r="1299" spans="2:26" x14ac:dyDescent="0.25">
      <c r="B1299" s="11" t="str">
        <f t="shared" si="548"/>
        <v>CORI-14NOV1911</v>
      </c>
      <c r="C1299" s="11" t="s">
        <v>3591</v>
      </c>
      <c r="D1299" s="11" t="s">
        <v>1699</v>
      </c>
      <c r="E1299" s="39" t="s">
        <v>3599</v>
      </c>
      <c r="F1299" s="11" t="s">
        <v>2813</v>
      </c>
      <c r="G1299" s="39" t="s">
        <v>3598</v>
      </c>
      <c r="I1299" s="7">
        <v>3</v>
      </c>
      <c r="J1299" s="17">
        <v>2</v>
      </c>
      <c r="K1299" s="17"/>
      <c r="L1299" s="7">
        <f t="shared" si="549"/>
        <v>5</v>
      </c>
      <c r="M1299" s="8">
        <v>1</v>
      </c>
      <c r="N1299" s="8">
        <f t="shared" si="550"/>
        <v>1</v>
      </c>
      <c r="O1299" s="11" t="s">
        <v>1702</v>
      </c>
      <c r="P1299" s="16" t="str">
        <f t="shared" si="551"/>
        <v>14-Nov-1911</v>
      </c>
      <c r="R1299" s="16" t="str">
        <f t="shared" si="552"/>
        <v>x</v>
      </c>
      <c r="S1299" s="16" t="str">
        <f t="shared" si="552"/>
        <v>x</v>
      </c>
      <c r="U1299" s="46" t="str">
        <f t="shared" si="545"/>
        <v/>
      </c>
      <c r="V1299" s="46">
        <f t="shared" si="545"/>
        <v>5</v>
      </c>
      <c r="W1299" s="46" t="str">
        <f t="shared" si="545"/>
        <v/>
      </c>
      <c r="X1299" s="46" t="str">
        <f t="shared" si="545"/>
        <v/>
      </c>
    </row>
    <row r="1300" spans="2:26" x14ac:dyDescent="0.25">
      <c r="B1300" s="11" t="str">
        <f>CONCATENATE("CORI","-",LEFT(P1300,2),UPPER(MID(P1300,4,3)),RIGHT(P1300,4))</f>
        <v>CORI-28SEP1912</v>
      </c>
      <c r="C1300" s="11" t="s">
        <v>3591</v>
      </c>
      <c r="D1300" s="11" t="s">
        <v>1699</v>
      </c>
      <c r="E1300" s="39" t="s">
        <v>1903</v>
      </c>
      <c r="F1300" s="11" t="s">
        <v>2813</v>
      </c>
      <c r="G1300" s="39" t="s">
        <v>1330</v>
      </c>
      <c r="I1300" s="7">
        <v>0</v>
      </c>
      <c r="J1300" s="17">
        <v>4</v>
      </c>
      <c r="K1300" s="17"/>
      <c r="L1300" s="7">
        <f>SUM(H1300:K1300)</f>
        <v>4</v>
      </c>
      <c r="M1300" s="8">
        <v>1</v>
      </c>
      <c r="N1300" s="8">
        <f>IF(L1300&gt;0,1,"")</f>
        <v>1</v>
      </c>
      <c r="O1300" s="11" t="s">
        <v>1702</v>
      </c>
      <c r="P1300" s="16" t="str">
        <f>IF(LEN(G1300)=10,CONCATENATE("0",G1300),G1300)</f>
        <v>28-Sep-1912</v>
      </c>
      <c r="R1300" s="16" t="str">
        <f t="shared" si="552"/>
        <v>x</v>
      </c>
      <c r="S1300" s="16" t="str">
        <f t="shared" si="552"/>
        <v>x</v>
      </c>
      <c r="U1300" s="46" t="str">
        <f t="shared" ref="U1300:X1301" si="554">IF($O1300=U$5,$L1300,"")</f>
        <v/>
      </c>
      <c r="V1300" s="46">
        <f t="shared" si="554"/>
        <v>4</v>
      </c>
      <c r="W1300" s="46" t="str">
        <f t="shared" si="554"/>
        <v/>
      </c>
      <c r="X1300" s="46" t="str">
        <f t="shared" si="554"/>
        <v/>
      </c>
      <c r="Z1300" s="11" t="s">
        <v>3801</v>
      </c>
    </row>
    <row r="1301" spans="2:26" x14ac:dyDescent="0.25">
      <c r="B1301" s="11" t="str">
        <f t="shared" si="548"/>
        <v>CORI-15NOV1913</v>
      </c>
      <c r="C1301" s="11" t="s">
        <v>3591</v>
      </c>
      <c r="D1301" s="11" t="s">
        <v>1699</v>
      </c>
      <c r="E1301" s="39" t="s">
        <v>1679</v>
      </c>
      <c r="F1301" s="11" t="s">
        <v>2813</v>
      </c>
      <c r="G1301" s="39" t="s">
        <v>1291</v>
      </c>
      <c r="I1301" s="7">
        <v>0</v>
      </c>
      <c r="J1301" s="17">
        <f>8+1</f>
        <v>9</v>
      </c>
      <c r="K1301" s="17"/>
      <c r="L1301" s="7">
        <f t="shared" si="549"/>
        <v>9</v>
      </c>
      <c r="M1301" s="8">
        <v>1</v>
      </c>
      <c r="N1301" s="8">
        <f t="shared" si="550"/>
        <v>1</v>
      </c>
      <c r="O1301" s="11" t="s">
        <v>1702</v>
      </c>
      <c r="P1301" s="16" t="str">
        <f t="shared" si="551"/>
        <v>15-Nov-1913</v>
      </c>
      <c r="R1301" s="16" t="str">
        <f t="shared" si="552"/>
        <v>x</v>
      </c>
      <c r="S1301" s="16" t="str">
        <f t="shared" si="552"/>
        <v>x</v>
      </c>
      <c r="U1301" s="46" t="str">
        <f t="shared" si="554"/>
        <v/>
      </c>
      <c r="V1301" s="46">
        <f t="shared" si="554"/>
        <v>9</v>
      </c>
      <c r="W1301" s="46" t="str">
        <f t="shared" si="554"/>
        <v/>
      </c>
      <c r="X1301" s="46" t="str">
        <f t="shared" si="554"/>
        <v/>
      </c>
      <c r="Z1301" s="11" t="s">
        <v>3801</v>
      </c>
    </row>
    <row r="1302" spans="2:26" x14ac:dyDescent="0.25">
      <c r="B1302" s="11" t="str">
        <f t="shared" si="548"/>
        <v>CORI-24DEC1913</v>
      </c>
      <c r="C1302" s="11" t="s">
        <v>3591</v>
      </c>
      <c r="D1302" s="11" t="s">
        <v>1699</v>
      </c>
      <c r="E1302" s="39" t="s">
        <v>1028</v>
      </c>
      <c r="F1302" s="11" t="s">
        <v>2813</v>
      </c>
      <c r="G1302" s="39" t="s">
        <v>4404</v>
      </c>
      <c r="I1302" s="7">
        <v>0</v>
      </c>
      <c r="J1302" s="17">
        <v>10</v>
      </c>
      <c r="K1302" s="17"/>
      <c r="L1302" s="7">
        <f t="shared" si="549"/>
        <v>10</v>
      </c>
      <c r="M1302" s="8">
        <v>1</v>
      </c>
      <c r="N1302" s="8">
        <f t="shared" si="550"/>
        <v>1</v>
      </c>
      <c r="O1302" s="11" t="s">
        <v>1702</v>
      </c>
      <c r="P1302" s="16" t="str">
        <f t="shared" si="551"/>
        <v>24-Dec-1913</v>
      </c>
      <c r="R1302" s="16" t="str">
        <f t="shared" si="552"/>
        <v>x</v>
      </c>
      <c r="S1302" s="16" t="str">
        <f t="shared" si="552"/>
        <v>x</v>
      </c>
      <c r="U1302" s="46" t="str">
        <f t="shared" si="545"/>
        <v/>
      </c>
      <c r="V1302" s="46">
        <f t="shared" si="545"/>
        <v>10</v>
      </c>
      <c r="W1302" s="46" t="str">
        <f t="shared" si="545"/>
        <v/>
      </c>
      <c r="X1302" s="46" t="str">
        <f t="shared" si="545"/>
        <v/>
      </c>
      <c r="Z1302" s="11" t="s">
        <v>3801</v>
      </c>
    </row>
    <row r="1303" spans="2:26" x14ac:dyDescent="0.25">
      <c r="N1303" s="8" t="str">
        <f>IF(R1303="x",1,"")</f>
        <v/>
      </c>
      <c r="U1303" s="46" t="str">
        <f t="shared" si="545"/>
        <v/>
      </c>
      <c r="V1303" s="46" t="str">
        <f t="shared" si="545"/>
        <v/>
      </c>
      <c r="W1303" s="46" t="str">
        <f t="shared" si="545"/>
        <v/>
      </c>
      <c r="X1303" s="46" t="str">
        <f t="shared" si="545"/>
        <v/>
      </c>
    </row>
    <row r="1304" spans="2:26" x14ac:dyDescent="0.25">
      <c r="B1304" s="18"/>
      <c r="C1304" s="18"/>
      <c r="D1304" s="18"/>
      <c r="E1304" s="40"/>
      <c r="F1304" s="18"/>
      <c r="G1304" s="40"/>
      <c r="H1304" s="7">
        <f t="shared" ref="H1304:N1304" si="555">SUM(H1296:H1303)</f>
        <v>0</v>
      </c>
      <c r="I1304" s="7">
        <f t="shared" si="555"/>
        <v>3</v>
      </c>
      <c r="J1304" s="7">
        <f>SUM(J1296:J1303)</f>
        <v>38</v>
      </c>
      <c r="K1304" s="7">
        <f t="shared" si="555"/>
        <v>0</v>
      </c>
      <c r="L1304" s="7">
        <f t="shared" si="555"/>
        <v>41</v>
      </c>
      <c r="M1304" s="7">
        <f t="shared" si="555"/>
        <v>7</v>
      </c>
      <c r="N1304" s="7">
        <f t="shared" si="555"/>
        <v>7</v>
      </c>
      <c r="O1304" s="18"/>
      <c r="P1304" s="13"/>
      <c r="Q1304" s="13"/>
      <c r="S1304" s="13"/>
      <c r="T1304" s="15"/>
      <c r="U1304" s="46" t="str">
        <f t="shared" si="545"/>
        <v/>
      </c>
      <c r="V1304" s="46" t="str">
        <f t="shared" si="545"/>
        <v/>
      </c>
      <c r="W1304" s="46" t="str">
        <f t="shared" si="545"/>
        <v/>
      </c>
      <c r="X1304" s="46" t="str">
        <f t="shared" si="545"/>
        <v/>
      </c>
    </row>
    <row r="1305" spans="2:26" x14ac:dyDescent="0.25">
      <c r="B1305" s="18"/>
      <c r="C1305" s="18"/>
      <c r="D1305" s="18"/>
      <c r="E1305" s="40"/>
      <c r="F1305" s="18"/>
      <c r="G1305" s="40"/>
      <c r="N1305" s="8" t="str">
        <f>IF(R1305="x",1,"")</f>
        <v/>
      </c>
      <c r="O1305" s="18"/>
      <c r="P1305" s="13"/>
      <c r="Q1305" s="13"/>
      <c r="R1305" s="13"/>
      <c r="S1305" s="13"/>
      <c r="T1305" s="15"/>
      <c r="U1305" s="46" t="str">
        <f t="shared" ref="U1305:X1311" si="556">IF($O1305=U$5,$L1305,"")</f>
        <v/>
      </c>
      <c r="V1305" s="46" t="str">
        <f t="shared" si="556"/>
        <v/>
      </c>
      <c r="W1305" s="46" t="str">
        <f t="shared" si="556"/>
        <v/>
      </c>
      <c r="X1305" s="46" t="str">
        <f t="shared" si="556"/>
        <v/>
      </c>
    </row>
    <row r="1306" spans="2:26" x14ac:dyDescent="0.25">
      <c r="B1306" s="18"/>
      <c r="C1306" s="18"/>
      <c r="D1306" s="18"/>
      <c r="E1306" s="40"/>
      <c r="F1306" s="18"/>
      <c r="G1306" s="40"/>
      <c r="N1306" s="8" t="str">
        <f>IF(R1306="x",1,"")</f>
        <v/>
      </c>
      <c r="O1306" s="18"/>
      <c r="P1306" s="13"/>
      <c r="Q1306" s="13"/>
      <c r="R1306" s="13"/>
      <c r="S1306" s="13"/>
      <c r="T1306" s="15"/>
      <c r="U1306" s="46" t="str">
        <f t="shared" si="556"/>
        <v/>
      </c>
      <c r="V1306" s="46" t="str">
        <f t="shared" si="556"/>
        <v/>
      </c>
      <c r="W1306" s="46" t="str">
        <f t="shared" si="556"/>
        <v/>
      </c>
      <c r="X1306" s="46" t="str">
        <f t="shared" si="556"/>
        <v/>
      </c>
    </row>
    <row r="1307" spans="2:26" x14ac:dyDescent="0.25">
      <c r="B1307" s="11" t="str">
        <f>CONCATENATE("CORS","-",LEFT(P1307,2),UPPER(MID(P1307,4,3)),RIGHT(P1307,4))</f>
        <v>CORS-20JUL1907</v>
      </c>
      <c r="C1307" s="11" t="s">
        <v>4645</v>
      </c>
      <c r="D1307" s="11" t="s">
        <v>2097</v>
      </c>
      <c r="E1307" s="39" t="s">
        <v>5375</v>
      </c>
      <c r="F1307" s="11" t="s">
        <v>2813</v>
      </c>
      <c r="G1307" s="39" t="s">
        <v>3450</v>
      </c>
      <c r="H1307" s="7">
        <v>0</v>
      </c>
      <c r="I1307" s="7">
        <v>0</v>
      </c>
      <c r="J1307" s="17">
        <v>10</v>
      </c>
      <c r="K1307" s="17"/>
      <c r="L1307" s="7">
        <f>SUM(H1307:K1307)</f>
        <v>10</v>
      </c>
      <c r="M1307" s="8">
        <v>1</v>
      </c>
      <c r="N1307" s="8">
        <f>IF(L1307&gt;0,1,"")</f>
        <v>1</v>
      </c>
      <c r="O1307" s="11" t="s">
        <v>1702</v>
      </c>
      <c r="P1307" s="16" t="str">
        <f>IF(LEN(G1307)=10,CONCATENATE("0",G1307),G1307)</f>
        <v>20-Jul-1907</v>
      </c>
      <c r="R1307" s="16" t="str">
        <f t="shared" ref="R1307:S1309" si="557">IF($L1307&gt;0,"x","")</f>
        <v>x</v>
      </c>
      <c r="S1307" s="16" t="str">
        <f t="shared" si="557"/>
        <v>x</v>
      </c>
      <c r="U1307" s="46" t="str">
        <f t="shared" si="556"/>
        <v/>
      </c>
      <c r="V1307" s="46">
        <f t="shared" si="556"/>
        <v>10</v>
      </c>
      <c r="W1307" s="46" t="str">
        <f t="shared" si="556"/>
        <v/>
      </c>
      <c r="X1307" s="46" t="str">
        <f t="shared" si="556"/>
        <v/>
      </c>
      <c r="Z1307" s="11" t="s">
        <v>4647</v>
      </c>
    </row>
    <row r="1308" spans="2:26" x14ac:dyDescent="0.25">
      <c r="B1308" s="11" t="str">
        <f>CONCATENATE("CORS","-",LEFT(P1308,2),UPPER(MID(P1308,4,3)),RIGHT(P1308,4))</f>
        <v>CORS-20SEP1920</v>
      </c>
      <c r="C1308" s="11" t="s">
        <v>4645</v>
      </c>
      <c r="D1308" s="11" t="s">
        <v>2097</v>
      </c>
      <c r="E1308" s="39" t="s">
        <v>4646</v>
      </c>
      <c r="F1308" s="11" t="s">
        <v>2813</v>
      </c>
      <c r="G1308" s="39" t="s">
        <v>4161</v>
      </c>
      <c r="I1308" s="7">
        <v>0</v>
      </c>
      <c r="J1308" s="17">
        <f>7+3</f>
        <v>10</v>
      </c>
      <c r="K1308" s="17"/>
      <c r="L1308" s="7">
        <f>SUM(H1308:K1308)</f>
        <v>10</v>
      </c>
      <c r="M1308" s="8">
        <v>1</v>
      </c>
      <c r="N1308" s="8">
        <f>IF(L1308&gt;0,1,"")</f>
        <v>1</v>
      </c>
      <c r="O1308" s="11" t="s">
        <v>1702</v>
      </c>
      <c r="P1308" s="16" t="str">
        <f>IF(LEN(G1308)=10,CONCATENATE("0",G1308),G1308)</f>
        <v>20-Sep-1920</v>
      </c>
      <c r="R1308" s="16" t="str">
        <f t="shared" si="557"/>
        <v>x</v>
      </c>
      <c r="S1308" s="16" t="str">
        <f t="shared" si="557"/>
        <v>x</v>
      </c>
      <c r="U1308" s="46" t="str">
        <f t="shared" si="556"/>
        <v/>
      </c>
      <c r="V1308" s="46">
        <f t="shared" si="556"/>
        <v>10</v>
      </c>
      <c r="W1308" s="46" t="str">
        <f t="shared" si="556"/>
        <v/>
      </c>
      <c r="X1308" s="46" t="str">
        <f t="shared" si="556"/>
        <v/>
      </c>
      <c r="Z1308" s="11" t="s">
        <v>4647</v>
      </c>
    </row>
    <row r="1309" spans="2:26" x14ac:dyDescent="0.25">
      <c r="B1309" s="11" t="str">
        <f>CONCATENATE("CORS","-",LEFT(P1309,2),UPPER(MID(P1309,4,3)),RIGHT(P1309,4))</f>
        <v>CORS-02AUG1921</v>
      </c>
      <c r="C1309" s="11" t="s">
        <v>4645</v>
      </c>
      <c r="E1309" s="39" t="s">
        <v>4845</v>
      </c>
      <c r="F1309" s="11" t="s">
        <v>2813</v>
      </c>
      <c r="G1309" s="39" t="s">
        <v>4846</v>
      </c>
      <c r="J1309" s="17">
        <v>3</v>
      </c>
      <c r="K1309" s="17"/>
      <c r="L1309" s="7">
        <f>SUM(H1309:K1309)</f>
        <v>3</v>
      </c>
      <c r="M1309" s="8">
        <v>1</v>
      </c>
      <c r="N1309" s="8">
        <f>IF(L1309&gt;0,1,"")</f>
        <v>1</v>
      </c>
      <c r="O1309" s="11" t="s">
        <v>1702</v>
      </c>
      <c r="P1309" s="16" t="str">
        <f>IF(LEN(G1309)=10,CONCATENATE("0",G1309),G1309)</f>
        <v>02-Aug-1921</v>
      </c>
      <c r="R1309" s="16" t="str">
        <f t="shared" si="557"/>
        <v>x</v>
      </c>
      <c r="S1309" s="16" t="str">
        <f t="shared" si="557"/>
        <v>x</v>
      </c>
      <c r="U1309" s="46" t="str">
        <f t="shared" si="556"/>
        <v/>
      </c>
      <c r="V1309" s="46">
        <f t="shared" si="556"/>
        <v>3</v>
      </c>
      <c r="W1309" s="46" t="str">
        <f t="shared" si="556"/>
        <v/>
      </c>
      <c r="X1309" s="46" t="str">
        <f t="shared" si="556"/>
        <v/>
      </c>
      <c r="Z1309" s="11" t="s">
        <v>4647</v>
      </c>
    </row>
    <row r="1310" spans="2:26" x14ac:dyDescent="0.25">
      <c r="N1310" s="8" t="str">
        <f>IF(R1310="x",1,"")</f>
        <v/>
      </c>
      <c r="U1310" s="46" t="str">
        <f t="shared" si="556"/>
        <v/>
      </c>
      <c r="V1310" s="46" t="str">
        <f t="shared" si="556"/>
        <v/>
      </c>
      <c r="W1310" s="46" t="str">
        <f t="shared" si="556"/>
        <v/>
      </c>
      <c r="X1310" s="46" t="str">
        <f t="shared" si="556"/>
        <v/>
      </c>
    </row>
    <row r="1311" spans="2:26" x14ac:dyDescent="0.25">
      <c r="B1311" s="18"/>
      <c r="C1311" s="18"/>
      <c r="D1311" s="18"/>
      <c r="E1311" s="40"/>
      <c r="F1311" s="18"/>
      <c r="G1311" s="40"/>
      <c r="H1311" s="7">
        <f t="shared" ref="H1311:N1311" si="558">SUM(H1307:H1310)</f>
        <v>0</v>
      </c>
      <c r="I1311" s="7">
        <f t="shared" si="558"/>
        <v>0</v>
      </c>
      <c r="J1311" s="7">
        <f>SUM(J1307:J1310)</f>
        <v>23</v>
      </c>
      <c r="K1311" s="7">
        <f t="shared" si="558"/>
        <v>0</v>
      </c>
      <c r="L1311" s="7">
        <f t="shared" si="558"/>
        <v>23</v>
      </c>
      <c r="M1311" s="7">
        <f t="shared" si="558"/>
        <v>3</v>
      </c>
      <c r="N1311" s="7">
        <f t="shared" si="558"/>
        <v>3</v>
      </c>
      <c r="O1311" s="18"/>
      <c r="P1311" s="13"/>
      <c r="Q1311" s="13"/>
      <c r="S1311" s="13"/>
      <c r="T1311" s="15"/>
      <c r="U1311" s="46" t="str">
        <f t="shared" si="556"/>
        <v/>
      </c>
      <c r="V1311" s="46" t="str">
        <f t="shared" si="556"/>
        <v/>
      </c>
      <c r="W1311" s="46" t="str">
        <f t="shared" si="556"/>
        <v/>
      </c>
      <c r="X1311" s="46" t="str">
        <f t="shared" si="556"/>
        <v/>
      </c>
    </row>
    <row r="1312" spans="2:26" x14ac:dyDescent="0.25">
      <c r="B1312" s="18"/>
      <c r="C1312" s="18"/>
      <c r="D1312" s="18"/>
      <c r="E1312" s="40"/>
      <c r="F1312" s="18"/>
      <c r="G1312" s="40"/>
      <c r="N1312" s="8" t="str">
        <f>IF(R1312="x",1,"")</f>
        <v/>
      </c>
      <c r="O1312" s="18"/>
      <c r="P1312" s="13"/>
      <c r="Q1312" s="13"/>
      <c r="R1312" s="13"/>
      <c r="S1312" s="13"/>
      <c r="T1312" s="15"/>
      <c r="U1312" s="46" t="str">
        <f t="shared" si="545"/>
        <v/>
      </c>
      <c r="V1312" s="46" t="str">
        <f t="shared" si="545"/>
        <v/>
      </c>
      <c r="W1312" s="46" t="str">
        <f t="shared" si="545"/>
        <v/>
      </c>
      <c r="X1312" s="46" t="str">
        <f t="shared" si="545"/>
        <v/>
      </c>
    </row>
    <row r="1313" spans="2:24" x14ac:dyDescent="0.25">
      <c r="B1313" s="18"/>
      <c r="C1313" s="18"/>
      <c r="D1313" s="18"/>
      <c r="E1313" s="40"/>
      <c r="F1313" s="18"/>
      <c r="G1313" s="40"/>
      <c r="N1313" s="8" t="str">
        <f>IF(R1313="x",1,"")</f>
        <v/>
      </c>
      <c r="O1313" s="18"/>
      <c r="P1313" s="13"/>
      <c r="Q1313" s="13"/>
      <c r="R1313" s="13"/>
      <c r="S1313" s="13"/>
      <c r="T1313" s="15"/>
      <c r="U1313" s="46" t="str">
        <f t="shared" si="545"/>
        <v/>
      </c>
      <c r="V1313" s="46" t="str">
        <f t="shared" si="545"/>
        <v/>
      </c>
      <c r="W1313" s="46" t="str">
        <f t="shared" si="545"/>
        <v/>
      </c>
      <c r="X1313" s="46" t="str">
        <f t="shared" si="545"/>
        <v/>
      </c>
    </row>
    <row r="1314" spans="2:24" x14ac:dyDescent="0.25">
      <c r="B1314" s="11" t="str">
        <f t="shared" ref="B1314:B1325" si="559">CONCATENATE("CRTC","-",LEFT(P1314,2),UPPER(MID(P1314,4,3)),RIGHT(P1314,4))</f>
        <v>CRTC-31JAN1904</v>
      </c>
      <c r="C1314" s="11" t="s">
        <v>3336</v>
      </c>
      <c r="D1314" s="11" t="s">
        <v>2097</v>
      </c>
      <c r="E1314" s="39" t="s">
        <v>3397</v>
      </c>
      <c r="F1314" s="11" t="s">
        <v>3050</v>
      </c>
      <c r="G1314" s="39" t="s">
        <v>5323</v>
      </c>
      <c r="I1314" s="7">
        <v>0</v>
      </c>
      <c r="J1314" s="17">
        <v>13</v>
      </c>
      <c r="K1314" s="17"/>
      <c r="L1314" s="7">
        <f t="shared" ref="L1314:L1325" si="560">SUM(H1314:K1314)</f>
        <v>13</v>
      </c>
      <c r="M1314" s="8">
        <v>1</v>
      </c>
      <c r="N1314" s="8">
        <f t="shared" ref="N1314:N1325" si="561">IF(L1314&gt;0,1,"")</f>
        <v>1</v>
      </c>
      <c r="O1314" s="11" t="s">
        <v>1702</v>
      </c>
      <c r="P1314" s="16" t="str">
        <f t="shared" ref="P1314:P1325" si="562">IF(LEN(G1314)=10,CONCATENATE("0",G1314),G1314)</f>
        <v>31-Jan-1904</v>
      </c>
      <c r="R1314" s="16" t="str">
        <f t="shared" ref="R1314:S1316" si="563">IF($L1314&gt;0,"x","")</f>
        <v>x</v>
      </c>
      <c r="S1314" s="16" t="str">
        <f t="shared" si="563"/>
        <v>x</v>
      </c>
      <c r="U1314" s="46" t="str">
        <f t="shared" si="545"/>
        <v/>
      </c>
      <c r="V1314" s="46">
        <f t="shared" si="545"/>
        <v>13</v>
      </c>
      <c r="W1314" s="46" t="str">
        <f t="shared" si="545"/>
        <v/>
      </c>
      <c r="X1314" s="46" t="str">
        <f t="shared" si="545"/>
        <v/>
      </c>
    </row>
    <row r="1315" spans="2:24" x14ac:dyDescent="0.25">
      <c r="B1315" s="11" t="str">
        <f>CONCATENATE("CRTC","-",LEFT(P1315,2),UPPER(MID(P1315,4,3)),RIGHT(P1315,4))</f>
        <v>CRTC-25JUN1904</v>
      </c>
      <c r="C1315" s="11" t="s">
        <v>3336</v>
      </c>
      <c r="D1315" s="11" t="s">
        <v>2097</v>
      </c>
      <c r="E1315" s="39" t="s">
        <v>5264</v>
      </c>
      <c r="F1315" s="11" t="s">
        <v>3050</v>
      </c>
      <c r="G1315" s="39" t="s">
        <v>1669</v>
      </c>
      <c r="H1315" s="7">
        <v>0</v>
      </c>
      <c r="I1315" s="7">
        <v>0</v>
      </c>
      <c r="J1315" s="17">
        <v>1</v>
      </c>
      <c r="K1315" s="17"/>
      <c r="L1315" s="7">
        <f>SUM(H1315:K1315)</f>
        <v>1</v>
      </c>
      <c r="M1315" s="8">
        <v>1</v>
      </c>
      <c r="N1315" s="8">
        <f>IF(L1315&gt;0,1,"")</f>
        <v>1</v>
      </c>
      <c r="O1315" s="11" t="s">
        <v>1702</v>
      </c>
      <c r="P1315" s="16" t="str">
        <f>IF(LEN(G1315)=10,CONCATENATE("0",G1315),G1315)</f>
        <v>25-Jun-1904</v>
      </c>
      <c r="R1315" s="16" t="str">
        <f t="shared" si="563"/>
        <v>x</v>
      </c>
      <c r="S1315" s="16" t="str">
        <f t="shared" si="563"/>
        <v>x</v>
      </c>
      <c r="U1315" s="46" t="str">
        <f t="shared" ref="U1315:X1316" si="564">IF($O1315=U$5,$L1315,"")</f>
        <v/>
      </c>
      <c r="V1315" s="46">
        <f t="shared" si="564"/>
        <v>1</v>
      </c>
      <c r="W1315" s="46" t="str">
        <f t="shared" si="564"/>
        <v/>
      </c>
      <c r="X1315" s="46" t="str">
        <f t="shared" si="564"/>
        <v/>
      </c>
    </row>
    <row r="1316" spans="2:24" x14ac:dyDescent="0.25">
      <c r="B1316" s="11" t="str">
        <f>CONCATENATE("CRTC","-",LEFT(P1316,2),UPPER(MID(P1316,4,3)),RIGHT(P1316,4))</f>
        <v>CRTC-23JUL1904</v>
      </c>
      <c r="C1316" s="11" t="s">
        <v>3336</v>
      </c>
      <c r="D1316" s="11" t="s">
        <v>2097</v>
      </c>
      <c r="E1316" s="39" t="s">
        <v>3565</v>
      </c>
      <c r="F1316" s="11" t="s">
        <v>3050</v>
      </c>
      <c r="G1316" s="39" t="s">
        <v>3564</v>
      </c>
      <c r="H1316" s="7">
        <v>0</v>
      </c>
      <c r="I1316" s="7">
        <v>0</v>
      </c>
      <c r="J1316" s="17">
        <v>10</v>
      </c>
      <c r="K1316" s="17"/>
      <c r="L1316" s="7">
        <f>SUM(H1316:K1316)</f>
        <v>10</v>
      </c>
      <c r="M1316" s="8">
        <v>1</v>
      </c>
      <c r="N1316" s="8">
        <f>IF(L1316&gt;0,1,"")</f>
        <v>1</v>
      </c>
      <c r="O1316" s="11" t="s">
        <v>1702</v>
      </c>
      <c r="P1316" s="16" t="str">
        <f>IF(LEN(G1316)=10,CONCATENATE("0",G1316),G1316)</f>
        <v>23-Jul-1904</v>
      </c>
      <c r="R1316" s="16" t="str">
        <f t="shared" si="563"/>
        <v>x</v>
      </c>
      <c r="S1316" s="16" t="str">
        <f t="shared" si="563"/>
        <v>x</v>
      </c>
      <c r="U1316" s="46" t="str">
        <f t="shared" si="564"/>
        <v/>
      </c>
      <c r="V1316" s="46">
        <f t="shared" si="564"/>
        <v>10</v>
      </c>
      <c r="W1316" s="46" t="str">
        <f t="shared" si="564"/>
        <v/>
      </c>
      <c r="X1316" s="46" t="str">
        <f t="shared" si="564"/>
        <v/>
      </c>
    </row>
    <row r="1317" spans="2:24" x14ac:dyDescent="0.25">
      <c r="B1317" s="11" t="str">
        <f t="shared" si="559"/>
        <v>CRTC-17SEP1904</v>
      </c>
      <c r="C1317" s="11" t="s">
        <v>3336</v>
      </c>
      <c r="D1317" s="11" t="s">
        <v>2097</v>
      </c>
      <c r="E1317" s="39" t="s">
        <v>3337</v>
      </c>
      <c r="F1317" s="11" t="s">
        <v>3050</v>
      </c>
      <c r="G1317" s="39" t="s">
        <v>774</v>
      </c>
      <c r="H1317" s="7">
        <v>0</v>
      </c>
      <c r="I1317" s="7">
        <v>0</v>
      </c>
      <c r="J1317" s="17">
        <v>20</v>
      </c>
      <c r="K1317" s="17"/>
      <c r="L1317" s="7">
        <f t="shared" si="560"/>
        <v>20</v>
      </c>
      <c r="M1317" s="8">
        <v>1</v>
      </c>
      <c r="N1317" s="8">
        <f t="shared" si="561"/>
        <v>1</v>
      </c>
      <c r="O1317" s="11" t="s">
        <v>1702</v>
      </c>
      <c r="P1317" s="16" t="str">
        <f t="shared" si="562"/>
        <v>17-Sep-1904</v>
      </c>
      <c r="R1317" s="16" t="str">
        <f t="shared" ref="R1317:S1326" si="565">IF($L1317&gt;0,"x","")</f>
        <v>x</v>
      </c>
      <c r="S1317" s="16" t="str">
        <f t="shared" si="565"/>
        <v>x</v>
      </c>
      <c r="U1317" s="46" t="str">
        <f t="shared" si="545"/>
        <v/>
      </c>
      <c r="V1317" s="46">
        <f t="shared" si="545"/>
        <v>20</v>
      </c>
      <c r="W1317" s="46" t="str">
        <f t="shared" si="545"/>
        <v/>
      </c>
      <c r="X1317" s="46" t="str">
        <f t="shared" si="545"/>
        <v/>
      </c>
    </row>
    <row r="1318" spans="2:24" x14ac:dyDescent="0.25">
      <c r="B1318" s="11" t="str">
        <f>CONCATENATE("CRTC","-",LEFT(P1318,2),UPPER(MID(P1318,4,3)),RIGHT(P1318,4))</f>
        <v>CRTC-22OCT1904</v>
      </c>
      <c r="C1318" s="11" t="s">
        <v>3336</v>
      </c>
      <c r="D1318" s="11" t="s">
        <v>2097</v>
      </c>
      <c r="E1318" s="39" t="s">
        <v>5570</v>
      </c>
      <c r="F1318" s="11" t="s">
        <v>3050</v>
      </c>
      <c r="G1318" s="39" t="s">
        <v>1410</v>
      </c>
      <c r="H1318" s="7">
        <v>0</v>
      </c>
      <c r="I1318" s="7">
        <v>3</v>
      </c>
      <c r="J1318" s="17">
        <v>61</v>
      </c>
      <c r="K1318" s="17"/>
      <c r="L1318" s="7">
        <f>SUM(H1318:K1318)</f>
        <v>64</v>
      </c>
      <c r="M1318" s="8">
        <v>1</v>
      </c>
      <c r="N1318" s="8">
        <f>IF(L1318&gt;0,1,"")</f>
        <v>1</v>
      </c>
      <c r="O1318" s="11" t="s">
        <v>1702</v>
      </c>
      <c r="P1318" s="16" t="str">
        <f>IF(LEN(G1318)=10,CONCATENATE("0",G1318),G1318)</f>
        <v>22-Oct-1904</v>
      </c>
      <c r="R1318" s="16" t="str">
        <f t="shared" si="565"/>
        <v>x</v>
      </c>
      <c r="S1318" s="16" t="str">
        <f t="shared" si="565"/>
        <v>x</v>
      </c>
      <c r="U1318" s="46" t="str">
        <f>IF($O1318=U$5,$L1318,"")</f>
        <v/>
      </c>
      <c r="V1318" s="46">
        <f>IF($O1318=V$5,$L1318,"")</f>
        <v>64</v>
      </c>
      <c r="W1318" s="46" t="str">
        <f>IF($O1318=W$5,$L1318,"")</f>
        <v/>
      </c>
      <c r="X1318" s="46" t="str">
        <f>IF($O1318=X$5,$L1318,"")</f>
        <v/>
      </c>
    </row>
    <row r="1319" spans="2:24" x14ac:dyDescent="0.25">
      <c r="B1319" s="11" t="str">
        <f t="shared" si="559"/>
        <v>CRTC-18DEC1904</v>
      </c>
      <c r="C1319" s="11" t="s">
        <v>3336</v>
      </c>
      <c r="D1319" s="11" t="s">
        <v>3007</v>
      </c>
      <c r="E1319" s="39" t="s">
        <v>5023</v>
      </c>
      <c r="F1319" s="11" t="s">
        <v>1700</v>
      </c>
      <c r="G1319" s="39" t="s">
        <v>5024</v>
      </c>
      <c r="H1319" s="7">
        <v>0</v>
      </c>
      <c r="I1319" s="7">
        <v>0</v>
      </c>
      <c r="J1319" s="17">
        <v>10</v>
      </c>
      <c r="K1319" s="17"/>
      <c r="L1319" s="7">
        <f t="shared" si="560"/>
        <v>10</v>
      </c>
      <c r="M1319" s="8">
        <v>1</v>
      </c>
      <c r="N1319" s="8">
        <f t="shared" si="561"/>
        <v>1</v>
      </c>
      <c r="O1319" s="11" t="s">
        <v>1702</v>
      </c>
      <c r="P1319" s="16" t="str">
        <f t="shared" si="562"/>
        <v>18-Dec-1904</v>
      </c>
      <c r="R1319" s="16" t="str">
        <f t="shared" si="565"/>
        <v>x</v>
      </c>
      <c r="S1319" s="16" t="str">
        <f t="shared" si="565"/>
        <v>x</v>
      </c>
      <c r="U1319" s="46" t="str">
        <f t="shared" ref="U1319:X1321" si="566">IF($O1319=U$5,$L1319,"")</f>
        <v/>
      </c>
      <c r="V1319" s="46">
        <f t="shared" si="566"/>
        <v>10</v>
      </c>
      <c r="W1319" s="46" t="str">
        <f t="shared" si="566"/>
        <v/>
      </c>
      <c r="X1319" s="46" t="str">
        <f t="shared" si="566"/>
        <v/>
      </c>
    </row>
    <row r="1320" spans="2:24" x14ac:dyDescent="0.25">
      <c r="B1320" s="11" t="str">
        <f>CONCATENATE("CRTC","-",LEFT(P1320,2),UPPER(MID(P1320,4,3)),RIGHT(P1320,4))</f>
        <v>CRTC-31OCT1905</v>
      </c>
      <c r="C1320" s="11" t="s">
        <v>3336</v>
      </c>
      <c r="D1320" s="11" t="s">
        <v>3007</v>
      </c>
      <c r="E1320" s="39" t="s">
        <v>5185</v>
      </c>
      <c r="F1320" s="11" t="s">
        <v>1700</v>
      </c>
      <c r="G1320" s="39" t="s">
        <v>5186</v>
      </c>
      <c r="H1320" s="7">
        <v>0</v>
      </c>
      <c r="I1320" s="7">
        <v>0</v>
      </c>
      <c r="J1320" s="17">
        <v>12</v>
      </c>
      <c r="K1320" s="17"/>
      <c r="L1320" s="7">
        <f>SUM(H1320:K1320)</f>
        <v>12</v>
      </c>
      <c r="M1320" s="8">
        <v>1</v>
      </c>
      <c r="N1320" s="8">
        <f>IF(L1320&gt;0,1,"")</f>
        <v>1</v>
      </c>
      <c r="O1320" s="11" t="s">
        <v>1702</v>
      </c>
      <c r="P1320" s="16" t="str">
        <f>IF(LEN(G1320)=10,CONCATENATE("0",G1320),G1320)</f>
        <v>31-Oct-1905</v>
      </c>
      <c r="R1320" s="16" t="str">
        <f t="shared" si="565"/>
        <v>x</v>
      </c>
      <c r="S1320" s="16" t="str">
        <f t="shared" si="565"/>
        <v>x</v>
      </c>
      <c r="U1320" s="46" t="str">
        <f t="shared" si="566"/>
        <v/>
      </c>
      <c r="V1320" s="46">
        <f t="shared" si="566"/>
        <v>12</v>
      </c>
      <c r="W1320" s="46" t="str">
        <f t="shared" si="566"/>
        <v/>
      </c>
      <c r="X1320" s="46" t="str">
        <f t="shared" si="566"/>
        <v/>
      </c>
    </row>
    <row r="1321" spans="2:24" x14ac:dyDescent="0.25">
      <c r="B1321" s="11" t="str">
        <f>CONCATENATE("CRTC","-",LEFT(P1321,2),UPPER(MID(P1321,4,3)),RIGHT(P1321,4))</f>
        <v>CRTC-21SEP1907</v>
      </c>
      <c r="C1321" s="11" t="s">
        <v>3336</v>
      </c>
      <c r="D1321" s="11" t="s">
        <v>3007</v>
      </c>
      <c r="E1321" s="39" t="s">
        <v>1206</v>
      </c>
      <c r="F1321" s="11" t="s">
        <v>1700</v>
      </c>
      <c r="G1321" s="39" t="s">
        <v>1460</v>
      </c>
      <c r="H1321" s="7">
        <v>0</v>
      </c>
      <c r="I1321" s="7">
        <v>0</v>
      </c>
      <c r="J1321" s="17">
        <v>1</v>
      </c>
      <c r="K1321" s="17"/>
      <c r="L1321" s="7">
        <f>SUM(H1321:K1321)</f>
        <v>1</v>
      </c>
      <c r="M1321" s="8">
        <v>1</v>
      </c>
      <c r="N1321" s="8">
        <f>IF(L1321&gt;0,1,"")</f>
        <v>1</v>
      </c>
      <c r="O1321" s="11" t="s">
        <v>1702</v>
      </c>
      <c r="P1321" s="16" t="str">
        <f>IF(LEN(G1321)=10,CONCATENATE("0",G1321),G1321)</f>
        <v>21-Sep-1907</v>
      </c>
      <c r="R1321" s="16" t="str">
        <f t="shared" si="565"/>
        <v>x</v>
      </c>
      <c r="S1321" s="16" t="str">
        <f t="shared" si="565"/>
        <v>x</v>
      </c>
      <c r="U1321" s="46" t="str">
        <f t="shared" si="566"/>
        <v/>
      </c>
      <c r="V1321" s="46">
        <f t="shared" si="566"/>
        <v>1</v>
      </c>
      <c r="W1321" s="46" t="str">
        <f t="shared" si="566"/>
        <v/>
      </c>
      <c r="X1321" s="46" t="str">
        <f t="shared" si="566"/>
        <v/>
      </c>
    </row>
    <row r="1322" spans="2:24" x14ac:dyDescent="0.25">
      <c r="B1322" s="11" t="str">
        <f t="shared" si="559"/>
        <v>CRTC-09DEC1907</v>
      </c>
      <c r="C1322" s="11" t="s">
        <v>3336</v>
      </c>
      <c r="D1322" s="11" t="s">
        <v>3007</v>
      </c>
      <c r="E1322" s="39" t="s">
        <v>1209</v>
      </c>
      <c r="F1322" s="11" t="s">
        <v>1700</v>
      </c>
      <c r="G1322" s="39" t="s">
        <v>3500</v>
      </c>
      <c r="H1322" s="7">
        <v>0</v>
      </c>
      <c r="I1322" s="7">
        <v>0</v>
      </c>
      <c r="J1322" s="17">
        <v>2</v>
      </c>
      <c r="K1322" s="17"/>
      <c r="L1322" s="7">
        <f t="shared" si="560"/>
        <v>2</v>
      </c>
      <c r="M1322" s="8">
        <v>1</v>
      </c>
      <c r="N1322" s="8">
        <f t="shared" si="561"/>
        <v>1</v>
      </c>
      <c r="O1322" s="11" t="s">
        <v>1702</v>
      </c>
      <c r="P1322" s="16" t="str">
        <f t="shared" si="562"/>
        <v>09-Dec-1907</v>
      </c>
      <c r="R1322" s="16" t="str">
        <f t="shared" si="565"/>
        <v>x</v>
      </c>
      <c r="S1322" s="16" t="str">
        <f t="shared" si="565"/>
        <v>x</v>
      </c>
      <c r="U1322" s="46" t="str">
        <f t="shared" si="545"/>
        <v/>
      </c>
      <c r="V1322" s="46">
        <f t="shared" si="545"/>
        <v>2</v>
      </c>
      <c r="W1322" s="46" t="str">
        <f t="shared" si="545"/>
        <v/>
      </c>
      <c r="X1322" s="46" t="str">
        <f t="shared" si="545"/>
        <v/>
      </c>
    </row>
    <row r="1323" spans="2:24" x14ac:dyDescent="0.25">
      <c r="B1323" s="11" t="str">
        <f t="shared" si="559"/>
        <v>CRTC-31JUL1909</v>
      </c>
      <c r="C1323" s="11" t="s">
        <v>3336</v>
      </c>
      <c r="D1323" s="11" t="s">
        <v>3007</v>
      </c>
      <c r="E1323" s="39" t="s">
        <v>2314</v>
      </c>
      <c r="F1323" s="11" t="s">
        <v>3050</v>
      </c>
      <c r="G1323" s="39" t="s">
        <v>1841</v>
      </c>
      <c r="H1323" s="7">
        <v>0</v>
      </c>
      <c r="I1323" s="7">
        <v>0</v>
      </c>
      <c r="J1323" s="17">
        <v>12</v>
      </c>
      <c r="K1323" s="17"/>
      <c r="L1323" s="7">
        <f t="shared" si="560"/>
        <v>12</v>
      </c>
      <c r="M1323" s="8">
        <v>1</v>
      </c>
      <c r="N1323" s="8">
        <f t="shared" si="561"/>
        <v>1</v>
      </c>
      <c r="O1323" s="11" t="s">
        <v>1702</v>
      </c>
      <c r="P1323" s="16" t="str">
        <f t="shared" si="562"/>
        <v>31-Jul-1909</v>
      </c>
      <c r="R1323" s="16" t="str">
        <f t="shared" si="565"/>
        <v>x</v>
      </c>
      <c r="S1323" s="16" t="str">
        <f t="shared" si="565"/>
        <v>x</v>
      </c>
      <c r="U1323" s="46" t="str">
        <f t="shared" si="545"/>
        <v/>
      </c>
      <c r="V1323" s="46">
        <f t="shared" si="545"/>
        <v>12</v>
      </c>
      <c r="W1323" s="46" t="str">
        <f t="shared" si="545"/>
        <v/>
      </c>
      <c r="X1323" s="46" t="str">
        <f t="shared" si="545"/>
        <v/>
      </c>
    </row>
    <row r="1324" spans="2:24" x14ac:dyDescent="0.25">
      <c r="B1324" s="11" t="str">
        <f>CONCATENATE("CRTC","-",LEFT(P1324,2),UPPER(MID(P1324,4,3)),RIGHT(P1324,4))</f>
        <v>CRTC-14APR1910</v>
      </c>
      <c r="C1324" s="11" t="s">
        <v>3336</v>
      </c>
      <c r="D1324" s="11" t="s">
        <v>3007</v>
      </c>
      <c r="E1324" s="39" t="s">
        <v>940</v>
      </c>
      <c r="F1324" s="11" t="s">
        <v>1700</v>
      </c>
      <c r="G1324" s="39" t="s">
        <v>5909</v>
      </c>
      <c r="H1324" s="7">
        <v>0</v>
      </c>
      <c r="I1324" s="7">
        <v>0</v>
      </c>
      <c r="J1324" s="17">
        <v>4</v>
      </c>
      <c r="K1324" s="17"/>
      <c r="L1324" s="7">
        <f>SUM(H1324:K1324)</f>
        <v>4</v>
      </c>
      <c r="M1324" s="8">
        <v>1</v>
      </c>
      <c r="N1324" s="8">
        <f>IF(L1324&gt;0,1,"")</f>
        <v>1</v>
      </c>
      <c r="O1324" s="11" t="s">
        <v>1702</v>
      </c>
      <c r="P1324" s="16" t="str">
        <f>IF(LEN(G1324)=10,CONCATENATE("0",G1324),G1324)</f>
        <v>14-Apr-1910</v>
      </c>
      <c r="R1324" s="16" t="str">
        <f t="shared" si="565"/>
        <v>x</v>
      </c>
      <c r="S1324" s="16" t="str">
        <f t="shared" si="565"/>
        <v>x</v>
      </c>
      <c r="U1324" s="46" t="str">
        <f>IF($O1324=U$5,$L1324,"")</f>
        <v/>
      </c>
      <c r="V1324" s="46">
        <f>IF($O1324=V$5,$L1324,"")</f>
        <v>4</v>
      </c>
      <c r="W1324" s="46" t="str">
        <f>IF($O1324=W$5,$L1324,"")</f>
        <v/>
      </c>
      <c r="X1324" s="46" t="str">
        <f>IF($O1324=X$5,$L1324,"")</f>
        <v/>
      </c>
    </row>
    <row r="1325" spans="2:24" x14ac:dyDescent="0.25">
      <c r="B1325" s="11" t="str">
        <f t="shared" si="559"/>
        <v>CRTC-21OCT1915</v>
      </c>
      <c r="C1325" s="11" t="s">
        <v>3336</v>
      </c>
      <c r="D1325" s="11" t="s">
        <v>3007</v>
      </c>
      <c r="E1325" s="39" t="s">
        <v>3617</v>
      </c>
      <c r="F1325" s="11" t="s">
        <v>3050</v>
      </c>
      <c r="G1325" s="39" t="s">
        <v>3618</v>
      </c>
      <c r="H1325" s="7">
        <v>1</v>
      </c>
      <c r="I1325" s="7">
        <v>0</v>
      </c>
      <c r="J1325" s="17">
        <v>5</v>
      </c>
      <c r="K1325" s="17"/>
      <c r="L1325" s="7">
        <f t="shared" si="560"/>
        <v>6</v>
      </c>
      <c r="M1325" s="8">
        <v>1</v>
      </c>
      <c r="N1325" s="8">
        <f t="shared" si="561"/>
        <v>1</v>
      </c>
      <c r="O1325" s="11" t="s">
        <v>1702</v>
      </c>
      <c r="P1325" s="16" t="str">
        <f t="shared" si="562"/>
        <v>21-Oct-1915</v>
      </c>
      <c r="R1325" s="16" t="str">
        <f t="shared" si="565"/>
        <v>x</v>
      </c>
      <c r="S1325" s="16" t="str">
        <f t="shared" si="565"/>
        <v>x</v>
      </c>
      <c r="U1325" s="46" t="str">
        <f t="shared" si="545"/>
        <v/>
      </c>
      <c r="V1325" s="46">
        <f t="shared" si="545"/>
        <v>6</v>
      </c>
      <c r="W1325" s="46" t="str">
        <f t="shared" si="545"/>
        <v/>
      </c>
      <c r="X1325" s="46" t="str">
        <f t="shared" si="545"/>
        <v/>
      </c>
    </row>
    <row r="1326" spans="2:24" x14ac:dyDescent="0.25">
      <c r="B1326" s="11" t="str">
        <f>CONCATENATE("CRTC","-",LEFT(P1326,2),UPPER(MID(P1326,4,3)),RIGHT(P1326,4))</f>
        <v>CRTC-15JUN1917</v>
      </c>
      <c r="C1326" s="11" t="s">
        <v>3336</v>
      </c>
      <c r="D1326" s="11" t="s">
        <v>3007</v>
      </c>
      <c r="E1326" s="39" t="s">
        <v>6333</v>
      </c>
      <c r="F1326" s="11" t="s">
        <v>3050</v>
      </c>
      <c r="G1326" s="39" t="s">
        <v>6334</v>
      </c>
      <c r="I1326" s="7">
        <v>2</v>
      </c>
      <c r="J1326" s="17">
        <v>1</v>
      </c>
      <c r="K1326" s="17"/>
      <c r="L1326" s="7">
        <f>SUM(H1326:K1326)</f>
        <v>3</v>
      </c>
      <c r="M1326" s="8">
        <v>1</v>
      </c>
      <c r="N1326" s="8">
        <f>IF(L1326&gt;0,1,"")</f>
        <v>1</v>
      </c>
      <c r="O1326" s="11" t="s">
        <v>1702</v>
      </c>
      <c r="P1326" s="16" t="str">
        <f>IF(LEN(G1326)=10,CONCATENATE("0",G1326),G1326)</f>
        <v>15-Jun-1917</v>
      </c>
      <c r="R1326" s="16" t="str">
        <f t="shared" si="565"/>
        <v>x</v>
      </c>
      <c r="S1326" s="16" t="str">
        <f t="shared" si="565"/>
        <v>x</v>
      </c>
      <c r="U1326" s="46" t="str">
        <f>IF($O1326=U$5,$L1326,"")</f>
        <v/>
      </c>
      <c r="V1326" s="46">
        <f>IF($O1326=V$5,$L1326,"")</f>
        <v>3</v>
      </c>
      <c r="W1326" s="46" t="str">
        <f>IF($O1326=W$5,$L1326,"")</f>
        <v/>
      </c>
      <c r="X1326" s="46" t="str">
        <f>IF($O1326=X$5,$L1326,"")</f>
        <v/>
      </c>
    </row>
    <row r="1327" spans="2:24" x14ac:dyDescent="0.25">
      <c r="N1327" s="8" t="str">
        <f>IF(R1327="x",1,"")</f>
        <v/>
      </c>
      <c r="U1327" s="46" t="str">
        <f t="shared" si="545"/>
        <v/>
      </c>
      <c r="V1327" s="46" t="str">
        <f t="shared" si="545"/>
        <v/>
      </c>
      <c r="W1327" s="46" t="str">
        <f t="shared" si="545"/>
        <v/>
      </c>
      <c r="X1327" s="46" t="str">
        <f t="shared" si="545"/>
        <v/>
      </c>
    </row>
    <row r="1328" spans="2:24" x14ac:dyDescent="0.25">
      <c r="B1328" s="18"/>
      <c r="C1328" s="18"/>
      <c r="D1328" s="18"/>
      <c r="E1328" s="40"/>
      <c r="F1328" s="18"/>
      <c r="G1328" s="40"/>
      <c r="H1328" s="7">
        <f t="shared" ref="H1328:N1328" si="567">SUM(H1314:H1327)</f>
        <v>1</v>
      </c>
      <c r="I1328" s="7">
        <f t="shared" si="567"/>
        <v>5</v>
      </c>
      <c r="J1328" s="7">
        <f>SUM(J1314:J1327)</f>
        <v>152</v>
      </c>
      <c r="K1328" s="7">
        <f t="shared" si="567"/>
        <v>0</v>
      </c>
      <c r="L1328" s="7">
        <f t="shared" si="567"/>
        <v>158</v>
      </c>
      <c r="M1328" s="7">
        <f t="shared" si="567"/>
        <v>13</v>
      </c>
      <c r="N1328" s="7">
        <f t="shared" si="567"/>
        <v>13</v>
      </c>
      <c r="O1328" s="18"/>
      <c r="P1328" s="13"/>
      <c r="Q1328" s="13"/>
      <c r="S1328" s="13"/>
      <c r="T1328" s="15"/>
      <c r="U1328" s="46" t="str">
        <f t="shared" si="545"/>
        <v/>
      </c>
      <c r="V1328" s="46" t="str">
        <f t="shared" si="545"/>
        <v/>
      </c>
      <c r="W1328" s="46" t="str">
        <f t="shared" si="545"/>
        <v/>
      </c>
      <c r="X1328" s="46" t="str">
        <f t="shared" si="545"/>
        <v/>
      </c>
    </row>
    <row r="1329" spans="2:24" x14ac:dyDescent="0.25">
      <c r="B1329" s="18"/>
      <c r="C1329" s="18"/>
      <c r="D1329" s="18"/>
      <c r="E1329" s="40"/>
      <c r="F1329" s="18"/>
      <c r="G1329" s="40"/>
      <c r="N1329" s="8" t="str">
        <f>IF(R1329="x",1,"")</f>
        <v/>
      </c>
      <c r="O1329" s="18"/>
      <c r="P1329" s="13"/>
      <c r="Q1329" s="13"/>
      <c r="R1329" s="13"/>
      <c r="S1329" s="13"/>
      <c r="T1329" s="15"/>
      <c r="U1329" s="46" t="str">
        <f t="shared" si="545"/>
        <v/>
      </c>
      <c r="V1329" s="46" t="str">
        <f t="shared" si="545"/>
        <v/>
      </c>
      <c r="W1329" s="46" t="str">
        <f t="shared" si="545"/>
        <v/>
      </c>
      <c r="X1329" s="46" t="str">
        <f t="shared" si="545"/>
        <v/>
      </c>
    </row>
    <row r="1330" spans="2:24" x14ac:dyDescent="0.25">
      <c r="B1330" s="18"/>
      <c r="C1330" s="18"/>
      <c r="D1330" s="18"/>
      <c r="E1330" s="40"/>
      <c r="F1330" s="18"/>
      <c r="G1330" s="40"/>
      <c r="N1330" s="8" t="str">
        <f>IF(R1330="x",1,"")</f>
        <v/>
      </c>
      <c r="O1330" s="18"/>
      <c r="P1330" s="13"/>
      <c r="Q1330" s="13"/>
      <c r="R1330" s="13"/>
      <c r="S1330" s="13"/>
      <c r="T1330" s="15"/>
      <c r="U1330" s="46" t="str">
        <f t="shared" si="545"/>
        <v/>
      </c>
      <c r="V1330" s="46" t="str">
        <f t="shared" si="545"/>
        <v/>
      </c>
      <c r="W1330" s="46" t="str">
        <f t="shared" si="545"/>
        <v/>
      </c>
      <c r="X1330" s="46" t="str">
        <f t="shared" si="545"/>
        <v/>
      </c>
    </row>
    <row r="1331" spans="2:24" x14ac:dyDescent="0.25">
      <c r="B1331" s="11" t="str">
        <f t="shared" ref="B1331:B1336" si="568">CONCATENATE("CUBA","-",LEFT(P1331,2),UPPER(MID(P1331,4,3)),RIGHT(P1331,4))</f>
        <v>CUBA-19SEP1925</v>
      </c>
      <c r="C1331" s="11" t="s">
        <v>4480</v>
      </c>
      <c r="D1331" s="11" t="s">
        <v>3122</v>
      </c>
      <c r="E1331" s="39" t="s">
        <v>5900</v>
      </c>
      <c r="F1331" s="11" t="s">
        <v>4211</v>
      </c>
      <c r="G1331" s="39" t="s">
        <v>5900</v>
      </c>
      <c r="H1331" s="7">
        <v>2</v>
      </c>
      <c r="J1331" s="17"/>
      <c r="K1331" s="17"/>
      <c r="L1331" s="7">
        <f t="shared" ref="L1331:L1336" si="569">SUM(H1331:K1331)</f>
        <v>2</v>
      </c>
      <c r="M1331" s="8">
        <v>1</v>
      </c>
      <c r="N1331" s="8">
        <f t="shared" ref="N1331:N1336" si="570">IF(L1331&gt;0,1,"")</f>
        <v>1</v>
      </c>
      <c r="O1331" s="11" t="s">
        <v>1702</v>
      </c>
      <c r="P1331" s="16" t="str">
        <f t="shared" ref="P1331:P1336" si="571">IF(LEN(G1331)=10,CONCATENATE("0",G1331),G1331)</f>
        <v>19-Sep-1925</v>
      </c>
      <c r="R1331" s="16" t="str">
        <f t="shared" ref="R1331:S1336" si="572">IF($L1331&gt;0,"x","")</f>
        <v>x</v>
      </c>
      <c r="S1331" s="16" t="str">
        <f t="shared" si="572"/>
        <v>x</v>
      </c>
      <c r="U1331" s="46" t="str">
        <f t="shared" si="545"/>
        <v/>
      </c>
      <c r="V1331" s="46">
        <f t="shared" si="545"/>
        <v>2</v>
      </c>
      <c r="W1331" s="46" t="str">
        <f t="shared" si="545"/>
        <v/>
      </c>
      <c r="X1331" s="46" t="str">
        <f t="shared" si="545"/>
        <v/>
      </c>
    </row>
    <row r="1332" spans="2:24" x14ac:dyDescent="0.25">
      <c r="B1332" s="11" t="str">
        <f t="shared" si="568"/>
        <v>CUBA-18SEP1926</v>
      </c>
      <c r="C1332" s="11" t="s">
        <v>4480</v>
      </c>
      <c r="D1332" s="11" t="s">
        <v>3122</v>
      </c>
      <c r="E1332" s="39" t="s">
        <v>4481</v>
      </c>
      <c r="F1332" s="11" t="s">
        <v>4211</v>
      </c>
      <c r="G1332" s="39" t="s">
        <v>4481</v>
      </c>
      <c r="H1332" s="7">
        <v>7</v>
      </c>
      <c r="J1332" s="17">
        <v>0</v>
      </c>
      <c r="K1332" s="17"/>
      <c r="L1332" s="7">
        <f t="shared" si="569"/>
        <v>7</v>
      </c>
      <c r="M1332" s="8">
        <v>1</v>
      </c>
      <c r="N1332" s="8">
        <f t="shared" si="570"/>
        <v>1</v>
      </c>
      <c r="O1332" s="11" t="s">
        <v>1702</v>
      </c>
      <c r="P1332" s="16" t="str">
        <f t="shared" si="571"/>
        <v>18-Sep-1926</v>
      </c>
      <c r="R1332" s="16" t="str">
        <f t="shared" si="572"/>
        <v>x</v>
      </c>
      <c r="S1332" s="16" t="str">
        <f t="shared" si="572"/>
        <v>x</v>
      </c>
      <c r="U1332" s="46" t="str">
        <f>IF($O1332=U$5,$L1332,"")</f>
        <v/>
      </c>
      <c r="V1332" s="46">
        <f>IF($O1332=V$5,$L1332,"")</f>
        <v>7</v>
      </c>
      <c r="W1332" s="46" t="str">
        <f>IF($O1332=W$5,$L1332,"")</f>
        <v/>
      </c>
      <c r="X1332" s="46" t="str">
        <f>IF($O1332=X$5,$L1332,"")</f>
        <v/>
      </c>
    </row>
    <row r="1333" spans="2:24" x14ac:dyDescent="0.25">
      <c r="B1333" s="11" t="str">
        <f t="shared" si="568"/>
        <v>CUBA-24SEP1927</v>
      </c>
      <c r="C1333" s="11" t="s">
        <v>4480</v>
      </c>
      <c r="D1333" s="11" t="s">
        <v>3122</v>
      </c>
      <c r="E1333" s="39" t="s">
        <v>6214</v>
      </c>
      <c r="F1333" s="11" t="s">
        <v>4211</v>
      </c>
      <c r="G1333" s="39" t="s">
        <v>6214</v>
      </c>
      <c r="H1333" s="7">
        <v>6</v>
      </c>
      <c r="J1333" s="17"/>
      <c r="K1333" s="17"/>
      <c r="L1333" s="7">
        <f t="shared" si="569"/>
        <v>6</v>
      </c>
      <c r="M1333" s="8">
        <v>1</v>
      </c>
      <c r="N1333" s="8">
        <f t="shared" si="570"/>
        <v>1</v>
      </c>
      <c r="O1333" s="11" t="s">
        <v>1702</v>
      </c>
      <c r="P1333" s="16" t="str">
        <f t="shared" si="571"/>
        <v>24-Sep-1927</v>
      </c>
      <c r="R1333" s="16" t="str">
        <f t="shared" si="572"/>
        <v>x</v>
      </c>
      <c r="S1333" s="16" t="str">
        <f t="shared" si="572"/>
        <v>x</v>
      </c>
      <c r="U1333" s="46" t="str">
        <f t="shared" ref="U1333:X1335" si="573">IF($O1333=U$5,$L1333,"")</f>
        <v/>
      </c>
      <c r="V1333" s="46">
        <f t="shared" si="573"/>
        <v>6</v>
      </c>
      <c r="W1333" s="46" t="str">
        <f t="shared" si="573"/>
        <v/>
      </c>
      <c r="X1333" s="46" t="str">
        <f t="shared" si="573"/>
        <v/>
      </c>
    </row>
    <row r="1334" spans="2:24" x14ac:dyDescent="0.25">
      <c r="B1334" s="11" t="str">
        <f t="shared" si="568"/>
        <v>CUBA-30SEP1929</v>
      </c>
      <c r="C1334" s="11" t="s">
        <v>4480</v>
      </c>
      <c r="D1334" s="11" t="s">
        <v>3122</v>
      </c>
      <c r="E1334" s="39" t="s">
        <v>6212</v>
      </c>
      <c r="F1334" s="11" t="s">
        <v>4211</v>
      </c>
      <c r="G1334" s="39" t="s">
        <v>6213</v>
      </c>
      <c r="H1334" s="7">
        <v>0</v>
      </c>
      <c r="J1334" s="17">
        <v>4</v>
      </c>
      <c r="K1334" s="17"/>
      <c r="L1334" s="7">
        <f t="shared" si="569"/>
        <v>4</v>
      </c>
      <c r="M1334" s="8">
        <v>1</v>
      </c>
      <c r="N1334" s="8">
        <f t="shared" si="570"/>
        <v>1</v>
      </c>
      <c r="O1334" s="11" t="s">
        <v>1702</v>
      </c>
      <c r="P1334" s="16" t="str">
        <f t="shared" si="571"/>
        <v>30-Sep-1929</v>
      </c>
      <c r="R1334" s="16" t="str">
        <f t="shared" si="572"/>
        <v>x</v>
      </c>
      <c r="S1334" s="16" t="str">
        <f t="shared" si="572"/>
        <v>x</v>
      </c>
      <c r="U1334" s="46" t="str">
        <f t="shared" si="573"/>
        <v/>
      </c>
      <c r="V1334" s="46">
        <f t="shared" si="573"/>
        <v>4</v>
      </c>
      <c r="W1334" s="46" t="str">
        <f t="shared" si="573"/>
        <v/>
      </c>
      <c r="X1334" s="46" t="str">
        <f t="shared" si="573"/>
        <v/>
      </c>
    </row>
    <row r="1335" spans="2:24" x14ac:dyDescent="0.25">
      <c r="B1335" s="11" t="str">
        <f t="shared" si="568"/>
        <v>CUBA-26NOV1929</v>
      </c>
      <c r="C1335" s="11" t="s">
        <v>4480</v>
      </c>
      <c r="D1335" s="11" t="s">
        <v>3122</v>
      </c>
      <c r="E1335" s="39" t="s">
        <v>5894</v>
      </c>
      <c r="F1335" s="11" t="s">
        <v>4211</v>
      </c>
      <c r="G1335" s="39" t="s">
        <v>5894</v>
      </c>
      <c r="H1335" s="7">
        <v>2</v>
      </c>
      <c r="J1335" s="17">
        <f>0+1</f>
        <v>1</v>
      </c>
      <c r="K1335" s="17"/>
      <c r="L1335" s="7">
        <f t="shared" si="569"/>
        <v>3</v>
      </c>
      <c r="M1335" s="8">
        <v>1</v>
      </c>
      <c r="N1335" s="8">
        <f t="shared" si="570"/>
        <v>1</v>
      </c>
      <c r="O1335" s="11" t="s">
        <v>1702</v>
      </c>
      <c r="P1335" s="16" t="str">
        <f t="shared" si="571"/>
        <v>26-Nov-1929</v>
      </c>
      <c r="R1335" s="16" t="str">
        <f t="shared" si="572"/>
        <v>x</v>
      </c>
      <c r="S1335" s="16" t="str">
        <f t="shared" si="572"/>
        <v>x</v>
      </c>
      <c r="U1335" s="46" t="str">
        <f t="shared" si="573"/>
        <v/>
      </c>
      <c r="V1335" s="46">
        <f t="shared" si="573"/>
        <v>3</v>
      </c>
      <c r="W1335" s="46" t="str">
        <f t="shared" si="573"/>
        <v/>
      </c>
      <c r="X1335" s="46" t="str">
        <f t="shared" si="573"/>
        <v/>
      </c>
    </row>
    <row r="1336" spans="2:24" x14ac:dyDescent="0.25">
      <c r="B1336" s="11" t="str">
        <f t="shared" si="568"/>
        <v>CUBA-29MAR1933</v>
      </c>
      <c r="C1336" s="11" t="s">
        <v>4480</v>
      </c>
      <c r="D1336" s="11" t="s">
        <v>3122</v>
      </c>
      <c r="E1336" s="39" t="s">
        <v>4807</v>
      </c>
      <c r="F1336" s="11" t="s">
        <v>4211</v>
      </c>
      <c r="G1336" s="39" t="s">
        <v>4807</v>
      </c>
      <c r="H1336" s="7">
        <v>2</v>
      </c>
      <c r="J1336" s="17">
        <v>0</v>
      </c>
      <c r="K1336" s="17"/>
      <c r="L1336" s="7">
        <f t="shared" si="569"/>
        <v>2</v>
      </c>
      <c r="M1336" s="8">
        <v>1</v>
      </c>
      <c r="N1336" s="8">
        <f t="shared" si="570"/>
        <v>1</v>
      </c>
      <c r="O1336" s="11" t="s">
        <v>1702</v>
      </c>
      <c r="P1336" s="16" t="str">
        <f t="shared" si="571"/>
        <v>29-Mar-1933</v>
      </c>
      <c r="R1336" s="16" t="str">
        <f t="shared" si="572"/>
        <v>x</v>
      </c>
      <c r="S1336" s="16" t="str">
        <f t="shared" si="572"/>
        <v>x</v>
      </c>
      <c r="U1336" s="46" t="str">
        <f>IF($O1336=U$5,$L1336,"")</f>
        <v/>
      </c>
      <c r="V1336" s="46">
        <f>IF($O1336=V$5,$L1336,"")</f>
        <v>2</v>
      </c>
      <c r="W1336" s="46" t="str">
        <f>IF($O1336=W$5,$L1336,"")</f>
        <v/>
      </c>
      <c r="X1336" s="46" t="str">
        <f>IF($O1336=X$5,$L1336,"")</f>
        <v/>
      </c>
    </row>
    <row r="1337" spans="2:24" x14ac:dyDescent="0.25">
      <c r="N1337" s="8" t="str">
        <f>IF(R1337="x",1,"")</f>
        <v/>
      </c>
      <c r="U1337" s="46" t="str">
        <f t="shared" si="545"/>
        <v/>
      </c>
      <c r="V1337" s="46" t="str">
        <f t="shared" si="545"/>
        <v/>
      </c>
      <c r="W1337" s="46" t="str">
        <f t="shared" si="545"/>
        <v/>
      </c>
      <c r="X1337" s="46" t="str">
        <f t="shared" si="545"/>
        <v/>
      </c>
    </row>
    <row r="1338" spans="2:24" x14ac:dyDescent="0.25">
      <c r="B1338" s="18"/>
      <c r="C1338" s="18"/>
      <c r="D1338" s="18"/>
      <c r="E1338" s="40"/>
      <c r="F1338" s="18"/>
      <c r="G1338" s="40"/>
      <c r="H1338" s="7">
        <f t="shared" ref="H1338:N1338" si="574">SUM(H1331:H1337)</f>
        <v>19</v>
      </c>
      <c r="I1338" s="7">
        <f t="shared" si="574"/>
        <v>0</v>
      </c>
      <c r="J1338" s="7">
        <f>SUM(J1331:J1337)</f>
        <v>5</v>
      </c>
      <c r="K1338" s="7">
        <f t="shared" si="574"/>
        <v>0</v>
      </c>
      <c r="L1338" s="7">
        <f t="shared" si="574"/>
        <v>24</v>
      </c>
      <c r="M1338" s="7">
        <f t="shared" si="574"/>
        <v>6</v>
      </c>
      <c r="N1338" s="7">
        <f t="shared" si="574"/>
        <v>6</v>
      </c>
      <c r="O1338" s="18"/>
      <c r="P1338" s="13"/>
      <c r="Q1338" s="13"/>
      <c r="S1338" s="13"/>
      <c r="T1338" s="15"/>
      <c r="U1338" s="46" t="str">
        <f t="shared" si="545"/>
        <v/>
      </c>
      <c r="V1338" s="46" t="str">
        <f t="shared" si="545"/>
        <v/>
      </c>
      <c r="W1338" s="46" t="str">
        <f t="shared" si="545"/>
        <v/>
      </c>
      <c r="X1338" s="46" t="str">
        <f t="shared" si="545"/>
        <v/>
      </c>
    </row>
    <row r="1339" spans="2:24" x14ac:dyDescent="0.25">
      <c r="B1339" s="18"/>
      <c r="C1339" s="18"/>
      <c r="D1339" s="18"/>
      <c r="E1339" s="40"/>
      <c r="F1339" s="18"/>
      <c r="G1339" s="40"/>
      <c r="N1339" s="8" t="str">
        <f>IF(R1339="x",1,"")</f>
        <v/>
      </c>
      <c r="O1339" s="18"/>
      <c r="P1339" s="13"/>
      <c r="Q1339" s="13"/>
      <c r="R1339" s="13"/>
      <c r="S1339" s="13"/>
      <c r="T1339" s="15"/>
      <c r="U1339" s="46" t="str">
        <f t="shared" si="545"/>
        <v/>
      </c>
      <c r="V1339" s="46" t="str">
        <f t="shared" si="545"/>
        <v/>
      </c>
      <c r="W1339" s="46" t="str">
        <f t="shared" si="545"/>
        <v/>
      </c>
      <c r="X1339" s="46" t="str">
        <f t="shared" si="545"/>
        <v/>
      </c>
    </row>
    <row r="1340" spans="2:24" x14ac:dyDescent="0.25">
      <c r="B1340" s="18"/>
      <c r="C1340" s="18"/>
      <c r="D1340" s="18"/>
      <c r="E1340" s="40"/>
      <c r="F1340" s="18"/>
      <c r="G1340" s="40"/>
      <c r="N1340" s="8" t="str">
        <f>IF(R1340="x",1,"")</f>
        <v/>
      </c>
      <c r="O1340" s="18"/>
      <c r="P1340" s="13"/>
      <c r="Q1340" s="13"/>
      <c r="R1340" s="13"/>
      <c r="S1340" s="13"/>
      <c r="T1340" s="15"/>
      <c r="U1340" s="46" t="str">
        <f t="shared" si="545"/>
        <v/>
      </c>
      <c r="V1340" s="46" t="str">
        <f t="shared" si="545"/>
        <v/>
      </c>
      <c r="W1340" s="46" t="str">
        <f t="shared" si="545"/>
        <v/>
      </c>
      <c r="X1340" s="46" t="str">
        <f t="shared" si="545"/>
        <v/>
      </c>
    </row>
    <row r="1341" spans="2:24" x14ac:dyDescent="0.25">
      <c r="B1341" s="11" t="str">
        <f t="shared" ref="B1341:B1349" si="575">CONCATENATE("CYMR","-",LEFT(P1341,2),UPPER(MID(P1341,4,3)),RIGHT(P1341,4))</f>
        <v>CYMR-17JAN1904</v>
      </c>
      <c r="C1341" s="11" t="s">
        <v>3049</v>
      </c>
      <c r="D1341" s="11" t="s">
        <v>2097</v>
      </c>
      <c r="E1341" s="39" t="s">
        <v>3447</v>
      </c>
      <c r="F1341" s="11" t="s">
        <v>3050</v>
      </c>
      <c r="G1341" s="39" t="s">
        <v>3448</v>
      </c>
      <c r="H1341" s="7">
        <v>0</v>
      </c>
      <c r="J1341" s="17">
        <v>14</v>
      </c>
      <c r="K1341" s="17"/>
      <c r="L1341" s="7">
        <f t="shared" ref="L1341:L1349" si="576">SUM(H1341:K1341)</f>
        <v>14</v>
      </c>
      <c r="M1341" s="8">
        <v>1</v>
      </c>
      <c r="N1341" s="8">
        <f t="shared" ref="N1341:N1349" si="577">IF(L1341&gt;0,1,"")</f>
        <v>1</v>
      </c>
      <c r="O1341" s="11" t="s">
        <v>1702</v>
      </c>
      <c r="P1341" s="16" t="str">
        <f t="shared" ref="P1341:P1349" si="578">IF(LEN(G1341)=10,CONCATENATE("0",G1341),G1341)</f>
        <v>17-Jan-1904</v>
      </c>
      <c r="R1341" s="16" t="str">
        <f t="shared" ref="R1341:S1348" si="579">IF($L1341&gt;0,"x","")</f>
        <v>x</v>
      </c>
      <c r="S1341" s="16" t="str">
        <f t="shared" si="579"/>
        <v>x</v>
      </c>
      <c r="U1341" s="46" t="str">
        <f t="shared" si="545"/>
        <v/>
      </c>
      <c r="V1341" s="46">
        <f t="shared" si="545"/>
        <v>14</v>
      </c>
      <c r="W1341" s="46" t="str">
        <f t="shared" si="545"/>
        <v/>
      </c>
      <c r="X1341" s="46" t="str">
        <f t="shared" si="545"/>
        <v/>
      </c>
    </row>
    <row r="1342" spans="2:24" x14ac:dyDescent="0.25">
      <c r="B1342" s="11" t="str">
        <f>CONCATENATE("CYMR","-",LEFT(P1342,2),UPPER(MID(P1342,4,3)),RIGHT(P1342,4))</f>
        <v>CYMR-08OCT1904</v>
      </c>
      <c r="C1342" s="11" t="s">
        <v>3049</v>
      </c>
      <c r="D1342" s="11" t="s">
        <v>2097</v>
      </c>
      <c r="E1342" s="39" t="s">
        <v>5677</v>
      </c>
      <c r="F1342" s="11" t="s">
        <v>3050</v>
      </c>
      <c r="G1342" s="39" t="s">
        <v>1770</v>
      </c>
      <c r="H1342" s="7">
        <v>0</v>
      </c>
      <c r="J1342" s="17">
        <v>23</v>
      </c>
      <c r="K1342" s="17"/>
      <c r="L1342" s="7">
        <f>SUM(H1342:K1342)</f>
        <v>23</v>
      </c>
      <c r="M1342" s="8">
        <v>1</v>
      </c>
      <c r="N1342" s="8">
        <f>IF(L1342&gt;0,1,"")</f>
        <v>1</v>
      </c>
      <c r="O1342" s="11" t="s">
        <v>1702</v>
      </c>
      <c r="P1342" s="16" t="str">
        <f>IF(LEN(G1342)=10,CONCATENATE("0",G1342),G1342)</f>
        <v>08-Oct-1904</v>
      </c>
      <c r="R1342" s="16" t="str">
        <f>IF($L1342&gt;0,"x","")</f>
        <v>x</v>
      </c>
      <c r="S1342" s="16" t="str">
        <f>IF($L1342&gt;0,"x","")</f>
        <v>x</v>
      </c>
      <c r="U1342" s="46" t="str">
        <f>IF($O1342=U$5,$L1342,"")</f>
        <v/>
      </c>
      <c r="V1342" s="46">
        <f>IF($O1342=V$5,$L1342,"")</f>
        <v>23</v>
      </c>
      <c r="W1342" s="46" t="str">
        <f>IF($O1342=W$5,$L1342,"")</f>
        <v/>
      </c>
      <c r="X1342" s="46" t="str">
        <f>IF($O1342=X$5,$L1342,"")</f>
        <v/>
      </c>
    </row>
    <row r="1343" spans="2:24" x14ac:dyDescent="0.25">
      <c r="B1343" s="11" t="str">
        <f t="shared" si="575"/>
        <v>CYMR-12NOV1904</v>
      </c>
      <c r="C1343" s="11" t="s">
        <v>3049</v>
      </c>
      <c r="D1343" s="11" t="s">
        <v>2097</v>
      </c>
      <c r="E1343" s="39" t="s">
        <v>4166</v>
      </c>
      <c r="F1343" s="11" t="s">
        <v>3050</v>
      </c>
      <c r="G1343" s="39" t="s">
        <v>1661</v>
      </c>
      <c r="H1343" s="7">
        <v>0</v>
      </c>
      <c r="J1343" s="17">
        <f>53+3</f>
        <v>56</v>
      </c>
      <c r="K1343" s="17"/>
      <c r="L1343" s="7">
        <f t="shared" si="576"/>
        <v>56</v>
      </c>
      <c r="M1343" s="8">
        <v>1</v>
      </c>
      <c r="N1343" s="8">
        <f t="shared" si="577"/>
        <v>1</v>
      </c>
      <c r="O1343" s="11" t="s">
        <v>1702</v>
      </c>
      <c r="P1343" s="16" t="str">
        <f t="shared" si="578"/>
        <v>12-Nov-1904</v>
      </c>
      <c r="R1343" s="16" t="str">
        <f t="shared" si="579"/>
        <v>x</v>
      </c>
      <c r="S1343" s="16" t="str">
        <f t="shared" si="579"/>
        <v>x</v>
      </c>
      <c r="U1343" s="46" t="str">
        <f t="shared" si="545"/>
        <v/>
      </c>
      <c r="V1343" s="46">
        <f t="shared" si="545"/>
        <v>56</v>
      </c>
      <c r="W1343" s="46" t="str">
        <f t="shared" si="545"/>
        <v/>
      </c>
      <c r="X1343" s="46" t="str">
        <f t="shared" si="545"/>
        <v/>
      </c>
    </row>
    <row r="1344" spans="2:24" x14ac:dyDescent="0.25">
      <c r="B1344" s="11" t="str">
        <f t="shared" si="575"/>
        <v>CYMR-14DEC1904</v>
      </c>
      <c r="C1344" s="11" t="s">
        <v>3049</v>
      </c>
      <c r="D1344" s="11" t="s">
        <v>2097</v>
      </c>
      <c r="E1344" s="39" t="s">
        <v>1340</v>
      </c>
      <c r="F1344" s="11" t="s">
        <v>3050</v>
      </c>
      <c r="G1344" s="39" t="s">
        <v>3586</v>
      </c>
      <c r="H1344" s="7">
        <v>1</v>
      </c>
      <c r="J1344" s="17">
        <v>46</v>
      </c>
      <c r="K1344" s="17"/>
      <c r="L1344" s="7">
        <f t="shared" si="576"/>
        <v>47</v>
      </c>
      <c r="M1344" s="8">
        <v>1</v>
      </c>
      <c r="N1344" s="8">
        <f t="shared" si="577"/>
        <v>1</v>
      </c>
      <c r="O1344" s="11" t="s">
        <v>1702</v>
      </c>
      <c r="P1344" s="16" t="str">
        <f t="shared" si="578"/>
        <v>14-Dec-1904</v>
      </c>
      <c r="R1344" s="16" t="str">
        <f t="shared" si="579"/>
        <v>x</v>
      </c>
      <c r="S1344" s="16" t="str">
        <f t="shared" si="579"/>
        <v>x</v>
      </c>
      <c r="U1344" s="46" t="str">
        <f t="shared" si="545"/>
        <v/>
      </c>
      <c r="V1344" s="46">
        <f t="shared" si="545"/>
        <v>47</v>
      </c>
      <c r="W1344" s="46" t="str">
        <f t="shared" si="545"/>
        <v/>
      </c>
      <c r="X1344" s="46" t="str">
        <f t="shared" si="545"/>
        <v/>
      </c>
    </row>
    <row r="1345" spans="2:26" x14ac:dyDescent="0.25">
      <c r="B1345" s="11" t="str">
        <f t="shared" si="575"/>
        <v>CYMR-19JAN1905</v>
      </c>
      <c r="C1345" s="11" t="s">
        <v>3049</v>
      </c>
      <c r="D1345" s="11" t="s">
        <v>2097</v>
      </c>
      <c r="E1345" s="39" t="s">
        <v>2636</v>
      </c>
      <c r="F1345" s="11" t="s">
        <v>3050</v>
      </c>
      <c r="G1345" s="39" t="s">
        <v>5127</v>
      </c>
      <c r="H1345" s="7">
        <v>0</v>
      </c>
      <c r="J1345" s="17">
        <v>32</v>
      </c>
      <c r="K1345" s="17"/>
      <c r="L1345" s="7">
        <f t="shared" si="576"/>
        <v>32</v>
      </c>
      <c r="M1345" s="8">
        <v>1</v>
      </c>
      <c r="N1345" s="8">
        <f t="shared" si="577"/>
        <v>1</v>
      </c>
      <c r="O1345" s="11" t="s">
        <v>1702</v>
      </c>
      <c r="P1345" s="16" t="str">
        <f t="shared" si="578"/>
        <v>19-Jan-1905</v>
      </c>
      <c r="R1345" s="16" t="str">
        <f t="shared" si="579"/>
        <v>x</v>
      </c>
      <c r="S1345" s="16" t="str">
        <f t="shared" si="579"/>
        <v>x</v>
      </c>
      <c r="U1345" s="46" t="str">
        <f t="shared" ref="U1345:X1348" si="580">IF($O1345=U$5,$L1345,"")</f>
        <v/>
      </c>
      <c r="V1345" s="46">
        <f t="shared" si="580"/>
        <v>32</v>
      </c>
      <c r="W1345" s="46" t="str">
        <f t="shared" si="580"/>
        <v/>
      </c>
      <c r="X1345" s="46" t="str">
        <f t="shared" si="580"/>
        <v/>
      </c>
    </row>
    <row r="1346" spans="2:26" x14ac:dyDescent="0.25">
      <c r="B1346" s="11" t="str">
        <f>CONCATENATE("CYMR","-",LEFT(P1346,2),UPPER(MID(P1346,4,3)),RIGHT(P1346,4))</f>
        <v>CYMR-06SEP1907</v>
      </c>
      <c r="C1346" s="11" t="s">
        <v>3049</v>
      </c>
      <c r="D1346" s="11" t="s">
        <v>2097</v>
      </c>
      <c r="E1346" s="39" t="s">
        <v>11158</v>
      </c>
      <c r="F1346" s="11" t="s">
        <v>3050</v>
      </c>
      <c r="G1346" s="39" t="s">
        <v>3692</v>
      </c>
      <c r="H1346" s="7">
        <v>0</v>
      </c>
      <c r="J1346" s="17">
        <v>4</v>
      </c>
      <c r="K1346" s="17"/>
      <c r="L1346" s="7">
        <f>SUM(H1346:K1346)</f>
        <v>4</v>
      </c>
      <c r="M1346" s="8">
        <v>1</v>
      </c>
      <c r="N1346" s="8">
        <f>IF(L1346&gt;0,1,"")</f>
        <v>1</v>
      </c>
      <c r="O1346" s="11" t="s">
        <v>1702</v>
      </c>
      <c r="P1346" s="16" t="str">
        <f>IF(LEN(G1346)=10,CONCATENATE("0",G1346),G1346)</f>
        <v>06-Sep-1907</v>
      </c>
      <c r="R1346" s="16" t="str">
        <f t="shared" si="579"/>
        <v>x</v>
      </c>
      <c r="S1346" s="16" t="str">
        <f t="shared" si="579"/>
        <v>x</v>
      </c>
      <c r="U1346" s="46" t="str">
        <f t="shared" si="580"/>
        <v/>
      </c>
      <c r="V1346" s="46">
        <f t="shared" si="580"/>
        <v>4</v>
      </c>
      <c r="W1346" s="46" t="str">
        <f t="shared" si="580"/>
        <v/>
      </c>
      <c r="X1346" s="46" t="str">
        <f t="shared" si="580"/>
        <v/>
      </c>
    </row>
    <row r="1347" spans="2:26" x14ac:dyDescent="0.25">
      <c r="B1347" s="11" t="str">
        <f>CONCATENATE("CYMR","-",LEFT(P1347,2),UPPER(MID(P1347,4,3)),RIGHT(P1347,4))</f>
        <v>CYMR-09FEB1909</v>
      </c>
      <c r="C1347" s="11" t="s">
        <v>3049</v>
      </c>
      <c r="D1347" s="11" t="s">
        <v>2097</v>
      </c>
      <c r="E1347" s="39" t="s">
        <v>859</v>
      </c>
      <c r="F1347" s="11" t="s">
        <v>3050</v>
      </c>
      <c r="G1347" s="39" t="s">
        <v>5654</v>
      </c>
      <c r="H1347" s="7">
        <v>1</v>
      </c>
      <c r="J1347" s="17">
        <v>0</v>
      </c>
      <c r="K1347" s="17"/>
      <c r="L1347" s="7">
        <f>SUM(H1347:K1347)</f>
        <v>1</v>
      </c>
      <c r="M1347" s="8">
        <v>1</v>
      </c>
      <c r="N1347" s="8">
        <f>IF(L1347&gt;0,1,"")</f>
        <v>1</v>
      </c>
      <c r="O1347" s="11" t="s">
        <v>1702</v>
      </c>
      <c r="P1347" s="16" t="str">
        <f>IF(LEN(G1347)=10,CONCATENATE("0",G1347),G1347)</f>
        <v>09-Feb-1909</v>
      </c>
      <c r="R1347" s="16" t="str">
        <f t="shared" si="579"/>
        <v>x</v>
      </c>
      <c r="S1347" s="16" t="str">
        <f t="shared" si="579"/>
        <v>x</v>
      </c>
      <c r="U1347" s="46" t="str">
        <f t="shared" si="580"/>
        <v/>
      </c>
      <c r="V1347" s="46">
        <f t="shared" si="580"/>
        <v>1</v>
      </c>
      <c r="W1347" s="46" t="str">
        <f t="shared" si="580"/>
        <v/>
      </c>
      <c r="X1347" s="46" t="str">
        <f t="shared" si="580"/>
        <v/>
      </c>
    </row>
    <row r="1348" spans="2:26" x14ac:dyDescent="0.25">
      <c r="B1348" s="11" t="str">
        <f t="shared" si="575"/>
        <v>CYMR-28SEP1911</v>
      </c>
      <c r="C1348" s="11" t="s">
        <v>3049</v>
      </c>
      <c r="D1348" s="11" t="s">
        <v>2097</v>
      </c>
      <c r="E1348" s="39" t="s">
        <v>5589</v>
      </c>
      <c r="F1348" s="11" t="s">
        <v>3050</v>
      </c>
      <c r="G1348" s="39" t="s">
        <v>5590</v>
      </c>
      <c r="H1348" s="7">
        <v>0</v>
      </c>
      <c r="J1348" s="17">
        <v>1</v>
      </c>
      <c r="K1348" s="17"/>
      <c r="L1348" s="7">
        <f t="shared" si="576"/>
        <v>1</v>
      </c>
      <c r="M1348" s="8">
        <v>1</v>
      </c>
      <c r="N1348" s="8">
        <f t="shared" si="577"/>
        <v>1</v>
      </c>
      <c r="O1348" s="11" t="s">
        <v>1702</v>
      </c>
      <c r="P1348" s="16" t="str">
        <f t="shared" si="578"/>
        <v>28-Sep-1911</v>
      </c>
      <c r="R1348" s="16" t="str">
        <f t="shared" si="579"/>
        <v>x</v>
      </c>
      <c r="S1348" s="16" t="str">
        <f t="shared" si="579"/>
        <v>x</v>
      </c>
      <c r="U1348" s="46" t="str">
        <f t="shared" si="580"/>
        <v/>
      </c>
      <c r="V1348" s="46">
        <f t="shared" si="580"/>
        <v>1</v>
      </c>
      <c r="W1348" s="46" t="str">
        <f t="shared" si="580"/>
        <v/>
      </c>
      <c r="X1348" s="46" t="str">
        <f t="shared" si="580"/>
        <v/>
      </c>
    </row>
    <row r="1349" spans="2:26" x14ac:dyDescent="0.25">
      <c r="B1349" s="11" t="str">
        <f t="shared" si="575"/>
        <v>CYMR-07AUG1913</v>
      </c>
      <c r="C1349" s="11" t="s">
        <v>3049</v>
      </c>
      <c r="D1349" s="11" t="s">
        <v>2097</v>
      </c>
      <c r="E1349" s="39" t="s">
        <v>1013</v>
      </c>
      <c r="F1349" s="11" t="s">
        <v>3050</v>
      </c>
      <c r="G1349" s="39" t="s">
        <v>3051</v>
      </c>
      <c r="I1349" s="7">
        <v>0</v>
      </c>
      <c r="J1349" s="17">
        <v>6</v>
      </c>
      <c r="K1349" s="17"/>
      <c r="L1349" s="7">
        <f t="shared" si="576"/>
        <v>6</v>
      </c>
      <c r="M1349" s="8">
        <v>1</v>
      </c>
      <c r="N1349" s="8">
        <f t="shared" si="577"/>
        <v>1</v>
      </c>
      <c r="O1349" s="11" t="s">
        <v>1702</v>
      </c>
      <c r="P1349" s="16" t="str">
        <f t="shared" si="578"/>
        <v>07-Aug-1913</v>
      </c>
      <c r="R1349" s="16" t="str">
        <f>IF($L1349&gt;0,"x","")</f>
        <v>x</v>
      </c>
      <c r="S1349" s="16" t="str">
        <f>IF($L1349&gt;0,"x","")</f>
        <v>x</v>
      </c>
      <c r="U1349" s="46" t="str">
        <f t="shared" si="545"/>
        <v/>
      </c>
      <c r="V1349" s="46">
        <f t="shared" si="545"/>
        <v>6</v>
      </c>
      <c r="W1349" s="46" t="str">
        <f t="shared" si="545"/>
        <v/>
      </c>
      <c r="X1349" s="46" t="str">
        <f t="shared" si="545"/>
        <v/>
      </c>
    </row>
    <row r="1350" spans="2:26" x14ac:dyDescent="0.25">
      <c r="N1350" s="8" t="str">
        <f>IF(R1350="x",1,"")</f>
        <v/>
      </c>
      <c r="U1350" s="46" t="str">
        <f t="shared" si="545"/>
        <v/>
      </c>
      <c r="V1350" s="46" t="str">
        <f t="shared" si="545"/>
        <v/>
      </c>
      <c r="W1350" s="46" t="str">
        <f t="shared" si="545"/>
        <v/>
      </c>
      <c r="X1350" s="46" t="str">
        <f t="shared" si="545"/>
        <v/>
      </c>
    </row>
    <row r="1351" spans="2:26" x14ac:dyDescent="0.25">
      <c r="B1351" s="18"/>
      <c r="C1351" s="18"/>
      <c r="D1351" s="18"/>
      <c r="E1351" s="40"/>
      <c r="F1351" s="18"/>
      <c r="G1351" s="40"/>
      <c r="H1351" s="7">
        <f t="shared" ref="H1351:N1351" si="581">SUM(H1341:H1350)</f>
        <v>2</v>
      </c>
      <c r="I1351" s="7">
        <f t="shared" si="581"/>
        <v>0</v>
      </c>
      <c r="J1351" s="7">
        <f>SUM(J1341:J1350)</f>
        <v>182</v>
      </c>
      <c r="K1351" s="7">
        <f t="shared" si="581"/>
        <v>0</v>
      </c>
      <c r="L1351" s="7">
        <f t="shared" si="581"/>
        <v>184</v>
      </c>
      <c r="M1351" s="7">
        <f t="shared" si="581"/>
        <v>9</v>
      </c>
      <c r="N1351" s="7">
        <f t="shared" si="581"/>
        <v>9</v>
      </c>
      <c r="O1351" s="18"/>
      <c r="P1351" s="13"/>
      <c r="Q1351" s="13"/>
      <c r="S1351" s="13"/>
      <c r="T1351" s="15"/>
      <c r="U1351" s="46" t="str">
        <f t="shared" si="545"/>
        <v/>
      </c>
      <c r="V1351" s="46" t="str">
        <f t="shared" si="545"/>
        <v/>
      </c>
      <c r="W1351" s="46" t="str">
        <f t="shared" si="545"/>
        <v/>
      </c>
      <c r="X1351" s="46" t="str">
        <f t="shared" si="545"/>
        <v/>
      </c>
    </row>
    <row r="1352" spans="2:26" x14ac:dyDescent="0.25">
      <c r="B1352" s="18"/>
      <c r="C1352" s="18"/>
      <c r="D1352" s="18"/>
      <c r="E1352" s="40"/>
      <c r="F1352" s="18"/>
      <c r="G1352" s="40"/>
      <c r="N1352" s="8" t="str">
        <f>IF(R1352="x",1,"")</f>
        <v/>
      </c>
      <c r="O1352" s="18"/>
      <c r="P1352" s="13"/>
      <c r="Q1352" s="13"/>
      <c r="R1352" s="13"/>
      <c r="S1352" s="13"/>
      <c r="T1352" s="15"/>
      <c r="U1352" s="46" t="str">
        <f t="shared" ref="U1352:X1357" si="582">IF($O1352=U$5,$L1352,"")</f>
        <v/>
      </c>
      <c r="V1352" s="46" t="str">
        <f t="shared" si="582"/>
        <v/>
      </c>
      <c r="W1352" s="46" t="str">
        <f t="shared" si="582"/>
        <v/>
      </c>
      <c r="X1352" s="46" t="str">
        <f t="shared" si="582"/>
        <v/>
      </c>
    </row>
    <row r="1353" spans="2:26" x14ac:dyDescent="0.25">
      <c r="B1353" s="18"/>
      <c r="C1353" s="18"/>
      <c r="D1353" s="18"/>
      <c r="E1353" s="40"/>
      <c r="F1353" s="18"/>
      <c r="G1353" s="40"/>
      <c r="N1353" s="8" t="str">
        <f>IF(R1353="x",1,"")</f>
        <v/>
      </c>
      <c r="O1353" s="18"/>
      <c r="P1353" s="13"/>
      <c r="Q1353" s="13"/>
      <c r="R1353" s="13"/>
      <c r="S1353" s="13"/>
      <c r="T1353" s="15"/>
      <c r="U1353" s="46" t="str">
        <f t="shared" si="582"/>
        <v/>
      </c>
      <c r="V1353" s="46" t="str">
        <f t="shared" si="582"/>
        <v/>
      </c>
      <c r="W1353" s="46" t="str">
        <f t="shared" si="582"/>
        <v/>
      </c>
      <c r="X1353" s="46" t="str">
        <f t="shared" si="582"/>
        <v/>
      </c>
    </row>
    <row r="1354" spans="2:26" x14ac:dyDescent="0.25">
      <c r="B1354" s="11" t="str">
        <f>CONCATENATE("CZAR","-",LEFT(P1354,2),UPPER(MID(P1354,4,3)),RIGHT(P1354,4))</f>
        <v>CZAR-27MAR1914</v>
      </c>
      <c r="C1354" s="11" t="s">
        <v>6161</v>
      </c>
      <c r="D1354" s="11" t="s">
        <v>5100</v>
      </c>
      <c r="E1354" s="39" t="s">
        <v>6162</v>
      </c>
      <c r="F1354" s="11" t="s">
        <v>1700</v>
      </c>
      <c r="G1354" s="39" t="s">
        <v>6163</v>
      </c>
      <c r="H1354" s="7">
        <v>0</v>
      </c>
      <c r="I1354" s="7">
        <v>2</v>
      </c>
      <c r="J1354" s="17">
        <v>10</v>
      </c>
      <c r="K1354" s="17"/>
      <c r="L1354" s="7">
        <f>SUM(H1354:K1354)</f>
        <v>12</v>
      </c>
      <c r="M1354" s="8">
        <v>1</v>
      </c>
      <c r="N1354" s="8">
        <f>IF(L1354&gt;0,1,"")</f>
        <v>1</v>
      </c>
      <c r="O1354" s="11" t="s">
        <v>1702</v>
      </c>
      <c r="P1354" s="16" t="str">
        <f>IF(LEN(G1354)=10,CONCATENATE("0",G1354),G1354)</f>
        <v>27-Mar-1914</v>
      </c>
      <c r="R1354" s="16" t="str">
        <f>IF($L1354&gt;0,"x","")</f>
        <v>x</v>
      </c>
      <c r="S1354" s="16" t="str">
        <f>IF($L1354&gt;0,"x","")</f>
        <v>x</v>
      </c>
      <c r="U1354" s="46" t="str">
        <f t="shared" si="582"/>
        <v/>
      </c>
      <c r="V1354" s="46">
        <f t="shared" si="582"/>
        <v>12</v>
      </c>
      <c r="W1354" s="46" t="str">
        <f t="shared" si="582"/>
        <v/>
      </c>
      <c r="X1354" s="46" t="str">
        <f t="shared" si="582"/>
        <v/>
      </c>
    </row>
    <row r="1355" spans="2:26" x14ac:dyDescent="0.25">
      <c r="B1355" s="11" t="str">
        <f>CONCATENATE("CZAR","-",LEFT(P1355,2),UPPER(MID(P1355,4,3)),RIGHT(P1355,4))</f>
        <v>CZAR-29NOV1915</v>
      </c>
      <c r="C1355" s="11" t="s">
        <v>6161</v>
      </c>
      <c r="D1355" s="11" t="s">
        <v>4043</v>
      </c>
      <c r="E1355" s="39" t="s">
        <v>11470</v>
      </c>
      <c r="F1355" s="11" t="s">
        <v>1700</v>
      </c>
      <c r="G1355" s="39" t="s">
        <v>11471</v>
      </c>
      <c r="H1355" s="7">
        <v>0</v>
      </c>
      <c r="I1355" s="7">
        <v>6</v>
      </c>
      <c r="J1355" s="17">
        <v>3</v>
      </c>
      <c r="K1355" s="17"/>
      <c r="L1355" s="7">
        <f>SUM(H1355:K1355)</f>
        <v>9</v>
      </c>
      <c r="M1355" s="8">
        <v>1</v>
      </c>
      <c r="N1355" s="8">
        <f>IF(L1355&gt;0,1,"")</f>
        <v>1</v>
      </c>
      <c r="O1355" s="11" t="s">
        <v>1702</v>
      </c>
      <c r="P1355" s="16" t="str">
        <f>IF(LEN(G1355)=10,CONCATENATE("0",G1355),G1355)</f>
        <v>29-Nov-1915</v>
      </c>
      <c r="R1355" s="16" t="str">
        <f>IF($L1355&gt;0,"x","")</f>
        <v>x</v>
      </c>
      <c r="S1355" s="16" t="str">
        <f>IF($L1355&gt;0,"x","")</f>
        <v>x</v>
      </c>
      <c r="U1355" s="46" t="str">
        <f t="shared" si="582"/>
        <v/>
      </c>
      <c r="V1355" s="46">
        <f t="shared" si="582"/>
        <v>9</v>
      </c>
      <c r="W1355" s="46" t="str">
        <f t="shared" si="582"/>
        <v/>
      </c>
      <c r="X1355" s="46" t="str">
        <f t="shared" si="582"/>
        <v/>
      </c>
    </row>
    <row r="1356" spans="2:26" x14ac:dyDescent="0.25">
      <c r="N1356" s="8" t="str">
        <f>IF(R1356="x",1,"")</f>
        <v/>
      </c>
      <c r="U1356" s="46" t="str">
        <f t="shared" si="582"/>
        <v/>
      </c>
      <c r="V1356" s="46" t="str">
        <f t="shared" si="582"/>
        <v/>
      </c>
      <c r="W1356" s="46" t="str">
        <f t="shared" si="582"/>
        <v/>
      </c>
      <c r="X1356" s="46" t="str">
        <f t="shared" si="582"/>
        <v/>
      </c>
    </row>
    <row r="1357" spans="2:26" x14ac:dyDescent="0.25">
      <c r="B1357" s="18"/>
      <c r="C1357" s="18"/>
      <c r="D1357" s="18"/>
      <c r="E1357" s="40"/>
      <c r="F1357" s="18"/>
      <c r="G1357" s="40"/>
      <c r="H1357" s="7">
        <f t="shared" ref="H1357:N1357" si="583">SUM(H1354:H1356)</f>
        <v>0</v>
      </c>
      <c r="I1357" s="7">
        <f t="shared" si="583"/>
        <v>8</v>
      </c>
      <c r="J1357" s="7">
        <f>SUM(J1354:J1356)</f>
        <v>13</v>
      </c>
      <c r="K1357" s="7">
        <f t="shared" si="583"/>
        <v>0</v>
      </c>
      <c r="L1357" s="7">
        <f t="shared" si="583"/>
        <v>21</v>
      </c>
      <c r="M1357" s="7">
        <f t="shared" si="583"/>
        <v>2</v>
      </c>
      <c r="N1357" s="7">
        <f t="shared" si="583"/>
        <v>2</v>
      </c>
      <c r="O1357" s="18"/>
      <c r="P1357" s="13"/>
      <c r="Q1357" s="13"/>
      <c r="S1357" s="13"/>
      <c r="T1357" s="15"/>
      <c r="U1357" s="46" t="str">
        <f t="shared" si="582"/>
        <v/>
      </c>
      <c r="V1357" s="46" t="str">
        <f t="shared" si="582"/>
        <v/>
      </c>
      <c r="W1357" s="46" t="str">
        <f t="shared" si="582"/>
        <v/>
      </c>
      <c r="X1357" s="46" t="str">
        <f t="shared" si="582"/>
        <v/>
      </c>
    </row>
    <row r="1358" spans="2:26" s="18" customFormat="1" x14ac:dyDescent="0.25">
      <c r="E1358" s="40"/>
      <c r="G1358" s="40"/>
      <c r="H1358" s="7"/>
      <c r="I1358" s="7"/>
      <c r="J1358" s="7"/>
      <c r="K1358" s="7"/>
      <c r="L1358" s="7"/>
      <c r="M1358" s="8"/>
      <c r="N1358" s="8" t="str">
        <f>IF(R1358="x",1,"")</f>
        <v/>
      </c>
      <c r="P1358" s="13"/>
      <c r="Q1358" s="13"/>
      <c r="R1358" s="13"/>
      <c r="S1358" s="13"/>
      <c r="T1358" s="15"/>
      <c r="U1358" s="46" t="str">
        <f t="shared" si="545"/>
        <v/>
      </c>
      <c r="V1358" s="46" t="str">
        <f t="shared" si="545"/>
        <v/>
      </c>
      <c r="W1358" s="46" t="str">
        <f t="shared" si="545"/>
        <v/>
      </c>
      <c r="X1358" s="46" t="str">
        <f t="shared" si="545"/>
        <v/>
      </c>
      <c r="Z1358" s="11"/>
    </row>
    <row r="1359" spans="2:26" s="18" customFormat="1" x14ac:dyDescent="0.25">
      <c r="E1359" s="40"/>
      <c r="G1359" s="40"/>
      <c r="H1359" s="7"/>
      <c r="I1359" s="7"/>
      <c r="J1359" s="7"/>
      <c r="K1359" s="7"/>
      <c r="L1359" s="7"/>
      <c r="M1359" s="8"/>
      <c r="N1359" s="8" t="str">
        <f>IF(R1359="x",1,"")</f>
        <v/>
      </c>
      <c r="P1359" s="13"/>
      <c r="Q1359" s="13"/>
      <c r="R1359" s="13"/>
      <c r="S1359" s="13"/>
      <c r="T1359" s="15"/>
      <c r="U1359" s="46" t="str">
        <f t="shared" si="545"/>
        <v/>
      </c>
      <c r="V1359" s="46" t="str">
        <f t="shared" si="545"/>
        <v/>
      </c>
      <c r="W1359" s="46" t="str">
        <f t="shared" si="545"/>
        <v/>
      </c>
      <c r="X1359" s="46" t="str">
        <f t="shared" si="545"/>
        <v/>
      </c>
      <c r="Z1359" s="11"/>
    </row>
    <row r="1360" spans="2:26" x14ac:dyDescent="0.25">
      <c r="B1360" s="11" t="str">
        <f t="shared" ref="B1360:B1370" si="584">CONCATENATE("DANI","-",LEFT(P1360,2),UPPER(MID(P1360,4,3)),RIGHT(P1360,4))</f>
        <v>DANI-08AUG1891</v>
      </c>
      <c r="C1360" s="11" t="s">
        <v>107</v>
      </c>
      <c r="D1360" s="11" t="s">
        <v>1699</v>
      </c>
      <c r="F1360" s="11" t="s">
        <v>1700</v>
      </c>
      <c r="G1360" s="39" t="s">
        <v>5934</v>
      </c>
      <c r="H1360" s="7">
        <v>0</v>
      </c>
      <c r="J1360" s="17">
        <v>44</v>
      </c>
      <c r="K1360" s="17"/>
      <c r="L1360" s="7">
        <f t="shared" ref="L1360:L1370" si="585">SUM(H1360:K1360)</f>
        <v>44</v>
      </c>
      <c r="M1360" s="8">
        <v>1</v>
      </c>
      <c r="N1360" s="8">
        <f t="shared" ref="N1360:N1376" si="586">IF(L1360&gt;0,1,"")</f>
        <v>1</v>
      </c>
      <c r="O1360" s="11" t="s">
        <v>1702</v>
      </c>
      <c r="P1360" s="16" t="str">
        <f t="shared" ref="P1360:P1370" si="587">IF(LEN(G1360)=10,CONCATENATE("0",G1360),G1360)</f>
        <v>08-Aug-1891</v>
      </c>
      <c r="R1360" s="16" t="str">
        <f>IF($L1360&gt;0,"x","")</f>
        <v>x</v>
      </c>
      <c r="S1360" s="16" t="str">
        <f>IF($L1360&gt;0,"x","")</f>
        <v>x</v>
      </c>
      <c r="U1360" s="46" t="str">
        <f t="shared" si="545"/>
        <v/>
      </c>
      <c r="V1360" s="46">
        <f t="shared" si="545"/>
        <v>44</v>
      </c>
      <c r="W1360" s="46" t="str">
        <f t="shared" si="545"/>
        <v/>
      </c>
      <c r="X1360" s="46" t="str">
        <f t="shared" si="545"/>
        <v/>
      </c>
    </row>
    <row r="1361" spans="2:24" x14ac:dyDescent="0.25">
      <c r="B1361" s="11" t="str">
        <f t="shared" si="584"/>
        <v>DANI-18SEP1891</v>
      </c>
      <c r="C1361" s="11" t="s">
        <v>107</v>
      </c>
      <c r="D1361" s="11" t="s">
        <v>1699</v>
      </c>
      <c r="F1361" s="11" t="s">
        <v>1700</v>
      </c>
      <c r="G1361" s="39" t="s">
        <v>5985</v>
      </c>
      <c r="H1361" s="7">
        <v>0</v>
      </c>
      <c r="J1361" s="17">
        <v>13</v>
      </c>
      <c r="K1361" s="17"/>
      <c r="L1361" s="7">
        <f t="shared" si="585"/>
        <v>13</v>
      </c>
      <c r="M1361" s="8">
        <v>1</v>
      </c>
      <c r="N1361" s="8">
        <f t="shared" si="586"/>
        <v>1</v>
      </c>
      <c r="O1361" s="11" t="s">
        <v>1702</v>
      </c>
      <c r="P1361" s="16" t="str">
        <f t="shared" si="587"/>
        <v>18-Sep-1891</v>
      </c>
      <c r="R1361" s="16" t="str">
        <f>IF($L1361&gt;0,"x","")</f>
        <v>x</v>
      </c>
      <c r="S1361" s="16" t="str">
        <f>IF($L1361&gt;0,"x","")</f>
        <v>x</v>
      </c>
      <c r="U1361" s="46" t="str">
        <f t="shared" ref="U1361:X1362" si="588">IF($O1361=U$5,$L1361,"")</f>
        <v/>
      </c>
      <c r="V1361" s="46">
        <f t="shared" si="588"/>
        <v>13</v>
      </c>
      <c r="W1361" s="46" t="str">
        <f t="shared" si="588"/>
        <v/>
      </c>
      <c r="X1361" s="46" t="str">
        <f t="shared" si="588"/>
        <v/>
      </c>
    </row>
    <row r="1362" spans="2:24" x14ac:dyDescent="0.25">
      <c r="B1362" s="11" t="str">
        <f>CONCATENATE("DANI","-",LEFT(P1362,2),UPPER(MID(P1362,4,3)),RIGHT(P1362,4))</f>
        <v>DANI-23JAN1892</v>
      </c>
      <c r="C1362" s="11" t="s">
        <v>107</v>
      </c>
      <c r="D1362" s="11" t="s">
        <v>1699</v>
      </c>
      <c r="F1362" s="11" t="s">
        <v>1700</v>
      </c>
      <c r="G1362" s="39" t="s">
        <v>108</v>
      </c>
      <c r="H1362" s="7">
        <v>0</v>
      </c>
      <c r="I1362" s="7">
        <v>0</v>
      </c>
      <c r="J1362" s="17">
        <v>25</v>
      </c>
      <c r="K1362" s="17"/>
      <c r="L1362" s="7">
        <f>SUM(H1362:K1362)</f>
        <v>25</v>
      </c>
      <c r="M1362" s="8">
        <v>1</v>
      </c>
      <c r="N1362" s="8">
        <f>IF(L1362&gt;0,1,"")</f>
        <v>1</v>
      </c>
      <c r="O1362" s="11" t="s">
        <v>1702</v>
      </c>
      <c r="P1362" s="16" t="str">
        <f>IF(LEN(G1362)=10,CONCATENATE("0",G1362),G1362)</f>
        <v>23-Jan-1892</v>
      </c>
      <c r="R1362" s="16" t="str">
        <f t="shared" ref="R1362:S1376" si="589">IF($L1362&gt;0,"x","")</f>
        <v>x</v>
      </c>
      <c r="S1362" s="16" t="str">
        <f t="shared" si="589"/>
        <v>x</v>
      </c>
      <c r="U1362" s="46" t="str">
        <f t="shared" si="588"/>
        <v/>
      </c>
      <c r="V1362" s="46">
        <f t="shared" si="588"/>
        <v>25</v>
      </c>
      <c r="W1362" s="46" t="str">
        <f t="shared" si="588"/>
        <v/>
      </c>
      <c r="X1362" s="46" t="str">
        <f t="shared" si="588"/>
        <v/>
      </c>
    </row>
    <row r="1363" spans="2:24" x14ac:dyDescent="0.25">
      <c r="B1363" s="11" t="str">
        <f t="shared" si="584"/>
        <v>DANI-16APR1892</v>
      </c>
      <c r="C1363" s="11" t="s">
        <v>107</v>
      </c>
      <c r="D1363" s="11" t="s">
        <v>1699</v>
      </c>
      <c r="F1363" s="11" t="s">
        <v>1700</v>
      </c>
      <c r="G1363" s="39" t="s">
        <v>109</v>
      </c>
      <c r="H1363" s="7">
        <v>0</v>
      </c>
      <c r="I1363" s="7">
        <v>0</v>
      </c>
      <c r="J1363" s="17">
        <v>3</v>
      </c>
      <c r="K1363" s="17"/>
      <c r="L1363" s="7">
        <f t="shared" si="585"/>
        <v>3</v>
      </c>
      <c r="M1363" s="8">
        <v>1</v>
      </c>
      <c r="N1363" s="8">
        <f t="shared" si="586"/>
        <v>1</v>
      </c>
      <c r="O1363" s="11" t="s">
        <v>1702</v>
      </c>
      <c r="P1363" s="16" t="str">
        <f t="shared" si="587"/>
        <v>16-Apr-1892</v>
      </c>
      <c r="R1363" s="16" t="str">
        <f t="shared" si="589"/>
        <v>x</v>
      </c>
      <c r="S1363" s="16" t="str">
        <f t="shared" si="589"/>
        <v>x</v>
      </c>
      <c r="U1363" s="46" t="str">
        <f t="shared" si="545"/>
        <v/>
      </c>
      <c r="V1363" s="46">
        <f t="shared" si="545"/>
        <v>3</v>
      </c>
      <c r="W1363" s="46" t="str">
        <f t="shared" si="545"/>
        <v/>
      </c>
      <c r="X1363" s="46" t="str">
        <f t="shared" si="545"/>
        <v/>
      </c>
    </row>
    <row r="1364" spans="2:24" x14ac:dyDescent="0.25">
      <c r="B1364" s="11" t="str">
        <f t="shared" si="584"/>
        <v>DANI-30MAY1892</v>
      </c>
      <c r="C1364" s="11" t="s">
        <v>107</v>
      </c>
      <c r="D1364" s="11" t="s">
        <v>1699</v>
      </c>
      <c r="F1364" s="11" t="s">
        <v>1700</v>
      </c>
      <c r="G1364" s="39" t="s">
        <v>140</v>
      </c>
      <c r="H1364" s="7">
        <v>0</v>
      </c>
      <c r="I1364" s="7">
        <v>0</v>
      </c>
      <c r="J1364" s="17">
        <v>4</v>
      </c>
      <c r="K1364" s="17"/>
      <c r="L1364" s="7">
        <f t="shared" si="585"/>
        <v>4</v>
      </c>
      <c r="M1364" s="8">
        <v>1</v>
      </c>
      <c r="N1364" s="8">
        <f t="shared" si="586"/>
        <v>1</v>
      </c>
      <c r="O1364" s="11" t="s">
        <v>1702</v>
      </c>
      <c r="P1364" s="16" t="str">
        <f t="shared" si="587"/>
        <v>30-May-1892</v>
      </c>
      <c r="R1364" s="16" t="str">
        <f t="shared" si="589"/>
        <v>x</v>
      </c>
      <c r="S1364" s="16" t="str">
        <f t="shared" si="589"/>
        <v>x</v>
      </c>
      <c r="U1364" s="46" t="str">
        <f t="shared" si="545"/>
        <v/>
      </c>
      <c r="V1364" s="46">
        <f t="shared" si="545"/>
        <v>4</v>
      </c>
      <c r="W1364" s="46" t="str">
        <f t="shared" si="545"/>
        <v/>
      </c>
      <c r="X1364" s="46" t="str">
        <f t="shared" si="545"/>
        <v/>
      </c>
    </row>
    <row r="1365" spans="2:24" x14ac:dyDescent="0.25">
      <c r="B1365" s="11" t="str">
        <f t="shared" si="584"/>
        <v>DANI-09JUL1892</v>
      </c>
      <c r="C1365" s="11" t="s">
        <v>107</v>
      </c>
      <c r="D1365" s="11" t="s">
        <v>1699</v>
      </c>
      <c r="F1365" s="11" t="s">
        <v>1700</v>
      </c>
      <c r="G1365" s="39" t="s">
        <v>2112</v>
      </c>
      <c r="H1365" s="7">
        <v>0</v>
      </c>
      <c r="I1365" s="7">
        <v>0</v>
      </c>
      <c r="J1365" s="17">
        <v>29</v>
      </c>
      <c r="K1365" s="17"/>
      <c r="L1365" s="7">
        <f t="shared" si="585"/>
        <v>29</v>
      </c>
      <c r="M1365" s="8">
        <v>1</v>
      </c>
      <c r="N1365" s="8">
        <f t="shared" si="586"/>
        <v>1</v>
      </c>
      <c r="O1365" s="11" t="s">
        <v>1702</v>
      </c>
      <c r="P1365" s="16" t="str">
        <f t="shared" si="587"/>
        <v>09-Jul-1892</v>
      </c>
      <c r="R1365" s="16" t="str">
        <f t="shared" si="589"/>
        <v>x</v>
      </c>
      <c r="S1365" s="16" t="str">
        <f t="shared" si="589"/>
        <v>x</v>
      </c>
      <c r="U1365" s="46" t="str">
        <f t="shared" si="545"/>
        <v/>
      </c>
      <c r="V1365" s="46">
        <f t="shared" si="545"/>
        <v>29</v>
      </c>
      <c r="W1365" s="46" t="str">
        <f t="shared" si="545"/>
        <v/>
      </c>
      <c r="X1365" s="46" t="str">
        <f t="shared" si="545"/>
        <v/>
      </c>
    </row>
    <row r="1366" spans="2:24" x14ac:dyDescent="0.25">
      <c r="B1366" s="11" t="str">
        <f t="shared" si="584"/>
        <v>DANI-20AUG1892</v>
      </c>
      <c r="C1366" s="11" t="s">
        <v>107</v>
      </c>
      <c r="D1366" s="11" t="s">
        <v>1699</v>
      </c>
      <c r="F1366" s="11" t="s">
        <v>1700</v>
      </c>
      <c r="G1366" s="39" t="s">
        <v>141</v>
      </c>
      <c r="H1366" s="7">
        <v>0</v>
      </c>
      <c r="I1366" s="7">
        <v>0</v>
      </c>
      <c r="J1366" s="17">
        <v>8</v>
      </c>
      <c r="K1366" s="17"/>
      <c r="L1366" s="7">
        <f t="shared" si="585"/>
        <v>8</v>
      </c>
      <c r="M1366" s="8">
        <v>1</v>
      </c>
      <c r="N1366" s="8">
        <f t="shared" si="586"/>
        <v>1</v>
      </c>
      <c r="O1366" s="11" t="s">
        <v>1702</v>
      </c>
      <c r="P1366" s="16" t="str">
        <f t="shared" si="587"/>
        <v>20-Aug-1892</v>
      </c>
      <c r="R1366" s="16" t="str">
        <f t="shared" si="589"/>
        <v>x</v>
      </c>
      <c r="S1366" s="16" t="str">
        <f t="shared" si="589"/>
        <v>x</v>
      </c>
      <c r="U1366" s="46" t="str">
        <f t="shared" si="545"/>
        <v/>
      </c>
      <c r="V1366" s="46">
        <f t="shared" si="545"/>
        <v>8</v>
      </c>
      <c r="W1366" s="46" t="str">
        <f t="shared" si="545"/>
        <v/>
      </c>
      <c r="X1366" s="46" t="str">
        <f t="shared" si="545"/>
        <v/>
      </c>
    </row>
    <row r="1367" spans="2:24" x14ac:dyDescent="0.25">
      <c r="B1367" s="11" t="str">
        <f t="shared" si="584"/>
        <v>DANI-25MAR1893</v>
      </c>
      <c r="C1367" s="11" t="s">
        <v>107</v>
      </c>
      <c r="D1367" s="11" t="s">
        <v>1699</v>
      </c>
      <c r="F1367" s="11" t="s">
        <v>1700</v>
      </c>
      <c r="G1367" s="39" t="s">
        <v>142</v>
      </c>
      <c r="H1367" s="7">
        <v>0</v>
      </c>
      <c r="I1367" s="7">
        <v>0</v>
      </c>
      <c r="J1367" s="17">
        <v>9</v>
      </c>
      <c r="K1367" s="17"/>
      <c r="L1367" s="7">
        <f t="shared" si="585"/>
        <v>9</v>
      </c>
      <c r="M1367" s="8">
        <v>1</v>
      </c>
      <c r="N1367" s="8">
        <f t="shared" si="586"/>
        <v>1</v>
      </c>
      <c r="O1367" s="11" t="s">
        <v>1702</v>
      </c>
      <c r="P1367" s="16" t="str">
        <f t="shared" si="587"/>
        <v>25-Mar-1893</v>
      </c>
      <c r="R1367" s="16" t="str">
        <f t="shared" si="589"/>
        <v>x</v>
      </c>
      <c r="S1367" s="16" t="str">
        <f t="shared" si="589"/>
        <v>x</v>
      </c>
      <c r="U1367" s="46" t="str">
        <f t="shared" si="545"/>
        <v/>
      </c>
      <c r="V1367" s="46">
        <f t="shared" si="545"/>
        <v>9</v>
      </c>
      <c r="W1367" s="46" t="str">
        <f t="shared" si="545"/>
        <v/>
      </c>
      <c r="X1367" s="46" t="str">
        <f t="shared" si="545"/>
        <v/>
      </c>
    </row>
    <row r="1368" spans="2:24" x14ac:dyDescent="0.25">
      <c r="B1368" s="11" t="str">
        <f t="shared" si="584"/>
        <v>DANI-24JUN1893</v>
      </c>
      <c r="C1368" s="11" t="s">
        <v>107</v>
      </c>
      <c r="D1368" s="11" t="s">
        <v>1699</v>
      </c>
      <c r="F1368" s="11" t="s">
        <v>1700</v>
      </c>
      <c r="G1368" s="39" t="s">
        <v>143</v>
      </c>
      <c r="H1368" s="7">
        <v>0</v>
      </c>
      <c r="I1368" s="7">
        <v>0</v>
      </c>
      <c r="J1368" s="17">
        <v>0</v>
      </c>
      <c r="K1368" s="17"/>
      <c r="L1368" s="7">
        <f t="shared" si="585"/>
        <v>0</v>
      </c>
      <c r="M1368" s="8">
        <v>1</v>
      </c>
      <c r="N1368" s="8" t="str">
        <f t="shared" si="586"/>
        <v/>
      </c>
      <c r="O1368" s="11" t="s">
        <v>1702</v>
      </c>
      <c r="P1368" s="16" t="str">
        <f t="shared" si="587"/>
        <v>24-Jun-1893</v>
      </c>
      <c r="R1368" s="16" t="str">
        <f t="shared" si="589"/>
        <v/>
      </c>
      <c r="S1368" s="16" t="str">
        <f t="shared" si="589"/>
        <v/>
      </c>
      <c r="U1368" s="46" t="str">
        <f t="shared" si="545"/>
        <v/>
      </c>
      <c r="V1368" s="46">
        <f t="shared" si="545"/>
        <v>0</v>
      </c>
      <c r="W1368" s="46" t="str">
        <f t="shared" si="545"/>
        <v/>
      </c>
      <c r="X1368" s="46" t="str">
        <f t="shared" si="545"/>
        <v/>
      </c>
    </row>
    <row r="1369" spans="2:24" x14ac:dyDescent="0.25">
      <c r="B1369" s="11" t="str">
        <f t="shared" si="584"/>
        <v>DANI-28NOV1893</v>
      </c>
      <c r="C1369" s="11" t="s">
        <v>107</v>
      </c>
      <c r="D1369" s="11" t="s">
        <v>1699</v>
      </c>
      <c r="F1369" s="11" t="s">
        <v>1700</v>
      </c>
      <c r="G1369" s="39" t="s">
        <v>144</v>
      </c>
      <c r="H1369" s="7">
        <v>0</v>
      </c>
      <c r="I1369" s="7">
        <v>0</v>
      </c>
      <c r="J1369" s="17">
        <v>4</v>
      </c>
      <c r="K1369" s="17"/>
      <c r="L1369" s="7">
        <f t="shared" si="585"/>
        <v>4</v>
      </c>
      <c r="M1369" s="8">
        <v>1</v>
      </c>
      <c r="N1369" s="8">
        <f t="shared" si="586"/>
        <v>1</v>
      </c>
      <c r="O1369" s="11" t="s">
        <v>1702</v>
      </c>
      <c r="P1369" s="16" t="str">
        <f t="shared" si="587"/>
        <v>28-Nov-1893</v>
      </c>
      <c r="R1369" s="16" t="str">
        <f t="shared" si="589"/>
        <v>x</v>
      </c>
      <c r="S1369" s="16" t="str">
        <f t="shared" si="589"/>
        <v>x</v>
      </c>
      <c r="U1369" s="46" t="str">
        <f t="shared" si="545"/>
        <v/>
      </c>
      <c r="V1369" s="46">
        <f t="shared" si="545"/>
        <v>4</v>
      </c>
      <c r="W1369" s="46" t="str">
        <f t="shared" si="545"/>
        <v/>
      </c>
      <c r="X1369" s="46" t="str">
        <f t="shared" si="545"/>
        <v/>
      </c>
    </row>
    <row r="1370" spans="2:24" x14ac:dyDescent="0.25">
      <c r="B1370" s="11" t="str">
        <f t="shared" si="584"/>
        <v>DANI-20JAN1894</v>
      </c>
      <c r="C1370" s="11" t="s">
        <v>107</v>
      </c>
      <c r="D1370" s="11" t="s">
        <v>1699</v>
      </c>
      <c r="F1370" s="11" t="s">
        <v>1700</v>
      </c>
      <c r="G1370" s="39" t="s">
        <v>145</v>
      </c>
      <c r="H1370" s="7">
        <v>0</v>
      </c>
      <c r="I1370" s="7">
        <v>0</v>
      </c>
      <c r="J1370" s="17">
        <v>3</v>
      </c>
      <c r="K1370" s="17"/>
      <c r="L1370" s="7">
        <f t="shared" si="585"/>
        <v>3</v>
      </c>
      <c r="M1370" s="8">
        <v>1</v>
      </c>
      <c r="N1370" s="8">
        <f t="shared" si="586"/>
        <v>1</v>
      </c>
      <c r="O1370" s="11" t="s">
        <v>1702</v>
      </c>
      <c r="P1370" s="16" t="str">
        <f t="shared" si="587"/>
        <v>20-Jan-1894</v>
      </c>
      <c r="R1370" s="16" t="str">
        <f t="shared" si="589"/>
        <v>x</v>
      </c>
      <c r="S1370" s="16" t="str">
        <f t="shared" si="589"/>
        <v>x</v>
      </c>
      <c r="U1370" s="46" t="str">
        <f t="shared" si="545"/>
        <v/>
      </c>
      <c r="V1370" s="46">
        <f t="shared" si="545"/>
        <v>3</v>
      </c>
      <c r="W1370" s="46" t="str">
        <f t="shared" si="545"/>
        <v/>
      </c>
      <c r="X1370" s="46" t="str">
        <f t="shared" si="545"/>
        <v/>
      </c>
    </row>
    <row r="1371" spans="2:24" x14ac:dyDescent="0.25">
      <c r="B1371" s="11" t="str">
        <f t="shared" ref="B1371:B1376" si="590">CONCATENATE("DANI","-",LEFT(P1371,2),UPPER(MID(P1371,4,3)),RIGHT(P1371,4))</f>
        <v>DANI-05MAR1894</v>
      </c>
      <c r="C1371" s="11" t="s">
        <v>107</v>
      </c>
      <c r="D1371" s="11" t="s">
        <v>1699</v>
      </c>
      <c r="F1371" s="11" t="s">
        <v>1700</v>
      </c>
      <c r="G1371" s="39" t="s">
        <v>146</v>
      </c>
      <c r="H1371" s="7">
        <v>0</v>
      </c>
      <c r="I1371" s="7">
        <v>0</v>
      </c>
      <c r="J1371" s="17">
        <v>0</v>
      </c>
      <c r="K1371" s="17"/>
      <c r="L1371" s="7">
        <f t="shared" ref="L1371:L1376" si="591">SUM(H1371:K1371)</f>
        <v>0</v>
      </c>
      <c r="M1371" s="8">
        <v>1</v>
      </c>
      <c r="N1371" s="8" t="str">
        <f t="shared" si="586"/>
        <v/>
      </c>
      <c r="O1371" s="11" t="s">
        <v>1702</v>
      </c>
      <c r="P1371" s="16" t="str">
        <f t="shared" ref="P1371:P1376" si="592">IF(LEN(G1371)=10,CONCATENATE("0",G1371),G1371)</f>
        <v>05-Mar-1894</v>
      </c>
      <c r="R1371" s="16" t="str">
        <f t="shared" si="589"/>
        <v/>
      </c>
      <c r="S1371" s="16" t="str">
        <f t="shared" si="589"/>
        <v/>
      </c>
      <c r="U1371" s="46" t="str">
        <f t="shared" si="545"/>
        <v/>
      </c>
      <c r="V1371" s="46">
        <f t="shared" si="545"/>
        <v>0</v>
      </c>
      <c r="W1371" s="46" t="str">
        <f t="shared" si="545"/>
        <v/>
      </c>
      <c r="X1371" s="46" t="str">
        <f t="shared" si="545"/>
        <v/>
      </c>
    </row>
    <row r="1372" spans="2:24" x14ac:dyDescent="0.25">
      <c r="B1372" s="11" t="str">
        <f t="shared" si="590"/>
        <v>DANI-14APR1894</v>
      </c>
      <c r="C1372" s="11" t="s">
        <v>107</v>
      </c>
      <c r="D1372" s="11" t="s">
        <v>1699</v>
      </c>
      <c r="F1372" s="11" t="s">
        <v>1700</v>
      </c>
      <c r="G1372" s="39" t="s">
        <v>147</v>
      </c>
      <c r="H1372" s="7">
        <v>0</v>
      </c>
      <c r="I1372" s="7">
        <v>0</v>
      </c>
      <c r="J1372" s="17">
        <v>1</v>
      </c>
      <c r="K1372" s="17"/>
      <c r="L1372" s="7">
        <f t="shared" si="591"/>
        <v>1</v>
      </c>
      <c r="M1372" s="8">
        <v>1</v>
      </c>
      <c r="N1372" s="8">
        <f t="shared" si="586"/>
        <v>1</v>
      </c>
      <c r="O1372" s="11" t="s">
        <v>1702</v>
      </c>
      <c r="P1372" s="16" t="str">
        <f t="shared" si="592"/>
        <v>14-Apr-1894</v>
      </c>
      <c r="R1372" s="16" t="str">
        <f t="shared" si="589"/>
        <v>x</v>
      </c>
      <c r="S1372" s="16" t="str">
        <f t="shared" si="589"/>
        <v>x</v>
      </c>
      <c r="U1372" s="46" t="str">
        <f t="shared" si="545"/>
        <v/>
      </c>
      <c r="V1372" s="46">
        <f t="shared" si="545"/>
        <v>1</v>
      </c>
      <c r="W1372" s="46" t="str">
        <f t="shared" si="545"/>
        <v/>
      </c>
      <c r="X1372" s="46" t="str">
        <f t="shared" si="545"/>
        <v/>
      </c>
    </row>
    <row r="1373" spans="2:24" x14ac:dyDescent="0.25">
      <c r="B1373" s="11" t="str">
        <f t="shared" si="590"/>
        <v>DANI-25MAY1894</v>
      </c>
      <c r="C1373" s="11" t="s">
        <v>107</v>
      </c>
      <c r="D1373" s="11" t="s">
        <v>1699</v>
      </c>
      <c r="F1373" s="11" t="s">
        <v>1700</v>
      </c>
      <c r="G1373" s="39" t="s">
        <v>148</v>
      </c>
      <c r="H1373" s="7">
        <v>0</v>
      </c>
      <c r="I1373" s="7">
        <v>0</v>
      </c>
      <c r="J1373" s="17">
        <v>0</v>
      </c>
      <c r="K1373" s="17"/>
      <c r="L1373" s="7">
        <f t="shared" si="591"/>
        <v>0</v>
      </c>
      <c r="M1373" s="8">
        <v>1</v>
      </c>
      <c r="N1373" s="8" t="str">
        <f t="shared" si="586"/>
        <v/>
      </c>
      <c r="O1373" s="11" t="s">
        <v>1702</v>
      </c>
      <c r="P1373" s="16" t="str">
        <f t="shared" si="592"/>
        <v>25-May-1894</v>
      </c>
      <c r="R1373" s="16" t="str">
        <f t="shared" si="589"/>
        <v/>
      </c>
      <c r="S1373" s="16" t="str">
        <f t="shared" si="589"/>
        <v/>
      </c>
      <c r="U1373" s="46" t="str">
        <f t="shared" si="545"/>
        <v/>
      </c>
      <c r="V1373" s="46">
        <f t="shared" si="545"/>
        <v>0</v>
      </c>
      <c r="W1373" s="46" t="str">
        <f t="shared" si="545"/>
        <v/>
      </c>
      <c r="X1373" s="46" t="str">
        <f t="shared" si="545"/>
        <v/>
      </c>
    </row>
    <row r="1374" spans="2:24" x14ac:dyDescent="0.25">
      <c r="B1374" s="11" t="str">
        <f t="shared" si="590"/>
        <v>DANI-21SEP1894</v>
      </c>
      <c r="C1374" s="11" t="s">
        <v>107</v>
      </c>
      <c r="D1374" s="11" t="s">
        <v>1699</v>
      </c>
      <c r="F1374" s="11" t="s">
        <v>1700</v>
      </c>
      <c r="G1374" s="39" t="s">
        <v>149</v>
      </c>
      <c r="H1374" s="7">
        <v>0</v>
      </c>
      <c r="I1374" s="7">
        <v>0</v>
      </c>
      <c r="J1374" s="17">
        <v>0</v>
      </c>
      <c r="K1374" s="17"/>
      <c r="L1374" s="7">
        <f t="shared" si="591"/>
        <v>0</v>
      </c>
      <c r="M1374" s="8">
        <v>1</v>
      </c>
      <c r="N1374" s="8" t="str">
        <f t="shared" si="586"/>
        <v/>
      </c>
      <c r="O1374" s="11" t="s">
        <v>1702</v>
      </c>
      <c r="P1374" s="16" t="str">
        <f t="shared" si="592"/>
        <v>21-Sep-1894</v>
      </c>
      <c r="R1374" s="16" t="str">
        <f t="shared" si="589"/>
        <v/>
      </c>
      <c r="S1374" s="16" t="str">
        <f t="shared" si="589"/>
        <v/>
      </c>
      <c r="U1374" s="46" t="str">
        <f t="shared" si="545"/>
        <v/>
      </c>
      <c r="V1374" s="46">
        <f t="shared" si="545"/>
        <v>0</v>
      </c>
      <c r="W1374" s="46" t="str">
        <f t="shared" si="545"/>
        <v/>
      </c>
      <c r="X1374" s="46" t="str">
        <f t="shared" si="545"/>
        <v/>
      </c>
    </row>
    <row r="1375" spans="2:24" x14ac:dyDescent="0.25">
      <c r="B1375" s="11" t="str">
        <f t="shared" si="590"/>
        <v>DANI-05NOV1894</v>
      </c>
      <c r="C1375" s="11" t="s">
        <v>107</v>
      </c>
      <c r="D1375" s="11" t="s">
        <v>1699</v>
      </c>
      <c r="F1375" s="11" t="s">
        <v>1700</v>
      </c>
      <c r="G1375" s="39" t="s">
        <v>150</v>
      </c>
      <c r="H1375" s="7">
        <v>0</v>
      </c>
      <c r="I1375" s="7">
        <v>0</v>
      </c>
      <c r="J1375" s="17">
        <v>0</v>
      </c>
      <c r="K1375" s="17"/>
      <c r="L1375" s="7">
        <f t="shared" si="591"/>
        <v>0</v>
      </c>
      <c r="M1375" s="8">
        <v>1</v>
      </c>
      <c r="N1375" s="8" t="str">
        <f t="shared" si="586"/>
        <v/>
      </c>
      <c r="O1375" s="11" t="s">
        <v>1702</v>
      </c>
      <c r="P1375" s="16" t="str">
        <f t="shared" si="592"/>
        <v>05-Nov-1894</v>
      </c>
      <c r="R1375" s="16" t="str">
        <f t="shared" si="589"/>
        <v/>
      </c>
      <c r="S1375" s="16" t="str">
        <f t="shared" si="589"/>
        <v/>
      </c>
      <c r="U1375" s="46" t="str">
        <f t="shared" si="545"/>
        <v/>
      </c>
      <c r="V1375" s="46">
        <f t="shared" si="545"/>
        <v>0</v>
      </c>
      <c r="W1375" s="46" t="str">
        <f t="shared" si="545"/>
        <v/>
      </c>
      <c r="X1375" s="46" t="str">
        <f t="shared" si="545"/>
        <v/>
      </c>
    </row>
    <row r="1376" spans="2:24" x14ac:dyDescent="0.25">
      <c r="B1376" s="11" t="str">
        <f t="shared" si="590"/>
        <v>DANI-12FEB1895</v>
      </c>
      <c r="C1376" s="11" t="s">
        <v>107</v>
      </c>
      <c r="D1376" s="11" t="s">
        <v>1699</v>
      </c>
      <c r="F1376" s="11" t="s">
        <v>1700</v>
      </c>
      <c r="G1376" s="39" t="s">
        <v>151</v>
      </c>
      <c r="H1376" s="7">
        <v>0</v>
      </c>
      <c r="I1376" s="7">
        <v>0</v>
      </c>
      <c r="J1376" s="17">
        <v>1</v>
      </c>
      <c r="K1376" s="17"/>
      <c r="L1376" s="7">
        <f t="shared" si="591"/>
        <v>1</v>
      </c>
      <c r="M1376" s="8">
        <v>1</v>
      </c>
      <c r="N1376" s="8">
        <f t="shared" si="586"/>
        <v>1</v>
      </c>
      <c r="O1376" s="11" t="s">
        <v>1702</v>
      </c>
      <c r="P1376" s="16" t="str">
        <f t="shared" si="592"/>
        <v>12-Feb-1895</v>
      </c>
      <c r="R1376" s="16" t="str">
        <f t="shared" si="589"/>
        <v>x</v>
      </c>
      <c r="S1376" s="16" t="str">
        <f t="shared" si="589"/>
        <v>x</v>
      </c>
      <c r="U1376" s="46" t="str">
        <f t="shared" si="545"/>
        <v/>
      </c>
      <c r="V1376" s="46">
        <f t="shared" si="545"/>
        <v>1</v>
      </c>
      <c r="W1376" s="46" t="str">
        <f t="shared" si="545"/>
        <v/>
      </c>
      <c r="X1376" s="46" t="str">
        <f t="shared" si="545"/>
        <v/>
      </c>
    </row>
    <row r="1377" spans="2:26" x14ac:dyDescent="0.25">
      <c r="N1377" s="8" t="str">
        <f>IF(R1377="x",1,"")</f>
        <v/>
      </c>
      <c r="U1377" s="46" t="str">
        <f t="shared" si="545"/>
        <v/>
      </c>
      <c r="V1377" s="46" t="str">
        <f t="shared" si="545"/>
        <v/>
      </c>
      <c r="W1377" s="46" t="str">
        <f t="shared" si="545"/>
        <v/>
      </c>
      <c r="X1377" s="46" t="str">
        <f t="shared" si="545"/>
        <v/>
      </c>
    </row>
    <row r="1378" spans="2:26" s="18" customFormat="1" x14ac:dyDescent="0.25">
      <c r="E1378" s="40"/>
      <c r="G1378" s="40"/>
      <c r="H1378" s="7">
        <f t="shared" ref="H1378:N1378" si="593">SUM(H1360:H1377)</f>
        <v>0</v>
      </c>
      <c r="I1378" s="7">
        <f t="shared" si="593"/>
        <v>0</v>
      </c>
      <c r="J1378" s="7">
        <f>SUM(J1360:J1377)</f>
        <v>144</v>
      </c>
      <c r="K1378" s="7">
        <f t="shared" si="593"/>
        <v>0</v>
      </c>
      <c r="L1378" s="7">
        <f t="shared" si="593"/>
        <v>144</v>
      </c>
      <c r="M1378" s="7">
        <f t="shared" si="593"/>
        <v>17</v>
      </c>
      <c r="N1378" s="7">
        <f t="shared" si="593"/>
        <v>12</v>
      </c>
      <c r="P1378" s="13"/>
      <c r="Q1378" s="13"/>
      <c r="R1378" s="16"/>
      <c r="S1378" s="13"/>
      <c r="T1378" s="15"/>
      <c r="U1378" s="46" t="str">
        <f t="shared" si="545"/>
        <v/>
      </c>
      <c r="V1378" s="46" t="str">
        <f t="shared" si="545"/>
        <v/>
      </c>
      <c r="W1378" s="46" t="str">
        <f t="shared" si="545"/>
        <v/>
      </c>
      <c r="X1378" s="46" t="str">
        <f t="shared" si="545"/>
        <v/>
      </c>
      <c r="Z1378" s="11"/>
    </row>
    <row r="1379" spans="2:26" x14ac:dyDescent="0.25">
      <c r="B1379" s="18"/>
      <c r="C1379" s="18"/>
      <c r="D1379" s="18"/>
      <c r="E1379" s="40"/>
      <c r="F1379" s="18"/>
      <c r="G1379" s="40"/>
      <c r="N1379" s="8" t="str">
        <f>IF(R1379="x",1,"")</f>
        <v/>
      </c>
      <c r="O1379" s="18"/>
      <c r="P1379" s="13"/>
      <c r="Q1379" s="13"/>
      <c r="R1379" s="13"/>
      <c r="S1379" s="13"/>
      <c r="T1379" s="15"/>
      <c r="U1379" s="46" t="str">
        <f t="shared" ref="U1379:X1383" si="594">IF($O1379=U$5,$L1379,"")</f>
        <v/>
      </c>
      <c r="V1379" s="46" t="str">
        <f t="shared" si="594"/>
        <v/>
      </c>
      <c r="W1379" s="46" t="str">
        <f t="shared" si="594"/>
        <v/>
      </c>
      <c r="X1379" s="46" t="str">
        <f t="shared" si="594"/>
        <v/>
      </c>
    </row>
    <row r="1380" spans="2:26" x14ac:dyDescent="0.25">
      <c r="B1380" s="18"/>
      <c r="C1380" s="18"/>
      <c r="D1380" s="18"/>
      <c r="E1380" s="40"/>
      <c r="F1380" s="18"/>
      <c r="G1380" s="40"/>
      <c r="N1380" s="8" t="str">
        <f>IF(R1380="x",1,"")</f>
        <v/>
      </c>
      <c r="O1380" s="18"/>
      <c r="P1380" s="13"/>
      <c r="Q1380" s="13"/>
      <c r="R1380" s="13"/>
      <c r="S1380" s="13"/>
      <c r="T1380" s="15"/>
      <c r="U1380" s="46" t="str">
        <f t="shared" si="594"/>
        <v/>
      </c>
      <c r="V1380" s="46" t="str">
        <f t="shared" si="594"/>
        <v/>
      </c>
      <c r="W1380" s="46" t="str">
        <f t="shared" si="594"/>
        <v/>
      </c>
      <c r="X1380" s="46" t="str">
        <f t="shared" si="594"/>
        <v/>
      </c>
    </row>
    <row r="1381" spans="2:26" x14ac:dyDescent="0.25">
      <c r="B1381" s="11" t="str">
        <f>CONCATENATE("DNTA","-",LEFT(P1381,2),UPPER(MID(P1381,4,3)),RIGHT(P1381,4))</f>
        <v>DNTA-22NOV1916</v>
      </c>
      <c r="C1381" s="11" t="s">
        <v>5320</v>
      </c>
      <c r="D1381" s="11" t="s">
        <v>3007</v>
      </c>
      <c r="E1381" s="39" t="s">
        <v>5321</v>
      </c>
      <c r="F1381" s="11" t="s">
        <v>1700</v>
      </c>
      <c r="G1381" s="39" t="s">
        <v>5322</v>
      </c>
      <c r="H1381" s="7">
        <v>0</v>
      </c>
      <c r="I1381" s="7">
        <v>0</v>
      </c>
      <c r="J1381" s="17">
        <v>14</v>
      </c>
      <c r="K1381" s="17"/>
      <c r="L1381" s="7">
        <f>SUM(H1381:K1381)</f>
        <v>14</v>
      </c>
      <c r="M1381" s="8">
        <v>1</v>
      </c>
      <c r="N1381" s="8">
        <f>IF(L1381&gt;0,1,"")</f>
        <v>1</v>
      </c>
      <c r="O1381" s="11" t="s">
        <v>1702</v>
      </c>
      <c r="P1381" s="16" t="str">
        <f>IF(LEN(G1381)=10,CONCATENATE("0",G1381),G1381)</f>
        <v>22-Nov-1916</v>
      </c>
      <c r="R1381" s="16" t="str">
        <f>IF($L1381&gt;0,"x","")</f>
        <v>x</v>
      </c>
      <c r="S1381" s="16" t="str">
        <f>IF($L1381&gt;0,"x","")</f>
        <v>x</v>
      </c>
      <c r="U1381" s="46" t="str">
        <f t="shared" si="594"/>
        <v/>
      </c>
      <c r="V1381" s="46">
        <f t="shared" si="594"/>
        <v>14</v>
      </c>
      <c r="W1381" s="46" t="str">
        <f t="shared" si="594"/>
        <v/>
      </c>
      <c r="X1381" s="46" t="str">
        <f t="shared" si="594"/>
        <v/>
      </c>
    </row>
    <row r="1382" spans="2:26" x14ac:dyDescent="0.25">
      <c r="N1382" s="8" t="str">
        <f>IF(R1382="x",1,"")</f>
        <v/>
      </c>
      <c r="U1382" s="46" t="str">
        <f t="shared" si="594"/>
        <v/>
      </c>
      <c r="V1382" s="46" t="str">
        <f t="shared" si="594"/>
        <v/>
      </c>
      <c r="W1382" s="46" t="str">
        <f t="shared" si="594"/>
        <v/>
      </c>
      <c r="X1382" s="46" t="str">
        <f t="shared" si="594"/>
        <v/>
      </c>
    </row>
    <row r="1383" spans="2:26" x14ac:dyDescent="0.25">
      <c r="B1383" s="18"/>
      <c r="C1383" s="18"/>
      <c r="D1383" s="18"/>
      <c r="E1383" s="40"/>
      <c r="F1383" s="18"/>
      <c r="G1383" s="40"/>
      <c r="H1383" s="7">
        <f t="shared" ref="H1383:N1383" si="595">SUM(H1381:H1382)</f>
        <v>0</v>
      </c>
      <c r="I1383" s="7">
        <f t="shared" si="595"/>
        <v>0</v>
      </c>
      <c r="J1383" s="7">
        <f>SUM(J1381:J1382)</f>
        <v>14</v>
      </c>
      <c r="K1383" s="7">
        <f t="shared" si="595"/>
        <v>0</v>
      </c>
      <c r="L1383" s="7">
        <f t="shared" si="595"/>
        <v>14</v>
      </c>
      <c r="M1383" s="7">
        <f t="shared" si="595"/>
        <v>1</v>
      </c>
      <c r="N1383" s="7">
        <f t="shared" si="595"/>
        <v>1</v>
      </c>
      <c r="O1383" s="18"/>
      <c r="P1383" s="13"/>
      <c r="Q1383" s="13"/>
      <c r="S1383" s="13"/>
      <c r="T1383" s="15"/>
      <c r="U1383" s="46" t="str">
        <f t="shared" si="594"/>
        <v/>
      </c>
      <c r="V1383" s="46" t="str">
        <f t="shared" si="594"/>
        <v/>
      </c>
      <c r="W1383" s="46" t="str">
        <f t="shared" si="594"/>
        <v/>
      </c>
      <c r="X1383" s="46" t="str">
        <f t="shared" si="594"/>
        <v/>
      </c>
    </row>
    <row r="1384" spans="2:26" x14ac:dyDescent="0.25">
      <c r="B1384" s="18"/>
      <c r="C1384" s="18"/>
      <c r="D1384" s="18"/>
      <c r="E1384" s="40"/>
      <c r="F1384" s="18"/>
      <c r="G1384" s="40"/>
      <c r="N1384" s="8" t="str">
        <f>IF(R1384="x",1,"")</f>
        <v/>
      </c>
      <c r="O1384" s="18"/>
      <c r="P1384" s="13"/>
      <c r="Q1384" s="13"/>
      <c r="R1384" s="13"/>
      <c r="S1384" s="13"/>
      <c r="T1384" s="15"/>
      <c r="U1384" s="46" t="str">
        <f t="shared" si="545"/>
        <v/>
      </c>
      <c r="V1384" s="46" t="str">
        <f t="shared" si="545"/>
        <v/>
      </c>
      <c r="W1384" s="46" t="str">
        <f t="shared" si="545"/>
        <v/>
      </c>
      <c r="X1384" s="46" t="str">
        <f t="shared" si="545"/>
        <v/>
      </c>
    </row>
    <row r="1385" spans="2:26" x14ac:dyDescent="0.25">
      <c r="B1385" s="18"/>
      <c r="C1385" s="18"/>
      <c r="D1385" s="18"/>
      <c r="E1385" s="40"/>
      <c r="F1385" s="18"/>
      <c r="G1385" s="40"/>
      <c r="N1385" s="8" t="str">
        <f>IF(R1385="x",1,"")</f>
        <v/>
      </c>
      <c r="O1385" s="18"/>
      <c r="P1385" s="13"/>
      <c r="Q1385" s="13"/>
      <c r="R1385" s="13"/>
      <c r="S1385" s="13"/>
      <c r="T1385" s="15"/>
      <c r="U1385" s="46" t="str">
        <f t="shared" si="545"/>
        <v/>
      </c>
      <c r="V1385" s="46" t="str">
        <f t="shared" si="545"/>
        <v/>
      </c>
      <c r="W1385" s="46" t="str">
        <f t="shared" si="545"/>
        <v/>
      </c>
      <c r="X1385" s="46" t="str">
        <f t="shared" si="545"/>
        <v/>
      </c>
    </row>
    <row r="1386" spans="2:26" x14ac:dyDescent="0.25">
      <c r="B1386" s="11" t="str">
        <f>CONCATENATE("DEGR","-",LEFT(P1386,2),UPPER(MID(P1386,4,3)),RIGHT(P1386,4))</f>
        <v>DEGR-05SEP1924</v>
      </c>
      <c r="C1386" s="11" t="s">
        <v>4334</v>
      </c>
      <c r="D1386" s="11" t="s">
        <v>1699</v>
      </c>
      <c r="E1386" s="39" t="s">
        <v>4335</v>
      </c>
      <c r="F1386" s="11" t="s">
        <v>1700</v>
      </c>
      <c r="G1386" s="39" t="s">
        <v>4336</v>
      </c>
      <c r="I1386" s="7">
        <f>0+1</f>
        <v>1</v>
      </c>
      <c r="J1386" s="17">
        <f>0+2</f>
        <v>2</v>
      </c>
      <c r="K1386" s="17"/>
      <c r="L1386" s="7">
        <f>SUM(H1386:K1386)</f>
        <v>3</v>
      </c>
      <c r="M1386" s="8">
        <v>1</v>
      </c>
      <c r="N1386" s="8">
        <f>IF(L1386&gt;0,1,"")</f>
        <v>1</v>
      </c>
      <c r="O1386" s="11" t="s">
        <v>1702</v>
      </c>
      <c r="P1386" s="16" t="str">
        <f>IF(LEN(G1386)=10,CONCATENATE("0",G1386),G1386)</f>
        <v>05-Sep-1924</v>
      </c>
      <c r="R1386" s="16" t="str">
        <f t="shared" ref="R1386:S1388" si="596">IF($L1386&gt;0,"x","")</f>
        <v>x</v>
      </c>
      <c r="S1386" s="16" t="str">
        <f t="shared" si="596"/>
        <v>x</v>
      </c>
      <c r="U1386" s="46" t="str">
        <f t="shared" si="545"/>
        <v/>
      </c>
      <c r="V1386" s="46">
        <f t="shared" si="545"/>
        <v>3</v>
      </c>
      <c r="W1386" s="46" t="str">
        <f t="shared" si="545"/>
        <v/>
      </c>
      <c r="X1386" s="46" t="str">
        <f t="shared" si="545"/>
        <v/>
      </c>
    </row>
    <row r="1387" spans="2:26" x14ac:dyDescent="0.25">
      <c r="B1387" s="11" t="str">
        <f>CONCATENATE("DEGR","-",LEFT(P1387,2),UPPER(MID(P1387,4,3)),RIGHT(P1387,4))</f>
        <v>DEGR-01JAN1926</v>
      </c>
      <c r="C1387" s="11" t="s">
        <v>4334</v>
      </c>
      <c r="D1387" s="11" t="s">
        <v>1699</v>
      </c>
      <c r="E1387" s="39" t="s">
        <v>5203</v>
      </c>
      <c r="F1387" s="11" t="s">
        <v>1700</v>
      </c>
      <c r="G1387" s="39" t="s">
        <v>5204</v>
      </c>
      <c r="I1387" s="7">
        <v>3</v>
      </c>
      <c r="J1387" s="17">
        <v>0</v>
      </c>
      <c r="K1387" s="17"/>
      <c r="L1387" s="7">
        <f>SUM(H1387:K1387)</f>
        <v>3</v>
      </c>
      <c r="M1387" s="8">
        <v>1</v>
      </c>
      <c r="N1387" s="8">
        <f>IF(L1387&gt;0,1,"")</f>
        <v>1</v>
      </c>
      <c r="O1387" s="11" t="s">
        <v>1702</v>
      </c>
      <c r="P1387" s="16" t="str">
        <f>IF(LEN(G1387)=10,CONCATENATE("0",G1387),G1387)</f>
        <v>01-Jan-1926</v>
      </c>
      <c r="R1387" s="16" t="str">
        <f t="shared" si="596"/>
        <v>x</v>
      </c>
      <c r="S1387" s="16" t="str">
        <f t="shared" si="596"/>
        <v>x</v>
      </c>
      <c r="U1387" s="46" t="str">
        <f t="shared" ref="U1387:X1388" si="597">IF($O1387=U$5,$L1387,"")</f>
        <v/>
      </c>
      <c r="V1387" s="46">
        <f t="shared" si="597"/>
        <v>3</v>
      </c>
      <c r="W1387" s="46" t="str">
        <f t="shared" si="597"/>
        <v/>
      </c>
      <c r="X1387" s="46" t="str">
        <f t="shared" si="597"/>
        <v/>
      </c>
    </row>
    <row r="1388" spans="2:26" x14ac:dyDescent="0.25">
      <c r="B1388" s="11" t="str">
        <f>CONCATENATE("DEGR","-",LEFT(P1388,2),UPPER(MID(P1388,4,3)),RIGHT(P1388,4))</f>
        <v>DEGR-20MAR1926</v>
      </c>
      <c r="C1388" s="11" t="s">
        <v>4334</v>
      </c>
      <c r="D1388" s="11" t="s">
        <v>1699</v>
      </c>
      <c r="E1388" s="39" t="s">
        <v>5706</v>
      </c>
      <c r="F1388" s="11" t="s">
        <v>1700</v>
      </c>
      <c r="G1388" s="39" t="s">
        <v>5707</v>
      </c>
      <c r="I1388" s="7">
        <v>0</v>
      </c>
      <c r="J1388" s="17">
        <f>5+1</f>
        <v>6</v>
      </c>
      <c r="K1388" s="17"/>
      <c r="L1388" s="7">
        <f>SUM(H1388:K1388)</f>
        <v>6</v>
      </c>
      <c r="M1388" s="8">
        <v>1</v>
      </c>
      <c r="N1388" s="8">
        <f>IF(L1388&gt;0,1,"")</f>
        <v>1</v>
      </c>
      <c r="O1388" s="11" t="s">
        <v>1702</v>
      </c>
      <c r="P1388" s="16" t="str">
        <f>IF(LEN(G1388)=10,CONCATENATE("0",G1388),G1388)</f>
        <v>20-Mar-1926</v>
      </c>
      <c r="R1388" s="16" t="str">
        <f t="shared" si="596"/>
        <v>x</v>
      </c>
      <c r="S1388" s="16" t="str">
        <f t="shared" si="596"/>
        <v>x</v>
      </c>
      <c r="U1388" s="46" t="str">
        <f t="shared" si="597"/>
        <v/>
      </c>
      <c r="V1388" s="46">
        <f t="shared" si="597"/>
        <v>6</v>
      </c>
      <c r="W1388" s="46" t="str">
        <f t="shared" si="597"/>
        <v/>
      </c>
      <c r="X1388" s="46" t="str">
        <f t="shared" si="597"/>
        <v/>
      </c>
    </row>
    <row r="1389" spans="2:26" x14ac:dyDescent="0.25">
      <c r="N1389" s="8" t="str">
        <f>IF(R1389="x",1,"")</f>
        <v/>
      </c>
      <c r="U1389" s="46" t="str">
        <f t="shared" si="545"/>
        <v/>
      </c>
      <c r="V1389" s="46" t="str">
        <f t="shared" si="545"/>
        <v/>
      </c>
      <c r="W1389" s="46" t="str">
        <f t="shared" si="545"/>
        <v/>
      </c>
      <c r="X1389" s="46" t="str">
        <f t="shared" si="545"/>
        <v/>
      </c>
    </row>
    <row r="1390" spans="2:26" x14ac:dyDescent="0.25">
      <c r="B1390" s="18"/>
      <c r="C1390" s="18"/>
      <c r="D1390" s="18"/>
      <c r="E1390" s="40"/>
      <c r="F1390" s="18"/>
      <c r="G1390" s="40"/>
      <c r="H1390" s="7">
        <f t="shared" ref="H1390:N1390" si="598">SUM(H1386:H1389)</f>
        <v>0</v>
      </c>
      <c r="I1390" s="7">
        <f t="shared" si="598"/>
        <v>4</v>
      </c>
      <c r="J1390" s="7">
        <f>SUM(J1386:J1389)</f>
        <v>8</v>
      </c>
      <c r="K1390" s="7">
        <f t="shared" si="598"/>
        <v>0</v>
      </c>
      <c r="L1390" s="7">
        <f t="shared" si="598"/>
        <v>12</v>
      </c>
      <c r="M1390" s="7">
        <f t="shared" si="598"/>
        <v>3</v>
      </c>
      <c r="N1390" s="7">
        <f t="shared" si="598"/>
        <v>3</v>
      </c>
      <c r="O1390" s="18"/>
      <c r="P1390" s="13"/>
      <c r="Q1390" s="13"/>
      <c r="S1390" s="13"/>
      <c r="T1390" s="15"/>
      <c r="U1390" s="46" t="str">
        <f t="shared" si="545"/>
        <v/>
      </c>
      <c r="V1390" s="46" t="str">
        <f t="shared" si="545"/>
        <v/>
      </c>
      <c r="W1390" s="46" t="str">
        <f t="shared" si="545"/>
        <v/>
      </c>
      <c r="X1390" s="46" t="str">
        <f t="shared" si="545"/>
        <v/>
      </c>
    </row>
    <row r="1391" spans="2:26" x14ac:dyDescent="0.25">
      <c r="B1391" s="18"/>
      <c r="C1391" s="18"/>
      <c r="D1391" s="18"/>
      <c r="E1391" s="40"/>
      <c r="F1391" s="18"/>
      <c r="G1391" s="40"/>
      <c r="N1391" s="8" t="str">
        <f>IF(R1391="x",1,"")</f>
        <v/>
      </c>
      <c r="O1391" s="18"/>
      <c r="P1391" s="13"/>
      <c r="Q1391" s="13"/>
      <c r="R1391" s="13"/>
      <c r="S1391" s="13"/>
      <c r="T1391" s="15"/>
      <c r="U1391" s="46" t="str">
        <f t="shared" ref="U1391:X1394" si="599">IF($O1391=U$5,$L1391,"")</f>
        <v/>
      </c>
      <c r="V1391" s="46" t="str">
        <f t="shared" si="599"/>
        <v/>
      </c>
      <c r="W1391" s="46" t="str">
        <f t="shared" si="599"/>
        <v/>
      </c>
      <c r="X1391" s="46" t="str">
        <f t="shared" si="599"/>
        <v/>
      </c>
    </row>
    <row r="1392" spans="2:26" x14ac:dyDescent="0.25">
      <c r="B1392" s="11" t="str">
        <f>CONCATENATE("DENM","-",LEFT(P1392,2),UPPER(MID(P1392,4,3)),RIGHT(P1392,4))</f>
        <v>DENM-20AUG1868</v>
      </c>
      <c r="C1392" s="11" t="s">
        <v>5028</v>
      </c>
      <c r="D1392" s="11" t="s">
        <v>2097</v>
      </c>
      <c r="F1392" s="11" t="s">
        <v>1700</v>
      </c>
      <c r="G1392" s="39" t="s">
        <v>5029</v>
      </c>
      <c r="J1392" s="17">
        <v>1</v>
      </c>
      <c r="K1392" s="17"/>
      <c r="L1392" s="7">
        <f>SUM(H1392:K1392)</f>
        <v>1</v>
      </c>
      <c r="M1392" s="8">
        <v>1</v>
      </c>
      <c r="N1392" s="8">
        <f>IF(L1392&gt;0,1,"")</f>
        <v>1</v>
      </c>
      <c r="O1392" s="11" t="s">
        <v>1702</v>
      </c>
      <c r="P1392" s="16" t="str">
        <f>IF(LEN(G1392)=10,CONCATENATE("0",G1392),G1392)</f>
        <v>20-Aug-1868</v>
      </c>
      <c r="R1392" s="16" t="str">
        <f>IF($L1392&gt;0,"x","")</f>
        <v>x</v>
      </c>
      <c r="S1392" s="16" t="str">
        <f>IF($L1392&gt;0,"x","")</f>
        <v>x</v>
      </c>
      <c r="U1392" s="46" t="str">
        <f t="shared" si="599"/>
        <v/>
      </c>
      <c r="V1392" s="46">
        <f t="shared" si="599"/>
        <v>1</v>
      </c>
      <c r="W1392" s="46" t="str">
        <f t="shared" si="599"/>
        <v/>
      </c>
      <c r="X1392" s="46" t="str">
        <f t="shared" si="599"/>
        <v/>
      </c>
    </row>
    <row r="1393" spans="2:24" x14ac:dyDescent="0.25">
      <c r="N1393" s="8" t="str">
        <f>IF(R1393="x",1,"")</f>
        <v/>
      </c>
      <c r="U1393" s="46" t="str">
        <f t="shared" si="599"/>
        <v/>
      </c>
      <c r="V1393" s="46" t="str">
        <f t="shared" si="599"/>
        <v/>
      </c>
      <c r="W1393" s="46" t="str">
        <f t="shared" si="599"/>
        <v/>
      </c>
      <c r="X1393" s="46" t="str">
        <f t="shared" si="599"/>
        <v/>
      </c>
    </row>
    <row r="1394" spans="2:24" x14ac:dyDescent="0.25">
      <c r="B1394" s="18"/>
      <c r="C1394" s="18"/>
      <c r="D1394" s="18"/>
      <c r="E1394" s="40"/>
      <c r="F1394" s="18"/>
      <c r="G1394" s="40"/>
      <c r="H1394" s="7">
        <f t="shared" ref="H1394:N1394" si="600">SUM(H1392:H1393)</f>
        <v>0</v>
      </c>
      <c r="I1394" s="7">
        <f t="shared" si="600"/>
        <v>0</v>
      </c>
      <c r="J1394" s="7">
        <f>SUM(J1392:J1393)</f>
        <v>1</v>
      </c>
      <c r="K1394" s="7">
        <f t="shared" si="600"/>
        <v>0</v>
      </c>
      <c r="L1394" s="7">
        <f t="shared" si="600"/>
        <v>1</v>
      </c>
      <c r="M1394" s="7">
        <f t="shared" si="600"/>
        <v>1</v>
      </c>
      <c r="N1394" s="7">
        <f t="shared" si="600"/>
        <v>1</v>
      </c>
      <c r="O1394" s="18"/>
      <c r="P1394" s="13"/>
      <c r="Q1394" s="13"/>
      <c r="S1394" s="13"/>
      <c r="T1394" s="15"/>
      <c r="U1394" s="46" t="str">
        <f t="shared" si="599"/>
        <v/>
      </c>
      <c r="V1394" s="46" t="str">
        <f t="shared" si="599"/>
        <v/>
      </c>
      <c r="W1394" s="46" t="str">
        <f t="shared" si="599"/>
        <v/>
      </c>
      <c r="X1394" s="46" t="str">
        <f>IF($O1394=X$5,$L1394,"")</f>
        <v/>
      </c>
    </row>
    <row r="1395" spans="2:24" x14ac:dyDescent="0.25">
      <c r="B1395" s="18"/>
      <c r="C1395" s="18"/>
      <c r="D1395" s="18"/>
      <c r="E1395" s="40"/>
      <c r="F1395" s="18"/>
      <c r="G1395" s="40"/>
      <c r="N1395" s="8" t="str">
        <f>IF(R1395="x",1,"")</f>
        <v/>
      </c>
      <c r="O1395" s="18"/>
      <c r="P1395" s="13"/>
      <c r="Q1395" s="13"/>
      <c r="R1395" s="13"/>
      <c r="S1395" s="13"/>
      <c r="T1395" s="15"/>
      <c r="U1395" s="46" t="str">
        <f t="shared" si="545"/>
        <v/>
      </c>
      <c r="V1395" s="46" t="str">
        <f t="shared" si="545"/>
        <v/>
      </c>
      <c r="W1395" s="46" t="str">
        <f t="shared" si="545"/>
        <v/>
      </c>
      <c r="X1395" s="46" t="str">
        <f t="shared" si="545"/>
        <v/>
      </c>
    </row>
    <row r="1396" spans="2:24" x14ac:dyDescent="0.25">
      <c r="B1396" s="11" t="str">
        <f>CONCATENATE("DEVO","-",LEFT(P1396,2),UPPER(MID(P1396,4,3)),RIGHT(P1396,4))</f>
        <v>DEVO-02MAR1911</v>
      </c>
      <c r="C1396" s="11" t="s">
        <v>3639</v>
      </c>
      <c r="D1396" s="11" t="s">
        <v>2097</v>
      </c>
      <c r="E1396" s="39" t="s">
        <v>898</v>
      </c>
      <c r="F1396" s="11" t="s">
        <v>3050</v>
      </c>
      <c r="G1396" s="39" t="s">
        <v>956</v>
      </c>
      <c r="I1396" s="7">
        <v>3</v>
      </c>
      <c r="J1396" s="17"/>
      <c r="K1396" s="17"/>
      <c r="L1396" s="7">
        <f>SUM(H1396:K1396)</f>
        <v>3</v>
      </c>
      <c r="M1396" s="8">
        <v>1</v>
      </c>
      <c r="N1396" s="8">
        <f>IF(L1396&gt;0,1,"")</f>
        <v>1</v>
      </c>
      <c r="O1396" s="11" t="s">
        <v>1702</v>
      </c>
      <c r="P1396" s="16" t="str">
        <f>IF(LEN(G1396)=10,CONCATENATE("0",G1396),G1396)</f>
        <v>02-Mar-1911</v>
      </c>
      <c r="R1396" s="16" t="str">
        <f>IF($L1396&gt;0,"x","")</f>
        <v>x</v>
      </c>
      <c r="S1396" s="16" t="str">
        <f>IF($L1396&gt;0,"x","")</f>
        <v>x</v>
      </c>
      <c r="U1396" s="46" t="str">
        <f t="shared" si="545"/>
        <v/>
      </c>
      <c r="V1396" s="46">
        <f t="shared" si="545"/>
        <v>3</v>
      </c>
      <c r="W1396" s="46" t="str">
        <f t="shared" si="545"/>
        <v/>
      </c>
      <c r="X1396" s="46" t="str">
        <f t="shared" si="545"/>
        <v/>
      </c>
    </row>
    <row r="1397" spans="2:24" x14ac:dyDescent="0.25">
      <c r="B1397" s="11" t="str">
        <f>CONCATENATE("DEVO","-",LEFT(P1397,2),UPPER(MID(P1397,4,3)),RIGHT(P1397,4))</f>
        <v>DEVO-17MAY1914</v>
      </c>
      <c r="C1397" s="11" t="s">
        <v>3639</v>
      </c>
      <c r="D1397" s="11" t="s">
        <v>2097</v>
      </c>
      <c r="E1397" s="39" t="s">
        <v>4390</v>
      </c>
      <c r="F1397" s="11" t="s">
        <v>3050</v>
      </c>
      <c r="G1397" s="39" t="s">
        <v>5169</v>
      </c>
      <c r="I1397" s="7">
        <v>4</v>
      </c>
      <c r="J1397" s="17"/>
      <c r="K1397" s="17"/>
      <c r="L1397" s="7">
        <f>SUM(H1397:K1397)</f>
        <v>4</v>
      </c>
      <c r="M1397" s="8">
        <v>1</v>
      </c>
      <c r="N1397" s="8">
        <f>IF(L1397&gt;0,1,"")</f>
        <v>1</v>
      </c>
      <c r="O1397" s="11" t="s">
        <v>1702</v>
      </c>
      <c r="P1397" s="16" t="str">
        <f>IF(LEN(G1397)=10,CONCATENATE("0",G1397),G1397)</f>
        <v>17-May-1914</v>
      </c>
      <c r="R1397" s="16" t="str">
        <f>IF($L1397&gt;0,"x","")</f>
        <v>x</v>
      </c>
      <c r="S1397" s="16" t="str">
        <f>IF($L1397&gt;0,"x","")</f>
        <v>x</v>
      </c>
      <c r="U1397" s="46" t="str">
        <f>IF($O1397=U$5,$L1397,"")</f>
        <v/>
      </c>
      <c r="V1397" s="46">
        <f>IF($O1397=V$5,$L1397,"")</f>
        <v>4</v>
      </c>
      <c r="W1397" s="46" t="str">
        <f>IF($O1397=W$5,$L1397,"")</f>
        <v/>
      </c>
      <c r="X1397" s="46" t="str">
        <f>IF($O1397=X$5,$L1397,"")</f>
        <v/>
      </c>
    </row>
    <row r="1398" spans="2:24" x14ac:dyDescent="0.25">
      <c r="N1398" s="8" t="str">
        <f>IF(R1398="x",1,"")</f>
        <v/>
      </c>
      <c r="U1398" s="46" t="str">
        <f t="shared" si="545"/>
        <v/>
      </c>
      <c r="V1398" s="46" t="str">
        <f t="shared" si="545"/>
        <v/>
      </c>
      <c r="W1398" s="46" t="str">
        <f t="shared" si="545"/>
        <v/>
      </c>
      <c r="X1398" s="46" t="str">
        <f t="shared" si="545"/>
        <v/>
      </c>
    </row>
    <row r="1399" spans="2:24" x14ac:dyDescent="0.25">
      <c r="B1399" s="18"/>
      <c r="C1399" s="18"/>
      <c r="D1399" s="18"/>
      <c r="E1399" s="40"/>
      <c r="F1399" s="18"/>
      <c r="G1399" s="40"/>
      <c r="H1399" s="7">
        <f t="shared" ref="H1399:N1399" si="601">SUM(H1396:H1398)</f>
        <v>0</v>
      </c>
      <c r="I1399" s="7">
        <f t="shared" si="601"/>
        <v>7</v>
      </c>
      <c r="J1399" s="7">
        <f>SUM(J1396:J1398)</f>
        <v>0</v>
      </c>
      <c r="K1399" s="7">
        <f t="shared" si="601"/>
        <v>0</v>
      </c>
      <c r="L1399" s="7">
        <f t="shared" si="601"/>
        <v>7</v>
      </c>
      <c r="M1399" s="7">
        <f t="shared" si="601"/>
        <v>2</v>
      </c>
      <c r="N1399" s="7">
        <f t="shared" si="601"/>
        <v>2</v>
      </c>
      <c r="O1399" s="18"/>
      <c r="P1399" s="13"/>
      <c r="Q1399" s="13"/>
      <c r="S1399" s="13"/>
      <c r="T1399" s="15"/>
      <c r="U1399" s="46" t="str">
        <f t="shared" si="545"/>
        <v/>
      </c>
      <c r="V1399" s="46" t="str">
        <f t="shared" si="545"/>
        <v/>
      </c>
      <c r="W1399" s="46" t="str">
        <f t="shared" si="545"/>
        <v/>
      </c>
      <c r="X1399" s="46" t="str">
        <f t="shared" ref="X1399:X1405" si="602">IF($O1399=X$5,$L1399,"")</f>
        <v/>
      </c>
    </row>
    <row r="1400" spans="2:24" x14ac:dyDescent="0.25">
      <c r="B1400" s="18"/>
      <c r="C1400" s="18"/>
      <c r="D1400" s="18"/>
      <c r="E1400" s="40"/>
      <c r="F1400" s="18"/>
      <c r="G1400" s="40"/>
      <c r="N1400" s="8" t="str">
        <f>IF(R1400="x",1,"")</f>
        <v/>
      </c>
      <c r="O1400" s="18"/>
      <c r="P1400" s="13"/>
      <c r="Q1400" s="13"/>
      <c r="R1400" s="13"/>
      <c r="S1400" s="13"/>
      <c r="T1400" s="15"/>
      <c r="U1400" s="46" t="str">
        <f t="shared" ref="U1400:W1405" si="603">IF($O1400=U$5,$L1400,"")</f>
        <v/>
      </c>
      <c r="V1400" s="46" t="str">
        <f t="shared" si="603"/>
        <v/>
      </c>
      <c r="W1400" s="46" t="str">
        <f t="shared" si="603"/>
        <v/>
      </c>
      <c r="X1400" s="46" t="str">
        <f t="shared" si="602"/>
        <v/>
      </c>
    </row>
    <row r="1401" spans="2:24" x14ac:dyDescent="0.25">
      <c r="B1401" s="18"/>
      <c r="C1401" s="18"/>
      <c r="D1401" s="18"/>
      <c r="E1401" s="40"/>
      <c r="F1401" s="18"/>
      <c r="G1401" s="40"/>
      <c r="N1401" s="8" t="str">
        <f>IF(R1401="x",1,"")</f>
        <v/>
      </c>
      <c r="O1401" s="18"/>
      <c r="P1401" s="13"/>
      <c r="Q1401" s="13"/>
      <c r="R1401" s="13"/>
      <c r="S1401" s="13"/>
      <c r="T1401" s="15"/>
      <c r="U1401" s="46" t="str">
        <f t="shared" si="603"/>
        <v/>
      </c>
      <c r="V1401" s="46" t="str">
        <f t="shared" si="603"/>
        <v/>
      </c>
      <c r="W1401" s="46" t="str">
        <f t="shared" si="603"/>
        <v/>
      </c>
      <c r="X1401" s="46" t="str">
        <f t="shared" si="602"/>
        <v/>
      </c>
    </row>
    <row r="1402" spans="2:24" x14ac:dyDescent="0.25">
      <c r="B1402" s="11" t="str">
        <f t="shared" ref="B1402:B1411" si="604">CONCATENATE("DOMI","-",LEFT(P1402,2),UPPER(MID(P1402,4,3)),RIGHT(P1402,4))</f>
        <v>DOMI-23OCT1904</v>
      </c>
      <c r="C1402" s="11" t="s">
        <v>3139</v>
      </c>
      <c r="D1402" s="11" t="s">
        <v>2097</v>
      </c>
      <c r="E1402" s="39" t="s">
        <v>5570</v>
      </c>
      <c r="F1402" s="11" t="s">
        <v>2813</v>
      </c>
      <c r="G1402" s="39" t="s">
        <v>5571</v>
      </c>
      <c r="H1402" s="7">
        <v>0</v>
      </c>
      <c r="J1402" s="17">
        <v>5</v>
      </c>
      <c r="K1402" s="17"/>
      <c r="L1402" s="7">
        <f t="shared" ref="L1402:L1411" si="605">SUM(H1402:K1402)</f>
        <v>5</v>
      </c>
      <c r="M1402" s="8">
        <v>1</v>
      </c>
      <c r="N1402" s="8">
        <f t="shared" ref="N1402:N1411" si="606">IF(L1402&gt;0,1,"")</f>
        <v>1</v>
      </c>
      <c r="O1402" s="11" t="s">
        <v>1702</v>
      </c>
      <c r="P1402" s="16" t="str">
        <f t="shared" ref="P1402:P1411" si="607">IF(LEN(G1402)=10,CONCATENATE("0",G1402),G1402)</f>
        <v>23-Oct-1904</v>
      </c>
      <c r="R1402" s="16" t="str">
        <f>IF($L1402&gt;0,"x","")</f>
        <v>x</v>
      </c>
      <c r="S1402" s="16" t="str">
        <f>IF($L1402&gt;0,"x","")</f>
        <v>x</v>
      </c>
      <c r="U1402" s="46" t="str">
        <f t="shared" si="603"/>
        <v/>
      </c>
      <c r="V1402" s="46">
        <f t="shared" si="603"/>
        <v>5</v>
      </c>
      <c r="W1402" s="46" t="str">
        <f t="shared" si="603"/>
        <v/>
      </c>
      <c r="X1402" s="46" t="str">
        <f t="shared" si="602"/>
        <v/>
      </c>
    </row>
    <row r="1403" spans="2:24" x14ac:dyDescent="0.25">
      <c r="B1403" s="11" t="str">
        <f t="shared" si="604"/>
        <v>DOMI-17SEP1905</v>
      </c>
      <c r="C1403" s="11" t="s">
        <v>3139</v>
      </c>
      <c r="D1403" s="11" t="s">
        <v>2097</v>
      </c>
      <c r="E1403" s="39" t="s">
        <v>3624</v>
      </c>
      <c r="F1403" s="11" t="s">
        <v>2813</v>
      </c>
      <c r="G1403" s="39" t="s">
        <v>3625</v>
      </c>
      <c r="H1403" s="7">
        <v>0</v>
      </c>
      <c r="I1403" s="7">
        <v>0</v>
      </c>
      <c r="J1403" s="17">
        <v>1</v>
      </c>
      <c r="K1403" s="17"/>
      <c r="L1403" s="7">
        <f t="shared" si="605"/>
        <v>1</v>
      </c>
      <c r="M1403" s="8">
        <v>1</v>
      </c>
      <c r="N1403" s="8">
        <f t="shared" si="606"/>
        <v>1</v>
      </c>
      <c r="O1403" s="11" t="s">
        <v>1702</v>
      </c>
      <c r="P1403" s="16" t="str">
        <f t="shared" si="607"/>
        <v>17-Sep-1905</v>
      </c>
      <c r="R1403" s="16" t="str">
        <f t="shared" ref="R1403:S1417" si="608">IF($L1403&gt;0,"x","")</f>
        <v>x</v>
      </c>
      <c r="S1403" s="16" t="str">
        <f t="shared" si="608"/>
        <v>x</v>
      </c>
      <c r="U1403" s="46" t="str">
        <f t="shared" si="603"/>
        <v/>
      </c>
      <c r="V1403" s="46">
        <f t="shared" si="603"/>
        <v>1</v>
      </c>
      <c r="W1403" s="46" t="str">
        <f t="shared" si="603"/>
        <v/>
      </c>
      <c r="X1403" s="46" t="str">
        <f t="shared" si="602"/>
        <v/>
      </c>
    </row>
    <row r="1404" spans="2:24" x14ac:dyDescent="0.25">
      <c r="B1404" s="11" t="str">
        <f t="shared" si="604"/>
        <v>DOMI-10FEB1906</v>
      </c>
      <c r="C1404" s="11" t="s">
        <v>3139</v>
      </c>
      <c r="D1404" s="11" t="s">
        <v>2097</v>
      </c>
      <c r="E1404" s="39" t="s">
        <v>3609</v>
      </c>
      <c r="F1404" s="11" t="s">
        <v>2904</v>
      </c>
      <c r="G1404" s="39" t="s">
        <v>805</v>
      </c>
      <c r="J1404" s="17">
        <v>1</v>
      </c>
      <c r="K1404" s="17"/>
      <c r="L1404" s="7">
        <f t="shared" si="605"/>
        <v>1</v>
      </c>
      <c r="M1404" s="8">
        <v>1</v>
      </c>
      <c r="N1404" s="8">
        <f t="shared" si="606"/>
        <v>1</v>
      </c>
      <c r="O1404" s="11" t="s">
        <v>1702</v>
      </c>
      <c r="P1404" s="16" t="str">
        <f t="shared" si="607"/>
        <v>10-Feb-1906</v>
      </c>
      <c r="R1404" s="16" t="str">
        <f t="shared" si="608"/>
        <v>x</v>
      </c>
      <c r="S1404" s="16" t="str">
        <f t="shared" si="608"/>
        <v>x</v>
      </c>
      <c r="U1404" s="46" t="str">
        <f t="shared" si="603"/>
        <v/>
      </c>
      <c r="V1404" s="46">
        <f t="shared" si="603"/>
        <v>1</v>
      </c>
      <c r="W1404" s="46" t="str">
        <f t="shared" si="603"/>
        <v/>
      </c>
      <c r="X1404" s="46" t="str">
        <f t="shared" si="602"/>
        <v/>
      </c>
    </row>
    <row r="1405" spans="2:24" x14ac:dyDescent="0.25">
      <c r="B1405" s="11" t="str">
        <f t="shared" si="604"/>
        <v>DOMI-07MAR1909</v>
      </c>
      <c r="C1405" s="11" t="s">
        <v>3139</v>
      </c>
      <c r="D1405" s="11" t="s">
        <v>2097</v>
      </c>
      <c r="E1405" s="39" t="s">
        <v>3683</v>
      </c>
      <c r="F1405" s="11" t="s">
        <v>2922</v>
      </c>
      <c r="G1405" s="39" t="s">
        <v>3682</v>
      </c>
      <c r="I1405" s="7">
        <v>0</v>
      </c>
      <c r="J1405" s="17">
        <v>22</v>
      </c>
      <c r="K1405" s="17"/>
      <c r="L1405" s="7">
        <f t="shared" si="605"/>
        <v>22</v>
      </c>
      <c r="M1405" s="8">
        <v>1</v>
      </c>
      <c r="N1405" s="8">
        <f t="shared" si="606"/>
        <v>1</v>
      </c>
      <c r="O1405" s="11" t="s">
        <v>1702</v>
      </c>
      <c r="P1405" s="16" t="str">
        <f t="shared" si="607"/>
        <v>07-Mar-1909</v>
      </c>
      <c r="R1405" s="16" t="str">
        <f t="shared" si="608"/>
        <v>x</v>
      </c>
      <c r="S1405" s="16" t="str">
        <f t="shared" si="608"/>
        <v>x</v>
      </c>
      <c r="U1405" s="46" t="str">
        <f t="shared" si="603"/>
        <v/>
      </c>
      <c r="V1405" s="46">
        <f t="shared" si="603"/>
        <v>22</v>
      </c>
      <c r="W1405" s="46" t="str">
        <f t="shared" si="603"/>
        <v/>
      </c>
      <c r="X1405" s="46" t="str">
        <f t="shared" si="602"/>
        <v/>
      </c>
    </row>
    <row r="1406" spans="2:24" x14ac:dyDescent="0.25">
      <c r="B1406" s="11" t="str">
        <f t="shared" si="604"/>
        <v>DOMI-02JUL1911</v>
      </c>
      <c r="C1406" s="11" t="s">
        <v>3139</v>
      </c>
      <c r="D1406" s="11" t="s">
        <v>2097</v>
      </c>
      <c r="E1406" s="39" t="s">
        <v>2474</v>
      </c>
      <c r="F1406" s="11" t="s">
        <v>3039</v>
      </c>
      <c r="G1406" s="39" t="s">
        <v>1884</v>
      </c>
      <c r="I1406" s="7">
        <v>0</v>
      </c>
      <c r="J1406" s="17">
        <v>15</v>
      </c>
      <c r="K1406" s="17"/>
      <c r="L1406" s="7">
        <f t="shared" si="605"/>
        <v>15</v>
      </c>
      <c r="M1406" s="8">
        <v>1</v>
      </c>
      <c r="N1406" s="8">
        <f t="shared" si="606"/>
        <v>1</v>
      </c>
      <c r="O1406" s="11" t="s">
        <v>1702</v>
      </c>
      <c r="P1406" s="16" t="str">
        <f t="shared" si="607"/>
        <v>02-Jul-1911</v>
      </c>
      <c r="R1406" s="16" t="str">
        <f t="shared" si="608"/>
        <v>x</v>
      </c>
      <c r="S1406" s="16" t="str">
        <f t="shared" si="608"/>
        <v>x</v>
      </c>
      <c r="U1406" s="46" t="str">
        <f t="shared" ref="U1406:X1417" si="609">IF($O1406=U$5,$L1406,"")</f>
        <v/>
      </c>
      <c r="V1406" s="46">
        <f t="shared" si="609"/>
        <v>15</v>
      </c>
      <c r="W1406" s="46" t="str">
        <f t="shared" si="609"/>
        <v/>
      </c>
      <c r="X1406" s="46" t="str">
        <f t="shared" si="609"/>
        <v/>
      </c>
    </row>
    <row r="1407" spans="2:24" x14ac:dyDescent="0.25">
      <c r="B1407" s="11" t="str">
        <f t="shared" si="604"/>
        <v>DOMI-06AUG1911</v>
      </c>
      <c r="C1407" s="11" t="s">
        <v>3139</v>
      </c>
      <c r="D1407" s="11" t="s">
        <v>2097</v>
      </c>
      <c r="E1407" s="39" t="s">
        <v>6083</v>
      </c>
      <c r="F1407" s="11" t="s">
        <v>3039</v>
      </c>
      <c r="G1407" s="39" t="s">
        <v>6084</v>
      </c>
      <c r="I1407" s="7">
        <v>2</v>
      </c>
      <c r="J1407" s="17">
        <v>10</v>
      </c>
      <c r="K1407" s="17"/>
      <c r="L1407" s="7">
        <f t="shared" si="605"/>
        <v>12</v>
      </c>
      <c r="M1407" s="8">
        <v>1</v>
      </c>
      <c r="N1407" s="8">
        <f t="shared" si="606"/>
        <v>1</v>
      </c>
      <c r="O1407" s="11" t="s">
        <v>1702</v>
      </c>
      <c r="P1407" s="16" t="str">
        <f t="shared" si="607"/>
        <v>06-Aug-1911</v>
      </c>
      <c r="R1407" s="16" t="str">
        <f t="shared" si="608"/>
        <v>x</v>
      </c>
      <c r="S1407" s="16" t="str">
        <f t="shared" si="608"/>
        <v>x</v>
      </c>
      <c r="U1407" s="46" t="str">
        <f t="shared" si="609"/>
        <v/>
      </c>
      <c r="V1407" s="46">
        <f t="shared" si="609"/>
        <v>12</v>
      </c>
      <c r="W1407" s="46" t="str">
        <f t="shared" si="609"/>
        <v/>
      </c>
      <c r="X1407" s="46" t="str">
        <f t="shared" si="609"/>
        <v/>
      </c>
    </row>
    <row r="1408" spans="2:24" x14ac:dyDescent="0.25">
      <c r="B1408" s="11" t="str">
        <f t="shared" si="604"/>
        <v>DOMI-11SEP1911</v>
      </c>
      <c r="C1408" s="11" t="s">
        <v>3139</v>
      </c>
      <c r="D1408" s="11" t="s">
        <v>2097</v>
      </c>
      <c r="E1408" s="39" t="s">
        <v>5304</v>
      </c>
      <c r="F1408" s="11" t="s">
        <v>3039</v>
      </c>
      <c r="G1408" s="39" t="s">
        <v>5930</v>
      </c>
      <c r="I1408" s="7">
        <v>0</v>
      </c>
      <c r="J1408" s="17">
        <v>28</v>
      </c>
      <c r="K1408" s="17"/>
      <c r="L1408" s="7">
        <f t="shared" si="605"/>
        <v>28</v>
      </c>
      <c r="M1408" s="8">
        <v>1</v>
      </c>
      <c r="N1408" s="8">
        <f t="shared" si="606"/>
        <v>1</v>
      </c>
      <c r="O1408" s="11" t="s">
        <v>1702</v>
      </c>
      <c r="P1408" s="16" t="str">
        <f t="shared" si="607"/>
        <v>11-Sep-1911</v>
      </c>
      <c r="R1408" s="16" t="str">
        <f t="shared" si="608"/>
        <v>x</v>
      </c>
      <c r="S1408" s="16" t="str">
        <f t="shared" si="608"/>
        <v>x</v>
      </c>
      <c r="U1408" s="46" t="str">
        <f t="shared" si="609"/>
        <v/>
      </c>
      <c r="V1408" s="46">
        <f t="shared" si="609"/>
        <v>28</v>
      </c>
      <c r="W1408" s="46" t="str">
        <f t="shared" si="609"/>
        <v/>
      </c>
      <c r="X1408" s="46" t="str">
        <f t="shared" si="609"/>
        <v/>
      </c>
    </row>
    <row r="1409" spans="2:24" x14ac:dyDescent="0.25">
      <c r="B1409" s="11" t="str">
        <f t="shared" si="604"/>
        <v>DOMI-15OCT1911</v>
      </c>
      <c r="C1409" s="11" t="s">
        <v>3139</v>
      </c>
      <c r="D1409" s="11" t="s">
        <v>2097</v>
      </c>
      <c r="E1409" s="39" t="s">
        <v>6006</v>
      </c>
      <c r="F1409" s="11" t="s">
        <v>3039</v>
      </c>
      <c r="G1409" s="39" t="s">
        <v>6007</v>
      </c>
      <c r="I1409" s="7">
        <v>1</v>
      </c>
      <c r="J1409" s="17">
        <v>13</v>
      </c>
      <c r="K1409" s="17"/>
      <c r="L1409" s="7">
        <f t="shared" si="605"/>
        <v>14</v>
      </c>
      <c r="M1409" s="8">
        <v>1</v>
      </c>
      <c r="N1409" s="8">
        <f t="shared" si="606"/>
        <v>1</v>
      </c>
      <c r="O1409" s="11" t="s">
        <v>1702</v>
      </c>
      <c r="P1409" s="16" t="str">
        <f t="shared" si="607"/>
        <v>15-Oct-1911</v>
      </c>
      <c r="R1409" s="16" t="str">
        <f t="shared" si="608"/>
        <v>x</v>
      </c>
      <c r="S1409" s="16" t="str">
        <f t="shared" si="608"/>
        <v>x</v>
      </c>
      <c r="U1409" s="46" t="str">
        <f t="shared" si="609"/>
        <v/>
      </c>
      <c r="V1409" s="46">
        <f t="shared" si="609"/>
        <v>14</v>
      </c>
      <c r="W1409" s="46" t="str">
        <f t="shared" si="609"/>
        <v/>
      </c>
      <c r="X1409" s="46" t="str">
        <f t="shared" si="609"/>
        <v/>
      </c>
    </row>
    <row r="1410" spans="2:24" x14ac:dyDescent="0.25">
      <c r="B1410" s="11" t="str">
        <f t="shared" si="604"/>
        <v>DOMI-29NOV1911</v>
      </c>
      <c r="C1410" s="11" t="s">
        <v>3139</v>
      </c>
      <c r="D1410" s="11" t="s">
        <v>2097</v>
      </c>
      <c r="E1410" s="39" t="s">
        <v>887</v>
      </c>
      <c r="F1410" s="11" t="s">
        <v>3039</v>
      </c>
      <c r="G1410" s="39" t="s">
        <v>2497</v>
      </c>
      <c r="I1410" s="7">
        <v>12</v>
      </c>
      <c r="J1410" s="17">
        <v>14</v>
      </c>
      <c r="K1410" s="17"/>
      <c r="L1410" s="7">
        <f t="shared" si="605"/>
        <v>26</v>
      </c>
      <c r="M1410" s="8">
        <v>1</v>
      </c>
      <c r="N1410" s="8">
        <f t="shared" si="606"/>
        <v>1</v>
      </c>
      <c r="O1410" s="11" t="s">
        <v>1702</v>
      </c>
      <c r="P1410" s="16" t="str">
        <f t="shared" si="607"/>
        <v>29-Nov-1911</v>
      </c>
      <c r="R1410" s="16" t="str">
        <f t="shared" si="608"/>
        <v>x</v>
      </c>
      <c r="S1410" s="16" t="str">
        <f t="shared" si="608"/>
        <v>x</v>
      </c>
      <c r="U1410" s="46" t="str">
        <f t="shared" si="609"/>
        <v/>
      </c>
      <c r="V1410" s="46">
        <f t="shared" si="609"/>
        <v>26</v>
      </c>
      <c r="W1410" s="46" t="str">
        <f t="shared" si="609"/>
        <v/>
      </c>
      <c r="X1410" s="46" t="str">
        <f t="shared" si="609"/>
        <v/>
      </c>
    </row>
    <row r="1411" spans="2:24" x14ac:dyDescent="0.25">
      <c r="B1411" s="11" t="str">
        <f t="shared" si="604"/>
        <v>DOMI-20MAY1912</v>
      </c>
      <c r="C1411" s="11" t="s">
        <v>3139</v>
      </c>
      <c r="D1411" s="11" t="s">
        <v>2097</v>
      </c>
      <c r="E1411" s="39" t="s">
        <v>4543</v>
      </c>
      <c r="F1411" s="11" t="s">
        <v>3039</v>
      </c>
      <c r="G1411" s="39" t="s">
        <v>1320</v>
      </c>
      <c r="I1411" s="7">
        <v>2</v>
      </c>
      <c r="J1411" s="17">
        <v>15</v>
      </c>
      <c r="K1411" s="17"/>
      <c r="L1411" s="7">
        <f t="shared" si="605"/>
        <v>17</v>
      </c>
      <c r="M1411" s="8">
        <v>1</v>
      </c>
      <c r="N1411" s="8">
        <f t="shared" si="606"/>
        <v>1</v>
      </c>
      <c r="O1411" s="11" t="s">
        <v>1702</v>
      </c>
      <c r="P1411" s="16" t="str">
        <f t="shared" si="607"/>
        <v>20-May-1912</v>
      </c>
      <c r="R1411" s="16" t="str">
        <f t="shared" si="608"/>
        <v>x</v>
      </c>
      <c r="S1411" s="16" t="str">
        <f t="shared" si="608"/>
        <v>x</v>
      </c>
      <c r="U1411" s="46" t="str">
        <f t="shared" si="609"/>
        <v/>
      </c>
      <c r="V1411" s="46">
        <f t="shared" si="609"/>
        <v>17</v>
      </c>
      <c r="W1411" s="46" t="str">
        <f t="shared" si="609"/>
        <v/>
      </c>
      <c r="X1411" s="46" t="str">
        <f t="shared" si="609"/>
        <v/>
      </c>
    </row>
    <row r="1412" spans="2:24" x14ac:dyDescent="0.25">
      <c r="B1412" s="11" t="str">
        <f t="shared" ref="B1412:B1417" si="610">CONCATENATE("DOMI","-",LEFT(P1412,2),UPPER(MID(P1412,4,3)),RIGHT(P1412,4))</f>
        <v>DOMI-25JUN1912</v>
      </c>
      <c r="C1412" s="11" t="s">
        <v>3139</v>
      </c>
      <c r="D1412" s="11" t="s">
        <v>2097</v>
      </c>
      <c r="E1412" s="39" t="s">
        <v>2502</v>
      </c>
      <c r="F1412" s="11" t="s">
        <v>3039</v>
      </c>
      <c r="G1412" s="39" t="s">
        <v>3866</v>
      </c>
      <c r="I1412" s="7">
        <v>19</v>
      </c>
      <c r="J1412" s="17">
        <v>22</v>
      </c>
      <c r="K1412" s="17"/>
      <c r="L1412" s="7">
        <f t="shared" ref="L1412:L1417" si="611">SUM(H1412:K1412)</f>
        <v>41</v>
      </c>
      <c r="M1412" s="8">
        <v>1</v>
      </c>
      <c r="N1412" s="8">
        <f t="shared" ref="N1412:N1417" si="612">IF(L1412&gt;0,1,"")</f>
        <v>1</v>
      </c>
      <c r="O1412" s="11" t="s">
        <v>1702</v>
      </c>
      <c r="P1412" s="16" t="str">
        <f t="shared" ref="P1412:P1417" si="613">IF(LEN(G1412)=10,CONCATENATE("0",G1412),G1412)</f>
        <v>25-Jun-1912</v>
      </c>
      <c r="R1412" s="16" t="str">
        <f t="shared" si="608"/>
        <v>x</v>
      </c>
      <c r="S1412" s="16" t="str">
        <f t="shared" si="608"/>
        <v>x</v>
      </c>
      <c r="U1412" s="46" t="str">
        <f t="shared" si="609"/>
        <v/>
      </c>
      <c r="V1412" s="46">
        <f t="shared" si="609"/>
        <v>41</v>
      </c>
      <c r="W1412" s="46" t="str">
        <f t="shared" si="609"/>
        <v/>
      </c>
      <c r="X1412" s="46" t="str">
        <f t="shared" si="609"/>
        <v/>
      </c>
    </row>
    <row r="1413" spans="2:24" x14ac:dyDescent="0.25">
      <c r="B1413" s="11" t="str">
        <f t="shared" si="610"/>
        <v>DOMI-02SEP1912</v>
      </c>
      <c r="C1413" s="11" t="s">
        <v>3139</v>
      </c>
      <c r="D1413" s="11" t="s">
        <v>2097</v>
      </c>
      <c r="E1413" s="39" t="s">
        <v>5265</v>
      </c>
      <c r="F1413" s="11" t="s">
        <v>3039</v>
      </c>
      <c r="G1413" s="39" t="s">
        <v>3156</v>
      </c>
      <c r="I1413" s="7">
        <v>4</v>
      </c>
      <c r="J1413" s="17">
        <v>23</v>
      </c>
      <c r="K1413" s="17"/>
      <c r="L1413" s="7">
        <f t="shared" si="611"/>
        <v>27</v>
      </c>
      <c r="M1413" s="8">
        <v>1</v>
      </c>
      <c r="N1413" s="8">
        <f t="shared" si="612"/>
        <v>1</v>
      </c>
      <c r="O1413" s="11" t="s">
        <v>1702</v>
      </c>
      <c r="P1413" s="16" t="str">
        <f t="shared" si="613"/>
        <v>02-Sep-1912</v>
      </c>
      <c r="R1413" s="16" t="str">
        <f>IF($L1413&gt;0,"x","")</f>
        <v>x</v>
      </c>
      <c r="S1413" s="16" t="str">
        <f>IF($L1413&gt;0,"x","")</f>
        <v>x</v>
      </c>
      <c r="U1413" s="46" t="str">
        <f t="shared" si="609"/>
        <v/>
      </c>
      <c r="V1413" s="46">
        <f t="shared" si="609"/>
        <v>27</v>
      </c>
      <c r="W1413" s="46" t="str">
        <f t="shared" si="609"/>
        <v/>
      </c>
      <c r="X1413" s="46" t="str">
        <f t="shared" si="609"/>
        <v/>
      </c>
    </row>
    <row r="1414" spans="2:24" x14ac:dyDescent="0.25">
      <c r="B1414" s="11" t="str">
        <f t="shared" si="610"/>
        <v>DOMI-07OCT1912</v>
      </c>
      <c r="C1414" s="11" t="s">
        <v>3139</v>
      </c>
      <c r="D1414" s="11" t="s">
        <v>2097</v>
      </c>
      <c r="E1414" s="39" t="s">
        <v>5178</v>
      </c>
      <c r="F1414" s="11" t="s">
        <v>3039</v>
      </c>
      <c r="G1414" s="39" t="s">
        <v>1323</v>
      </c>
      <c r="I1414" s="7">
        <v>4</v>
      </c>
      <c r="J1414" s="17">
        <v>16</v>
      </c>
      <c r="K1414" s="17"/>
      <c r="L1414" s="7">
        <f t="shared" si="611"/>
        <v>20</v>
      </c>
      <c r="M1414" s="8">
        <v>1</v>
      </c>
      <c r="N1414" s="8">
        <f t="shared" si="612"/>
        <v>1</v>
      </c>
      <c r="O1414" s="11" t="s">
        <v>1702</v>
      </c>
      <c r="P1414" s="16" t="str">
        <f t="shared" si="613"/>
        <v>07-Oct-1912</v>
      </c>
      <c r="R1414" s="16" t="str">
        <f t="shared" si="608"/>
        <v>x</v>
      </c>
      <c r="S1414" s="16" t="str">
        <f t="shared" si="608"/>
        <v>x</v>
      </c>
      <c r="U1414" s="46" t="str">
        <f t="shared" si="609"/>
        <v/>
      </c>
      <c r="V1414" s="46">
        <f t="shared" si="609"/>
        <v>20</v>
      </c>
      <c r="W1414" s="46" t="str">
        <f t="shared" si="609"/>
        <v/>
      </c>
      <c r="X1414" s="46" t="str">
        <f t="shared" si="609"/>
        <v/>
      </c>
    </row>
    <row r="1415" spans="2:24" x14ac:dyDescent="0.25">
      <c r="B1415" s="11" t="str">
        <f t="shared" si="610"/>
        <v>DOMI-11NOV1912</v>
      </c>
      <c r="C1415" s="11" t="s">
        <v>3139</v>
      </c>
      <c r="D1415" s="11" t="s">
        <v>2097</v>
      </c>
      <c r="E1415" s="39" t="s">
        <v>92</v>
      </c>
      <c r="F1415" s="11" t="s">
        <v>3039</v>
      </c>
      <c r="G1415" s="39" t="s">
        <v>996</v>
      </c>
      <c r="I1415" s="7">
        <v>2</v>
      </c>
      <c r="J1415" s="17">
        <v>32</v>
      </c>
      <c r="K1415" s="17"/>
      <c r="L1415" s="7">
        <f t="shared" si="611"/>
        <v>34</v>
      </c>
      <c r="M1415" s="8">
        <v>1</v>
      </c>
      <c r="N1415" s="8">
        <f t="shared" si="612"/>
        <v>1</v>
      </c>
      <c r="O1415" s="11" t="s">
        <v>1702</v>
      </c>
      <c r="P1415" s="16" t="str">
        <f t="shared" si="613"/>
        <v>11-Nov-1912</v>
      </c>
      <c r="R1415" s="16" t="str">
        <f t="shared" si="608"/>
        <v>x</v>
      </c>
      <c r="S1415" s="16" t="str">
        <f t="shared" si="608"/>
        <v>x</v>
      </c>
      <c r="U1415" s="46" t="str">
        <f t="shared" si="609"/>
        <v/>
      </c>
      <c r="V1415" s="46">
        <f t="shared" si="609"/>
        <v>34</v>
      </c>
      <c r="W1415" s="46" t="str">
        <f t="shared" si="609"/>
        <v/>
      </c>
      <c r="X1415" s="46" t="str">
        <f t="shared" si="609"/>
        <v/>
      </c>
    </row>
    <row r="1416" spans="2:24" x14ac:dyDescent="0.25">
      <c r="B1416" s="11" t="str">
        <f t="shared" si="610"/>
        <v>DOMI-26JAN1913</v>
      </c>
      <c r="C1416" s="11" t="s">
        <v>3139</v>
      </c>
      <c r="D1416" s="11" t="s">
        <v>2097</v>
      </c>
      <c r="E1416" s="39" t="s">
        <v>5369</v>
      </c>
      <c r="F1416" s="11" t="s">
        <v>2922</v>
      </c>
      <c r="G1416" s="39" t="s">
        <v>5368</v>
      </c>
      <c r="I1416" s="7">
        <v>1</v>
      </c>
      <c r="J1416" s="17">
        <v>25</v>
      </c>
      <c r="K1416" s="17"/>
      <c r="L1416" s="7">
        <f t="shared" si="611"/>
        <v>26</v>
      </c>
      <c r="M1416" s="8">
        <v>1</v>
      </c>
      <c r="N1416" s="8">
        <f t="shared" si="612"/>
        <v>1</v>
      </c>
      <c r="O1416" s="11" t="s">
        <v>1702</v>
      </c>
      <c r="P1416" s="16" t="str">
        <f t="shared" si="613"/>
        <v>26-Jan-1913</v>
      </c>
      <c r="R1416" s="16" t="str">
        <f>IF($L1416&gt;0,"x","")</f>
        <v>x</v>
      </c>
      <c r="S1416" s="16" t="str">
        <f>IF($L1416&gt;0,"x","")</f>
        <v>x</v>
      </c>
      <c r="U1416" s="46" t="str">
        <f t="shared" si="609"/>
        <v/>
      </c>
      <c r="V1416" s="46">
        <f t="shared" si="609"/>
        <v>26</v>
      </c>
      <c r="W1416" s="46" t="str">
        <f t="shared" si="609"/>
        <v/>
      </c>
      <c r="X1416" s="46" t="str">
        <f t="shared" si="609"/>
        <v/>
      </c>
    </row>
    <row r="1417" spans="2:24" x14ac:dyDescent="0.25">
      <c r="B1417" s="11" t="str">
        <f t="shared" si="610"/>
        <v>DOMI-04MAR1913</v>
      </c>
      <c r="C1417" s="11" t="s">
        <v>3139</v>
      </c>
      <c r="D1417" s="11" t="s">
        <v>2097</v>
      </c>
      <c r="E1417" s="39" t="s">
        <v>4889</v>
      </c>
      <c r="F1417" s="11" t="s">
        <v>2922</v>
      </c>
      <c r="G1417" s="39" t="s">
        <v>1020</v>
      </c>
      <c r="I1417" s="7">
        <v>14</v>
      </c>
      <c r="J1417" s="17">
        <v>10</v>
      </c>
      <c r="K1417" s="17"/>
      <c r="L1417" s="7">
        <f t="shared" si="611"/>
        <v>24</v>
      </c>
      <c r="M1417" s="8">
        <v>1</v>
      </c>
      <c r="N1417" s="8">
        <f t="shared" si="612"/>
        <v>1</v>
      </c>
      <c r="O1417" s="11" t="s">
        <v>1702</v>
      </c>
      <c r="P1417" s="16" t="str">
        <f t="shared" si="613"/>
        <v>04-Mar-1913</v>
      </c>
      <c r="R1417" s="16" t="str">
        <f t="shared" si="608"/>
        <v>x</v>
      </c>
      <c r="S1417" s="16" t="str">
        <f t="shared" si="608"/>
        <v>x</v>
      </c>
      <c r="U1417" s="46" t="str">
        <f t="shared" si="609"/>
        <v/>
      </c>
      <c r="V1417" s="46">
        <f t="shared" si="609"/>
        <v>24</v>
      </c>
      <c r="W1417" s="46" t="str">
        <f t="shared" si="609"/>
        <v/>
      </c>
      <c r="X1417" s="46" t="str">
        <f t="shared" si="609"/>
        <v/>
      </c>
    </row>
    <row r="1418" spans="2:24" x14ac:dyDescent="0.25">
      <c r="B1418" s="11" t="str">
        <f t="shared" ref="B1418:B1423" si="614">CONCATENATE("DOMI","-",LEFT(P1418,2),UPPER(MID(P1418,4,3)),RIGHT(P1418,4))</f>
        <v>DOMI-16JUN1913</v>
      </c>
      <c r="C1418" s="11" t="s">
        <v>3139</v>
      </c>
      <c r="D1418" s="11" t="s">
        <v>2097</v>
      </c>
      <c r="E1418" s="39" t="s">
        <v>3141</v>
      </c>
      <c r="F1418" s="11" t="s">
        <v>3039</v>
      </c>
      <c r="G1418" s="39" t="s">
        <v>3140</v>
      </c>
      <c r="I1418" s="7">
        <v>3</v>
      </c>
      <c r="J1418" s="17">
        <v>35</v>
      </c>
      <c r="K1418" s="17"/>
      <c r="L1418" s="7">
        <f t="shared" ref="L1418:L1423" si="615">SUM(H1418:K1418)</f>
        <v>38</v>
      </c>
      <c r="M1418" s="8">
        <v>1</v>
      </c>
      <c r="N1418" s="8">
        <f t="shared" ref="N1418:N1423" si="616">IF(L1418&gt;0,1,"")</f>
        <v>1</v>
      </c>
      <c r="O1418" s="11" t="s">
        <v>1702</v>
      </c>
      <c r="P1418" s="16" t="str">
        <f t="shared" ref="P1418:P1423" si="617">IF(LEN(G1418)=10,CONCATENATE("0",G1418),G1418)</f>
        <v>16-Jun-1913</v>
      </c>
      <c r="R1418" s="16" t="str">
        <f t="shared" ref="R1418:S1421" si="618">IF($L1418&gt;0,"x","")</f>
        <v>x</v>
      </c>
      <c r="S1418" s="16" t="str">
        <f t="shared" si="618"/>
        <v>x</v>
      </c>
      <c r="U1418" s="46" t="str">
        <f t="shared" ref="U1418:X1420" si="619">IF($O1418=U$5,$L1418,"")</f>
        <v/>
      </c>
      <c r="V1418" s="46">
        <f t="shared" si="619"/>
        <v>38</v>
      </c>
      <c r="W1418" s="46" t="str">
        <f t="shared" si="619"/>
        <v/>
      </c>
      <c r="X1418" s="46" t="str">
        <f t="shared" si="619"/>
        <v/>
      </c>
    </row>
    <row r="1419" spans="2:24" x14ac:dyDescent="0.25">
      <c r="B1419" s="11" t="str">
        <f t="shared" si="614"/>
        <v>DOMI-20JUL1913</v>
      </c>
      <c r="C1419" s="11" t="s">
        <v>3139</v>
      </c>
      <c r="D1419" s="11" t="s">
        <v>2097</v>
      </c>
      <c r="E1419" s="39" t="s">
        <v>3752</v>
      </c>
      <c r="F1419" s="11" t="s">
        <v>3039</v>
      </c>
      <c r="G1419" s="39" t="s">
        <v>1535</v>
      </c>
      <c r="I1419" s="7">
        <v>15</v>
      </c>
      <c r="J1419" s="17">
        <v>62</v>
      </c>
      <c r="K1419" s="17"/>
      <c r="L1419" s="7">
        <f t="shared" si="615"/>
        <v>77</v>
      </c>
      <c r="M1419" s="8">
        <v>1</v>
      </c>
      <c r="N1419" s="8">
        <f t="shared" si="616"/>
        <v>1</v>
      </c>
      <c r="O1419" s="11" t="s">
        <v>1702</v>
      </c>
      <c r="P1419" s="16" t="str">
        <f t="shared" si="617"/>
        <v>20-Jul-1913</v>
      </c>
      <c r="R1419" s="16" t="str">
        <f t="shared" si="618"/>
        <v>x</v>
      </c>
      <c r="S1419" s="16" t="str">
        <f t="shared" si="618"/>
        <v>x</v>
      </c>
      <c r="U1419" s="46" t="str">
        <f t="shared" si="619"/>
        <v/>
      </c>
      <c r="V1419" s="46">
        <f t="shared" si="619"/>
        <v>77</v>
      </c>
      <c r="W1419" s="46" t="str">
        <f t="shared" si="619"/>
        <v/>
      </c>
      <c r="X1419" s="46" t="str">
        <f t="shared" si="619"/>
        <v/>
      </c>
    </row>
    <row r="1420" spans="2:24" x14ac:dyDescent="0.25">
      <c r="B1420" s="11" t="str">
        <f t="shared" si="614"/>
        <v>DOMI-25AUG1913</v>
      </c>
      <c r="C1420" s="11" t="s">
        <v>3139</v>
      </c>
      <c r="D1420" s="11" t="s">
        <v>2097</v>
      </c>
      <c r="E1420" s="39" t="s">
        <v>2538</v>
      </c>
      <c r="F1420" s="11" t="s">
        <v>3039</v>
      </c>
      <c r="G1420" s="39" t="s">
        <v>3304</v>
      </c>
      <c r="I1420" s="7">
        <v>0</v>
      </c>
      <c r="J1420" s="17">
        <v>66</v>
      </c>
      <c r="K1420" s="17"/>
      <c r="L1420" s="7">
        <f t="shared" si="615"/>
        <v>66</v>
      </c>
      <c r="M1420" s="8">
        <v>1</v>
      </c>
      <c r="N1420" s="8">
        <f t="shared" si="616"/>
        <v>1</v>
      </c>
      <c r="O1420" s="11" t="s">
        <v>1702</v>
      </c>
      <c r="P1420" s="16" t="str">
        <f t="shared" si="617"/>
        <v>25-Aug-1913</v>
      </c>
      <c r="R1420" s="16" t="str">
        <f t="shared" si="618"/>
        <v>x</v>
      </c>
      <c r="S1420" s="16" t="str">
        <f t="shared" si="618"/>
        <v>x</v>
      </c>
      <c r="U1420" s="46" t="str">
        <f t="shared" si="619"/>
        <v/>
      </c>
      <c r="V1420" s="46">
        <f t="shared" si="619"/>
        <v>66</v>
      </c>
      <c r="W1420" s="46" t="str">
        <f t="shared" si="619"/>
        <v/>
      </c>
      <c r="X1420" s="46" t="str">
        <f t="shared" si="619"/>
        <v/>
      </c>
    </row>
    <row r="1421" spans="2:24" x14ac:dyDescent="0.25">
      <c r="B1421" s="11" t="str">
        <f t="shared" si="614"/>
        <v>DOMI-28SEP1913</v>
      </c>
      <c r="C1421" s="11" t="s">
        <v>3139</v>
      </c>
      <c r="D1421" s="11" t="s">
        <v>2097</v>
      </c>
      <c r="E1421" s="39" t="s">
        <v>5479</v>
      </c>
      <c r="F1421" s="11" t="s">
        <v>3039</v>
      </c>
      <c r="G1421" s="39" t="s">
        <v>3065</v>
      </c>
      <c r="I1421" s="7">
        <v>1</v>
      </c>
      <c r="J1421" s="17">
        <v>23</v>
      </c>
      <c r="K1421" s="17"/>
      <c r="L1421" s="7">
        <f t="shared" si="615"/>
        <v>24</v>
      </c>
      <c r="M1421" s="8">
        <v>1</v>
      </c>
      <c r="N1421" s="8">
        <f t="shared" si="616"/>
        <v>1</v>
      </c>
      <c r="O1421" s="11" t="s">
        <v>1702</v>
      </c>
      <c r="P1421" s="16" t="str">
        <f t="shared" si="617"/>
        <v>28-Sep-1913</v>
      </c>
      <c r="R1421" s="16" t="str">
        <f t="shared" si="618"/>
        <v>x</v>
      </c>
      <c r="S1421" s="16" t="str">
        <f t="shared" si="618"/>
        <v>x</v>
      </c>
      <c r="U1421" s="46" t="str">
        <f t="shared" ref="U1421:X1423" si="620">IF($O1421=U$5,$L1421,"")</f>
        <v/>
      </c>
      <c r="V1421" s="46">
        <f t="shared" si="620"/>
        <v>24</v>
      </c>
      <c r="W1421" s="46" t="str">
        <f t="shared" si="620"/>
        <v/>
      </c>
      <c r="X1421" s="46" t="str">
        <f t="shared" si="620"/>
        <v/>
      </c>
    </row>
    <row r="1422" spans="2:24" x14ac:dyDescent="0.25">
      <c r="B1422" s="11" t="str">
        <f t="shared" si="614"/>
        <v>DOMI-04NOV1913</v>
      </c>
      <c r="C1422" s="11" t="s">
        <v>3139</v>
      </c>
      <c r="D1422" s="11" t="s">
        <v>2097</v>
      </c>
      <c r="E1422" s="39" t="s">
        <v>2529</v>
      </c>
      <c r="F1422" s="11" t="s">
        <v>3039</v>
      </c>
      <c r="G1422" s="39" t="s">
        <v>5285</v>
      </c>
      <c r="I1422" s="7">
        <v>6</v>
      </c>
      <c r="J1422" s="17">
        <v>8</v>
      </c>
      <c r="K1422" s="17"/>
      <c r="L1422" s="7">
        <f t="shared" si="615"/>
        <v>14</v>
      </c>
      <c r="M1422" s="8">
        <v>1</v>
      </c>
      <c r="N1422" s="8">
        <f t="shared" si="616"/>
        <v>1</v>
      </c>
      <c r="O1422" s="11" t="s">
        <v>1702</v>
      </c>
      <c r="P1422" s="16" t="str">
        <f t="shared" si="617"/>
        <v>04-Nov-1913</v>
      </c>
      <c r="R1422" s="16" t="str">
        <f>IF($L1422&gt;0,"x","")</f>
        <v>x</v>
      </c>
      <c r="S1422" s="16" t="str">
        <f>IF($L1422&gt;0,"x","")</f>
        <v>x</v>
      </c>
      <c r="U1422" s="46" t="str">
        <f t="shared" si="620"/>
        <v/>
      </c>
      <c r="V1422" s="46">
        <f t="shared" si="620"/>
        <v>14</v>
      </c>
      <c r="W1422" s="46" t="str">
        <f t="shared" si="620"/>
        <v/>
      </c>
      <c r="X1422" s="46" t="str">
        <f t="shared" si="620"/>
        <v/>
      </c>
    </row>
    <row r="1423" spans="2:24" x14ac:dyDescent="0.25">
      <c r="B1423" s="11" t="str">
        <f t="shared" si="614"/>
        <v>DOMI-15JUN1914</v>
      </c>
      <c r="C1423" s="11" t="s">
        <v>3139</v>
      </c>
      <c r="D1423" s="11" t="s">
        <v>2097</v>
      </c>
      <c r="E1423" s="39" t="s">
        <v>4824</v>
      </c>
      <c r="F1423" s="11" t="s">
        <v>3039</v>
      </c>
      <c r="G1423" s="39" t="s">
        <v>1345</v>
      </c>
      <c r="I1423" s="7">
        <v>2</v>
      </c>
      <c r="J1423" s="17">
        <v>10</v>
      </c>
      <c r="K1423" s="17"/>
      <c r="L1423" s="7">
        <f t="shared" si="615"/>
        <v>12</v>
      </c>
      <c r="M1423" s="8">
        <v>1</v>
      </c>
      <c r="N1423" s="8">
        <f t="shared" si="616"/>
        <v>1</v>
      </c>
      <c r="O1423" s="11" t="s">
        <v>1702</v>
      </c>
      <c r="P1423" s="16" t="str">
        <f t="shared" si="617"/>
        <v>15-Jun-1914</v>
      </c>
      <c r="R1423" s="16" t="str">
        <f>IF($L1423&gt;0,"x","")</f>
        <v>x</v>
      </c>
      <c r="S1423" s="16" t="str">
        <f>IF($L1423&gt;0,"x","")</f>
        <v>x</v>
      </c>
      <c r="U1423" s="46" t="str">
        <f t="shared" si="620"/>
        <v/>
      </c>
      <c r="V1423" s="46">
        <f t="shared" si="620"/>
        <v>12</v>
      </c>
      <c r="W1423" s="46" t="str">
        <f t="shared" si="620"/>
        <v/>
      </c>
      <c r="X1423" s="46" t="str">
        <f t="shared" si="620"/>
        <v/>
      </c>
    </row>
    <row r="1424" spans="2:24" x14ac:dyDescent="0.25">
      <c r="N1424" s="8" t="str">
        <f>IF(R1424="x",1,"")</f>
        <v/>
      </c>
      <c r="U1424" s="46" t="str">
        <f t="shared" ref="U1424:X1438" si="621">IF($O1424=U$5,$L1424,"")</f>
        <v/>
      </c>
      <c r="V1424" s="46" t="str">
        <f t="shared" si="621"/>
        <v/>
      </c>
      <c r="W1424" s="46" t="str">
        <f t="shared" si="621"/>
        <v/>
      </c>
      <c r="X1424" s="46" t="str">
        <f t="shared" si="621"/>
        <v/>
      </c>
    </row>
    <row r="1425" spans="2:24" x14ac:dyDescent="0.25">
      <c r="B1425" s="18"/>
      <c r="C1425" s="18"/>
      <c r="D1425" s="18"/>
      <c r="E1425" s="40"/>
      <c r="F1425" s="18"/>
      <c r="G1425" s="40"/>
      <c r="H1425" s="7">
        <f t="shared" ref="H1425:N1425" si="622">SUM(H1402:H1424)</f>
        <v>0</v>
      </c>
      <c r="I1425" s="7">
        <f t="shared" si="622"/>
        <v>88</v>
      </c>
      <c r="J1425" s="7">
        <f>SUM(J1402:J1424)</f>
        <v>456</v>
      </c>
      <c r="K1425" s="7">
        <f t="shared" si="622"/>
        <v>0</v>
      </c>
      <c r="L1425" s="7">
        <f t="shared" si="622"/>
        <v>544</v>
      </c>
      <c r="M1425" s="7">
        <f t="shared" si="622"/>
        <v>22</v>
      </c>
      <c r="N1425" s="7">
        <f t="shared" si="622"/>
        <v>22</v>
      </c>
      <c r="O1425" s="18"/>
      <c r="P1425" s="13"/>
      <c r="Q1425" s="13"/>
      <c r="S1425" s="13"/>
      <c r="T1425" s="15"/>
      <c r="U1425" s="46" t="str">
        <f t="shared" si="621"/>
        <v/>
      </c>
      <c r="V1425" s="46" t="str">
        <f t="shared" si="621"/>
        <v/>
      </c>
      <c r="W1425" s="46" t="str">
        <f t="shared" si="621"/>
        <v/>
      </c>
      <c r="X1425" s="46" t="str">
        <f t="shared" si="621"/>
        <v/>
      </c>
    </row>
    <row r="1426" spans="2:24" x14ac:dyDescent="0.25">
      <c r="B1426" s="18"/>
      <c r="C1426" s="18"/>
      <c r="D1426" s="18"/>
      <c r="E1426" s="40"/>
      <c r="F1426" s="18"/>
      <c r="G1426" s="40"/>
      <c r="N1426" s="8" t="str">
        <f>IF(R1426="x",1,"")</f>
        <v/>
      </c>
      <c r="O1426" s="18"/>
      <c r="P1426" s="13"/>
      <c r="Q1426" s="13"/>
      <c r="R1426" s="13"/>
      <c r="S1426" s="13"/>
      <c r="T1426" s="15"/>
      <c r="U1426" s="46" t="str">
        <f t="shared" si="621"/>
        <v/>
      </c>
      <c r="V1426" s="46" t="str">
        <f t="shared" si="621"/>
        <v/>
      </c>
      <c r="W1426" s="46" t="str">
        <f t="shared" si="621"/>
        <v/>
      </c>
      <c r="X1426" s="46" t="str">
        <f t="shared" si="621"/>
        <v/>
      </c>
    </row>
    <row r="1427" spans="2:24" x14ac:dyDescent="0.25">
      <c r="B1427" s="18"/>
      <c r="C1427" s="18"/>
      <c r="D1427" s="18"/>
      <c r="E1427" s="40"/>
      <c r="F1427" s="18"/>
      <c r="G1427" s="40"/>
      <c r="N1427" s="8" t="str">
        <f>IF(R1427="x",1,"")</f>
        <v/>
      </c>
      <c r="O1427" s="18"/>
      <c r="P1427" s="13"/>
      <c r="Q1427" s="13"/>
      <c r="R1427" s="13"/>
      <c r="S1427" s="13"/>
      <c r="T1427" s="15"/>
      <c r="U1427" s="46" t="str">
        <f t="shared" si="621"/>
        <v/>
      </c>
      <c r="V1427" s="46" t="str">
        <f t="shared" si="621"/>
        <v/>
      </c>
      <c r="W1427" s="46" t="str">
        <f t="shared" si="621"/>
        <v/>
      </c>
      <c r="X1427" s="46" t="str">
        <f t="shared" si="621"/>
        <v/>
      </c>
    </row>
    <row r="1428" spans="2:24" x14ac:dyDescent="0.25">
      <c r="B1428" s="11" t="str">
        <f>CONCATENATE("DUC3","-",LEFT(P1428,2),UPPER(MID(P1428,4,3)),RIGHT(P1428,4))</f>
        <v>DUC3-26SEP1914</v>
      </c>
      <c r="C1428" s="11" t="s">
        <v>3737</v>
      </c>
      <c r="D1428" s="11" t="s">
        <v>3217</v>
      </c>
      <c r="E1428" s="39" t="s">
        <v>3738</v>
      </c>
      <c r="F1428" s="11" t="s">
        <v>1700</v>
      </c>
      <c r="G1428" s="39" t="s">
        <v>3739</v>
      </c>
      <c r="H1428" s="7">
        <v>1</v>
      </c>
      <c r="I1428" s="7">
        <v>0</v>
      </c>
      <c r="J1428" s="17">
        <v>3</v>
      </c>
      <c r="K1428" s="17"/>
      <c r="L1428" s="7">
        <f>SUM(H1428:K1428)</f>
        <v>4</v>
      </c>
      <c r="M1428" s="8">
        <v>1</v>
      </c>
      <c r="N1428" s="8">
        <f>IF(L1428&gt;0,1,"")</f>
        <v>1</v>
      </c>
      <c r="O1428" s="11" t="s">
        <v>1702</v>
      </c>
      <c r="P1428" s="16" t="str">
        <f>IF(LEN(G1428)=10,CONCATENATE("0",G1428),G1428)</f>
        <v>26-Sep-1914</v>
      </c>
      <c r="R1428" s="16" t="str">
        <f>IF($L1428&gt;0,"x","")</f>
        <v>x</v>
      </c>
      <c r="S1428" s="16" t="str">
        <f>IF($L1428&gt;0,"x","")</f>
        <v>x</v>
      </c>
      <c r="U1428" s="46" t="str">
        <f t="shared" si="621"/>
        <v/>
      </c>
      <c r="V1428" s="46">
        <f t="shared" si="621"/>
        <v>4</v>
      </c>
      <c r="W1428" s="46" t="str">
        <f t="shared" si="621"/>
        <v/>
      </c>
      <c r="X1428" s="46" t="str">
        <f t="shared" si="621"/>
        <v/>
      </c>
    </row>
    <row r="1429" spans="2:24" x14ac:dyDescent="0.25">
      <c r="N1429" s="8" t="str">
        <f>IF(R1429="x",1,"")</f>
        <v/>
      </c>
      <c r="U1429" s="46" t="str">
        <f t="shared" si="621"/>
        <v/>
      </c>
      <c r="V1429" s="46" t="str">
        <f t="shared" si="621"/>
        <v/>
      </c>
      <c r="W1429" s="46" t="str">
        <f t="shared" si="621"/>
        <v/>
      </c>
      <c r="X1429" s="46" t="str">
        <f t="shared" si="621"/>
        <v/>
      </c>
    </row>
    <row r="1430" spans="2:24" x14ac:dyDescent="0.25">
      <c r="B1430" s="18"/>
      <c r="C1430" s="18"/>
      <c r="D1430" s="18"/>
      <c r="E1430" s="40"/>
      <c r="F1430" s="18"/>
      <c r="G1430" s="40"/>
      <c r="H1430" s="7">
        <f t="shared" ref="H1430:N1430" si="623">SUM(H1428:H1429)</f>
        <v>1</v>
      </c>
      <c r="I1430" s="7">
        <f t="shared" si="623"/>
        <v>0</v>
      </c>
      <c r="J1430" s="7">
        <f>SUM(J1428:J1429)</f>
        <v>3</v>
      </c>
      <c r="K1430" s="7">
        <f t="shared" si="623"/>
        <v>0</v>
      </c>
      <c r="L1430" s="7">
        <f t="shared" si="623"/>
        <v>4</v>
      </c>
      <c r="M1430" s="7">
        <f t="shared" si="623"/>
        <v>1</v>
      </c>
      <c r="N1430" s="7">
        <f t="shared" si="623"/>
        <v>1</v>
      </c>
      <c r="O1430" s="18"/>
      <c r="P1430" s="13"/>
      <c r="Q1430" s="13"/>
      <c r="S1430" s="13"/>
      <c r="T1430" s="15"/>
      <c r="U1430" s="46" t="str">
        <f t="shared" si="621"/>
        <v/>
      </c>
      <c r="V1430" s="46" t="str">
        <f t="shared" si="621"/>
        <v/>
      </c>
      <c r="W1430" s="46" t="str">
        <f t="shared" si="621"/>
        <v/>
      </c>
      <c r="X1430" s="46" t="str">
        <f t="shared" si="621"/>
        <v/>
      </c>
    </row>
    <row r="1431" spans="2:24" x14ac:dyDescent="0.25">
      <c r="B1431" s="18"/>
      <c r="C1431" s="18"/>
      <c r="D1431" s="18"/>
      <c r="E1431" s="40"/>
      <c r="F1431" s="18"/>
      <c r="G1431" s="40"/>
      <c r="N1431" s="8" t="str">
        <f>IF(R1431="x",1,"")</f>
        <v/>
      </c>
      <c r="O1431" s="18"/>
      <c r="P1431" s="13"/>
      <c r="Q1431" s="13"/>
      <c r="R1431" s="13"/>
      <c r="S1431" s="13"/>
      <c r="T1431" s="15"/>
      <c r="U1431" s="46" t="str">
        <f t="shared" si="621"/>
        <v/>
      </c>
      <c r="V1431" s="46" t="str">
        <f t="shared" si="621"/>
        <v/>
      </c>
      <c r="W1431" s="46" t="str">
        <f t="shared" si="621"/>
        <v/>
      </c>
      <c r="X1431" s="46" t="str">
        <f t="shared" si="621"/>
        <v/>
      </c>
    </row>
    <row r="1432" spans="2:24" x14ac:dyDescent="0.25">
      <c r="B1432" s="18"/>
      <c r="C1432" s="18"/>
      <c r="D1432" s="18"/>
      <c r="E1432" s="40"/>
      <c r="F1432" s="18"/>
      <c r="G1432" s="40"/>
      <c r="N1432" s="8" t="str">
        <f>IF(R1432="x",1,"")</f>
        <v/>
      </c>
      <c r="O1432" s="18"/>
      <c r="P1432" s="13"/>
      <c r="Q1432" s="13"/>
      <c r="R1432" s="13"/>
      <c r="S1432" s="13"/>
      <c r="T1432" s="15"/>
      <c r="U1432" s="46" t="str">
        <f t="shared" si="621"/>
        <v/>
      </c>
      <c r="V1432" s="46" t="str">
        <f t="shared" si="621"/>
        <v/>
      </c>
      <c r="W1432" s="46" t="str">
        <f t="shared" si="621"/>
        <v/>
      </c>
      <c r="X1432" s="46" t="str">
        <f t="shared" si="621"/>
        <v/>
      </c>
    </row>
    <row r="1433" spans="2:24" x14ac:dyDescent="0.25">
      <c r="B1433" s="11" t="str">
        <f>CONCATENATE("DUC2","-",LEFT(P1433,2),UPPER(MID(P1433,4,3)),RIGHT(P1433,4))</f>
        <v>DUC2-10MAY1909</v>
      </c>
      <c r="C1433" s="11" t="s">
        <v>3313</v>
      </c>
      <c r="D1433" s="11" t="s">
        <v>3217</v>
      </c>
      <c r="E1433" s="39" t="s">
        <v>3981</v>
      </c>
      <c r="F1433" s="11" t="s">
        <v>1700</v>
      </c>
      <c r="G1433" s="39" t="s">
        <v>3980</v>
      </c>
      <c r="H1433" s="7">
        <v>0</v>
      </c>
      <c r="I1433" s="7">
        <v>0</v>
      </c>
      <c r="J1433" s="17">
        <v>9</v>
      </c>
      <c r="K1433" s="17"/>
      <c r="L1433" s="7">
        <f>SUM(H1433:K1433)</f>
        <v>9</v>
      </c>
      <c r="M1433" s="8">
        <v>1</v>
      </c>
      <c r="N1433" s="8">
        <f>IF(L1433&gt;0,1,"")</f>
        <v>1</v>
      </c>
      <c r="O1433" s="11" t="s">
        <v>1702</v>
      </c>
      <c r="P1433" s="16" t="str">
        <f>IF(LEN(G1433)=10,CONCATENATE("0",G1433),G1433)</f>
        <v>10-May-1909</v>
      </c>
      <c r="R1433" s="16" t="str">
        <f t="shared" ref="R1433:S1435" si="624">IF($L1433&gt;0,"x","")</f>
        <v>x</v>
      </c>
      <c r="S1433" s="16" t="str">
        <f t="shared" si="624"/>
        <v>x</v>
      </c>
      <c r="U1433" s="46" t="str">
        <f t="shared" si="621"/>
        <v/>
      </c>
      <c r="V1433" s="46">
        <f t="shared" si="621"/>
        <v>9</v>
      </c>
      <c r="W1433" s="46" t="str">
        <f t="shared" si="621"/>
        <v/>
      </c>
      <c r="X1433" s="46" t="str">
        <f t="shared" si="621"/>
        <v/>
      </c>
    </row>
    <row r="1434" spans="2:24" x14ac:dyDescent="0.25">
      <c r="B1434" s="11" t="str">
        <f>CONCATENATE("DUC2","-",LEFT(P1434,2),UPPER(MID(P1434,4,3)),RIGHT(P1434,4))</f>
        <v>DUC2-09AUG1909</v>
      </c>
      <c r="C1434" s="11" t="s">
        <v>3313</v>
      </c>
      <c r="D1434" s="11" t="s">
        <v>3007</v>
      </c>
      <c r="E1434" s="39" t="s">
        <v>3314</v>
      </c>
      <c r="F1434" s="11" t="s">
        <v>1700</v>
      </c>
      <c r="G1434" s="39" t="s">
        <v>3315</v>
      </c>
      <c r="H1434" s="7">
        <v>0</v>
      </c>
      <c r="I1434" s="7">
        <v>0</v>
      </c>
      <c r="J1434" s="17">
        <v>41</v>
      </c>
      <c r="K1434" s="17"/>
      <c r="L1434" s="7">
        <f>SUM(H1434:K1434)</f>
        <v>41</v>
      </c>
      <c r="M1434" s="8">
        <v>1</v>
      </c>
      <c r="N1434" s="8">
        <f>IF(L1434&gt;0,1,"")</f>
        <v>1</v>
      </c>
      <c r="O1434" s="11" t="s">
        <v>1702</v>
      </c>
      <c r="P1434" s="16" t="str">
        <f>IF(LEN(G1434)=10,CONCATENATE("0",G1434),G1434)</f>
        <v>09-Aug-1909</v>
      </c>
      <c r="R1434" s="16" t="str">
        <f t="shared" si="624"/>
        <v>x</v>
      </c>
      <c r="S1434" s="16" t="str">
        <f t="shared" si="624"/>
        <v>x</v>
      </c>
      <c r="U1434" s="46" t="str">
        <f t="shared" si="621"/>
        <v/>
      </c>
      <c r="V1434" s="46">
        <f t="shared" si="621"/>
        <v>41</v>
      </c>
      <c r="W1434" s="46" t="str">
        <f t="shared" si="621"/>
        <v/>
      </c>
      <c r="X1434" s="46" t="str">
        <f t="shared" si="621"/>
        <v/>
      </c>
    </row>
    <row r="1435" spans="2:24" x14ac:dyDescent="0.25">
      <c r="B1435" s="11" t="str">
        <f>CONCATENATE("DUC2","-",LEFT(P1435,2),UPPER(MID(P1435,4,3)),RIGHT(P1435,4))</f>
        <v>DUC2-25OCT1909</v>
      </c>
      <c r="C1435" s="11" t="s">
        <v>3313</v>
      </c>
      <c r="D1435" s="11" t="s">
        <v>3007</v>
      </c>
      <c r="E1435" s="39" t="s">
        <v>3534</v>
      </c>
      <c r="F1435" s="11" t="s">
        <v>1700</v>
      </c>
      <c r="G1435" s="39" t="s">
        <v>3535</v>
      </c>
      <c r="H1435" s="7">
        <v>0</v>
      </c>
      <c r="I1435" s="7">
        <v>0</v>
      </c>
      <c r="J1435" s="17">
        <v>15</v>
      </c>
      <c r="K1435" s="17"/>
      <c r="L1435" s="7">
        <f>SUM(H1435:K1435)</f>
        <v>15</v>
      </c>
      <c r="M1435" s="8">
        <v>1</v>
      </c>
      <c r="N1435" s="8">
        <f>IF(L1435&gt;0,1,"")</f>
        <v>1</v>
      </c>
      <c r="O1435" s="11" t="s">
        <v>1702</v>
      </c>
      <c r="P1435" s="16" t="str">
        <f>IF(LEN(G1435)=10,CONCATENATE("0",G1435),G1435)</f>
        <v>25-Oct-1909</v>
      </c>
      <c r="R1435" s="16" t="str">
        <f t="shared" si="624"/>
        <v>x</v>
      </c>
      <c r="S1435" s="16" t="str">
        <f t="shared" si="624"/>
        <v>x</v>
      </c>
      <c r="U1435" s="46" t="str">
        <f t="shared" si="621"/>
        <v/>
      </c>
      <c r="V1435" s="46">
        <f t="shared" si="621"/>
        <v>15</v>
      </c>
      <c r="W1435" s="46" t="str">
        <f t="shared" si="621"/>
        <v/>
      </c>
      <c r="X1435" s="46" t="str">
        <f t="shared" si="621"/>
        <v/>
      </c>
    </row>
    <row r="1436" spans="2:24" x14ac:dyDescent="0.25">
      <c r="B1436" s="11" t="str">
        <f>CONCATENATE("DUC2","-",LEFT(P1436,2),UPPER(MID(P1436,4,3)),RIGHT(P1436,4))</f>
        <v>DUC2-23AUG1915</v>
      </c>
      <c r="C1436" s="11" t="s">
        <v>3313</v>
      </c>
      <c r="D1436" s="11" t="s">
        <v>3007</v>
      </c>
      <c r="E1436" s="39" t="s">
        <v>5397</v>
      </c>
      <c r="F1436" s="11" t="s">
        <v>1700</v>
      </c>
      <c r="G1436" s="39" t="s">
        <v>5398</v>
      </c>
      <c r="H1436" s="7">
        <v>0</v>
      </c>
      <c r="I1436" s="7">
        <v>8</v>
      </c>
      <c r="J1436" s="17">
        <v>0</v>
      </c>
      <c r="K1436" s="17"/>
      <c r="L1436" s="7">
        <f>SUM(H1436:K1436)</f>
        <v>8</v>
      </c>
      <c r="M1436" s="8">
        <v>1</v>
      </c>
      <c r="N1436" s="8">
        <f>IF(L1436&gt;0,1,"")</f>
        <v>1</v>
      </c>
      <c r="O1436" s="11" t="s">
        <v>1702</v>
      </c>
      <c r="P1436" s="16" t="str">
        <f>IF(LEN(G1436)=10,CONCATENATE("0",G1436),G1436)</f>
        <v>23-Aug-1915</v>
      </c>
      <c r="R1436" s="16" t="str">
        <f>IF($L1436&gt;0,"x","")</f>
        <v>x</v>
      </c>
      <c r="S1436" s="16" t="str">
        <f>IF($L1436&gt;0,"x","")</f>
        <v>x</v>
      </c>
      <c r="U1436" s="46" t="str">
        <f t="shared" si="621"/>
        <v/>
      </c>
      <c r="V1436" s="46">
        <f t="shared" si="621"/>
        <v>8</v>
      </c>
      <c r="W1436" s="46" t="str">
        <f t="shared" si="621"/>
        <v/>
      </c>
      <c r="X1436" s="46" t="str">
        <f t="shared" si="621"/>
        <v/>
      </c>
    </row>
    <row r="1437" spans="2:24" x14ac:dyDescent="0.25">
      <c r="N1437" s="8" t="str">
        <f>IF(R1437="x",1,"")</f>
        <v/>
      </c>
      <c r="U1437" s="46" t="str">
        <f t="shared" si="621"/>
        <v/>
      </c>
      <c r="V1437" s="46" t="str">
        <f t="shared" si="621"/>
        <v/>
      </c>
      <c r="W1437" s="46" t="str">
        <f t="shared" si="621"/>
        <v/>
      </c>
      <c r="X1437" s="46" t="str">
        <f t="shared" si="621"/>
        <v/>
      </c>
    </row>
    <row r="1438" spans="2:24" x14ac:dyDescent="0.25">
      <c r="B1438" s="18"/>
      <c r="C1438" s="18"/>
      <c r="D1438" s="18"/>
      <c r="E1438" s="40"/>
      <c r="F1438" s="18"/>
      <c r="G1438" s="40"/>
      <c r="H1438" s="7">
        <f t="shared" ref="H1438:N1438" si="625">SUM(H1433:H1437)</f>
        <v>0</v>
      </c>
      <c r="I1438" s="7">
        <f t="shared" si="625"/>
        <v>8</v>
      </c>
      <c r="J1438" s="7">
        <f>SUM(J1433:J1437)</f>
        <v>65</v>
      </c>
      <c r="K1438" s="7">
        <f t="shared" si="625"/>
        <v>0</v>
      </c>
      <c r="L1438" s="7">
        <f t="shared" si="625"/>
        <v>73</v>
      </c>
      <c r="M1438" s="7">
        <f t="shared" si="625"/>
        <v>4</v>
      </c>
      <c r="N1438" s="7">
        <f t="shared" si="625"/>
        <v>4</v>
      </c>
      <c r="O1438" s="18"/>
      <c r="P1438" s="13"/>
      <c r="Q1438" s="13"/>
      <c r="S1438" s="13"/>
      <c r="T1438" s="15"/>
      <c r="U1438" s="46" t="str">
        <f t="shared" si="621"/>
        <v/>
      </c>
      <c r="V1438" s="46" t="str">
        <f t="shared" si="621"/>
        <v/>
      </c>
      <c r="W1438" s="46" t="str">
        <f t="shared" si="621"/>
        <v/>
      </c>
      <c r="X1438" s="46" t="str">
        <f t="shared" si="621"/>
        <v/>
      </c>
    </row>
    <row r="1439" spans="2:24" x14ac:dyDescent="0.25">
      <c r="B1439" s="18"/>
      <c r="C1439" s="18"/>
      <c r="D1439" s="18"/>
      <c r="E1439" s="40"/>
      <c r="F1439" s="18"/>
      <c r="G1439" s="40"/>
      <c r="N1439" s="8" t="str">
        <f>IF(R1439="x",1,"")</f>
        <v/>
      </c>
      <c r="O1439" s="18"/>
      <c r="P1439" s="13"/>
      <c r="Q1439" s="13"/>
      <c r="R1439" s="13"/>
      <c r="S1439" s="13"/>
      <c r="T1439" s="15"/>
      <c r="U1439" s="46" t="str">
        <f t="shared" ref="U1439:X1446" si="626">IF($O1439=U$5,$L1439,"")</f>
        <v/>
      </c>
      <c r="V1439" s="46" t="str">
        <f t="shared" si="626"/>
        <v/>
      </c>
      <c r="W1439" s="46" t="str">
        <f t="shared" si="626"/>
        <v/>
      </c>
      <c r="X1439" s="46" t="str">
        <f t="shared" si="626"/>
        <v/>
      </c>
    </row>
    <row r="1440" spans="2:24" x14ac:dyDescent="0.25">
      <c r="B1440" s="18"/>
      <c r="C1440" s="18"/>
      <c r="D1440" s="18"/>
      <c r="E1440" s="40"/>
      <c r="F1440" s="18"/>
      <c r="G1440" s="40"/>
      <c r="N1440" s="8" t="str">
        <f>IF(R1440="x",1,"")</f>
        <v/>
      </c>
      <c r="O1440" s="18"/>
      <c r="P1440" s="13"/>
      <c r="Q1440" s="13"/>
      <c r="R1440" s="13"/>
      <c r="S1440" s="13"/>
      <c r="T1440" s="15"/>
      <c r="U1440" s="46" t="str">
        <f t="shared" si="626"/>
        <v/>
      </c>
      <c r="V1440" s="46" t="str">
        <f t="shared" si="626"/>
        <v/>
      </c>
      <c r="W1440" s="46" t="str">
        <f t="shared" si="626"/>
        <v/>
      </c>
      <c r="X1440" s="46" t="str">
        <f t="shared" si="626"/>
        <v/>
      </c>
    </row>
    <row r="1441" spans="2:24" x14ac:dyDescent="0.25">
      <c r="B1441" s="11" t="str">
        <f>CONCATENATE("DUCA","-",LEFT(P1441,2),UPPER(MID(P1441,4,3)),RIGHT(P1441,4))</f>
        <v>DUCA-02NOV1908</v>
      </c>
      <c r="C1441" s="11" t="s">
        <v>3273</v>
      </c>
      <c r="D1441" s="11" t="s">
        <v>3007</v>
      </c>
      <c r="E1441" s="39" t="s">
        <v>3275</v>
      </c>
      <c r="F1441" s="11" t="s">
        <v>1700</v>
      </c>
      <c r="G1441" s="39" t="s">
        <v>3274</v>
      </c>
      <c r="H1441" s="7">
        <v>0</v>
      </c>
      <c r="I1441" s="7">
        <v>0</v>
      </c>
      <c r="J1441" s="17">
        <v>12</v>
      </c>
      <c r="K1441" s="17"/>
      <c r="L1441" s="7">
        <f>SUM(H1441:K1441)</f>
        <v>12</v>
      </c>
      <c r="M1441" s="8">
        <v>1</v>
      </c>
      <c r="N1441" s="8">
        <f>IF(L1441&gt;0,1,"")</f>
        <v>1</v>
      </c>
      <c r="O1441" s="11" t="s">
        <v>1702</v>
      </c>
      <c r="P1441" s="16" t="str">
        <f>IF(LEN(G1441)=10,CONCATENATE("0",G1441),G1441)</f>
        <v>02-Nov-1908</v>
      </c>
      <c r="R1441" s="16" t="str">
        <f t="shared" ref="R1441:S1444" si="627">IF($L1441&gt;0,"x","")</f>
        <v>x</v>
      </c>
      <c r="S1441" s="16" t="str">
        <f t="shared" si="627"/>
        <v>x</v>
      </c>
      <c r="U1441" s="46" t="str">
        <f t="shared" si="626"/>
        <v/>
      </c>
      <c r="V1441" s="46">
        <f t="shared" si="626"/>
        <v>12</v>
      </c>
      <c r="W1441" s="46" t="str">
        <f t="shared" si="626"/>
        <v/>
      </c>
      <c r="X1441" s="46" t="str">
        <f t="shared" si="626"/>
        <v/>
      </c>
    </row>
    <row r="1442" spans="2:24" x14ac:dyDescent="0.25">
      <c r="B1442" s="11" t="str">
        <f>CONCATENATE("DUCA","-",LEFT(P1442,2),UPPER(MID(P1442,4,3)),RIGHT(P1442,4))</f>
        <v>DUCA-30AUG1909</v>
      </c>
      <c r="C1442" s="11" t="s">
        <v>3273</v>
      </c>
      <c r="D1442" s="11" t="s">
        <v>3007</v>
      </c>
      <c r="E1442" s="39" t="s">
        <v>5097</v>
      </c>
      <c r="F1442" s="11" t="s">
        <v>1700</v>
      </c>
      <c r="G1442" s="39" t="s">
        <v>1844</v>
      </c>
      <c r="H1442" s="7">
        <v>0</v>
      </c>
      <c r="I1442" s="7">
        <v>0</v>
      </c>
      <c r="J1442" s="17">
        <v>40</v>
      </c>
      <c r="K1442" s="17"/>
      <c r="L1442" s="7">
        <f>SUM(H1442:K1442)</f>
        <v>40</v>
      </c>
      <c r="M1442" s="8">
        <v>1</v>
      </c>
      <c r="N1442" s="8">
        <f>IF(L1442&gt;0,1,"")</f>
        <v>1</v>
      </c>
      <c r="O1442" s="11" t="s">
        <v>1702</v>
      </c>
      <c r="P1442" s="16" t="str">
        <f>IF(LEN(G1442)=10,CONCATENATE("0",G1442),G1442)</f>
        <v>30-Aug-1909</v>
      </c>
      <c r="R1442" s="16" t="str">
        <f t="shared" si="627"/>
        <v>x</v>
      </c>
      <c r="S1442" s="16" t="str">
        <f t="shared" si="627"/>
        <v>x</v>
      </c>
      <c r="U1442" s="46" t="str">
        <f t="shared" si="626"/>
        <v/>
      </c>
      <c r="V1442" s="46">
        <f t="shared" si="626"/>
        <v>40</v>
      </c>
      <c r="W1442" s="46" t="str">
        <f t="shared" si="626"/>
        <v/>
      </c>
      <c r="X1442" s="46" t="str">
        <f t="shared" si="626"/>
        <v/>
      </c>
    </row>
    <row r="1443" spans="2:24" x14ac:dyDescent="0.25">
      <c r="B1443" s="11" t="str">
        <f>CONCATENATE("DUCA","-",LEFT(P1443,2),UPPER(MID(P1443,4,3)),RIGHT(P1443,4))</f>
        <v>DUCA-06DEC1909</v>
      </c>
      <c r="C1443" s="11" t="s">
        <v>3273</v>
      </c>
      <c r="D1443" s="11" t="s">
        <v>3007</v>
      </c>
      <c r="E1443" s="39" t="s">
        <v>5382</v>
      </c>
      <c r="F1443" s="11" t="s">
        <v>1700</v>
      </c>
      <c r="G1443" s="39" t="s">
        <v>857</v>
      </c>
      <c r="H1443" s="7">
        <v>0</v>
      </c>
      <c r="I1443" s="7">
        <v>0</v>
      </c>
      <c r="J1443" s="17">
        <v>14</v>
      </c>
      <c r="K1443" s="17"/>
      <c r="L1443" s="7">
        <f>SUM(H1443:K1443)</f>
        <v>14</v>
      </c>
      <c r="M1443" s="8">
        <v>1</v>
      </c>
      <c r="N1443" s="8">
        <f>IF(L1443&gt;0,1,"")</f>
        <v>1</v>
      </c>
      <c r="O1443" s="11" t="s">
        <v>1702</v>
      </c>
      <c r="P1443" s="16" t="str">
        <f>IF(LEN(G1443)=10,CONCATENATE("0",G1443),G1443)</f>
        <v>06-Dec-1909</v>
      </c>
      <c r="R1443" s="16" t="str">
        <f t="shared" si="627"/>
        <v>x</v>
      </c>
      <c r="S1443" s="16" t="str">
        <f t="shared" si="627"/>
        <v>x</v>
      </c>
      <c r="U1443" s="46" t="str">
        <f t="shared" si="626"/>
        <v/>
      </c>
      <c r="V1443" s="46">
        <f t="shared" si="626"/>
        <v>14</v>
      </c>
      <c r="W1443" s="46" t="str">
        <f t="shared" si="626"/>
        <v/>
      </c>
      <c r="X1443" s="46" t="str">
        <f t="shared" si="626"/>
        <v/>
      </c>
    </row>
    <row r="1444" spans="2:24" x14ac:dyDescent="0.25">
      <c r="B1444" s="11" t="str">
        <f>CONCATENATE("DUCA","-",LEFT(P1444,2),UPPER(MID(P1444,4,3)),RIGHT(P1444,4))</f>
        <v>DUCA-06DEC1910</v>
      </c>
      <c r="C1444" s="11" t="s">
        <v>3273</v>
      </c>
      <c r="D1444" s="11" t="s">
        <v>3007</v>
      </c>
      <c r="E1444" s="39" t="s">
        <v>953</v>
      </c>
      <c r="F1444" s="11" t="s">
        <v>1700</v>
      </c>
      <c r="G1444" s="39" t="s">
        <v>6270</v>
      </c>
      <c r="H1444" s="7">
        <v>0</v>
      </c>
      <c r="I1444" s="7">
        <v>0</v>
      </c>
      <c r="J1444" s="17">
        <v>25</v>
      </c>
      <c r="K1444" s="17"/>
      <c r="L1444" s="7">
        <f>SUM(H1444:K1444)</f>
        <v>25</v>
      </c>
      <c r="M1444" s="8">
        <v>1</v>
      </c>
      <c r="N1444" s="8">
        <f>IF(L1444&gt;0,1,"")</f>
        <v>1</v>
      </c>
      <c r="O1444" s="11" t="s">
        <v>1702</v>
      </c>
      <c r="P1444" s="16" t="str">
        <f>IF(LEN(G1444)=10,CONCATENATE("0",G1444),G1444)</f>
        <v>06-Dec-1910</v>
      </c>
      <c r="R1444" s="16" t="str">
        <f t="shared" si="627"/>
        <v>x</v>
      </c>
      <c r="S1444" s="16" t="str">
        <f t="shared" si="627"/>
        <v>x</v>
      </c>
      <c r="U1444" s="46" t="str">
        <f t="shared" si="626"/>
        <v/>
      </c>
      <c r="V1444" s="46">
        <f t="shared" si="626"/>
        <v>25</v>
      </c>
      <c r="W1444" s="46" t="str">
        <f t="shared" si="626"/>
        <v/>
      </c>
      <c r="X1444" s="46" t="str">
        <f t="shared" si="626"/>
        <v/>
      </c>
    </row>
    <row r="1445" spans="2:24" x14ac:dyDescent="0.25">
      <c r="N1445" s="8" t="str">
        <f>IF(R1445="x",1,"")</f>
        <v/>
      </c>
      <c r="U1445" s="46" t="str">
        <f t="shared" si="626"/>
        <v/>
      </c>
      <c r="V1445" s="46" t="str">
        <f t="shared" si="626"/>
        <v/>
      </c>
      <c r="W1445" s="46" t="str">
        <f t="shared" si="626"/>
        <v/>
      </c>
      <c r="X1445" s="46" t="str">
        <f t="shared" si="626"/>
        <v/>
      </c>
    </row>
    <row r="1446" spans="2:24" x14ac:dyDescent="0.25">
      <c r="B1446" s="18"/>
      <c r="C1446" s="18"/>
      <c r="D1446" s="18"/>
      <c r="E1446" s="40"/>
      <c r="F1446" s="18"/>
      <c r="G1446" s="40"/>
      <c r="H1446" s="7">
        <f t="shared" ref="H1446:N1446" si="628">SUM(H1441:H1445)</f>
        <v>0</v>
      </c>
      <c r="I1446" s="7">
        <f t="shared" si="628"/>
        <v>0</v>
      </c>
      <c r="J1446" s="7">
        <f>SUM(J1441:J1445)</f>
        <v>91</v>
      </c>
      <c r="K1446" s="7">
        <f t="shared" si="628"/>
        <v>0</v>
      </c>
      <c r="L1446" s="7">
        <f t="shared" si="628"/>
        <v>91</v>
      </c>
      <c r="M1446" s="7">
        <f t="shared" si="628"/>
        <v>4</v>
      </c>
      <c r="N1446" s="7">
        <f t="shared" si="628"/>
        <v>4</v>
      </c>
      <c r="O1446" s="18"/>
      <c r="P1446" s="13"/>
      <c r="Q1446" s="13"/>
      <c r="S1446" s="13"/>
      <c r="T1446" s="15"/>
      <c r="U1446" s="46" t="str">
        <f t="shared" si="626"/>
        <v/>
      </c>
      <c r="V1446" s="46" t="str">
        <f t="shared" si="626"/>
        <v/>
      </c>
      <c r="W1446" s="46" t="str">
        <f t="shared" si="626"/>
        <v/>
      </c>
      <c r="X1446" s="46" t="str">
        <f t="shared" si="626"/>
        <v/>
      </c>
    </row>
    <row r="1447" spans="2:24" x14ac:dyDescent="0.25">
      <c r="B1447" s="18"/>
      <c r="C1447" s="18"/>
      <c r="D1447" s="18"/>
      <c r="E1447" s="40"/>
      <c r="F1447" s="18"/>
      <c r="G1447" s="40"/>
      <c r="N1447" s="8" t="str">
        <f>IF(R1447="x",1,"")</f>
        <v/>
      </c>
      <c r="O1447" s="18"/>
      <c r="P1447" s="13"/>
      <c r="Q1447" s="13"/>
      <c r="R1447" s="13"/>
      <c r="S1447" s="13"/>
      <c r="T1447" s="15"/>
      <c r="U1447" s="46" t="str">
        <f t="shared" ref="U1447:X1454" si="629">IF($O1447=U$5,$L1447,"")</f>
        <v/>
      </c>
      <c r="V1447" s="46" t="str">
        <f t="shared" si="629"/>
        <v/>
      </c>
      <c r="W1447" s="46" t="str">
        <f t="shared" si="629"/>
        <v/>
      </c>
      <c r="X1447" s="46" t="str">
        <f t="shared" si="629"/>
        <v/>
      </c>
    </row>
    <row r="1448" spans="2:24" x14ac:dyDescent="0.25">
      <c r="B1448" s="18"/>
      <c r="C1448" s="18"/>
      <c r="D1448" s="18"/>
      <c r="E1448" s="40"/>
      <c r="F1448" s="18"/>
      <c r="G1448" s="40"/>
      <c r="N1448" s="8" t="str">
        <f>IF(R1448="x",1,"")</f>
        <v/>
      </c>
      <c r="O1448" s="18"/>
      <c r="P1448" s="13"/>
      <c r="Q1448" s="13"/>
      <c r="R1448" s="13"/>
      <c r="S1448" s="13"/>
      <c r="T1448" s="15"/>
      <c r="U1448" s="46" t="str">
        <f t="shared" si="629"/>
        <v/>
      </c>
      <c r="V1448" s="46" t="str">
        <f t="shared" si="629"/>
        <v/>
      </c>
      <c r="W1448" s="46" t="str">
        <f t="shared" si="629"/>
        <v/>
      </c>
      <c r="X1448" s="46" t="str">
        <f t="shared" si="629"/>
        <v/>
      </c>
    </row>
    <row r="1449" spans="2:24" x14ac:dyDescent="0.25">
      <c r="B1449" s="11" t="str">
        <f>CONCATENATE("DWIN","-",LEFT(P1449,2),UPPER(MID(P1449,4,3)),RIGHT(P1449,4))</f>
        <v>DWIN-28OCT1915</v>
      </c>
      <c r="C1449" s="11" t="s">
        <v>5291</v>
      </c>
      <c r="D1449" s="11" t="s">
        <v>4043</v>
      </c>
      <c r="E1449" s="39" t="s">
        <v>5292</v>
      </c>
      <c r="F1449" s="11" t="s">
        <v>1700</v>
      </c>
      <c r="G1449" s="39" t="s">
        <v>5293</v>
      </c>
      <c r="H1449" s="7">
        <v>0</v>
      </c>
      <c r="I1449" s="7">
        <v>5</v>
      </c>
      <c r="J1449" s="17">
        <v>5</v>
      </c>
      <c r="K1449" s="17"/>
      <c r="L1449" s="7">
        <f>SUM(H1449:K1449)</f>
        <v>10</v>
      </c>
      <c r="M1449" s="8">
        <v>1</v>
      </c>
      <c r="N1449" s="8">
        <f>IF(L1449&gt;0,1,"")</f>
        <v>1</v>
      </c>
      <c r="O1449" s="11" t="s">
        <v>1702</v>
      </c>
      <c r="P1449" s="16" t="str">
        <f>IF(LEN(G1449)=10,CONCATENATE("0",G1449),G1449)</f>
        <v>28-Oct-1915</v>
      </c>
      <c r="R1449" s="16" t="str">
        <f>IF($L1449&gt;0,"x","")</f>
        <v>x</v>
      </c>
      <c r="S1449" s="16" t="str">
        <f>IF($L1449&gt;0,"x","")</f>
        <v>x</v>
      </c>
      <c r="U1449" s="46" t="str">
        <f t="shared" si="629"/>
        <v/>
      </c>
      <c r="V1449" s="46">
        <f t="shared" si="629"/>
        <v>10</v>
      </c>
      <c r="W1449" s="46" t="str">
        <f t="shared" si="629"/>
        <v/>
      </c>
      <c r="X1449" s="46" t="str">
        <f t="shared" si="629"/>
        <v/>
      </c>
    </row>
    <row r="1450" spans="2:24" x14ac:dyDescent="0.25">
      <c r="N1450" s="8" t="str">
        <f>IF(R1450="x",1,"")</f>
        <v/>
      </c>
      <c r="U1450" s="46" t="str">
        <f t="shared" si="629"/>
        <v/>
      </c>
      <c r="V1450" s="46" t="str">
        <f t="shared" si="629"/>
        <v/>
      </c>
      <c r="W1450" s="46" t="str">
        <f t="shared" si="629"/>
        <v/>
      </c>
      <c r="X1450" s="46" t="str">
        <f t="shared" si="629"/>
        <v/>
      </c>
    </row>
    <row r="1451" spans="2:24" x14ac:dyDescent="0.25">
      <c r="B1451" s="18"/>
      <c r="C1451" s="18"/>
      <c r="D1451" s="18"/>
      <c r="E1451" s="40"/>
      <c r="F1451" s="18"/>
      <c r="G1451" s="40"/>
      <c r="H1451" s="7">
        <f t="shared" ref="H1451:N1451" si="630">SUM(H1449:H1450)</f>
        <v>0</v>
      </c>
      <c r="I1451" s="7">
        <f t="shared" si="630"/>
        <v>5</v>
      </c>
      <c r="J1451" s="7">
        <f>SUM(J1449:J1450)</f>
        <v>5</v>
      </c>
      <c r="K1451" s="7">
        <f t="shared" si="630"/>
        <v>0</v>
      </c>
      <c r="L1451" s="7">
        <f t="shared" si="630"/>
        <v>10</v>
      </c>
      <c r="M1451" s="7">
        <f t="shared" si="630"/>
        <v>1</v>
      </c>
      <c r="N1451" s="7">
        <f t="shared" si="630"/>
        <v>1</v>
      </c>
      <c r="O1451" s="18"/>
      <c r="P1451" s="13"/>
      <c r="Q1451" s="13"/>
      <c r="S1451" s="13"/>
      <c r="T1451" s="15"/>
      <c r="U1451" s="46" t="str">
        <f t="shared" si="629"/>
        <v/>
      </c>
      <c r="V1451" s="46" t="str">
        <f t="shared" si="629"/>
        <v/>
      </c>
      <c r="W1451" s="46" t="str">
        <f t="shared" si="629"/>
        <v/>
      </c>
      <c r="X1451" s="46" t="str">
        <f t="shared" si="629"/>
        <v/>
      </c>
    </row>
    <row r="1452" spans="2:24" x14ac:dyDescent="0.25">
      <c r="B1452" s="18"/>
      <c r="C1452" s="18"/>
      <c r="D1452" s="18"/>
      <c r="E1452" s="40"/>
      <c r="F1452" s="18"/>
      <c r="G1452" s="40"/>
      <c r="N1452" s="8" t="str">
        <f>IF(R1452="x",1,"")</f>
        <v/>
      </c>
      <c r="O1452" s="18"/>
      <c r="P1452" s="13"/>
      <c r="Q1452" s="13"/>
      <c r="R1452" s="13"/>
      <c r="S1452" s="13"/>
      <c r="T1452" s="15"/>
      <c r="U1452" s="46" t="str">
        <f t="shared" si="629"/>
        <v/>
      </c>
      <c r="V1452" s="46" t="str">
        <f t="shared" si="629"/>
        <v/>
      </c>
      <c r="W1452" s="46" t="str">
        <f t="shared" si="629"/>
        <v/>
      </c>
      <c r="X1452" s="46" t="str">
        <f t="shared" si="629"/>
        <v/>
      </c>
    </row>
    <row r="1453" spans="2:24" x14ac:dyDescent="0.25">
      <c r="B1453" s="18"/>
      <c r="C1453" s="18"/>
      <c r="D1453" s="18"/>
      <c r="E1453" s="40"/>
      <c r="F1453" s="18"/>
      <c r="G1453" s="40"/>
      <c r="N1453" s="8" t="str">
        <f>IF(R1453="x",1,"")</f>
        <v/>
      </c>
      <c r="O1453" s="18"/>
      <c r="P1453" s="13"/>
      <c r="Q1453" s="13"/>
      <c r="R1453" s="13"/>
      <c r="S1453" s="13"/>
      <c r="T1453" s="15"/>
      <c r="U1453" s="46" t="str">
        <f t="shared" si="629"/>
        <v/>
      </c>
      <c r="V1453" s="46" t="str">
        <f t="shared" si="629"/>
        <v/>
      </c>
      <c r="W1453" s="46" t="str">
        <f t="shared" si="629"/>
        <v/>
      </c>
      <c r="X1453" s="46" t="str">
        <f t="shared" si="629"/>
        <v/>
      </c>
    </row>
    <row r="1454" spans="2:24" x14ac:dyDescent="0.25">
      <c r="B1454" s="11" t="str">
        <f>CONCATENATE("EDAM","-",LEFT(P1454,2),UPPER(MID(P1454,4,3)),RIGHT(P1454,4))</f>
        <v>EDAM-28JUL1884</v>
      </c>
      <c r="C1454" s="11" t="s">
        <v>4075</v>
      </c>
      <c r="D1454" s="11" t="s">
        <v>3462</v>
      </c>
      <c r="F1454" s="11" t="s">
        <v>1700</v>
      </c>
      <c r="G1454" s="39" t="s">
        <v>4827</v>
      </c>
      <c r="J1454" s="17">
        <v>8</v>
      </c>
      <c r="K1454" s="17"/>
      <c r="L1454" s="7">
        <f>SUM(H1454:K1454)</f>
        <v>8</v>
      </c>
      <c r="M1454" s="8">
        <v>1</v>
      </c>
      <c r="N1454" s="8">
        <f>IF(L1454&gt;0,1,"")</f>
        <v>1</v>
      </c>
      <c r="O1454" s="11" t="s">
        <v>1702</v>
      </c>
      <c r="P1454" s="16" t="str">
        <f>IF(LEN(G1454)=10,CONCATENATE("0",G1454),G1454)</f>
        <v>28-Jul-1884</v>
      </c>
      <c r="R1454" s="16" t="str">
        <f t="shared" ref="R1454:S1458" si="631">IF($L1454&gt;0,"x","")</f>
        <v>x</v>
      </c>
      <c r="S1454" s="16" t="str">
        <f t="shared" si="631"/>
        <v>x</v>
      </c>
      <c r="U1454" s="46" t="str">
        <f t="shared" si="629"/>
        <v/>
      </c>
      <c r="V1454" s="46">
        <f t="shared" si="629"/>
        <v>8</v>
      </c>
      <c r="W1454" s="46" t="str">
        <f t="shared" si="629"/>
        <v/>
      </c>
      <c r="X1454" s="46" t="str">
        <f t="shared" si="629"/>
        <v/>
      </c>
    </row>
    <row r="1455" spans="2:24" x14ac:dyDescent="0.25">
      <c r="B1455" s="11" t="str">
        <f>CONCATENATE("EDAM","-",LEFT(P1455,2),UPPER(MID(P1455,4,3)),RIGHT(P1455,4))</f>
        <v>EDAM-10DEC1889</v>
      </c>
      <c r="C1455" s="11" t="s">
        <v>4075</v>
      </c>
      <c r="D1455" s="11" t="s">
        <v>2103</v>
      </c>
      <c r="F1455" s="11" t="s">
        <v>1700</v>
      </c>
      <c r="G1455" s="39" t="s">
        <v>5389</v>
      </c>
      <c r="H1455" s="7">
        <v>0</v>
      </c>
      <c r="I1455" s="7">
        <v>0</v>
      </c>
      <c r="J1455" s="17">
        <v>33</v>
      </c>
      <c r="K1455" s="17"/>
      <c r="L1455" s="7">
        <f>SUM(H1455:K1455)</f>
        <v>33</v>
      </c>
      <c r="M1455" s="8">
        <v>1</v>
      </c>
      <c r="N1455" s="8">
        <f>IF(L1455&gt;0,1,"")</f>
        <v>1</v>
      </c>
      <c r="O1455" s="11" t="s">
        <v>1702</v>
      </c>
      <c r="P1455" s="16" t="str">
        <f>IF(LEN(G1455)=10,CONCATENATE("0",G1455),G1455)</f>
        <v>10-Dec-1889</v>
      </c>
      <c r="R1455" s="16" t="str">
        <f>IF($L1455&gt;0,"x","")</f>
        <v>x</v>
      </c>
      <c r="S1455" s="16" t="str">
        <f>IF($L1455&gt;0,"x","")</f>
        <v>x</v>
      </c>
      <c r="U1455" s="46" t="str">
        <f t="shared" ref="U1455:X1458" si="632">IF($O1455=U$5,$L1455,"")</f>
        <v/>
      </c>
      <c r="V1455" s="46">
        <f t="shared" si="632"/>
        <v>33</v>
      </c>
      <c r="W1455" s="46" t="str">
        <f t="shared" si="632"/>
        <v/>
      </c>
      <c r="X1455" s="46" t="str">
        <f t="shared" si="632"/>
        <v/>
      </c>
    </row>
    <row r="1456" spans="2:24" x14ac:dyDescent="0.25">
      <c r="B1456" s="11" t="str">
        <f>CONCATENATE("EDAM","-",LEFT(P1456,2),UPPER(MID(P1456,4,3)),RIGHT(P1456,4))</f>
        <v>EDAM-16DEC1892</v>
      </c>
      <c r="C1456" s="11" t="s">
        <v>4075</v>
      </c>
      <c r="D1456" s="11" t="s">
        <v>2103</v>
      </c>
      <c r="F1456" s="11" t="s">
        <v>1700</v>
      </c>
      <c r="G1456" s="39" t="s">
        <v>4847</v>
      </c>
      <c r="J1456" s="17">
        <v>13</v>
      </c>
      <c r="K1456" s="17"/>
      <c r="L1456" s="7">
        <f>SUM(H1456:K1456)</f>
        <v>13</v>
      </c>
      <c r="M1456" s="8">
        <v>1</v>
      </c>
      <c r="N1456" s="8">
        <f>IF(L1456&gt;0,1,"")</f>
        <v>1</v>
      </c>
      <c r="O1456" s="11" t="s">
        <v>1702</v>
      </c>
      <c r="P1456" s="16" t="str">
        <f>IF(LEN(G1456)=10,CONCATENATE("0",G1456),G1456)</f>
        <v>16-Dec-1892</v>
      </c>
      <c r="R1456" s="16" t="str">
        <f t="shared" si="631"/>
        <v>x</v>
      </c>
      <c r="S1456" s="16" t="str">
        <f t="shared" si="631"/>
        <v>x</v>
      </c>
      <c r="U1456" s="46" t="str">
        <f t="shared" si="632"/>
        <v/>
      </c>
      <c r="V1456" s="46">
        <f t="shared" si="632"/>
        <v>13</v>
      </c>
      <c r="W1456" s="46" t="str">
        <f t="shared" si="632"/>
        <v/>
      </c>
      <c r="X1456" s="46" t="str">
        <f t="shared" si="632"/>
        <v/>
      </c>
    </row>
    <row r="1457" spans="2:24" x14ac:dyDescent="0.25">
      <c r="B1457" s="11" t="str">
        <f>CONCATENATE("EDAM","-",LEFT(P1457,2),UPPER(MID(P1457,4,3)),RIGHT(P1457,4))</f>
        <v>EDAM-20DEC1897</v>
      </c>
      <c r="C1457" s="11" t="s">
        <v>4075</v>
      </c>
      <c r="D1457" s="11" t="s">
        <v>2103</v>
      </c>
      <c r="E1457" s="39" t="s">
        <v>457</v>
      </c>
      <c r="F1457" s="11" t="s">
        <v>1700</v>
      </c>
      <c r="G1457" s="39" t="s">
        <v>547</v>
      </c>
      <c r="J1457" s="17">
        <v>30</v>
      </c>
      <c r="K1457" s="17"/>
      <c r="L1457" s="7">
        <f>SUM(H1457:K1457)</f>
        <v>30</v>
      </c>
      <c r="M1457" s="8">
        <v>1</v>
      </c>
      <c r="N1457" s="8">
        <f>IF(L1457&gt;0,1,"")</f>
        <v>1</v>
      </c>
      <c r="O1457" s="11" t="s">
        <v>1702</v>
      </c>
      <c r="P1457" s="16" t="str">
        <f>IF(LEN(G1457)=10,CONCATENATE("0",G1457),G1457)</f>
        <v>20-Dec-1897</v>
      </c>
      <c r="R1457" s="16" t="str">
        <f t="shared" si="631"/>
        <v>x</v>
      </c>
      <c r="S1457" s="16" t="str">
        <f t="shared" si="631"/>
        <v>x</v>
      </c>
      <c r="U1457" s="46" t="str">
        <f t="shared" si="632"/>
        <v/>
      </c>
      <c r="V1457" s="46">
        <f t="shared" si="632"/>
        <v>30</v>
      </c>
      <c r="W1457" s="46" t="str">
        <f t="shared" si="632"/>
        <v/>
      </c>
      <c r="X1457" s="46" t="str">
        <f t="shared" si="632"/>
        <v/>
      </c>
    </row>
    <row r="1458" spans="2:24" x14ac:dyDescent="0.25">
      <c r="B1458" s="11" t="str">
        <f>CONCATENATE("EDAM","-",LEFT(P1458,2),UPPER(MID(P1458,4,3)),RIGHT(P1458,4))</f>
        <v>EDAM-05FEB1899</v>
      </c>
      <c r="C1458" s="11" t="s">
        <v>4075</v>
      </c>
      <c r="D1458" s="11" t="s">
        <v>2103</v>
      </c>
      <c r="E1458" s="39" t="s">
        <v>5609</v>
      </c>
      <c r="F1458" s="11" t="s">
        <v>1700</v>
      </c>
      <c r="G1458" s="39" t="s">
        <v>5610</v>
      </c>
      <c r="J1458" s="17">
        <v>16</v>
      </c>
      <c r="K1458" s="17"/>
      <c r="L1458" s="7">
        <f>SUM(H1458:K1458)</f>
        <v>16</v>
      </c>
      <c r="M1458" s="8">
        <v>1</v>
      </c>
      <c r="N1458" s="8">
        <f>IF(L1458&gt;0,1,"")</f>
        <v>1</v>
      </c>
      <c r="O1458" s="11" t="s">
        <v>1702</v>
      </c>
      <c r="P1458" s="16" t="str">
        <f>IF(LEN(G1458)=10,CONCATENATE("0",G1458),G1458)</f>
        <v>05-Feb-1899</v>
      </c>
      <c r="R1458" s="16" t="str">
        <f t="shared" si="631"/>
        <v>x</v>
      </c>
      <c r="S1458" s="16" t="str">
        <f t="shared" si="631"/>
        <v>x</v>
      </c>
      <c r="U1458" s="46" t="str">
        <f t="shared" si="632"/>
        <v/>
      </c>
      <c r="V1458" s="46">
        <f t="shared" si="632"/>
        <v>16</v>
      </c>
      <c r="W1458" s="46" t="str">
        <f t="shared" si="632"/>
        <v/>
      </c>
      <c r="X1458" s="46" t="str">
        <f t="shared" si="632"/>
        <v/>
      </c>
    </row>
    <row r="1459" spans="2:24" x14ac:dyDescent="0.25">
      <c r="N1459" s="8" t="str">
        <f>IF(R1459="x",1,"")</f>
        <v/>
      </c>
      <c r="U1459" s="46" t="str">
        <f t="shared" ref="U1459:X1460" si="633">IF($O1459=U$5,$L1459,"")</f>
        <v/>
      </c>
      <c r="V1459" s="46" t="str">
        <f t="shared" si="633"/>
        <v/>
      </c>
      <c r="W1459" s="46" t="str">
        <f t="shared" si="633"/>
        <v/>
      </c>
      <c r="X1459" s="46" t="str">
        <f t="shared" si="633"/>
        <v/>
      </c>
    </row>
    <row r="1460" spans="2:24" x14ac:dyDescent="0.25">
      <c r="B1460" s="18"/>
      <c r="C1460" s="18"/>
      <c r="D1460" s="18"/>
      <c r="E1460" s="40"/>
      <c r="F1460" s="18"/>
      <c r="G1460" s="40"/>
      <c r="H1460" s="7">
        <f t="shared" ref="H1460:N1460" si="634">SUM(H1454:H1459)</f>
        <v>0</v>
      </c>
      <c r="I1460" s="7">
        <f t="shared" si="634"/>
        <v>0</v>
      </c>
      <c r="J1460" s="7">
        <f>SUM(J1454:J1459)</f>
        <v>100</v>
      </c>
      <c r="K1460" s="7">
        <f t="shared" si="634"/>
        <v>0</v>
      </c>
      <c r="L1460" s="7">
        <f t="shared" si="634"/>
        <v>100</v>
      </c>
      <c r="M1460" s="7">
        <f t="shared" si="634"/>
        <v>5</v>
      </c>
      <c r="N1460" s="7">
        <f t="shared" si="634"/>
        <v>5</v>
      </c>
      <c r="O1460" s="18"/>
      <c r="P1460" s="13"/>
      <c r="Q1460" s="13"/>
      <c r="S1460" s="13"/>
      <c r="T1460" s="15"/>
      <c r="U1460" s="46" t="str">
        <f t="shared" si="633"/>
        <v/>
      </c>
      <c r="V1460" s="46" t="str">
        <f t="shared" si="633"/>
        <v/>
      </c>
      <c r="W1460" s="46" t="str">
        <f t="shared" si="633"/>
        <v/>
      </c>
      <c r="X1460" s="46" t="str">
        <f t="shared" si="633"/>
        <v/>
      </c>
    </row>
    <row r="1461" spans="2:24" x14ac:dyDescent="0.25">
      <c r="B1461" s="18"/>
      <c r="C1461" s="18"/>
      <c r="D1461" s="18"/>
      <c r="E1461" s="40"/>
      <c r="F1461" s="18"/>
      <c r="G1461" s="40"/>
      <c r="N1461" s="8" t="str">
        <f>IF(R1461="x",1,"")</f>
        <v/>
      </c>
      <c r="O1461" s="18"/>
      <c r="P1461" s="13"/>
      <c r="Q1461" s="13"/>
      <c r="R1461" s="13"/>
      <c r="S1461" s="13"/>
      <c r="T1461" s="15"/>
      <c r="U1461" s="46" t="str">
        <f t="shared" ref="U1461:X1477" si="635">IF($O1461=U$5,$L1461,"")</f>
        <v/>
      </c>
      <c r="V1461" s="46" t="str">
        <f t="shared" si="635"/>
        <v/>
      </c>
      <c r="W1461" s="46" t="str">
        <f t="shared" si="635"/>
        <v/>
      </c>
      <c r="X1461" s="46" t="str">
        <f t="shared" si="635"/>
        <v/>
      </c>
    </row>
    <row r="1462" spans="2:24" x14ac:dyDescent="0.25">
      <c r="B1462" s="18"/>
      <c r="C1462" s="18"/>
      <c r="D1462" s="18"/>
      <c r="E1462" s="40"/>
      <c r="F1462" s="18"/>
      <c r="G1462" s="40"/>
      <c r="N1462" s="8" t="str">
        <f>IF(R1462="x",1,"")</f>
        <v/>
      </c>
      <c r="O1462" s="18"/>
      <c r="P1462" s="13"/>
      <c r="Q1462" s="13"/>
      <c r="R1462" s="13"/>
      <c r="S1462" s="13"/>
      <c r="T1462" s="15"/>
      <c r="U1462" s="46" t="str">
        <f t="shared" si="635"/>
        <v/>
      </c>
      <c r="V1462" s="46" t="str">
        <f t="shared" si="635"/>
        <v/>
      </c>
      <c r="W1462" s="46" t="str">
        <f t="shared" si="635"/>
        <v/>
      </c>
      <c r="X1462" s="46" t="str">
        <f t="shared" si="635"/>
        <v/>
      </c>
    </row>
    <row r="1463" spans="2:24" x14ac:dyDescent="0.25">
      <c r="B1463" s="11" t="str">
        <f>CONCATENATE("EDEL","-",LEFT(P1463,2),UPPER(MID(P1463,4,3)),RIGHT(P1463,4))</f>
        <v>EDEL-07SEP1920</v>
      </c>
      <c r="C1463" s="11" t="s">
        <v>6229</v>
      </c>
      <c r="D1463" s="11" t="s">
        <v>1906</v>
      </c>
      <c r="E1463" s="39" t="s">
        <v>4129</v>
      </c>
      <c r="F1463" s="11" t="s">
        <v>1700</v>
      </c>
      <c r="G1463" s="39" t="s">
        <v>5422</v>
      </c>
      <c r="H1463" s="7">
        <v>9</v>
      </c>
      <c r="J1463" s="17">
        <v>87</v>
      </c>
      <c r="K1463" s="17"/>
      <c r="L1463" s="7">
        <f>SUM(H1463:K1463)</f>
        <v>96</v>
      </c>
      <c r="M1463" s="8">
        <v>1</v>
      </c>
      <c r="N1463" s="8">
        <f>IF(L1463&gt;0,1,"")</f>
        <v>1</v>
      </c>
      <c r="O1463" s="11" t="s">
        <v>1702</v>
      </c>
      <c r="P1463" s="16" t="str">
        <f>IF(LEN(G1463)=10,CONCATENATE("0",G1463),G1463)</f>
        <v>07-Sep-1920</v>
      </c>
      <c r="R1463" s="16" t="str">
        <f>IF($L1463&gt;0,"x","")</f>
        <v>x</v>
      </c>
      <c r="S1463" s="16" t="str">
        <f>IF($L1463&gt;0,"x","")</f>
        <v>x</v>
      </c>
      <c r="U1463" s="46" t="str">
        <f t="shared" si="635"/>
        <v/>
      </c>
      <c r="V1463" s="46">
        <f t="shared" si="635"/>
        <v>96</v>
      </c>
      <c r="W1463" s="46" t="str">
        <f t="shared" si="635"/>
        <v/>
      </c>
      <c r="X1463" s="46" t="str">
        <f t="shared" si="635"/>
        <v/>
      </c>
    </row>
    <row r="1464" spans="2:24" x14ac:dyDescent="0.25">
      <c r="N1464" s="8" t="str">
        <f>IF(R1464="x",1,"")</f>
        <v/>
      </c>
      <c r="U1464" s="46" t="str">
        <f t="shared" si="635"/>
        <v/>
      </c>
      <c r="V1464" s="46" t="str">
        <f t="shared" si="635"/>
        <v/>
      </c>
      <c r="W1464" s="46" t="str">
        <f t="shared" si="635"/>
        <v/>
      </c>
      <c r="X1464" s="46" t="str">
        <f t="shared" si="635"/>
        <v/>
      </c>
    </row>
    <row r="1465" spans="2:24" x14ac:dyDescent="0.25">
      <c r="B1465" s="18"/>
      <c r="C1465" s="18"/>
      <c r="D1465" s="18"/>
      <c r="E1465" s="40"/>
      <c r="F1465" s="18"/>
      <c r="G1465" s="40"/>
      <c r="H1465" s="7">
        <f t="shared" ref="H1465:N1465" si="636">SUM(H1463:H1464)</f>
        <v>9</v>
      </c>
      <c r="I1465" s="7">
        <f t="shared" si="636"/>
        <v>0</v>
      </c>
      <c r="J1465" s="7">
        <f>SUM(J1463:J1464)</f>
        <v>87</v>
      </c>
      <c r="K1465" s="7">
        <f t="shared" si="636"/>
        <v>0</v>
      </c>
      <c r="L1465" s="7">
        <f t="shared" si="636"/>
        <v>96</v>
      </c>
      <c r="M1465" s="7">
        <f t="shared" si="636"/>
        <v>1</v>
      </c>
      <c r="N1465" s="7">
        <f t="shared" si="636"/>
        <v>1</v>
      </c>
      <c r="O1465" s="18"/>
      <c r="P1465" s="13"/>
      <c r="Q1465" s="13"/>
      <c r="S1465" s="13"/>
      <c r="T1465" s="15"/>
      <c r="U1465" s="46" t="str">
        <f t="shared" si="635"/>
        <v/>
      </c>
      <c r="V1465" s="46" t="str">
        <f t="shared" si="635"/>
        <v/>
      </c>
      <c r="W1465" s="46" t="str">
        <f t="shared" si="635"/>
        <v/>
      </c>
      <c r="X1465" s="46" t="str">
        <f t="shared" si="635"/>
        <v/>
      </c>
    </row>
    <row r="1466" spans="2:24" x14ac:dyDescent="0.25">
      <c r="B1466" s="18"/>
      <c r="C1466" s="18"/>
      <c r="D1466" s="18"/>
      <c r="E1466" s="40"/>
      <c r="F1466" s="18"/>
      <c r="G1466" s="40"/>
      <c r="N1466" s="8" t="str">
        <f>IF(R1466="x",1,"")</f>
        <v/>
      </c>
      <c r="O1466" s="18"/>
      <c r="P1466" s="13"/>
      <c r="Q1466" s="13"/>
      <c r="R1466" s="13"/>
      <c r="S1466" s="13"/>
      <c r="T1466" s="15"/>
      <c r="U1466" s="46" t="str">
        <f t="shared" si="635"/>
        <v/>
      </c>
      <c r="V1466" s="46" t="str">
        <f t="shared" si="635"/>
        <v/>
      </c>
      <c r="W1466" s="46" t="str">
        <f t="shared" si="635"/>
        <v/>
      </c>
      <c r="X1466" s="46" t="str">
        <f t="shared" si="635"/>
        <v/>
      </c>
    </row>
    <row r="1467" spans="2:24" x14ac:dyDescent="0.25">
      <c r="B1467" s="18"/>
      <c r="C1467" s="18"/>
      <c r="D1467" s="18"/>
      <c r="E1467" s="40"/>
      <c r="F1467" s="18"/>
      <c r="G1467" s="40"/>
      <c r="N1467" s="8" t="str">
        <f>IF(R1467="x",1,"")</f>
        <v/>
      </c>
      <c r="O1467" s="18"/>
      <c r="P1467" s="13"/>
      <c r="Q1467" s="13"/>
      <c r="R1467" s="13"/>
      <c r="S1467" s="13"/>
      <c r="T1467" s="15"/>
      <c r="U1467" s="46" t="str">
        <f t="shared" si="635"/>
        <v/>
      </c>
      <c r="V1467" s="46" t="str">
        <f t="shared" si="635"/>
        <v/>
      </c>
      <c r="W1467" s="46" t="str">
        <f t="shared" si="635"/>
        <v/>
      </c>
      <c r="X1467" s="46" t="str">
        <f t="shared" si="635"/>
        <v/>
      </c>
    </row>
    <row r="1468" spans="2:24" x14ac:dyDescent="0.25">
      <c r="B1468" s="11" t="str">
        <f>CONCATENATE("EDSN","-",LEFT(P1468,2),UPPER(MID(P1468,4,3)),RIGHT(P1468,4))</f>
        <v>EDSN-27NOV1925</v>
      </c>
      <c r="C1468" s="11" t="s">
        <v>6230</v>
      </c>
      <c r="D1468" s="11" t="s">
        <v>847</v>
      </c>
      <c r="E1468" s="39" t="s">
        <v>11400</v>
      </c>
      <c r="F1468" s="11" t="s">
        <v>1700</v>
      </c>
      <c r="G1468" s="39" t="s">
        <v>11406</v>
      </c>
      <c r="H1468" s="7">
        <v>0</v>
      </c>
      <c r="I1468" s="7">
        <v>0</v>
      </c>
      <c r="J1468" s="17">
        <v>4</v>
      </c>
      <c r="K1468" s="17"/>
      <c r="L1468" s="7">
        <f>SUM(H1468:K1468)</f>
        <v>4</v>
      </c>
      <c r="M1468" s="8">
        <v>1</v>
      </c>
      <c r="N1468" s="8">
        <f>IF(L1468&gt;0,1,"")</f>
        <v>1</v>
      </c>
      <c r="O1468" s="11" t="s">
        <v>1702</v>
      </c>
      <c r="P1468" s="16" t="str">
        <f>IF(LEN(G1468)=10,CONCATENATE("0",G1468),G1468)</f>
        <v>27-Nov-1925</v>
      </c>
      <c r="R1468" s="16" t="str">
        <f>IF($L1468&gt;0,"x","")</f>
        <v>x</v>
      </c>
      <c r="S1468" s="16" t="str">
        <f>IF($L1468&gt;0,"x","")</f>
        <v>x</v>
      </c>
      <c r="U1468" s="46" t="str">
        <f t="shared" si="635"/>
        <v/>
      </c>
      <c r="V1468" s="46">
        <f t="shared" si="635"/>
        <v>4</v>
      </c>
      <c r="W1468" s="46" t="str">
        <f t="shared" si="635"/>
        <v/>
      </c>
      <c r="X1468" s="46" t="str">
        <f t="shared" si="635"/>
        <v/>
      </c>
    </row>
    <row r="1469" spans="2:24" x14ac:dyDescent="0.25">
      <c r="B1469" s="11" t="str">
        <f>CONCATENATE("EDSN","-",LEFT(P1469,2),UPPER(MID(P1469,4,3)),RIGHT(P1469,4))</f>
        <v>EDSN-03DEC1929</v>
      </c>
      <c r="C1469" s="11" t="s">
        <v>6230</v>
      </c>
      <c r="D1469" s="11" t="s">
        <v>847</v>
      </c>
      <c r="E1469" s="39" t="s">
        <v>11247</v>
      </c>
      <c r="F1469" s="11" t="s">
        <v>1700</v>
      </c>
      <c r="G1469" s="39" t="s">
        <v>11246</v>
      </c>
      <c r="H1469" s="7">
        <v>0</v>
      </c>
      <c r="I1469" s="7">
        <v>7</v>
      </c>
      <c r="J1469" s="17">
        <v>1</v>
      </c>
      <c r="K1469" s="17"/>
      <c r="L1469" s="7">
        <f>SUM(H1469:K1469)</f>
        <v>8</v>
      </c>
      <c r="M1469" s="8">
        <v>1</v>
      </c>
      <c r="N1469" s="8">
        <f>IF(L1469&gt;0,1,"")</f>
        <v>1</v>
      </c>
      <c r="O1469" s="11" t="s">
        <v>1702</v>
      </c>
      <c r="P1469" s="16" t="str">
        <f>IF(LEN(G1469)=10,CONCATENATE("0",G1469),G1469)</f>
        <v>03-Dec-1929</v>
      </c>
      <c r="R1469" s="16" t="str">
        <f>IF($L1469&gt;0,"x","")</f>
        <v>x</v>
      </c>
      <c r="S1469" s="16" t="str">
        <f>IF($L1469&gt;0,"x","")</f>
        <v>x</v>
      </c>
      <c r="U1469" s="46" t="str">
        <f t="shared" si="635"/>
        <v/>
      </c>
      <c r="V1469" s="46">
        <f t="shared" si="635"/>
        <v>8</v>
      </c>
      <c r="W1469" s="46" t="str">
        <f t="shared" si="635"/>
        <v/>
      </c>
      <c r="X1469" s="46" t="str">
        <f t="shared" si="635"/>
        <v/>
      </c>
    </row>
    <row r="1470" spans="2:24" x14ac:dyDescent="0.25">
      <c r="B1470" s="11" t="str">
        <f>CONCATENATE("EDSN","-",LEFT(P1470,2),UPPER(MID(P1470,4,3)),RIGHT(P1470,4))</f>
        <v>EDSN-15AUG1930</v>
      </c>
      <c r="C1470" s="11" t="s">
        <v>6230</v>
      </c>
      <c r="D1470" s="11" t="s">
        <v>3056</v>
      </c>
      <c r="E1470" s="39" t="s">
        <v>6231</v>
      </c>
      <c r="F1470" s="11" t="s">
        <v>1700</v>
      </c>
      <c r="G1470" s="39" t="s">
        <v>6232</v>
      </c>
      <c r="H1470" s="7">
        <v>1</v>
      </c>
      <c r="I1470" s="7">
        <v>6</v>
      </c>
      <c r="J1470" s="17">
        <v>3</v>
      </c>
      <c r="K1470" s="17"/>
      <c r="L1470" s="7">
        <f>SUM(H1470:K1470)</f>
        <v>10</v>
      </c>
      <c r="M1470" s="8">
        <v>1</v>
      </c>
      <c r="N1470" s="8">
        <f>IF(L1470&gt;0,1,"")</f>
        <v>1</v>
      </c>
      <c r="O1470" s="11" t="s">
        <v>1702</v>
      </c>
      <c r="P1470" s="16" t="str">
        <f>IF(LEN(G1470)=10,CONCATENATE("0",G1470),G1470)</f>
        <v>15-Aug-1930</v>
      </c>
      <c r="R1470" s="16" t="str">
        <f t="shared" ref="R1470:S1472" si="637">IF($L1470&gt;0,"x","")</f>
        <v>x</v>
      </c>
      <c r="S1470" s="16" t="str">
        <f t="shared" si="637"/>
        <v>x</v>
      </c>
      <c r="U1470" s="46" t="str">
        <f t="shared" si="635"/>
        <v/>
      </c>
      <c r="V1470" s="46">
        <f t="shared" si="635"/>
        <v>10</v>
      </c>
      <c r="W1470" s="46" t="str">
        <f t="shared" si="635"/>
        <v/>
      </c>
      <c r="X1470" s="46" t="str">
        <f t="shared" si="635"/>
        <v/>
      </c>
    </row>
    <row r="1471" spans="2:24" x14ac:dyDescent="0.25">
      <c r="B1471" s="11" t="str">
        <f>CONCATENATE("EDSN","-",LEFT(P1471,2),UPPER(MID(P1471,4,3)),RIGHT(P1471,4))</f>
        <v>EDSN-15AUG1930</v>
      </c>
      <c r="C1471" s="11" t="s">
        <v>6230</v>
      </c>
      <c r="D1471" s="11" t="s">
        <v>847</v>
      </c>
      <c r="E1471" s="39" t="s">
        <v>6233</v>
      </c>
      <c r="F1471" s="11" t="s">
        <v>1700</v>
      </c>
      <c r="G1471" s="39" t="s">
        <v>6232</v>
      </c>
      <c r="H1471" s="7">
        <v>0</v>
      </c>
      <c r="I1471" s="7">
        <v>3</v>
      </c>
      <c r="J1471" s="17">
        <v>0</v>
      </c>
      <c r="K1471" s="17"/>
      <c r="L1471" s="7">
        <f>SUM(H1471:K1471)</f>
        <v>3</v>
      </c>
      <c r="M1471" s="8">
        <v>1</v>
      </c>
      <c r="N1471" s="8">
        <f>IF(L1471&gt;0,1,"")</f>
        <v>1</v>
      </c>
      <c r="O1471" s="11" t="s">
        <v>1702</v>
      </c>
      <c r="P1471" s="16" t="str">
        <f>IF(LEN(G1471)=10,CONCATENATE("0",G1471),G1471)</f>
        <v>15-Aug-1930</v>
      </c>
      <c r="R1471" s="16" t="str">
        <f t="shared" si="637"/>
        <v>x</v>
      </c>
      <c r="S1471" s="16" t="str">
        <f t="shared" si="637"/>
        <v>x</v>
      </c>
      <c r="U1471" s="46" t="str">
        <f t="shared" si="635"/>
        <v/>
      </c>
      <c r="V1471" s="46">
        <f t="shared" si="635"/>
        <v>3</v>
      </c>
      <c r="W1471" s="46" t="str">
        <f t="shared" si="635"/>
        <v/>
      </c>
      <c r="X1471" s="46" t="str">
        <f t="shared" si="635"/>
        <v/>
      </c>
    </row>
    <row r="1472" spans="2:24" x14ac:dyDescent="0.25">
      <c r="B1472" s="11" t="str">
        <f>CONCATENATE("EDSN","-",LEFT(P1472,2),UPPER(MID(P1472,4,3)),RIGHT(P1472,4))</f>
        <v>EDSN-15AUG1930</v>
      </c>
      <c r="C1472" s="11" t="s">
        <v>6230</v>
      </c>
      <c r="D1472" s="11" t="s">
        <v>1906</v>
      </c>
      <c r="E1472" s="39" t="s">
        <v>6234</v>
      </c>
      <c r="F1472" s="11" t="s">
        <v>1700</v>
      </c>
      <c r="G1472" s="39" t="s">
        <v>6232</v>
      </c>
      <c r="H1472" s="7">
        <v>0</v>
      </c>
      <c r="I1472" s="7">
        <v>0</v>
      </c>
      <c r="J1472" s="17">
        <v>0</v>
      </c>
      <c r="K1472" s="17"/>
      <c r="L1472" s="7">
        <f>SUM(H1472:K1472)</f>
        <v>0</v>
      </c>
      <c r="M1472" s="8">
        <v>1</v>
      </c>
      <c r="N1472" s="8" t="str">
        <f>IF(L1472&gt;0,1,"")</f>
        <v/>
      </c>
      <c r="O1472" s="11" t="s">
        <v>1702</v>
      </c>
      <c r="P1472" s="16" t="str">
        <f>IF(LEN(G1472)=10,CONCATENATE("0",G1472),G1472)</f>
        <v>15-Aug-1930</v>
      </c>
      <c r="R1472" s="16" t="str">
        <f t="shared" si="637"/>
        <v/>
      </c>
      <c r="S1472" s="16" t="str">
        <f t="shared" si="637"/>
        <v/>
      </c>
      <c r="U1472" s="46" t="str">
        <f t="shared" si="635"/>
        <v/>
      </c>
      <c r="V1472" s="46">
        <f t="shared" si="635"/>
        <v>0</v>
      </c>
      <c r="W1472" s="46" t="str">
        <f t="shared" si="635"/>
        <v/>
      </c>
      <c r="X1472" s="46" t="str">
        <f t="shared" si="635"/>
        <v/>
      </c>
    </row>
    <row r="1473" spans="2:24" x14ac:dyDescent="0.25">
      <c r="N1473" s="8" t="str">
        <f>IF(R1473="x",1,"")</f>
        <v/>
      </c>
      <c r="U1473" s="46" t="str">
        <f t="shared" si="635"/>
        <v/>
      </c>
      <c r="V1473" s="46" t="str">
        <f t="shared" si="635"/>
        <v/>
      </c>
      <c r="W1473" s="46" t="str">
        <f t="shared" si="635"/>
        <v/>
      </c>
      <c r="X1473" s="46" t="str">
        <f t="shared" si="635"/>
        <v/>
      </c>
    </row>
    <row r="1474" spans="2:24" x14ac:dyDescent="0.25">
      <c r="B1474" s="18"/>
      <c r="C1474" s="18"/>
      <c r="D1474" s="18"/>
      <c r="E1474" s="40"/>
      <c r="F1474" s="18"/>
      <c r="G1474" s="40"/>
      <c r="H1474" s="7">
        <f t="shared" ref="H1474:N1474" si="638">SUM(H1468:H1473)</f>
        <v>1</v>
      </c>
      <c r="I1474" s="7">
        <f t="shared" si="638"/>
        <v>16</v>
      </c>
      <c r="J1474" s="7">
        <f>SUM(J1468:J1473)</f>
        <v>8</v>
      </c>
      <c r="K1474" s="7">
        <f t="shared" si="638"/>
        <v>0</v>
      </c>
      <c r="L1474" s="7">
        <f t="shared" si="638"/>
        <v>25</v>
      </c>
      <c r="M1474" s="7">
        <f t="shared" si="638"/>
        <v>5</v>
      </c>
      <c r="N1474" s="7">
        <f t="shared" si="638"/>
        <v>4</v>
      </c>
      <c r="O1474" s="18"/>
      <c r="P1474" s="13"/>
      <c r="Q1474" s="13"/>
      <c r="S1474" s="13"/>
      <c r="T1474" s="15"/>
      <c r="U1474" s="46" t="str">
        <f t="shared" si="635"/>
        <v/>
      </c>
      <c r="V1474" s="46" t="str">
        <f t="shared" si="635"/>
        <v/>
      </c>
      <c r="W1474" s="46" t="str">
        <f t="shared" si="635"/>
        <v/>
      </c>
      <c r="X1474" s="46" t="str">
        <f t="shared" si="635"/>
        <v/>
      </c>
    </row>
    <row r="1475" spans="2:24" x14ac:dyDescent="0.25">
      <c r="B1475" s="18"/>
      <c r="C1475" s="18"/>
      <c r="D1475" s="18"/>
      <c r="E1475" s="40"/>
      <c r="F1475" s="18"/>
      <c r="G1475" s="40"/>
      <c r="N1475" s="8" t="str">
        <f>IF(R1475="x",1,"")</f>
        <v/>
      </c>
      <c r="O1475" s="18"/>
      <c r="P1475" s="13"/>
      <c r="Q1475" s="13"/>
      <c r="R1475" s="13"/>
      <c r="S1475" s="13"/>
      <c r="T1475" s="15"/>
      <c r="U1475" s="46" t="str">
        <f t="shared" si="635"/>
        <v/>
      </c>
      <c r="V1475" s="46" t="str">
        <f t="shared" si="635"/>
        <v/>
      </c>
      <c r="W1475" s="46" t="str">
        <f t="shared" si="635"/>
        <v/>
      </c>
      <c r="X1475" s="46" t="str">
        <f t="shared" si="635"/>
        <v/>
      </c>
    </row>
    <row r="1476" spans="2:24" x14ac:dyDescent="0.25">
      <c r="B1476" s="18"/>
      <c r="C1476" s="18"/>
      <c r="D1476" s="18"/>
      <c r="E1476" s="40"/>
      <c r="F1476" s="18"/>
      <c r="G1476" s="40"/>
      <c r="N1476" s="8" t="str">
        <f>IF(R1476="x",1,"")</f>
        <v/>
      </c>
      <c r="O1476" s="18"/>
      <c r="P1476" s="13"/>
      <c r="Q1476" s="13"/>
      <c r="R1476" s="13"/>
      <c r="S1476" s="13"/>
      <c r="T1476" s="15"/>
      <c r="U1476" s="46" t="str">
        <f t="shared" si="635"/>
        <v/>
      </c>
      <c r="V1476" s="46" t="str">
        <f t="shared" si="635"/>
        <v/>
      </c>
      <c r="W1476" s="46" t="str">
        <f t="shared" si="635"/>
        <v/>
      </c>
      <c r="X1476" s="46" t="str">
        <f t="shared" si="635"/>
        <v/>
      </c>
    </row>
    <row r="1477" spans="2:24" x14ac:dyDescent="0.25">
      <c r="B1477" s="11" t="str">
        <f>CONCATENATE("EHIL","-",LEFT(P1477,2),UPPER(MID(P1477,4,3)),RIGHT(P1477,4))</f>
        <v>EHIL-04JUN1868</v>
      </c>
      <c r="C1477" s="11" t="s">
        <v>11257</v>
      </c>
      <c r="D1477" s="11" t="s">
        <v>2983</v>
      </c>
      <c r="F1477" s="11" t="s">
        <v>1700</v>
      </c>
      <c r="G1477" s="39" t="s">
        <v>11258</v>
      </c>
      <c r="H1477" s="7">
        <v>4</v>
      </c>
      <c r="J1477" s="17"/>
      <c r="K1477" s="17"/>
      <c r="L1477" s="7">
        <f>SUM(H1477:K1477)</f>
        <v>4</v>
      </c>
      <c r="M1477" s="8">
        <v>1</v>
      </c>
      <c r="N1477" s="8">
        <f>IF(L1477&gt;0,1,"")</f>
        <v>1</v>
      </c>
      <c r="O1477" s="11" t="s">
        <v>1702</v>
      </c>
      <c r="P1477" s="16" t="str">
        <f>IF(LEN(G1477)=10,CONCATENATE("0",G1477),G1477)</f>
        <v>04-Jun-1868</v>
      </c>
      <c r="R1477" s="16" t="str">
        <f>IF($L1477&gt;0,"x","")</f>
        <v>x</v>
      </c>
      <c r="S1477" s="16" t="str">
        <f>IF($L1477&gt;0,"x","")</f>
        <v>x</v>
      </c>
      <c r="U1477" s="46" t="str">
        <f t="shared" si="635"/>
        <v/>
      </c>
      <c r="V1477" s="46">
        <f t="shared" si="635"/>
        <v>4</v>
      </c>
      <c r="W1477" s="46" t="str">
        <f t="shared" si="635"/>
        <v/>
      </c>
      <c r="X1477" s="46" t="str">
        <f t="shared" si="635"/>
        <v/>
      </c>
    </row>
    <row r="1478" spans="2:24" x14ac:dyDescent="0.25">
      <c r="N1478" s="8" t="str">
        <f>IF(R1478="x",1,"")</f>
        <v/>
      </c>
      <c r="U1478" s="46" t="str">
        <f t="shared" ref="U1478:X1479" si="639">IF($O1478=U$5,$L1478,"")</f>
        <v/>
      </c>
      <c r="V1478" s="46" t="str">
        <f t="shared" si="639"/>
        <v/>
      </c>
      <c r="W1478" s="46" t="str">
        <f t="shared" si="639"/>
        <v/>
      </c>
      <c r="X1478" s="46" t="str">
        <f t="shared" si="639"/>
        <v/>
      </c>
    </row>
    <row r="1479" spans="2:24" x14ac:dyDescent="0.25">
      <c r="B1479" s="18"/>
      <c r="C1479" s="18"/>
      <c r="D1479" s="18"/>
      <c r="E1479" s="40"/>
      <c r="F1479" s="18"/>
      <c r="G1479" s="40"/>
      <c r="H1479" s="7">
        <f t="shared" ref="H1479:N1479" si="640">SUM(H1477:H1478)</f>
        <v>4</v>
      </c>
      <c r="I1479" s="7">
        <f t="shared" si="640"/>
        <v>0</v>
      </c>
      <c r="J1479" s="7">
        <f>SUM(J1477:J1478)</f>
        <v>0</v>
      </c>
      <c r="K1479" s="7">
        <f t="shared" si="640"/>
        <v>0</v>
      </c>
      <c r="L1479" s="7">
        <f t="shared" si="640"/>
        <v>4</v>
      </c>
      <c r="M1479" s="7">
        <f t="shared" si="640"/>
        <v>1</v>
      </c>
      <c r="N1479" s="7">
        <f t="shared" si="640"/>
        <v>1</v>
      </c>
      <c r="O1479" s="18"/>
      <c r="P1479" s="13"/>
      <c r="Q1479" s="13"/>
      <c r="S1479" s="13"/>
      <c r="T1479" s="15"/>
      <c r="U1479" s="46" t="str">
        <f t="shared" si="639"/>
        <v/>
      </c>
      <c r="V1479" s="46" t="str">
        <f t="shared" si="639"/>
        <v/>
      </c>
      <c r="W1479" s="46" t="str">
        <f t="shared" si="639"/>
        <v/>
      </c>
      <c r="X1479" s="46" t="str">
        <f t="shared" si="639"/>
        <v/>
      </c>
    </row>
    <row r="1480" spans="2:24" x14ac:dyDescent="0.25">
      <c r="B1480" s="18"/>
      <c r="C1480" s="18"/>
      <c r="D1480" s="18"/>
      <c r="E1480" s="40"/>
      <c r="F1480" s="18"/>
      <c r="G1480" s="40"/>
      <c r="N1480" s="8" t="str">
        <f>IF(R1480="x",1,"")</f>
        <v/>
      </c>
      <c r="O1480" s="18"/>
      <c r="P1480" s="13"/>
      <c r="Q1480" s="13"/>
      <c r="R1480" s="13"/>
      <c r="S1480" s="13"/>
      <c r="T1480" s="15"/>
      <c r="U1480" s="46" t="str">
        <f t="shared" ref="U1480:X1484" si="641">IF($O1480=U$5,$L1480,"")</f>
        <v/>
      </c>
      <c r="V1480" s="46" t="str">
        <f t="shared" si="641"/>
        <v/>
      </c>
      <c r="W1480" s="46" t="str">
        <f t="shared" si="641"/>
        <v/>
      </c>
      <c r="X1480" s="46" t="str">
        <f t="shared" si="641"/>
        <v/>
      </c>
    </row>
    <row r="1481" spans="2:24" x14ac:dyDescent="0.25">
      <c r="B1481" s="18"/>
      <c r="C1481" s="18"/>
      <c r="D1481" s="18"/>
      <c r="E1481" s="40"/>
      <c r="F1481" s="18"/>
      <c r="G1481" s="40"/>
      <c r="N1481" s="8" t="str">
        <f>IF(R1481="x",1,"")</f>
        <v/>
      </c>
      <c r="O1481" s="18"/>
      <c r="P1481" s="13"/>
      <c r="Q1481" s="13"/>
      <c r="R1481" s="13"/>
      <c r="S1481" s="13"/>
      <c r="T1481" s="15"/>
      <c r="U1481" s="46" t="str">
        <f t="shared" si="641"/>
        <v/>
      </c>
      <c r="V1481" s="46" t="str">
        <f t="shared" si="641"/>
        <v/>
      </c>
      <c r="W1481" s="46" t="str">
        <f t="shared" si="641"/>
        <v/>
      </c>
      <c r="X1481" s="46" t="str">
        <f t="shared" si="641"/>
        <v/>
      </c>
    </row>
    <row r="1482" spans="2:24" x14ac:dyDescent="0.25">
      <c r="B1482" s="11" t="str">
        <f>CONCATENATE("EGYP","-",LEFT(P1482,2),UPPER(MID(P1482,4,3)),RIGHT(P1482,4))</f>
        <v>EGYP-04NOV1878</v>
      </c>
      <c r="C1482" s="11" t="s">
        <v>5269</v>
      </c>
      <c r="D1482" s="11" t="s">
        <v>2097</v>
      </c>
      <c r="F1482" s="11" t="s">
        <v>1700</v>
      </c>
      <c r="G1482" s="39" t="s">
        <v>5270</v>
      </c>
      <c r="H1482" s="7">
        <v>4</v>
      </c>
      <c r="J1482" s="17">
        <v>0</v>
      </c>
      <c r="K1482" s="17"/>
      <c r="L1482" s="7">
        <f>SUM(H1482:K1482)</f>
        <v>4</v>
      </c>
      <c r="M1482" s="8">
        <v>1</v>
      </c>
      <c r="N1482" s="8">
        <f>IF(L1482&gt;0,1,"")</f>
        <v>1</v>
      </c>
      <c r="O1482" s="11" t="s">
        <v>1702</v>
      </c>
      <c r="P1482" s="16" t="str">
        <f>IF(LEN(G1482)=10,CONCATENATE("0",G1482),G1482)</f>
        <v>04-Nov-1878</v>
      </c>
      <c r="R1482" s="16" t="str">
        <f>IF($L1482&gt;0,"x","")</f>
        <v>x</v>
      </c>
      <c r="S1482" s="16" t="str">
        <f>IF($L1482&gt;0,"x","")</f>
        <v>x</v>
      </c>
      <c r="U1482" s="46" t="str">
        <f t="shared" si="641"/>
        <v/>
      </c>
      <c r="V1482" s="46">
        <f t="shared" si="641"/>
        <v>4</v>
      </c>
      <c r="W1482" s="46" t="str">
        <f t="shared" si="641"/>
        <v/>
      </c>
      <c r="X1482" s="46" t="str">
        <f t="shared" si="641"/>
        <v/>
      </c>
    </row>
    <row r="1483" spans="2:24" x14ac:dyDescent="0.25">
      <c r="N1483" s="8" t="str">
        <f>IF(R1483="x",1,"")</f>
        <v/>
      </c>
      <c r="U1483" s="46" t="str">
        <f t="shared" si="641"/>
        <v/>
      </c>
      <c r="V1483" s="46" t="str">
        <f t="shared" si="641"/>
        <v/>
      </c>
      <c r="W1483" s="46" t="str">
        <f t="shared" si="641"/>
        <v/>
      </c>
      <c r="X1483" s="46" t="str">
        <f t="shared" si="641"/>
        <v/>
      </c>
    </row>
    <row r="1484" spans="2:24" x14ac:dyDescent="0.25">
      <c r="B1484" s="18"/>
      <c r="C1484" s="18"/>
      <c r="D1484" s="18"/>
      <c r="E1484" s="40"/>
      <c r="F1484" s="18"/>
      <c r="G1484" s="40"/>
      <c r="H1484" s="7">
        <f t="shared" ref="H1484:N1484" si="642">SUM(H1482:H1483)</f>
        <v>4</v>
      </c>
      <c r="I1484" s="7">
        <f t="shared" si="642"/>
        <v>0</v>
      </c>
      <c r="J1484" s="7">
        <f>SUM(J1482:J1483)</f>
        <v>0</v>
      </c>
      <c r="K1484" s="7">
        <f t="shared" si="642"/>
        <v>0</v>
      </c>
      <c r="L1484" s="7">
        <f t="shared" si="642"/>
        <v>4</v>
      </c>
      <c r="M1484" s="7">
        <f t="shared" si="642"/>
        <v>1</v>
      </c>
      <c r="N1484" s="7">
        <f t="shared" si="642"/>
        <v>1</v>
      </c>
      <c r="O1484" s="18"/>
      <c r="P1484" s="13"/>
      <c r="Q1484" s="13"/>
      <c r="S1484" s="13"/>
      <c r="T1484" s="15"/>
      <c r="U1484" s="46" t="str">
        <f t="shared" si="641"/>
        <v/>
      </c>
      <c r="V1484" s="46" t="str">
        <f t="shared" si="641"/>
        <v/>
      </c>
      <c r="W1484" s="46" t="str">
        <f t="shared" si="641"/>
        <v/>
      </c>
      <c r="X1484" s="46" t="str">
        <f t="shared" si="641"/>
        <v/>
      </c>
    </row>
    <row r="1485" spans="2:24" x14ac:dyDescent="0.25">
      <c r="B1485" s="18"/>
      <c r="C1485" s="18"/>
      <c r="D1485" s="18"/>
      <c r="E1485" s="40"/>
      <c r="F1485" s="18"/>
      <c r="G1485" s="40"/>
      <c r="N1485" s="8" t="str">
        <f>IF(R1485="x",1,"")</f>
        <v/>
      </c>
      <c r="O1485" s="18"/>
      <c r="P1485" s="13"/>
      <c r="Q1485" s="13"/>
      <c r="R1485" s="13"/>
      <c r="S1485" s="13"/>
      <c r="T1485" s="15"/>
      <c r="U1485" s="46" t="str">
        <f t="shared" ref="U1485:X1501" si="643">IF($O1485=U$5,$L1485,"")</f>
        <v/>
      </c>
      <c r="V1485" s="46" t="str">
        <f t="shared" si="643"/>
        <v/>
      </c>
      <c r="W1485" s="46" t="str">
        <f t="shared" si="643"/>
        <v/>
      </c>
      <c r="X1485" s="46" t="str">
        <f t="shared" si="643"/>
        <v/>
      </c>
    </row>
    <row r="1486" spans="2:24" x14ac:dyDescent="0.25">
      <c r="B1486" s="18"/>
      <c r="C1486" s="18"/>
      <c r="D1486" s="18"/>
      <c r="E1486" s="40"/>
      <c r="F1486" s="18"/>
      <c r="G1486" s="40"/>
      <c r="N1486" s="8" t="str">
        <f>IF(R1486="x",1,"")</f>
        <v/>
      </c>
      <c r="O1486" s="18"/>
      <c r="P1486" s="13"/>
      <c r="Q1486" s="13"/>
      <c r="R1486" s="13"/>
      <c r="S1486" s="13"/>
      <c r="T1486" s="15"/>
      <c r="U1486" s="46" t="str">
        <f t="shared" si="643"/>
        <v/>
      </c>
      <c r="V1486" s="46" t="str">
        <f t="shared" si="643"/>
        <v/>
      </c>
      <c r="W1486" s="46" t="str">
        <f t="shared" si="643"/>
        <v/>
      </c>
      <c r="X1486" s="46" t="str">
        <f t="shared" si="643"/>
        <v/>
      </c>
    </row>
    <row r="1487" spans="2:24" x14ac:dyDescent="0.25">
      <c r="B1487" s="11" t="str">
        <f>CONCATENATE("ELYS","-",LEFT(P1487,2),UPPER(MID(P1487,4,3)),RIGHT(P1487,4))</f>
        <v>ELYS-13AUG1888</v>
      </c>
      <c r="C1487" s="11" t="s">
        <v>4014</v>
      </c>
      <c r="D1487" s="11" t="s">
        <v>4015</v>
      </c>
      <c r="F1487" s="11" t="s">
        <v>1700</v>
      </c>
      <c r="G1487" s="39" t="s">
        <v>4016</v>
      </c>
      <c r="J1487" s="17">
        <v>7</v>
      </c>
      <c r="K1487" s="17"/>
      <c r="L1487" s="7">
        <f>SUM(H1487:K1487)</f>
        <v>7</v>
      </c>
      <c r="M1487" s="8">
        <v>1</v>
      </c>
      <c r="N1487" s="8">
        <f>IF(L1487&gt;0,1,"")</f>
        <v>1</v>
      </c>
      <c r="O1487" s="11" t="s">
        <v>1702</v>
      </c>
      <c r="P1487" s="16" t="str">
        <f>IF(LEN(G1487)=10,CONCATENATE("0",G1487),G1487)</f>
        <v>13-Aug-1888</v>
      </c>
      <c r="R1487" s="16" t="str">
        <f>IF($L1487&gt;0,"x","")</f>
        <v>x</v>
      </c>
      <c r="S1487" s="16" t="str">
        <f>IF($L1487&gt;0,"x","")</f>
        <v>x</v>
      </c>
      <c r="U1487" s="46" t="str">
        <f t="shared" si="643"/>
        <v/>
      </c>
      <c r="V1487" s="46">
        <f t="shared" si="643"/>
        <v>7</v>
      </c>
      <c r="W1487" s="46" t="str">
        <f t="shared" si="643"/>
        <v/>
      </c>
      <c r="X1487" s="46" t="str">
        <f t="shared" si="643"/>
        <v/>
      </c>
    </row>
    <row r="1488" spans="2:24" x14ac:dyDescent="0.25">
      <c r="N1488" s="8" t="str">
        <f>IF(R1488="x",1,"")</f>
        <v/>
      </c>
      <c r="U1488" s="46" t="str">
        <f t="shared" si="643"/>
        <v/>
      </c>
      <c r="V1488" s="46" t="str">
        <f t="shared" si="643"/>
        <v/>
      </c>
      <c r="W1488" s="46" t="str">
        <f t="shared" si="643"/>
        <v/>
      </c>
      <c r="X1488" s="46" t="str">
        <f t="shared" si="643"/>
        <v/>
      </c>
    </row>
    <row r="1489" spans="2:26" x14ac:dyDescent="0.25">
      <c r="B1489" s="18"/>
      <c r="C1489" s="18"/>
      <c r="D1489" s="18"/>
      <c r="E1489" s="40"/>
      <c r="F1489" s="18"/>
      <c r="G1489" s="40"/>
      <c r="H1489" s="7">
        <f t="shared" ref="H1489:N1489" si="644">SUM(H1487:H1488)</f>
        <v>0</v>
      </c>
      <c r="I1489" s="7">
        <f t="shared" si="644"/>
        <v>0</v>
      </c>
      <c r="J1489" s="7">
        <f>SUM(J1487:J1488)</f>
        <v>7</v>
      </c>
      <c r="K1489" s="7">
        <f t="shared" si="644"/>
        <v>0</v>
      </c>
      <c r="L1489" s="7">
        <f t="shared" si="644"/>
        <v>7</v>
      </c>
      <c r="M1489" s="7">
        <f t="shared" si="644"/>
        <v>1</v>
      </c>
      <c r="N1489" s="7">
        <f t="shared" si="644"/>
        <v>1</v>
      </c>
      <c r="O1489" s="18"/>
      <c r="P1489" s="13"/>
      <c r="Q1489" s="13"/>
      <c r="S1489" s="13"/>
      <c r="T1489" s="15"/>
      <c r="U1489" s="46" t="str">
        <f t="shared" si="643"/>
        <v/>
      </c>
      <c r="V1489" s="46" t="str">
        <f t="shared" si="643"/>
        <v/>
      </c>
      <c r="W1489" s="46" t="str">
        <f t="shared" si="643"/>
        <v/>
      </c>
      <c r="X1489" s="46" t="str">
        <f t="shared" si="643"/>
        <v/>
      </c>
    </row>
    <row r="1490" spans="2:26" x14ac:dyDescent="0.25">
      <c r="B1490" s="18"/>
      <c r="C1490" s="18"/>
      <c r="D1490" s="18"/>
      <c r="E1490" s="40"/>
      <c r="F1490" s="18"/>
      <c r="G1490" s="40"/>
      <c r="N1490" s="8" t="str">
        <f>IF(R1490="x",1,"")</f>
        <v/>
      </c>
      <c r="O1490" s="18"/>
      <c r="P1490" s="13"/>
      <c r="Q1490" s="13"/>
      <c r="R1490" s="13"/>
      <c r="S1490" s="13"/>
      <c r="T1490" s="15"/>
      <c r="U1490" s="46" t="str">
        <f t="shared" si="643"/>
        <v/>
      </c>
      <c r="V1490" s="46" t="str">
        <f t="shared" si="643"/>
        <v/>
      </c>
      <c r="W1490" s="46" t="str">
        <f t="shared" si="643"/>
        <v/>
      </c>
      <c r="X1490" s="46" t="str">
        <f t="shared" si="643"/>
        <v/>
      </c>
    </row>
    <row r="1491" spans="2:26" x14ac:dyDescent="0.25">
      <c r="B1491" s="18"/>
      <c r="C1491" s="18"/>
      <c r="D1491" s="18"/>
      <c r="E1491" s="40"/>
      <c r="F1491" s="18"/>
      <c r="G1491" s="40"/>
      <c r="N1491" s="8" t="str">
        <f>IF(R1491="x",1,"")</f>
        <v/>
      </c>
      <c r="O1491" s="18"/>
      <c r="P1491" s="13"/>
      <c r="Q1491" s="13"/>
      <c r="R1491" s="13"/>
      <c r="S1491" s="13"/>
      <c r="T1491" s="15"/>
      <c r="U1491" s="46" t="str">
        <f t="shared" si="643"/>
        <v/>
      </c>
      <c r="V1491" s="46" t="str">
        <f t="shared" si="643"/>
        <v/>
      </c>
      <c r="W1491" s="46" t="str">
        <f t="shared" si="643"/>
        <v/>
      </c>
      <c r="X1491" s="46" t="str">
        <f t="shared" si="643"/>
        <v/>
      </c>
    </row>
    <row r="1492" spans="2:26" x14ac:dyDescent="0.25">
      <c r="B1492" s="11" t="str">
        <f>CONCATENATE("EMPB","-",LEFT(P1492,2),UPPER(MID(P1492,4,3)),RIGHT(P1492,4))</f>
        <v>EMPB-31MAR1921</v>
      </c>
      <c r="C1492" s="11" t="s">
        <v>11252</v>
      </c>
      <c r="D1492" s="11" t="s">
        <v>2097</v>
      </c>
      <c r="E1492" s="39" t="s">
        <v>11253</v>
      </c>
      <c r="F1492" s="11" t="s">
        <v>211</v>
      </c>
      <c r="G1492" s="39" t="s">
        <v>11254</v>
      </c>
      <c r="H1492" s="7">
        <v>0</v>
      </c>
      <c r="I1492" s="7">
        <v>0</v>
      </c>
      <c r="J1492" s="17">
        <v>3</v>
      </c>
      <c r="K1492" s="17"/>
      <c r="L1492" s="7">
        <f>SUM(H1492:K1492)</f>
        <v>3</v>
      </c>
      <c r="M1492" s="8">
        <v>1</v>
      </c>
      <c r="N1492" s="8">
        <f>IF(L1492&gt;0,1,"")</f>
        <v>1</v>
      </c>
      <c r="O1492" s="11" t="s">
        <v>1702</v>
      </c>
      <c r="P1492" s="16" t="str">
        <f>IF(LEN(G1492)=10,CONCATENATE("0",G1492),G1492)</f>
        <v>31-Mar-1921</v>
      </c>
      <c r="R1492" s="16" t="str">
        <f>IF($L1492&gt;0,"x","")</f>
        <v>x</v>
      </c>
      <c r="S1492" s="16" t="str">
        <f>IF($L1492&gt;0,"x","")</f>
        <v>x</v>
      </c>
      <c r="U1492" s="46" t="str">
        <f t="shared" si="643"/>
        <v/>
      </c>
      <c r="V1492" s="46">
        <f t="shared" si="643"/>
        <v>3</v>
      </c>
      <c r="W1492" s="46" t="str">
        <f t="shared" si="643"/>
        <v/>
      </c>
      <c r="X1492" s="46" t="str">
        <f t="shared" si="643"/>
        <v/>
      </c>
    </row>
    <row r="1493" spans="2:26" x14ac:dyDescent="0.25">
      <c r="B1493" s="11" t="str">
        <f>CONCATENATE("EMPB","-",LEFT(P1493,2),UPPER(MID(P1493,4,3)),RIGHT(P1493,4))</f>
        <v>EMPB-22AUG1923</v>
      </c>
      <c r="C1493" s="11" t="s">
        <v>11252</v>
      </c>
      <c r="E1493" s="39" t="s">
        <v>11421</v>
      </c>
      <c r="F1493" s="11" t="s">
        <v>2813</v>
      </c>
      <c r="G1493" s="39" t="s">
        <v>11422</v>
      </c>
      <c r="J1493" s="17">
        <v>5</v>
      </c>
      <c r="K1493" s="17"/>
      <c r="L1493" s="7">
        <f>SUM(H1493:K1493)</f>
        <v>5</v>
      </c>
      <c r="M1493" s="8">
        <v>1</v>
      </c>
      <c r="N1493" s="8">
        <f>IF(L1493&gt;0,1,"")</f>
        <v>1</v>
      </c>
      <c r="O1493" s="11" t="s">
        <v>1702</v>
      </c>
      <c r="P1493" s="16" t="str">
        <f>IF(LEN(G1493)=10,CONCATENATE("0",G1493),G1493)</f>
        <v>22-Aug-1923</v>
      </c>
      <c r="Q1493" s="80"/>
      <c r="S1493" s="16" t="str">
        <f>IF($L1493&gt;0,"x","")</f>
        <v>x</v>
      </c>
      <c r="U1493" s="46" t="str">
        <f t="shared" si="643"/>
        <v/>
      </c>
      <c r="V1493" s="46">
        <f t="shared" si="643"/>
        <v>5</v>
      </c>
      <c r="W1493" s="46" t="str">
        <f t="shared" si="643"/>
        <v/>
      </c>
      <c r="X1493" s="46" t="str">
        <f t="shared" si="643"/>
        <v/>
      </c>
    </row>
    <row r="1494" spans="2:26" x14ac:dyDescent="0.25">
      <c r="N1494" s="8" t="str">
        <f>IF(R1494="x",1,"")</f>
        <v/>
      </c>
      <c r="U1494" s="46" t="str">
        <f t="shared" si="643"/>
        <v/>
      </c>
      <c r="V1494" s="46" t="str">
        <f t="shared" si="643"/>
        <v/>
      </c>
      <c r="W1494" s="46" t="str">
        <f t="shared" si="643"/>
        <v/>
      </c>
      <c r="X1494" s="46" t="str">
        <f t="shared" si="643"/>
        <v/>
      </c>
    </row>
    <row r="1495" spans="2:26" x14ac:dyDescent="0.25">
      <c r="B1495" s="18"/>
      <c r="C1495" s="18"/>
      <c r="D1495" s="18"/>
      <c r="E1495" s="40"/>
      <c r="F1495" s="18"/>
      <c r="G1495" s="40"/>
      <c r="H1495" s="7">
        <f t="shared" ref="H1495:N1495" si="645">SUM(H1492:H1494)</f>
        <v>0</v>
      </c>
      <c r="I1495" s="7">
        <f t="shared" si="645"/>
        <v>0</v>
      </c>
      <c r="J1495" s="7">
        <f>SUM(J1492:J1494)</f>
        <v>8</v>
      </c>
      <c r="K1495" s="7">
        <f t="shared" si="645"/>
        <v>0</v>
      </c>
      <c r="L1495" s="7">
        <f t="shared" si="645"/>
        <v>8</v>
      </c>
      <c r="M1495" s="7">
        <f t="shared" si="645"/>
        <v>2</v>
      </c>
      <c r="N1495" s="7">
        <f t="shared" si="645"/>
        <v>2</v>
      </c>
      <c r="O1495" s="18"/>
      <c r="P1495" s="13"/>
      <c r="Q1495" s="13"/>
      <c r="S1495" s="13"/>
      <c r="T1495" s="15"/>
      <c r="U1495" s="46" t="str">
        <f t="shared" si="643"/>
        <v/>
      </c>
      <c r="V1495" s="46" t="str">
        <f t="shared" si="643"/>
        <v/>
      </c>
      <c r="W1495" s="46" t="str">
        <f t="shared" si="643"/>
        <v/>
      </c>
      <c r="X1495" s="46" t="str">
        <f t="shared" si="643"/>
        <v/>
      </c>
    </row>
    <row r="1496" spans="2:26" s="18" customFormat="1" x14ac:dyDescent="0.25">
      <c r="E1496" s="40"/>
      <c r="G1496" s="40"/>
      <c r="H1496" s="7"/>
      <c r="I1496" s="7"/>
      <c r="J1496" s="7"/>
      <c r="K1496" s="7"/>
      <c r="L1496" s="7"/>
      <c r="M1496" s="8"/>
      <c r="N1496" s="8" t="str">
        <f>IF(R1496="x",1,"")</f>
        <v/>
      </c>
      <c r="P1496" s="13"/>
      <c r="Q1496" s="13"/>
      <c r="R1496" s="13"/>
      <c r="S1496" s="13"/>
      <c r="T1496" s="15"/>
      <c r="U1496" s="46" t="str">
        <f t="shared" si="643"/>
        <v/>
      </c>
      <c r="V1496" s="46" t="str">
        <f t="shared" si="643"/>
        <v/>
      </c>
      <c r="W1496" s="46" t="str">
        <f t="shared" si="643"/>
        <v/>
      </c>
      <c r="X1496" s="46" t="str">
        <f t="shared" si="643"/>
        <v/>
      </c>
      <c r="Z1496" s="11"/>
    </row>
    <row r="1497" spans="2:26" s="18" customFormat="1" x14ac:dyDescent="0.25">
      <c r="E1497" s="40"/>
      <c r="G1497" s="40"/>
      <c r="H1497" s="7"/>
      <c r="I1497" s="7"/>
      <c r="J1497" s="7"/>
      <c r="K1497" s="7"/>
      <c r="L1497" s="7"/>
      <c r="M1497" s="8"/>
      <c r="N1497" s="8" t="str">
        <f>IF(R1497="x",1,"")</f>
        <v/>
      </c>
      <c r="P1497" s="13"/>
      <c r="Q1497" s="13"/>
      <c r="R1497" s="13"/>
      <c r="S1497" s="13"/>
      <c r="T1497" s="15"/>
      <c r="U1497" s="46" t="str">
        <f t="shared" si="643"/>
        <v/>
      </c>
      <c r="V1497" s="46" t="str">
        <f t="shared" si="643"/>
        <v/>
      </c>
      <c r="W1497" s="46" t="str">
        <f t="shared" si="643"/>
        <v/>
      </c>
      <c r="X1497" s="46" t="str">
        <f t="shared" si="643"/>
        <v/>
      </c>
      <c r="Z1497" s="11"/>
    </row>
    <row r="1498" spans="2:26" x14ac:dyDescent="0.25">
      <c r="B1498" s="11" t="str">
        <f t="shared" ref="B1498:B1509" si="646">CONCATENATE("EMPF","-",LEFT(P1498,2),UPPER(MID(P1498,4,3)),RIGHT(P1498,4))</f>
        <v>EMPF-31AUG1920</v>
      </c>
      <c r="C1498" s="11" t="s">
        <v>2096</v>
      </c>
      <c r="D1498" s="11" t="s">
        <v>2097</v>
      </c>
      <c r="E1498" s="39" t="s">
        <v>2554</v>
      </c>
      <c r="F1498" s="11" t="s">
        <v>2813</v>
      </c>
      <c r="G1498" s="39" t="s">
        <v>4379</v>
      </c>
      <c r="H1498" s="7">
        <f>0+2</f>
        <v>2</v>
      </c>
      <c r="I1498" s="7">
        <v>0</v>
      </c>
      <c r="J1498" s="17">
        <v>0</v>
      </c>
      <c r="K1498" s="17"/>
      <c r="L1498" s="7">
        <f t="shared" ref="L1498:L1509" si="647">SUM(H1498:K1498)</f>
        <v>2</v>
      </c>
      <c r="M1498" s="8">
        <v>1</v>
      </c>
      <c r="N1498" s="8">
        <f t="shared" ref="N1498:N1509" si="648">IF(L1498&gt;0,1,"")</f>
        <v>1</v>
      </c>
      <c r="O1498" s="11" t="s">
        <v>1702</v>
      </c>
      <c r="P1498" s="16" t="str">
        <f t="shared" ref="P1498:P1509" si="649">IF(LEN(G1498)=10,CONCATENATE("0",G1498),G1498)</f>
        <v>31-Aug-1920</v>
      </c>
      <c r="R1498" s="16" t="str">
        <f t="shared" ref="R1498:S1501" si="650">IF($L1498&gt;0,"x","")</f>
        <v>x</v>
      </c>
      <c r="S1498" s="16" t="str">
        <f t="shared" si="650"/>
        <v>x</v>
      </c>
      <c r="U1498" s="46" t="str">
        <f t="shared" si="643"/>
        <v/>
      </c>
      <c r="V1498" s="46">
        <f t="shared" si="643"/>
        <v>2</v>
      </c>
      <c r="W1498" s="46" t="str">
        <f t="shared" si="643"/>
        <v/>
      </c>
      <c r="X1498" s="46" t="str">
        <f t="shared" si="643"/>
        <v/>
      </c>
    </row>
    <row r="1499" spans="2:26" x14ac:dyDescent="0.25">
      <c r="B1499" s="11" t="str">
        <f t="shared" si="646"/>
        <v>EMPF-24NOV1920</v>
      </c>
      <c r="C1499" s="11" t="s">
        <v>2096</v>
      </c>
      <c r="D1499" s="11" t="s">
        <v>2097</v>
      </c>
      <c r="E1499" s="39" t="s">
        <v>2955</v>
      </c>
      <c r="F1499" s="11" t="s">
        <v>211</v>
      </c>
      <c r="G1499" s="39" t="s">
        <v>2557</v>
      </c>
      <c r="H1499" s="7">
        <v>0</v>
      </c>
      <c r="I1499" s="7">
        <v>1</v>
      </c>
      <c r="J1499" s="17">
        <f>3+2</f>
        <v>5</v>
      </c>
      <c r="K1499" s="17"/>
      <c r="L1499" s="7">
        <f t="shared" si="647"/>
        <v>6</v>
      </c>
      <c r="M1499" s="8">
        <v>1</v>
      </c>
      <c r="N1499" s="8">
        <f t="shared" si="648"/>
        <v>1</v>
      </c>
      <c r="O1499" s="11" t="s">
        <v>1702</v>
      </c>
      <c r="P1499" s="16" t="str">
        <f t="shared" si="649"/>
        <v>24-Nov-1920</v>
      </c>
      <c r="R1499" s="16" t="str">
        <f t="shared" si="650"/>
        <v>x</v>
      </c>
      <c r="S1499" s="16" t="str">
        <f t="shared" si="650"/>
        <v>x</v>
      </c>
      <c r="U1499" s="46" t="str">
        <f t="shared" si="643"/>
        <v/>
      </c>
      <c r="V1499" s="46">
        <f t="shared" si="643"/>
        <v>6</v>
      </c>
      <c r="W1499" s="46" t="str">
        <f t="shared" si="643"/>
        <v/>
      </c>
      <c r="X1499" s="46" t="str">
        <f t="shared" si="643"/>
        <v/>
      </c>
    </row>
    <row r="1500" spans="2:26" x14ac:dyDescent="0.25">
      <c r="B1500" s="11" t="str">
        <f t="shared" si="646"/>
        <v>EMPF-23DEC1920</v>
      </c>
      <c r="C1500" s="11" t="s">
        <v>2096</v>
      </c>
      <c r="D1500" s="11" t="s">
        <v>2097</v>
      </c>
      <c r="E1500" s="39" t="s">
        <v>2098</v>
      </c>
      <c r="F1500" s="11" t="s">
        <v>211</v>
      </c>
      <c r="G1500" s="39" t="s">
        <v>2099</v>
      </c>
      <c r="H1500" s="7">
        <v>0</v>
      </c>
      <c r="I1500" s="7">
        <v>0</v>
      </c>
      <c r="J1500" s="17">
        <v>5</v>
      </c>
      <c r="K1500" s="17"/>
      <c r="L1500" s="7">
        <f t="shared" si="647"/>
        <v>5</v>
      </c>
      <c r="M1500" s="8">
        <v>1</v>
      </c>
      <c r="N1500" s="8">
        <f t="shared" si="648"/>
        <v>1</v>
      </c>
      <c r="O1500" s="11" t="s">
        <v>1702</v>
      </c>
      <c r="P1500" s="16" t="str">
        <f t="shared" si="649"/>
        <v>23-Dec-1920</v>
      </c>
      <c r="R1500" s="16" t="str">
        <f t="shared" si="650"/>
        <v>x</v>
      </c>
      <c r="S1500" s="16" t="str">
        <f t="shared" si="650"/>
        <v>x</v>
      </c>
      <c r="U1500" s="46" t="str">
        <f t="shared" si="643"/>
        <v/>
      </c>
      <c r="V1500" s="46">
        <f t="shared" si="643"/>
        <v>5</v>
      </c>
      <c r="W1500" s="46" t="str">
        <f t="shared" si="643"/>
        <v/>
      </c>
      <c r="X1500" s="46" t="str">
        <f t="shared" si="643"/>
        <v/>
      </c>
    </row>
    <row r="1501" spans="2:26" x14ac:dyDescent="0.25">
      <c r="B1501" s="11" t="str">
        <f>CONCATENATE("EMPF","-",LEFT(P1501,2),UPPER(MID(P1501,4,3)),RIGHT(P1501,4))</f>
        <v>EMPF-15APR1921</v>
      </c>
      <c r="C1501" s="11" t="s">
        <v>2096</v>
      </c>
      <c r="D1501" s="11" t="s">
        <v>2097</v>
      </c>
      <c r="E1501" s="39" t="s">
        <v>3272</v>
      </c>
      <c r="F1501" s="11" t="s">
        <v>211</v>
      </c>
      <c r="G1501" s="39" t="s">
        <v>3044</v>
      </c>
      <c r="J1501" s="17">
        <v>2</v>
      </c>
      <c r="K1501" s="17"/>
      <c r="L1501" s="7">
        <f>SUM(H1501:K1501)</f>
        <v>2</v>
      </c>
      <c r="M1501" s="8">
        <v>1</v>
      </c>
      <c r="N1501" s="8">
        <f>IF(L1501&gt;0,1,"")</f>
        <v>1</v>
      </c>
      <c r="O1501" s="11" t="s">
        <v>1702</v>
      </c>
      <c r="P1501" s="16" t="str">
        <f>IF(LEN(G1501)=10,CONCATENATE("0",G1501),G1501)</f>
        <v>15-Apr-1921</v>
      </c>
      <c r="R1501" s="16" t="str">
        <f t="shared" si="650"/>
        <v>x</v>
      </c>
      <c r="S1501" s="16" t="str">
        <f t="shared" si="650"/>
        <v>x</v>
      </c>
      <c r="U1501" s="46" t="str">
        <f t="shared" si="643"/>
        <v/>
      </c>
      <c r="V1501" s="46">
        <f t="shared" si="643"/>
        <v>2</v>
      </c>
      <c r="W1501" s="46" t="str">
        <f t="shared" si="643"/>
        <v/>
      </c>
      <c r="X1501" s="46" t="str">
        <f t="shared" si="643"/>
        <v/>
      </c>
    </row>
    <row r="1502" spans="2:26" x14ac:dyDescent="0.25">
      <c r="B1502" s="11" t="str">
        <f>CONCATENATE("EMPF","-",LEFT(P1502,2),UPPER(MID(P1502,4,3)),RIGHT(P1502,4))</f>
        <v>EMPF-31AUG1922</v>
      </c>
      <c r="C1502" s="11" t="s">
        <v>2096</v>
      </c>
      <c r="D1502" s="11" t="s">
        <v>3134</v>
      </c>
      <c r="E1502" s="39" t="s">
        <v>2078</v>
      </c>
      <c r="F1502" s="11" t="s">
        <v>2813</v>
      </c>
      <c r="G1502" s="39" t="s">
        <v>4590</v>
      </c>
      <c r="H1502" s="7">
        <v>0</v>
      </c>
      <c r="I1502" s="7">
        <v>1</v>
      </c>
      <c r="J1502" s="17">
        <v>0</v>
      </c>
      <c r="K1502" s="17"/>
      <c r="L1502" s="7">
        <f>SUM(H1502:K1502)</f>
        <v>1</v>
      </c>
      <c r="M1502" s="8">
        <v>1</v>
      </c>
      <c r="N1502" s="8">
        <f>IF(L1502&gt;0,1,"")</f>
        <v>1</v>
      </c>
      <c r="O1502" s="11" t="s">
        <v>1702</v>
      </c>
      <c r="P1502" s="16" t="str">
        <f>IF(LEN(G1502)=10,CONCATENATE("0",G1502),G1502)</f>
        <v>31-Aug-1922</v>
      </c>
      <c r="R1502" s="16" t="str">
        <f t="shared" ref="R1502:S1509" si="651">IF($L1502&gt;0,"x","")</f>
        <v>x</v>
      </c>
      <c r="S1502" s="16" t="str">
        <f t="shared" si="651"/>
        <v>x</v>
      </c>
      <c r="U1502" s="46" t="str">
        <f t="shared" ref="U1502:X1505" si="652">IF($O1502=U$5,$L1502,"")</f>
        <v/>
      </c>
      <c r="V1502" s="46">
        <f t="shared" si="652"/>
        <v>1</v>
      </c>
      <c r="W1502" s="46" t="str">
        <f t="shared" si="652"/>
        <v/>
      </c>
      <c r="X1502" s="46" t="str">
        <f t="shared" si="652"/>
        <v/>
      </c>
    </row>
    <row r="1503" spans="2:26" x14ac:dyDescent="0.25">
      <c r="B1503" s="11" t="str">
        <f>CONCATENATE("EMPF","-",LEFT(P1503,2),UPPER(MID(P1503,4,3)),RIGHT(P1503,4))</f>
        <v>EMPF-14JAN1923</v>
      </c>
      <c r="C1503" s="11" t="s">
        <v>2096</v>
      </c>
      <c r="D1503" s="11" t="s">
        <v>2224</v>
      </c>
      <c r="E1503" s="39" t="s">
        <v>4874</v>
      </c>
      <c r="F1503" s="11" t="s">
        <v>211</v>
      </c>
      <c r="G1503" s="39" t="s">
        <v>4432</v>
      </c>
      <c r="J1503" s="17">
        <v>2</v>
      </c>
      <c r="K1503" s="17"/>
      <c r="L1503" s="7">
        <f>SUM(H1503:K1503)</f>
        <v>2</v>
      </c>
      <c r="M1503" s="8">
        <v>1</v>
      </c>
      <c r="N1503" s="8">
        <f>IF(L1503&gt;0,1,"")</f>
        <v>1</v>
      </c>
      <c r="O1503" s="11" t="s">
        <v>1702</v>
      </c>
      <c r="P1503" s="16" t="str">
        <f>IF(LEN(G1503)=10,CONCATENATE("0",G1503),G1503)</f>
        <v>14-Jan-1923</v>
      </c>
      <c r="R1503" s="16" t="str">
        <f t="shared" si="651"/>
        <v>x</v>
      </c>
      <c r="S1503" s="16" t="str">
        <f t="shared" si="651"/>
        <v>x</v>
      </c>
      <c r="U1503" s="46" t="str">
        <f t="shared" si="652"/>
        <v/>
      </c>
      <c r="V1503" s="46">
        <f t="shared" si="652"/>
        <v>2</v>
      </c>
      <c r="W1503" s="46" t="str">
        <f t="shared" si="652"/>
        <v/>
      </c>
      <c r="X1503" s="46" t="str">
        <f t="shared" si="652"/>
        <v/>
      </c>
    </row>
    <row r="1504" spans="2:26" x14ac:dyDescent="0.25">
      <c r="B1504" s="11" t="str">
        <f>CONCATENATE("EMPF","-",LEFT(P1504,2),UPPER(MID(P1504,4,3)),RIGHT(P1504,4))</f>
        <v>EMPF-20JUN1923</v>
      </c>
      <c r="C1504" s="11" t="s">
        <v>2096</v>
      </c>
      <c r="D1504" s="11" t="s">
        <v>2224</v>
      </c>
      <c r="E1504" s="39" t="s">
        <v>3881</v>
      </c>
      <c r="F1504" s="11" t="s">
        <v>2813</v>
      </c>
      <c r="G1504" s="39" t="s">
        <v>4973</v>
      </c>
      <c r="J1504" s="17">
        <v>2</v>
      </c>
      <c r="K1504" s="17"/>
      <c r="L1504" s="7">
        <f>SUM(H1504:K1504)</f>
        <v>2</v>
      </c>
      <c r="M1504" s="8">
        <v>1</v>
      </c>
      <c r="N1504" s="8">
        <f>IF(L1504&gt;0,1,"")</f>
        <v>1</v>
      </c>
      <c r="O1504" s="11" t="s">
        <v>1702</v>
      </c>
      <c r="P1504" s="16" t="str">
        <f>IF(LEN(G1504)=10,CONCATENATE("0",G1504),G1504)</f>
        <v>20-Jun-1923</v>
      </c>
      <c r="R1504" s="16" t="str">
        <f t="shared" si="651"/>
        <v>x</v>
      </c>
      <c r="S1504" s="16" t="str">
        <f t="shared" si="651"/>
        <v>x</v>
      </c>
      <c r="U1504" s="46" t="str">
        <f t="shared" si="652"/>
        <v/>
      </c>
      <c r="V1504" s="46">
        <f t="shared" si="652"/>
        <v>2</v>
      </c>
      <c r="W1504" s="46" t="str">
        <f t="shared" si="652"/>
        <v/>
      </c>
      <c r="X1504" s="46" t="str">
        <f t="shared" si="652"/>
        <v/>
      </c>
      <c r="Z1504" s="11" t="s">
        <v>3987</v>
      </c>
    </row>
    <row r="1505" spans="2:26" x14ac:dyDescent="0.25">
      <c r="B1505" s="11" t="str">
        <f>CONCATENATE("EMPF","-",LEFT(P1505,2),UPPER(MID(P1505,4,3)),RIGHT(P1505,4))</f>
        <v>EMPF-09SEP1923</v>
      </c>
      <c r="C1505" s="11" t="s">
        <v>2096</v>
      </c>
      <c r="D1505" s="11" t="s">
        <v>598</v>
      </c>
      <c r="E1505" s="39" t="s">
        <v>2888</v>
      </c>
      <c r="F1505" s="11" t="s">
        <v>2813</v>
      </c>
      <c r="G1505" s="39" t="s">
        <v>4832</v>
      </c>
      <c r="J1505" s="17">
        <v>4</v>
      </c>
      <c r="K1505" s="17"/>
      <c r="L1505" s="7">
        <f>SUM(H1505:K1505)</f>
        <v>4</v>
      </c>
      <c r="M1505" s="8">
        <v>1</v>
      </c>
      <c r="N1505" s="8">
        <f>IF(L1505&gt;0,1,"")</f>
        <v>1</v>
      </c>
      <c r="O1505" s="11" t="s">
        <v>1702</v>
      </c>
      <c r="P1505" s="16" t="str">
        <f>IF(LEN(G1505)=10,CONCATENATE("0",G1505),G1505)</f>
        <v>09-Sep-1923</v>
      </c>
      <c r="R1505" s="16" t="str">
        <f t="shared" si="651"/>
        <v>x</v>
      </c>
      <c r="S1505" s="16" t="str">
        <f t="shared" si="651"/>
        <v>x</v>
      </c>
      <c r="U1505" s="46" t="str">
        <f t="shared" si="652"/>
        <v/>
      </c>
      <c r="V1505" s="46">
        <f t="shared" si="652"/>
        <v>4</v>
      </c>
      <c r="W1505" s="46" t="str">
        <f t="shared" si="652"/>
        <v/>
      </c>
      <c r="X1505" s="46" t="str">
        <f t="shared" si="652"/>
        <v/>
      </c>
    </row>
    <row r="1506" spans="2:26" x14ac:dyDescent="0.25">
      <c r="B1506" s="11" t="str">
        <f t="shared" si="646"/>
        <v>EMPF-09NOV1923</v>
      </c>
      <c r="C1506" s="11" t="s">
        <v>2096</v>
      </c>
      <c r="D1506" s="11" t="s">
        <v>598</v>
      </c>
      <c r="E1506" s="39" t="s">
        <v>3622</v>
      </c>
      <c r="F1506" s="11" t="s">
        <v>2813</v>
      </c>
      <c r="G1506" s="39" t="s">
        <v>3623</v>
      </c>
      <c r="I1506" s="7">
        <v>1</v>
      </c>
      <c r="J1506" s="17">
        <v>6</v>
      </c>
      <c r="K1506" s="17"/>
      <c r="L1506" s="7">
        <f t="shared" si="647"/>
        <v>7</v>
      </c>
      <c r="M1506" s="8">
        <v>1</v>
      </c>
      <c r="N1506" s="8">
        <f t="shared" si="648"/>
        <v>1</v>
      </c>
      <c r="O1506" s="11" t="s">
        <v>1702</v>
      </c>
      <c r="P1506" s="16" t="str">
        <f t="shared" si="649"/>
        <v>09-Nov-1923</v>
      </c>
      <c r="R1506" s="16" t="str">
        <f t="shared" si="651"/>
        <v>x</v>
      </c>
      <c r="S1506" s="16" t="str">
        <f t="shared" si="651"/>
        <v>x</v>
      </c>
      <c r="U1506" s="46" t="str">
        <f>IF($O1506=U$5,$L1506,"")</f>
        <v/>
      </c>
      <c r="V1506" s="46">
        <f>IF($O1506=V$5,$L1506,"")</f>
        <v>7</v>
      </c>
      <c r="W1506" s="46" t="str">
        <f>IF($O1506=W$5,$L1506,"")</f>
        <v/>
      </c>
      <c r="X1506" s="46" t="str">
        <f>IF($O1506=X$5,$L1506,"")</f>
        <v/>
      </c>
    </row>
    <row r="1507" spans="2:26" x14ac:dyDescent="0.25">
      <c r="B1507" s="11" t="str">
        <f t="shared" si="646"/>
        <v>EMPF-14JUN1924</v>
      </c>
      <c r="C1507" s="11" t="s">
        <v>2096</v>
      </c>
      <c r="D1507" s="11" t="s">
        <v>598</v>
      </c>
      <c r="E1507" s="39" t="s">
        <v>4340</v>
      </c>
      <c r="F1507" s="11" t="s">
        <v>2813</v>
      </c>
      <c r="G1507" s="39" t="s">
        <v>1175</v>
      </c>
      <c r="J1507" s="17">
        <v>5</v>
      </c>
      <c r="K1507" s="17"/>
      <c r="L1507" s="7">
        <f t="shared" si="647"/>
        <v>5</v>
      </c>
      <c r="M1507" s="8">
        <v>1</v>
      </c>
      <c r="N1507" s="8">
        <f t="shared" si="648"/>
        <v>1</v>
      </c>
      <c r="O1507" s="11" t="s">
        <v>1702</v>
      </c>
      <c r="P1507" s="16" t="str">
        <f t="shared" si="649"/>
        <v>14-Jun-1924</v>
      </c>
      <c r="R1507" s="16" t="str">
        <f t="shared" si="651"/>
        <v>x</v>
      </c>
      <c r="S1507" s="16" t="str">
        <f t="shared" si="651"/>
        <v>x</v>
      </c>
      <c r="U1507" s="46" t="str">
        <f t="shared" ref="U1507:X1508" si="653">IF($O1507=U$5,$L1507,"")</f>
        <v/>
      </c>
      <c r="V1507" s="46">
        <f t="shared" si="653"/>
        <v>5</v>
      </c>
      <c r="W1507" s="46" t="str">
        <f t="shared" si="653"/>
        <v/>
      </c>
      <c r="X1507" s="46" t="str">
        <f t="shared" si="653"/>
        <v/>
      </c>
      <c r="Z1507" s="11" t="s">
        <v>3987</v>
      </c>
    </row>
    <row r="1508" spans="2:26" x14ac:dyDescent="0.25">
      <c r="B1508" s="11" t="str">
        <f t="shared" si="646"/>
        <v>EMPF-03OCT1924</v>
      </c>
      <c r="C1508" s="11" t="s">
        <v>2096</v>
      </c>
      <c r="D1508" s="11" t="s">
        <v>598</v>
      </c>
      <c r="E1508" s="39" t="s">
        <v>4553</v>
      </c>
      <c r="F1508" s="11" t="s">
        <v>2813</v>
      </c>
      <c r="G1508" s="39" t="s">
        <v>4344</v>
      </c>
      <c r="J1508" s="17">
        <v>1</v>
      </c>
      <c r="K1508" s="17"/>
      <c r="L1508" s="7">
        <f t="shared" si="647"/>
        <v>1</v>
      </c>
      <c r="M1508" s="8">
        <v>1</v>
      </c>
      <c r="N1508" s="8">
        <f t="shared" si="648"/>
        <v>1</v>
      </c>
      <c r="O1508" s="11" t="s">
        <v>1702</v>
      </c>
      <c r="P1508" s="16" t="str">
        <f t="shared" si="649"/>
        <v>03-Oct-1924</v>
      </c>
      <c r="R1508" s="16" t="str">
        <f t="shared" si="651"/>
        <v>x</v>
      </c>
      <c r="S1508" s="16" t="str">
        <f t="shared" si="651"/>
        <v>x</v>
      </c>
      <c r="U1508" s="46" t="str">
        <f t="shared" si="653"/>
        <v/>
      </c>
      <c r="V1508" s="46">
        <f t="shared" si="653"/>
        <v>1</v>
      </c>
      <c r="W1508" s="46" t="str">
        <f t="shared" si="653"/>
        <v/>
      </c>
      <c r="X1508" s="46" t="str">
        <f t="shared" si="653"/>
        <v/>
      </c>
      <c r="Z1508" s="11" t="s">
        <v>3987</v>
      </c>
    </row>
    <row r="1509" spans="2:26" x14ac:dyDescent="0.25">
      <c r="B1509" s="11" t="str">
        <f t="shared" si="646"/>
        <v>EMPF-31OCT1924</v>
      </c>
      <c r="C1509" s="11" t="s">
        <v>2096</v>
      </c>
      <c r="D1509" s="11" t="s">
        <v>2224</v>
      </c>
      <c r="E1509" s="39" t="s">
        <v>3985</v>
      </c>
      <c r="F1509" s="11" t="s">
        <v>2813</v>
      </c>
      <c r="G1509" s="39" t="s">
        <v>3986</v>
      </c>
      <c r="J1509" s="17">
        <v>2</v>
      </c>
      <c r="K1509" s="17"/>
      <c r="L1509" s="7">
        <f t="shared" si="647"/>
        <v>2</v>
      </c>
      <c r="M1509" s="8">
        <v>1</v>
      </c>
      <c r="N1509" s="8">
        <f t="shared" si="648"/>
        <v>1</v>
      </c>
      <c r="O1509" s="11" t="s">
        <v>1702</v>
      </c>
      <c r="P1509" s="16" t="str">
        <f t="shared" si="649"/>
        <v>31-Oct-1924</v>
      </c>
      <c r="R1509" s="16" t="str">
        <f t="shared" si="651"/>
        <v>x</v>
      </c>
      <c r="S1509" s="16" t="str">
        <f t="shared" si="651"/>
        <v>x</v>
      </c>
      <c r="U1509" s="46" t="str">
        <f t="shared" ref="U1509:X1532" si="654">IF($O1509=U$5,$L1509,"")</f>
        <v/>
      </c>
      <c r="V1509" s="46">
        <f t="shared" si="654"/>
        <v>2</v>
      </c>
      <c r="W1509" s="46" t="str">
        <f t="shared" si="654"/>
        <v/>
      </c>
      <c r="X1509" s="46" t="str">
        <f t="shared" si="654"/>
        <v/>
      </c>
      <c r="Z1509" s="11" t="s">
        <v>3987</v>
      </c>
    </row>
    <row r="1510" spans="2:26" x14ac:dyDescent="0.25">
      <c r="N1510" s="8" t="str">
        <f>IF(R1510="x",1,"")</f>
        <v/>
      </c>
      <c r="U1510" s="46" t="str">
        <f t="shared" si="654"/>
        <v/>
      </c>
      <c r="V1510" s="46" t="str">
        <f t="shared" si="654"/>
        <v/>
      </c>
      <c r="W1510" s="46" t="str">
        <f t="shared" si="654"/>
        <v/>
      </c>
      <c r="X1510" s="46" t="str">
        <f t="shared" si="654"/>
        <v/>
      </c>
    </row>
    <row r="1511" spans="2:26" s="18" customFormat="1" x14ac:dyDescent="0.25">
      <c r="E1511" s="40"/>
      <c r="G1511" s="40"/>
      <c r="H1511" s="7">
        <f t="shared" ref="H1511:N1511" si="655">SUM(H1498:H1510)</f>
        <v>2</v>
      </c>
      <c r="I1511" s="7">
        <f t="shared" si="655"/>
        <v>3</v>
      </c>
      <c r="J1511" s="7">
        <f>SUM(J1498:J1510)</f>
        <v>34</v>
      </c>
      <c r="K1511" s="7">
        <f t="shared" si="655"/>
        <v>0</v>
      </c>
      <c r="L1511" s="7">
        <f t="shared" si="655"/>
        <v>39</v>
      </c>
      <c r="M1511" s="7">
        <f t="shared" si="655"/>
        <v>12</v>
      </c>
      <c r="N1511" s="7">
        <f t="shared" si="655"/>
        <v>12</v>
      </c>
      <c r="P1511" s="13"/>
      <c r="Q1511" s="13"/>
      <c r="R1511" s="16"/>
      <c r="S1511" s="13"/>
      <c r="T1511" s="15"/>
      <c r="U1511" s="46" t="str">
        <f t="shared" si="654"/>
        <v/>
      </c>
      <c r="V1511" s="46" t="str">
        <f t="shared" si="654"/>
        <v/>
      </c>
      <c r="W1511" s="46" t="str">
        <f t="shared" si="654"/>
        <v/>
      </c>
      <c r="X1511" s="46" t="str">
        <f t="shared" si="654"/>
        <v/>
      </c>
      <c r="Z1511" s="11"/>
    </row>
    <row r="1512" spans="2:26" x14ac:dyDescent="0.25">
      <c r="B1512" s="18"/>
      <c r="C1512" s="18"/>
      <c r="D1512" s="18"/>
      <c r="E1512" s="40"/>
      <c r="F1512" s="18"/>
      <c r="G1512" s="40"/>
      <c r="N1512" s="8" t="str">
        <f>IF(R1512="x",1,"")</f>
        <v/>
      </c>
      <c r="O1512" s="18"/>
      <c r="P1512" s="13"/>
      <c r="Q1512" s="13"/>
      <c r="R1512" s="13"/>
      <c r="S1512" s="13"/>
      <c r="T1512" s="15"/>
      <c r="U1512" s="46" t="str">
        <f t="shared" si="654"/>
        <v/>
      </c>
      <c r="V1512" s="46" t="str">
        <f t="shared" si="654"/>
        <v/>
      </c>
      <c r="W1512" s="46" t="str">
        <f t="shared" si="654"/>
        <v/>
      </c>
      <c r="X1512" s="46" t="str">
        <f t="shared" si="654"/>
        <v/>
      </c>
    </row>
    <row r="1513" spans="2:26" x14ac:dyDescent="0.25">
      <c r="B1513" s="18"/>
      <c r="C1513" s="18"/>
      <c r="D1513" s="18"/>
      <c r="E1513" s="40"/>
      <c r="F1513" s="18"/>
      <c r="G1513" s="40"/>
      <c r="N1513" s="8" t="str">
        <f>IF(R1513="x",1,"")</f>
        <v/>
      </c>
      <c r="O1513" s="18"/>
      <c r="P1513" s="13"/>
      <c r="Q1513" s="13"/>
      <c r="R1513" s="13"/>
      <c r="S1513" s="13"/>
      <c r="T1513" s="15"/>
      <c r="U1513" s="46" t="str">
        <f t="shared" si="654"/>
        <v/>
      </c>
      <c r="V1513" s="46" t="str">
        <f t="shared" si="654"/>
        <v/>
      </c>
      <c r="W1513" s="46" t="str">
        <f t="shared" si="654"/>
        <v/>
      </c>
      <c r="X1513" s="46" t="str">
        <f t="shared" si="654"/>
        <v/>
      </c>
    </row>
    <row r="1514" spans="2:26" x14ac:dyDescent="0.25">
      <c r="B1514" s="11" t="str">
        <f>CONCATENATE("EMPS","-",LEFT(P1514,2),UPPER(MID(P1514,4,3)),RIGHT(P1514,4))</f>
        <v>EMPS-13MAY1923</v>
      </c>
      <c r="C1514" s="11" t="s">
        <v>6183</v>
      </c>
      <c r="D1514" s="11" t="s">
        <v>598</v>
      </c>
      <c r="E1514" s="39" t="s">
        <v>11395</v>
      </c>
      <c r="F1514" s="11" t="s">
        <v>2813</v>
      </c>
      <c r="G1514" s="39" t="s">
        <v>11396</v>
      </c>
      <c r="J1514" s="17">
        <v>5</v>
      </c>
      <c r="K1514" s="17"/>
      <c r="L1514" s="7">
        <f>SUM(H1514:K1514)</f>
        <v>5</v>
      </c>
      <c r="M1514" s="8">
        <v>1</v>
      </c>
      <c r="N1514" s="8">
        <f>IF(L1514&gt;0,1,"")</f>
        <v>1</v>
      </c>
      <c r="O1514" s="11" t="s">
        <v>1702</v>
      </c>
      <c r="P1514" s="16" t="str">
        <f>IF(LEN(G1514)=10,CONCATENATE("0",G1514),G1514)</f>
        <v>13-May-1923</v>
      </c>
      <c r="R1514" s="16" t="str">
        <f t="shared" ref="R1514:S1516" si="656">IF($L1514&gt;0,"x","")</f>
        <v>x</v>
      </c>
      <c r="S1514" s="16" t="str">
        <f t="shared" si="656"/>
        <v>x</v>
      </c>
      <c r="U1514" s="46" t="str">
        <f t="shared" si="654"/>
        <v/>
      </c>
      <c r="V1514" s="46">
        <f t="shared" si="654"/>
        <v>5</v>
      </c>
      <c r="W1514" s="46" t="str">
        <f t="shared" si="654"/>
        <v/>
      </c>
      <c r="X1514" s="46" t="str">
        <f t="shared" si="654"/>
        <v/>
      </c>
    </row>
    <row r="1515" spans="2:26" x14ac:dyDescent="0.25">
      <c r="B1515" s="11" t="str">
        <f>CONCATENATE("EMPS","-",LEFT(P1515,2),UPPER(MID(P1515,4,3)),RIGHT(P1515,4))</f>
        <v>EMPS-31MAY1924</v>
      </c>
      <c r="C1515" s="11" t="s">
        <v>6183</v>
      </c>
      <c r="D1515" s="11" t="s">
        <v>3134</v>
      </c>
      <c r="E1515" s="39" t="s">
        <v>11402</v>
      </c>
      <c r="F1515" s="11" t="s">
        <v>2813</v>
      </c>
      <c r="G1515" s="39" t="s">
        <v>4339</v>
      </c>
      <c r="J1515" s="17">
        <v>6</v>
      </c>
      <c r="K1515" s="17"/>
      <c r="L1515" s="7">
        <f>SUM(H1515:K1515)</f>
        <v>6</v>
      </c>
      <c r="M1515" s="8">
        <v>1</v>
      </c>
      <c r="N1515" s="8">
        <f>IF(L1515&gt;0,1,"")</f>
        <v>1</v>
      </c>
      <c r="O1515" s="11" t="s">
        <v>1702</v>
      </c>
      <c r="P1515" s="16" t="str">
        <f>IF(LEN(G1515)=10,CONCATENATE("0",G1515),G1515)</f>
        <v>31-May-1924</v>
      </c>
      <c r="R1515" s="16" t="str">
        <f t="shared" si="656"/>
        <v>x</v>
      </c>
      <c r="S1515" s="16" t="str">
        <f t="shared" si="656"/>
        <v>x</v>
      </c>
      <c r="U1515" s="46" t="str">
        <f t="shared" si="654"/>
        <v/>
      </c>
      <c r="V1515" s="46">
        <f t="shared" si="654"/>
        <v>6</v>
      </c>
      <c r="W1515" s="46" t="str">
        <f t="shared" si="654"/>
        <v/>
      </c>
      <c r="X1515" s="46" t="str">
        <f t="shared" si="654"/>
        <v/>
      </c>
    </row>
    <row r="1516" spans="2:26" x14ac:dyDescent="0.25">
      <c r="B1516" s="11" t="str">
        <f>CONCATENATE("EMPS","-",LEFT(P1516,2),UPPER(MID(P1516,4,3)),RIGHT(P1516,4))</f>
        <v>EMPS-28JUN1924</v>
      </c>
      <c r="C1516" s="11" t="s">
        <v>6183</v>
      </c>
      <c r="D1516" s="11" t="s">
        <v>2224</v>
      </c>
      <c r="E1516" s="39" t="s">
        <v>3267</v>
      </c>
      <c r="F1516" s="11" t="s">
        <v>2813</v>
      </c>
      <c r="G1516" s="39" t="s">
        <v>6184</v>
      </c>
      <c r="J1516" s="17">
        <v>2</v>
      </c>
      <c r="K1516" s="17"/>
      <c r="L1516" s="7">
        <f>SUM(H1516:K1516)</f>
        <v>2</v>
      </c>
      <c r="M1516" s="8">
        <v>1</v>
      </c>
      <c r="N1516" s="8">
        <f>IF(L1516&gt;0,1,"")</f>
        <v>1</v>
      </c>
      <c r="O1516" s="11" t="s">
        <v>1702</v>
      </c>
      <c r="P1516" s="16" t="str">
        <f>IF(LEN(G1516)=10,CONCATENATE("0",G1516),G1516)</f>
        <v>28-Jun-1924</v>
      </c>
      <c r="R1516" s="16" t="str">
        <f t="shared" si="656"/>
        <v>x</v>
      </c>
      <c r="S1516" s="16" t="str">
        <f t="shared" si="656"/>
        <v>x</v>
      </c>
      <c r="U1516" s="46" t="str">
        <f t="shared" si="654"/>
        <v/>
      </c>
      <c r="V1516" s="46">
        <f t="shared" si="654"/>
        <v>2</v>
      </c>
      <c r="W1516" s="46" t="str">
        <f t="shared" si="654"/>
        <v/>
      </c>
      <c r="X1516" s="46" t="str">
        <f t="shared" si="654"/>
        <v/>
      </c>
    </row>
    <row r="1517" spans="2:26" x14ac:dyDescent="0.25">
      <c r="N1517" s="8" t="str">
        <f>IF(R1517="x",1,"")</f>
        <v/>
      </c>
      <c r="U1517" s="46" t="str">
        <f t="shared" si="654"/>
        <v/>
      </c>
      <c r="V1517" s="46" t="str">
        <f t="shared" si="654"/>
        <v/>
      </c>
      <c r="W1517" s="46" t="str">
        <f t="shared" si="654"/>
        <v/>
      </c>
      <c r="X1517" s="46" t="str">
        <f t="shared" si="654"/>
        <v/>
      </c>
    </row>
    <row r="1518" spans="2:26" x14ac:dyDescent="0.25">
      <c r="B1518" s="18"/>
      <c r="C1518" s="18"/>
      <c r="D1518" s="18"/>
      <c r="E1518" s="40"/>
      <c r="F1518" s="18"/>
      <c r="G1518" s="40"/>
      <c r="H1518" s="7">
        <f t="shared" ref="H1518:N1518" si="657">SUM(H1514:H1517)</f>
        <v>0</v>
      </c>
      <c r="I1518" s="7">
        <f t="shared" si="657"/>
        <v>0</v>
      </c>
      <c r="J1518" s="7">
        <f>SUM(J1514:J1517)</f>
        <v>13</v>
      </c>
      <c r="K1518" s="7">
        <f t="shared" si="657"/>
        <v>0</v>
      </c>
      <c r="L1518" s="7">
        <f t="shared" si="657"/>
        <v>13</v>
      </c>
      <c r="M1518" s="7">
        <f t="shared" si="657"/>
        <v>3</v>
      </c>
      <c r="N1518" s="7">
        <f t="shared" si="657"/>
        <v>3</v>
      </c>
      <c r="O1518" s="18"/>
      <c r="P1518" s="13"/>
      <c r="Q1518" s="13"/>
      <c r="S1518" s="13"/>
      <c r="T1518" s="15"/>
      <c r="U1518" s="46" t="str">
        <f t="shared" si="654"/>
        <v/>
      </c>
      <c r="V1518" s="46" t="str">
        <f t="shared" si="654"/>
        <v/>
      </c>
      <c r="W1518" s="46" t="str">
        <f t="shared" si="654"/>
        <v/>
      </c>
      <c r="X1518" s="46" t="str">
        <f t="shared" si="654"/>
        <v/>
      </c>
    </row>
    <row r="1519" spans="2:26" x14ac:dyDescent="0.25">
      <c r="B1519" s="18"/>
      <c r="C1519" s="18"/>
      <c r="D1519" s="18"/>
      <c r="E1519" s="40"/>
      <c r="F1519" s="18"/>
      <c r="G1519" s="40"/>
      <c r="N1519" s="8" t="str">
        <f>IF(R1519="x",1,"")</f>
        <v/>
      </c>
      <c r="O1519" s="18"/>
      <c r="P1519" s="13"/>
      <c r="Q1519" s="13"/>
      <c r="R1519" s="13"/>
      <c r="S1519" s="13"/>
      <c r="T1519" s="15"/>
      <c r="U1519" s="46" t="str">
        <f t="shared" si="654"/>
        <v/>
      </c>
      <c r="V1519" s="46" t="str">
        <f t="shared" si="654"/>
        <v/>
      </c>
      <c r="W1519" s="46" t="str">
        <f t="shared" si="654"/>
        <v/>
      </c>
      <c r="X1519" s="46" t="str">
        <f t="shared" si="654"/>
        <v/>
      </c>
    </row>
    <row r="1520" spans="2:26" x14ac:dyDescent="0.25">
      <c r="B1520" s="18"/>
      <c r="C1520" s="18"/>
      <c r="D1520" s="18"/>
      <c r="E1520" s="40"/>
      <c r="F1520" s="18"/>
      <c r="G1520" s="40"/>
      <c r="N1520" s="8" t="str">
        <f>IF(R1520="x",1,"")</f>
        <v/>
      </c>
      <c r="O1520" s="18"/>
      <c r="P1520" s="13"/>
      <c r="Q1520" s="13"/>
      <c r="R1520" s="13"/>
      <c r="S1520" s="13"/>
      <c r="T1520" s="15"/>
      <c r="U1520" s="46" t="str">
        <f t="shared" si="654"/>
        <v/>
      </c>
      <c r="V1520" s="46" t="str">
        <f t="shared" si="654"/>
        <v/>
      </c>
      <c r="W1520" s="46" t="str">
        <f t="shared" si="654"/>
        <v/>
      </c>
      <c r="X1520" s="46" t="str">
        <f t="shared" si="654"/>
        <v/>
      </c>
    </row>
    <row r="1521" spans="2:24" x14ac:dyDescent="0.25">
      <c r="B1521" s="11" t="str">
        <f>CONCATENATE("EMSX","-",LEFT(P1521,2),UPPER(MID(P1521,4,3)),RIGHT(P1521,4))</f>
        <v>EMSX-23NOV1892</v>
      </c>
      <c r="C1521" s="11" t="s">
        <v>3216</v>
      </c>
      <c r="D1521" s="11" t="s">
        <v>3217</v>
      </c>
      <c r="F1521" s="11" t="s">
        <v>1700</v>
      </c>
      <c r="G1521" s="39" t="s">
        <v>3974</v>
      </c>
      <c r="H1521" s="7">
        <v>0</v>
      </c>
      <c r="I1521" s="7">
        <v>43</v>
      </c>
      <c r="J1521" s="17">
        <v>0</v>
      </c>
      <c r="K1521" s="17"/>
      <c r="L1521" s="7">
        <f>SUM(H1521:K1521)</f>
        <v>43</v>
      </c>
      <c r="M1521" s="8">
        <v>1</v>
      </c>
      <c r="N1521" s="8">
        <f>IF(L1521&gt;0,1,"")</f>
        <v>1</v>
      </c>
      <c r="O1521" s="11" t="s">
        <v>1702</v>
      </c>
      <c r="P1521" s="16" t="str">
        <f>IF(LEN(G1521)=10,CONCATENATE("0",G1521),G1521)</f>
        <v>23-Nov-1892</v>
      </c>
      <c r="R1521" s="16" t="str">
        <f>IF($L1521&gt;0,"x","")</f>
        <v>x</v>
      </c>
      <c r="S1521" s="16" t="str">
        <f>IF($L1521&gt;0,"x","")</f>
        <v>x</v>
      </c>
      <c r="U1521" s="46" t="str">
        <f t="shared" si="654"/>
        <v/>
      </c>
      <c r="V1521" s="46">
        <f t="shared" si="654"/>
        <v>43</v>
      </c>
      <c r="W1521" s="46" t="str">
        <f t="shared" si="654"/>
        <v/>
      </c>
      <c r="X1521" s="46" t="str">
        <f t="shared" si="654"/>
        <v/>
      </c>
    </row>
    <row r="1522" spans="2:24" x14ac:dyDescent="0.25">
      <c r="N1522" s="8" t="str">
        <f>IF(R1522="x",1,"")</f>
        <v/>
      </c>
      <c r="U1522" s="46" t="str">
        <f t="shared" si="654"/>
        <v/>
      </c>
      <c r="V1522" s="46" t="str">
        <f t="shared" si="654"/>
        <v/>
      </c>
      <c r="W1522" s="46" t="str">
        <f t="shared" si="654"/>
        <v/>
      </c>
      <c r="X1522" s="46" t="str">
        <f t="shared" si="654"/>
        <v/>
      </c>
    </row>
    <row r="1523" spans="2:24" x14ac:dyDescent="0.25">
      <c r="B1523" s="18"/>
      <c r="C1523" s="18"/>
      <c r="D1523" s="18"/>
      <c r="E1523" s="40"/>
      <c r="F1523" s="18"/>
      <c r="G1523" s="40"/>
      <c r="H1523" s="7">
        <f t="shared" ref="H1523:N1523" si="658">SUM(H1521:H1522)</f>
        <v>0</v>
      </c>
      <c r="I1523" s="7">
        <f t="shared" si="658"/>
        <v>43</v>
      </c>
      <c r="J1523" s="7">
        <f>SUM(J1521:J1522)</f>
        <v>0</v>
      </c>
      <c r="K1523" s="7">
        <f t="shared" si="658"/>
        <v>0</v>
      </c>
      <c r="L1523" s="7">
        <f t="shared" si="658"/>
        <v>43</v>
      </c>
      <c r="M1523" s="7">
        <f t="shared" si="658"/>
        <v>1</v>
      </c>
      <c r="N1523" s="7">
        <f t="shared" si="658"/>
        <v>1</v>
      </c>
      <c r="O1523" s="18"/>
      <c r="P1523" s="13"/>
      <c r="Q1523" s="13"/>
      <c r="S1523" s="13"/>
      <c r="T1523" s="15"/>
      <c r="U1523" s="46" t="str">
        <f t="shared" si="654"/>
        <v/>
      </c>
      <c r="V1523" s="46" t="str">
        <f t="shared" si="654"/>
        <v/>
      </c>
      <c r="W1523" s="46" t="str">
        <f t="shared" si="654"/>
        <v/>
      </c>
      <c r="X1523" s="46" t="str">
        <f t="shared" si="654"/>
        <v/>
      </c>
    </row>
    <row r="1524" spans="2:24" x14ac:dyDescent="0.25">
      <c r="B1524" s="18"/>
      <c r="C1524" s="18"/>
      <c r="D1524" s="18"/>
      <c r="E1524" s="40"/>
      <c r="F1524" s="18"/>
      <c r="G1524" s="40"/>
      <c r="N1524" s="8" t="str">
        <f>IF(R1524="x",1,"")</f>
        <v/>
      </c>
      <c r="O1524" s="18"/>
      <c r="P1524" s="13"/>
      <c r="Q1524" s="13"/>
      <c r="R1524" s="13"/>
      <c r="S1524" s="13"/>
      <c r="T1524" s="15"/>
      <c r="U1524" s="46" t="str">
        <f t="shared" si="654"/>
        <v/>
      </c>
      <c r="V1524" s="46" t="str">
        <f t="shared" si="654"/>
        <v/>
      </c>
      <c r="W1524" s="46" t="str">
        <f t="shared" si="654"/>
        <v/>
      </c>
      <c r="X1524" s="46" t="str">
        <f t="shared" si="654"/>
        <v/>
      </c>
    </row>
    <row r="1525" spans="2:24" x14ac:dyDescent="0.25">
      <c r="B1525" s="18"/>
      <c r="C1525" s="18"/>
      <c r="D1525" s="18"/>
      <c r="E1525" s="40"/>
      <c r="F1525" s="18"/>
      <c r="G1525" s="40"/>
      <c r="N1525" s="8" t="str">
        <f>IF(R1525="x",1,"")</f>
        <v/>
      </c>
      <c r="O1525" s="18"/>
      <c r="P1525" s="13"/>
      <c r="Q1525" s="13"/>
      <c r="R1525" s="13"/>
      <c r="S1525" s="13"/>
      <c r="T1525" s="15"/>
      <c r="U1525" s="46" t="str">
        <f t="shared" si="654"/>
        <v/>
      </c>
      <c r="V1525" s="46" t="str">
        <f t="shared" si="654"/>
        <v/>
      </c>
      <c r="W1525" s="46" t="str">
        <f t="shared" si="654"/>
        <v/>
      </c>
      <c r="X1525" s="46" t="str">
        <f t="shared" si="654"/>
        <v/>
      </c>
    </row>
    <row r="1526" spans="2:24" x14ac:dyDescent="0.25">
      <c r="B1526" s="11" t="str">
        <f>CONCATENATE("ENGL","-",LEFT(P1526,2),UPPER(MID(P1526,4,3)),RIGHT(P1526,4))</f>
        <v>ENGL-07OCT1869</v>
      </c>
      <c r="C1526" s="11" t="s">
        <v>3582</v>
      </c>
      <c r="D1526" s="11" t="s">
        <v>2097</v>
      </c>
      <c r="F1526" s="11" t="s">
        <v>1700</v>
      </c>
      <c r="G1526" s="39" t="s">
        <v>5030</v>
      </c>
      <c r="H1526" s="7">
        <v>3</v>
      </c>
      <c r="J1526" s="17">
        <v>0</v>
      </c>
      <c r="K1526" s="17"/>
      <c r="L1526" s="7">
        <f>SUM(H1526:K1526)</f>
        <v>3</v>
      </c>
      <c r="M1526" s="8">
        <v>1</v>
      </c>
      <c r="N1526" s="8">
        <f>IF(L1526&gt;0,1,"")</f>
        <v>1</v>
      </c>
      <c r="O1526" s="11" t="s">
        <v>1702</v>
      </c>
      <c r="P1526" s="16" t="str">
        <f>IF(LEN(G1526)=10,CONCATENATE("0",G1526),G1526)</f>
        <v>07-Oct-1869</v>
      </c>
      <c r="R1526" s="16" t="str">
        <f>IF($L1526&gt;0,"x","")</f>
        <v>x</v>
      </c>
      <c r="S1526" s="16" t="str">
        <f>IF($L1526&gt;0,"x","")</f>
        <v>x</v>
      </c>
      <c r="U1526" s="46" t="str">
        <f t="shared" si="654"/>
        <v/>
      </c>
      <c r="V1526" s="46">
        <f t="shared" si="654"/>
        <v>3</v>
      </c>
      <c r="W1526" s="46" t="str">
        <f t="shared" si="654"/>
        <v/>
      </c>
      <c r="X1526" s="46" t="str">
        <f t="shared" si="654"/>
        <v/>
      </c>
    </row>
    <row r="1527" spans="2:24" x14ac:dyDescent="0.25">
      <c r="B1527" s="11" t="str">
        <f>CONCATENATE("ENGL","-",LEFT(P1527,2),UPPER(MID(P1527,4,3)),RIGHT(P1527,4))</f>
        <v>ENGL-09AUG1888</v>
      </c>
      <c r="C1527" s="11" t="s">
        <v>3582</v>
      </c>
      <c r="D1527" s="11" t="s">
        <v>2097</v>
      </c>
      <c r="F1527" s="11" t="s">
        <v>1700</v>
      </c>
      <c r="G1527" s="39" t="s">
        <v>3583</v>
      </c>
      <c r="J1527" s="17">
        <v>10</v>
      </c>
      <c r="K1527" s="17"/>
      <c r="L1527" s="7">
        <f>SUM(H1527:K1527)</f>
        <v>10</v>
      </c>
      <c r="M1527" s="8">
        <v>1</v>
      </c>
      <c r="N1527" s="8">
        <f>IF(L1527&gt;0,1,"")</f>
        <v>1</v>
      </c>
      <c r="O1527" s="11" t="s">
        <v>1702</v>
      </c>
      <c r="P1527" s="16" t="str">
        <f>IF(LEN(G1527)=10,CONCATENATE("0",G1527),G1527)</f>
        <v>09-Aug-1888</v>
      </c>
      <c r="R1527" s="16" t="str">
        <f>IF($L1527&gt;0,"x","")</f>
        <v>x</v>
      </c>
      <c r="S1527" s="16" t="str">
        <f>IF($L1527&gt;0,"x","")</f>
        <v>x</v>
      </c>
      <c r="U1527" s="46" t="str">
        <f t="shared" si="654"/>
        <v/>
      </c>
      <c r="V1527" s="46">
        <f t="shared" si="654"/>
        <v>10</v>
      </c>
      <c r="W1527" s="46" t="str">
        <f t="shared" si="654"/>
        <v/>
      </c>
      <c r="X1527" s="46" t="str">
        <f t="shared" si="654"/>
        <v/>
      </c>
    </row>
    <row r="1528" spans="2:24" x14ac:dyDescent="0.25">
      <c r="N1528" s="8" t="str">
        <f>IF(R1528="x",1,"")</f>
        <v/>
      </c>
      <c r="U1528" s="46" t="str">
        <f t="shared" si="654"/>
        <v/>
      </c>
      <c r="V1528" s="46" t="str">
        <f t="shared" si="654"/>
        <v/>
      </c>
      <c r="W1528" s="46" t="str">
        <f t="shared" si="654"/>
        <v/>
      </c>
      <c r="X1528" s="46" t="str">
        <f t="shared" si="654"/>
        <v/>
      </c>
    </row>
    <row r="1529" spans="2:24" x14ac:dyDescent="0.25">
      <c r="B1529" s="18"/>
      <c r="C1529" s="18"/>
      <c r="D1529" s="18"/>
      <c r="E1529" s="40"/>
      <c r="F1529" s="18"/>
      <c r="G1529" s="40"/>
      <c r="H1529" s="7">
        <f t="shared" ref="H1529:N1529" si="659">SUM(H1526:H1528)</f>
        <v>3</v>
      </c>
      <c r="I1529" s="7">
        <f t="shared" si="659"/>
        <v>0</v>
      </c>
      <c r="J1529" s="7">
        <f>SUM(J1526:J1528)</f>
        <v>10</v>
      </c>
      <c r="K1529" s="7">
        <f t="shared" si="659"/>
        <v>0</v>
      </c>
      <c r="L1529" s="7">
        <f>SUM(L1526:L1528)</f>
        <v>13</v>
      </c>
      <c r="M1529" s="7">
        <f t="shared" si="659"/>
        <v>2</v>
      </c>
      <c r="N1529" s="7">
        <f t="shared" si="659"/>
        <v>2</v>
      </c>
      <c r="O1529" s="18"/>
      <c r="P1529" s="13"/>
      <c r="Q1529" s="13"/>
      <c r="S1529" s="13"/>
      <c r="T1529" s="15"/>
      <c r="U1529" s="46" t="str">
        <f t="shared" si="654"/>
        <v/>
      </c>
      <c r="V1529" s="46" t="str">
        <f t="shared" si="654"/>
        <v/>
      </c>
      <c r="W1529" s="46" t="str">
        <f t="shared" si="654"/>
        <v/>
      </c>
      <c r="X1529" s="46" t="str">
        <f t="shared" si="654"/>
        <v/>
      </c>
    </row>
    <row r="1530" spans="2:24" x14ac:dyDescent="0.25">
      <c r="B1530" s="18"/>
      <c r="C1530" s="18"/>
      <c r="D1530" s="18"/>
      <c r="E1530" s="40"/>
      <c r="F1530" s="18"/>
      <c r="G1530" s="40"/>
      <c r="N1530" s="8" t="str">
        <f>IF(R1530="x",1,"")</f>
        <v/>
      </c>
      <c r="O1530" s="18"/>
      <c r="P1530" s="13"/>
      <c r="Q1530" s="13"/>
      <c r="R1530" s="13"/>
      <c r="S1530" s="13"/>
      <c r="T1530" s="15"/>
      <c r="U1530" s="46" t="str">
        <f t="shared" si="654"/>
        <v/>
      </c>
      <c r="V1530" s="46" t="str">
        <f t="shared" si="654"/>
        <v/>
      </c>
      <c r="W1530" s="46" t="str">
        <f t="shared" si="654"/>
        <v/>
      </c>
      <c r="X1530" s="46" t="str">
        <f t="shared" si="654"/>
        <v/>
      </c>
    </row>
    <row r="1531" spans="2:24" x14ac:dyDescent="0.25">
      <c r="B1531" s="18"/>
      <c r="C1531" s="18"/>
      <c r="D1531" s="18"/>
      <c r="E1531" s="40"/>
      <c r="F1531" s="18"/>
      <c r="G1531" s="40"/>
      <c r="N1531" s="8" t="str">
        <f>IF(R1531="x",1,"")</f>
        <v/>
      </c>
      <c r="O1531" s="18"/>
      <c r="P1531" s="13"/>
      <c r="Q1531" s="13"/>
      <c r="R1531" s="13"/>
      <c r="S1531" s="13"/>
      <c r="T1531" s="15"/>
      <c r="U1531" s="46" t="str">
        <f t="shared" si="654"/>
        <v/>
      </c>
      <c r="V1531" s="46" t="str">
        <f t="shared" si="654"/>
        <v/>
      </c>
      <c r="W1531" s="46" t="str">
        <f t="shared" si="654"/>
        <v/>
      </c>
      <c r="X1531" s="46" t="str">
        <f t="shared" si="654"/>
        <v/>
      </c>
    </row>
    <row r="1532" spans="2:24" ht="12.6" customHeight="1" x14ac:dyDescent="0.25">
      <c r="B1532" s="11" t="str">
        <f t="shared" ref="B1532:B1539" si="660">CONCATENATE("ESPA","-",LEFT(P1532,2),UPPER(MID(P1532,4,3)),RIGHT(P1532,4))</f>
        <v>ESPA-19FEB1911</v>
      </c>
      <c r="C1532" s="11" t="s">
        <v>3868</v>
      </c>
      <c r="D1532" s="11" t="s">
        <v>1699</v>
      </c>
      <c r="E1532" s="39" t="s">
        <v>1255</v>
      </c>
      <c r="F1532" s="11" t="s">
        <v>1700</v>
      </c>
      <c r="G1532" s="39" t="s">
        <v>5261</v>
      </c>
      <c r="H1532" s="7">
        <v>0</v>
      </c>
      <c r="I1532" s="7">
        <v>0</v>
      </c>
      <c r="J1532" s="17">
        <v>13</v>
      </c>
      <c r="K1532" s="17"/>
      <c r="L1532" s="7">
        <f t="shared" ref="L1532:L1539" si="661">SUM(H1532:K1532)</f>
        <v>13</v>
      </c>
      <c r="M1532" s="8">
        <v>1</v>
      </c>
      <c r="N1532" s="8">
        <f t="shared" ref="N1532:N1539" si="662">IF(L1532&gt;0,1,"")</f>
        <v>1</v>
      </c>
      <c r="O1532" s="11" t="s">
        <v>1702</v>
      </c>
      <c r="P1532" s="16" t="str">
        <f t="shared" ref="P1532:P1539" si="663">IF(LEN(G1532)=10,CONCATENATE("0",G1532),G1532)</f>
        <v>19-Feb-1911</v>
      </c>
      <c r="R1532" s="16" t="str">
        <f>IF($L1532&gt;0,"x","")</f>
        <v>x</v>
      </c>
      <c r="S1532" s="16" t="str">
        <f>IF($L1532&gt;0,"x","")</f>
        <v>x</v>
      </c>
      <c r="U1532" s="46" t="str">
        <f t="shared" si="654"/>
        <v/>
      </c>
      <c r="V1532" s="46">
        <f t="shared" si="654"/>
        <v>13</v>
      </c>
      <c r="W1532" s="46" t="str">
        <f t="shared" si="654"/>
        <v/>
      </c>
      <c r="X1532" s="46" t="str">
        <f t="shared" si="654"/>
        <v/>
      </c>
    </row>
    <row r="1533" spans="2:24" ht="12.6" customHeight="1" x14ac:dyDescent="0.25">
      <c r="B1533" s="11" t="str">
        <f>CONCATENATE("ESPA","-",LEFT(P1533,2),UPPER(MID(P1533,4,3)),RIGHT(P1533,4))</f>
        <v>ESPA-27AUG1911</v>
      </c>
      <c r="C1533" s="11" t="s">
        <v>3868</v>
      </c>
      <c r="D1533" s="11" t="s">
        <v>1699</v>
      </c>
      <c r="E1533" s="39" t="s">
        <v>973</v>
      </c>
      <c r="F1533" s="11" t="s">
        <v>1700</v>
      </c>
      <c r="G1533" s="39" t="s">
        <v>5923</v>
      </c>
      <c r="H1533" s="7">
        <v>0</v>
      </c>
      <c r="I1533" s="7">
        <v>1</v>
      </c>
      <c r="J1533" s="17">
        <v>3</v>
      </c>
      <c r="K1533" s="17"/>
      <c r="L1533" s="7">
        <f>SUM(H1533:K1533)</f>
        <v>4</v>
      </c>
      <c r="M1533" s="8">
        <v>1</v>
      </c>
      <c r="N1533" s="8">
        <f>IF(L1533&gt;0,1,"")</f>
        <v>1</v>
      </c>
      <c r="O1533" s="11" t="s">
        <v>1702</v>
      </c>
      <c r="P1533" s="16" t="str">
        <f>IF(LEN(G1533)=10,CONCATENATE("0",G1533),G1533)</f>
        <v>27-Aug-1911</v>
      </c>
      <c r="R1533" s="16" t="str">
        <f>IF($L1533&gt;0,"x","")</f>
        <v>x</v>
      </c>
      <c r="S1533" s="16" t="str">
        <f>IF($L1533&gt;0,"x","")</f>
        <v>x</v>
      </c>
      <c r="U1533" s="46" t="str">
        <f t="shared" ref="U1533:X1535" si="664">IF($O1533=U$5,$L1533,"")</f>
        <v/>
      </c>
      <c r="V1533" s="46">
        <f t="shared" si="664"/>
        <v>4</v>
      </c>
      <c r="W1533" s="46" t="str">
        <f t="shared" si="664"/>
        <v/>
      </c>
      <c r="X1533" s="46" t="str">
        <f t="shared" si="664"/>
        <v/>
      </c>
    </row>
    <row r="1534" spans="2:24" ht="12.6" customHeight="1" x14ac:dyDescent="0.25">
      <c r="B1534" s="11" t="str">
        <f t="shared" si="660"/>
        <v>ESPA-18FEB1912</v>
      </c>
      <c r="C1534" s="11" t="s">
        <v>3868</v>
      </c>
      <c r="D1534" s="11" t="s">
        <v>1699</v>
      </c>
      <c r="E1534" s="39" t="s">
        <v>998</v>
      </c>
      <c r="F1534" s="11" t="s">
        <v>1700</v>
      </c>
      <c r="G1534" s="39" t="s">
        <v>4482</v>
      </c>
      <c r="H1534" s="7">
        <v>0</v>
      </c>
      <c r="I1534" s="7">
        <v>0</v>
      </c>
      <c r="J1534" s="17">
        <v>20</v>
      </c>
      <c r="K1534" s="17"/>
      <c r="L1534" s="7">
        <f t="shared" si="661"/>
        <v>20</v>
      </c>
      <c r="M1534" s="8">
        <v>1</v>
      </c>
      <c r="N1534" s="8">
        <f t="shared" si="662"/>
        <v>1</v>
      </c>
      <c r="O1534" s="11" t="s">
        <v>1702</v>
      </c>
      <c r="P1534" s="16" t="str">
        <f t="shared" si="663"/>
        <v>18-Feb-1912</v>
      </c>
      <c r="R1534" s="16" t="str">
        <f t="shared" ref="R1534:S1539" si="665">IF($L1534&gt;0,"x","")</f>
        <v>x</v>
      </c>
      <c r="S1534" s="16" t="str">
        <f t="shared" si="665"/>
        <v>x</v>
      </c>
      <c r="U1534" s="46" t="str">
        <f t="shared" si="664"/>
        <v/>
      </c>
      <c r="V1534" s="46">
        <f t="shared" si="664"/>
        <v>20</v>
      </c>
      <c r="W1534" s="46" t="str">
        <f t="shared" si="664"/>
        <v/>
      </c>
      <c r="X1534" s="46" t="str">
        <f t="shared" si="664"/>
        <v/>
      </c>
    </row>
    <row r="1535" spans="2:24" ht="12.6" customHeight="1" x14ac:dyDescent="0.25">
      <c r="B1535" s="11" t="str">
        <f t="shared" si="660"/>
        <v>ESPA-18MAR1912</v>
      </c>
      <c r="C1535" s="11" t="s">
        <v>3868</v>
      </c>
      <c r="D1535" s="11" t="s">
        <v>1699</v>
      </c>
      <c r="E1535" s="39" t="s">
        <v>3233</v>
      </c>
      <c r="F1535" s="11" t="s">
        <v>1700</v>
      </c>
      <c r="G1535" s="39" t="s">
        <v>3312</v>
      </c>
      <c r="H1535" s="7">
        <v>0</v>
      </c>
      <c r="I1535" s="7">
        <v>0</v>
      </c>
      <c r="J1535" s="17">
        <v>40</v>
      </c>
      <c r="K1535" s="17"/>
      <c r="L1535" s="7">
        <f t="shared" si="661"/>
        <v>40</v>
      </c>
      <c r="M1535" s="8">
        <v>1</v>
      </c>
      <c r="N1535" s="8">
        <f t="shared" si="662"/>
        <v>1</v>
      </c>
      <c r="O1535" s="11" t="s">
        <v>1702</v>
      </c>
      <c r="P1535" s="16" t="str">
        <f t="shared" si="663"/>
        <v>18-Mar-1912</v>
      </c>
      <c r="R1535" s="16" t="str">
        <f t="shared" si="665"/>
        <v>x</v>
      </c>
      <c r="S1535" s="16" t="str">
        <f t="shared" si="665"/>
        <v>x</v>
      </c>
      <c r="U1535" s="46" t="str">
        <f t="shared" si="664"/>
        <v/>
      </c>
      <c r="V1535" s="46">
        <f t="shared" si="664"/>
        <v>40</v>
      </c>
      <c r="W1535" s="46" t="str">
        <f t="shared" si="664"/>
        <v/>
      </c>
      <c r="X1535" s="46" t="str">
        <f t="shared" si="664"/>
        <v/>
      </c>
    </row>
    <row r="1536" spans="2:24" ht="12.6" customHeight="1" x14ac:dyDescent="0.25">
      <c r="B1536" s="11" t="str">
        <f>CONCATENATE("ESPA","-",LEFT(P1536,2),UPPER(MID(P1536,4,3)),RIGHT(P1536,4))</f>
        <v>ESPA-07JUL1915</v>
      </c>
      <c r="C1536" s="11" t="s">
        <v>3868</v>
      </c>
      <c r="D1536" s="11" t="s">
        <v>1956</v>
      </c>
      <c r="E1536" s="39" t="s">
        <v>11200</v>
      </c>
      <c r="F1536" s="11" t="s">
        <v>1700</v>
      </c>
      <c r="G1536" s="39" t="s">
        <v>11201</v>
      </c>
      <c r="H1536" s="7">
        <v>1</v>
      </c>
      <c r="I1536" s="7">
        <v>0</v>
      </c>
      <c r="J1536" s="17">
        <v>1</v>
      </c>
      <c r="K1536" s="17"/>
      <c r="L1536" s="7">
        <f>SUM(H1536:K1536)</f>
        <v>2</v>
      </c>
      <c r="M1536" s="8">
        <v>1</v>
      </c>
      <c r="N1536" s="8">
        <f>IF(L1536&gt;0,1,"")</f>
        <v>1</v>
      </c>
      <c r="O1536" s="11" t="s">
        <v>1702</v>
      </c>
      <c r="P1536" s="16" t="str">
        <f>IF(LEN(G1536)=10,CONCATENATE("0",G1536),G1536)</f>
        <v>07-Jul-1915</v>
      </c>
      <c r="R1536" s="16" t="str">
        <f t="shared" si="665"/>
        <v>x</v>
      </c>
      <c r="S1536" s="16" t="str">
        <f t="shared" si="665"/>
        <v>x</v>
      </c>
      <c r="U1536" s="46" t="str">
        <f t="shared" ref="U1536:X1546" si="666">IF($O1536=U$5,$L1536,"")</f>
        <v/>
      </c>
      <c r="V1536" s="46">
        <f t="shared" si="666"/>
        <v>2</v>
      </c>
      <c r="W1536" s="46" t="str">
        <f t="shared" si="666"/>
        <v/>
      </c>
      <c r="X1536" s="46" t="str">
        <f t="shared" si="666"/>
        <v/>
      </c>
    </row>
    <row r="1537" spans="2:24" ht="12.6" customHeight="1" x14ac:dyDescent="0.25">
      <c r="B1537" s="11" t="str">
        <f t="shared" si="660"/>
        <v>ESPA-04JAN1917</v>
      </c>
      <c r="C1537" s="11" t="s">
        <v>3868</v>
      </c>
      <c r="D1537" s="11" t="s">
        <v>1956</v>
      </c>
      <c r="E1537" s="39" t="s">
        <v>1985</v>
      </c>
      <c r="F1537" s="11" t="s">
        <v>1700</v>
      </c>
      <c r="G1537" s="39" t="s">
        <v>3919</v>
      </c>
      <c r="H1537" s="7">
        <v>0</v>
      </c>
      <c r="I1537" s="7">
        <v>0</v>
      </c>
      <c r="J1537" s="17">
        <v>18</v>
      </c>
      <c r="K1537" s="17"/>
      <c r="L1537" s="7">
        <f t="shared" si="661"/>
        <v>18</v>
      </c>
      <c r="M1537" s="8">
        <v>1</v>
      </c>
      <c r="N1537" s="8">
        <f t="shared" si="662"/>
        <v>1</v>
      </c>
      <c r="O1537" s="11" t="s">
        <v>1702</v>
      </c>
      <c r="P1537" s="16" t="str">
        <f t="shared" si="663"/>
        <v>04-Jan-1917</v>
      </c>
      <c r="R1537" s="16" t="str">
        <f t="shared" si="665"/>
        <v>x</v>
      </c>
      <c r="S1537" s="16" t="str">
        <f t="shared" si="665"/>
        <v>x</v>
      </c>
      <c r="U1537" s="46" t="str">
        <f t="shared" si="666"/>
        <v/>
      </c>
      <c r="V1537" s="46">
        <f t="shared" si="666"/>
        <v>18</v>
      </c>
      <c r="W1537" s="46" t="str">
        <f t="shared" si="666"/>
        <v/>
      </c>
      <c r="X1537" s="46" t="str">
        <f t="shared" si="666"/>
        <v/>
      </c>
    </row>
    <row r="1538" spans="2:24" x14ac:dyDescent="0.25">
      <c r="B1538" s="11" t="str">
        <f t="shared" si="660"/>
        <v>ESPA-15MAY1919</v>
      </c>
      <c r="C1538" s="11" t="s">
        <v>3868</v>
      </c>
      <c r="D1538" s="11" t="s">
        <v>1699</v>
      </c>
      <c r="E1538" s="39" t="s">
        <v>3869</v>
      </c>
      <c r="F1538" s="11" t="s">
        <v>1700</v>
      </c>
      <c r="G1538" s="39" t="s">
        <v>3870</v>
      </c>
      <c r="H1538" s="7">
        <v>0</v>
      </c>
      <c r="I1538" s="7">
        <v>0</v>
      </c>
      <c r="J1538" s="17">
        <f>38+1</f>
        <v>39</v>
      </c>
      <c r="K1538" s="17"/>
      <c r="L1538" s="7">
        <f t="shared" si="661"/>
        <v>39</v>
      </c>
      <c r="M1538" s="8">
        <v>1</v>
      </c>
      <c r="N1538" s="8">
        <f t="shared" si="662"/>
        <v>1</v>
      </c>
      <c r="O1538" s="11" t="s">
        <v>1702</v>
      </c>
      <c r="P1538" s="16" t="str">
        <f t="shared" si="663"/>
        <v>15-May-1919</v>
      </c>
      <c r="R1538" s="16" t="str">
        <f t="shared" si="665"/>
        <v>x</v>
      </c>
      <c r="S1538" s="16" t="str">
        <f t="shared" si="665"/>
        <v>x</v>
      </c>
      <c r="U1538" s="46" t="str">
        <f t="shared" si="666"/>
        <v/>
      </c>
      <c r="V1538" s="46">
        <f t="shared" si="666"/>
        <v>39</v>
      </c>
      <c r="W1538" s="46" t="str">
        <f t="shared" si="666"/>
        <v/>
      </c>
      <c r="X1538" s="46" t="str">
        <f t="shared" si="666"/>
        <v/>
      </c>
    </row>
    <row r="1539" spans="2:24" x14ac:dyDescent="0.25">
      <c r="B1539" s="11" t="str">
        <f t="shared" si="660"/>
        <v>ESPA-15JUL1919</v>
      </c>
      <c r="C1539" s="11" t="s">
        <v>3868</v>
      </c>
      <c r="D1539" s="11" t="s">
        <v>1699</v>
      </c>
      <c r="E1539" s="39" t="s">
        <v>5826</v>
      </c>
      <c r="F1539" s="11" t="s">
        <v>1700</v>
      </c>
      <c r="G1539" s="39" t="s">
        <v>2015</v>
      </c>
      <c r="H1539" s="7">
        <v>0</v>
      </c>
      <c r="I1539" s="7">
        <v>0</v>
      </c>
      <c r="J1539" s="17">
        <v>23</v>
      </c>
      <c r="K1539" s="17"/>
      <c r="L1539" s="7">
        <f t="shared" si="661"/>
        <v>23</v>
      </c>
      <c r="M1539" s="8">
        <v>1</v>
      </c>
      <c r="N1539" s="8">
        <f t="shared" si="662"/>
        <v>1</v>
      </c>
      <c r="O1539" s="11" t="s">
        <v>1702</v>
      </c>
      <c r="P1539" s="16" t="str">
        <f t="shared" si="663"/>
        <v>15-Jul-1919</v>
      </c>
      <c r="R1539" s="16" t="str">
        <f t="shared" si="665"/>
        <v>x</v>
      </c>
      <c r="S1539" s="16" t="str">
        <f t="shared" si="665"/>
        <v>x</v>
      </c>
      <c r="U1539" s="46" t="str">
        <f t="shared" si="666"/>
        <v/>
      </c>
      <c r="V1539" s="46">
        <f t="shared" si="666"/>
        <v>23</v>
      </c>
      <c r="W1539" s="46" t="str">
        <f t="shared" si="666"/>
        <v/>
      </c>
      <c r="X1539" s="46" t="str">
        <f t="shared" si="666"/>
        <v/>
      </c>
    </row>
    <row r="1540" spans="2:24" x14ac:dyDescent="0.25">
      <c r="N1540" s="8" t="str">
        <f>IF(R1540="x",1,"")</f>
        <v/>
      </c>
      <c r="U1540" s="46" t="str">
        <f t="shared" si="666"/>
        <v/>
      </c>
      <c r="V1540" s="46" t="str">
        <f t="shared" si="666"/>
        <v/>
      </c>
      <c r="W1540" s="46" t="str">
        <f t="shared" si="666"/>
        <v/>
      </c>
      <c r="X1540" s="46" t="str">
        <f t="shared" si="666"/>
        <v/>
      </c>
    </row>
    <row r="1541" spans="2:24" x14ac:dyDescent="0.25">
      <c r="B1541" s="18"/>
      <c r="C1541" s="18"/>
      <c r="D1541" s="18"/>
      <c r="E1541" s="40"/>
      <c r="F1541" s="18"/>
      <c r="G1541" s="40"/>
      <c r="H1541" s="7">
        <f t="shared" ref="H1541:N1541" si="667">SUM(H1532:H1540)</f>
        <v>1</v>
      </c>
      <c r="I1541" s="7">
        <f t="shared" si="667"/>
        <v>1</v>
      </c>
      <c r="J1541" s="7">
        <f>SUM(J1532:J1540)</f>
        <v>157</v>
      </c>
      <c r="K1541" s="7">
        <f t="shared" si="667"/>
        <v>0</v>
      </c>
      <c r="L1541" s="7">
        <f t="shared" si="667"/>
        <v>159</v>
      </c>
      <c r="M1541" s="7">
        <f t="shared" si="667"/>
        <v>8</v>
      </c>
      <c r="N1541" s="7">
        <f t="shared" si="667"/>
        <v>8</v>
      </c>
      <c r="O1541" s="18"/>
      <c r="P1541" s="13"/>
      <c r="Q1541" s="13"/>
      <c r="S1541" s="13"/>
      <c r="T1541" s="15"/>
      <c r="U1541" s="46" t="str">
        <f t="shared" si="666"/>
        <v/>
      </c>
      <c r="V1541" s="46" t="str">
        <f t="shared" si="666"/>
        <v/>
      </c>
      <c r="W1541" s="46" t="str">
        <f t="shared" si="666"/>
        <v/>
      </c>
      <c r="X1541" s="46" t="str">
        <f t="shared" si="666"/>
        <v/>
      </c>
    </row>
    <row r="1542" spans="2:24" x14ac:dyDescent="0.25">
      <c r="B1542" s="18"/>
      <c r="C1542" s="18"/>
      <c r="D1542" s="18"/>
      <c r="E1542" s="40"/>
      <c r="F1542" s="18"/>
      <c r="G1542" s="40"/>
      <c r="N1542" s="8" t="str">
        <f>IF(R1542="x",1,"")</f>
        <v/>
      </c>
      <c r="O1542" s="18"/>
      <c r="P1542" s="13"/>
      <c r="Q1542" s="13"/>
      <c r="R1542" s="13"/>
      <c r="S1542" s="13"/>
      <c r="T1542" s="15"/>
      <c r="U1542" s="46" t="str">
        <f t="shared" si="666"/>
        <v/>
      </c>
      <c r="V1542" s="46" t="str">
        <f t="shared" si="666"/>
        <v/>
      </c>
      <c r="W1542" s="46" t="str">
        <f t="shared" si="666"/>
        <v/>
      </c>
      <c r="X1542" s="46" t="str">
        <f t="shared" si="666"/>
        <v/>
      </c>
    </row>
    <row r="1543" spans="2:24" x14ac:dyDescent="0.25">
      <c r="B1543" s="18"/>
      <c r="C1543" s="18"/>
      <c r="D1543" s="18"/>
      <c r="E1543" s="40"/>
      <c r="F1543" s="18"/>
      <c r="G1543" s="40"/>
      <c r="N1543" s="8" t="str">
        <f>IF(R1543="x",1,"")</f>
        <v/>
      </c>
      <c r="O1543" s="18"/>
      <c r="P1543" s="13"/>
      <c r="Q1543" s="13"/>
      <c r="R1543" s="13"/>
      <c r="S1543" s="13"/>
      <c r="T1543" s="15"/>
      <c r="U1543" s="46" t="str">
        <f t="shared" si="666"/>
        <v/>
      </c>
      <c r="V1543" s="46" t="str">
        <f t="shared" si="666"/>
        <v/>
      </c>
      <c r="W1543" s="46" t="str">
        <f t="shared" si="666"/>
        <v/>
      </c>
      <c r="X1543" s="46" t="str">
        <f t="shared" si="666"/>
        <v/>
      </c>
    </row>
    <row r="1544" spans="2:24" x14ac:dyDescent="0.25">
      <c r="B1544" s="11" t="str">
        <f>CONCATENATE("ETHP","-",LEFT(P1544,2),UPPER(MID(P1544,4,3)),RIGHT(P1544,4))</f>
        <v>ETHP-16NOV1874</v>
      </c>
      <c r="C1544" s="11" t="s">
        <v>11259</v>
      </c>
      <c r="D1544" s="11" t="s">
        <v>3249</v>
      </c>
      <c r="F1544" s="11" t="s">
        <v>1700</v>
      </c>
      <c r="G1544" s="39" t="s">
        <v>11260</v>
      </c>
      <c r="J1544" s="17">
        <v>1</v>
      </c>
      <c r="K1544" s="17"/>
      <c r="L1544" s="17">
        <v>1</v>
      </c>
      <c r="M1544" s="8">
        <v>1</v>
      </c>
      <c r="N1544" s="8">
        <f>IF(L1544&gt;0,1,"")</f>
        <v>1</v>
      </c>
      <c r="O1544" s="11" t="s">
        <v>1702</v>
      </c>
      <c r="P1544" s="16" t="str">
        <f>IF(LEN(G1544)=10,CONCATENATE("0",G1544),G1544)</f>
        <v>16-Nov-1874</v>
      </c>
      <c r="R1544" s="16" t="str">
        <f>IF($L1544&gt;0,"x","")</f>
        <v>x</v>
      </c>
      <c r="S1544" s="16" t="str">
        <f>IF($L1544&gt;0,"x","")</f>
        <v>x</v>
      </c>
      <c r="U1544" s="46" t="str">
        <f t="shared" si="666"/>
        <v/>
      </c>
      <c r="V1544" s="46">
        <f t="shared" si="666"/>
        <v>1</v>
      </c>
      <c r="W1544" s="46" t="str">
        <f t="shared" si="666"/>
        <v/>
      </c>
      <c r="X1544" s="46" t="str">
        <f t="shared" si="666"/>
        <v/>
      </c>
    </row>
    <row r="1545" spans="2:24" x14ac:dyDescent="0.25">
      <c r="N1545" s="8" t="str">
        <f>IF(R1545="x",1,"")</f>
        <v/>
      </c>
      <c r="U1545" s="46" t="str">
        <f t="shared" si="666"/>
        <v/>
      </c>
      <c r="V1545" s="46" t="str">
        <f t="shared" si="666"/>
        <v/>
      </c>
      <c r="W1545" s="46" t="str">
        <f t="shared" si="666"/>
        <v/>
      </c>
      <c r="X1545" s="46" t="str">
        <f t="shared" si="666"/>
        <v/>
      </c>
    </row>
    <row r="1546" spans="2:24" x14ac:dyDescent="0.25">
      <c r="B1546" s="18"/>
      <c r="C1546" s="18"/>
      <c r="D1546" s="18"/>
      <c r="E1546" s="40"/>
      <c r="F1546" s="18"/>
      <c r="G1546" s="40"/>
      <c r="H1546" s="7">
        <f t="shared" ref="H1546:N1546" si="668">SUM(H1544:H1545)</f>
        <v>0</v>
      </c>
      <c r="I1546" s="7">
        <f t="shared" si="668"/>
        <v>0</v>
      </c>
      <c r="J1546" s="7">
        <f>SUM(J1544:J1545)</f>
        <v>1</v>
      </c>
      <c r="K1546" s="7">
        <f t="shared" si="668"/>
        <v>0</v>
      </c>
      <c r="L1546" s="7">
        <f t="shared" si="668"/>
        <v>1</v>
      </c>
      <c r="M1546" s="7">
        <f t="shared" si="668"/>
        <v>1</v>
      </c>
      <c r="N1546" s="7">
        <f t="shared" si="668"/>
        <v>1</v>
      </c>
      <c r="O1546" s="18"/>
      <c r="P1546" s="13"/>
      <c r="Q1546" s="13"/>
      <c r="S1546" s="13"/>
      <c r="T1546" s="15"/>
      <c r="U1546" s="46" t="str">
        <f t="shared" si="666"/>
        <v/>
      </c>
      <c r="V1546" s="46" t="str">
        <f t="shared" si="666"/>
        <v/>
      </c>
      <c r="W1546" s="46" t="str">
        <f t="shared" si="666"/>
        <v/>
      </c>
      <c r="X1546" s="46" t="str">
        <f t="shared" si="666"/>
        <v/>
      </c>
    </row>
    <row r="1547" spans="2:24" x14ac:dyDescent="0.25">
      <c r="B1547" s="18"/>
      <c r="C1547" s="18"/>
      <c r="D1547" s="18"/>
      <c r="E1547" s="40"/>
      <c r="F1547" s="18"/>
      <c r="G1547" s="40"/>
      <c r="N1547" s="8" t="str">
        <f>IF(R1547="x",1,"")</f>
        <v/>
      </c>
      <c r="O1547" s="18"/>
      <c r="P1547" s="13"/>
      <c r="Q1547" s="13"/>
      <c r="R1547" s="13"/>
      <c r="S1547" s="13"/>
      <c r="T1547" s="15"/>
      <c r="U1547" s="46" t="str">
        <f t="shared" ref="U1547:X1556" si="669">IF($O1547=U$5,$L1547,"")</f>
        <v/>
      </c>
      <c r="V1547" s="46" t="str">
        <f t="shared" si="669"/>
        <v/>
      </c>
      <c r="W1547" s="46" t="str">
        <f t="shared" si="669"/>
        <v/>
      </c>
      <c r="X1547" s="46" t="str">
        <f t="shared" si="669"/>
        <v/>
      </c>
    </row>
    <row r="1548" spans="2:24" x14ac:dyDescent="0.25">
      <c r="B1548" s="18"/>
      <c r="C1548" s="18"/>
      <c r="D1548" s="18"/>
      <c r="E1548" s="40"/>
      <c r="F1548" s="18"/>
      <c r="G1548" s="40"/>
      <c r="N1548" s="8" t="str">
        <f>IF(R1548="x",1,"")</f>
        <v/>
      </c>
      <c r="O1548" s="18"/>
      <c r="P1548" s="13"/>
      <c r="Q1548" s="13"/>
      <c r="R1548" s="13"/>
      <c r="S1548" s="13"/>
      <c r="T1548" s="15"/>
      <c r="U1548" s="46" t="str">
        <f t="shared" si="669"/>
        <v/>
      </c>
      <c r="V1548" s="46" t="str">
        <f t="shared" si="669"/>
        <v/>
      </c>
      <c r="W1548" s="46" t="str">
        <f t="shared" si="669"/>
        <v/>
      </c>
      <c r="X1548" s="46" t="str">
        <f t="shared" si="669"/>
        <v/>
      </c>
    </row>
    <row r="1549" spans="2:24" x14ac:dyDescent="0.25">
      <c r="B1549" s="11" t="str">
        <f t="shared" ref="B1549:B1554" si="670">CONCATENATE("ETRU","-",LEFT(P1549,2),UPPER(MID(P1549,4,3)),RIGHT(P1549,4))</f>
        <v>ETRU-26OCT1896</v>
      </c>
      <c r="C1549" s="11" t="s">
        <v>5068</v>
      </c>
      <c r="D1549" s="11" t="s">
        <v>2097</v>
      </c>
      <c r="F1549" s="11" t="s">
        <v>1700</v>
      </c>
      <c r="G1549" s="39" t="s">
        <v>16</v>
      </c>
      <c r="H1549" s="7">
        <v>0</v>
      </c>
      <c r="I1549" s="7">
        <v>0</v>
      </c>
      <c r="J1549" s="17">
        <v>1</v>
      </c>
      <c r="K1549" s="17"/>
      <c r="L1549" s="7">
        <f t="shared" ref="L1549:L1554" si="671">SUM(H1549:K1549)</f>
        <v>1</v>
      </c>
      <c r="M1549" s="8">
        <v>1</v>
      </c>
      <c r="N1549" s="8">
        <f t="shared" ref="N1549:N1554" si="672">IF(L1549&gt;0,1,"")</f>
        <v>1</v>
      </c>
      <c r="O1549" s="11" t="s">
        <v>1702</v>
      </c>
      <c r="P1549" s="16" t="str">
        <f t="shared" ref="P1549:P1554" si="673">IF(LEN(G1549)=10,CONCATENATE("0",G1549),G1549)</f>
        <v>26-Oct-1896</v>
      </c>
      <c r="R1549" s="16" t="str">
        <f t="shared" ref="R1549:S1553" si="674">IF($L1549&gt;0,"x","")</f>
        <v>x</v>
      </c>
      <c r="S1549" s="16" t="str">
        <f t="shared" si="674"/>
        <v>x</v>
      </c>
      <c r="U1549" s="46" t="str">
        <f t="shared" si="669"/>
        <v/>
      </c>
      <c r="V1549" s="46">
        <f t="shared" si="669"/>
        <v>1</v>
      </c>
      <c r="W1549" s="46" t="str">
        <f t="shared" si="669"/>
        <v/>
      </c>
      <c r="X1549" s="46" t="str">
        <f t="shared" si="669"/>
        <v/>
      </c>
    </row>
    <row r="1550" spans="2:24" x14ac:dyDescent="0.25">
      <c r="B1550" s="11" t="str">
        <f t="shared" si="670"/>
        <v>ETRU-19JUN1904</v>
      </c>
      <c r="C1550" s="11" t="s">
        <v>5068</v>
      </c>
      <c r="D1550" s="11" t="s">
        <v>2097</v>
      </c>
      <c r="E1550" s="39" t="s">
        <v>1407</v>
      </c>
      <c r="F1550" s="11" t="s">
        <v>1700</v>
      </c>
      <c r="G1550" s="39" t="s">
        <v>5283</v>
      </c>
      <c r="H1550" s="7">
        <v>4</v>
      </c>
      <c r="I1550" s="7">
        <v>0</v>
      </c>
      <c r="J1550" s="17">
        <v>4</v>
      </c>
      <c r="K1550" s="17"/>
      <c r="L1550" s="7">
        <f t="shared" si="671"/>
        <v>8</v>
      </c>
      <c r="M1550" s="8">
        <v>1</v>
      </c>
      <c r="N1550" s="8">
        <f t="shared" si="672"/>
        <v>1</v>
      </c>
      <c r="O1550" s="11" t="s">
        <v>1702</v>
      </c>
      <c r="P1550" s="16" t="str">
        <f t="shared" si="673"/>
        <v>19-Jun-1904</v>
      </c>
      <c r="R1550" s="16" t="str">
        <f t="shared" si="674"/>
        <v>x</v>
      </c>
      <c r="S1550" s="16" t="str">
        <f t="shared" si="674"/>
        <v>x</v>
      </c>
      <c r="U1550" s="46" t="str">
        <f t="shared" si="669"/>
        <v/>
      </c>
      <c r="V1550" s="46">
        <f t="shared" si="669"/>
        <v>8</v>
      </c>
      <c r="W1550" s="46" t="str">
        <f t="shared" si="669"/>
        <v/>
      </c>
      <c r="X1550" s="46" t="str">
        <f t="shared" si="669"/>
        <v/>
      </c>
    </row>
    <row r="1551" spans="2:24" x14ac:dyDescent="0.25">
      <c r="B1551" s="11" t="str">
        <f t="shared" si="670"/>
        <v>ETRU-17JUL1904</v>
      </c>
      <c r="C1551" s="11" t="s">
        <v>5068</v>
      </c>
      <c r="D1551" s="11" t="s">
        <v>2097</v>
      </c>
      <c r="E1551" s="39" t="s">
        <v>1766</v>
      </c>
      <c r="F1551" s="11" t="s">
        <v>1700</v>
      </c>
      <c r="G1551" s="39" t="s">
        <v>5069</v>
      </c>
      <c r="H1551" s="7">
        <v>0</v>
      </c>
      <c r="I1551" s="7">
        <v>2</v>
      </c>
      <c r="J1551" s="17">
        <v>0</v>
      </c>
      <c r="K1551" s="17"/>
      <c r="L1551" s="7">
        <f t="shared" si="671"/>
        <v>2</v>
      </c>
      <c r="M1551" s="8">
        <v>1</v>
      </c>
      <c r="N1551" s="8">
        <f t="shared" si="672"/>
        <v>1</v>
      </c>
      <c r="O1551" s="11" t="s">
        <v>1702</v>
      </c>
      <c r="P1551" s="16" t="str">
        <f t="shared" si="673"/>
        <v>17-Jul-1904</v>
      </c>
      <c r="R1551" s="16" t="str">
        <f t="shared" si="674"/>
        <v>x</v>
      </c>
      <c r="S1551" s="16" t="str">
        <f t="shared" si="674"/>
        <v>x</v>
      </c>
      <c r="U1551" s="46" t="str">
        <f t="shared" si="669"/>
        <v/>
      </c>
      <c r="V1551" s="46">
        <f t="shared" si="669"/>
        <v>2</v>
      </c>
      <c r="W1551" s="46" t="str">
        <f t="shared" si="669"/>
        <v/>
      </c>
      <c r="X1551" s="46" t="str">
        <f t="shared" si="669"/>
        <v/>
      </c>
    </row>
    <row r="1552" spans="2:24" x14ac:dyDescent="0.25">
      <c r="B1552" s="11" t="str">
        <f t="shared" si="670"/>
        <v>ETRU-14AUG1904</v>
      </c>
      <c r="C1552" s="11" t="s">
        <v>5068</v>
      </c>
      <c r="D1552" s="11" t="s">
        <v>2097</v>
      </c>
      <c r="E1552" s="39" t="s">
        <v>3466</v>
      </c>
      <c r="F1552" s="11" t="s">
        <v>1700</v>
      </c>
      <c r="G1552" s="39" t="s">
        <v>5906</v>
      </c>
      <c r="H1552" s="7">
        <v>0</v>
      </c>
      <c r="I1552" s="7">
        <v>0</v>
      </c>
      <c r="J1552" s="17">
        <v>7</v>
      </c>
      <c r="K1552" s="17"/>
      <c r="L1552" s="7">
        <f t="shared" si="671"/>
        <v>7</v>
      </c>
      <c r="M1552" s="8">
        <v>1</v>
      </c>
      <c r="N1552" s="8">
        <f t="shared" si="672"/>
        <v>1</v>
      </c>
      <c r="O1552" s="11" t="s">
        <v>1702</v>
      </c>
      <c r="P1552" s="16" t="str">
        <f t="shared" si="673"/>
        <v>14-Aug-1904</v>
      </c>
      <c r="R1552" s="16" t="str">
        <f t="shared" si="674"/>
        <v>x</v>
      </c>
      <c r="S1552" s="16" t="str">
        <f t="shared" si="674"/>
        <v>x</v>
      </c>
      <c r="U1552" s="46" t="str">
        <f t="shared" si="669"/>
        <v/>
      </c>
      <c r="V1552" s="46">
        <f t="shared" si="669"/>
        <v>7</v>
      </c>
      <c r="W1552" s="46" t="str">
        <f t="shared" si="669"/>
        <v/>
      </c>
      <c r="X1552" s="46" t="str">
        <f t="shared" si="669"/>
        <v/>
      </c>
    </row>
    <row r="1553" spans="2:24" x14ac:dyDescent="0.25">
      <c r="B1553" s="11" t="str">
        <f t="shared" si="670"/>
        <v>ETRU-30JAN1905</v>
      </c>
      <c r="C1553" s="11" t="s">
        <v>5068</v>
      </c>
      <c r="D1553" s="11" t="s">
        <v>2097</v>
      </c>
      <c r="E1553" s="39" t="s">
        <v>3578</v>
      </c>
      <c r="F1553" s="11" t="s">
        <v>1700</v>
      </c>
      <c r="G1553" s="39" t="s">
        <v>3579</v>
      </c>
      <c r="H1553" s="7">
        <v>0</v>
      </c>
      <c r="I1553" s="7">
        <v>0</v>
      </c>
      <c r="J1553" s="17">
        <v>3</v>
      </c>
      <c r="K1553" s="17"/>
      <c r="L1553" s="7">
        <f t="shared" si="671"/>
        <v>3</v>
      </c>
      <c r="M1553" s="8">
        <v>1</v>
      </c>
      <c r="N1553" s="8">
        <f t="shared" si="672"/>
        <v>1</v>
      </c>
      <c r="O1553" s="11" t="s">
        <v>1702</v>
      </c>
      <c r="P1553" s="16" t="str">
        <f t="shared" si="673"/>
        <v>30-Jan-1905</v>
      </c>
      <c r="R1553" s="16" t="str">
        <f t="shared" si="674"/>
        <v>x</v>
      </c>
      <c r="S1553" s="16" t="str">
        <f t="shared" si="674"/>
        <v>x</v>
      </c>
      <c r="U1553" s="46" t="str">
        <f t="shared" si="669"/>
        <v/>
      </c>
      <c r="V1553" s="46">
        <f t="shared" si="669"/>
        <v>3</v>
      </c>
      <c r="W1553" s="46" t="str">
        <f t="shared" si="669"/>
        <v/>
      </c>
      <c r="X1553" s="46" t="str">
        <f t="shared" si="669"/>
        <v/>
      </c>
    </row>
    <row r="1554" spans="2:24" x14ac:dyDescent="0.25">
      <c r="B1554" s="11" t="str">
        <f t="shared" si="670"/>
        <v>ETRU-05JAN1907</v>
      </c>
      <c r="C1554" s="11" t="s">
        <v>5068</v>
      </c>
      <c r="D1554" s="11" t="s">
        <v>2097</v>
      </c>
      <c r="E1554" s="39" t="s">
        <v>823</v>
      </c>
      <c r="F1554" s="11" t="s">
        <v>1700</v>
      </c>
      <c r="G1554" s="39" t="s">
        <v>1452</v>
      </c>
      <c r="H1554" s="7">
        <v>0</v>
      </c>
      <c r="I1554" s="7">
        <v>0</v>
      </c>
      <c r="J1554" s="17">
        <v>11</v>
      </c>
      <c r="K1554" s="17"/>
      <c r="L1554" s="7">
        <f t="shared" si="671"/>
        <v>11</v>
      </c>
      <c r="M1554" s="8">
        <v>1</v>
      </c>
      <c r="N1554" s="8">
        <f t="shared" si="672"/>
        <v>1</v>
      </c>
      <c r="O1554" s="11" t="s">
        <v>1702</v>
      </c>
      <c r="P1554" s="16" t="str">
        <f t="shared" si="673"/>
        <v>05-Jan-1907</v>
      </c>
      <c r="R1554" s="16" t="str">
        <f>IF($L1554&gt;0,"x","")</f>
        <v>x</v>
      </c>
      <c r="S1554" s="16" t="str">
        <f>IF($L1554&gt;0,"x","")</f>
        <v>x</v>
      </c>
      <c r="U1554" s="46" t="str">
        <f t="shared" si="669"/>
        <v/>
      </c>
      <c r="V1554" s="46">
        <f t="shared" si="669"/>
        <v>11</v>
      </c>
      <c r="W1554" s="46" t="str">
        <f t="shared" si="669"/>
        <v/>
      </c>
      <c r="X1554" s="46" t="str">
        <f t="shared" si="669"/>
        <v/>
      </c>
    </row>
    <row r="1555" spans="2:24" x14ac:dyDescent="0.25">
      <c r="N1555" s="8" t="str">
        <f>IF(R1555="x",1,"")</f>
        <v/>
      </c>
      <c r="U1555" s="46" t="str">
        <f t="shared" si="669"/>
        <v/>
      </c>
      <c r="V1555" s="46" t="str">
        <f t="shared" si="669"/>
        <v/>
      </c>
      <c r="W1555" s="46" t="str">
        <f t="shared" si="669"/>
        <v/>
      </c>
      <c r="X1555" s="46" t="str">
        <f t="shared" si="669"/>
        <v/>
      </c>
    </row>
    <row r="1556" spans="2:24" x14ac:dyDescent="0.25">
      <c r="B1556" s="18"/>
      <c r="C1556" s="18"/>
      <c r="D1556" s="18"/>
      <c r="E1556" s="40"/>
      <c r="F1556" s="18"/>
      <c r="G1556" s="40"/>
      <c r="H1556" s="7">
        <f t="shared" ref="H1556:N1556" si="675">SUM(H1549:H1555)</f>
        <v>4</v>
      </c>
      <c r="I1556" s="7">
        <f t="shared" si="675"/>
        <v>2</v>
      </c>
      <c r="J1556" s="7">
        <f>SUM(J1549:J1555)</f>
        <v>26</v>
      </c>
      <c r="K1556" s="7">
        <f t="shared" si="675"/>
        <v>0</v>
      </c>
      <c r="L1556" s="7">
        <f t="shared" si="675"/>
        <v>32</v>
      </c>
      <c r="M1556" s="7">
        <f t="shared" si="675"/>
        <v>6</v>
      </c>
      <c r="N1556" s="7">
        <f t="shared" si="675"/>
        <v>6</v>
      </c>
      <c r="O1556" s="18"/>
      <c r="P1556" s="13"/>
      <c r="Q1556" s="13"/>
      <c r="S1556" s="13"/>
      <c r="T1556" s="15"/>
      <c r="U1556" s="46" t="str">
        <f t="shared" si="669"/>
        <v/>
      </c>
      <c r="V1556" s="46" t="str">
        <f t="shared" si="669"/>
        <v/>
      </c>
      <c r="W1556" s="46" t="str">
        <f t="shared" si="669"/>
        <v/>
      </c>
      <c r="X1556" s="46" t="str">
        <f t="shared" si="669"/>
        <v/>
      </c>
    </row>
    <row r="1557" spans="2:24" x14ac:dyDescent="0.25">
      <c r="B1557" s="18"/>
      <c r="C1557" s="18"/>
      <c r="D1557" s="18"/>
      <c r="E1557" s="40"/>
      <c r="F1557" s="18"/>
      <c r="G1557" s="40"/>
      <c r="N1557" s="8" t="str">
        <f>IF(R1557="x",1,"")</f>
        <v/>
      </c>
      <c r="O1557" s="18"/>
      <c r="P1557" s="13"/>
      <c r="Q1557" s="13"/>
      <c r="R1557" s="13"/>
      <c r="S1557" s="13"/>
      <c r="T1557" s="15"/>
      <c r="U1557" s="46" t="str">
        <f t="shared" ref="U1557:X1570" si="676">IF($O1557=U$5,$L1557,"")</f>
        <v/>
      </c>
      <c r="V1557" s="46" t="str">
        <f t="shared" si="676"/>
        <v/>
      </c>
      <c r="W1557" s="46" t="str">
        <f t="shared" si="676"/>
        <v/>
      </c>
      <c r="X1557" s="46" t="str">
        <f t="shared" si="676"/>
        <v/>
      </c>
    </row>
    <row r="1558" spans="2:24" x14ac:dyDescent="0.25">
      <c r="B1558" s="18"/>
      <c r="C1558" s="18"/>
      <c r="D1558" s="18"/>
      <c r="E1558" s="40"/>
      <c r="F1558" s="18"/>
      <c r="G1558" s="40"/>
      <c r="N1558" s="8" t="str">
        <f>IF(R1558="x",1,"")</f>
        <v/>
      </c>
      <c r="O1558" s="18"/>
      <c r="P1558" s="13"/>
      <c r="Q1558" s="13"/>
      <c r="R1558" s="13"/>
      <c r="S1558" s="13"/>
      <c r="T1558" s="15"/>
      <c r="U1558" s="46" t="str">
        <f t="shared" si="676"/>
        <v/>
      </c>
      <c r="V1558" s="46" t="str">
        <f t="shared" si="676"/>
        <v/>
      </c>
      <c r="W1558" s="46" t="str">
        <f t="shared" si="676"/>
        <v/>
      </c>
      <c r="X1558" s="46" t="str">
        <f t="shared" si="676"/>
        <v/>
      </c>
    </row>
    <row r="1559" spans="2:24" x14ac:dyDescent="0.25">
      <c r="B1559" s="11" t="str">
        <f>CONCATENATE("EUGE","-",LEFT(P1559,2),UPPER(MID(P1559,4,3)),RIGHT(P1559,4))</f>
        <v>EUGE-11JUN1910</v>
      </c>
      <c r="C1559" s="11" t="s">
        <v>4568</v>
      </c>
      <c r="D1559" s="11" t="s">
        <v>1906</v>
      </c>
      <c r="E1559" s="39" t="s">
        <v>4972</v>
      </c>
      <c r="F1559" s="11" t="s">
        <v>1700</v>
      </c>
      <c r="G1559" s="39" t="s">
        <v>947</v>
      </c>
      <c r="J1559" s="17">
        <v>20</v>
      </c>
      <c r="K1559" s="17"/>
      <c r="L1559" s="7">
        <f>SUM(H1559:K1559)</f>
        <v>20</v>
      </c>
      <c r="M1559" s="8">
        <v>1</v>
      </c>
      <c r="N1559" s="8">
        <f>IF(L1559&gt;0,1,"")</f>
        <v>1</v>
      </c>
      <c r="O1559" s="11" t="s">
        <v>1702</v>
      </c>
      <c r="P1559" s="16" t="str">
        <f>IF(LEN(G1559)=10,CONCATENATE("0",G1559),G1559)</f>
        <v>11-Jun-1910</v>
      </c>
      <c r="R1559" s="16" t="str">
        <f t="shared" ref="R1559:S1561" si="677">IF($L1559&gt;0,"x","")</f>
        <v>x</v>
      </c>
      <c r="S1559" s="16" t="str">
        <f t="shared" si="677"/>
        <v>x</v>
      </c>
      <c r="U1559" s="46" t="str">
        <f t="shared" si="676"/>
        <v/>
      </c>
      <c r="V1559" s="46">
        <f t="shared" si="676"/>
        <v>20</v>
      </c>
      <c r="W1559" s="46" t="str">
        <f t="shared" si="676"/>
        <v/>
      </c>
      <c r="X1559" s="46" t="str">
        <f t="shared" si="676"/>
        <v/>
      </c>
    </row>
    <row r="1560" spans="2:24" x14ac:dyDescent="0.25">
      <c r="B1560" s="11" t="str">
        <f>CONCATENATE("EUGE","-",LEFT(P1560,2),UPPER(MID(P1560,4,3)),RIGHT(P1560,4))</f>
        <v>EUGE-29OCT1910</v>
      </c>
      <c r="C1560" s="11" t="s">
        <v>4568</v>
      </c>
      <c r="D1560" s="11" t="s">
        <v>1906</v>
      </c>
      <c r="E1560" s="39" t="s">
        <v>5250</v>
      </c>
      <c r="F1560" s="11" t="s">
        <v>1700</v>
      </c>
      <c r="G1560" s="39" t="s">
        <v>1246</v>
      </c>
      <c r="H1560" s="7">
        <v>0</v>
      </c>
      <c r="J1560" s="17">
        <v>9</v>
      </c>
      <c r="K1560" s="17"/>
      <c r="L1560" s="7">
        <f>SUM(H1560:K1560)</f>
        <v>9</v>
      </c>
      <c r="M1560" s="8">
        <v>1</v>
      </c>
      <c r="N1560" s="8">
        <f>IF(L1560&gt;0,1,"")</f>
        <v>1</v>
      </c>
      <c r="O1560" s="11" t="s">
        <v>1702</v>
      </c>
      <c r="P1560" s="16" t="str">
        <f>IF(LEN(G1560)=10,CONCATENATE("0",G1560),G1560)</f>
        <v>29-Oct-1910</v>
      </c>
      <c r="R1560" s="16" t="str">
        <f t="shared" si="677"/>
        <v>x</v>
      </c>
      <c r="S1560" s="16" t="str">
        <f t="shared" si="677"/>
        <v>x</v>
      </c>
      <c r="U1560" s="46" t="str">
        <f t="shared" si="676"/>
        <v/>
      </c>
      <c r="V1560" s="46">
        <f t="shared" si="676"/>
        <v>9</v>
      </c>
      <c r="W1560" s="46" t="str">
        <f t="shared" si="676"/>
        <v/>
      </c>
      <c r="X1560" s="46" t="str">
        <f t="shared" si="676"/>
        <v/>
      </c>
    </row>
    <row r="1561" spans="2:24" x14ac:dyDescent="0.25">
      <c r="B1561" s="11" t="str">
        <f>CONCATENATE("EUGE","-",LEFT(P1561,2),UPPER(MID(P1561,4,3)),RIGHT(P1561,4))</f>
        <v>EUGE-17OCT1912</v>
      </c>
      <c r="C1561" s="11" t="s">
        <v>4568</v>
      </c>
      <c r="D1561" s="11" t="s">
        <v>1906</v>
      </c>
      <c r="E1561" s="39" t="s">
        <v>2506</v>
      </c>
      <c r="F1561" s="11" t="s">
        <v>1700</v>
      </c>
      <c r="G1561" s="39" t="s">
        <v>3647</v>
      </c>
      <c r="J1561" s="17">
        <v>82</v>
      </c>
      <c r="K1561" s="17"/>
      <c r="L1561" s="7">
        <f>SUM(H1561:K1561)</f>
        <v>82</v>
      </c>
      <c r="M1561" s="8">
        <v>1</v>
      </c>
      <c r="N1561" s="8">
        <f>IF(L1561&gt;0,1,"")</f>
        <v>1</v>
      </c>
      <c r="O1561" s="11" t="s">
        <v>1702</v>
      </c>
      <c r="P1561" s="16" t="str">
        <f>IF(LEN(G1561)=10,CONCATENATE("0",G1561),G1561)</f>
        <v>17-Oct-1912</v>
      </c>
      <c r="R1561" s="16" t="str">
        <f t="shared" si="677"/>
        <v>x</v>
      </c>
      <c r="S1561" s="16" t="str">
        <f t="shared" si="677"/>
        <v>x</v>
      </c>
      <c r="U1561" s="46" t="str">
        <f t="shared" si="676"/>
        <v/>
      </c>
      <c r="V1561" s="46">
        <f t="shared" si="676"/>
        <v>82</v>
      </c>
      <c r="W1561" s="46" t="str">
        <f t="shared" si="676"/>
        <v/>
      </c>
      <c r="X1561" s="46" t="str">
        <f t="shared" si="676"/>
        <v/>
      </c>
    </row>
    <row r="1562" spans="2:24" x14ac:dyDescent="0.25">
      <c r="B1562" s="11" t="str">
        <f>CONCATENATE("EUGE","-",LEFT(P1562,2),UPPER(MID(P1562,4,3)),RIGHT(P1562,4))</f>
        <v>EUGE-19DEC1912</v>
      </c>
      <c r="C1562" s="11" t="s">
        <v>4568</v>
      </c>
      <c r="D1562" s="11" t="s">
        <v>1906</v>
      </c>
      <c r="E1562" s="39" t="s">
        <v>1913</v>
      </c>
      <c r="F1562" s="11" t="s">
        <v>1700</v>
      </c>
      <c r="G1562" s="39" t="s">
        <v>3705</v>
      </c>
      <c r="J1562" s="17">
        <v>35</v>
      </c>
      <c r="K1562" s="17"/>
      <c r="L1562" s="7">
        <f>SUM(H1562:K1562)</f>
        <v>35</v>
      </c>
      <c r="M1562" s="8">
        <v>1</v>
      </c>
      <c r="N1562" s="8">
        <f>IF(L1562&gt;0,1,"")</f>
        <v>1</v>
      </c>
      <c r="O1562" s="11" t="s">
        <v>1702</v>
      </c>
      <c r="P1562" s="16" t="str">
        <f>IF(LEN(G1562)=10,CONCATENATE("0",G1562),G1562)</f>
        <v>19-Dec-1912</v>
      </c>
      <c r="R1562" s="16" t="str">
        <f>IF($L1562&gt;0,"x","")</f>
        <v>x</v>
      </c>
      <c r="S1562" s="16" t="str">
        <f>IF($L1562&gt;0,"x","")</f>
        <v>x</v>
      </c>
      <c r="U1562" s="46" t="str">
        <f t="shared" si="676"/>
        <v/>
      </c>
      <c r="V1562" s="46">
        <f t="shared" si="676"/>
        <v>35</v>
      </c>
      <c r="W1562" s="46" t="str">
        <f t="shared" si="676"/>
        <v/>
      </c>
      <c r="X1562" s="46" t="str">
        <f t="shared" si="676"/>
        <v/>
      </c>
    </row>
    <row r="1563" spans="2:24" x14ac:dyDescent="0.25">
      <c r="B1563" s="11" t="str">
        <f>CONCATENATE("EUGE","-",LEFT(P1563,2),UPPER(MID(P1563,4,3)),RIGHT(P1563,4))</f>
        <v>EUGE-10AUG1913</v>
      </c>
      <c r="C1563" s="11" t="s">
        <v>4568</v>
      </c>
      <c r="D1563" s="11" t="s">
        <v>1906</v>
      </c>
      <c r="E1563" s="39" t="s">
        <v>5427</v>
      </c>
      <c r="F1563" s="11" t="s">
        <v>1700</v>
      </c>
      <c r="G1563" s="39" t="s">
        <v>2774</v>
      </c>
      <c r="J1563" s="17">
        <f>25+2</f>
        <v>27</v>
      </c>
      <c r="K1563" s="17"/>
      <c r="L1563" s="7">
        <f>SUM(H1563:K1563)</f>
        <v>27</v>
      </c>
      <c r="M1563" s="8">
        <v>1</v>
      </c>
      <c r="N1563" s="8">
        <f>IF(L1563&gt;0,1,"")</f>
        <v>1</v>
      </c>
      <c r="O1563" s="11" t="s">
        <v>1702</v>
      </c>
      <c r="P1563" s="16" t="str">
        <f>IF(LEN(G1563)=10,CONCATENATE("0",G1563),G1563)</f>
        <v>10-Aug-1913</v>
      </c>
      <c r="R1563" s="16" t="str">
        <f>IF($L1563&gt;0,"x","")</f>
        <v>x</v>
      </c>
      <c r="S1563" s="16" t="str">
        <f>IF($L1563&gt;0,"x","")</f>
        <v>x</v>
      </c>
      <c r="U1563" s="46" t="str">
        <f t="shared" si="676"/>
        <v/>
      </c>
      <c r="V1563" s="46">
        <f t="shared" si="676"/>
        <v>27</v>
      </c>
      <c r="W1563" s="46" t="str">
        <f t="shared" si="676"/>
        <v/>
      </c>
      <c r="X1563" s="46" t="str">
        <f t="shared" si="676"/>
        <v/>
      </c>
    </row>
    <row r="1564" spans="2:24" x14ac:dyDescent="0.25">
      <c r="N1564" s="8" t="str">
        <f>IF(R1564="x",1,"")</f>
        <v/>
      </c>
      <c r="U1564" s="46" t="str">
        <f t="shared" si="676"/>
        <v/>
      </c>
      <c r="V1564" s="46" t="str">
        <f t="shared" si="676"/>
        <v/>
      </c>
      <c r="W1564" s="46" t="str">
        <f t="shared" si="676"/>
        <v/>
      </c>
      <c r="X1564" s="46" t="str">
        <f t="shared" si="676"/>
        <v/>
      </c>
    </row>
    <row r="1565" spans="2:24" x14ac:dyDescent="0.25">
      <c r="B1565" s="18"/>
      <c r="C1565" s="18"/>
      <c r="D1565" s="18"/>
      <c r="E1565" s="40"/>
      <c r="F1565" s="18"/>
      <c r="G1565" s="40"/>
      <c r="H1565" s="7">
        <f t="shared" ref="H1565:N1565" si="678">SUM(H1559:H1564)</f>
        <v>0</v>
      </c>
      <c r="I1565" s="7">
        <f t="shared" si="678"/>
        <v>0</v>
      </c>
      <c r="J1565" s="7">
        <f>SUM(J1559:J1564)</f>
        <v>173</v>
      </c>
      <c r="K1565" s="7">
        <f t="shared" si="678"/>
        <v>0</v>
      </c>
      <c r="L1565" s="7">
        <f t="shared" si="678"/>
        <v>173</v>
      </c>
      <c r="M1565" s="7">
        <f t="shared" si="678"/>
        <v>5</v>
      </c>
      <c r="N1565" s="7">
        <f t="shared" si="678"/>
        <v>5</v>
      </c>
      <c r="O1565" s="18"/>
      <c r="P1565" s="13"/>
      <c r="Q1565" s="13"/>
      <c r="S1565" s="13"/>
      <c r="T1565" s="15"/>
      <c r="U1565" s="46" t="str">
        <f t="shared" si="676"/>
        <v/>
      </c>
      <c r="V1565" s="46" t="str">
        <f t="shared" si="676"/>
        <v/>
      </c>
      <c r="W1565" s="46" t="str">
        <f t="shared" si="676"/>
        <v/>
      </c>
      <c r="X1565" s="46" t="str">
        <f t="shared" si="676"/>
        <v/>
      </c>
    </row>
    <row r="1566" spans="2:24" x14ac:dyDescent="0.25">
      <c r="B1566" s="18"/>
      <c r="C1566" s="18"/>
      <c r="D1566" s="18"/>
      <c r="E1566" s="40"/>
      <c r="F1566" s="18"/>
      <c r="G1566" s="40"/>
      <c r="N1566" s="8" t="str">
        <f>IF(R1566="x",1,"")</f>
        <v/>
      </c>
      <c r="O1566" s="18"/>
      <c r="P1566" s="13"/>
      <c r="Q1566" s="13"/>
      <c r="R1566" s="13"/>
      <c r="S1566" s="13"/>
      <c r="T1566" s="15"/>
      <c r="U1566" s="46" t="str">
        <f t="shared" si="676"/>
        <v/>
      </c>
      <c r="V1566" s="46" t="str">
        <f t="shared" si="676"/>
        <v/>
      </c>
      <c r="W1566" s="46" t="str">
        <f t="shared" si="676"/>
        <v/>
      </c>
      <c r="X1566" s="46" t="str">
        <f t="shared" si="676"/>
        <v/>
      </c>
    </row>
    <row r="1567" spans="2:24" x14ac:dyDescent="0.25">
      <c r="B1567" s="18"/>
      <c r="C1567" s="18"/>
      <c r="D1567" s="18"/>
      <c r="E1567" s="40"/>
      <c r="F1567" s="18"/>
      <c r="G1567" s="40"/>
      <c r="N1567" s="8" t="str">
        <f>IF(R1567="x",1,"")</f>
        <v/>
      </c>
      <c r="O1567" s="18"/>
      <c r="P1567" s="13"/>
      <c r="Q1567" s="13"/>
      <c r="R1567" s="13"/>
      <c r="S1567" s="13"/>
      <c r="T1567" s="15"/>
      <c r="U1567" s="46" t="str">
        <f t="shared" si="676"/>
        <v/>
      </c>
      <c r="V1567" s="46" t="str">
        <f t="shared" si="676"/>
        <v/>
      </c>
      <c r="W1567" s="46" t="str">
        <f t="shared" si="676"/>
        <v/>
      </c>
      <c r="X1567" s="46" t="str">
        <f t="shared" si="676"/>
        <v/>
      </c>
    </row>
    <row r="1568" spans="2:24" x14ac:dyDescent="0.25">
      <c r="B1568" s="11" t="str">
        <f>CONCATENATE("EURK","-",LEFT(P1568,2),UPPER(MID(P1568,4,3)),RIGHT(P1568,4))</f>
        <v>EURK-26NOV1911</v>
      </c>
      <c r="C1568" s="11" t="s">
        <v>5792</v>
      </c>
      <c r="D1568" s="11" t="s">
        <v>5793</v>
      </c>
      <c r="E1568" s="39" t="s">
        <v>976</v>
      </c>
      <c r="F1568" s="11" t="s">
        <v>5794</v>
      </c>
      <c r="G1568" s="39" t="s">
        <v>1512</v>
      </c>
      <c r="H1568" s="7">
        <v>1</v>
      </c>
      <c r="J1568" s="17"/>
      <c r="K1568" s="17"/>
      <c r="L1568" s="7">
        <f>SUM(H1568:K1568)</f>
        <v>1</v>
      </c>
      <c r="M1568" s="8">
        <v>1</v>
      </c>
      <c r="N1568" s="8">
        <f>IF(L1568&gt;0,1,"")</f>
        <v>1</v>
      </c>
      <c r="O1568" s="11" t="s">
        <v>1702</v>
      </c>
      <c r="P1568" s="16" t="str">
        <f>IF(LEN(G1568)=10,CONCATENATE("0",G1568),G1568)</f>
        <v>26-Nov-1911</v>
      </c>
      <c r="R1568" s="16" t="str">
        <f>IF($L1568&gt;0,"x","")</f>
        <v>x</v>
      </c>
      <c r="S1568" s="16" t="str">
        <f>IF($L1568&gt;0,"x","")</f>
        <v>x</v>
      </c>
      <c r="U1568" s="46" t="str">
        <f t="shared" si="676"/>
        <v/>
      </c>
      <c r="V1568" s="46">
        <f t="shared" si="676"/>
        <v>1</v>
      </c>
      <c r="W1568" s="46" t="str">
        <f t="shared" si="676"/>
        <v/>
      </c>
      <c r="X1568" s="46" t="str">
        <f t="shared" si="676"/>
        <v/>
      </c>
    </row>
    <row r="1569" spans="2:24" x14ac:dyDescent="0.25">
      <c r="N1569" s="8" t="str">
        <f>IF(R1569="x",1,"")</f>
        <v/>
      </c>
      <c r="U1569" s="46" t="str">
        <f t="shared" si="676"/>
        <v/>
      </c>
      <c r="V1569" s="46" t="str">
        <f t="shared" si="676"/>
        <v/>
      </c>
      <c r="W1569" s="46" t="str">
        <f t="shared" si="676"/>
        <v/>
      </c>
      <c r="X1569" s="46" t="str">
        <f t="shared" si="676"/>
        <v/>
      </c>
    </row>
    <row r="1570" spans="2:24" x14ac:dyDescent="0.25">
      <c r="B1570" s="18"/>
      <c r="C1570" s="18"/>
      <c r="D1570" s="18"/>
      <c r="E1570" s="40"/>
      <c r="F1570" s="18"/>
      <c r="G1570" s="40"/>
      <c r="H1570" s="7">
        <f t="shared" ref="H1570:N1570" si="679">SUM(H1568:H1569)</f>
        <v>1</v>
      </c>
      <c r="I1570" s="7">
        <f t="shared" si="679"/>
        <v>0</v>
      </c>
      <c r="J1570" s="7">
        <f>SUM(J1568:J1569)</f>
        <v>0</v>
      </c>
      <c r="K1570" s="7">
        <f t="shared" si="679"/>
        <v>0</v>
      </c>
      <c r="L1570" s="7">
        <f t="shared" si="679"/>
        <v>1</v>
      </c>
      <c r="M1570" s="7">
        <f t="shared" si="679"/>
        <v>1</v>
      </c>
      <c r="N1570" s="7">
        <f t="shared" si="679"/>
        <v>1</v>
      </c>
      <c r="O1570" s="18"/>
      <c r="P1570" s="13"/>
      <c r="Q1570" s="13"/>
      <c r="S1570" s="13"/>
      <c r="T1570" s="15"/>
      <c r="U1570" s="46" t="str">
        <f t="shared" si="676"/>
        <v/>
      </c>
      <c r="V1570" s="46" t="str">
        <f t="shared" si="676"/>
        <v/>
      </c>
      <c r="W1570" s="46" t="str">
        <f t="shared" si="676"/>
        <v/>
      </c>
      <c r="X1570" s="46" t="str">
        <f t="shared" si="676"/>
        <v/>
      </c>
    </row>
    <row r="1571" spans="2:24" x14ac:dyDescent="0.25">
      <c r="B1571" s="18"/>
      <c r="C1571" s="18"/>
      <c r="D1571" s="18"/>
      <c r="E1571" s="40"/>
      <c r="F1571" s="18"/>
      <c r="G1571" s="40"/>
      <c r="N1571" s="8" t="str">
        <f>IF(R1571="x",1,"")</f>
        <v/>
      </c>
      <c r="O1571" s="18"/>
      <c r="P1571" s="13"/>
      <c r="Q1571" s="13"/>
      <c r="R1571" s="13"/>
      <c r="S1571" s="13"/>
      <c r="T1571" s="15"/>
      <c r="U1571" s="46" t="str">
        <f t="shared" ref="U1571:X1573" si="680">IF($O1571=U$5,$L1571,"")</f>
        <v/>
      </c>
      <c r="V1571" s="46" t="str">
        <f t="shared" si="680"/>
        <v/>
      </c>
      <c r="W1571" s="46" t="str">
        <f t="shared" si="680"/>
        <v/>
      </c>
      <c r="X1571" s="46" t="str">
        <f t="shared" si="680"/>
        <v/>
      </c>
    </row>
    <row r="1572" spans="2:24" x14ac:dyDescent="0.25">
      <c r="B1572" s="18"/>
      <c r="C1572" s="18"/>
      <c r="D1572" s="18"/>
      <c r="E1572" s="40"/>
      <c r="F1572" s="18"/>
      <c r="G1572" s="40"/>
      <c r="N1572" s="8" t="str">
        <f>IF(R1572="x",1,"")</f>
        <v/>
      </c>
      <c r="O1572" s="18"/>
      <c r="P1572" s="13"/>
      <c r="Q1572" s="13"/>
      <c r="R1572" s="13"/>
      <c r="S1572" s="13"/>
      <c r="T1572" s="15"/>
      <c r="U1572" s="46" t="str">
        <f t="shared" si="680"/>
        <v/>
      </c>
      <c r="V1572" s="46" t="str">
        <f t="shared" si="680"/>
        <v/>
      </c>
      <c r="W1572" s="46" t="str">
        <f t="shared" si="680"/>
        <v/>
      </c>
      <c r="X1572" s="46" t="str">
        <f t="shared" si="680"/>
        <v/>
      </c>
    </row>
    <row r="1573" spans="2:24" x14ac:dyDescent="0.25">
      <c r="B1573" s="11" t="str">
        <f>CONCATENATE("EURO","-",LEFT(P1573,2),UPPER(MID(P1573,4,3)),RIGHT(P1573,4))</f>
        <v>EURO-28JUL1909</v>
      </c>
      <c r="C1573" s="11" t="s">
        <v>3949</v>
      </c>
      <c r="D1573" s="11" t="s">
        <v>3007</v>
      </c>
      <c r="E1573" s="39" t="s">
        <v>3843</v>
      </c>
      <c r="F1573" s="11" t="s">
        <v>1700</v>
      </c>
      <c r="G1573" s="39" t="s">
        <v>3314</v>
      </c>
      <c r="H1573" s="7">
        <v>0</v>
      </c>
      <c r="J1573" s="17">
        <v>23</v>
      </c>
      <c r="K1573" s="17"/>
      <c r="L1573" s="7">
        <f>SUM(H1573:K1573)</f>
        <v>23</v>
      </c>
      <c r="M1573" s="8">
        <v>1</v>
      </c>
      <c r="N1573" s="8">
        <f>IF(L1573&gt;0,1,"")</f>
        <v>1</v>
      </c>
      <c r="O1573" s="11" t="s">
        <v>1702</v>
      </c>
      <c r="P1573" s="16" t="str">
        <f>IF(LEN(G1573)=10,CONCATENATE("0",G1573),G1573)</f>
        <v>28-Jul-1909</v>
      </c>
      <c r="R1573" s="16" t="str">
        <f t="shared" ref="R1573:S1575" si="681">IF($L1573&gt;0,"x","")</f>
        <v>x</v>
      </c>
      <c r="S1573" s="16" t="str">
        <f t="shared" si="681"/>
        <v>x</v>
      </c>
      <c r="U1573" s="46" t="str">
        <f t="shared" si="680"/>
        <v/>
      </c>
      <c r="V1573" s="46">
        <f t="shared" si="680"/>
        <v>23</v>
      </c>
      <c r="W1573" s="46" t="str">
        <f t="shared" si="680"/>
        <v/>
      </c>
      <c r="X1573" s="46" t="str">
        <f t="shared" si="680"/>
        <v/>
      </c>
    </row>
    <row r="1574" spans="2:24" x14ac:dyDescent="0.25">
      <c r="B1574" s="11" t="str">
        <f>CONCATENATE("EURO","-",LEFT(P1574,2),UPPER(MID(P1574,4,3)),RIGHT(P1574,4))</f>
        <v>EURO-13JUL1910</v>
      </c>
      <c r="C1574" s="11" t="s">
        <v>3949</v>
      </c>
      <c r="D1574" s="11" t="s">
        <v>3007</v>
      </c>
      <c r="E1574" s="39" t="s">
        <v>3950</v>
      </c>
      <c r="F1574" s="11" t="s">
        <v>1700</v>
      </c>
      <c r="G1574" s="39" t="s">
        <v>3951</v>
      </c>
      <c r="H1574" s="7">
        <v>0</v>
      </c>
      <c r="J1574" s="17">
        <v>5</v>
      </c>
      <c r="K1574" s="17"/>
      <c r="L1574" s="7">
        <f>SUM(H1574:K1574)</f>
        <v>5</v>
      </c>
      <c r="M1574" s="8">
        <v>1</v>
      </c>
      <c r="N1574" s="8">
        <f>IF(L1574&gt;0,1,"")</f>
        <v>1</v>
      </c>
      <c r="O1574" s="11" t="s">
        <v>1702</v>
      </c>
      <c r="P1574" s="16" t="str">
        <f>IF(LEN(G1574)=10,CONCATENATE("0",G1574),G1574)</f>
        <v>13-Jul-1910</v>
      </c>
      <c r="R1574" s="16" t="str">
        <f t="shared" si="681"/>
        <v>x</v>
      </c>
      <c r="S1574" s="16" t="str">
        <f t="shared" si="681"/>
        <v>x</v>
      </c>
      <c r="U1574" s="46" t="str">
        <f t="shared" ref="U1574:X1575" si="682">IF($O1574=U$5,$L1574,"")</f>
        <v/>
      </c>
      <c r="V1574" s="46">
        <f t="shared" si="682"/>
        <v>5</v>
      </c>
      <c r="W1574" s="46" t="str">
        <f t="shared" si="682"/>
        <v/>
      </c>
      <c r="X1574" s="46" t="str">
        <f t="shared" si="682"/>
        <v/>
      </c>
    </row>
    <row r="1575" spans="2:24" x14ac:dyDescent="0.25">
      <c r="B1575" s="11" t="str">
        <f>CONCATENATE("EURO","-",LEFT(P1575,2),UPPER(MID(P1575,4,3)),RIGHT(P1575,4))</f>
        <v>EURO-25OCT1919</v>
      </c>
      <c r="C1575" s="11" t="s">
        <v>3949</v>
      </c>
      <c r="D1575" s="11" t="s">
        <v>3217</v>
      </c>
      <c r="E1575" s="39" t="s">
        <v>5497</v>
      </c>
      <c r="F1575" s="11" t="s">
        <v>3039</v>
      </c>
      <c r="G1575" s="39" t="s">
        <v>5459</v>
      </c>
      <c r="I1575" s="7">
        <v>0</v>
      </c>
      <c r="J1575" s="17">
        <v>1</v>
      </c>
      <c r="K1575" s="17"/>
      <c r="L1575" s="7">
        <f>SUM(H1575:K1575)</f>
        <v>1</v>
      </c>
      <c r="M1575" s="8">
        <v>1</v>
      </c>
      <c r="N1575" s="8">
        <f>IF(L1575&gt;0,1,"")</f>
        <v>1</v>
      </c>
      <c r="O1575" s="11" t="s">
        <v>1702</v>
      </c>
      <c r="P1575" s="16" t="str">
        <f>IF(LEN(G1575)=10,CONCATENATE("0",G1575),G1575)</f>
        <v>25-Oct-1919</v>
      </c>
      <c r="R1575" s="16" t="str">
        <f t="shared" si="681"/>
        <v>x</v>
      </c>
      <c r="S1575" s="16" t="str">
        <f t="shared" si="681"/>
        <v>x</v>
      </c>
      <c r="U1575" s="46" t="str">
        <f t="shared" si="682"/>
        <v/>
      </c>
      <c r="V1575" s="46">
        <f t="shared" si="682"/>
        <v>1</v>
      </c>
      <c r="W1575" s="46" t="str">
        <f t="shared" si="682"/>
        <v/>
      </c>
      <c r="X1575" s="46" t="str">
        <f t="shared" si="682"/>
        <v/>
      </c>
    </row>
    <row r="1576" spans="2:24" x14ac:dyDescent="0.25">
      <c r="N1576" s="8" t="str">
        <f>IF(R1576="x",1,"")</f>
        <v/>
      </c>
      <c r="U1576" s="46" t="str">
        <f t="shared" ref="U1576:X1583" si="683">IF($O1576=U$5,$L1576,"")</f>
        <v/>
      </c>
      <c r="V1576" s="46" t="str">
        <f t="shared" si="683"/>
        <v/>
      </c>
      <c r="W1576" s="46" t="str">
        <f t="shared" si="683"/>
        <v/>
      </c>
      <c r="X1576" s="46" t="str">
        <f t="shared" si="683"/>
        <v/>
      </c>
    </row>
    <row r="1577" spans="2:24" x14ac:dyDescent="0.25">
      <c r="B1577" s="18"/>
      <c r="C1577" s="18"/>
      <c r="D1577" s="18"/>
      <c r="E1577" s="40"/>
      <c r="F1577" s="18"/>
      <c r="G1577" s="40"/>
      <c r="H1577" s="7">
        <f t="shared" ref="H1577:N1577" si="684">SUM(H1573:H1576)</f>
        <v>0</v>
      </c>
      <c r="I1577" s="7">
        <f t="shared" si="684"/>
        <v>0</v>
      </c>
      <c r="J1577" s="7">
        <f>SUM(J1573:J1576)</f>
        <v>29</v>
      </c>
      <c r="K1577" s="7">
        <f t="shared" si="684"/>
        <v>0</v>
      </c>
      <c r="L1577" s="7">
        <f t="shared" si="684"/>
        <v>29</v>
      </c>
      <c r="M1577" s="7">
        <f t="shared" si="684"/>
        <v>3</v>
      </c>
      <c r="N1577" s="7">
        <f t="shared" si="684"/>
        <v>3</v>
      </c>
      <c r="O1577" s="18"/>
      <c r="P1577" s="13"/>
      <c r="Q1577" s="13"/>
      <c r="S1577" s="13"/>
      <c r="T1577" s="15"/>
      <c r="U1577" s="46" t="str">
        <f t="shared" si="683"/>
        <v/>
      </c>
      <c r="V1577" s="46" t="str">
        <f t="shared" si="683"/>
        <v/>
      </c>
      <c r="W1577" s="46" t="str">
        <f t="shared" si="683"/>
        <v/>
      </c>
      <c r="X1577" s="46" t="str">
        <f t="shared" si="683"/>
        <v/>
      </c>
    </row>
    <row r="1578" spans="2:24" x14ac:dyDescent="0.25">
      <c r="B1578" s="18"/>
      <c r="C1578" s="18"/>
      <c r="D1578" s="18"/>
      <c r="E1578" s="40"/>
      <c r="F1578" s="18"/>
      <c r="G1578" s="40"/>
      <c r="N1578" s="8" t="str">
        <f>IF(R1578="x",1,"")</f>
        <v/>
      </c>
      <c r="O1578" s="18"/>
      <c r="P1578" s="13"/>
      <c r="Q1578" s="13"/>
      <c r="R1578" s="13"/>
      <c r="S1578" s="13"/>
      <c r="T1578" s="15"/>
      <c r="U1578" s="46" t="str">
        <f t="shared" si="683"/>
        <v/>
      </c>
      <c r="V1578" s="46" t="str">
        <f t="shared" si="683"/>
        <v/>
      </c>
      <c r="W1578" s="46" t="str">
        <f t="shared" si="683"/>
        <v/>
      </c>
      <c r="X1578" s="46" t="str">
        <f t="shared" si="683"/>
        <v/>
      </c>
    </row>
    <row r="1579" spans="2:24" x14ac:dyDescent="0.25">
      <c r="B1579" s="18"/>
      <c r="C1579" s="18"/>
      <c r="D1579" s="18"/>
      <c r="E1579" s="40"/>
      <c r="F1579" s="18"/>
      <c r="G1579" s="40"/>
      <c r="N1579" s="8" t="str">
        <f>IF(R1579="x",1,"")</f>
        <v/>
      </c>
      <c r="O1579" s="18"/>
      <c r="P1579" s="13"/>
      <c r="Q1579" s="13"/>
      <c r="R1579" s="13"/>
      <c r="S1579" s="13"/>
      <c r="T1579" s="15"/>
      <c r="U1579" s="46" t="str">
        <f t="shared" si="683"/>
        <v/>
      </c>
      <c r="V1579" s="46" t="str">
        <f t="shared" si="683"/>
        <v/>
      </c>
      <c r="W1579" s="46" t="str">
        <f t="shared" si="683"/>
        <v/>
      </c>
      <c r="X1579" s="46" t="str">
        <f t="shared" si="683"/>
        <v/>
      </c>
    </row>
    <row r="1580" spans="2:24" x14ac:dyDescent="0.25">
      <c r="B1580" s="11" t="str">
        <f>CONCATENATE("EXCE","-",LEFT(P1580,2),UPPER(MID(P1580,4,3)),RIGHT(P1580,4))</f>
        <v>EXCE-04DEC1924</v>
      </c>
      <c r="C1580" s="11" t="s">
        <v>3121</v>
      </c>
      <c r="D1580" s="11" t="s">
        <v>3122</v>
      </c>
      <c r="E1580" s="39" t="s">
        <v>3123</v>
      </c>
      <c r="F1580" s="11" t="s">
        <v>3075</v>
      </c>
      <c r="G1580" s="39" t="s">
        <v>3124</v>
      </c>
      <c r="H1580" s="7">
        <v>1</v>
      </c>
      <c r="J1580" s="17">
        <v>0</v>
      </c>
      <c r="K1580" s="17"/>
      <c r="L1580" s="7">
        <f>SUM(H1580:K1580)</f>
        <v>1</v>
      </c>
      <c r="M1580" s="8">
        <v>1</v>
      </c>
      <c r="N1580" s="8">
        <f>IF(L1580&gt;0,1,"")</f>
        <v>1</v>
      </c>
      <c r="O1580" s="11" t="s">
        <v>1702</v>
      </c>
      <c r="P1580" s="16" t="str">
        <f>IF(LEN(G1580)=10,CONCATENATE("0",G1580),G1580)</f>
        <v>04-Dec-1924</v>
      </c>
      <c r="R1580" s="16" t="str">
        <f>IF($L1580&gt;0,"x","")</f>
        <v>x</v>
      </c>
      <c r="S1580" s="16" t="str">
        <f>IF($L1580&gt;0,"x","")</f>
        <v>x</v>
      </c>
      <c r="U1580" s="46" t="str">
        <f t="shared" si="683"/>
        <v/>
      </c>
      <c r="V1580" s="46">
        <f t="shared" si="683"/>
        <v>1</v>
      </c>
      <c r="W1580" s="46" t="str">
        <f t="shared" si="683"/>
        <v/>
      </c>
      <c r="X1580" s="46" t="str">
        <f t="shared" si="683"/>
        <v/>
      </c>
    </row>
    <row r="1581" spans="2:24" x14ac:dyDescent="0.25">
      <c r="N1581" s="8" t="str">
        <f>IF(R1581="x",1,"")</f>
        <v/>
      </c>
      <c r="U1581" s="46" t="str">
        <f t="shared" si="683"/>
        <v/>
      </c>
      <c r="V1581" s="46" t="str">
        <f t="shared" si="683"/>
        <v/>
      </c>
      <c r="W1581" s="46" t="str">
        <f t="shared" si="683"/>
        <v/>
      </c>
      <c r="X1581" s="46" t="str">
        <f t="shared" si="683"/>
        <v/>
      </c>
    </row>
    <row r="1582" spans="2:24" x14ac:dyDescent="0.25">
      <c r="B1582" s="18"/>
      <c r="C1582" s="18"/>
      <c r="D1582" s="18"/>
      <c r="E1582" s="40"/>
      <c r="F1582" s="18"/>
      <c r="G1582" s="40"/>
      <c r="H1582" s="7">
        <f t="shared" ref="H1582:N1582" si="685">SUM(H1580:H1581)</f>
        <v>1</v>
      </c>
      <c r="I1582" s="7">
        <f t="shared" si="685"/>
        <v>0</v>
      </c>
      <c r="J1582" s="7">
        <f>SUM(J1580:J1581)</f>
        <v>0</v>
      </c>
      <c r="K1582" s="7">
        <f t="shared" si="685"/>
        <v>0</v>
      </c>
      <c r="L1582" s="7">
        <f t="shared" si="685"/>
        <v>1</v>
      </c>
      <c r="M1582" s="7">
        <f t="shared" si="685"/>
        <v>1</v>
      </c>
      <c r="N1582" s="7">
        <f t="shared" si="685"/>
        <v>1</v>
      </c>
      <c r="O1582" s="18"/>
      <c r="P1582" s="13"/>
      <c r="Q1582" s="13"/>
      <c r="S1582" s="13"/>
      <c r="T1582" s="15"/>
      <c r="U1582" s="46" t="str">
        <f t="shared" si="683"/>
        <v/>
      </c>
      <c r="V1582" s="46" t="str">
        <f t="shared" si="683"/>
        <v/>
      </c>
      <c r="W1582" s="46" t="str">
        <f t="shared" si="683"/>
        <v/>
      </c>
      <c r="X1582" s="46" t="str">
        <f t="shared" si="683"/>
        <v/>
      </c>
    </row>
    <row r="1583" spans="2:24" x14ac:dyDescent="0.25">
      <c r="B1583" s="18"/>
      <c r="C1583" s="18"/>
      <c r="D1583" s="18"/>
      <c r="E1583" s="40"/>
      <c r="F1583" s="18"/>
      <c r="G1583" s="40"/>
      <c r="N1583" s="8" t="str">
        <f>IF(R1583="x",1,"")</f>
        <v/>
      </c>
      <c r="O1583" s="18"/>
      <c r="P1583" s="13"/>
      <c r="Q1583" s="13"/>
      <c r="R1583" s="13"/>
      <c r="S1583" s="13"/>
      <c r="T1583" s="15"/>
      <c r="U1583" s="46" t="str">
        <f t="shared" si="683"/>
        <v/>
      </c>
      <c r="V1583" s="46" t="str">
        <f t="shared" si="683"/>
        <v/>
      </c>
      <c r="W1583" s="46" t="str">
        <f t="shared" si="683"/>
        <v/>
      </c>
      <c r="X1583" s="46" t="str">
        <f t="shared" si="683"/>
        <v/>
      </c>
    </row>
    <row r="1584" spans="2:24" x14ac:dyDescent="0.25">
      <c r="B1584" s="18"/>
      <c r="C1584" s="18"/>
      <c r="D1584" s="18"/>
      <c r="E1584" s="40"/>
      <c r="F1584" s="18"/>
      <c r="G1584" s="40"/>
      <c r="N1584" s="8" t="str">
        <f>IF(R1584="x",1,"")</f>
        <v/>
      </c>
      <c r="O1584" s="18"/>
      <c r="P1584" s="13"/>
      <c r="Q1584" s="13"/>
      <c r="R1584" s="13"/>
      <c r="S1584" s="13"/>
      <c r="T1584" s="15"/>
      <c r="U1584" s="46" t="str">
        <f t="shared" ref="U1584:X1595" si="686">IF($O1584=U$5,$L1584,"")</f>
        <v/>
      </c>
      <c r="V1584" s="46" t="str">
        <f t="shared" si="686"/>
        <v/>
      </c>
      <c r="W1584" s="46" t="str">
        <f t="shared" si="686"/>
        <v/>
      </c>
      <c r="X1584" s="46" t="str">
        <f t="shared" si="686"/>
        <v/>
      </c>
    </row>
    <row r="1585" spans="2:24" x14ac:dyDescent="0.25">
      <c r="B1585" s="11" t="str">
        <f>CONCATENATE("FINL","-",LEFT(P1585,2),UPPER(MID(P1585,4,3)),RIGHT(P1585,4))</f>
        <v>FINL-04NOV1908</v>
      </c>
      <c r="C1585" s="11" t="s">
        <v>4589</v>
      </c>
      <c r="D1585" s="11" t="s">
        <v>2814</v>
      </c>
      <c r="E1585" s="39" t="s">
        <v>1217</v>
      </c>
      <c r="F1585" s="11" t="s">
        <v>1700</v>
      </c>
      <c r="G1585" s="39" t="s">
        <v>5904</v>
      </c>
      <c r="H1585" s="7">
        <v>0</v>
      </c>
      <c r="I1585" s="7">
        <v>0</v>
      </c>
      <c r="J1585" s="17">
        <v>1</v>
      </c>
      <c r="K1585" s="17"/>
      <c r="L1585" s="7">
        <f>SUM(H1585:K1585)</f>
        <v>1</v>
      </c>
      <c r="M1585" s="8">
        <v>1</v>
      </c>
      <c r="N1585" s="8">
        <f>IF(L1585&gt;0,1,"")</f>
        <v>1</v>
      </c>
      <c r="O1585" s="11" t="s">
        <v>1702</v>
      </c>
      <c r="P1585" s="16" t="str">
        <f>IF(LEN(G1585)=10,CONCATENATE("0",G1585),G1585)</f>
        <v>04-Nov-1908</v>
      </c>
      <c r="R1585" s="16" t="str">
        <f t="shared" ref="R1585:S1587" si="687">IF($L1585&gt;0,"x","")</f>
        <v>x</v>
      </c>
      <c r="S1585" s="16" t="str">
        <f t="shared" si="687"/>
        <v>x</v>
      </c>
      <c r="U1585" s="46" t="str">
        <f t="shared" si="686"/>
        <v/>
      </c>
      <c r="V1585" s="46">
        <f t="shared" si="686"/>
        <v>1</v>
      </c>
      <c r="W1585" s="46" t="str">
        <f t="shared" si="686"/>
        <v/>
      </c>
      <c r="X1585" s="46" t="str">
        <f t="shared" si="686"/>
        <v/>
      </c>
    </row>
    <row r="1586" spans="2:24" x14ac:dyDescent="0.25">
      <c r="B1586" s="11" t="str">
        <f>CONCATENATE("FINL","-",LEFT(P1586,2),UPPER(MID(P1586,4,3)),RIGHT(P1586,4))</f>
        <v>FINL-21AUG1920</v>
      </c>
      <c r="C1586" s="11" t="s">
        <v>4589</v>
      </c>
      <c r="D1586" s="11" t="s">
        <v>2814</v>
      </c>
      <c r="E1586" s="39" t="s">
        <v>3294</v>
      </c>
      <c r="F1586" s="11" t="s">
        <v>1700</v>
      </c>
      <c r="G1586" s="39" t="s">
        <v>1587</v>
      </c>
      <c r="H1586" s="7">
        <v>0</v>
      </c>
      <c r="I1586" s="7">
        <v>0</v>
      </c>
      <c r="J1586" s="17">
        <v>69</v>
      </c>
      <c r="K1586" s="17"/>
      <c r="L1586" s="7">
        <f>SUM(H1586:K1586)</f>
        <v>69</v>
      </c>
      <c r="M1586" s="8">
        <v>1</v>
      </c>
      <c r="N1586" s="8">
        <f>IF(L1586&gt;0,1,"")</f>
        <v>1</v>
      </c>
      <c r="O1586" s="11" t="s">
        <v>1702</v>
      </c>
      <c r="P1586" s="16" t="str">
        <f>IF(LEN(G1586)=10,CONCATENATE("0",G1586),G1586)</f>
        <v>21-Aug-1920</v>
      </c>
      <c r="R1586" s="16" t="str">
        <f t="shared" si="687"/>
        <v>x</v>
      </c>
      <c r="S1586" s="16" t="str">
        <f t="shared" si="687"/>
        <v>x</v>
      </c>
      <c r="U1586" s="46" t="str">
        <f t="shared" si="686"/>
        <v/>
      </c>
      <c r="V1586" s="46">
        <f t="shared" si="686"/>
        <v>69</v>
      </c>
      <c r="W1586" s="46" t="str">
        <f t="shared" si="686"/>
        <v/>
      </c>
      <c r="X1586" s="46" t="str">
        <f t="shared" si="686"/>
        <v/>
      </c>
    </row>
    <row r="1587" spans="2:24" x14ac:dyDescent="0.25">
      <c r="B1587" s="11" t="str">
        <f>CONCATENATE("FINL","-",LEFT(P1587,2),UPPER(MID(P1587,4,3)),RIGHT(P1587,4))</f>
        <v>FINL-25SEP1920</v>
      </c>
      <c r="C1587" s="11" t="s">
        <v>4589</v>
      </c>
      <c r="D1587" s="11" t="s">
        <v>2814</v>
      </c>
      <c r="E1587" s="39" t="s">
        <v>2555</v>
      </c>
      <c r="F1587" s="11" t="s">
        <v>1700</v>
      </c>
      <c r="G1587" s="39" t="s">
        <v>5450</v>
      </c>
      <c r="H1587" s="7">
        <v>0</v>
      </c>
      <c r="I1587" s="7">
        <v>0</v>
      </c>
      <c r="J1587" s="17">
        <v>15</v>
      </c>
      <c r="K1587" s="17"/>
      <c r="L1587" s="7">
        <f>SUM(H1587:K1587)</f>
        <v>15</v>
      </c>
      <c r="M1587" s="8">
        <v>1</v>
      </c>
      <c r="N1587" s="8">
        <f>IF(L1587&gt;0,1,"")</f>
        <v>1</v>
      </c>
      <c r="O1587" s="11" t="s">
        <v>1702</v>
      </c>
      <c r="P1587" s="16" t="str">
        <f>IF(LEN(G1587)=10,CONCATENATE("0",G1587),G1587)</f>
        <v>25-Sep-1920</v>
      </c>
      <c r="R1587" s="16" t="str">
        <f t="shared" si="687"/>
        <v>x</v>
      </c>
      <c r="S1587" s="16" t="str">
        <f t="shared" si="687"/>
        <v>x</v>
      </c>
      <c r="U1587" s="46" t="str">
        <f t="shared" si="686"/>
        <v/>
      </c>
      <c r="V1587" s="46">
        <f t="shared" si="686"/>
        <v>15</v>
      </c>
      <c r="W1587" s="46" t="str">
        <f t="shared" si="686"/>
        <v/>
      </c>
      <c r="X1587" s="46" t="str">
        <f t="shared" si="686"/>
        <v/>
      </c>
    </row>
    <row r="1588" spans="2:24" x14ac:dyDescent="0.25">
      <c r="N1588" s="8" t="str">
        <f>IF(R1588="x",1,"")</f>
        <v/>
      </c>
      <c r="U1588" s="46" t="str">
        <f t="shared" si="686"/>
        <v/>
      </c>
      <c r="V1588" s="46" t="str">
        <f t="shared" si="686"/>
        <v/>
      </c>
      <c r="W1588" s="46" t="str">
        <f t="shared" si="686"/>
        <v/>
      </c>
      <c r="X1588" s="46" t="str">
        <f t="shared" si="686"/>
        <v/>
      </c>
    </row>
    <row r="1589" spans="2:24" x14ac:dyDescent="0.25">
      <c r="B1589" s="18"/>
      <c r="C1589" s="18"/>
      <c r="D1589" s="18"/>
      <c r="E1589" s="40"/>
      <c r="F1589" s="18"/>
      <c r="G1589" s="40"/>
      <c r="H1589" s="7">
        <f t="shared" ref="H1589:N1589" si="688">SUM(H1585:H1588)</f>
        <v>0</v>
      </c>
      <c r="I1589" s="7">
        <f t="shared" si="688"/>
        <v>0</v>
      </c>
      <c r="J1589" s="7">
        <f>SUM(J1585:J1588)</f>
        <v>85</v>
      </c>
      <c r="K1589" s="7">
        <f t="shared" si="688"/>
        <v>0</v>
      </c>
      <c r="L1589" s="7">
        <f t="shared" si="688"/>
        <v>85</v>
      </c>
      <c r="M1589" s="7">
        <f t="shared" si="688"/>
        <v>3</v>
      </c>
      <c r="N1589" s="7">
        <f t="shared" si="688"/>
        <v>3</v>
      </c>
      <c r="O1589" s="18"/>
      <c r="P1589" s="13"/>
      <c r="Q1589" s="13"/>
      <c r="S1589" s="13"/>
      <c r="T1589" s="15"/>
      <c r="U1589" s="46" t="str">
        <f t="shared" si="686"/>
        <v/>
      </c>
      <c r="V1589" s="46" t="str">
        <f t="shared" si="686"/>
        <v/>
      </c>
      <c r="W1589" s="46" t="str">
        <f t="shared" si="686"/>
        <v/>
      </c>
      <c r="X1589" s="46" t="str">
        <f t="shared" si="686"/>
        <v/>
      </c>
    </row>
    <row r="1590" spans="2:24" x14ac:dyDescent="0.25">
      <c r="B1590" s="18"/>
      <c r="C1590" s="18"/>
      <c r="D1590" s="18"/>
      <c r="E1590" s="40"/>
      <c r="F1590" s="18"/>
      <c r="G1590" s="40"/>
      <c r="N1590" s="8" t="str">
        <f>IF(R1590="x",1,"")</f>
        <v/>
      </c>
      <c r="O1590" s="18"/>
      <c r="P1590" s="13"/>
      <c r="Q1590" s="13"/>
      <c r="R1590" s="13"/>
      <c r="S1590" s="13"/>
      <c r="T1590" s="15"/>
      <c r="U1590" s="46" t="str">
        <f t="shared" si="686"/>
        <v/>
      </c>
      <c r="V1590" s="46" t="str">
        <f t="shared" si="686"/>
        <v/>
      </c>
      <c r="W1590" s="46" t="str">
        <f t="shared" si="686"/>
        <v/>
      </c>
      <c r="X1590" s="46" t="str">
        <f t="shared" si="686"/>
        <v/>
      </c>
    </row>
    <row r="1591" spans="2:24" x14ac:dyDescent="0.25">
      <c r="B1591" s="18"/>
      <c r="C1591" s="18"/>
      <c r="D1591" s="18"/>
      <c r="E1591" s="40"/>
      <c r="F1591" s="18"/>
      <c r="G1591" s="40"/>
      <c r="N1591" s="8" t="str">
        <f>IF(R1591="x",1,"")</f>
        <v/>
      </c>
      <c r="O1591" s="18"/>
      <c r="P1591" s="13"/>
      <c r="Q1591" s="13"/>
      <c r="R1591" s="13"/>
      <c r="S1591" s="13"/>
      <c r="T1591" s="15"/>
      <c r="U1591" s="46" t="str">
        <f t="shared" si="686"/>
        <v/>
      </c>
      <c r="V1591" s="46" t="str">
        <f t="shared" si="686"/>
        <v/>
      </c>
      <c r="W1591" s="46" t="str">
        <f t="shared" si="686"/>
        <v/>
      </c>
      <c r="X1591" s="46" t="str">
        <f t="shared" si="686"/>
        <v/>
      </c>
    </row>
    <row r="1592" spans="2:24" x14ac:dyDescent="0.25">
      <c r="B1592" s="11" t="str">
        <f>CONCATENATE("FLDA","-",LEFT(P1592,2),UPPER(MID(P1592,4,3)),RIGHT(P1592,4))</f>
        <v>FLDA-27SEP1907</v>
      </c>
      <c r="C1592" s="11" t="s">
        <v>5394</v>
      </c>
      <c r="D1592" s="11" t="s">
        <v>3007</v>
      </c>
      <c r="E1592" s="39" t="s">
        <v>5396</v>
      </c>
      <c r="F1592" s="11" t="s">
        <v>1700</v>
      </c>
      <c r="G1592" s="39" t="s">
        <v>5395</v>
      </c>
      <c r="H1592" s="7">
        <v>0</v>
      </c>
      <c r="J1592" s="17">
        <v>8</v>
      </c>
      <c r="K1592" s="17"/>
      <c r="L1592" s="7">
        <f>SUM(H1592:K1592)</f>
        <v>8</v>
      </c>
      <c r="M1592" s="8">
        <v>1</v>
      </c>
      <c r="N1592" s="8">
        <f>IF(L1592&gt;0,1,"")</f>
        <v>1</v>
      </c>
      <c r="O1592" s="11" t="s">
        <v>1702</v>
      </c>
      <c r="P1592" s="16" t="str">
        <f>IF(LEN(G1592)=10,CONCATENATE("0",G1592),G1592)</f>
        <v>27-Sep-1907</v>
      </c>
      <c r="R1592" s="16" t="str">
        <f>IF($L1592&gt;0,"x","")</f>
        <v>x</v>
      </c>
      <c r="S1592" s="16" t="str">
        <f>IF($L1592&gt;0,"x","")</f>
        <v>x</v>
      </c>
      <c r="U1592" s="46" t="str">
        <f t="shared" si="686"/>
        <v/>
      </c>
      <c r="V1592" s="46">
        <f t="shared" si="686"/>
        <v>8</v>
      </c>
      <c r="W1592" s="46" t="str">
        <f t="shared" si="686"/>
        <v/>
      </c>
      <c r="X1592" s="46" t="str">
        <f t="shared" si="686"/>
        <v/>
      </c>
    </row>
    <row r="1593" spans="2:24" x14ac:dyDescent="0.25">
      <c r="B1593" s="11" t="str">
        <f>CONCATENATE("FLDA","-",LEFT(P1593,2),UPPER(MID(P1593,4,3)),RIGHT(P1593,4))</f>
        <v>FLDA-20JUL1931</v>
      </c>
      <c r="C1593" s="11" t="s">
        <v>5394</v>
      </c>
      <c r="D1593" s="11" t="s">
        <v>3122</v>
      </c>
      <c r="E1593" s="39" t="s">
        <v>5774</v>
      </c>
      <c r="F1593" s="11" t="s">
        <v>4211</v>
      </c>
      <c r="G1593" s="39" t="s">
        <v>5774</v>
      </c>
      <c r="H1593" s="7">
        <v>1</v>
      </c>
      <c r="J1593" s="17"/>
      <c r="K1593" s="17"/>
      <c r="L1593" s="7">
        <f>SUM(H1593:K1593)</f>
        <v>1</v>
      </c>
      <c r="M1593" s="8">
        <v>1</v>
      </c>
      <c r="N1593" s="8">
        <f>IF(L1593&gt;0,1,"")</f>
        <v>1</v>
      </c>
      <c r="O1593" s="11" t="s">
        <v>1702</v>
      </c>
      <c r="P1593" s="16" t="str">
        <f>IF(LEN(G1593)=10,CONCATENATE("0",G1593),G1593)</f>
        <v>20-Jul-1931</v>
      </c>
      <c r="R1593" s="16" t="str">
        <f>IF($L1593&gt;0,"x","")</f>
        <v>x</v>
      </c>
      <c r="S1593" s="16" t="str">
        <f>IF($L1593&gt;0,"x","")</f>
        <v>x</v>
      </c>
      <c r="U1593" s="46" t="str">
        <f t="shared" si="686"/>
        <v/>
      </c>
      <c r="V1593" s="46">
        <f t="shared" si="686"/>
        <v>1</v>
      </c>
      <c r="W1593" s="46" t="str">
        <f t="shared" si="686"/>
        <v/>
      </c>
      <c r="X1593" s="46" t="str">
        <f t="shared" si="686"/>
        <v/>
      </c>
    </row>
    <row r="1594" spans="2:24" x14ac:dyDescent="0.25">
      <c r="N1594" s="8" t="str">
        <f>IF(R1594="x",1,"")</f>
        <v/>
      </c>
      <c r="U1594" s="46" t="str">
        <f t="shared" si="686"/>
        <v/>
      </c>
      <c r="V1594" s="46" t="str">
        <f t="shared" si="686"/>
        <v/>
      </c>
      <c r="W1594" s="46" t="str">
        <f t="shared" si="686"/>
        <v/>
      </c>
      <c r="X1594" s="46" t="str">
        <f t="shared" si="686"/>
        <v/>
      </c>
    </row>
    <row r="1595" spans="2:24" x14ac:dyDescent="0.25">
      <c r="B1595" s="18"/>
      <c r="C1595" s="18"/>
      <c r="D1595" s="18"/>
      <c r="E1595" s="40"/>
      <c r="F1595" s="18"/>
      <c r="G1595" s="40"/>
      <c r="H1595" s="7">
        <f t="shared" ref="H1595:N1595" si="689">SUM(H1592:H1594)</f>
        <v>1</v>
      </c>
      <c r="I1595" s="7">
        <f t="shared" si="689"/>
        <v>0</v>
      </c>
      <c r="J1595" s="7">
        <f>SUM(J1592:J1594)</f>
        <v>8</v>
      </c>
      <c r="K1595" s="7">
        <f t="shared" si="689"/>
        <v>0</v>
      </c>
      <c r="L1595" s="7">
        <f t="shared" si="689"/>
        <v>9</v>
      </c>
      <c r="M1595" s="7">
        <f t="shared" si="689"/>
        <v>2</v>
      </c>
      <c r="N1595" s="7">
        <f t="shared" si="689"/>
        <v>2</v>
      </c>
      <c r="O1595" s="18"/>
      <c r="P1595" s="13"/>
      <c r="Q1595" s="13"/>
      <c r="S1595" s="13"/>
      <c r="T1595" s="15"/>
      <c r="U1595" s="46" t="str">
        <f t="shared" si="686"/>
        <v/>
      </c>
      <c r="V1595" s="46" t="str">
        <f t="shared" si="686"/>
        <v/>
      </c>
      <c r="W1595" s="46" t="str">
        <f t="shared" si="686"/>
        <v/>
      </c>
      <c r="X1595" s="46" t="str">
        <f t="shared" si="686"/>
        <v/>
      </c>
    </row>
    <row r="1596" spans="2:24" x14ac:dyDescent="0.25">
      <c r="B1596" s="18"/>
      <c r="C1596" s="18"/>
      <c r="D1596" s="18"/>
      <c r="E1596" s="40"/>
      <c r="F1596" s="18"/>
      <c r="G1596" s="40"/>
      <c r="N1596" s="8" t="str">
        <f>IF(R1596="x",1,"")</f>
        <v/>
      </c>
      <c r="O1596" s="18"/>
      <c r="P1596" s="13"/>
      <c r="Q1596" s="13"/>
      <c r="R1596" s="13"/>
      <c r="S1596" s="13"/>
      <c r="T1596" s="15"/>
      <c r="U1596" s="46" t="str">
        <f t="shared" ref="U1596:X1608" si="690">IF($O1596=U$5,$L1596,"")</f>
        <v/>
      </c>
      <c r="V1596" s="46" t="str">
        <f t="shared" si="690"/>
        <v/>
      </c>
      <c r="W1596" s="46" t="str">
        <f t="shared" si="690"/>
        <v/>
      </c>
      <c r="X1596" s="46" t="str">
        <f t="shared" si="690"/>
        <v/>
      </c>
    </row>
    <row r="1597" spans="2:24" x14ac:dyDescent="0.25">
      <c r="B1597" s="18"/>
      <c r="C1597" s="18"/>
      <c r="D1597" s="18"/>
      <c r="E1597" s="40"/>
      <c r="F1597" s="18"/>
      <c r="G1597" s="40"/>
      <c r="N1597" s="8" t="str">
        <f>IF(R1597="x",1,"")</f>
        <v/>
      </c>
      <c r="O1597" s="18"/>
      <c r="P1597" s="13"/>
      <c r="Q1597" s="13"/>
      <c r="R1597" s="13"/>
      <c r="S1597" s="13"/>
      <c r="T1597" s="15"/>
      <c r="U1597" s="46" t="str">
        <f t="shared" si="690"/>
        <v/>
      </c>
      <c r="V1597" s="46" t="str">
        <f t="shared" si="690"/>
        <v/>
      </c>
      <c r="W1597" s="46" t="str">
        <f t="shared" si="690"/>
        <v/>
      </c>
      <c r="X1597" s="46" t="str">
        <f t="shared" si="690"/>
        <v/>
      </c>
    </row>
    <row r="1598" spans="2:24" x14ac:dyDescent="0.25">
      <c r="B1598" s="11" t="str">
        <f t="shared" ref="B1598:B1611" si="691">CONCATENATE("FLRD","-",LEFT(P1598,2),UPPER(MID(P1598,4,3)),RIGHT(P1598,4))</f>
        <v>FLRD-20DEC1907</v>
      </c>
      <c r="C1598" s="11" t="s">
        <v>3316</v>
      </c>
      <c r="D1598" s="11" t="s">
        <v>1699</v>
      </c>
      <c r="E1598" s="39" t="s">
        <v>1811</v>
      </c>
      <c r="F1598" s="11" t="s">
        <v>1700</v>
      </c>
      <c r="G1598" s="39" t="s">
        <v>3328</v>
      </c>
      <c r="I1598" s="7">
        <v>0</v>
      </c>
      <c r="J1598" s="17">
        <v>87</v>
      </c>
      <c r="K1598" s="17"/>
      <c r="L1598" s="7">
        <f t="shared" ref="L1598:L1611" si="692">SUM(H1598:K1598)</f>
        <v>87</v>
      </c>
      <c r="M1598" s="8">
        <v>1</v>
      </c>
      <c r="N1598" s="8">
        <f t="shared" ref="N1598:N1611" si="693">IF(L1598&gt;0,1,"")</f>
        <v>1</v>
      </c>
      <c r="O1598" s="11" t="s">
        <v>1702</v>
      </c>
      <c r="P1598" s="16" t="str">
        <f t="shared" ref="P1598:P1611" si="694">IF(LEN(G1598)=10,CONCATENATE("0",G1598),G1598)</f>
        <v>20-Dec-1907</v>
      </c>
      <c r="R1598" s="16" t="str">
        <f t="shared" ref="R1598:S1610" si="695">IF($L1598&gt;0,"x","")</f>
        <v>x</v>
      </c>
      <c r="S1598" s="16" t="str">
        <f t="shared" si="695"/>
        <v>x</v>
      </c>
      <c r="U1598" s="46" t="str">
        <f t="shared" si="690"/>
        <v/>
      </c>
      <c r="V1598" s="46">
        <f t="shared" si="690"/>
        <v>87</v>
      </c>
      <c r="W1598" s="46" t="str">
        <f t="shared" si="690"/>
        <v/>
      </c>
      <c r="X1598" s="46" t="str">
        <f t="shared" si="690"/>
        <v/>
      </c>
    </row>
    <row r="1599" spans="2:24" x14ac:dyDescent="0.25">
      <c r="B1599" s="11" t="str">
        <f>CONCATENATE("FLRD","-",LEFT(P1599,2),UPPER(MID(P1599,4,3)),RIGHT(P1599,4))</f>
        <v>FLRD-16APR1909</v>
      </c>
      <c r="C1599" s="11" t="s">
        <v>3316</v>
      </c>
      <c r="D1599" s="11" t="s">
        <v>1699</v>
      </c>
      <c r="E1599" s="39" t="s">
        <v>1237</v>
      </c>
      <c r="F1599" s="11" t="s">
        <v>1700</v>
      </c>
      <c r="G1599" s="39" t="s">
        <v>2940</v>
      </c>
      <c r="I1599" s="7">
        <v>0</v>
      </c>
      <c r="J1599" s="17">
        <v>37</v>
      </c>
      <c r="K1599" s="17"/>
      <c r="L1599" s="7">
        <f>SUM(H1599:K1599)</f>
        <v>37</v>
      </c>
      <c r="M1599" s="8">
        <v>1</v>
      </c>
      <c r="N1599" s="8">
        <f>IF(L1599&gt;0,1,"")</f>
        <v>1</v>
      </c>
      <c r="O1599" s="11" t="s">
        <v>1702</v>
      </c>
      <c r="P1599" s="16" t="str">
        <f>IF(LEN(G1599)=10,CONCATENATE("0",G1599),G1599)</f>
        <v>16-Apr-1909</v>
      </c>
      <c r="R1599" s="16" t="str">
        <f t="shared" si="695"/>
        <v>x</v>
      </c>
      <c r="S1599" s="16" t="str">
        <f t="shared" si="695"/>
        <v>x</v>
      </c>
      <c r="U1599" s="46" t="str">
        <f t="shared" si="690"/>
        <v/>
      </c>
      <c r="V1599" s="46">
        <f t="shared" si="690"/>
        <v>37</v>
      </c>
      <c r="W1599" s="46" t="str">
        <f t="shared" si="690"/>
        <v/>
      </c>
      <c r="X1599" s="46" t="str">
        <f t="shared" si="690"/>
        <v/>
      </c>
    </row>
    <row r="1600" spans="2:24" x14ac:dyDescent="0.25">
      <c r="B1600" s="11" t="str">
        <f>CONCATENATE("FLRD","-",LEFT(P1600,2),UPPER(MID(P1600,4,3)),RIGHT(P1600,4))</f>
        <v>FLRD-28MAY1909</v>
      </c>
      <c r="C1600" s="11" t="s">
        <v>3316</v>
      </c>
      <c r="D1600" s="11" t="s">
        <v>1699</v>
      </c>
      <c r="E1600" s="39" t="s">
        <v>864</v>
      </c>
      <c r="F1600" s="11" t="s">
        <v>1700</v>
      </c>
      <c r="G1600" s="39" t="s">
        <v>5367</v>
      </c>
      <c r="I1600" s="7">
        <v>0</v>
      </c>
      <c r="J1600" s="17">
        <v>6</v>
      </c>
      <c r="K1600" s="17"/>
      <c r="L1600" s="7">
        <f>SUM(H1600:K1600)</f>
        <v>6</v>
      </c>
      <c r="M1600" s="8">
        <v>1</v>
      </c>
      <c r="N1600" s="8">
        <f>IF(L1600&gt;0,1,"")</f>
        <v>1</v>
      </c>
      <c r="O1600" s="11" t="s">
        <v>1702</v>
      </c>
      <c r="P1600" s="16" t="str">
        <f>IF(LEN(G1600)=10,CONCATENATE("0",G1600),G1600)</f>
        <v>28-May-1909</v>
      </c>
      <c r="R1600" s="16" t="str">
        <f>IF($L1600&gt;0,"x","")</f>
        <v>x</v>
      </c>
      <c r="S1600" s="16" t="str">
        <f>IF($L1600&gt;0,"x","")</f>
        <v>x</v>
      </c>
      <c r="U1600" s="46" t="str">
        <f t="shared" si="690"/>
        <v/>
      </c>
      <c r="V1600" s="46">
        <f t="shared" si="690"/>
        <v>6</v>
      </c>
      <c r="W1600" s="46" t="str">
        <f t="shared" si="690"/>
        <v/>
      </c>
      <c r="X1600" s="46" t="str">
        <f t="shared" si="690"/>
        <v/>
      </c>
    </row>
    <row r="1601" spans="2:24" x14ac:dyDescent="0.25">
      <c r="B1601" s="11" t="str">
        <f t="shared" si="691"/>
        <v>FLRD-05AUG1909</v>
      </c>
      <c r="C1601" s="11" t="s">
        <v>3316</v>
      </c>
      <c r="D1601" s="11" t="s">
        <v>1699</v>
      </c>
      <c r="E1601" s="39" t="s">
        <v>1483</v>
      </c>
      <c r="F1601" s="11" t="s">
        <v>1700</v>
      </c>
      <c r="G1601" s="39" t="s">
        <v>3378</v>
      </c>
      <c r="I1601" s="7">
        <v>0</v>
      </c>
      <c r="J1601" s="17">
        <v>54</v>
      </c>
      <c r="K1601" s="17"/>
      <c r="L1601" s="7">
        <f t="shared" si="692"/>
        <v>54</v>
      </c>
      <c r="M1601" s="8">
        <v>1</v>
      </c>
      <c r="N1601" s="8">
        <f t="shared" si="693"/>
        <v>1</v>
      </c>
      <c r="O1601" s="11" t="s">
        <v>1702</v>
      </c>
      <c r="P1601" s="16" t="str">
        <f t="shared" si="694"/>
        <v>05-Aug-1909</v>
      </c>
      <c r="R1601" s="16" t="str">
        <f t="shared" si="695"/>
        <v>x</v>
      </c>
      <c r="S1601" s="16" t="str">
        <f t="shared" si="695"/>
        <v>x</v>
      </c>
      <c r="U1601" s="46" t="str">
        <f t="shared" si="690"/>
        <v/>
      </c>
      <c r="V1601" s="46">
        <f t="shared" si="690"/>
        <v>54</v>
      </c>
      <c r="W1601" s="46" t="str">
        <f t="shared" si="690"/>
        <v/>
      </c>
      <c r="X1601" s="46" t="str">
        <f t="shared" si="690"/>
        <v/>
      </c>
    </row>
    <row r="1602" spans="2:24" x14ac:dyDescent="0.25">
      <c r="B1602" s="11" t="str">
        <f t="shared" si="691"/>
        <v>FLRD-22SEP1909</v>
      </c>
      <c r="C1602" s="11" t="s">
        <v>3316</v>
      </c>
      <c r="D1602" s="11" t="s">
        <v>1699</v>
      </c>
      <c r="E1602" s="39" t="s">
        <v>1479</v>
      </c>
      <c r="F1602" s="11" t="s">
        <v>1700</v>
      </c>
      <c r="G1602" s="39" t="s">
        <v>3481</v>
      </c>
      <c r="I1602" s="7">
        <v>0</v>
      </c>
      <c r="J1602" s="17">
        <v>15</v>
      </c>
      <c r="K1602" s="17"/>
      <c r="L1602" s="7">
        <f t="shared" si="692"/>
        <v>15</v>
      </c>
      <c r="M1602" s="8">
        <v>1</v>
      </c>
      <c r="N1602" s="8">
        <f t="shared" si="693"/>
        <v>1</v>
      </c>
      <c r="O1602" s="11" t="s">
        <v>1702</v>
      </c>
      <c r="P1602" s="16" t="str">
        <f t="shared" si="694"/>
        <v>22-Sep-1909</v>
      </c>
      <c r="R1602" s="16" t="str">
        <f t="shared" si="695"/>
        <v>x</v>
      </c>
      <c r="S1602" s="16" t="str">
        <f t="shared" si="695"/>
        <v>x</v>
      </c>
      <c r="U1602" s="46" t="str">
        <f t="shared" si="690"/>
        <v/>
      </c>
      <c r="V1602" s="46">
        <f t="shared" si="690"/>
        <v>15</v>
      </c>
      <c r="W1602" s="46" t="str">
        <f t="shared" si="690"/>
        <v/>
      </c>
      <c r="X1602" s="46" t="str">
        <f t="shared" si="690"/>
        <v/>
      </c>
    </row>
    <row r="1603" spans="2:24" x14ac:dyDescent="0.25">
      <c r="B1603" s="11" t="str">
        <f t="shared" si="691"/>
        <v>FLRD-07NOV1909</v>
      </c>
      <c r="C1603" s="11" t="s">
        <v>3316</v>
      </c>
      <c r="D1603" s="11" t="s">
        <v>1699</v>
      </c>
      <c r="E1603" s="39" t="s">
        <v>3847</v>
      </c>
      <c r="F1603" s="11" t="s">
        <v>1700</v>
      </c>
      <c r="G1603" s="39" t="s">
        <v>2741</v>
      </c>
      <c r="I1603" s="7">
        <v>0</v>
      </c>
      <c r="J1603" s="17">
        <v>20</v>
      </c>
      <c r="K1603" s="17"/>
      <c r="L1603" s="7">
        <f t="shared" si="692"/>
        <v>20</v>
      </c>
      <c r="M1603" s="8">
        <v>1</v>
      </c>
      <c r="N1603" s="8">
        <f t="shared" si="693"/>
        <v>1</v>
      </c>
      <c r="O1603" s="11" t="s">
        <v>1702</v>
      </c>
      <c r="P1603" s="16" t="str">
        <f t="shared" si="694"/>
        <v>07-Nov-1909</v>
      </c>
      <c r="R1603" s="16" t="str">
        <f t="shared" si="695"/>
        <v>x</v>
      </c>
      <c r="S1603" s="16" t="str">
        <f t="shared" si="695"/>
        <v>x</v>
      </c>
      <c r="U1603" s="46" t="str">
        <f t="shared" si="690"/>
        <v/>
      </c>
      <c r="V1603" s="46">
        <f t="shared" si="690"/>
        <v>20</v>
      </c>
      <c r="W1603" s="46" t="str">
        <f t="shared" si="690"/>
        <v/>
      </c>
      <c r="X1603" s="46" t="str">
        <f t="shared" si="690"/>
        <v/>
      </c>
    </row>
    <row r="1604" spans="2:24" x14ac:dyDescent="0.25">
      <c r="B1604" s="11" t="str">
        <f>CONCATENATE("FLRD","-",LEFT(P1604,2),UPPER(MID(P1604,4,3)),RIGHT(P1604,4))</f>
        <v>FLRD-20DEC1909</v>
      </c>
      <c r="C1604" s="11" t="s">
        <v>3316</v>
      </c>
      <c r="D1604" s="11" t="s">
        <v>1699</v>
      </c>
      <c r="E1604" s="39" t="s">
        <v>2742</v>
      </c>
      <c r="F1604" s="11" t="s">
        <v>1700</v>
      </c>
      <c r="G1604" s="39" t="s">
        <v>3103</v>
      </c>
      <c r="I1604" s="7">
        <v>0</v>
      </c>
      <c r="J1604" s="17">
        <v>43</v>
      </c>
      <c r="K1604" s="17"/>
      <c r="L1604" s="7">
        <f>SUM(H1604:K1604)</f>
        <v>43</v>
      </c>
      <c r="M1604" s="8">
        <v>1</v>
      </c>
      <c r="N1604" s="8">
        <f>IF(L1604&gt;0,1,"")</f>
        <v>1</v>
      </c>
      <c r="O1604" s="11" t="s">
        <v>1702</v>
      </c>
      <c r="P1604" s="16" t="str">
        <f>IF(LEN(G1604)=10,CONCATENATE("0",G1604),G1604)</f>
        <v>20-Dec-1909</v>
      </c>
      <c r="R1604" s="16" t="str">
        <f t="shared" si="695"/>
        <v>x</v>
      </c>
      <c r="S1604" s="16" t="str">
        <f t="shared" si="695"/>
        <v>x</v>
      </c>
      <c r="U1604" s="46" t="str">
        <f t="shared" si="690"/>
        <v/>
      </c>
      <c r="V1604" s="46">
        <f t="shared" si="690"/>
        <v>43</v>
      </c>
      <c r="W1604" s="46" t="str">
        <f t="shared" si="690"/>
        <v/>
      </c>
      <c r="X1604" s="46" t="str">
        <f t="shared" si="690"/>
        <v/>
      </c>
    </row>
    <row r="1605" spans="2:24" x14ac:dyDescent="0.25">
      <c r="B1605" s="11" t="str">
        <f t="shared" si="691"/>
        <v>FLRD-02JUN1910</v>
      </c>
      <c r="C1605" s="11" t="s">
        <v>3316</v>
      </c>
      <c r="D1605" s="11" t="s">
        <v>1699</v>
      </c>
      <c r="E1605" s="39" t="s">
        <v>2329</v>
      </c>
      <c r="F1605" s="11" t="s">
        <v>1700</v>
      </c>
      <c r="G1605" s="39" t="s">
        <v>3818</v>
      </c>
      <c r="I1605" s="7">
        <v>0</v>
      </c>
      <c r="J1605" s="17">
        <v>27</v>
      </c>
      <c r="K1605" s="17"/>
      <c r="L1605" s="7">
        <f t="shared" si="692"/>
        <v>27</v>
      </c>
      <c r="M1605" s="8">
        <v>1</v>
      </c>
      <c r="N1605" s="8">
        <f t="shared" si="693"/>
        <v>1</v>
      </c>
      <c r="O1605" s="11" t="s">
        <v>1702</v>
      </c>
      <c r="P1605" s="16" t="str">
        <f t="shared" si="694"/>
        <v>02-Jun-1910</v>
      </c>
      <c r="R1605" s="16" t="str">
        <f t="shared" si="695"/>
        <v>x</v>
      </c>
      <c r="S1605" s="16" t="str">
        <f t="shared" si="695"/>
        <v>x</v>
      </c>
      <c r="U1605" s="46" t="str">
        <f t="shared" si="690"/>
        <v/>
      </c>
      <c r="V1605" s="46">
        <f t="shared" si="690"/>
        <v>27</v>
      </c>
      <c r="W1605" s="46" t="str">
        <f t="shared" si="690"/>
        <v/>
      </c>
      <c r="X1605" s="46" t="str">
        <f t="shared" si="690"/>
        <v/>
      </c>
    </row>
    <row r="1606" spans="2:24" x14ac:dyDescent="0.25">
      <c r="B1606" s="11" t="str">
        <f t="shared" si="691"/>
        <v>FLRD-02NOV1910</v>
      </c>
      <c r="C1606" s="11" t="s">
        <v>3316</v>
      </c>
      <c r="D1606" s="11" t="s">
        <v>1699</v>
      </c>
      <c r="E1606" s="39" t="s">
        <v>1254</v>
      </c>
      <c r="F1606" s="11" t="s">
        <v>1700</v>
      </c>
      <c r="G1606" s="39" t="s">
        <v>2347</v>
      </c>
      <c r="I1606" s="7">
        <v>0</v>
      </c>
      <c r="J1606" s="17">
        <v>54</v>
      </c>
      <c r="K1606" s="17"/>
      <c r="L1606" s="7">
        <f t="shared" si="692"/>
        <v>54</v>
      </c>
      <c r="M1606" s="8">
        <v>1</v>
      </c>
      <c r="N1606" s="8">
        <f t="shared" si="693"/>
        <v>1</v>
      </c>
      <c r="O1606" s="11" t="s">
        <v>1702</v>
      </c>
      <c r="P1606" s="16" t="str">
        <f t="shared" si="694"/>
        <v>02-Nov-1910</v>
      </c>
      <c r="R1606" s="16" t="str">
        <f t="shared" si="695"/>
        <v>x</v>
      </c>
      <c r="S1606" s="16" t="str">
        <f t="shared" si="695"/>
        <v>x</v>
      </c>
      <c r="U1606" s="46" t="str">
        <f t="shared" si="690"/>
        <v/>
      </c>
      <c r="V1606" s="46">
        <f t="shared" si="690"/>
        <v>54</v>
      </c>
      <c r="W1606" s="46" t="str">
        <f t="shared" si="690"/>
        <v/>
      </c>
      <c r="X1606" s="46" t="str">
        <f t="shared" si="690"/>
        <v/>
      </c>
    </row>
    <row r="1607" spans="2:24" x14ac:dyDescent="0.25">
      <c r="B1607" s="11" t="str">
        <f>CONCATENATE("FLRD","-",LEFT(P1607,2),UPPER(MID(P1607,4,3)),RIGHT(P1607,4))</f>
        <v>FLRD-22DEC1910</v>
      </c>
      <c r="C1607" s="11" t="s">
        <v>3316</v>
      </c>
      <c r="D1607" s="11" t="s">
        <v>1699</v>
      </c>
      <c r="E1607" s="39" t="s">
        <v>1495</v>
      </c>
      <c r="F1607" s="11" t="s">
        <v>1700</v>
      </c>
      <c r="G1607" s="39" t="s">
        <v>11187</v>
      </c>
      <c r="I1607" s="7">
        <v>0</v>
      </c>
      <c r="J1607" s="17">
        <v>25</v>
      </c>
      <c r="K1607" s="17"/>
      <c r="L1607" s="7">
        <f>SUM(H1607:K1607)</f>
        <v>25</v>
      </c>
      <c r="M1607" s="8">
        <v>1</v>
      </c>
      <c r="N1607" s="8">
        <f>IF(L1607&gt;0,1,"")</f>
        <v>1</v>
      </c>
      <c r="O1607" s="11" t="s">
        <v>1702</v>
      </c>
      <c r="P1607" s="16" t="str">
        <f>IF(LEN(G1607)=10,CONCATENATE("0",G1607),G1607)</f>
        <v>22-Dec-1910</v>
      </c>
      <c r="R1607" s="16" t="str">
        <f t="shared" si="695"/>
        <v>x</v>
      </c>
      <c r="S1607" s="16" t="str">
        <f t="shared" si="695"/>
        <v>x</v>
      </c>
      <c r="U1607" s="46" t="str">
        <f t="shared" si="690"/>
        <v/>
      </c>
      <c r="V1607" s="46">
        <f t="shared" si="690"/>
        <v>25</v>
      </c>
      <c r="W1607" s="46" t="str">
        <f t="shared" si="690"/>
        <v/>
      </c>
      <c r="X1607" s="46" t="str">
        <f t="shared" si="690"/>
        <v/>
      </c>
    </row>
    <row r="1608" spans="2:24" x14ac:dyDescent="0.25">
      <c r="B1608" s="11" t="str">
        <f>CONCATENATE("FLRD","-",LEFT(P1608,2),UPPER(MID(P1608,4,3)),RIGHT(P1608,4))</f>
        <v>FLRD-02FEB1911</v>
      </c>
      <c r="C1608" s="11" t="s">
        <v>3316</v>
      </c>
      <c r="D1608" s="11" t="s">
        <v>1699</v>
      </c>
      <c r="E1608" s="39" t="s">
        <v>4425</v>
      </c>
      <c r="F1608" s="11" t="s">
        <v>1700</v>
      </c>
      <c r="G1608" s="39" t="s">
        <v>955</v>
      </c>
      <c r="I1608" s="7">
        <v>0</v>
      </c>
      <c r="J1608" s="17">
        <v>13</v>
      </c>
      <c r="K1608" s="17"/>
      <c r="L1608" s="7">
        <f>SUM(H1608:K1608)</f>
        <v>13</v>
      </c>
      <c r="M1608" s="8">
        <v>1</v>
      </c>
      <c r="N1608" s="8">
        <f>IF(L1608&gt;0,1,"")</f>
        <v>1</v>
      </c>
      <c r="O1608" s="11" t="s">
        <v>1702</v>
      </c>
      <c r="P1608" s="16" t="str">
        <f>IF(LEN(G1608)=10,CONCATENATE("0",G1608),G1608)</f>
        <v>02-Feb-1911</v>
      </c>
      <c r="R1608" s="16" t="str">
        <f t="shared" si="695"/>
        <v>x</v>
      </c>
      <c r="S1608" s="16" t="str">
        <f t="shared" si="695"/>
        <v>x</v>
      </c>
      <c r="U1608" s="46" t="str">
        <f t="shared" si="690"/>
        <v/>
      </c>
      <c r="V1608" s="46">
        <f t="shared" si="690"/>
        <v>13</v>
      </c>
      <c r="W1608" s="46" t="str">
        <f t="shared" si="690"/>
        <v/>
      </c>
      <c r="X1608" s="46" t="str">
        <f t="shared" si="690"/>
        <v/>
      </c>
    </row>
    <row r="1609" spans="2:24" x14ac:dyDescent="0.25">
      <c r="B1609" s="11" t="str">
        <f>CONCATENATE("FLRD","-",LEFT(P1609,2),UPPER(MID(P1609,4,3)),RIGHT(P1609,4))</f>
        <v>FLRD-23APR1911</v>
      </c>
      <c r="C1609" s="11" t="s">
        <v>3316</v>
      </c>
      <c r="D1609" s="11" t="s">
        <v>1699</v>
      </c>
      <c r="E1609" s="39" t="s">
        <v>11189</v>
      </c>
      <c r="F1609" s="11" t="s">
        <v>1700</v>
      </c>
      <c r="G1609" s="39" t="s">
        <v>11190</v>
      </c>
      <c r="I1609" s="7">
        <v>0</v>
      </c>
      <c r="J1609" s="17">
        <v>6</v>
      </c>
      <c r="K1609" s="17"/>
      <c r="L1609" s="7">
        <f>SUM(H1609:K1609)</f>
        <v>6</v>
      </c>
      <c r="M1609" s="8">
        <v>1</v>
      </c>
      <c r="N1609" s="8">
        <f>IF(L1609&gt;0,1,"")</f>
        <v>1</v>
      </c>
      <c r="O1609" s="11" t="s">
        <v>1702</v>
      </c>
      <c r="P1609" s="16" t="str">
        <f>IF(LEN(G1609)=10,CONCATENATE("0",G1609),G1609)</f>
        <v>23-Apr-1911</v>
      </c>
      <c r="R1609" s="16" t="str">
        <f t="shared" si="695"/>
        <v>x</v>
      </c>
      <c r="S1609" s="16" t="str">
        <f t="shared" si="695"/>
        <v>x</v>
      </c>
      <c r="U1609" s="46" t="str">
        <f t="shared" ref="U1609:X1610" si="696">IF($O1609=U$5,$L1609,"")</f>
        <v/>
      </c>
      <c r="V1609" s="46">
        <f t="shared" si="696"/>
        <v>6</v>
      </c>
      <c r="W1609" s="46" t="str">
        <f t="shared" si="696"/>
        <v/>
      </c>
      <c r="X1609" s="46" t="str">
        <f t="shared" si="696"/>
        <v/>
      </c>
    </row>
    <row r="1610" spans="2:24" x14ac:dyDescent="0.25">
      <c r="B1610" s="11" t="str">
        <f>CONCATENATE("FLRD","-",LEFT(P1610,2),UPPER(MID(P1610,4,3)),RIGHT(P1610,4))</f>
        <v>FLRD-03JUN1911</v>
      </c>
      <c r="C1610" s="11" t="s">
        <v>3316</v>
      </c>
      <c r="D1610" s="11" t="s">
        <v>1699</v>
      </c>
      <c r="E1610" s="39" t="s">
        <v>2339</v>
      </c>
      <c r="F1610" s="11" t="s">
        <v>1700</v>
      </c>
      <c r="G1610" s="39" t="s">
        <v>1256</v>
      </c>
      <c r="I1610" s="7">
        <v>0</v>
      </c>
      <c r="J1610" s="17">
        <v>9</v>
      </c>
      <c r="K1610" s="17"/>
      <c r="L1610" s="7">
        <f>SUM(H1610:K1610)</f>
        <v>9</v>
      </c>
      <c r="M1610" s="8">
        <v>1</v>
      </c>
      <c r="N1610" s="8">
        <f>IF(L1610&gt;0,1,"")</f>
        <v>1</v>
      </c>
      <c r="O1610" s="11" t="s">
        <v>1702</v>
      </c>
      <c r="P1610" s="16" t="str">
        <f>IF(LEN(G1610)=10,CONCATENATE("0",G1610),G1610)</f>
        <v>03-Jun-1911</v>
      </c>
      <c r="R1610" s="16" t="str">
        <f t="shared" si="695"/>
        <v>x</v>
      </c>
      <c r="S1610" s="16" t="str">
        <f t="shared" si="695"/>
        <v>x</v>
      </c>
      <c r="U1610" s="46" t="str">
        <f t="shared" si="696"/>
        <v/>
      </c>
      <c r="V1610" s="46">
        <f t="shared" si="696"/>
        <v>9</v>
      </c>
      <c r="W1610" s="46" t="str">
        <f t="shared" si="696"/>
        <v/>
      </c>
      <c r="X1610" s="46" t="str">
        <f t="shared" si="696"/>
        <v/>
      </c>
    </row>
    <row r="1611" spans="2:24" x14ac:dyDescent="0.25">
      <c r="B1611" s="11" t="str">
        <f t="shared" si="691"/>
        <v>FLRD-11JAN1912</v>
      </c>
      <c r="C1611" s="11" t="s">
        <v>3316</v>
      </c>
      <c r="D1611" s="11" t="s">
        <v>1699</v>
      </c>
      <c r="E1611" s="39" t="s">
        <v>1601</v>
      </c>
      <c r="F1611" s="11" t="s">
        <v>1700</v>
      </c>
      <c r="G1611" s="39" t="s">
        <v>3317</v>
      </c>
      <c r="I1611" s="7">
        <v>2</v>
      </c>
      <c r="J1611" s="17">
        <v>29</v>
      </c>
      <c r="K1611" s="17"/>
      <c r="L1611" s="7">
        <f t="shared" si="692"/>
        <v>31</v>
      </c>
      <c r="M1611" s="8">
        <v>1</v>
      </c>
      <c r="N1611" s="8">
        <f t="shared" si="693"/>
        <v>1</v>
      </c>
      <c r="O1611" s="11" t="s">
        <v>1702</v>
      </c>
      <c r="P1611" s="16" t="str">
        <f t="shared" si="694"/>
        <v>11-Jan-1912</v>
      </c>
      <c r="R1611" s="16" t="str">
        <f t="shared" ref="R1611:S1613" si="697">IF($L1611&gt;0,"x","")</f>
        <v>x</v>
      </c>
      <c r="S1611" s="16" t="str">
        <f t="shared" si="697"/>
        <v>x</v>
      </c>
      <c r="U1611" s="46" t="str">
        <f>IF($O1611=U$5,$L1611,"")</f>
        <v/>
      </c>
      <c r="V1611" s="46">
        <f>IF($O1611=V$5,$L1611,"")</f>
        <v>31</v>
      </c>
      <c r="W1611" s="46" t="str">
        <f>IF($O1611=W$5,$L1611,"")</f>
        <v/>
      </c>
      <c r="X1611" s="46" t="str">
        <f>IF($O1611=X$5,$L1611,"")</f>
        <v/>
      </c>
    </row>
    <row r="1612" spans="2:24" x14ac:dyDescent="0.25">
      <c r="B1612" s="11" t="str">
        <f>CONCATENATE("FLRD","-",LEFT(P1612,2),UPPER(MID(P1612,4,3)),RIGHT(P1612,4))</f>
        <v>FLRD-17JUN1912</v>
      </c>
      <c r="C1612" s="11" t="s">
        <v>3316</v>
      </c>
      <c r="D1612" s="11" t="s">
        <v>1699</v>
      </c>
      <c r="E1612" s="39" t="s">
        <v>1275</v>
      </c>
      <c r="F1612" s="11" t="s">
        <v>1700</v>
      </c>
      <c r="G1612" s="39" t="s">
        <v>848</v>
      </c>
      <c r="I1612" s="7">
        <v>2</v>
      </c>
      <c r="J1612" s="17">
        <v>27</v>
      </c>
      <c r="K1612" s="17"/>
      <c r="L1612" s="7">
        <f>SUM(H1612:K1612)</f>
        <v>29</v>
      </c>
      <c r="M1612" s="8">
        <v>1</v>
      </c>
      <c r="N1612" s="8">
        <f>IF(L1612&gt;0,1,"")</f>
        <v>1</v>
      </c>
      <c r="O1612" s="11" t="s">
        <v>1702</v>
      </c>
      <c r="P1612" s="16" t="str">
        <f>IF(LEN(G1612)=10,CONCATENATE("0",G1612),G1612)</f>
        <v>17-Jun-1912</v>
      </c>
      <c r="R1612" s="16" t="str">
        <f t="shared" si="697"/>
        <v>x</v>
      </c>
      <c r="S1612" s="16" t="str">
        <f t="shared" si="697"/>
        <v>x</v>
      </c>
      <c r="U1612" s="46" t="str">
        <f t="shared" ref="U1612:X1613" si="698">IF($O1612=U$5,$L1612,"")</f>
        <v/>
      </c>
      <c r="V1612" s="46">
        <f t="shared" si="698"/>
        <v>29</v>
      </c>
      <c r="W1612" s="46" t="str">
        <f t="shared" si="698"/>
        <v/>
      </c>
      <c r="X1612" s="46" t="str">
        <f t="shared" si="698"/>
        <v/>
      </c>
    </row>
    <row r="1613" spans="2:24" x14ac:dyDescent="0.25">
      <c r="B1613" s="11" t="str">
        <f>CONCATENATE("FLRD","-",LEFT(P1613,2),UPPER(MID(P1613,4,3)),RIGHT(P1613,4))</f>
        <v>FLRD-15JUN1913</v>
      </c>
      <c r="C1613" s="11" t="s">
        <v>3316</v>
      </c>
      <c r="D1613" s="11" t="s">
        <v>1699</v>
      </c>
      <c r="E1613" s="39" t="s">
        <v>1298</v>
      </c>
      <c r="F1613" s="11" t="s">
        <v>1700</v>
      </c>
      <c r="G1613" s="39" t="s">
        <v>2784</v>
      </c>
      <c r="I1613" s="7">
        <v>1</v>
      </c>
      <c r="J1613" s="17">
        <v>36</v>
      </c>
      <c r="K1613" s="17"/>
      <c r="L1613" s="7">
        <f>SUM(H1613:K1613)</f>
        <v>37</v>
      </c>
      <c r="M1613" s="8">
        <v>1</v>
      </c>
      <c r="N1613" s="8">
        <f>IF(L1613&gt;0,1,"")</f>
        <v>1</v>
      </c>
      <c r="O1613" s="11" t="s">
        <v>1702</v>
      </c>
      <c r="P1613" s="16" t="str">
        <f>IF(LEN(G1613)=10,CONCATENATE("0",G1613),G1613)</f>
        <v>15-Jun-1913</v>
      </c>
      <c r="R1613" s="16" t="str">
        <f t="shared" si="697"/>
        <v>x</v>
      </c>
      <c r="S1613" s="16" t="str">
        <f t="shared" si="697"/>
        <v>x</v>
      </c>
      <c r="U1613" s="46" t="str">
        <f t="shared" si="698"/>
        <v/>
      </c>
      <c r="V1613" s="46">
        <f t="shared" si="698"/>
        <v>37</v>
      </c>
      <c r="W1613" s="46" t="str">
        <f t="shared" si="698"/>
        <v/>
      </c>
      <c r="X1613" s="46" t="str">
        <f t="shared" si="698"/>
        <v/>
      </c>
    </row>
    <row r="1614" spans="2:24" x14ac:dyDescent="0.25">
      <c r="N1614" s="8" t="str">
        <f>IF(R1614="x",1,"")</f>
        <v/>
      </c>
      <c r="U1614" s="46" t="str">
        <f t="shared" ref="U1614:X1623" si="699">IF($O1614=U$5,$L1614,"")</f>
        <v/>
      </c>
      <c r="V1614" s="46" t="str">
        <f t="shared" si="699"/>
        <v/>
      </c>
      <c r="W1614" s="46" t="str">
        <f t="shared" si="699"/>
        <v/>
      </c>
      <c r="X1614" s="46" t="str">
        <f t="shared" si="699"/>
        <v/>
      </c>
    </row>
    <row r="1615" spans="2:24" x14ac:dyDescent="0.25">
      <c r="B1615" s="18"/>
      <c r="C1615" s="18"/>
      <c r="D1615" s="18"/>
      <c r="E1615" s="40"/>
      <c r="F1615" s="18"/>
      <c r="G1615" s="40"/>
      <c r="H1615" s="7">
        <f t="shared" ref="H1615:N1615" si="700">SUM(H1598:H1614)</f>
        <v>0</v>
      </c>
      <c r="I1615" s="7">
        <f t="shared" si="700"/>
        <v>5</v>
      </c>
      <c r="J1615" s="7">
        <f>SUM(J1598:J1614)</f>
        <v>488</v>
      </c>
      <c r="K1615" s="7">
        <f t="shared" si="700"/>
        <v>0</v>
      </c>
      <c r="L1615" s="7">
        <f t="shared" si="700"/>
        <v>493</v>
      </c>
      <c r="M1615" s="7">
        <f t="shared" si="700"/>
        <v>16</v>
      </c>
      <c r="N1615" s="7">
        <f t="shared" si="700"/>
        <v>16</v>
      </c>
      <c r="O1615" s="18"/>
      <c r="P1615" s="13"/>
      <c r="Q1615" s="13"/>
      <c r="S1615" s="13"/>
      <c r="T1615" s="15"/>
      <c r="U1615" s="46" t="str">
        <f t="shared" si="699"/>
        <v/>
      </c>
      <c r="V1615" s="46" t="str">
        <f t="shared" si="699"/>
        <v/>
      </c>
      <c r="W1615" s="46" t="str">
        <f t="shared" si="699"/>
        <v/>
      </c>
      <c r="X1615" s="46" t="str">
        <f t="shared" si="699"/>
        <v/>
      </c>
    </row>
    <row r="1616" spans="2:24" x14ac:dyDescent="0.25">
      <c r="B1616" s="18"/>
      <c r="C1616" s="18"/>
      <c r="D1616" s="18"/>
      <c r="E1616" s="40"/>
      <c r="F1616" s="18"/>
      <c r="G1616" s="40"/>
      <c r="N1616" s="8" t="str">
        <f>IF(R1616="x",1,"")</f>
        <v/>
      </c>
      <c r="O1616" s="18"/>
      <c r="P1616" s="13"/>
      <c r="Q1616" s="13"/>
      <c r="R1616" s="13"/>
      <c r="S1616" s="13"/>
      <c r="T1616" s="15"/>
      <c r="U1616" s="46" t="str">
        <f t="shared" si="699"/>
        <v/>
      </c>
      <c r="V1616" s="46" t="str">
        <f t="shared" si="699"/>
        <v/>
      </c>
      <c r="W1616" s="46" t="str">
        <f t="shared" si="699"/>
        <v/>
      </c>
      <c r="X1616" s="46" t="str">
        <f t="shared" si="699"/>
        <v/>
      </c>
    </row>
    <row r="1617" spans="2:24" x14ac:dyDescent="0.25">
      <c r="B1617" s="18"/>
      <c r="C1617" s="18"/>
      <c r="D1617" s="18"/>
      <c r="E1617" s="40"/>
      <c r="F1617" s="18"/>
      <c r="G1617" s="40"/>
      <c r="N1617" s="8" t="str">
        <f>IF(R1617="x",1,"")</f>
        <v/>
      </c>
      <c r="O1617" s="18"/>
      <c r="P1617" s="13"/>
      <c r="Q1617" s="13"/>
      <c r="R1617" s="13"/>
      <c r="S1617" s="13"/>
      <c r="T1617" s="15"/>
      <c r="U1617" s="46" t="str">
        <f t="shared" si="699"/>
        <v/>
      </c>
      <c r="V1617" s="46" t="str">
        <f t="shared" si="699"/>
        <v/>
      </c>
      <c r="W1617" s="46" t="str">
        <f t="shared" si="699"/>
        <v/>
      </c>
      <c r="X1617" s="46" t="str">
        <f t="shared" si="699"/>
        <v/>
      </c>
    </row>
    <row r="1618" spans="2:24" x14ac:dyDescent="0.25">
      <c r="B1618" s="11" t="str">
        <f>CONCATENATE("FVIC","-",LEFT(P1618,2),UPPER(MID(P1618,4,3)),RIGHT(P1618,4))</f>
        <v>FVIC-23AUG1920</v>
      </c>
      <c r="C1618" s="11" t="s">
        <v>4154</v>
      </c>
      <c r="D1618" s="11" t="s">
        <v>2097</v>
      </c>
      <c r="E1618" s="39" t="s">
        <v>4155</v>
      </c>
      <c r="F1618" s="11" t="s">
        <v>3050</v>
      </c>
      <c r="G1618" s="39" t="s">
        <v>4156</v>
      </c>
      <c r="H1618" s="7">
        <f>4+2</f>
        <v>6</v>
      </c>
      <c r="J1618" s="17"/>
      <c r="K1618" s="17"/>
      <c r="L1618" s="7">
        <f>SUM(H1618:K1618)</f>
        <v>6</v>
      </c>
      <c r="M1618" s="8">
        <v>1</v>
      </c>
      <c r="N1618" s="8">
        <f>IF(L1618&gt;0,1,"")</f>
        <v>1</v>
      </c>
      <c r="O1618" s="11" t="s">
        <v>1702</v>
      </c>
      <c r="P1618" s="16" t="str">
        <f>IF(LEN(G1618)=10,CONCATENATE("0",G1618),G1618)</f>
        <v>23-Aug-1920</v>
      </c>
      <c r="R1618" s="16" t="str">
        <f>IF($L1618&gt;0,"x","")</f>
        <v>x</v>
      </c>
      <c r="S1618" s="16" t="str">
        <f>IF($L1618&gt;0,"x","")</f>
        <v>x</v>
      </c>
      <c r="U1618" s="46" t="str">
        <f t="shared" si="699"/>
        <v/>
      </c>
      <c r="V1618" s="46">
        <f t="shared" si="699"/>
        <v>6</v>
      </c>
      <c r="W1618" s="46" t="str">
        <f t="shared" si="699"/>
        <v/>
      </c>
      <c r="X1618" s="46" t="str">
        <f t="shared" si="699"/>
        <v/>
      </c>
    </row>
    <row r="1619" spans="2:24" x14ac:dyDescent="0.25">
      <c r="N1619" s="8" t="str">
        <f>IF(R1619="x",1,"")</f>
        <v/>
      </c>
      <c r="U1619" s="46" t="str">
        <f t="shared" si="699"/>
        <v/>
      </c>
      <c r="V1619" s="46" t="str">
        <f t="shared" si="699"/>
        <v/>
      </c>
      <c r="W1619" s="46" t="str">
        <f t="shared" si="699"/>
        <v/>
      </c>
      <c r="X1619" s="46" t="str">
        <f t="shared" si="699"/>
        <v/>
      </c>
    </row>
    <row r="1620" spans="2:24" x14ac:dyDescent="0.25">
      <c r="B1620" s="18"/>
      <c r="C1620" s="18"/>
      <c r="D1620" s="18"/>
      <c r="E1620" s="40"/>
      <c r="F1620" s="18"/>
      <c r="G1620" s="40"/>
      <c r="H1620" s="7">
        <f t="shared" ref="H1620:N1620" si="701">SUM(H1618:H1619)</f>
        <v>6</v>
      </c>
      <c r="I1620" s="7">
        <f t="shared" si="701"/>
        <v>0</v>
      </c>
      <c r="J1620" s="7">
        <f>SUM(J1618:J1619)</f>
        <v>0</v>
      </c>
      <c r="K1620" s="7">
        <f t="shared" si="701"/>
        <v>0</v>
      </c>
      <c r="L1620" s="7">
        <f t="shared" si="701"/>
        <v>6</v>
      </c>
      <c r="M1620" s="7">
        <f t="shared" si="701"/>
        <v>1</v>
      </c>
      <c r="N1620" s="7">
        <f t="shared" si="701"/>
        <v>1</v>
      </c>
      <c r="O1620" s="18"/>
      <c r="P1620" s="13"/>
      <c r="Q1620" s="13"/>
      <c r="S1620" s="13"/>
      <c r="T1620" s="15"/>
      <c r="U1620" s="46" t="str">
        <f t="shared" si="699"/>
        <v/>
      </c>
      <c r="V1620" s="46" t="str">
        <f t="shared" si="699"/>
        <v/>
      </c>
      <c r="W1620" s="46" t="str">
        <f t="shared" si="699"/>
        <v/>
      </c>
      <c r="X1620" s="46" t="str">
        <f t="shared" si="699"/>
        <v/>
      </c>
    </row>
    <row r="1621" spans="2:24" x14ac:dyDescent="0.25">
      <c r="B1621" s="18"/>
      <c r="C1621" s="18"/>
      <c r="D1621" s="18"/>
      <c r="E1621" s="40"/>
      <c r="F1621" s="18"/>
      <c r="G1621" s="40"/>
      <c r="N1621" s="8" t="str">
        <f>IF(R1621="x",1,"")</f>
        <v/>
      </c>
      <c r="O1621" s="18"/>
      <c r="P1621" s="13"/>
      <c r="Q1621" s="13"/>
      <c r="R1621" s="13"/>
      <c r="S1621" s="13"/>
      <c r="T1621" s="15"/>
      <c r="U1621" s="46" t="str">
        <f t="shared" si="699"/>
        <v/>
      </c>
      <c r="V1621" s="46" t="str">
        <f t="shared" si="699"/>
        <v/>
      </c>
      <c r="W1621" s="46" t="str">
        <f t="shared" si="699"/>
        <v/>
      </c>
      <c r="X1621" s="46" t="str">
        <f t="shared" si="699"/>
        <v/>
      </c>
    </row>
    <row r="1622" spans="2:24" x14ac:dyDescent="0.25">
      <c r="B1622" s="18"/>
      <c r="C1622" s="18"/>
      <c r="D1622" s="18"/>
      <c r="E1622" s="40"/>
      <c r="F1622" s="18"/>
      <c r="G1622" s="40"/>
      <c r="N1622" s="8" t="str">
        <f>IF(R1622="x",1,"")</f>
        <v/>
      </c>
      <c r="O1622" s="18"/>
      <c r="P1622" s="13"/>
      <c r="Q1622" s="13"/>
      <c r="R1622" s="13"/>
      <c r="S1622" s="13"/>
      <c r="T1622" s="15"/>
      <c r="U1622" s="46" t="str">
        <f t="shared" si="699"/>
        <v/>
      </c>
      <c r="V1622" s="46" t="str">
        <f t="shared" si="699"/>
        <v/>
      </c>
      <c r="W1622" s="46" t="str">
        <f t="shared" si="699"/>
        <v/>
      </c>
      <c r="X1622" s="46" t="str">
        <f t="shared" si="699"/>
        <v/>
      </c>
    </row>
    <row r="1623" spans="2:24" x14ac:dyDescent="0.25">
      <c r="B1623" s="11" t="str">
        <f t="shared" ref="B1623:B1641" si="702">CONCATENATE("FRAN","-",LEFT(P1623,2),UPPER(MID(P1623,4,3)),RIGHT(P1623,4))</f>
        <v>FRAN-17AUG1912</v>
      </c>
      <c r="C1623" s="11" t="s">
        <v>3041</v>
      </c>
      <c r="D1623" s="11" t="s">
        <v>1699</v>
      </c>
      <c r="E1623" s="39" t="s">
        <v>4654</v>
      </c>
      <c r="F1623" s="11" t="s">
        <v>1700</v>
      </c>
      <c r="G1623" s="39" t="s">
        <v>1901</v>
      </c>
      <c r="H1623" s="7">
        <f>0+4</f>
        <v>4</v>
      </c>
      <c r="I1623" s="7">
        <v>0</v>
      </c>
      <c r="J1623" s="17">
        <v>23</v>
      </c>
      <c r="K1623" s="17"/>
      <c r="L1623" s="7">
        <f t="shared" ref="L1623:L1641" si="703">SUM(H1623:K1623)</f>
        <v>27</v>
      </c>
      <c r="M1623" s="8">
        <v>1</v>
      </c>
      <c r="N1623" s="8">
        <f t="shared" ref="N1623:N1641" si="704">IF(L1623&gt;0,1,"")</f>
        <v>1</v>
      </c>
      <c r="O1623" s="11" t="s">
        <v>1702</v>
      </c>
      <c r="P1623" s="16" t="str">
        <f t="shared" ref="P1623:P1641" si="705">IF(LEN(G1623)=10,CONCATENATE("0",G1623),G1623)</f>
        <v>17-Aug-1912</v>
      </c>
      <c r="R1623" s="16" t="str">
        <f t="shared" ref="R1623:S1627" si="706">IF($L1623&gt;0,"x","")</f>
        <v>x</v>
      </c>
      <c r="S1623" s="16" t="str">
        <f t="shared" si="706"/>
        <v>x</v>
      </c>
      <c r="U1623" s="46" t="str">
        <f t="shared" si="699"/>
        <v/>
      </c>
      <c r="V1623" s="46">
        <f t="shared" si="699"/>
        <v>27</v>
      </c>
      <c r="W1623" s="46" t="str">
        <f t="shared" si="699"/>
        <v/>
      </c>
      <c r="X1623" s="46" t="str">
        <f t="shared" si="699"/>
        <v/>
      </c>
    </row>
    <row r="1624" spans="2:24" x14ac:dyDescent="0.25">
      <c r="B1624" s="11" t="str">
        <f>CONCATENATE("FRAN","-",LEFT(P1624,2),UPPER(MID(P1624,4,3)),RIGHT(P1624,4))</f>
        <v>FRAN-07SEP1912</v>
      </c>
      <c r="C1624" s="11" t="s">
        <v>3041</v>
      </c>
      <c r="D1624" s="11" t="s">
        <v>1699</v>
      </c>
      <c r="E1624" s="39" t="s">
        <v>1329</v>
      </c>
      <c r="F1624" s="11" t="s">
        <v>1700</v>
      </c>
      <c r="G1624" s="39" t="s">
        <v>1001</v>
      </c>
      <c r="H1624" s="7">
        <f>0+2</f>
        <v>2</v>
      </c>
      <c r="I1624" s="7">
        <v>0</v>
      </c>
      <c r="J1624" s="17">
        <v>2</v>
      </c>
      <c r="K1624" s="17"/>
      <c r="L1624" s="7">
        <f>SUM(H1624:K1624)</f>
        <v>4</v>
      </c>
      <c r="M1624" s="8">
        <v>1</v>
      </c>
      <c r="N1624" s="8">
        <f>IF(L1624&gt;0,1,"")</f>
        <v>1</v>
      </c>
      <c r="O1624" s="11" t="s">
        <v>1702</v>
      </c>
      <c r="P1624" s="16" t="str">
        <f>IF(LEN(G1624)=10,CONCATENATE("0",G1624),G1624)</f>
        <v>07-Sep-1912</v>
      </c>
      <c r="R1624" s="16" t="str">
        <f t="shared" si="706"/>
        <v>x</v>
      </c>
      <c r="S1624" s="16" t="str">
        <f t="shared" si="706"/>
        <v>x</v>
      </c>
      <c r="U1624" s="46" t="str">
        <f t="shared" ref="U1624:X1629" si="707">IF($O1624=U$5,$L1624,"")</f>
        <v/>
      </c>
      <c r="V1624" s="46">
        <f t="shared" si="707"/>
        <v>4</v>
      </c>
      <c r="W1624" s="46" t="str">
        <f t="shared" si="707"/>
        <v/>
      </c>
      <c r="X1624" s="46" t="str">
        <f t="shared" si="707"/>
        <v/>
      </c>
    </row>
    <row r="1625" spans="2:24" x14ac:dyDescent="0.25">
      <c r="B1625" s="11" t="str">
        <f t="shared" si="702"/>
        <v>FRAN-04OCT1912</v>
      </c>
      <c r="C1625" s="11" t="s">
        <v>3041</v>
      </c>
      <c r="D1625" s="11" t="s">
        <v>1699</v>
      </c>
      <c r="E1625" s="39" t="s">
        <v>1330</v>
      </c>
      <c r="F1625" s="11" t="s">
        <v>1700</v>
      </c>
      <c r="G1625" s="39" t="s">
        <v>3369</v>
      </c>
      <c r="H1625" s="7">
        <v>0</v>
      </c>
      <c r="I1625" s="7">
        <v>0</v>
      </c>
      <c r="J1625" s="17">
        <v>16</v>
      </c>
      <c r="K1625" s="17"/>
      <c r="L1625" s="7">
        <f t="shared" si="703"/>
        <v>16</v>
      </c>
      <c r="M1625" s="8">
        <v>1</v>
      </c>
      <c r="N1625" s="8">
        <f t="shared" si="704"/>
        <v>1</v>
      </c>
      <c r="O1625" s="11" t="s">
        <v>1702</v>
      </c>
      <c r="P1625" s="16" t="str">
        <f t="shared" si="705"/>
        <v>04-Oct-1912</v>
      </c>
      <c r="R1625" s="16" t="str">
        <f t="shared" si="706"/>
        <v>x</v>
      </c>
      <c r="S1625" s="16" t="str">
        <f t="shared" si="706"/>
        <v>x</v>
      </c>
      <c r="U1625" s="46" t="str">
        <f t="shared" si="707"/>
        <v/>
      </c>
      <c r="V1625" s="46">
        <f t="shared" si="707"/>
        <v>16</v>
      </c>
      <c r="W1625" s="46" t="str">
        <f t="shared" si="707"/>
        <v/>
      </c>
      <c r="X1625" s="46" t="str">
        <f t="shared" si="707"/>
        <v/>
      </c>
    </row>
    <row r="1626" spans="2:24" x14ac:dyDescent="0.25">
      <c r="B1626" s="11" t="str">
        <f t="shared" si="702"/>
        <v>FRAN-26OCT1912</v>
      </c>
      <c r="C1626" s="11" t="s">
        <v>3041</v>
      </c>
      <c r="D1626" s="11" t="s">
        <v>1699</v>
      </c>
      <c r="E1626" s="39" t="s">
        <v>1531</v>
      </c>
      <c r="F1626" s="11" t="s">
        <v>1700</v>
      </c>
      <c r="G1626" s="39" t="s">
        <v>1283</v>
      </c>
      <c r="H1626" s="17">
        <v>0</v>
      </c>
      <c r="I1626" s="17">
        <v>1</v>
      </c>
      <c r="J1626" s="17">
        <v>23</v>
      </c>
      <c r="K1626" s="17"/>
      <c r="L1626" s="7">
        <f t="shared" si="703"/>
        <v>24</v>
      </c>
      <c r="M1626" s="8">
        <v>1</v>
      </c>
      <c r="N1626" s="8">
        <f t="shared" si="704"/>
        <v>1</v>
      </c>
      <c r="O1626" s="11" t="s">
        <v>1702</v>
      </c>
      <c r="P1626" s="16" t="str">
        <f t="shared" si="705"/>
        <v>26-Oct-1912</v>
      </c>
      <c r="R1626" s="16" t="str">
        <f t="shared" si="706"/>
        <v>x</v>
      </c>
      <c r="S1626" s="16" t="str">
        <f t="shared" si="706"/>
        <v>x</v>
      </c>
      <c r="U1626" s="46" t="str">
        <f t="shared" si="707"/>
        <v/>
      </c>
      <c r="V1626" s="46">
        <f t="shared" si="707"/>
        <v>24</v>
      </c>
      <c r="W1626" s="46" t="str">
        <f t="shared" si="707"/>
        <v/>
      </c>
      <c r="X1626" s="46" t="str">
        <f t="shared" si="707"/>
        <v/>
      </c>
    </row>
    <row r="1627" spans="2:24" x14ac:dyDescent="0.25">
      <c r="B1627" s="11" t="str">
        <f t="shared" si="702"/>
        <v>FRAN-15NOV1912</v>
      </c>
      <c r="C1627" s="11" t="s">
        <v>3041</v>
      </c>
      <c r="D1627" s="11" t="s">
        <v>1699</v>
      </c>
      <c r="E1627" s="39" t="s">
        <v>3995</v>
      </c>
      <c r="F1627" s="11" t="s">
        <v>1700</v>
      </c>
      <c r="G1627" s="39" t="s">
        <v>11194</v>
      </c>
      <c r="H1627" s="7">
        <v>0</v>
      </c>
      <c r="I1627" s="7">
        <v>1</v>
      </c>
      <c r="J1627" s="17">
        <v>24</v>
      </c>
      <c r="K1627" s="17"/>
      <c r="L1627" s="7">
        <f t="shared" si="703"/>
        <v>25</v>
      </c>
      <c r="M1627" s="8">
        <v>1</v>
      </c>
      <c r="N1627" s="8">
        <f t="shared" si="704"/>
        <v>1</v>
      </c>
      <c r="O1627" s="11" t="s">
        <v>1702</v>
      </c>
      <c r="P1627" s="16" t="str">
        <f t="shared" si="705"/>
        <v>15-Nov-1912</v>
      </c>
      <c r="R1627" s="16" t="str">
        <f t="shared" si="706"/>
        <v>x</v>
      </c>
      <c r="S1627" s="16" t="str">
        <f t="shared" si="706"/>
        <v>x</v>
      </c>
      <c r="U1627" s="46" t="str">
        <f t="shared" si="707"/>
        <v/>
      </c>
      <c r="V1627" s="46">
        <f t="shared" si="707"/>
        <v>25</v>
      </c>
      <c r="W1627" s="46" t="str">
        <f t="shared" si="707"/>
        <v/>
      </c>
      <c r="X1627" s="46" t="str">
        <f t="shared" si="707"/>
        <v/>
      </c>
    </row>
    <row r="1628" spans="2:24" x14ac:dyDescent="0.25">
      <c r="B1628" s="11" t="str">
        <f t="shared" si="702"/>
        <v>FRAN-14DEC1912</v>
      </c>
      <c r="C1628" s="11" t="s">
        <v>3041</v>
      </c>
      <c r="D1628" s="11" t="s">
        <v>1699</v>
      </c>
      <c r="E1628" s="39" t="s">
        <v>3042</v>
      </c>
      <c r="F1628" s="11" t="s">
        <v>1700</v>
      </c>
      <c r="G1628" s="39" t="s">
        <v>192</v>
      </c>
      <c r="H1628" s="7">
        <v>0</v>
      </c>
      <c r="I1628" s="7">
        <v>0</v>
      </c>
      <c r="J1628" s="17">
        <v>30</v>
      </c>
      <c r="K1628" s="17"/>
      <c r="L1628" s="7">
        <f t="shared" si="703"/>
        <v>30</v>
      </c>
      <c r="M1628" s="8">
        <v>1</v>
      </c>
      <c r="N1628" s="8">
        <f t="shared" si="704"/>
        <v>1</v>
      </c>
      <c r="O1628" s="11" t="s">
        <v>1702</v>
      </c>
      <c r="P1628" s="16" t="str">
        <f t="shared" si="705"/>
        <v>14-Dec-1912</v>
      </c>
      <c r="R1628" s="16" t="str">
        <f t="shared" ref="R1628:S1667" si="708">IF($L1628&gt;0,"x","")</f>
        <v>x</v>
      </c>
      <c r="S1628" s="16" t="str">
        <f t="shared" si="708"/>
        <v>x</v>
      </c>
      <c r="U1628" s="46" t="str">
        <f>IF($O1628=U$5,$L1628,"")</f>
        <v/>
      </c>
      <c r="V1628" s="46">
        <f>IF($O1628=V$5,$L1628,"")</f>
        <v>30</v>
      </c>
      <c r="W1628" s="46" t="str">
        <f>IF($O1628=W$5,$L1628,"")</f>
        <v/>
      </c>
      <c r="X1628" s="46" t="str">
        <f>IF($O1628=X$5,$L1628,"")</f>
        <v/>
      </c>
    </row>
    <row r="1629" spans="2:24" x14ac:dyDescent="0.25">
      <c r="B1629" s="11" t="str">
        <f>CONCATENATE("FRAN","-",LEFT(P1629,2),UPPER(MID(P1629,4,3)),RIGHT(P1629,4))</f>
        <v>FRAN-21FEB1913</v>
      </c>
      <c r="C1629" s="11" t="s">
        <v>3041</v>
      </c>
      <c r="D1629" s="11" t="s">
        <v>1699</v>
      </c>
      <c r="E1629" s="39" t="s">
        <v>1293</v>
      </c>
      <c r="F1629" s="11" t="s">
        <v>1700</v>
      </c>
      <c r="G1629" s="39" t="s">
        <v>5213</v>
      </c>
      <c r="H1629" s="7">
        <v>0</v>
      </c>
      <c r="I1629" s="7">
        <v>2</v>
      </c>
      <c r="J1629" s="17">
        <v>9</v>
      </c>
      <c r="K1629" s="17"/>
      <c r="L1629" s="7">
        <f>SUM(H1629:K1629)</f>
        <v>11</v>
      </c>
      <c r="M1629" s="8">
        <v>1</v>
      </c>
      <c r="N1629" s="8">
        <f>IF(L1629&gt;0,1,"")</f>
        <v>1</v>
      </c>
      <c r="O1629" s="11" t="s">
        <v>1702</v>
      </c>
      <c r="P1629" s="16" t="str">
        <f>IF(LEN(G1629)=10,CONCATENATE("0",G1629),G1629)</f>
        <v>21-Feb-1913</v>
      </c>
      <c r="R1629" s="16" t="str">
        <f t="shared" si="708"/>
        <v>x</v>
      </c>
      <c r="S1629" s="16" t="str">
        <f t="shared" si="708"/>
        <v>x</v>
      </c>
      <c r="U1629" s="46" t="str">
        <f t="shared" si="707"/>
        <v/>
      </c>
      <c r="V1629" s="46">
        <f t="shared" si="707"/>
        <v>11</v>
      </c>
      <c r="W1629" s="46" t="str">
        <f t="shared" si="707"/>
        <v/>
      </c>
      <c r="X1629" s="46" t="str">
        <f t="shared" si="707"/>
        <v/>
      </c>
    </row>
    <row r="1630" spans="2:24" x14ac:dyDescent="0.25">
      <c r="B1630" s="11" t="str">
        <f t="shared" si="702"/>
        <v>FRAN-22MAR1913</v>
      </c>
      <c r="C1630" s="11" t="s">
        <v>3041</v>
      </c>
      <c r="D1630" s="11" t="s">
        <v>1699</v>
      </c>
      <c r="E1630" s="39" t="s">
        <v>3174</v>
      </c>
      <c r="F1630" s="11" t="s">
        <v>1700</v>
      </c>
      <c r="G1630" s="39" t="s">
        <v>1674</v>
      </c>
      <c r="H1630" s="7">
        <v>0</v>
      </c>
      <c r="I1630" s="7">
        <v>1</v>
      </c>
      <c r="J1630" s="17">
        <v>8</v>
      </c>
      <c r="K1630" s="17"/>
      <c r="L1630" s="7">
        <f t="shared" si="703"/>
        <v>9</v>
      </c>
      <c r="M1630" s="8">
        <v>1</v>
      </c>
      <c r="N1630" s="8">
        <f t="shared" si="704"/>
        <v>1</v>
      </c>
      <c r="O1630" s="11" t="s">
        <v>1702</v>
      </c>
      <c r="P1630" s="16" t="str">
        <f t="shared" si="705"/>
        <v>22-Mar-1913</v>
      </c>
      <c r="R1630" s="16" t="str">
        <f t="shared" si="708"/>
        <v>x</v>
      </c>
      <c r="S1630" s="16" t="str">
        <f t="shared" si="708"/>
        <v>x</v>
      </c>
      <c r="U1630" s="46" t="str">
        <f t="shared" ref="U1630:X1633" si="709">IF($O1630=U$5,$L1630,"")</f>
        <v/>
      </c>
      <c r="V1630" s="46">
        <f t="shared" si="709"/>
        <v>9</v>
      </c>
      <c r="W1630" s="46" t="str">
        <f t="shared" si="709"/>
        <v/>
      </c>
      <c r="X1630" s="46" t="str">
        <f t="shared" si="709"/>
        <v/>
      </c>
    </row>
    <row r="1631" spans="2:24" x14ac:dyDescent="0.25">
      <c r="B1631" s="11" t="str">
        <f t="shared" si="702"/>
        <v>FRAN-10MAY1913</v>
      </c>
      <c r="C1631" s="11" t="s">
        <v>3041</v>
      </c>
      <c r="D1631" s="11" t="s">
        <v>1699</v>
      </c>
      <c r="E1631" s="39" t="s">
        <v>3899</v>
      </c>
      <c r="F1631" s="11" t="s">
        <v>1700</v>
      </c>
      <c r="G1631" s="39" t="s">
        <v>1296</v>
      </c>
      <c r="H1631" s="7">
        <v>0</v>
      </c>
      <c r="I1631" s="7">
        <v>1</v>
      </c>
      <c r="J1631" s="17">
        <v>29</v>
      </c>
      <c r="K1631" s="17"/>
      <c r="L1631" s="7">
        <f t="shared" si="703"/>
        <v>30</v>
      </c>
      <c r="M1631" s="8">
        <v>1</v>
      </c>
      <c r="N1631" s="8">
        <f t="shared" si="704"/>
        <v>1</v>
      </c>
      <c r="O1631" s="11" t="s">
        <v>1702</v>
      </c>
      <c r="P1631" s="16" t="str">
        <f t="shared" si="705"/>
        <v>10-May-1913</v>
      </c>
      <c r="R1631" s="16" t="str">
        <f t="shared" si="708"/>
        <v>x</v>
      </c>
      <c r="S1631" s="16" t="str">
        <f t="shared" si="708"/>
        <v>x</v>
      </c>
      <c r="U1631" s="46" t="str">
        <f t="shared" si="709"/>
        <v/>
      </c>
      <c r="V1631" s="46">
        <f t="shared" si="709"/>
        <v>30</v>
      </c>
      <c r="W1631" s="46" t="str">
        <f t="shared" si="709"/>
        <v/>
      </c>
      <c r="X1631" s="46" t="str">
        <f t="shared" si="709"/>
        <v/>
      </c>
    </row>
    <row r="1632" spans="2:24" x14ac:dyDescent="0.25">
      <c r="B1632" s="11" t="str">
        <f t="shared" si="702"/>
        <v>FRAN-30MAY1913</v>
      </c>
      <c r="C1632" s="11" t="s">
        <v>3041</v>
      </c>
      <c r="D1632" s="11" t="s">
        <v>1699</v>
      </c>
      <c r="E1632" s="39" t="s">
        <v>3651</v>
      </c>
      <c r="F1632" s="11" t="s">
        <v>1700</v>
      </c>
      <c r="G1632" s="39" t="s">
        <v>3958</v>
      </c>
      <c r="H1632" s="7">
        <v>0</v>
      </c>
      <c r="I1632" s="7">
        <v>1</v>
      </c>
      <c r="J1632" s="17">
        <f>33+3</f>
        <v>36</v>
      </c>
      <c r="K1632" s="17"/>
      <c r="L1632" s="7">
        <f t="shared" si="703"/>
        <v>37</v>
      </c>
      <c r="M1632" s="8">
        <v>1</v>
      </c>
      <c r="N1632" s="8">
        <f t="shared" si="704"/>
        <v>1</v>
      </c>
      <c r="O1632" s="11" t="s">
        <v>1702</v>
      </c>
      <c r="P1632" s="16" t="str">
        <f t="shared" si="705"/>
        <v>30-May-1913</v>
      </c>
      <c r="R1632" s="16" t="str">
        <f t="shared" si="708"/>
        <v>x</v>
      </c>
      <c r="S1632" s="16" t="str">
        <f t="shared" si="708"/>
        <v>x</v>
      </c>
      <c r="U1632" s="46" t="str">
        <f t="shared" si="709"/>
        <v/>
      </c>
      <c r="V1632" s="46">
        <f t="shared" si="709"/>
        <v>37</v>
      </c>
      <c r="W1632" s="46" t="str">
        <f t="shared" si="709"/>
        <v/>
      </c>
      <c r="X1632" s="46" t="str">
        <f t="shared" si="709"/>
        <v/>
      </c>
    </row>
    <row r="1633" spans="2:24" x14ac:dyDescent="0.25">
      <c r="B1633" s="11" t="str">
        <f t="shared" si="702"/>
        <v>FRAN-20JUN1913</v>
      </c>
      <c r="C1633" s="11" t="s">
        <v>3041</v>
      </c>
      <c r="D1633" s="11" t="s">
        <v>1699</v>
      </c>
      <c r="E1633" s="39" t="s">
        <v>1023</v>
      </c>
      <c r="F1633" s="11" t="s">
        <v>1700</v>
      </c>
      <c r="G1633" s="39" t="s">
        <v>3648</v>
      </c>
      <c r="H1633" s="7">
        <v>0</v>
      </c>
      <c r="I1633" s="7">
        <v>0</v>
      </c>
      <c r="J1633" s="17">
        <f>47+2</f>
        <v>49</v>
      </c>
      <c r="K1633" s="17"/>
      <c r="L1633" s="7">
        <f t="shared" si="703"/>
        <v>49</v>
      </c>
      <c r="M1633" s="8">
        <v>1</v>
      </c>
      <c r="N1633" s="8">
        <f t="shared" si="704"/>
        <v>1</v>
      </c>
      <c r="O1633" s="11" t="s">
        <v>1702</v>
      </c>
      <c r="P1633" s="16" t="str">
        <f t="shared" si="705"/>
        <v>20-Jun-1913</v>
      </c>
      <c r="R1633" s="16" t="str">
        <f t="shared" si="708"/>
        <v>x</v>
      </c>
      <c r="S1633" s="16" t="str">
        <f t="shared" si="708"/>
        <v>x</v>
      </c>
      <c r="U1633" s="46" t="str">
        <f t="shared" si="709"/>
        <v/>
      </c>
      <c r="V1633" s="46">
        <f t="shared" si="709"/>
        <v>49</v>
      </c>
      <c r="W1633" s="46" t="str">
        <f t="shared" si="709"/>
        <v/>
      </c>
      <c r="X1633" s="46" t="str">
        <f t="shared" si="709"/>
        <v/>
      </c>
    </row>
    <row r="1634" spans="2:24" x14ac:dyDescent="0.25">
      <c r="B1634" s="11" t="str">
        <f>CONCATENATE("FRAN","-",LEFT(P1634,2),UPPER(MID(P1634,4,3)),RIGHT(P1634,4))</f>
        <v>FRAN-15AUG1913</v>
      </c>
      <c r="C1634" s="11" t="s">
        <v>3041</v>
      </c>
      <c r="D1634" s="11" t="s">
        <v>1699</v>
      </c>
      <c r="E1634" s="39" t="s">
        <v>1536</v>
      </c>
      <c r="F1634" s="11" t="s">
        <v>1700</v>
      </c>
      <c r="G1634" s="39" t="s">
        <v>11381</v>
      </c>
      <c r="H1634" s="7">
        <v>0</v>
      </c>
      <c r="I1634" s="7">
        <v>0</v>
      </c>
      <c r="J1634" s="17">
        <v>42</v>
      </c>
      <c r="K1634" s="17"/>
      <c r="L1634" s="7">
        <f>SUM(H1634:K1634)</f>
        <v>42</v>
      </c>
      <c r="M1634" s="8">
        <v>1</v>
      </c>
      <c r="N1634" s="8">
        <f>IF(L1634&gt;0,1,"")</f>
        <v>1</v>
      </c>
      <c r="O1634" s="11" t="s">
        <v>1702</v>
      </c>
      <c r="P1634" s="16" t="str">
        <f>IF(LEN(G1634)=10,CONCATENATE("0",G1634),G1634)</f>
        <v>15-Aug-1913</v>
      </c>
      <c r="R1634" s="16" t="str">
        <f>IF($L1634&gt;0,"x","")</f>
        <v>x</v>
      </c>
      <c r="S1634" s="16" t="str">
        <f>IF($L1634&gt;0,"x","")</f>
        <v>x</v>
      </c>
      <c r="U1634" s="46" t="str">
        <f t="shared" ref="U1634:X1638" si="710">IF($O1634=U$5,$L1634,"")</f>
        <v/>
      </c>
      <c r="V1634" s="46">
        <f t="shared" si="710"/>
        <v>42</v>
      </c>
      <c r="W1634" s="46" t="str">
        <f t="shared" si="710"/>
        <v/>
      </c>
      <c r="X1634" s="46" t="str">
        <f t="shared" si="710"/>
        <v/>
      </c>
    </row>
    <row r="1635" spans="2:24" x14ac:dyDescent="0.25">
      <c r="B1635" s="11" t="str">
        <f t="shared" si="702"/>
        <v>FRAN-06SEP1913</v>
      </c>
      <c r="C1635" s="11" t="s">
        <v>3041</v>
      </c>
      <c r="D1635" s="11" t="s">
        <v>1699</v>
      </c>
      <c r="E1635" s="39" t="s">
        <v>1289</v>
      </c>
      <c r="F1635" s="11" t="s">
        <v>1700</v>
      </c>
      <c r="G1635" s="39" t="s">
        <v>1677</v>
      </c>
      <c r="H1635" s="7">
        <v>0</v>
      </c>
      <c r="I1635" s="7">
        <v>2</v>
      </c>
      <c r="J1635" s="17">
        <v>12</v>
      </c>
      <c r="K1635" s="17"/>
      <c r="L1635" s="7">
        <f t="shared" si="703"/>
        <v>14</v>
      </c>
      <c r="M1635" s="8">
        <v>1</v>
      </c>
      <c r="N1635" s="8">
        <f t="shared" si="704"/>
        <v>1</v>
      </c>
      <c r="O1635" s="11" t="s">
        <v>1702</v>
      </c>
      <c r="P1635" s="16" t="str">
        <f t="shared" si="705"/>
        <v>06-Sep-1913</v>
      </c>
      <c r="R1635" s="16" t="str">
        <f t="shared" si="708"/>
        <v>x</v>
      </c>
      <c r="S1635" s="16" t="str">
        <f t="shared" si="708"/>
        <v>x</v>
      </c>
      <c r="U1635" s="46" t="str">
        <f t="shared" si="710"/>
        <v/>
      </c>
      <c r="V1635" s="46">
        <f t="shared" si="710"/>
        <v>14</v>
      </c>
      <c r="W1635" s="46" t="str">
        <f t="shared" si="710"/>
        <v/>
      </c>
      <c r="X1635" s="46" t="str">
        <f t="shared" si="710"/>
        <v/>
      </c>
    </row>
    <row r="1636" spans="2:24" x14ac:dyDescent="0.25">
      <c r="B1636" s="11" t="str">
        <f>CONCATENATE("FRAN","-",LEFT(P1636,2),UPPER(MID(P1636,4,3)),RIGHT(P1636,4))</f>
        <v>FRAN-26SEP1913</v>
      </c>
      <c r="C1636" s="11" t="s">
        <v>3041</v>
      </c>
      <c r="D1636" s="11" t="s">
        <v>1699</v>
      </c>
      <c r="E1636" s="39" t="s">
        <v>1930</v>
      </c>
      <c r="F1636" s="11" t="s">
        <v>1700</v>
      </c>
      <c r="G1636" s="39" t="s">
        <v>5778</v>
      </c>
      <c r="H1636" s="7">
        <v>0</v>
      </c>
      <c r="I1636" s="7">
        <v>0</v>
      </c>
      <c r="J1636" s="17">
        <f>14+1</f>
        <v>15</v>
      </c>
      <c r="K1636" s="17"/>
      <c r="L1636" s="7">
        <f>SUM(H1636:K1636)</f>
        <v>15</v>
      </c>
      <c r="M1636" s="8">
        <v>1</v>
      </c>
      <c r="N1636" s="8">
        <f>IF(L1636&gt;0,1,"")</f>
        <v>1</v>
      </c>
      <c r="O1636" s="11" t="s">
        <v>1702</v>
      </c>
      <c r="P1636" s="16" t="str">
        <f>IF(LEN(G1636)=10,CONCATENATE("0",G1636),G1636)</f>
        <v>26-Sep-1913</v>
      </c>
      <c r="R1636" s="16" t="str">
        <f t="shared" si="708"/>
        <v>x</v>
      </c>
      <c r="S1636" s="16" t="str">
        <f t="shared" si="708"/>
        <v>x</v>
      </c>
      <c r="U1636" s="46" t="str">
        <f t="shared" si="710"/>
        <v/>
      </c>
      <c r="V1636" s="46">
        <f t="shared" si="710"/>
        <v>15</v>
      </c>
      <c r="W1636" s="46" t="str">
        <f t="shared" si="710"/>
        <v/>
      </c>
      <c r="X1636" s="46" t="str">
        <f t="shared" si="710"/>
        <v/>
      </c>
    </row>
    <row r="1637" spans="2:24" x14ac:dyDescent="0.25">
      <c r="B1637" s="11" t="str">
        <f>CONCATENATE("FRAN","-",LEFT(P1637,2),UPPER(MID(P1637,4,3)),RIGHT(P1637,4))</f>
        <v>FRAN-24OCT1913</v>
      </c>
      <c r="C1637" s="11" t="s">
        <v>3041</v>
      </c>
      <c r="D1637" s="11" t="s">
        <v>1699</v>
      </c>
      <c r="E1637" s="39" t="s">
        <v>1932</v>
      </c>
      <c r="F1637" s="11" t="s">
        <v>1700</v>
      </c>
      <c r="G1637" s="39" t="s">
        <v>11468</v>
      </c>
      <c r="H1637" s="7">
        <v>0</v>
      </c>
      <c r="I1637" s="7">
        <v>0</v>
      </c>
      <c r="J1637" s="17">
        <v>22</v>
      </c>
      <c r="K1637" s="17"/>
      <c r="L1637" s="7">
        <f>SUM(H1637:K1637)</f>
        <v>22</v>
      </c>
      <c r="M1637" s="8">
        <v>1</v>
      </c>
      <c r="N1637" s="8">
        <f>IF(L1637&gt;0,1,"")</f>
        <v>1</v>
      </c>
      <c r="O1637" s="11" t="s">
        <v>1702</v>
      </c>
      <c r="P1637" s="16" t="str">
        <f>IF(LEN(G1637)=10,CONCATENATE("0",G1637),G1637)</f>
        <v>24-Oct-1913</v>
      </c>
      <c r="R1637" s="16" t="str">
        <f t="shared" si="708"/>
        <v>x</v>
      </c>
      <c r="S1637" s="16" t="str">
        <f t="shared" si="708"/>
        <v>x</v>
      </c>
      <c r="U1637" s="46" t="str">
        <f t="shared" si="710"/>
        <v/>
      </c>
      <c r="V1637" s="46">
        <f t="shared" si="710"/>
        <v>22</v>
      </c>
      <c r="W1637" s="46" t="str">
        <f t="shared" si="710"/>
        <v/>
      </c>
      <c r="X1637" s="46" t="str">
        <f t="shared" si="710"/>
        <v/>
      </c>
    </row>
    <row r="1638" spans="2:24" x14ac:dyDescent="0.25">
      <c r="B1638" s="11" t="str">
        <f>CONCATENATE("FRAN","-",LEFT(P1638,2),UPPER(MID(P1638,4,3)),RIGHT(P1638,4))</f>
        <v>FRAN-23NOV1913</v>
      </c>
      <c r="C1638" s="11" t="s">
        <v>3041</v>
      </c>
      <c r="D1638" s="11" t="s">
        <v>1699</v>
      </c>
      <c r="E1638" s="39" t="s">
        <v>1291</v>
      </c>
      <c r="F1638" s="11" t="s">
        <v>1700</v>
      </c>
      <c r="G1638" s="39" t="s">
        <v>6279</v>
      </c>
      <c r="H1638" s="7">
        <v>0</v>
      </c>
      <c r="I1638" s="7">
        <v>0</v>
      </c>
      <c r="J1638" s="17">
        <v>19</v>
      </c>
      <c r="K1638" s="17"/>
      <c r="L1638" s="7">
        <f>SUM(H1638:K1638)</f>
        <v>19</v>
      </c>
      <c r="M1638" s="8">
        <v>1</v>
      </c>
      <c r="N1638" s="8">
        <f>IF(L1638&gt;0,1,"")</f>
        <v>1</v>
      </c>
      <c r="O1638" s="11" t="s">
        <v>1702</v>
      </c>
      <c r="P1638" s="16" t="str">
        <f>IF(LEN(G1638)=10,CONCATENATE("0",G1638),G1638)</f>
        <v>23-Nov-1913</v>
      </c>
      <c r="R1638" s="16" t="str">
        <f t="shared" si="708"/>
        <v>x</v>
      </c>
      <c r="S1638" s="16" t="str">
        <f t="shared" si="708"/>
        <v>x</v>
      </c>
      <c r="U1638" s="46" t="str">
        <f t="shared" si="710"/>
        <v/>
      </c>
      <c r="V1638" s="46">
        <f t="shared" si="710"/>
        <v>19</v>
      </c>
      <c r="W1638" s="46" t="str">
        <f t="shared" si="710"/>
        <v/>
      </c>
      <c r="X1638" s="46" t="str">
        <f t="shared" si="710"/>
        <v/>
      </c>
    </row>
    <row r="1639" spans="2:24" x14ac:dyDescent="0.25">
      <c r="B1639" s="11" t="str">
        <f t="shared" si="702"/>
        <v>FRAN-12DEC1913</v>
      </c>
      <c r="C1639" s="11" t="s">
        <v>3041</v>
      </c>
      <c r="D1639" s="11" t="s">
        <v>1699</v>
      </c>
      <c r="E1639" s="39" t="s">
        <v>1538</v>
      </c>
      <c r="F1639" s="11" t="s">
        <v>1700</v>
      </c>
      <c r="G1639" s="39" t="s">
        <v>3048</v>
      </c>
      <c r="H1639" s="7">
        <v>2</v>
      </c>
      <c r="I1639" s="7">
        <v>2</v>
      </c>
      <c r="J1639" s="17">
        <v>45</v>
      </c>
      <c r="K1639" s="17"/>
      <c r="L1639" s="7">
        <f t="shared" si="703"/>
        <v>49</v>
      </c>
      <c r="M1639" s="8">
        <v>1</v>
      </c>
      <c r="N1639" s="8">
        <f t="shared" si="704"/>
        <v>1</v>
      </c>
      <c r="O1639" s="11" t="s">
        <v>1702</v>
      </c>
      <c r="P1639" s="16" t="str">
        <f t="shared" si="705"/>
        <v>12-Dec-1913</v>
      </c>
      <c r="R1639" s="16" t="str">
        <f t="shared" si="708"/>
        <v>x</v>
      </c>
      <c r="S1639" s="16" t="str">
        <f t="shared" si="708"/>
        <v>x</v>
      </c>
      <c r="U1639" s="46" t="str">
        <f t="shared" ref="U1639:X1644" si="711">IF($O1639=U$5,$L1639,"")</f>
        <v/>
      </c>
      <c r="V1639" s="46">
        <f t="shared" si="711"/>
        <v>49</v>
      </c>
      <c r="W1639" s="46" t="str">
        <f t="shared" si="711"/>
        <v/>
      </c>
      <c r="X1639" s="46" t="str">
        <f t="shared" si="711"/>
        <v/>
      </c>
    </row>
    <row r="1640" spans="2:24" x14ac:dyDescent="0.25">
      <c r="B1640" s="11" t="str">
        <f t="shared" si="702"/>
        <v>FRAN-04JAN1914</v>
      </c>
      <c r="C1640" s="11" t="s">
        <v>3041</v>
      </c>
      <c r="D1640" s="11" t="s">
        <v>1699</v>
      </c>
      <c r="E1640" s="39" t="s">
        <v>1539</v>
      </c>
      <c r="F1640" s="11" t="s">
        <v>1700</v>
      </c>
      <c r="G1640" s="39" t="s">
        <v>3104</v>
      </c>
      <c r="H1640" s="7">
        <v>0</v>
      </c>
      <c r="I1640" s="7">
        <v>2</v>
      </c>
      <c r="J1640" s="17">
        <v>49</v>
      </c>
      <c r="K1640" s="17"/>
      <c r="L1640" s="7">
        <f t="shared" si="703"/>
        <v>51</v>
      </c>
      <c r="M1640" s="8">
        <v>1</v>
      </c>
      <c r="N1640" s="8">
        <f t="shared" si="704"/>
        <v>1</v>
      </c>
      <c r="O1640" s="11" t="s">
        <v>1702</v>
      </c>
      <c r="P1640" s="16" t="str">
        <f t="shared" si="705"/>
        <v>04-Jan-1914</v>
      </c>
      <c r="R1640" s="16" t="str">
        <f t="shared" si="708"/>
        <v>x</v>
      </c>
      <c r="S1640" s="16" t="str">
        <f t="shared" si="708"/>
        <v>x</v>
      </c>
      <c r="U1640" s="46" t="str">
        <f t="shared" si="711"/>
        <v/>
      </c>
      <c r="V1640" s="46">
        <f t="shared" si="711"/>
        <v>51</v>
      </c>
      <c r="W1640" s="46" t="str">
        <f t="shared" si="711"/>
        <v/>
      </c>
      <c r="X1640" s="46" t="str">
        <f t="shared" si="711"/>
        <v/>
      </c>
    </row>
    <row r="1641" spans="2:24" x14ac:dyDescent="0.25">
      <c r="B1641" s="11" t="str">
        <f t="shared" si="702"/>
        <v>FRAN-31JAN1914</v>
      </c>
      <c r="C1641" s="11" t="s">
        <v>3041</v>
      </c>
      <c r="D1641" s="11" t="s">
        <v>1699</v>
      </c>
      <c r="E1641" s="39" t="s">
        <v>3371</v>
      </c>
      <c r="F1641" s="11" t="s">
        <v>1700</v>
      </c>
      <c r="G1641" s="39" t="s">
        <v>1038</v>
      </c>
      <c r="H1641" s="7">
        <v>0</v>
      </c>
      <c r="I1641" s="7">
        <v>1</v>
      </c>
      <c r="J1641" s="17">
        <v>26</v>
      </c>
      <c r="K1641" s="17"/>
      <c r="L1641" s="7">
        <f t="shared" si="703"/>
        <v>27</v>
      </c>
      <c r="M1641" s="8">
        <v>1</v>
      </c>
      <c r="N1641" s="8">
        <f t="shared" si="704"/>
        <v>1</v>
      </c>
      <c r="O1641" s="11" t="s">
        <v>1702</v>
      </c>
      <c r="P1641" s="16" t="str">
        <f t="shared" si="705"/>
        <v>31-Jan-1914</v>
      </c>
      <c r="R1641" s="16" t="str">
        <f>IF($L1641&gt;0,"x","")</f>
        <v>x</v>
      </c>
      <c r="S1641" s="16" t="str">
        <f>IF($L1641&gt;0,"x","")</f>
        <v>x</v>
      </c>
      <c r="U1641" s="46" t="str">
        <f t="shared" si="711"/>
        <v/>
      </c>
      <c r="V1641" s="46">
        <f t="shared" si="711"/>
        <v>27</v>
      </c>
      <c r="W1641" s="46" t="str">
        <f t="shared" si="711"/>
        <v/>
      </c>
      <c r="X1641" s="46" t="str">
        <f t="shared" si="711"/>
        <v/>
      </c>
    </row>
    <row r="1642" spans="2:24" x14ac:dyDescent="0.25">
      <c r="B1642" s="11" t="str">
        <f t="shared" ref="B1642:B1650" si="712">CONCATENATE("FRAN","-",LEFT(P1642,2),UPPER(MID(P1642,4,3)),RIGHT(P1642,4))</f>
        <v>FRAN-19JUN1914</v>
      </c>
      <c r="C1642" s="11" t="s">
        <v>3041</v>
      </c>
      <c r="D1642" s="11" t="s">
        <v>1699</v>
      </c>
      <c r="E1642" s="39" t="s">
        <v>3875</v>
      </c>
      <c r="F1642" s="11" t="s">
        <v>1700</v>
      </c>
      <c r="G1642" s="39" t="s">
        <v>3874</v>
      </c>
      <c r="H1642" s="7">
        <v>0</v>
      </c>
      <c r="I1642" s="7">
        <v>0</v>
      </c>
      <c r="J1642" s="17">
        <v>28</v>
      </c>
      <c r="K1642" s="17"/>
      <c r="L1642" s="7">
        <f t="shared" ref="L1642:L1650" si="713">SUM(H1642:K1642)</f>
        <v>28</v>
      </c>
      <c r="M1642" s="8">
        <v>1</v>
      </c>
      <c r="N1642" s="8">
        <f t="shared" ref="N1642:N1650" si="714">IF(L1642&gt;0,1,"")</f>
        <v>1</v>
      </c>
      <c r="O1642" s="11" t="s">
        <v>1702</v>
      </c>
      <c r="P1642" s="16" t="str">
        <f t="shared" ref="P1642:P1650" si="715">IF(LEN(G1642)=10,CONCATENATE("0",G1642),G1642)</f>
        <v>19-Jun-1914</v>
      </c>
      <c r="R1642" s="16" t="str">
        <f t="shared" si="708"/>
        <v>x</v>
      </c>
      <c r="S1642" s="16" t="str">
        <f t="shared" si="708"/>
        <v>x</v>
      </c>
      <c r="U1642" s="46" t="str">
        <f t="shared" si="711"/>
        <v/>
      </c>
      <c r="V1642" s="46">
        <f t="shared" si="711"/>
        <v>28</v>
      </c>
      <c r="W1642" s="46" t="str">
        <f t="shared" si="711"/>
        <v/>
      </c>
      <c r="X1642" s="46" t="str">
        <f t="shared" si="711"/>
        <v/>
      </c>
    </row>
    <row r="1643" spans="2:24" x14ac:dyDescent="0.25">
      <c r="B1643" s="11" t="str">
        <f t="shared" si="712"/>
        <v>FRAN-10JUL1914</v>
      </c>
      <c r="C1643" s="11" t="s">
        <v>3041</v>
      </c>
      <c r="D1643" s="11" t="s">
        <v>1699</v>
      </c>
      <c r="E1643" s="39" t="s">
        <v>2797</v>
      </c>
      <c r="F1643" s="11" t="s">
        <v>1700</v>
      </c>
      <c r="G1643" s="39" t="s">
        <v>4932</v>
      </c>
      <c r="H1643" s="7">
        <v>0</v>
      </c>
      <c r="I1643" s="7">
        <v>0</v>
      </c>
      <c r="J1643" s="17">
        <v>20</v>
      </c>
      <c r="K1643" s="17"/>
      <c r="L1643" s="7">
        <f t="shared" si="713"/>
        <v>20</v>
      </c>
      <c r="M1643" s="8">
        <v>1</v>
      </c>
      <c r="N1643" s="8">
        <f t="shared" si="714"/>
        <v>1</v>
      </c>
      <c r="O1643" s="11" t="s">
        <v>1702</v>
      </c>
      <c r="P1643" s="16" t="str">
        <f t="shared" si="715"/>
        <v>10-Jul-1914</v>
      </c>
      <c r="R1643" s="16" t="str">
        <f t="shared" si="708"/>
        <v>x</v>
      </c>
      <c r="S1643" s="16" t="str">
        <f t="shared" si="708"/>
        <v>x</v>
      </c>
      <c r="U1643" s="46" t="str">
        <f t="shared" si="711"/>
        <v/>
      </c>
      <c r="V1643" s="46">
        <f t="shared" si="711"/>
        <v>20</v>
      </c>
      <c r="W1643" s="46" t="str">
        <f t="shared" si="711"/>
        <v/>
      </c>
      <c r="X1643" s="46" t="str">
        <f t="shared" si="711"/>
        <v/>
      </c>
    </row>
    <row r="1644" spans="2:24" x14ac:dyDescent="0.25">
      <c r="B1644" s="11" t="str">
        <f t="shared" si="712"/>
        <v>FRAN-20AUG1914</v>
      </c>
      <c r="C1644" s="11" t="s">
        <v>3041</v>
      </c>
      <c r="D1644" s="11" t="s">
        <v>1699</v>
      </c>
      <c r="E1644" s="39" t="s">
        <v>1043</v>
      </c>
      <c r="F1644" s="11" t="s">
        <v>1700</v>
      </c>
      <c r="G1644" s="39" t="s">
        <v>4488</v>
      </c>
      <c r="H1644" s="7">
        <v>1</v>
      </c>
      <c r="I1644" s="7">
        <v>0</v>
      </c>
      <c r="J1644" s="17">
        <v>13</v>
      </c>
      <c r="K1644" s="17"/>
      <c r="L1644" s="7">
        <f t="shared" si="713"/>
        <v>14</v>
      </c>
      <c r="M1644" s="8">
        <v>1</v>
      </c>
      <c r="N1644" s="8">
        <f t="shared" si="714"/>
        <v>1</v>
      </c>
      <c r="O1644" s="11" t="s">
        <v>1702</v>
      </c>
      <c r="P1644" s="16" t="str">
        <f t="shared" si="715"/>
        <v>20-Aug-1914</v>
      </c>
      <c r="R1644" s="16" t="str">
        <f t="shared" si="708"/>
        <v>x</v>
      </c>
      <c r="S1644" s="16" t="str">
        <f t="shared" si="708"/>
        <v>x</v>
      </c>
      <c r="U1644" s="46" t="str">
        <f t="shared" si="711"/>
        <v/>
      </c>
      <c r="V1644" s="46">
        <f t="shared" si="711"/>
        <v>14</v>
      </c>
      <c r="W1644" s="46" t="str">
        <f t="shared" si="711"/>
        <v/>
      </c>
      <c r="X1644" s="46" t="str">
        <f t="shared" si="711"/>
        <v/>
      </c>
    </row>
    <row r="1645" spans="2:24" x14ac:dyDescent="0.25">
      <c r="B1645" s="11" t="str">
        <f t="shared" si="712"/>
        <v>FRAN-14MAR1920</v>
      </c>
      <c r="C1645" s="11" t="s">
        <v>3041</v>
      </c>
      <c r="D1645" s="11" t="s">
        <v>1699</v>
      </c>
      <c r="E1645" s="39" t="s">
        <v>5910</v>
      </c>
      <c r="F1645" s="11" t="s">
        <v>1700</v>
      </c>
      <c r="G1645" s="39" t="s">
        <v>5911</v>
      </c>
      <c r="H1645" s="7">
        <v>0</v>
      </c>
      <c r="I1645" s="7">
        <f>7+1</f>
        <v>8</v>
      </c>
      <c r="J1645" s="17">
        <v>0</v>
      </c>
      <c r="K1645" s="17"/>
      <c r="L1645" s="7">
        <f t="shared" si="713"/>
        <v>8</v>
      </c>
      <c r="M1645" s="8">
        <v>1</v>
      </c>
      <c r="N1645" s="8">
        <f t="shared" si="714"/>
        <v>1</v>
      </c>
      <c r="O1645" s="11" t="s">
        <v>1702</v>
      </c>
      <c r="P1645" s="16" t="str">
        <f t="shared" si="715"/>
        <v>14-Mar-1920</v>
      </c>
      <c r="R1645" s="16" t="str">
        <f t="shared" si="708"/>
        <v>x</v>
      </c>
      <c r="S1645" s="16" t="str">
        <f t="shared" si="708"/>
        <v>x</v>
      </c>
      <c r="U1645" s="46" t="str">
        <f t="shared" ref="U1645:X1647" si="716">IF($O1645=U$5,$L1645,"")</f>
        <v/>
      </c>
      <c r="V1645" s="46">
        <f t="shared" si="716"/>
        <v>8</v>
      </c>
      <c r="W1645" s="46" t="str">
        <f t="shared" si="716"/>
        <v/>
      </c>
      <c r="X1645" s="46" t="str">
        <f t="shared" si="716"/>
        <v/>
      </c>
    </row>
    <row r="1646" spans="2:24" x14ac:dyDescent="0.25">
      <c r="B1646" s="11" t="str">
        <f t="shared" si="712"/>
        <v>FRAN-20JUN1920</v>
      </c>
      <c r="C1646" s="11" t="s">
        <v>3041</v>
      </c>
      <c r="D1646" s="11" t="s">
        <v>1699</v>
      </c>
      <c r="E1646" s="39" t="s">
        <v>4660</v>
      </c>
      <c r="F1646" s="11" t="s">
        <v>1700</v>
      </c>
      <c r="G1646" s="39" t="s">
        <v>4661</v>
      </c>
      <c r="H1646" s="7">
        <v>0</v>
      </c>
      <c r="I1646" s="7">
        <v>2</v>
      </c>
      <c r="J1646" s="17">
        <v>39</v>
      </c>
      <c r="K1646" s="17"/>
      <c r="L1646" s="7">
        <f t="shared" si="713"/>
        <v>41</v>
      </c>
      <c r="M1646" s="8">
        <v>1</v>
      </c>
      <c r="N1646" s="8">
        <f t="shared" si="714"/>
        <v>1</v>
      </c>
      <c r="O1646" s="11" t="s">
        <v>1702</v>
      </c>
      <c r="P1646" s="16" t="str">
        <f t="shared" si="715"/>
        <v>20-Jun-1920</v>
      </c>
      <c r="R1646" s="16" t="str">
        <f t="shared" si="708"/>
        <v>x</v>
      </c>
      <c r="S1646" s="16" t="str">
        <f t="shared" si="708"/>
        <v>x</v>
      </c>
      <c r="U1646" s="46" t="str">
        <f t="shared" si="716"/>
        <v/>
      </c>
      <c r="V1646" s="46">
        <f t="shared" si="716"/>
        <v>41</v>
      </c>
      <c r="W1646" s="46" t="str">
        <f t="shared" si="716"/>
        <v/>
      </c>
      <c r="X1646" s="46" t="str">
        <f t="shared" si="716"/>
        <v/>
      </c>
    </row>
    <row r="1647" spans="2:24" x14ac:dyDescent="0.25">
      <c r="B1647" s="11" t="str">
        <f>CONCATENATE("FRAN","-",LEFT(P1647,2),UPPER(MID(P1647,4,3)),RIGHT(P1647,4))</f>
        <v>FRAN-17JUL1920</v>
      </c>
      <c r="C1647" s="11" t="s">
        <v>3041</v>
      </c>
      <c r="D1647" s="11" t="s">
        <v>1699</v>
      </c>
      <c r="E1647" s="39" t="s">
        <v>5869</v>
      </c>
      <c r="F1647" s="11" t="s">
        <v>1700</v>
      </c>
      <c r="G1647" s="39" t="s">
        <v>4152</v>
      </c>
      <c r="H1647" s="7">
        <f>0+1</f>
        <v>1</v>
      </c>
      <c r="I1647" s="7">
        <v>0</v>
      </c>
      <c r="J1647" s="17">
        <v>5</v>
      </c>
      <c r="K1647" s="17"/>
      <c r="L1647" s="7">
        <f>SUM(H1647:K1647)</f>
        <v>6</v>
      </c>
      <c r="M1647" s="8">
        <v>1</v>
      </c>
      <c r="N1647" s="8">
        <f>IF(L1647&gt;0,1,"")</f>
        <v>1</v>
      </c>
      <c r="O1647" s="11" t="s">
        <v>1702</v>
      </c>
      <c r="P1647" s="16" t="str">
        <f>IF(LEN(G1647)=10,CONCATENATE("0",G1647),G1647)</f>
        <v>17-Jul-1920</v>
      </c>
      <c r="R1647" s="16" t="str">
        <f t="shared" si="708"/>
        <v>x</v>
      </c>
      <c r="S1647" s="16" t="str">
        <f t="shared" si="708"/>
        <v>x</v>
      </c>
      <c r="U1647" s="46" t="str">
        <f t="shared" si="716"/>
        <v/>
      </c>
      <c r="V1647" s="46">
        <f t="shared" si="716"/>
        <v>6</v>
      </c>
      <c r="W1647" s="46" t="str">
        <f t="shared" si="716"/>
        <v/>
      </c>
      <c r="X1647" s="46" t="str">
        <f t="shared" si="716"/>
        <v/>
      </c>
    </row>
    <row r="1648" spans="2:24" x14ac:dyDescent="0.25">
      <c r="B1648" s="11" t="str">
        <f t="shared" si="712"/>
        <v>FRAN-05SEP1920</v>
      </c>
      <c r="C1648" s="11" t="s">
        <v>3041</v>
      </c>
      <c r="D1648" s="11" t="s">
        <v>1699</v>
      </c>
      <c r="E1648" s="39" t="s">
        <v>4159</v>
      </c>
      <c r="F1648" s="11" t="s">
        <v>1700</v>
      </c>
      <c r="G1648" s="39" t="s">
        <v>4160</v>
      </c>
      <c r="H1648" s="7">
        <v>1</v>
      </c>
      <c r="I1648" s="7">
        <v>1</v>
      </c>
      <c r="J1648" s="17">
        <f>49+3</f>
        <v>52</v>
      </c>
      <c r="K1648" s="17"/>
      <c r="L1648" s="7">
        <f t="shared" si="713"/>
        <v>54</v>
      </c>
      <c r="M1648" s="8">
        <v>1</v>
      </c>
      <c r="N1648" s="8">
        <f t="shared" si="714"/>
        <v>1</v>
      </c>
      <c r="O1648" s="11" t="s">
        <v>1702</v>
      </c>
      <c r="P1648" s="16" t="str">
        <f t="shared" si="715"/>
        <v>05-Sep-1920</v>
      </c>
      <c r="R1648" s="16" t="str">
        <f t="shared" si="708"/>
        <v>x</v>
      </c>
      <c r="S1648" s="16" t="str">
        <f t="shared" si="708"/>
        <v>x</v>
      </c>
      <c r="U1648" s="46" t="str">
        <f t="shared" ref="U1648:X1651" si="717">IF($O1648=U$5,$L1648,"")</f>
        <v/>
      </c>
      <c r="V1648" s="46">
        <f t="shared" si="717"/>
        <v>54</v>
      </c>
      <c r="W1648" s="46" t="str">
        <f t="shared" si="717"/>
        <v/>
      </c>
      <c r="X1648" s="46" t="str">
        <f t="shared" si="717"/>
        <v/>
      </c>
    </row>
    <row r="1649" spans="2:24" x14ac:dyDescent="0.25">
      <c r="B1649" s="11" t="str">
        <f t="shared" si="712"/>
        <v>FRAN-03OCT1920</v>
      </c>
      <c r="C1649" s="11" t="s">
        <v>3041</v>
      </c>
      <c r="D1649" s="11" t="s">
        <v>1699</v>
      </c>
      <c r="E1649" s="39" t="s">
        <v>4639</v>
      </c>
      <c r="F1649" s="11" t="s">
        <v>1700</v>
      </c>
      <c r="G1649" s="39" t="s">
        <v>3184</v>
      </c>
      <c r="H1649" s="7">
        <v>0</v>
      </c>
      <c r="I1649" s="7">
        <f>3+1</f>
        <v>4</v>
      </c>
      <c r="J1649" s="17">
        <v>19</v>
      </c>
      <c r="K1649" s="17"/>
      <c r="L1649" s="7">
        <f t="shared" si="713"/>
        <v>23</v>
      </c>
      <c r="M1649" s="8">
        <v>1</v>
      </c>
      <c r="N1649" s="8">
        <f t="shared" si="714"/>
        <v>1</v>
      </c>
      <c r="O1649" s="11" t="s">
        <v>1702</v>
      </c>
      <c r="P1649" s="16" t="str">
        <f t="shared" si="715"/>
        <v>03-Oct-1920</v>
      </c>
      <c r="R1649" s="16" t="str">
        <f t="shared" si="708"/>
        <v>x</v>
      </c>
      <c r="S1649" s="16" t="str">
        <f t="shared" si="708"/>
        <v>x</v>
      </c>
      <c r="U1649" s="46" t="str">
        <f t="shared" si="717"/>
        <v/>
      </c>
      <c r="V1649" s="46">
        <f t="shared" si="717"/>
        <v>23</v>
      </c>
      <c r="W1649" s="46" t="str">
        <f t="shared" si="717"/>
        <v/>
      </c>
      <c r="X1649" s="46" t="str">
        <f t="shared" si="717"/>
        <v/>
      </c>
    </row>
    <row r="1650" spans="2:24" x14ac:dyDescent="0.25">
      <c r="B1650" s="11" t="str">
        <f t="shared" si="712"/>
        <v>FRAN-02NOV1920</v>
      </c>
      <c r="C1650" s="11" t="s">
        <v>3041</v>
      </c>
      <c r="D1650" s="11" t="s">
        <v>1699</v>
      </c>
      <c r="E1650" s="39" t="s">
        <v>3993</v>
      </c>
      <c r="F1650" s="11" t="s">
        <v>1700</v>
      </c>
      <c r="G1650" s="39" t="s">
        <v>2806</v>
      </c>
      <c r="H1650" s="7">
        <f>0+2</f>
        <v>2</v>
      </c>
      <c r="I1650" s="7">
        <v>0</v>
      </c>
      <c r="J1650" s="17">
        <v>7</v>
      </c>
      <c r="K1650" s="17"/>
      <c r="L1650" s="7">
        <f t="shared" si="713"/>
        <v>9</v>
      </c>
      <c r="M1650" s="8">
        <v>1</v>
      </c>
      <c r="N1650" s="8">
        <f t="shared" si="714"/>
        <v>1</v>
      </c>
      <c r="O1650" s="11" t="s">
        <v>1702</v>
      </c>
      <c r="P1650" s="16" t="str">
        <f t="shared" si="715"/>
        <v>02-Nov-1920</v>
      </c>
      <c r="R1650" s="16" t="str">
        <f t="shared" si="708"/>
        <v>x</v>
      </c>
      <c r="S1650" s="16" t="str">
        <f t="shared" si="708"/>
        <v>x</v>
      </c>
      <c r="U1650" s="46" t="str">
        <f t="shared" si="717"/>
        <v/>
      </c>
      <c r="V1650" s="46">
        <f t="shared" si="717"/>
        <v>9</v>
      </c>
      <c r="W1650" s="46" t="str">
        <f t="shared" si="717"/>
        <v/>
      </c>
      <c r="X1650" s="46" t="str">
        <f t="shared" si="717"/>
        <v/>
      </c>
    </row>
    <row r="1651" spans="2:24" x14ac:dyDescent="0.25">
      <c r="B1651" s="11" t="str">
        <f t="shared" ref="B1651:B1667" si="718">CONCATENATE("FRAN","-",LEFT(P1651,2),UPPER(MID(P1651,4,3)),RIGHT(P1651,4))</f>
        <v>FRAN-27NOV1920</v>
      </c>
      <c r="C1651" s="11" t="s">
        <v>3041</v>
      </c>
      <c r="D1651" s="11" t="s">
        <v>1699</v>
      </c>
      <c r="E1651" s="39" t="s">
        <v>2042</v>
      </c>
      <c r="F1651" s="11" t="s">
        <v>1700</v>
      </c>
      <c r="G1651" s="39" t="s">
        <v>3047</v>
      </c>
      <c r="H1651" s="7">
        <v>5</v>
      </c>
      <c r="I1651" s="7">
        <v>3</v>
      </c>
      <c r="J1651" s="17">
        <f>84+2</f>
        <v>86</v>
      </c>
      <c r="K1651" s="17"/>
      <c r="L1651" s="7">
        <f t="shared" ref="L1651:L1667" si="719">SUM(H1651:K1651)</f>
        <v>94</v>
      </c>
      <c r="M1651" s="8">
        <v>1</v>
      </c>
      <c r="N1651" s="8">
        <f t="shared" ref="N1651:N1667" si="720">IF(L1651&gt;0,1,"")</f>
        <v>1</v>
      </c>
      <c r="O1651" s="11" t="s">
        <v>1702</v>
      </c>
      <c r="P1651" s="16" t="str">
        <f t="shared" ref="P1651:P1667" si="721">IF(LEN(G1651)=10,CONCATENATE("0",G1651),G1651)</f>
        <v>27-Nov-1920</v>
      </c>
      <c r="R1651" s="16" t="str">
        <f t="shared" si="708"/>
        <v>x</v>
      </c>
      <c r="S1651" s="16" t="str">
        <f t="shared" si="708"/>
        <v>x</v>
      </c>
      <c r="U1651" s="46" t="str">
        <f t="shared" si="717"/>
        <v/>
      </c>
      <c r="V1651" s="46">
        <f t="shared" si="717"/>
        <v>94</v>
      </c>
      <c r="W1651" s="46" t="str">
        <f t="shared" si="717"/>
        <v/>
      </c>
      <c r="X1651" s="46" t="str">
        <f t="shared" si="717"/>
        <v/>
      </c>
    </row>
    <row r="1652" spans="2:24" x14ac:dyDescent="0.25">
      <c r="B1652" s="11" t="str">
        <f>CONCATENATE("FRAN","-",LEFT(P1652,2),UPPER(MID(P1652,4,3)),RIGHT(P1652,4))</f>
        <v>FRAN-16JAN1921</v>
      </c>
      <c r="C1652" s="11" t="s">
        <v>3041</v>
      </c>
      <c r="D1652" s="11" t="s">
        <v>1699</v>
      </c>
      <c r="E1652" s="39" t="s">
        <v>2835</v>
      </c>
      <c r="F1652" s="11" t="s">
        <v>1700</v>
      </c>
      <c r="G1652" s="39" t="s">
        <v>6268</v>
      </c>
      <c r="H1652" s="7">
        <f>0+2</f>
        <v>2</v>
      </c>
      <c r="I1652" s="7">
        <v>3</v>
      </c>
      <c r="J1652" s="17">
        <v>32</v>
      </c>
      <c r="K1652" s="17"/>
      <c r="L1652" s="7">
        <f>SUM(H1652:K1652)</f>
        <v>37</v>
      </c>
      <c r="M1652" s="8">
        <v>1</v>
      </c>
      <c r="N1652" s="8">
        <f>IF(L1652&gt;0,1,"")</f>
        <v>1</v>
      </c>
      <c r="O1652" s="11" t="s">
        <v>1702</v>
      </c>
      <c r="P1652" s="16" t="str">
        <f>IF(LEN(G1652)=10,CONCATENATE("0",G1652),G1652)</f>
        <v>16-Jan-1921</v>
      </c>
      <c r="R1652" s="16" t="str">
        <f t="shared" si="708"/>
        <v>x</v>
      </c>
      <c r="S1652" s="16" t="str">
        <f t="shared" si="708"/>
        <v>x</v>
      </c>
      <c r="U1652" s="46" t="str">
        <f t="shared" ref="U1652:X1653" si="722">IF($O1652=U$5,$L1652,"")</f>
        <v/>
      </c>
      <c r="V1652" s="46">
        <f t="shared" si="722"/>
        <v>37</v>
      </c>
      <c r="W1652" s="46" t="str">
        <f t="shared" si="722"/>
        <v/>
      </c>
      <c r="X1652" s="46" t="str">
        <f t="shared" si="722"/>
        <v/>
      </c>
    </row>
    <row r="1653" spans="2:24" x14ac:dyDescent="0.25">
      <c r="B1653" s="11" t="str">
        <f>CONCATENATE("FRAN","-",LEFT(P1653,2),UPPER(MID(P1653,4,3)),RIGHT(P1653,4))</f>
        <v>FRAN-13MAR1921</v>
      </c>
      <c r="C1653" s="11" t="s">
        <v>3041</v>
      </c>
      <c r="D1653" s="11" t="s">
        <v>1699</v>
      </c>
      <c r="E1653" s="39" t="s">
        <v>3195</v>
      </c>
      <c r="F1653" s="11" t="s">
        <v>1700</v>
      </c>
      <c r="G1653" s="39" t="s">
        <v>3194</v>
      </c>
      <c r="H1653" s="7">
        <v>1</v>
      </c>
      <c r="I1653" s="7">
        <v>12</v>
      </c>
      <c r="J1653" s="17">
        <f>45+2</f>
        <v>47</v>
      </c>
      <c r="K1653" s="17"/>
      <c r="L1653" s="7">
        <f>SUM(H1653:K1653)</f>
        <v>60</v>
      </c>
      <c r="M1653" s="8">
        <v>1</v>
      </c>
      <c r="N1653" s="8">
        <f>IF(L1653&gt;0,1,"")</f>
        <v>1</v>
      </c>
      <c r="O1653" s="11" t="s">
        <v>1702</v>
      </c>
      <c r="P1653" s="16" t="str">
        <f>IF(LEN(G1653)=10,CONCATENATE("0",G1653),G1653)</f>
        <v>13-Mar-1921</v>
      </c>
      <c r="R1653" s="16" t="str">
        <f t="shared" si="708"/>
        <v>x</v>
      </c>
      <c r="S1653" s="16" t="str">
        <f t="shared" si="708"/>
        <v>x</v>
      </c>
      <c r="U1653" s="46" t="str">
        <f t="shared" si="722"/>
        <v/>
      </c>
      <c r="V1653" s="46">
        <f t="shared" si="722"/>
        <v>60</v>
      </c>
      <c r="W1653" s="46" t="str">
        <f t="shared" si="722"/>
        <v/>
      </c>
      <c r="X1653" s="46" t="str">
        <f t="shared" si="722"/>
        <v/>
      </c>
    </row>
    <row r="1654" spans="2:24" x14ac:dyDescent="0.25">
      <c r="B1654" s="11" t="str">
        <f t="shared" si="718"/>
        <v>FRAN-13FEB1921</v>
      </c>
      <c r="C1654" s="11" t="s">
        <v>3041</v>
      </c>
      <c r="D1654" s="11" t="s">
        <v>1699</v>
      </c>
      <c r="E1654" s="39" t="s">
        <v>11280</v>
      </c>
      <c r="F1654" s="11" t="s">
        <v>1700</v>
      </c>
      <c r="G1654" s="39" t="s">
        <v>5363</v>
      </c>
      <c r="H1654" s="7">
        <v>1</v>
      </c>
      <c r="I1654" s="7">
        <f>14+1</f>
        <v>15</v>
      </c>
      <c r="J1654" s="17">
        <v>25</v>
      </c>
      <c r="K1654" s="17"/>
      <c r="L1654" s="7">
        <f t="shared" si="719"/>
        <v>41</v>
      </c>
      <c r="M1654" s="8">
        <v>1</v>
      </c>
      <c r="N1654" s="8">
        <f t="shared" si="720"/>
        <v>1</v>
      </c>
      <c r="O1654" s="11" t="s">
        <v>1702</v>
      </c>
      <c r="P1654" s="16" t="str">
        <f t="shared" si="721"/>
        <v>13-Feb-1921</v>
      </c>
      <c r="R1654" s="16" t="str">
        <f t="shared" si="708"/>
        <v>x</v>
      </c>
      <c r="S1654" s="16" t="str">
        <f t="shared" si="708"/>
        <v>x</v>
      </c>
      <c r="U1654" s="46" t="str">
        <f t="shared" ref="U1654:X1655" si="723">IF($O1654=U$5,$L1654,"")</f>
        <v/>
      </c>
      <c r="V1654" s="46">
        <f t="shared" si="723"/>
        <v>41</v>
      </c>
      <c r="W1654" s="46" t="str">
        <f t="shared" si="723"/>
        <v/>
      </c>
      <c r="X1654" s="46" t="str">
        <f t="shared" si="723"/>
        <v/>
      </c>
    </row>
    <row r="1655" spans="2:24" x14ac:dyDescent="0.25">
      <c r="B1655" s="11" t="str">
        <f t="shared" si="718"/>
        <v>FRAN-16APR1921</v>
      </c>
      <c r="C1655" s="11" t="s">
        <v>3041</v>
      </c>
      <c r="D1655" s="11" t="s">
        <v>1699</v>
      </c>
      <c r="E1655" s="39" t="s">
        <v>4533</v>
      </c>
      <c r="F1655" s="11" t="s">
        <v>1700</v>
      </c>
      <c r="G1655" s="39" t="s">
        <v>2435</v>
      </c>
      <c r="H1655" s="7">
        <v>2</v>
      </c>
      <c r="I1655" s="7">
        <f>0+1</f>
        <v>1</v>
      </c>
      <c r="J1655" s="17">
        <v>17</v>
      </c>
      <c r="K1655" s="17"/>
      <c r="L1655" s="7">
        <f t="shared" si="719"/>
        <v>20</v>
      </c>
      <c r="M1655" s="8">
        <v>1</v>
      </c>
      <c r="N1655" s="8">
        <f t="shared" si="720"/>
        <v>1</v>
      </c>
      <c r="O1655" s="11" t="s">
        <v>1702</v>
      </c>
      <c r="P1655" s="16" t="str">
        <f t="shared" si="721"/>
        <v>16-Apr-1921</v>
      </c>
      <c r="R1655" s="16" t="str">
        <f t="shared" si="708"/>
        <v>x</v>
      </c>
      <c r="S1655" s="16" t="str">
        <f t="shared" si="708"/>
        <v>x</v>
      </c>
      <c r="U1655" s="46" t="str">
        <f t="shared" si="723"/>
        <v/>
      </c>
      <c r="V1655" s="46">
        <f t="shared" si="723"/>
        <v>20</v>
      </c>
      <c r="W1655" s="46" t="str">
        <f t="shared" si="723"/>
        <v/>
      </c>
      <c r="X1655" s="46" t="str">
        <f t="shared" si="723"/>
        <v/>
      </c>
    </row>
    <row r="1656" spans="2:24" x14ac:dyDescent="0.25">
      <c r="B1656" s="11" t="str">
        <f t="shared" si="718"/>
        <v>FRAN-07MAY1921</v>
      </c>
      <c r="C1656" s="11" t="s">
        <v>3041</v>
      </c>
      <c r="D1656" s="11" t="s">
        <v>1699</v>
      </c>
      <c r="E1656" s="39" t="s">
        <v>4172</v>
      </c>
      <c r="F1656" s="11" t="s">
        <v>1700</v>
      </c>
      <c r="G1656" s="39" t="s">
        <v>1599</v>
      </c>
      <c r="H1656" s="7">
        <v>0</v>
      </c>
      <c r="I1656" s="7">
        <v>3</v>
      </c>
      <c r="J1656" s="17">
        <v>8</v>
      </c>
      <c r="K1656" s="17"/>
      <c r="L1656" s="7">
        <f t="shared" si="719"/>
        <v>11</v>
      </c>
      <c r="M1656" s="8">
        <v>1</v>
      </c>
      <c r="N1656" s="8">
        <f t="shared" si="720"/>
        <v>1</v>
      </c>
      <c r="O1656" s="11" t="s">
        <v>1702</v>
      </c>
      <c r="P1656" s="16" t="str">
        <f t="shared" si="721"/>
        <v>07-May-1921</v>
      </c>
      <c r="R1656" s="16" t="str">
        <f t="shared" si="708"/>
        <v>x</v>
      </c>
      <c r="S1656" s="16" t="str">
        <f t="shared" si="708"/>
        <v>x</v>
      </c>
      <c r="U1656" s="46" t="str">
        <f t="shared" ref="U1656:X1658" si="724">IF($O1656=U$5,$L1656,"")</f>
        <v/>
      </c>
      <c r="V1656" s="46">
        <f t="shared" si="724"/>
        <v>11</v>
      </c>
      <c r="W1656" s="46" t="str">
        <f t="shared" si="724"/>
        <v/>
      </c>
      <c r="X1656" s="46" t="str">
        <f t="shared" si="724"/>
        <v/>
      </c>
    </row>
    <row r="1657" spans="2:24" x14ac:dyDescent="0.25">
      <c r="B1657" s="11" t="str">
        <f>CONCATENATE("FRAN","-",LEFT(P1657,2),UPPER(MID(P1657,4,3)),RIGHT(P1657,4))</f>
        <v>FRAN-04JUN1921</v>
      </c>
      <c r="C1657" s="11" t="s">
        <v>3041</v>
      </c>
      <c r="D1657" s="11" t="s">
        <v>1699</v>
      </c>
      <c r="E1657" s="39" t="s">
        <v>11180</v>
      </c>
      <c r="F1657" s="11" t="s">
        <v>1700</v>
      </c>
      <c r="G1657" s="39" t="s">
        <v>2061</v>
      </c>
      <c r="H1657" s="7">
        <v>0</v>
      </c>
      <c r="I1657" s="7">
        <f>5+1</f>
        <v>6</v>
      </c>
      <c r="J1657" s="17">
        <v>8</v>
      </c>
      <c r="K1657" s="17"/>
      <c r="L1657" s="7">
        <f>SUM(H1657:K1657)</f>
        <v>14</v>
      </c>
      <c r="M1657" s="8">
        <v>1</v>
      </c>
      <c r="N1657" s="8">
        <f>IF(L1657&gt;0,1,"")</f>
        <v>1</v>
      </c>
      <c r="O1657" s="11" t="s">
        <v>1702</v>
      </c>
      <c r="P1657" s="16" t="str">
        <f>IF(LEN(G1657)=10,CONCATENATE("0",G1657),G1657)</f>
        <v>04-Jun-1921</v>
      </c>
      <c r="R1657" s="16" t="str">
        <f t="shared" si="708"/>
        <v>x</v>
      </c>
      <c r="S1657" s="16" t="str">
        <f t="shared" si="708"/>
        <v>x</v>
      </c>
      <c r="U1657" s="46" t="str">
        <f t="shared" si="724"/>
        <v/>
      </c>
      <c r="V1657" s="46">
        <f t="shared" si="724"/>
        <v>14</v>
      </c>
      <c r="W1657" s="46" t="str">
        <f t="shared" si="724"/>
        <v/>
      </c>
      <c r="X1657" s="46" t="str">
        <f t="shared" si="724"/>
        <v/>
      </c>
    </row>
    <row r="1658" spans="2:24" x14ac:dyDescent="0.25">
      <c r="B1658" s="11" t="str">
        <f>CONCATENATE("FRAN","-",LEFT(P1658,2),UPPER(MID(P1658,4,3)),RIGHT(P1658,4))</f>
        <v>FRAN-02JUL1921</v>
      </c>
      <c r="C1658" s="11" t="s">
        <v>3041</v>
      </c>
      <c r="D1658" s="11" t="s">
        <v>1699</v>
      </c>
      <c r="E1658" s="39" t="s">
        <v>3166</v>
      </c>
      <c r="F1658" s="11" t="s">
        <v>1700</v>
      </c>
      <c r="G1658" s="39" t="s">
        <v>4173</v>
      </c>
      <c r="H1658" s="7">
        <v>0</v>
      </c>
      <c r="I1658" s="7">
        <v>0</v>
      </c>
      <c r="J1658" s="17">
        <v>3</v>
      </c>
      <c r="K1658" s="17"/>
      <c r="L1658" s="7">
        <f>SUM(H1658:K1658)</f>
        <v>3</v>
      </c>
      <c r="M1658" s="8">
        <v>1</v>
      </c>
      <c r="N1658" s="8">
        <f>IF(L1658&gt;0,1,"")</f>
        <v>1</v>
      </c>
      <c r="O1658" s="11" t="s">
        <v>1702</v>
      </c>
      <c r="P1658" s="16" t="str">
        <f>IF(LEN(G1658)=10,CONCATENATE("0",G1658),G1658)</f>
        <v>02-Jul-1921</v>
      </c>
      <c r="R1658" s="16" t="str">
        <f t="shared" si="708"/>
        <v>x</v>
      </c>
      <c r="S1658" s="16" t="str">
        <f t="shared" si="708"/>
        <v>x</v>
      </c>
      <c r="U1658" s="46" t="str">
        <f t="shared" si="724"/>
        <v/>
      </c>
      <c r="V1658" s="46">
        <f t="shared" si="724"/>
        <v>3</v>
      </c>
      <c r="W1658" s="46" t="str">
        <f t="shared" si="724"/>
        <v/>
      </c>
      <c r="X1658" s="46" t="str">
        <f t="shared" si="724"/>
        <v/>
      </c>
    </row>
    <row r="1659" spans="2:24" x14ac:dyDescent="0.25">
      <c r="B1659" s="11" t="str">
        <f t="shared" si="718"/>
        <v>FRAN-30JUL1921</v>
      </c>
      <c r="C1659" s="11" t="s">
        <v>3041</v>
      </c>
      <c r="D1659" s="11" t="s">
        <v>1699</v>
      </c>
      <c r="E1659" s="39" t="s">
        <v>1133</v>
      </c>
      <c r="F1659" s="11" t="s">
        <v>1700</v>
      </c>
      <c r="G1659" s="39" t="s">
        <v>3901</v>
      </c>
      <c r="H1659" s="7">
        <f>0+1</f>
        <v>1</v>
      </c>
      <c r="I1659" s="7">
        <v>2</v>
      </c>
      <c r="J1659" s="17">
        <f>2+1</f>
        <v>3</v>
      </c>
      <c r="K1659" s="17"/>
      <c r="L1659" s="7">
        <f t="shared" si="719"/>
        <v>6</v>
      </c>
      <c r="M1659" s="8">
        <v>1</v>
      </c>
      <c r="N1659" s="8">
        <f t="shared" si="720"/>
        <v>1</v>
      </c>
      <c r="O1659" s="11" t="s">
        <v>1702</v>
      </c>
      <c r="P1659" s="16" t="str">
        <f t="shared" si="721"/>
        <v>30-Jul-1921</v>
      </c>
      <c r="R1659" s="16" t="str">
        <f t="shared" si="708"/>
        <v>x</v>
      </c>
      <c r="S1659" s="16" t="str">
        <f t="shared" si="708"/>
        <v>x</v>
      </c>
      <c r="U1659" s="46" t="str">
        <f t="shared" ref="U1659:X1667" si="725">IF($O1659=U$5,$L1659,"")</f>
        <v/>
      </c>
      <c r="V1659" s="46">
        <f t="shared" si="725"/>
        <v>6</v>
      </c>
      <c r="W1659" s="46" t="str">
        <f t="shared" si="725"/>
        <v/>
      </c>
      <c r="X1659" s="46" t="str">
        <f t="shared" si="725"/>
        <v/>
      </c>
    </row>
    <row r="1660" spans="2:24" x14ac:dyDescent="0.25">
      <c r="B1660" s="11" t="str">
        <f t="shared" si="718"/>
        <v>FRAN-01JUL1923</v>
      </c>
      <c r="C1660" s="11" t="s">
        <v>3041</v>
      </c>
      <c r="D1660" s="11" t="s">
        <v>1699</v>
      </c>
      <c r="E1660" s="39" t="s">
        <v>4314</v>
      </c>
      <c r="F1660" s="11" t="s">
        <v>1700</v>
      </c>
      <c r="G1660" s="39" t="s">
        <v>3130</v>
      </c>
      <c r="H1660" s="7">
        <v>0</v>
      </c>
      <c r="I1660" s="7">
        <v>42</v>
      </c>
      <c r="J1660" s="17">
        <f>20+3</f>
        <v>23</v>
      </c>
      <c r="K1660" s="17"/>
      <c r="L1660" s="7">
        <f t="shared" si="719"/>
        <v>65</v>
      </c>
      <c r="M1660" s="8">
        <v>1</v>
      </c>
      <c r="N1660" s="8">
        <f t="shared" si="720"/>
        <v>1</v>
      </c>
      <c r="O1660" s="11" t="s">
        <v>1702</v>
      </c>
      <c r="P1660" s="16" t="str">
        <f t="shared" si="721"/>
        <v>01-Jul-1923</v>
      </c>
      <c r="R1660" s="16" t="str">
        <f t="shared" si="708"/>
        <v>x</v>
      </c>
      <c r="S1660" s="16" t="str">
        <f t="shared" si="708"/>
        <v>x</v>
      </c>
      <c r="U1660" s="46" t="str">
        <f t="shared" si="725"/>
        <v/>
      </c>
      <c r="V1660" s="46">
        <f t="shared" si="725"/>
        <v>65</v>
      </c>
      <c r="W1660" s="46" t="str">
        <f t="shared" si="725"/>
        <v/>
      </c>
      <c r="X1660" s="46" t="str">
        <f t="shared" si="725"/>
        <v/>
      </c>
    </row>
    <row r="1661" spans="2:24" x14ac:dyDescent="0.25">
      <c r="B1661" s="11" t="str">
        <f t="shared" si="718"/>
        <v>FRAN-21JUL1923</v>
      </c>
      <c r="C1661" s="11" t="s">
        <v>3041</v>
      </c>
      <c r="D1661" s="11" t="s">
        <v>1699</v>
      </c>
      <c r="E1661" s="39" t="s">
        <v>4318</v>
      </c>
      <c r="F1661" s="11" t="s">
        <v>1700</v>
      </c>
      <c r="G1661" s="39" t="s">
        <v>4319</v>
      </c>
      <c r="H1661" s="7">
        <v>0</v>
      </c>
      <c r="I1661" s="7">
        <v>0</v>
      </c>
      <c r="J1661" s="17">
        <f>0+1</f>
        <v>1</v>
      </c>
      <c r="K1661" s="17"/>
      <c r="L1661" s="7">
        <f t="shared" si="719"/>
        <v>1</v>
      </c>
      <c r="M1661" s="8">
        <v>1</v>
      </c>
      <c r="N1661" s="8">
        <f t="shared" si="720"/>
        <v>1</v>
      </c>
      <c r="O1661" s="11" t="s">
        <v>1702</v>
      </c>
      <c r="P1661" s="16" t="str">
        <f t="shared" si="721"/>
        <v>21-Jul-1923</v>
      </c>
      <c r="R1661" s="16" t="str">
        <f t="shared" si="708"/>
        <v>x</v>
      </c>
      <c r="S1661" s="16" t="str">
        <f t="shared" si="708"/>
        <v>x</v>
      </c>
      <c r="U1661" s="46" t="str">
        <f t="shared" si="725"/>
        <v/>
      </c>
      <c r="V1661" s="46">
        <f t="shared" si="725"/>
        <v>1</v>
      </c>
      <c r="W1661" s="46" t="str">
        <f t="shared" si="725"/>
        <v/>
      </c>
      <c r="X1661" s="46" t="str">
        <f t="shared" si="725"/>
        <v/>
      </c>
    </row>
    <row r="1662" spans="2:24" x14ac:dyDescent="0.25">
      <c r="B1662" s="11" t="str">
        <f t="shared" si="718"/>
        <v>FRAN-18MAY1924</v>
      </c>
      <c r="C1662" s="11" t="s">
        <v>3041</v>
      </c>
      <c r="D1662" s="11" t="s">
        <v>1699</v>
      </c>
      <c r="E1662" s="39" t="s">
        <v>2871</v>
      </c>
      <c r="F1662" s="11" t="s">
        <v>1700</v>
      </c>
      <c r="G1662" s="39" t="s">
        <v>4408</v>
      </c>
      <c r="H1662" s="7">
        <v>0</v>
      </c>
      <c r="I1662" s="7">
        <v>0</v>
      </c>
      <c r="J1662" s="17">
        <f>6+1</f>
        <v>7</v>
      </c>
      <c r="K1662" s="17"/>
      <c r="L1662" s="7">
        <f t="shared" si="719"/>
        <v>7</v>
      </c>
      <c r="M1662" s="8">
        <v>1</v>
      </c>
      <c r="N1662" s="8">
        <f t="shared" si="720"/>
        <v>1</v>
      </c>
      <c r="O1662" s="11" t="s">
        <v>1702</v>
      </c>
      <c r="P1662" s="16" t="str">
        <f t="shared" si="721"/>
        <v>18-May-1924</v>
      </c>
      <c r="R1662" s="16" t="str">
        <f t="shared" si="708"/>
        <v>x</v>
      </c>
      <c r="S1662" s="16" t="str">
        <f t="shared" si="708"/>
        <v>x</v>
      </c>
      <c r="U1662" s="46" t="str">
        <f t="shared" si="725"/>
        <v/>
      </c>
      <c r="V1662" s="46">
        <f t="shared" si="725"/>
        <v>7</v>
      </c>
      <c r="W1662" s="46" t="str">
        <f t="shared" si="725"/>
        <v/>
      </c>
      <c r="X1662" s="46" t="str">
        <f t="shared" si="725"/>
        <v/>
      </c>
    </row>
    <row r="1663" spans="2:24" x14ac:dyDescent="0.25">
      <c r="B1663" s="11" t="str">
        <f t="shared" si="718"/>
        <v>FRAN-24OCT1924</v>
      </c>
      <c r="C1663" s="11" t="s">
        <v>3041</v>
      </c>
      <c r="D1663" s="11" t="s">
        <v>1699</v>
      </c>
      <c r="E1663" s="39" t="s">
        <v>4473</v>
      </c>
      <c r="F1663" s="11" t="s">
        <v>1700</v>
      </c>
      <c r="G1663" s="39" t="s">
        <v>4474</v>
      </c>
      <c r="H1663" s="7">
        <v>0</v>
      </c>
      <c r="I1663" s="7">
        <f>1+1</f>
        <v>2</v>
      </c>
      <c r="J1663" s="17">
        <v>1</v>
      </c>
      <c r="K1663" s="17"/>
      <c r="L1663" s="7">
        <f t="shared" si="719"/>
        <v>3</v>
      </c>
      <c r="M1663" s="8">
        <v>1</v>
      </c>
      <c r="N1663" s="8">
        <f t="shared" si="720"/>
        <v>1</v>
      </c>
      <c r="O1663" s="11" t="s">
        <v>1702</v>
      </c>
      <c r="P1663" s="16" t="str">
        <f t="shared" si="721"/>
        <v>24-Oct-1924</v>
      </c>
      <c r="R1663" s="16" t="str">
        <f t="shared" si="708"/>
        <v>x</v>
      </c>
      <c r="S1663" s="16" t="str">
        <f t="shared" si="708"/>
        <v>x</v>
      </c>
      <c r="U1663" s="46" t="str">
        <f t="shared" si="725"/>
        <v/>
      </c>
      <c r="V1663" s="46">
        <f t="shared" si="725"/>
        <v>3</v>
      </c>
      <c r="W1663" s="46" t="str">
        <f t="shared" si="725"/>
        <v/>
      </c>
      <c r="X1663" s="46" t="str">
        <f t="shared" si="725"/>
        <v/>
      </c>
    </row>
    <row r="1664" spans="2:24" x14ac:dyDescent="0.25">
      <c r="B1664" s="11" t="str">
        <f t="shared" si="718"/>
        <v>FRAN-13DEC1924</v>
      </c>
      <c r="C1664" s="11" t="s">
        <v>3041</v>
      </c>
      <c r="D1664" s="11" t="s">
        <v>1699</v>
      </c>
      <c r="E1664" s="39" t="s">
        <v>4436</v>
      </c>
      <c r="F1664" s="11" t="s">
        <v>1700</v>
      </c>
      <c r="G1664" s="39" t="s">
        <v>4435</v>
      </c>
      <c r="H1664" s="7">
        <f>1+1</f>
        <v>2</v>
      </c>
      <c r="I1664" s="7">
        <v>0</v>
      </c>
      <c r="J1664" s="17">
        <v>0</v>
      </c>
      <c r="K1664" s="17"/>
      <c r="L1664" s="7">
        <f t="shared" si="719"/>
        <v>2</v>
      </c>
      <c r="M1664" s="8">
        <v>1</v>
      </c>
      <c r="N1664" s="8">
        <f t="shared" si="720"/>
        <v>1</v>
      </c>
      <c r="O1664" s="11" t="s">
        <v>1702</v>
      </c>
      <c r="P1664" s="16" t="str">
        <f t="shared" si="721"/>
        <v>13-Dec-1924</v>
      </c>
      <c r="R1664" s="16" t="str">
        <f t="shared" si="708"/>
        <v>x</v>
      </c>
      <c r="S1664" s="16" t="str">
        <f t="shared" si="708"/>
        <v>x</v>
      </c>
      <c r="U1664" s="46" t="str">
        <f t="shared" si="725"/>
        <v/>
      </c>
      <c r="V1664" s="46">
        <f t="shared" si="725"/>
        <v>2</v>
      </c>
      <c r="W1664" s="46" t="str">
        <f t="shared" si="725"/>
        <v/>
      </c>
      <c r="X1664" s="46" t="str">
        <f t="shared" si="725"/>
        <v/>
      </c>
    </row>
    <row r="1665" spans="2:24" x14ac:dyDescent="0.25">
      <c r="B1665" s="11" t="str">
        <f t="shared" si="718"/>
        <v>FRAN-09JUL1925</v>
      </c>
      <c r="C1665" s="11" t="s">
        <v>3041</v>
      </c>
      <c r="D1665" s="11" t="s">
        <v>1699</v>
      </c>
      <c r="E1665" s="39" t="s">
        <v>4417</v>
      </c>
      <c r="F1665" s="11" t="s">
        <v>1700</v>
      </c>
      <c r="G1665" s="39" t="s">
        <v>3726</v>
      </c>
      <c r="H1665" s="7">
        <f>0+3</f>
        <v>3</v>
      </c>
      <c r="I1665" s="7">
        <v>1</v>
      </c>
      <c r="J1665" s="17">
        <v>0</v>
      </c>
      <c r="K1665" s="17"/>
      <c r="L1665" s="7">
        <f t="shared" si="719"/>
        <v>4</v>
      </c>
      <c r="M1665" s="8">
        <v>1</v>
      </c>
      <c r="N1665" s="8">
        <f t="shared" si="720"/>
        <v>1</v>
      </c>
      <c r="O1665" s="11" t="s">
        <v>1702</v>
      </c>
      <c r="P1665" s="16" t="str">
        <f t="shared" si="721"/>
        <v>09-Jul-1925</v>
      </c>
      <c r="R1665" s="16" t="str">
        <f t="shared" si="708"/>
        <v>x</v>
      </c>
      <c r="S1665" s="16" t="str">
        <f t="shared" si="708"/>
        <v>x</v>
      </c>
      <c r="U1665" s="46" t="str">
        <f t="shared" si="725"/>
        <v/>
      </c>
      <c r="V1665" s="46">
        <f t="shared" si="725"/>
        <v>4</v>
      </c>
      <c r="W1665" s="46" t="str">
        <f t="shared" si="725"/>
        <v/>
      </c>
      <c r="X1665" s="46" t="str">
        <f t="shared" si="725"/>
        <v/>
      </c>
    </row>
    <row r="1666" spans="2:24" x14ac:dyDescent="0.25">
      <c r="B1666" s="11" t="str">
        <f>CONCATENATE("FRAN","-",LEFT(P1666,2),UPPER(MID(P1666,4,3)),RIGHT(P1666,4))</f>
        <v>FRAN-31MAR1926</v>
      </c>
      <c r="C1666" s="11" t="s">
        <v>3041</v>
      </c>
      <c r="D1666" s="11" t="s">
        <v>1699</v>
      </c>
      <c r="E1666" s="39" t="s">
        <v>4875</v>
      </c>
      <c r="F1666" s="11" t="s">
        <v>1700</v>
      </c>
      <c r="G1666" s="39" t="s">
        <v>4876</v>
      </c>
      <c r="H1666" s="7">
        <v>0</v>
      </c>
      <c r="I1666" s="7">
        <v>0</v>
      </c>
      <c r="J1666" s="17">
        <v>1</v>
      </c>
      <c r="K1666" s="17"/>
      <c r="L1666" s="7">
        <f>SUM(H1666:K1666)</f>
        <v>1</v>
      </c>
      <c r="M1666" s="8">
        <v>1</v>
      </c>
      <c r="N1666" s="8">
        <f>IF(L1666&gt;0,1,"")</f>
        <v>1</v>
      </c>
      <c r="O1666" s="11" t="s">
        <v>1702</v>
      </c>
      <c r="P1666" s="16" t="str">
        <f>IF(LEN(G1666)=10,CONCATENATE("0",G1666),G1666)</f>
        <v>31-Mar-1926</v>
      </c>
      <c r="R1666" s="16" t="str">
        <f t="shared" si="708"/>
        <v>x</v>
      </c>
      <c r="S1666" s="16" t="str">
        <f t="shared" si="708"/>
        <v>x</v>
      </c>
      <c r="U1666" s="46" t="str">
        <f t="shared" si="725"/>
        <v/>
      </c>
      <c r="V1666" s="46">
        <f t="shared" si="725"/>
        <v>1</v>
      </c>
      <c r="W1666" s="46" t="str">
        <f t="shared" si="725"/>
        <v/>
      </c>
      <c r="X1666" s="46" t="str">
        <f t="shared" si="725"/>
        <v/>
      </c>
    </row>
    <row r="1667" spans="2:24" x14ac:dyDescent="0.25">
      <c r="B1667" s="11" t="str">
        <f t="shared" si="718"/>
        <v>FRAN-27JAN1927</v>
      </c>
      <c r="C1667" s="11" t="s">
        <v>3041</v>
      </c>
      <c r="D1667" s="11" t="s">
        <v>1699</v>
      </c>
      <c r="E1667" s="39" t="s">
        <v>3964</v>
      </c>
      <c r="F1667" s="11" t="s">
        <v>1700</v>
      </c>
      <c r="G1667" s="39" t="s">
        <v>3965</v>
      </c>
      <c r="H1667" s="7">
        <v>0</v>
      </c>
      <c r="I1667" s="7">
        <f>2+1</f>
        <v>3</v>
      </c>
      <c r="J1667" s="17">
        <f>1+1</f>
        <v>2</v>
      </c>
      <c r="K1667" s="17"/>
      <c r="L1667" s="7">
        <f t="shared" si="719"/>
        <v>5</v>
      </c>
      <c r="M1667" s="8">
        <v>1</v>
      </c>
      <c r="N1667" s="8">
        <f t="shared" si="720"/>
        <v>1</v>
      </c>
      <c r="O1667" s="11" t="s">
        <v>1702</v>
      </c>
      <c r="P1667" s="16" t="str">
        <f t="shared" si="721"/>
        <v>27-Jan-1927</v>
      </c>
      <c r="R1667" s="16" t="str">
        <f t="shared" si="708"/>
        <v>x</v>
      </c>
      <c r="S1667" s="16" t="str">
        <f t="shared" si="708"/>
        <v>x</v>
      </c>
      <c r="U1667" s="46" t="str">
        <f t="shared" si="725"/>
        <v/>
      </c>
      <c r="V1667" s="46">
        <f t="shared" si="725"/>
        <v>5</v>
      </c>
      <c r="W1667" s="46" t="str">
        <f t="shared" si="725"/>
        <v/>
      </c>
      <c r="X1667" s="46" t="str">
        <f t="shared" si="725"/>
        <v/>
      </c>
    </row>
    <row r="1668" spans="2:24" x14ac:dyDescent="0.25">
      <c r="B1668" s="11" t="str">
        <f>CONCATENATE("FRAN","-",LEFT(P1668,2),UPPER(MID(P1668,4,3)),RIGHT(P1668,4))</f>
        <v>FRAN-12JUN1929</v>
      </c>
      <c r="C1668" s="11" t="s">
        <v>3041</v>
      </c>
      <c r="D1668" s="11" t="s">
        <v>1699</v>
      </c>
      <c r="E1668" s="39" t="s">
        <v>5558</v>
      </c>
      <c r="F1668" s="11" t="s">
        <v>1700</v>
      </c>
      <c r="G1668" s="39" t="s">
        <v>5559</v>
      </c>
      <c r="H1668" s="7">
        <v>0</v>
      </c>
      <c r="I1668" s="7">
        <v>2</v>
      </c>
      <c r="J1668" s="17">
        <f>0+1</f>
        <v>1</v>
      </c>
      <c r="K1668" s="17"/>
      <c r="L1668" s="7">
        <f>SUM(H1668:K1668)</f>
        <v>3</v>
      </c>
      <c r="M1668" s="8">
        <v>1</v>
      </c>
      <c r="N1668" s="8">
        <f>IF(L1668&gt;0,1,"")</f>
        <v>1</v>
      </c>
      <c r="O1668" s="11" t="s">
        <v>1702</v>
      </c>
      <c r="P1668" s="16" t="str">
        <f>IF(LEN(G1668)=10,CONCATENATE("0",G1668),G1668)</f>
        <v>12-Jun-1929</v>
      </c>
      <c r="R1668" s="16" t="str">
        <f>IF($L1668&gt;0,"x","")</f>
        <v>x</v>
      </c>
      <c r="S1668" s="16" t="str">
        <f>IF($L1668&gt;0,"x","")</f>
        <v>x</v>
      </c>
      <c r="U1668" s="46" t="str">
        <f t="shared" ref="U1668:X1669" si="726">IF($O1668=U$5,$L1668,"")</f>
        <v/>
      </c>
      <c r="V1668" s="46">
        <f t="shared" si="726"/>
        <v>3</v>
      </c>
      <c r="W1668" s="46" t="str">
        <f t="shared" si="726"/>
        <v/>
      </c>
      <c r="X1668" s="46" t="str">
        <f t="shared" si="726"/>
        <v/>
      </c>
    </row>
    <row r="1669" spans="2:24" x14ac:dyDescent="0.25">
      <c r="B1669" s="11" t="str">
        <f>CONCATENATE("FRAN","-",LEFT(P1669,2),UPPER(MID(P1669,4,3)),RIGHT(P1669,4))</f>
        <v>FRAN-08OCT1929</v>
      </c>
      <c r="C1669" s="11" t="s">
        <v>3041</v>
      </c>
      <c r="D1669" s="11" t="s">
        <v>1699</v>
      </c>
      <c r="E1669" s="39" t="s">
        <v>5007</v>
      </c>
      <c r="F1669" s="11" t="s">
        <v>1700</v>
      </c>
      <c r="G1669" s="39" t="s">
        <v>5008</v>
      </c>
      <c r="H1669" s="7">
        <v>0</v>
      </c>
      <c r="I1669" s="7">
        <f>2+1</f>
        <v>3</v>
      </c>
      <c r="J1669" s="17">
        <v>1</v>
      </c>
      <c r="K1669" s="17"/>
      <c r="L1669" s="7">
        <f>SUM(H1669:K1669)</f>
        <v>4</v>
      </c>
      <c r="M1669" s="8">
        <v>1</v>
      </c>
      <c r="N1669" s="8">
        <f>IF(L1669&gt;0,1,"")</f>
        <v>1</v>
      </c>
      <c r="O1669" s="11" t="s">
        <v>1702</v>
      </c>
      <c r="P1669" s="16" t="str">
        <f>IF(LEN(G1669)=10,CONCATENATE("0",G1669),G1669)</f>
        <v>08-Oct-1929</v>
      </c>
      <c r="R1669" s="16" t="str">
        <f>IF($L1669&gt;0,"x","")</f>
        <v>x</v>
      </c>
      <c r="S1669" s="16" t="str">
        <f>IF($L1669&gt;0,"x","")</f>
        <v>x</v>
      </c>
      <c r="U1669" s="46" t="str">
        <f t="shared" si="726"/>
        <v/>
      </c>
      <c r="V1669" s="46">
        <f t="shared" si="726"/>
        <v>4</v>
      </c>
      <c r="W1669" s="46" t="str">
        <f t="shared" si="726"/>
        <v/>
      </c>
      <c r="X1669" s="46" t="str">
        <f t="shared" si="726"/>
        <v/>
      </c>
    </row>
    <row r="1670" spans="2:24" x14ac:dyDescent="0.25">
      <c r="N1670" s="8" t="str">
        <f>IF(R1670="x",1,"")</f>
        <v/>
      </c>
      <c r="U1670" s="46" t="str">
        <f t="shared" ref="U1670:X1671" si="727">IF($O1670=U$5,$L1670,"")</f>
        <v/>
      </c>
      <c r="V1670" s="46" t="str">
        <f t="shared" si="727"/>
        <v/>
      </c>
      <c r="W1670" s="46" t="str">
        <f t="shared" si="727"/>
        <v/>
      </c>
      <c r="X1670" s="46" t="str">
        <f t="shared" si="727"/>
        <v/>
      </c>
    </row>
    <row r="1671" spans="2:24" x14ac:dyDescent="0.25">
      <c r="B1671" s="18"/>
      <c r="C1671" s="18"/>
      <c r="D1671" s="18"/>
      <c r="E1671" s="40"/>
      <c r="F1671" s="18"/>
      <c r="G1671" s="40"/>
      <c r="H1671" s="7">
        <f t="shared" ref="H1671:N1671" si="728">SUM(H1623:H1670)</f>
        <v>30</v>
      </c>
      <c r="I1671" s="7">
        <f t="shared" si="728"/>
        <v>127</v>
      </c>
      <c r="J1671" s="7">
        <f>SUM(J1623:J1670)</f>
        <v>928</v>
      </c>
      <c r="K1671" s="7">
        <f t="shared" si="728"/>
        <v>0</v>
      </c>
      <c r="L1671" s="7">
        <f t="shared" si="728"/>
        <v>1085</v>
      </c>
      <c r="M1671" s="7">
        <f t="shared" si="728"/>
        <v>47</v>
      </c>
      <c r="N1671" s="7">
        <f t="shared" si="728"/>
        <v>47</v>
      </c>
      <c r="O1671" s="18"/>
      <c r="P1671" s="13"/>
      <c r="Q1671" s="13"/>
      <c r="S1671" s="13"/>
      <c r="T1671" s="15"/>
      <c r="U1671" s="46" t="str">
        <f t="shared" si="727"/>
        <v/>
      </c>
      <c r="V1671" s="46" t="str">
        <f t="shared" si="727"/>
        <v/>
      </c>
      <c r="W1671" s="46" t="str">
        <f t="shared" si="727"/>
        <v/>
      </c>
      <c r="X1671" s="46" t="str">
        <f t="shared" si="727"/>
        <v/>
      </c>
    </row>
    <row r="1672" spans="2:24" x14ac:dyDescent="0.25">
      <c r="B1672" s="18"/>
      <c r="C1672" s="18"/>
      <c r="D1672" s="18"/>
      <c r="E1672" s="40"/>
      <c r="F1672" s="18"/>
      <c r="G1672" s="40"/>
      <c r="N1672" s="8" t="str">
        <f>IF(R1672="x",1,"")</f>
        <v/>
      </c>
      <c r="O1672" s="18"/>
      <c r="P1672" s="13"/>
      <c r="Q1672" s="13"/>
      <c r="R1672" s="13"/>
      <c r="S1672" s="13"/>
      <c r="T1672" s="15"/>
      <c r="U1672" s="46" t="str">
        <f t="shared" ref="U1672:X1677" si="729">IF($O1672=U$5,$L1672,"")</f>
        <v/>
      </c>
      <c r="V1672" s="46" t="str">
        <f t="shared" si="729"/>
        <v/>
      </c>
      <c r="W1672" s="46" t="str">
        <f t="shared" si="729"/>
        <v/>
      </c>
      <c r="X1672" s="46" t="str">
        <f t="shared" si="729"/>
        <v/>
      </c>
    </row>
    <row r="1673" spans="2:24" x14ac:dyDescent="0.25">
      <c r="B1673" s="18"/>
      <c r="C1673" s="18"/>
      <c r="D1673" s="18"/>
      <c r="E1673" s="40"/>
      <c r="F1673" s="18"/>
      <c r="G1673" s="40"/>
      <c r="N1673" s="8" t="str">
        <f>IF(R1673="x",1,"")</f>
        <v/>
      </c>
      <c r="O1673" s="18"/>
      <c r="P1673" s="13"/>
      <c r="Q1673" s="13"/>
      <c r="R1673" s="13"/>
      <c r="S1673" s="13"/>
      <c r="T1673" s="15"/>
      <c r="U1673" s="46" t="str">
        <f t="shared" si="729"/>
        <v/>
      </c>
      <c r="V1673" s="46" t="str">
        <f t="shared" si="729"/>
        <v/>
      </c>
      <c r="W1673" s="46" t="str">
        <f t="shared" si="729"/>
        <v/>
      </c>
      <c r="X1673" s="46" t="str">
        <f t="shared" si="729"/>
        <v/>
      </c>
    </row>
    <row r="1674" spans="2:24" x14ac:dyDescent="0.25">
      <c r="B1674" s="11" t="str">
        <f>CONCATENATE("FRNA","-",LEFT(P1674,2),UPPER(MID(P1674,4,3)),RIGHT(P1674,4))</f>
        <v>FRNA-28FEB1906</v>
      </c>
      <c r="C1674" s="11" t="s">
        <v>5046</v>
      </c>
      <c r="D1674" s="11" t="s">
        <v>3007</v>
      </c>
      <c r="E1674" s="39" t="s">
        <v>11357</v>
      </c>
      <c r="F1674" s="11" t="s">
        <v>1700</v>
      </c>
      <c r="G1674" s="39" t="s">
        <v>11358</v>
      </c>
      <c r="H1674" s="7">
        <v>4</v>
      </c>
      <c r="J1674" s="17">
        <v>0</v>
      </c>
      <c r="K1674" s="17"/>
      <c r="L1674" s="7">
        <f>SUM(H1674:K1674)</f>
        <v>4</v>
      </c>
      <c r="M1674" s="8">
        <v>1</v>
      </c>
      <c r="N1674" s="8">
        <f>IF(L1674&gt;0,1,"")</f>
        <v>1</v>
      </c>
      <c r="O1674" s="11" t="s">
        <v>1702</v>
      </c>
      <c r="P1674" s="16" t="str">
        <f>IF(LEN(G1674)=10,CONCATENATE("0",G1674),G1674)</f>
        <v>28-Feb-1906</v>
      </c>
      <c r="R1674" s="16" t="str">
        <f>IF($L1674&gt;0,"x","")</f>
        <v>x</v>
      </c>
      <c r="S1674" s="16" t="str">
        <f>IF($L1674&gt;0,"x","")</f>
        <v>x</v>
      </c>
      <c r="U1674" s="46" t="str">
        <f t="shared" si="729"/>
        <v/>
      </c>
      <c r="V1674" s="46">
        <f t="shared" si="729"/>
        <v>4</v>
      </c>
      <c r="W1674" s="46" t="str">
        <f t="shared" si="729"/>
        <v/>
      </c>
      <c r="X1674" s="46" t="str">
        <f t="shared" si="729"/>
        <v/>
      </c>
    </row>
    <row r="1675" spans="2:24" x14ac:dyDescent="0.25">
      <c r="B1675" s="11" t="str">
        <f>CONCATENATE("FRNA","-",LEFT(P1675,2),UPPER(MID(P1675,4,3)),RIGHT(P1675,4))</f>
        <v>FRNA-02JAN1907</v>
      </c>
      <c r="C1675" s="11" t="s">
        <v>5046</v>
      </c>
      <c r="D1675" s="11" t="s">
        <v>3832</v>
      </c>
      <c r="E1675" s="39" t="s">
        <v>5047</v>
      </c>
      <c r="F1675" s="11" t="s">
        <v>1700</v>
      </c>
      <c r="G1675" s="39" t="s">
        <v>5048</v>
      </c>
      <c r="I1675" s="7">
        <v>0</v>
      </c>
      <c r="J1675" s="17">
        <v>4</v>
      </c>
      <c r="K1675" s="17"/>
      <c r="L1675" s="7">
        <f>SUM(H1675:K1675)</f>
        <v>4</v>
      </c>
      <c r="M1675" s="8">
        <v>1</v>
      </c>
      <c r="N1675" s="8">
        <f>IF(L1675&gt;0,1,"")</f>
        <v>1</v>
      </c>
      <c r="O1675" s="11" t="s">
        <v>1702</v>
      </c>
      <c r="P1675" s="16" t="str">
        <f>IF(LEN(G1675)=10,CONCATENATE("0",G1675),G1675)</f>
        <v>02-Jan-1907</v>
      </c>
      <c r="R1675" s="16" t="str">
        <f>IF($L1675&gt;0,"x","")</f>
        <v>x</v>
      </c>
      <c r="S1675" s="16" t="str">
        <f>IF($L1675&gt;0,"x","")</f>
        <v>x</v>
      </c>
      <c r="U1675" s="46" t="str">
        <f t="shared" si="729"/>
        <v/>
      </c>
      <c r="V1675" s="46">
        <f t="shared" si="729"/>
        <v>4</v>
      </c>
      <c r="W1675" s="46" t="str">
        <f t="shared" si="729"/>
        <v/>
      </c>
      <c r="X1675" s="46" t="str">
        <f t="shared" si="729"/>
        <v/>
      </c>
    </row>
    <row r="1676" spans="2:24" x14ac:dyDescent="0.25">
      <c r="N1676" s="8" t="str">
        <f>IF(R1676="x",1,"")</f>
        <v/>
      </c>
      <c r="U1676" s="46" t="str">
        <f t="shared" si="729"/>
        <v/>
      </c>
      <c r="V1676" s="46" t="str">
        <f t="shared" si="729"/>
        <v/>
      </c>
      <c r="W1676" s="46" t="str">
        <f t="shared" si="729"/>
        <v/>
      </c>
      <c r="X1676" s="46" t="str">
        <f t="shared" si="729"/>
        <v/>
      </c>
    </row>
    <row r="1677" spans="2:24" x14ac:dyDescent="0.25">
      <c r="B1677" s="18"/>
      <c r="C1677" s="18"/>
      <c r="D1677" s="18"/>
      <c r="E1677" s="40"/>
      <c r="F1677" s="18"/>
      <c r="G1677" s="40"/>
      <c r="H1677" s="7">
        <f t="shared" ref="H1677:N1677" si="730">SUM(H1674:H1676)</f>
        <v>4</v>
      </c>
      <c r="I1677" s="7">
        <f t="shared" si="730"/>
        <v>0</v>
      </c>
      <c r="J1677" s="7">
        <f>SUM(J1674:J1676)</f>
        <v>4</v>
      </c>
      <c r="K1677" s="7">
        <f t="shared" si="730"/>
        <v>0</v>
      </c>
      <c r="L1677" s="7">
        <f t="shared" si="730"/>
        <v>8</v>
      </c>
      <c r="M1677" s="7">
        <f t="shared" si="730"/>
        <v>2</v>
      </c>
      <c r="N1677" s="7">
        <f t="shared" si="730"/>
        <v>2</v>
      </c>
      <c r="O1677" s="18"/>
      <c r="P1677" s="13"/>
      <c r="Q1677" s="13"/>
      <c r="S1677" s="13"/>
      <c r="T1677" s="15"/>
      <c r="U1677" s="46" t="str">
        <f t="shared" si="729"/>
        <v/>
      </c>
      <c r="V1677" s="46" t="str">
        <f t="shared" si="729"/>
        <v/>
      </c>
      <c r="W1677" s="46" t="str">
        <f t="shared" si="729"/>
        <v/>
      </c>
      <c r="X1677" s="46" t="str">
        <f t="shared" si="729"/>
        <v/>
      </c>
    </row>
    <row r="1678" spans="2:24" x14ac:dyDescent="0.25">
      <c r="B1678" s="18"/>
      <c r="C1678" s="18"/>
      <c r="D1678" s="18"/>
      <c r="E1678" s="40"/>
      <c r="F1678" s="18"/>
      <c r="G1678" s="40"/>
      <c r="N1678" s="8" t="str">
        <f>IF(R1678="x",1,"")</f>
        <v/>
      </c>
      <c r="O1678" s="18"/>
      <c r="P1678" s="13"/>
      <c r="Q1678" s="13"/>
      <c r="R1678" s="13"/>
      <c r="S1678" s="13"/>
      <c r="T1678" s="15"/>
      <c r="U1678" s="46" t="str">
        <f t="shared" ref="U1678:X1680" si="731">IF($O1678=U$5,$L1678,"")</f>
        <v/>
      </c>
      <c r="V1678" s="46" t="str">
        <f t="shared" si="731"/>
        <v/>
      </c>
      <c r="W1678" s="46" t="str">
        <f t="shared" si="731"/>
        <v/>
      </c>
      <c r="X1678" s="46" t="str">
        <f t="shared" si="731"/>
        <v/>
      </c>
    </row>
    <row r="1679" spans="2:24" x14ac:dyDescent="0.25">
      <c r="B1679" s="18"/>
      <c r="C1679" s="18"/>
      <c r="D1679" s="18"/>
      <c r="E1679" s="40"/>
      <c r="F1679" s="18"/>
      <c r="G1679" s="40"/>
      <c r="N1679" s="8" t="str">
        <f>IF(R1679="x",1,"")</f>
        <v/>
      </c>
      <c r="O1679" s="18"/>
      <c r="P1679" s="13"/>
      <c r="Q1679" s="13"/>
      <c r="R1679" s="13"/>
      <c r="S1679" s="13"/>
      <c r="T1679" s="15"/>
      <c r="U1679" s="46" t="str">
        <f t="shared" si="731"/>
        <v/>
      </c>
      <c r="V1679" s="46" t="str">
        <f t="shared" si="731"/>
        <v/>
      </c>
      <c r="W1679" s="46" t="str">
        <f t="shared" si="731"/>
        <v/>
      </c>
      <c r="X1679" s="46" t="str">
        <f t="shared" si="731"/>
        <v/>
      </c>
    </row>
    <row r="1680" spans="2:24" x14ac:dyDescent="0.25">
      <c r="B1680" s="11" t="str">
        <f>CONCATENATE("FRNC","-",LEFT(P1680,2),UPPER(MID(P1680,4,3)),RIGHT(P1680,4))</f>
        <v>FRNC-02MAR1913</v>
      </c>
      <c r="C1680" s="11" t="s">
        <v>3150</v>
      </c>
      <c r="D1680" s="11" t="s">
        <v>3064</v>
      </c>
      <c r="E1680" s="39" t="s">
        <v>4865</v>
      </c>
      <c r="F1680" s="11" t="s">
        <v>1700</v>
      </c>
      <c r="G1680" s="39" t="s">
        <v>6103</v>
      </c>
      <c r="H1680" s="7">
        <v>0</v>
      </c>
      <c r="I1680" s="7">
        <v>0</v>
      </c>
      <c r="J1680" s="17">
        <v>5</v>
      </c>
      <c r="K1680" s="17"/>
      <c r="L1680" s="7">
        <f>SUM(H1680:K1680)</f>
        <v>5</v>
      </c>
      <c r="M1680" s="8">
        <v>1</v>
      </c>
      <c r="N1680" s="8">
        <f>IF(L1680&gt;0,1,"")</f>
        <v>1</v>
      </c>
      <c r="O1680" s="11" t="s">
        <v>1702</v>
      </c>
      <c r="P1680" s="16" t="str">
        <f>IF(LEN(G1680)=10,CONCATENATE("0",G1680),G1680)</f>
        <v>02-Mar-1913</v>
      </c>
      <c r="R1680" s="16" t="str">
        <f t="shared" ref="R1680:S1683" si="732">IF($L1680&gt;0,"x","")</f>
        <v>x</v>
      </c>
      <c r="S1680" s="16" t="str">
        <f t="shared" si="732"/>
        <v>x</v>
      </c>
      <c r="U1680" s="46" t="str">
        <f t="shared" si="731"/>
        <v/>
      </c>
      <c r="V1680" s="46">
        <f t="shared" si="731"/>
        <v>5</v>
      </c>
      <c r="W1680" s="46" t="str">
        <f t="shared" si="731"/>
        <v/>
      </c>
      <c r="X1680" s="46" t="str">
        <f t="shared" si="731"/>
        <v/>
      </c>
    </row>
    <row r="1681" spans="2:24" x14ac:dyDescent="0.25">
      <c r="B1681" s="11" t="str">
        <f>CONCATENATE("FRNC","-",LEFT(P1681,2),UPPER(MID(P1681,4,3)),RIGHT(P1681,4))</f>
        <v>FRNC-02MAR1913</v>
      </c>
      <c r="C1681" s="11" t="s">
        <v>3150</v>
      </c>
      <c r="D1681" s="11" t="s">
        <v>3957</v>
      </c>
      <c r="E1681" s="39" t="s">
        <v>6102</v>
      </c>
      <c r="F1681" s="11" t="s">
        <v>1700</v>
      </c>
      <c r="G1681" s="39" t="s">
        <v>6103</v>
      </c>
      <c r="H1681" s="7">
        <v>0</v>
      </c>
      <c r="I1681" s="7">
        <v>0</v>
      </c>
      <c r="J1681" s="17">
        <v>15</v>
      </c>
      <c r="K1681" s="17"/>
      <c r="L1681" s="7">
        <f>SUM(H1681:K1681)</f>
        <v>15</v>
      </c>
      <c r="M1681" s="8">
        <v>1</v>
      </c>
      <c r="N1681" s="8">
        <f>IF(L1681&gt;0,1,"")</f>
        <v>1</v>
      </c>
      <c r="O1681" s="11" t="s">
        <v>1702</v>
      </c>
      <c r="P1681" s="16" t="str">
        <f>IF(LEN(G1681)=10,CONCATENATE("0",G1681),G1681)</f>
        <v>02-Mar-1913</v>
      </c>
      <c r="R1681" s="16" t="str">
        <f t="shared" si="732"/>
        <v>x</v>
      </c>
      <c r="S1681" s="16" t="str">
        <f t="shared" si="732"/>
        <v>x</v>
      </c>
      <c r="U1681" s="46" t="str">
        <f t="shared" ref="U1681:X1683" si="733">IF($O1681=U$5,$L1681,"")</f>
        <v/>
      </c>
      <c r="V1681" s="46">
        <f t="shared" si="733"/>
        <v>15</v>
      </c>
      <c r="W1681" s="46" t="str">
        <f t="shared" si="733"/>
        <v/>
      </c>
      <c r="X1681" s="46" t="str">
        <f t="shared" si="733"/>
        <v/>
      </c>
    </row>
    <row r="1682" spans="2:24" x14ac:dyDescent="0.25">
      <c r="B1682" s="11" t="str">
        <f>CONCATENATE("FRNC","-",LEFT(P1682,2),UPPER(MID(P1682,4,3)),RIGHT(P1682,4))</f>
        <v>FRNC-26DEC1913</v>
      </c>
      <c r="C1682" s="11" t="s">
        <v>3150</v>
      </c>
      <c r="D1682" s="11" t="s">
        <v>3064</v>
      </c>
      <c r="E1682" s="39" t="s">
        <v>3163</v>
      </c>
      <c r="F1682" s="11" t="s">
        <v>1700</v>
      </c>
      <c r="G1682" s="39" t="s">
        <v>3289</v>
      </c>
      <c r="H1682" s="7">
        <v>0</v>
      </c>
      <c r="I1682" s="7">
        <v>0</v>
      </c>
      <c r="J1682" s="17">
        <v>27</v>
      </c>
      <c r="K1682" s="17"/>
      <c r="L1682" s="7">
        <f>SUM(H1682:K1682)</f>
        <v>27</v>
      </c>
      <c r="M1682" s="8">
        <v>1</v>
      </c>
      <c r="N1682" s="8">
        <f>IF(L1682&gt;0,1,"")</f>
        <v>1</v>
      </c>
      <c r="O1682" s="11" t="s">
        <v>1702</v>
      </c>
      <c r="P1682" s="16" t="str">
        <f>IF(LEN(G1682)=10,CONCATENATE("0",G1682),G1682)</f>
        <v>26-Dec-1913</v>
      </c>
      <c r="R1682" s="16" t="str">
        <f t="shared" si="732"/>
        <v>x</v>
      </c>
      <c r="S1682" s="16" t="str">
        <f t="shared" si="732"/>
        <v>x</v>
      </c>
      <c r="U1682" s="46" t="str">
        <f t="shared" si="733"/>
        <v/>
      </c>
      <c r="V1682" s="46">
        <f t="shared" si="733"/>
        <v>27</v>
      </c>
      <c r="W1682" s="46" t="str">
        <f t="shared" si="733"/>
        <v/>
      </c>
      <c r="X1682" s="46" t="str">
        <f t="shared" si="733"/>
        <v/>
      </c>
    </row>
    <row r="1683" spans="2:24" x14ac:dyDescent="0.25">
      <c r="B1683" s="11" t="str">
        <f>CONCATENATE("FRNC","-",LEFT(P1683,2),UPPER(MID(P1683,4,3)),RIGHT(P1683,4))</f>
        <v>FRNC-18FEB1914</v>
      </c>
      <c r="C1683" s="11" t="s">
        <v>3150</v>
      </c>
      <c r="D1683" s="11" t="s">
        <v>3064</v>
      </c>
      <c r="E1683" s="39" t="s">
        <v>3151</v>
      </c>
      <c r="F1683" s="11" t="s">
        <v>1700</v>
      </c>
      <c r="G1683" s="39" t="s">
        <v>2559</v>
      </c>
      <c r="H1683" s="7">
        <v>0</v>
      </c>
      <c r="I1683" s="7">
        <v>0</v>
      </c>
      <c r="J1683" s="17">
        <v>6</v>
      </c>
      <c r="K1683" s="17"/>
      <c r="L1683" s="7">
        <f>SUM(H1683:K1683)</f>
        <v>6</v>
      </c>
      <c r="M1683" s="8">
        <v>1</v>
      </c>
      <c r="N1683" s="8">
        <f>IF(L1683&gt;0,1,"")</f>
        <v>1</v>
      </c>
      <c r="O1683" s="11" t="s">
        <v>1702</v>
      </c>
      <c r="P1683" s="16" t="str">
        <f>IF(LEN(G1683)=10,CONCATENATE("0",G1683),G1683)</f>
        <v>18-Feb-1914</v>
      </c>
      <c r="R1683" s="16" t="str">
        <f t="shared" si="732"/>
        <v>x</v>
      </c>
      <c r="S1683" s="16" t="str">
        <f t="shared" si="732"/>
        <v>x</v>
      </c>
      <c r="U1683" s="46" t="str">
        <f t="shared" si="733"/>
        <v/>
      </c>
      <c r="V1683" s="46">
        <f t="shared" si="733"/>
        <v>6</v>
      </c>
      <c r="W1683" s="46" t="str">
        <f t="shared" si="733"/>
        <v/>
      </c>
      <c r="X1683" s="46" t="str">
        <f t="shared" si="733"/>
        <v/>
      </c>
    </row>
    <row r="1684" spans="2:24" x14ac:dyDescent="0.25">
      <c r="N1684" s="8" t="str">
        <f>IF(R1684="x",1,"")</f>
        <v/>
      </c>
      <c r="U1684" s="46" t="str">
        <f t="shared" ref="U1684:X1685" si="734">IF($O1684=U$5,$L1684,"")</f>
        <v/>
      </c>
      <c r="V1684" s="46" t="str">
        <f t="shared" si="734"/>
        <v/>
      </c>
      <c r="W1684" s="46" t="str">
        <f t="shared" si="734"/>
        <v/>
      </c>
      <c r="X1684" s="46" t="str">
        <f t="shared" si="734"/>
        <v/>
      </c>
    </row>
    <row r="1685" spans="2:24" x14ac:dyDescent="0.25">
      <c r="B1685" s="18"/>
      <c r="C1685" s="18"/>
      <c r="D1685" s="18"/>
      <c r="E1685" s="40"/>
      <c r="F1685" s="18"/>
      <c r="G1685" s="40"/>
      <c r="H1685" s="7">
        <f t="shared" ref="H1685:N1685" si="735">SUM(H1680:H1684)</f>
        <v>0</v>
      </c>
      <c r="I1685" s="7">
        <f t="shared" si="735"/>
        <v>0</v>
      </c>
      <c r="J1685" s="7">
        <f>SUM(J1680:J1684)</f>
        <v>53</v>
      </c>
      <c r="K1685" s="7">
        <f t="shared" si="735"/>
        <v>0</v>
      </c>
      <c r="L1685" s="7">
        <f t="shared" si="735"/>
        <v>53</v>
      </c>
      <c r="M1685" s="7">
        <f t="shared" si="735"/>
        <v>4</v>
      </c>
      <c r="N1685" s="7">
        <f t="shared" si="735"/>
        <v>4</v>
      </c>
      <c r="O1685" s="18"/>
      <c r="P1685" s="13"/>
      <c r="Q1685" s="13"/>
      <c r="S1685" s="13"/>
      <c r="T1685" s="15"/>
      <c r="U1685" s="46" t="str">
        <f t="shared" si="734"/>
        <v/>
      </c>
      <c r="V1685" s="46" t="str">
        <f t="shared" si="734"/>
        <v/>
      </c>
      <c r="W1685" s="46" t="str">
        <f t="shared" si="734"/>
        <v/>
      </c>
      <c r="X1685" s="46" t="str">
        <f t="shared" si="734"/>
        <v/>
      </c>
    </row>
    <row r="1686" spans="2:24" x14ac:dyDescent="0.25">
      <c r="B1686" s="18"/>
      <c r="C1686" s="18"/>
      <c r="D1686" s="18"/>
      <c r="E1686" s="40"/>
      <c r="F1686" s="18"/>
      <c r="G1686" s="40"/>
      <c r="N1686" s="8" t="str">
        <f>IF(R1686="x",1,"")</f>
        <v/>
      </c>
      <c r="O1686" s="18"/>
      <c r="P1686" s="13"/>
      <c r="Q1686" s="13"/>
      <c r="R1686" s="13"/>
      <c r="S1686" s="13"/>
      <c r="T1686" s="15"/>
      <c r="U1686" s="46" t="str">
        <f t="shared" ref="U1686:X1690" si="736">IF($O1686=U$5,$L1686,"")</f>
        <v/>
      </c>
      <c r="V1686" s="46" t="str">
        <f t="shared" si="736"/>
        <v/>
      </c>
      <c r="W1686" s="46" t="str">
        <f t="shared" si="736"/>
        <v/>
      </c>
      <c r="X1686" s="46" t="str">
        <f t="shared" si="736"/>
        <v/>
      </c>
    </row>
    <row r="1687" spans="2:24" x14ac:dyDescent="0.25">
      <c r="B1687" s="18"/>
      <c r="C1687" s="18"/>
      <c r="D1687" s="18"/>
      <c r="E1687" s="40"/>
      <c r="F1687" s="18"/>
      <c r="G1687" s="40"/>
      <c r="N1687" s="8" t="str">
        <f>IF(R1687="x",1,"")</f>
        <v/>
      </c>
      <c r="O1687" s="18"/>
      <c r="P1687" s="13"/>
      <c r="Q1687" s="13"/>
      <c r="R1687" s="13"/>
      <c r="S1687" s="13"/>
      <c r="T1687" s="15"/>
      <c r="U1687" s="46" t="str">
        <f t="shared" si="736"/>
        <v/>
      </c>
      <c r="V1687" s="46" t="str">
        <f t="shared" si="736"/>
        <v/>
      </c>
      <c r="W1687" s="46" t="str">
        <f t="shared" si="736"/>
        <v/>
      </c>
      <c r="X1687" s="46" t="str">
        <f t="shared" si="736"/>
        <v/>
      </c>
    </row>
    <row r="1688" spans="2:24" x14ac:dyDescent="0.25">
      <c r="B1688" s="11" t="str">
        <f>CONCATENATE("FRKF","-",LEFT(P1688,2),UPPER(MID(P1688,4,3)),RIGHT(P1688,4))</f>
        <v>FRKF-11JAN1911</v>
      </c>
      <c r="C1688" s="11" t="s">
        <v>5962</v>
      </c>
      <c r="D1688" s="11" t="s">
        <v>3359</v>
      </c>
      <c r="E1688" s="39" t="s">
        <v>5963</v>
      </c>
      <c r="F1688" s="11" t="s">
        <v>4064</v>
      </c>
      <c r="G1688" s="39" t="s">
        <v>2756</v>
      </c>
      <c r="I1688" s="7">
        <v>0</v>
      </c>
      <c r="J1688" s="17">
        <v>65</v>
      </c>
      <c r="K1688" s="17"/>
      <c r="L1688" s="7">
        <f>SUM(H1688:K1688)</f>
        <v>65</v>
      </c>
      <c r="M1688" s="8">
        <v>1</v>
      </c>
      <c r="N1688" s="8">
        <f>IF(L1688&gt;0,1,"")</f>
        <v>1</v>
      </c>
      <c r="O1688" s="11" t="s">
        <v>1702</v>
      </c>
      <c r="P1688" s="16" t="str">
        <f>IF(LEN(G1688)=10,CONCATENATE("0",G1688),G1688)</f>
        <v>11-Jan-1911</v>
      </c>
      <c r="R1688" s="16" t="str">
        <f>IF($L1688&gt;0,"x","")</f>
        <v>x</v>
      </c>
      <c r="S1688" s="16" t="str">
        <f>IF($L1688&gt;0,"x","")</f>
        <v>x</v>
      </c>
      <c r="U1688" s="46" t="str">
        <f t="shared" si="736"/>
        <v/>
      </c>
      <c r="V1688" s="46">
        <f t="shared" si="736"/>
        <v>65</v>
      </c>
      <c r="W1688" s="46" t="str">
        <f t="shared" si="736"/>
        <v/>
      </c>
      <c r="X1688" s="46" t="str">
        <f t="shared" si="736"/>
        <v/>
      </c>
    </row>
    <row r="1689" spans="2:24" x14ac:dyDescent="0.25">
      <c r="N1689" s="8" t="str">
        <f>IF(R1689="x",1,"")</f>
        <v/>
      </c>
      <c r="U1689" s="46" t="str">
        <f t="shared" si="736"/>
        <v/>
      </c>
      <c r="V1689" s="46" t="str">
        <f t="shared" si="736"/>
        <v/>
      </c>
      <c r="W1689" s="46" t="str">
        <f t="shared" si="736"/>
        <v/>
      </c>
      <c r="X1689" s="46" t="str">
        <f t="shared" si="736"/>
        <v/>
      </c>
    </row>
    <row r="1690" spans="2:24" x14ac:dyDescent="0.25">
      <c r="B1690" s="18"/>
      <c r="C1690" s="18"/>
      <c r="D1690" s="18"/>
      <c r="E1690" s="40"/>
      <c r="F1690" s="18"/>
      <c r="G1690" s="40"/>
      <c r="H1690" s="7">
        <f t="shared" ref="H1690:N1690" si="737">SUM(H1688:H1689)</f>
        <v>0</v>
      </c>
      <c r="I1690" s="7">
        <f t="shared" si="737"/>
        <v>0</v>
      </c>
      <c r="J1690" s="7">
        <f>SUM(J1688:J1689)</f>
        <v>65</v>
      </c>
      <c r="K1690" s="7">
        <f t="shared" si="737"/>
        <v>0</v>
      </c>
      <c r="L1690" s="7">
        <f t="shared" si="737"/>
        <v>65</v>
      </c>
      <c r="M1690" s="7">
        <f t="shared" si="737"/>
        <v>1</v>
      </c>
      <c r="N1690" s="7">
        <f t="shared" si="737"/>
        <v>1</v>
      </c>
      <c r="O1690" s="18"/>
      <c r="P1690" s="13"/>
      <c r="Q1690" s="13"/>
      <c r="S1690" s="13"/>
      <c r="T1690" s="15"/>
      <c r="U1690" s="46" t="str">
        <f t="shared" si="736"/>
        <v/>
      </c>
      <c r="V1690" s="46" t="str">
        <f t="shared" si="736"/>
        <v/>
      </c>
      <c r="W1690" s="46" t="str">
        <f t="shared" si="736"/>
        <v/>
      </c>
      <c r="X1690" s="46" t="str">
        <f t="shared" si="736"/>
        <v/>
      </c>
    </row>
    <row r="1691" spans="2:24" x14ac:dyDescent="0.25">
      <c r="B1691" s="18"/>
      <c r="C1691" s="18"/>
      <c r="D1691" s="18"/>
      <c r="E1691" s="40"/>
      <c r="F1691" s="18"/>
      <c r="G1691" s="40"/>
      <c r="N1691" s="8" t="str">
        <f>IF(R1691="x",1,"")</f>
        <v/>
      </c>
      <c r="O1691" s="18"/>
      <c r="P1691" s="13"/>
      <c r="Q1691" s="13"/>
      <c r="R1691" s="13"/>
      <c r="S1691" s="13"/>
      <c r="T1691" s="15"/>
      <c r="U1691" s="46" t="str">
        <f t="shared" ref="U1691:X1692" si="738">IF($O1691=U$5,$L1691,"")</f>
        <v/>
      </c>
      <c r="V1691" s="46" t="str">
        <f t="shared" si="738"/>
        <v/>
      </c>
      <c r="W1691" s="46" t="str">
        <f t="shared" si="738"/>
        <v/>
      </c>
      <c r="X1691" s="46" t="str">
        <f t="shared" si="738"/>
        <v/>
      </c>
    </row>
    <row r="1692" spans="2:24" x14ac:dyDescent="0.25">
      <c r="B1692" s="18"/>
      <c r="C1692" s="18"/>
      <c r="D1692" s="18"/>
      <c r="E1692" s="40"/>
      <c r="F1692" s="18"/>
      <c r="G1692" s="40"/>
      <c r="N1692" s="8" t="str">
        <f>IF(R1692="x",1,"")</f>
        <v/>
      </c>
      <c r="O1692" s="18"/>
      <c r="P1692" s="13"/>
      <c r="Q1692" s="13"/>
      <c r="R1692" s="13"/>
      <c r="S1692" s="13"/>
      <c r="T1692" s="15"/>
      <c r="U1692" s="46" t="str">
        <f t="shared" si="738"/>
        <v/>
      </c>
      <c r="V1692" s="46" t="str">
        <f t="shared" si="738"/>
        <v/>
      </c>
      <c r="W1692" s="46" t="str">
        <f t="shared" si="738"/>
        <v/>
      </c>
      <c r="X1692" s="46" t="str">
        <f t="shared" si="738"/>
        <v/>
      </c>
    </row>
    <row r="1693" spans="2:24" x14ac:dyDescent="0.25">
      <c r="B1693" s="11" t="str">
        <f>CONCATENATE("FRD8","-",LEFT(P1693,2),UPPER(MID(P1693,4,3)),RIGHT(P1693,4))</f>
        <v>FRD8-19JUL1916</v>
      </c>
      <c r="C1693" s="11" t="s">
        <v>3045</v>
      </c>
      <c r="D1693" s="11" t="s">
        <v>117</v>
      </c>
      <c r="E1693" s="39" t="s">
        <v>4583</v>
      </c>
      <c r="F1693" s="11" t="s">
        <v>1700</v>
      </c>
      <c r="G1693" s="39" t="s">
        <v>4584</v>
      </c>
      <c r="H1693" s="7">
        <v>0</v>
      </c>
      <c r="I1693" s="7">
        <v>0</v>
      </c>
      <c r="J1693" s="17">
        <v>22</v>
      </c>
      <c r="K1693" s="17"/>
      <c r="L1693" s="7">
        <f>SUM(H1693:K1693)</f>
        <v>22</v>
      </c>
      <c r="M1693" s="8">
        <v>1</v>
      </c>
      <c r="N1693" s="8">
        <f>IF(L1693&gt;0,1,"")</f>
        <v>1</v>
      </c>
      <c r="O1693" s="11" t="s">
        <v>1702</v>
      </c>
      <c r="P1693" s="16" t="str">
        <f>IF(LEN(G1693)=10,CONCATENATE("0",G1693),G1693)</f>
        <v>19-Jul-1916</v>
      </c>
      <c r="R1693" s="16" t="str">
        <f>IF($L1693&gt;0,"x","")</f>
        <v>x</v>
      </c>
      <c r="S1693" s="16" t="str">
        <f>IF($L1693&gt;0,"x","")</f>
        <v>x</v>
      </c>
      <c r="U1693" s="46" t="str">
        <f t="shared" ref="U1693:X1696" si="739">IF($O1693=U$5,$L1693,"")</f>
        <v/>
      </c>
      <c r="V1693" s="46">
        <f t="shared" si="739"/>
        <v>22</v>
      </c>
      <c r="W1693" s="46" t="str">
        <f t="shared" si="739"/>
        <v/>
      </c>
      <c r="X1693" s="46" t="str">
        <f t="shared" si="739"/>
        <v/>
      </c>
    </row>
    <row r="1694" spans="2:24" x14ac:dyDescent="0.25">
      <c r="B1694" s="11" t="str">
        <f>CONCATENATE("FRD8","-",LEFT(P1694,2),UPPER(MID(P1694,4,3)),RIGHT(P1694,4))</f>
        <v>FRD8-29AUG1916</v>
      </c>
      <c r="C1694" s="11" t="s">
        <v>3045</v>
      </c>
      <c r="D1694" s="11" t="s">
        <v>3001</v>
      </c>
      <c r="E1694" s="39" t="s">
        <v>3046</v>
      </c>
      <c r="F1694" s="11" t="s">
        <v>1700</v>
      </c>
      <c r="G1694" s="39" t="s">
        <v>1079</v>
      </c>
      <c r="H1694" s="7">
        <v>0</v>
      </c>
      <c r="I1694" s="7">
        <v>1</v>
      </c>
      <c r="J1694" s="17">
        <v>21</v>
      </c>
      <c r="K1694" s="17"/>
      <c r="L1694" s="7">
        <f>SUM(H1694:K1694)</f>
        <v>22</v>
      </c>
      <c r="M1694" s="8">
        <v>1</v>
      </c>
      <c r="N1694" s="8">
        <f>IF(L1694&gt;0,1,"")</f>
        <v>1</v>
      </c>
      <c r="O1694" s="11" t="s">
        <v>1702</v>
      </c>
      <c r="P1694" s="16" t="str">
        <f>IF(LEN(G1694)=10,CONCATENATE("0",G1694),G1694)</f>
        <v>29-Aug-1916</v>
      </c>
      <c r="R1694" s="16" t="str">
        <f t="shared" ref="R1694:S1696" si="740">IF($L1694&gt;0,"x","")</f>
        <v>x</v>
      </c>
      <c r="S1694" s="16" t="str">
        <f t="shared" si="740"/>
        <v>x</v>
      </c>
      <c r="U1694" s="46" t="str">
        <f t="shared" si="739"/>
        <v/>
      </c>
      <c r="V1694" s="46">
        <f t="shared" si="739"/>
        <v>22</v>
      </c>
      <c r="W1694" s="46" t="str">
        <f t="shared" si="739"/>
        <v/>
      </c>
      <c r="X1694" s="46" t="str">
        <f t="shared" si="739"/>
        <v/>
      </c>
    </row>
    <row r="1695" spans="2:24" x14ac:dyDescent="0.25">
      <c r="B1695" s="11" t="str">
        <f>CONCATENATE("FRD8","-",LEFT(P1695,2),UPPER(MID(P1695,4,3)),RIGHT(P1695,4))</f>
        <v>FRD8-27NOV1916</v>
      </c>
      <c r="C1695" s="11" t="s">
        <v>3045</v>
      </c>
      <c r="D1695" s="11" t="s">
        <v>117</v>
      </c>
      <c r="E1695" s="39" t="s">
        <v>1070</v>
      </c>
      <c r="F1695" s="11" t="s">
        <v>1700</v>
      </c>
      <c r="G1695" s="39" t="s">
        <v>5876</v>
      </c>
      <c r="H1695" s="7">
        <v>0</v>
      </c>
      <c r="I1695" s="7">
        <v>2</v>
      </c>
      <c r="J1695" s="17">
        <v>22</v>
      </c>
      <c r="K1695" s="17">
        <v>1</v>
      </c>
      <c r="L1695" s="7">
        <f>SUM(H1695:K1695)</f>
        <v>25</v>
      </c>
      <c r="M1695" s="8">
        <v>1</v>
      </c>
      <c r="N1695" s="8">
        <f>IF(L1695&gt;0,1,"")</f>
        <v>1</v>
      </c>
      <c r="O1695" s="11" t="s">
        <v>1702</v>
      </c>
      <c r="P1695" s="16" t="str">
        <f>IF(LEN(G1695)=10,CONCATENATE("0",G1695),G1695)</f>
        <v>27-Nov-1916</v>
      </c>
      <c r="R1695" s="16" t="str">
        <f t="shared" si="740"/>
        <v>x</v>
      </c>
      <c r="S1695" s="16" t="str">
        <f t="shared" si="740"/>
        <v>x</v>
      </c>
      <c r="U1695" s="46" t="str">
        <f t="shared" si="739"/>
        <v/>
      </c>
      <c r="V1695" s="46">
        <f t="shared" si="739"/>
        <v>25</v>
      </c>
      <c r="W1695" s="46" t="str">
        <f t="shared" si="739"/>
        <v/>
      </c>
      <c r="X1695" s="46" t="str">
        <f t="shared" si="739"/>
        <v/>
      </c>
    </row>
    <row r="1696" spans="2:24" x14ac:dyDescent="0.25">
      <c r="B1696" s="11" t="str">
        <f>CONCATENATE("FRD8","-",LEFT(P1696,2),UPPER(MID(P1696,4,3)),RIGHT(P1696,4))</f>
        <v>FRD8-30NOV1925</v>
      </c>
      <c r="C1696" s="11" t="s">
        <v>3045</v>
      </c>
      <c r="D1696" s="11" t="s">
        <v>3001</v>
      </c>
      <c r="E1696" s="39" t="s">
        <v>6176</v>
      </c>
      <c r="F1696" s="11" t="s">
        <v>1700</v>
      </c>
      <c r="G1696" s="39" t="s">
        <v>6177</v>
      </c>
      <c r="H1696" s="7">
        <v>4</v>
      </c>
      <c r="I1696" s="7">
        <v>0</v>
      </c>
      <c r="J1696" s="17">
        <v>0</v>
      </c>
      <c r="K1696" s="17"/>
      <c r="L1696" s="7">
        <f>SUM(H1696:K1696)</f>
        <v>4</v>
      </c>
      <c r="M1696" s="8">
        <v>1</v>
      </c>
      <c r="N1696" s="8">
        <f>IF(L1696&gt;0,1,"")</f>
        <v>1</v>
      </c>
      <c r="O1696" s="11" t="s">
        <v>1702</v>
      </c>
      <c r="P1696" s="16" t="str">
        <f>IF(LEN(G1696)=10,CONCATENATE("0",G1696),G1696)</f>
        <v>30-Nov-1925</v>
      </c>
      <c r="R1696" s="16" t="str">
        <f t="shared" si="740"/>
        <v>x</v>
      </c>
      <c r="S1696" s="16" t="str">
        <f t="shared" si="740"/>
        <v>x</v>
      </c>
      <c r="U1696" s="46" t="str">
        <f t="shared" si="739"/>
        <v/>
      </c>
      <c r="V1696" s="46">
        <f t="shared" si="739"/>
        <v>4</v>
      </c>
      <c r="W1696" s="46" t="str">
        <f t="shared" si="739"/>
        <v/>
      </c>
      <c r="X1696" s="46" t="str">
        <f t="shared" si="739"/>
        <v/>
      </c>
    </row>
    <row r="1697" spans="2:24" x14ac:dyDescent="0.25">
      <c r="N1697" s="8" t="str">
        <f>IF(R1697="x",1,"")</f>
        <v/>
      </c>
      <c r="U1697" s="46" t="str">
        <f t="shared" ref="U1697:X1699" si="741">IF($O1697=U$5,$L1697,"")</f>
        <v/>
      </c>
      <c r="V1697" s="46" t="str">
        <f t="shared" si="741"/>
        <v/>
      </c>
      <c r="W1697" s="46" t="str">
        <f t="shared" si="741"/>
        <v/>
      </c>
      <c r="X1697" s="46" t="str">
        <f t="shared" si="741"/>
        <v/>
      </c>
    </row>
    <row r="1698" spans="2:24" x14ac:dyDescent="0.25">
      <c r="B1698" s="18"/>
      <c r="C1698" s="18"/>
      <c r="D1698" s="18"/>
      <c r="E1698" s="40"/>
      <c r="F1698" s="18"/>
      <c r="G1698" s="40"/>
      <c r="H1698" s="7">
        <f t="shared" ref="H1698:N1698" si="742">SUM(H1693:H1697)</f>
        <v>4</v>
      </c>
      <c r="I1698" s="7">
        <f t="shared" si="742"/>
        <v>3</v>
      </c>
      <c r="J1698" s="7">
        <f>SUM(J1693:J1697)</f>
        <v>65</v>
      </c>
      <c r="K1698" s="7">
        <f t="shared" si="742"/>
        <v>1</v>
      </c>
      <c r="L1698" s="7">
        <f t="shared" si="742"/>
        <v>73</v>
      </c>
      <c r="M1698" s="7">
        <f t="shared" si="742"/>
        <v>4</v>
      </c>
      <c r="N1698" s="7">
        <f t="shared" si="742"/>
        <v>4</v>
      </c>
      <c r="O1698" s="18"/>
      <c r="P1698" s="13"/>
      <c r="Q1698" s="13"/>
      <c r="S1698" s="13"/>
      <c r="T1698" s="15"/>
      <c r="U1698" s="46" t="str">
        <f t="shared" si="741"/>
        <v/>
      </c>
      <c r="V1698" s="46" t="str">
        <f t="shared" si="741"/>
        <v/>
      </c>
      <c r="W1698" s="46" t="str">
        <f t="shared" si="741"/>
        <v/>
      </c>
      <c r="X1698" s="46" t="str">
        <f t="shared" si="741"/>
        <v/>
      </c>
    </row>
    <row r="1699" spans="2:24" x14ac:dyDescent="0.25">
      <c r="B1699" s="18"/>
      <c r="C1699" s="18"/>
      <c r="D1699" s="18"/>
      <c r="E1699" s="40"/>
      <c r="F1699" s="18"/>
      <c r="G1699" s="40"/>
      <c r="N1699" s="8" t="str">
        <f>IF(R1699="x",1,"")</f>
        <v/>
      </c>
      <c r="O1699" s="18"/>
      <c r="P1699" s="13"/>
      <c r="Q1699" s="13"/>
      <c r="R1699" s="13"/>
      <c r="S1699" s="13"/>
      <c r="T1699" s="15"/>
      <c r="U1699" s="46" t="str">
        <f t="shared" si="741"/>
        <v/>
      </c>
      <c r="V1699" s="46" t="str">
        <f t="shared" si="741"/>
        <v/>
      </c>
      <c r="W1699" s="46" t="str">
        <f t="shared" si="741"/>
        <v/>
      </c>
      <c r="X1699" s="46" t="str">
        <f t="shared" si="741"/>
        <v/>
      </c>
    </row>
    <row r="1700" spans="2:24" x14ac:dyDescent="0.25">
      <c r="B1700" s="18"/>
      <c r="C1700" s="18"/>
      <c r="D1700" s="18"/>
      <c r="E1700" s="40"/>
      <c r="F1700" s="18"/>
      <c r="G1700" s="40"/>
      <c r="N1700" s="8" t="str">
        <f>IF(R1700="x",1,"")</f>
        <v/>
      </c>
      <c r="O1700" s="18"/>
      <c r="P1700" s="13"/>
      <c r="Q1700" s="13"/>
      <c r="R1700" s="13"/>
      <c r="S1700" s="13"/>
      <c r="T1700" s="15"/>
      <c r="U1700" s="46" t="str">
        <f t="shared" ref="U1700:X1820" si="743">IF($O1700=U$5,$L1700,"")</f>
        <v/>
      </c>
      <c r="V1700" s="46" t="str">
        <f t="shared" si="743"/>
        <v/>
      </c>
      <c r="W1700" s="46" t="str">
        <f t="shared" si="743"/>
        <v/>
      </c>
      <c r="X1700" s="46" t="str">
        <f t="shared" si="743"/>
        <v/>
      </c>
    </row>
    <row r="1701" spans="2:24" x14ac:dyDescent="0.25">
      <c r="B1701" s="11" t="str">
        <f>CONCATENATE("FRDG","-",LEFT(P1701,2),UPPER(MID(P1701,4,3)),RIGHT(P1701,4))</f>
        <v>FRDG-20NOV1902</v>
      </c>
      <c r="C1701" s="11" t="s">
        <v>3670</v>
      </c>
      <c r="D1701" s="11" t="s">
        <v>2224</v>
      </c>
      <c r="E1701" s="39" t="s">
        <v>3402</v>
      </c>
      <c r="F1701" s="11" t="s">
        <v>1700</v>
      </c>
      <c r="G1701" s="39" t="s">
        <v>4896</v>
      </c>
      <c r="J1701" s="17">
        <v>23</v>
      </c>
      <c r="K1701" s="17"/>
      <c r="L1701" s="7">
        <f>SUM(H1701:K1701)</f>
        <v>23</v>
      </c>
      <c r="M1701" s="8">
        <v>1</v>
      </c>
      <c r="N1701" s="8">
        <f>IF(L1701&gt;0,1,"")</f>
        <v>1</v>
      </c>
      <c r="O1701" s="11" t="s">
        <v>1702</v>
      </c>
      <c r="P1701" s="16" t="str">
        <f>IF(LEN(G1701)=10,CONCATENATE("0",G1701),G1701)</f>
        <v>20-Nov-1902</v>
      </c>
      <c r="R1701" s="16" t="str">
        <f>IF($L1701&gt;0,"x","")</f>
        <v>x</v>
      </c>
      <c r="S1701" s="16" t="str">
        <f>IF($L1701&gt;0,"x","")</f>
        <v>x</v>
      </c>
      <c r="U1701" s="46" t="str">
        <f t="shared" si="743"/>
        <v/>
      </c>
      <c r="V1701" s="46">
        <f t="shared" si="743"/>
        <v>23</v>
      </c>
      <c r="W1701" s="46" t="str">
        <f t="shared" si="743"/>
        <v/>
      </c>
      <c r="X1701" s="46" t="str">
        <f t="shared" si="743"/>
        <v/>
      </c>
    </row>
    <row r="1702" spans="2:24" x14ac:dyDescent="0.25">
      <c r="B1702" s="11" t="str">
        <f>CONCATENATE("FRDG","-",LEFT(P1702,2),UPPER(MID(P1702,4,3)),RIGHT(P1702,4))</f>
        <v>FRDG-16JUN1903</v>
      </c>
      <c r="C1702" s="11" t="s">
        <v>3670</v>
      </c>
      <c r="D1702" s="11" t="s">
        <v>2224</v>
      </c>
      <c r="E1702" s="39" t="s">
        <v>736</v>
      </c>
      <c r="F1702" s="11" t="s">
        <v>1700</v>
      </c>
      <c r="G1702" s="39" t="s">
        <v>3671</v>
      </c>
      <c r="H1702" s="7">
        <v>0</v>
      </c>
      <c r="J1702" s="17">
        <v>5</v>
      </c>
      <c r="K1702" s="17"/>
      <c r="L1702" s="7">
        <f>SUM(H1702:K1702)</f>
        <v>5</v>
      </c>
      <c r="M1702" s="8">
        <v>1</v>
      </c>
      <c r="N1702" s="8">
        <f>IF(L1702&gt;0,1,"")</f>
        <v>1</v>
      </c>
      <c r="O1702" s="11" t="s">
        <v>1702</v>
      </c>
      <c r="P1702" s="16" t="str">
        <f>IF(LEN(G1702)=10,CONCATENATE("0",G1702),G1702)</f>
        <v>16-Jun-1903</v>
      </c>
      <c r="R1702" s="16" t="str">
        <f t="shared" ref="R1702:S1704" si="744">IF($L1702&gt;0,"x","")</f>
        <v>x</v>
      </c>
      <c r="S1702" s="16" t="str">
        <f t="shared" si="744"/>
        <v>x</v>
      </c>
      <c r="U1702" s="46" t="str">
        <f>IF($O1702=U$5,$L1702,"")</f>
        <v/>
      </c>
      <c r="V1702" s="46">
        <f>IF($O1702=V$5,$L1702,"")</f>
        <v>5</v>
      </c>
      <c r="W1702" s="46" t="str">
        <f>IF($O1702=W$5,$L1702,"")</f>
        <v/>
      </c>
      <c r="X1702" s="46" t="str">
        <f>IF($O1702=X$5,$L1702,"")</f>
        <v/>
      </c>
    </row>
    <row r="1703" spans="2:24" x14ac:dyDescent="0.25">
      <c r="B1703" s="11" t="str">
        <f>CONCATENATE("FRDG","-",LEFT(P1703,2),UPPER(MID(P1703,4,3)),RIGHT(P1703,4))</f>
        <v>FRDG-22JUL1903</v>
      </c>
      <c r="C1703" s="11" t="s">
        <v>3670</v>
      </c>
      <c r="D1703" s="11" t="s">
        <v>2224</v>
      </c>
      <c r="E1703" s="39" t="s">
        <v>3675</v>
      </c>
      <c r="F1703" s="11" t="s">
        <v>1700</v>
      </c>
      <c r="G1703" s="39" t="s">
        <v>3674</v>
      </c>
      <c r="H1703" s="7">
        <v>0</v>
      </c>
      <c r="J1703" s="17">
        <v>24</v>
      </c>
      <c r="K1703" s="17"/>
      <c r="L1703" s="7">
        <f>SUM(H1703:K1703)</f>
        <v>24</v>
      </c>
      <c r="M1703" s="8">
        <v>1</v>
      </c>
      <c r="N1703" s="8">
        <f>IF(L1703&gt;0,1,"")</f>
        <v>1</v>
      </c>
      <c r="O1703" s="11" t="s">
        <v>1702</v>
      </c>
      <c r="P1703" s="16" t="str">
        <f>IF(LEN(G1703)=10,CONCATENATE("0",G1703),G1703)</f>
        <v>22-Jul-1903</v>
      </c>
      <c r="R1703" s="16" t="str">
        <f t="shared" si="744"/>
        <v>x</v>
      </c>
      <c r="S1703" s="16" t="str">
        <f t="shared" si="744"/>
        <v>x</v>
      </c>
      <c r="U1703" s="46" t="str">
        <f t="shared" si="743"/>
        <v/>
      </c>
      <c r="V1703" s="46">
        <f t="shared" si="743"/>
        <v>24</v>
      </c>
      <c r="W1703" s="46" t="str">
        <f t="shared" si="743"/>
        <v/>
      </c>
      <c r="X1703" s="46" t="str">
        <f t="shared" si="743"/>
        <v/>
      </c>
    </row>
    <row r="1704" spans="2:24" x14ac:dyDescent="0.25">
      <c r="B1704" s="11" t="str">
        <f>CONCATENATE("FRDG","-",LEFT(P1704,2),UPPER(MID(P1704,4,3)),RIGHT(P1704,4))</f>
        <v>FRDG-26AUG1903</v>
      </c>
      <c r="C1704" s="11" t="s">
        <v>3670</v>
      </c>
      <c r="D1704" s="11" t="s">
        <v>2224</v>
      </c>
      <c r="E1704" s="39" t="s">
        <v>3678</v>
      </c>
      <c r="F1704" s="11" t="s">
        <v>1700</v>
      </c>
      <c r="G1704" s="39" t="s">
        <v>3594</v>
      </c>
      <c r="H1704" s="7">
        <v>0</v>
      </c>
      <c r="I1704" s="7">
        <v>0</v>
      </c>
      <c r="J1704" s="17">
        <v>10</v>
      </c>
      <c r="K1704" s="17"/>
      <c r="L1704" s="7">
        <f>SUM(H1704:K1704)</f>
        <v>10</v>
      </c>
      <c r="M1704" s="8">
        <v>1</v>
      </c>
      <c r="N1704" s="8">
        <f>IF(L1704&gt;0,1,"")</f>
        <v>1</v>
      </c>
      <c r="O1704" s="11" t="s">
        <v>1702</v>
      </c>
      <c r="P1704" s="16" t="str">
        <f>IF(LEN(G1704)=10,CONCATENATE("0",G1704),G1704)</f>
        <v>26-Aug-1903</v>
      </c>
      <c r="R1704" s="16" t="str">
        <f t="shared" si="744"/>
        <v>x</v>
      </c>
      <c r="S1704" s="16" t="str">
        <f t="shared" si="744"/>
        <v>x</v>
      </c>
      <c r="U1704" s="46" t="str">
        <f t="shared" si="743"/>
        <v/>
      </c>
      <c r="V1704" s="46">
        <f t="shared" si="743"/>
        <v>10</v>
      </c>
      <c r="W1704" s="46" t="str">
        <f t="shared" si="743"/>
        <v/>
      </c>
      <c r="X1704" s="46" t="str">
        <f t="shared" si="743"/>
        <v/>
      </c>
    </row>
    <row r="1705" spans="2:24" x14ac:dyDescent="0.25">
      <c r="N1705" s="8" t="str">
        <f>IF(R1705="x",1,"")</f>
        <v/>
      </c>
      <c r="U1705" s="46" t="str">
        <f t="shared" si="743"/>
        <v/>
      </c>
      <c r="V1705" s="46" t="str">
        <f t="shared" si="743"/>
        <v/>
      </c>
      <c r="W1705" s="46" t="str">
        <f t="shared" si="743"/>
        <v/>
      </c>
      <c r="X1705" s="46" t="str">
        <f t="shared" si="743"/>
        <v/>
      </c>
    </row>
    <row r="1706" spans="2:24" x14ac:dyDescent="0.25">
      <c r="B1706" s="18"/>
      <c r="C1706" s="18"/>
      <c r="D1706" s="18"/>
      <c r="E1706" s="40"/>
      <c r="F1706" s="18"/>
      <c r="G1706" s="40"/>
      <c r="H1706" s="7">
        <f t="shared" ref="H1706:N1706" si="745">SUM(H1701:H1705)</f>
        <v>0</v>
      </c>
      <c r="I1706" s="7">
        <f t="shared" si="745"/>
        <v>0</v>
      </c>
      <c r="J1706" s="7">
        <f>SUM(J1701:J1705)</f>
        <v>62</v>
      </c>
      <c r="K1706" s="7">
        <f t="shared" si="745"/>
        <v>0</v>
      </c>
      <c r="L1706" s="7">
        <f t="shared" si="745"/>
        <v>62</v>
      </c>
      <c r="M1706" s="7">
        <f t="shared" si="745"/>
        <v>4</v>
      </c>
      <c r="N1706" s="7">
        <f t="shared" si="745"/>
        <v>4</v>
      </c>
      <c r="O1706" s="18"/>
      <c r="P1706" s="13"/>
      <c r="Q1706" s="13"/>
      <c r="S1706" s="13"/>
      <c r="T1706" s="15"/>
      <c r="U1706" s="46" t="str">
        <f t="shared" si="743"/>
        <v/>
      </c>
      <c r="V1706" s="46" t="str">
        <f t="shared" si="743"/>
        <v/>
      </c>
      <c r="W1706" s="46" t="str">
        <f t="shared" si="743"/>
        <v/>
      </c>
      <c r="X1706" s="46" t="str">
        <f t="shared" si="743"/>
        <v/>
      </c>
    </row>
    <row r="1707" spans="2:24" x14ac:dyDescent="0.25">
      <c r="B1707" s="18"/>
      <c r="C1707" s="18"/>
      <c r="D1707" s="18"/>
      <c r="E1707" s="40"/>
      <c r="F1707" s="18"/>
      <c r="G1707" s="40"/>
      <c r="N1707" s="8" t="str">
        <f>IF(R1707="x",1,"")</f>
        <v/>
      </c>
      <c r="O1707" s="18"/>
      <c r="P1707" s="13"/>
      <c r="Q1707" s="13"/>
      <c r="R1707" s="13"/>
      <c r="S1707" s="13"/>
      <c r="T1707" s="15"/>
      <c r="U1707" s="46" t="str">
        <f t="shared" ref="U1707:X1712" si="746">IF($O1707=U$5,$L1707,"")</f>
        <v/>
      </c>
      <c r="V1707" s="46" t="str">
        <f t="shared" si="746"/>
        <v/>
      </c>
      <c r="W1707" s="46" t="str">
        <f t="shared" si="746"/>
        <v/>
      </c>
      <c r="X1707" s="46" t="str">
        <f t="shared" si="746"/>
        <v/>
      </c>
    </row>
    <row r="1708" spans="2:24" x14ac:dyDescent="0.25">
      <c r="B1708" s="18"/>
      <c r="C1708" s="18"/>
      <c r="D1708" s="18"/>
      <c r="E1708" s="40"/>
      <c r="F1708" s="18"/>
      <c r="G1708" s="40"/>
      <c r="N1708" s="8" t="str">
        <f>IF(R1708="x",1,"")</f>
        <v/>
      </c>
      <c r="O1708" s="18"/>
      <c r="P1708" s="13"/>
      <c r="Q1708" s="13"/>
      <c r="R1708" s="13"/>
      <c r="S1708" s="13"/>
      <c r="T1708" s="15"/>
      <c r="U1708" s="46" t="str">
        <f t="shared" si="746"/>
        <v/>
      </c>
      <c r="V1708" s="46" t="str">
        <f t="shared" si="746"/>
        <v/>
      </c>
      <c r="W1708" s="46" t="str">
        <f t="shared" si="746"/>
        <v/>
      </c>
      <c r="X1708" s="46" t="str">
        <f t="shared" si="746"/>
        <v/>
      </c>
    </row>
    <row r="1709" spans="2:24" x14ac:dyDescent="0.25">
      <c r="B1709" s="11" t="str">
        <f>CONCATENATE("FRIE","-",LEFT(P1709,2),UPPER(MID(P1709,4,3)),RIGHT(P1709,4))</f>
        <v>FRIE-30APR1906</v>
      </c>
      <c r="C1709" s="11" t="s">
        <v>4035</v>
      </c>
      <c r="D1709" s="11" t="s">
        <v>2097</v>
      </c>
      <c r="E1709" s="39" t="s">
        <v>806</v>
      </c>
      <c r="F1709" s="11" t="s">
        <v>3039</v>
      </c>
      <c r="G1709" s="39" t="s">
        <v>4036</v>
      </c>
      <c r="I1709" s="7">
        <v>4</v>
      </c>
      <c r="J1709" s="17">
        <v>1</v>
      </c>
      <c r="K1709" s="17"/>
      <c r="L1709" s="7">
        <f>SUM(H1709:K1709)</f>
        <v>5</v>
      </c>
      <c r="M1709" s="8">
        <v>1</v>
      </c>
      <c r="N1709" s="8">
        <f>IF(L1709&gt;0,1,"")</f>
        <v>1</v>
      </c>
      <c r="O1709" s="11" t="s">
        <v>1702</v>
      </c>
      <c r="P1709" s="16" t="str">
        <f>IF(LEN(G1709)=10,CONCATENATE("0",G1709),G1709)</f>
        <v>30-Apr-1906</v>
      </c>
      <c r="R1709" s="16" t="str">
        <f>IF($L1709&gt;0,"x","")</f>
        <v>x</v>
      </c>
      <c r="S1709" s="16" t="str">
        <f>IF($L1709&gt;0,"x","")</f>
        <v>x</v>
      </c>
      <c r="U1709" s="46" t="str">
        <f t="shared" si="746"/>
        <v/>
      </c>
      <c r="V1709" s="46">
        <f t="shared" si="746"/>
        <v>5</v>
      </c>
      <c r="W1709" s="46" t="str">
        <f t="shared" si="746"/>
        <v/>
      </c>
      <c r="X1709" s="46" t="str">
        <f t="shared" si="746"/>
        <v/>
      </c>
    </row>
    <row r="1710" spans="2:24" x14ac:dyDescent="0.25">
      <c r="B1710" s="11" t="str">
        <f>CONCATENATE("FRIE","-",LEFT(P1710,2),UPPER(MID(P1710,4,3)),RIGHT(P1710,4))</f>
        <v>FRIE-16SEP1906</v>
      </c>
      <c r="C1710" s="11" t="s">
        <v>4035</v>
      </c>
      <c r="D1710" s="11" t="s">
        <v>2097</v>
      </c>
      <c r="E1710" s="39" t="s">
        <v>6054</v>
      </c>
      <c r="F1710" s="11" t="s">
        <v>3039</v>
      </c>
      <c r="G1710" s="39" t="s">
        <v>1798</v>
      </c>
      <c r="I1710" s="7">
        <v>0</v>
      </c>
      <c r="J1710" s="17">
        <v>2</v>
      </c>
      <c r="K1710" s="17"/>
      <c r="L1710" s="7">
        <f>SUM(H1710:K1710)</f>
        <v>2</v>
      </c>
      <c r="M1710" s="8">
        <v>1</v>
      </c>
      <c r="N1710" s="8">
        <f>IF(L1710&gt;0,1,"")</f>
        <v>1</v>
      </c>
      <c r="O1710" s="11" t="s">
        <v>1702</v>
      </c>
      <c r="P1710" s="16" t="str">
        <f>IF(LEN(G1710)=10,CONCATENATE("0",G1710),G1710)</f>
        <v>16-Sep-1906</v>
      </c>
      <c r="R1710" s="16" t="str">
        <f>IF($L1710&gt;0,"x","")</f>
        <v>x</v>
      </c>
      <c r="S1710" s="16" t="str">
        <f>IF($L1710&gt;0,"x","")</f>
        <v>x</v>
      </c>
      <c r="U1710" s="46" t="str">
        <f t="shared" si="746"/>
        <v/>
      </c>
      <c r="V1710" s="46">
        <f t="shared" si="746"/>
        <v>2</v>
      </c>
      <c r="W1710" s="46" t="str">
        <f t="shared" si="746"/>
        <v/>
      </c>
      <c r="X1710" s="46" t="str">
        <f t="shared" si="746"/>
        <v/>
      </c>
    </row>
    <row r="1711" spans="2:24" x14ac:dyDescent="0.25">
      <c r="N1711" s="8" t="str">
        <f>IF(R1711="x",1,"")</f>
        <v/>
      </c>
      <c r="U1711" s="46" t="str">
        <f t="shared" si="746"/>
        <v/>
      </c>
      <c r="V1711" s="46" t="str">
        <f t="shared" si="746"/>
        <v/>
      </c>
      <c r="W1711" s="46" t="str">
        <f t="shared" si="746"/>
        <v/>
      </c>
      <c r="X1711" s="46" t="str">
        <f t="shared" si="746"/>
        <v/>
      </c>
    </row>
    <row r="1712" spans="2:24" x14ac:dyDescent="0.25">
      <c r="B1712" s="18"/>
      <c r="C1712" s="18"/>
      <c r="D1712" s="18"/>
      <c r="E1712" s="40"/>
      <c r="F1712" s="18"/>
      <c r="G1712" s="40"/>
      <c r="H1712" s="7">
        <f t="shared" ref="H1712:N1712" si="747">SUM(H1709:H1711)</f>
        <v>0</v>
      </c>
      <c r="I1712" s="7">
        <f t="shared" si="747"/>
        <v>4</v>
      </c>
      <c r="J1712" s="7">
        <f>SUM(J1709:J1711)</f>
        <v>3</v>
      </c>
      <c r="K1712" s="7">
        <f t="shared" si="747"/>
        <v>0</v>
      </c>
      <c r="L1712" s="7">
        <f t="shared" si="747"/>
        <v>7</v>
      </c>
      <c r="M1712" s="7">
        <f t="shared" si="747"/>
        <v>2</v>
      </c>
      <c r="N1712" s="7">
        <f t="shared" si="747"/>
        <v>2</v>
      </c>
      <c r="O1712" s="18"/>
      <c r="P1712" s="13"/>
      <c r="Q1712" s="13"/>
      <c r="S1712" s="13"/>
      <c r="T1712" s="15"/>
      <c r="U1712" s="46" t="str">
        <f t="shared" si="746"/>
        <v/>
      </c>
      <c r="V1712" s="46" t="str">
        <f t="shared" si="746"/>
        <v/>
      </c>
      <c r="W1712" s="46" t="str">
        <f t="shared" si="746"/>
        <v/>
      </c>
      <c r="X1712" s="46" t="str">
        <f t="shared" si="746"/>
        <v/>
      </c>
    </row>
    <row r="1713" spans="2:24" x14ac:dyDescent="0.25">
      <c r="B1713" s="18"/>
      <c r="C1713" s="18"/>
      <c r="D1713" s="18"/>
      <c r="E1713" s="40"/>
      <c r="F1713" s="18"/>
      <c r="G1713" s="40"/>
      <c r="N1713" s="8" t="str">
        <f>IF(R1713="x",1,"")</f>
        <v/>
      </c>
      <c r="O1713" s="18"/>
      <c r="P1713" s="13"/>
      <c r="Q1713" s="13"/>
      <c r="R1713" s="13"/>
      <c r="S1713" s="13"/>
      <c r="T1713" s="15"/>
      <c r="U1713" s="46" t="str">
        <f t="shared" si="743"/>
        <v/>
      </c>
      <c r="V1713" s="46" t="str">
        <f t="shared" si="743"/>
        <v/>
      </c>
      <c r="W1713" s="46" t="str">
        <f t="shared" si="743"/>
        <v/>
      </c>
      <c r="X1713" s="46" t="str">
        <f t="shared" si="743"/>
        <v/>
      </c>
    </row>
    <row r="1714" spans="2:24" x14ac:dyDescent="0.25">
      <c r="B1714" s="18"/>
      <c r="C1714" s="18"/>
      <c r="D1714" s="18"/>
      <c r="E1714" s="40"/>
      <c r="F1714" s="18"/>
      <c r="G1714" s="40"/>
      <c r="N1714" s="8" t="str">
        <f>IF(R1714="x",1,"")</f>
        <v/>
      </c>
      <c r="O1714" s="18"/>
      <c r="P1714" s="13"/>
      <c r="Q1714" s="13"/>
      <c r="R1714" s="13"/>
      <c r="S1714" s="13"/>
      <c r="T1714" s="15"/>
      <c r="U1714" s="46" t="str">
        <f t="shared" si="743"/>
        <v/>
      </c>
      <c r="V1714" s="46" t="str">
        <f t="shared" si="743"/>
        <v/>
      </c>
      <c r="W1714" s="46" t="str">
        <f t="shared" si="743"/>
        <v/>
      </c>
      <c r="X1714" s="46" t="str">
        <f t="shared" si="743"/>
        <v/>
      </c>
    </row>
    <row r="1715" spans="2:24" x14ac:dyDescent="0.25">
      <c r="B1715" s="11" t="str">
        <f>CONCATENATE("FRIS","-",LEFT(P1715,2),UPPER(MID(P1715,4,3)),RIGHT(P1715,4))</f>
        <v>FRIS-27AUG1885</v>
      </c>
      <c r="C1715" s="11" t="s">
        <v>5018</v>
      </c>
      <c r="D1715" s="11" t="s">
        <v>3134</v>
      </c>
      <c r="F1715" s="11" t="s">
        <v>1700</v>
      </c>
      <c r="G1715" s="39" t="s">
        <v>5019</v>
      </c>
      <c r="I1715" s="7">
        <v>0</v>
      </c>
      <c r="J1715" s="17">
        <v>3</v>
      </c>
      <c r="K1715" s="17"/>
      <c r="L1715" s="7">
        <f>SUM(H1715:K1715)</f>
        <v>3</v>
      </c>
      <c r="M1715" s="8">
        <v>1</v>
      </c>
      <c r="N1715" s="8">
        <f>IF(L1715&gt;0,1,"")</f>
        <v>1</v>
      </c>
      <c r="O1715" s="11" t="s">
        <v>1702</v>
      </c>
      <c r="P1715" s="16" t="str">
        <f>IF(LEN(G1715)=10,CONCATENATE("0",G1715),G1715)</f>
        <v>27-Aug-1885</v>
      </c>
      <c r="R1715" s="16" t="str">
        <f>IF($L1715&gt;0,"x","")</f>
        <v>x</v>
      </c>
      <c r="S1715" s="16" t="str">
        <f>IF($L1715&gt;0,"x","")</f>
        <v>x</v>
      </c>
      <c r="U1715" s="46" t="str">
        <f t="shared" si="743"/>
        <v/>
      </c>
      <c r="V1715" s="46">
        <f t="shared" si="743"/>
        <v>3</v>
      </c>
      <c r="W1715" s="46" t="str">
        <f t="shared" si="743"/>
        <v/>
      </c>
      <c r="X1715" s="46" t="str">
        <f t="shared" si="743"/>
        <v/>
      </c>
    </row>
    <row r="1716" spans="2:24" x14ac:dyDescent="0.25">
      <c r="N1716" s="8" t="str">
        <f>IF(R1716="x",1,"")</f>
        <v/>
      </c>
      <c r="U1716" s="46" t="str">
        <f t="shared" si="743"/>
        <v/>
      </c>
      <c r="V1716" s="46" t="str">
        <f t="shared" si="743"/>
        <v/>
      </c>
      <c r="W1716" s="46" t="str">
        <f t="shared" si="743"/>
        <v/>
      </c>
      <c r="X1716" s="46" t="str">
        <f t="shared" si="743"/>
        <v/>
      </c>
    </row>
    <row r="1717" spans="2:24" x14ac:dyDescent="0.25">
      <c r="B1717" s="18"/>
      <c r="C1717" s="18"/>
      <c r="D1717" s="18"/>
      <c r="E1717" s="40"/>
      <c r="F1717" s="18"/>
      <c r="G1717" s="40"/>
      <c r="H1717" s="7">
        <f t="shared" ref="H1717:N1717" si="748">SUM(H1715:H1716)</f>
        <v>0</v>
      </c>
      <c r="I1717" s="7">
        <f t="shared" si="748"/>
        <v>0</v>
      </c>
      <c r="J1717" s="7">
        <f>SUM(J1715:J1716)</f>
        <v>3</v>
      </c>
      <c r="K1717" s="7">
        <f t="shared" si="748"/>
        <v>0</v>
      </c>
      <c r="L1717" s="7">
        <f t="shared" si="748"/>
        <v>3</v>
      </c>
      <c r="M1717" s="7">
        <f t="shared" si="748"/>
        <v>1</v>
      </c>
      <c r="N1717" s="7">
        <f t="shared" si="748"/>
        <v>1</v>
      </c>
      <c r="O1717" s="18"/>
      <c r="P1717" s="13"/>
      <c r="Q1717" s="13"/>
      <c r="S1717" s="13"/>
      <c r="T1717" s="15"/>
      <c r="U1717" s="46" t="str">
        <f t="shared" si="743"/>
        <v/>
      </c>
      <c r="V1717" s="46" t="str">
        <f t="shared" si="743"/>
        <v/>
      </c>
      <c r="W1717" s="46" t="str">
        <f t="shared" si="743"/>
        <v/>
      </c>
      <c r="X1717" s="46" t="str">
        <f t="shared" si="743"/>
        <v/>
      </c>
    </row>
    <row r="1718" spans="2:24" x14ac:dyDescent="0.25">
      <c r="B1718" s="18"/>
      <c r="C1718" s="18"/>
      <c r="D1718" s="18"/>
      <c r="E1718" s="40"/>
      <c r="F1718" s="18"/>
      <c r="G1718" s="40"/>
      <c r="N1718" s="8" t="str">
        <f>IF(R1718="x",1,"")</f>
        <v/>
      </c>
      <c r="O1718" s="18"/>
      <c r="P1718" s="13"/>
      <c r="Q1718" s="13"/>
      <c r="R1718" s="13"/>
      <c r="S1718" s="13"/>
      <c r="T1718" s="15"/>
      <c r="U1718" s="46" t="str">
        <f t="shared" si="743"/>
        <v/>
      </c>
      <c r="V1718" s="46" t="str">
        <f t="shared" si="743"/>
        <v/>
      </c>
      <c r="W1718" s="46" t="str">
        <f t="shared" si="743"/>
        <v/>
      </c>
      <c r="X1718" s="46" t="str">
        <f t="shared" si="743"/>
        <v/>
      </c>
    </row>
    <row r="1719" spans="2:24" x14ac:dyDescent="0.25">
      <c r="B1719" s="18"/>
      <c r="C1719" s="18"/>
      <c r="D1719" s="18"/>
      <c r="E1719" s="40"/>
      <c r="F1719" s="18"/>
      <c r="G1719" s="40"/>
      <c r="N1719" s="8" t="str">
        <f>IF(R1719="x",1,"")</f>
        <v/>
      </c>
      <c r="O1719" s="18"/>
      <c r="P1719" s="13"/>
      <c r="Q1719" s="13"/>
      <c r="R1719" s="13"/>
      <c r="S1719" s="13"/>
      <c r="T1719" s="15"/>
      <c r="U1719" s="46" t="str">
        <f t="shared" si="743"/>
        <v/>
      </c>
      <c r="V1719" s="46" t="str">
        <f t="shared" si="743"/>
        <v/>
      </c>
      <c r="W1719" s="46" t="str">
        <f t="shared" si="743"/>
        <v/>
      </c>
      <c r="X1719" s="46" t="str">
        <f t="shared" si="743"/>
        <v/>
      </c>
    </row>
    <row r="1720" spans="2:24" x14ac:dyDescent="0.25">
      <c r="B1720" s="11" t="str">
        <f>CONCATENATE("FBIS","-",LEFT(P1720,2),UPPER(MID(P1720,4,3)),RIGHT(P1720,4))</f>
        <v>FBIS-18JUN1897</v>
      </c>
      <c r="C1720" s="11" t="s">
        <v>3819</v>
      </c>
      <c r="D1720" s="11" t="s">
        <v>2224</v>
      </c>
      <c r="E1720" s="39" t="s">
        <v>5301</v>
      </c>
      <c r="F1720" s="11" t="s">
        <v>1700</v>
      </c>
      <c r="G1720" s="39" t="s">
        <v>692</v>
      </c>
      <c r="J1720" s="17">
        <v>11</v>
      </c>
      <c r="K1720" s="17"/>
      <c r="L1720" s="7">
        <f>SUM(H1720:K1720)</f>
        <v>11</v>
      </c>
      <c r="M1720" s="8">
        <v>1</v>
      </c>
      <c r="N1720" s="8">
        <f>IF(L1720&gt;0,1,"")</f>
        <v>1</v>
      </c>
      <c r="O1720" s="11" t="s">
        <v>1702</v>
      </c>
      <c r="P1720" s="16" t="str">
        <f>IF(LEN(G1720)=10,CONCATENATE("0",G1720),G1720)</f>
        <v>18-Jun-1897</v>
      </c>
      <c r="R1720" s="16" t="str">
        <f>IF($L1720&gt;0,"x","")</f>
        <v>x</v>
      </c>
      <c r="S1720" s="16" t="str">
        <f>IF($L1720&gt;0,"x","")</f>
        <v>x</v>
      </c>
      <c r="U1720" s="46" t="str">
        <f t="shared" si="743"/>
        <v/>
      </c>
      <c r="V1720" s="46">
        <f t="shared" si="743"/>
        <v>11</v>
      </c>
      <c r="W1720" s="46" t="str">
        <f t="shared" si="743"/>
        <v/>
      </c>
      <c r="X1720" s="46" t="str">
        <f t="shared" si="743"/>
        <v/>
      </c>
    </row>
    <row r="1721" spans="2:24" x14ac:dyDescent="0.25">
      <c r="B1721" s="11" t="str">
        <f>CONCATENATE("FBIS","-",LEFT(P1721,2),UPPER(MID(P1721,4,3)),RIGHT(P1721,4))</f>
        <v>FBIS-13AUG1897</v>
      </c>
      <c r="C1721" s="11" t="s">
        <v>3819</v>
      </c>
      <c r="D1721" s="11" t="s">
        <v>2224</v>
      </c>
      <c r="E1721" s="39" t="s">
        <v>3820</v>
      </c>
      <c r="F1721" s="11" t="s">
        <v>1700</v>
      </c>
      <c r="G1721" s="39" t="s">
        <v>3821</v>
      </c>
      <c r="J1721" s="17">
        <v>14</v>
      </c>
      <c r="K1721" s="17"/>
      <c r="L1721" s="7">
        <f>SUM(H1721:K1721)</f>
        <v>14</v>
      </c>
      <c r="M1721" s="8">
        <v>1</v>
      </c>
      <c r="N1721" s="8">
        <f>IF(L1721&gt;0,1,"")</f>
        <v>1</v>
      </c>
      <c r="O1721" s="11" t="s">
        <v>1702</v>
      </c>
      <c r="P1721" s="16" t="str">
        <f>IF(LEN(G1721)=10,CONCATENATE("0",G1721),G1721)</f>
        <v>13-Aug-1897</v>
      </c>
      <c r="R1721" s="16" t="str">
        <f t="shared" ref="R1721:S1724" si="749">IF($L1721&gt;0,"x","")</f>
        <v>x</v>
      </c>
      <c r="S1721" s="16" t="str">
        <f t="shared" si="749"/>
        <v>x</v>
      </c>
      <c r="U1721" s="46" t="str">
        <f>IF($O1721=U$5,$L1721,"")</f>
        <v/>
      </c>
      <c r="V1721" s="46">
        <f>IF($O1721=V$5,$L1721,"")</f>
        <v>14</v>
      </c>
      <c r="W1721" s="46" t="str">
        <f>IF($O1721=W$5,$L1721,"")</f>
        <v/>
      </c>
      <c r="X1721" s="46" t="str">
        <f>IF($O1721=X$5,$L1721,"")</f>
        <v/>
      </c>
    </row>
    <row r="1722" spans="2:24" x14ac:dyDescent="0.25">
      <c r="B1722" s="11" t="str">
        <f>CONCATENATE("FBIS","-",LEFT(P1722,2),UPPER(MID(P1722,4,3)),RIGHT(P1722,4))</f>
        <v>FBIS-05NOV1897</v>
      </c>
      <c r="C1722" s="11" t="s">
        <v>3819</v>
      </c>
      <c r="D1722" s="11" t="s">
        <v>2224</v>
      </c>
      <c r="E1722" s="39" t="s">
        <v>4093</v>
      </c>
      <c r="F1722" s="11" t="s">
        <v>1700</v>
      </c>
      <c r="G1722" s="39" t="s">
        <v>4094</v>
      </c>
      <c r="J1722" s="17">
        <v>5</v>
      </c>
      <c r="K1722" s="17"/>
      <c r="L1722" s="7">
        <f>SUM(H1722:K1722)</f>
        <v>5</v>
      </c>
      <c r="M1722" s="8">
        <v>1</v>
      </c>
      <c r="N1722" s="8">
        <f>IF(L1722&gt;0,1,"")</f>
        <v>1</v>
      </c>
      <c r="O1722" s="11" t="s">
        <v>1702</v>
      </c>
      <c r="P1722" s="16" t="str">
        <f>IF(LEN(G1722)=10,CONCATENATE("0",G1722),G1722)</f>
        <v>05-Nov-1897</v>
      </c>
      <c r="R1722" s="16" t="str">
        <f t="shared" si="749"/>
        <v>x</v>
      </c>
      <c r="S1722" s="16" t="str">
        <f t="shared" si="749"/>
        <v>x</v>
      </c>
      <c r="U1722" s="46" t="str">
        <f t="shared" si="743"/>
        <v/>
      </c>
      <c r="V1722" s="46">
        <f t="shared" si="743"/>
        <v>5</v>
      </c>
      <c r="W1722" s="46" t="str">
        <f t="shared" si="743"/>
        <v/>
      </c>
      <c r="X1722" s="46" t="str">
        <f t="shared" si="743"/>
        <v/>
      </c>
    </row>
    <row r="1723" spans="2:24" x14ac:dyDescent="0.25">
      <c r="B1723" s="11" t="str">
        <f>CONCATENATE("FBIS","-",LEFT(P1723,2),UPPER(MID(P1723,4,3)),RIGHT(P1723,4))</f>
        <v>FBIS-30AUG1905</v>
      </c>
      <c r="C1723" s="11" t="s">
        <v>3819</v>
      </c>
      <c r="D1723" s="11" t="s">
        <v>2103</v>
      </c>
      <c r="E1723" s="39" t="s">
        <v>5618</v>
      </c>
      <c r="F1723" s="11" t="s">
        <v>1700</v>
      </c>
      <c r="G1723" s="39" t="s">
        <v>4857</v>
      </c>
      <c r="H1723" s="7">
        <v>0</v>
      </c>
      <c r="J1723" s="17">
        <v>4</v>
      </c>
      <c r="K1723" s="17"/>
      <c r="L1723" s="7">
        <f>SUM(H1723:K1723)</f>
        <v>4</v>
      </c>
      <c r="M1723" s="8">
        <v>1</v>
      </c>
      <c r="N1723" s="8">
        <f>IF(L1723&gt;0,1,"")</f>
        <v>1</v>
      </c>
      <c r="O1723" s="11" t="s">
        <v>1702</v>
      </c>
      <c r="P1723" s="16" t="str">
        <f>IF(LEN(G1723)=10,CONCATENATE("0",G1723),G1723)</f>
        <v>30-Aug-1905</v>
      </c>
      <c r="R1723" s="16" t="str">
        <f t="shared" si="749"/>
        <v>x</v>
      </c>
      <c r="S1723" s="16" t="str">
        <f t="shared" si="749"/>
        <v>x</v>
      </c>
      <c r="U1723" s="46" t="str">
        <f>IF($O1723=U$5,$L1723,"")</f>
        <v/>
      </c>
      <c r="V1723" s="46">
        <f>IF($O1723=V$5,$L1723,"")</f>
        <v>4</v>
      </c>
      <c r="W1723" s="46" t="str">
        <f>IF($O1723=W$5,$L1723,"")</f>
        <v/>
      </c>
      <c r="X1723" s="46" t="str">
        <f>IF($O1723=X$5,$L1723,"")</f>
        <v/>
      </c>
    </row>
    <row r="1724" spans="2:24" x14ac:dyDescent="0.25">
      <c r="B1724" s="11" t="str">
        <f>CONCATENATE("FBIS","-",LEFT(P1724,2),UPPER(MID(P1724,4,3)),RIGHT(P1724,4))</f>
        <v>FBIS-10OCT1905</v>
      </c>
      <c r="C1724" s="11" t="s">
        <v>3819</v>
      </c>
      <c r="D1724" s="11" t="s">
        <v>2103</v>
      </c>
      <c r="E1724" s="39" t="s">
        <v>4027</v>
      </c>
      <c r="F1724" s="11" t="s">
        <v>1700</v>
      </c>
      <c r="G1724" s="39" t="s">
        <v>4028</v>
      </c>
      <c r="H1724" s="7">
        <v>0</v>
      </c>
      <c r="I1724" s="7">
        <v>0</v>
      </c>
      <c r="J1724" s="17">
        <v>11</v>
      </c>
      <c r="K1724" s="17"/>
      <c r="L1724" s="7">
        <f>SUM(H1724:K1724)</f>
        <v>11</v>
      </c>
      <c r="M1724" s="8">
        <v>1</v>
      </c>
      <c r="N1724" s="8">
        <f>IF(L1724&gt;0,1,"")</f>
        <v>1</v>
      </c>
      <c r="O1724" s="11" t="s">
        <v>1702</v>
      </c>
      <c r="P1724" s="16" t="str">
        <f>IF(LEN(G1724)=10,CONCATENATE("0",G1724),G1724)</f>
        <v>10-Oct-1905</v>
      </c>
      <c r="R1724" s="16" t="str">
        <f t="shared" si="749"/>
        <v>x</v>
      </c>
      <c r="S1724" s="16" t="str">
        <f t="shared" si="749"/>
        <v>x</v>
      </c>
      <c r="U1724" s="46" t="str">
        <f t="shared" si="743"/>
        <v/>
      </c>
      <c r="V1724" s="46">
        <f t="shared" si="743"/>
        <v>11</v>
      </c>
      <c r="W1724" s="46" t="str">
        <f t="shared" si="743"/>
        <v/>
      </c>
      <c r="X1724" s="46" t="str">
        <f t="shared" si="743"/>
        <v/>
      </c>
    </row>
    <row r="1725" spans="2:24" x14ac:dyDescent="0.25">
      <c r="N1725" s="8" t="str">
        <f>IF(R1725="x",1,"")</f>
        <v/>
      </c>
      <c r="U1725" s="46" t="str">
        <f t="shared" si="743"/>
        <v/>
      </c>
      <c r="V1725" s="46" t="str">
        <f t="shared" si="743"/>
        <v/>
      </c>
      <c r="W1725" s="46" t="str">
        <f t="shared" si="743"/>
        <v/>
      </c>
      <c r="X1725" s="46" t="str">
        <f t="shared" si="743"/>
        <v/>
      </c>
    </row>
    <row r="1726" spans="2:24" x14ac:dyDescent="0.25">
      <c r="B1726" s="18"/>
      <c r="C1726" s="18"/>
      <c r="D1726" s="18"/>
      <c r="E1726" s="40"/>
      <c r="F1726" s="18"/>
      <c r="G1726" s="40"/>
      <c r="H1726" s="7">
        <f t="shared" ref="H1726:N1726" si="750">SUM(H1720:H1725)</f>
        <v>0</v>
      </c>
      <c r="I1726" s="7">
        <f t="shared" si="750"/>
        <v>0</v>
      </c>
      <c r="J1726" s="7">
        <f>SUM(J1720:J1725)</f>
        <v>45</v>
      </c>
      <c r="K1726" s="7">
        <f t="shared" si="750"/>
        <v>0</v>
      </c>
      <c r="L1726" s="7">
        <f t="shared" si="750"/>
        <v>45</v>
      </c>
      <c r="M1726" s="7">
        <f t="shared" si="750"/>
        <v>5</v>
      </c>
      <c r="N1726" s="7">
        <f t="shared" si="750"/>
        <v>5</v>
      </c>
      <c r="O1726" s="18"/>
      <c r="P1726" s="13"/>
      <c r="Q1726" s="13"/>
      <c r="S1726" s="13"/>
      <c r="T1726" s="15"/>
      <c r="U1726" s="46" t="str">
        <f t="shared" si="743"/>
        <v/>
      </c>
      <c r="V1726" s="46" t="str">
        <f t="shared" si="743"/>
        <v/>
      </c>
      <c r="W1726" s="46" t="str">
        <f t="shared" si="743"/>
        <v/>
      </c>
      <c r="X1726" s="46" t="str">
        <f t="shared" si="743"/>
        <v/>
      </c>
    </row>
    <row r="1727" spans="2:24" x14ac:dyDescent="0.25">
      <c r="B1727" s="18"/>
      <c r="C1727" s="18"/>
      <c r="D1727" s="18"/>
      <c r="E1727" s="40"/>
      <c r="F1727" s="18"/>
      <c r="G1727" s="40"/>
      <c r="N1727" s="8" t="str">
        <f>IF(R1727="x",1,"")</f>
        <v/>
      </c>
      <c r="O1727" s="18"/>
      <c r="P1727" s="13"/>
      <c r="Q1727" s="13"/>
      <c r="R1727" s="13"/>
      <c r="S1727" s="13"/>
      <c r="T1727" s="15"/>
      <c r="U1727" s="46" t="str">
        <f t="shared" ref="U1727:X1732" si="751">IF($O1727=U$5,$L1727,"")</f>
        <v/>
      </c>
      <c r="V1727" s="46" t="str">
        <f t="shared" si="751"/>
        <v/>
      </c>
      <c r="W1727" s="46" t="str">
        <f t="shared" si="751"/>
        <v/>
      </c>
      <c r="X1727" s="46" t="str">
        <f t="shared" si="751"/>
        <v/>
      </c>
    </row>
    <row r="1728" spans="2:24" x14ac:dyDescent="0.25">
      <c r="B1728" s="18"/>
      <c r="C1728" s="18"/>
      <c r="D1728" s="18"/>
      <c r="E1728" s="40"/>
      <c r="F1728" s="18"/>
      <c r="G1728" s="40"/>
      <c r="N1728" s="8" t="str">
        <f>IF(R1728="x",1,"")</f>
        <v/>
      </c>
      <c r="O1728" s="18"/>
      <c r="P1728" s="13"/>
      <c r="Q1728" s="13"/>
      <c r="R1728" s="13"/>
      <c r="S1728" s="13"/>
      <c r="T1728" s="15"/>
      <c r="U1728" s="46" t="str">
        <f t="shared" si="751"/>
        <v/>
      </c>
      <c r="V1728" s="46" t="str">
        <f t="shared" si="751"/>
        <v/>
      </c>
      <c r="W1728" s="46" t="str">
        <f t="shared" si="751"/>
        <v/>
      </c>
      <c r="X1728" s="46" t="str">
        <f t="shared" si="751"/>
        <v/>
      </c>
    </row>
    <row r="1729" spans="2:24" x14ac:dyDescent="0.25">
      <c r="B1729" s="11" t="str">
        <f>CONCATENATE("FUMR","-",LEFT(P1729,2),UPPER(MID(P1729,4,3)),RIGHT(P1729,4))</f>
        <v>FUMR-05JAN1918</v>
      </c>
      <c r="C1729" s="11" t="s">
        <v>5244</v>
      </c>
      <c r="D1729" s="11" t="s">
        <v>2440</v>
      </c>
      <c r="E1729" s="39" t="s">
        <v>5245</v>
      </c>
      <c r="F1729" s="11" t="s">
        <v>3366</v>
      </c>
      <c r="G1729" s="39" t="s">
        <v>5246</v>
      </c>
      <c r="I1729" s="7">
        <v>0</v>
      </c>
      <c r="J1729" s="17">
        <v>5</v>
      </c>
      <c r="K1729" s="17"/>
      <c r="L1729" s="7">
        <f>SUM(H1729:K1729)</f>
        <v>5</v>
      </c>
      <c r="M1729" s="8">
        <v>1</v>
      </c>
      <c r="N1729" s="8">
        <f>IF(L1729&gt;0,1,"")</f>
        <v>1</v>
      </c>
      <c r="O1729" s="11" t="s">
        <v>1702</v>
      </c>
      <c r="P1729" s="16" t="str">
        <f>IF(LEN(G1729)=10,CONCATENATE("0",G1729),G1729)</f>
        <v>05-Jan-1918</v>
      </c>
      <c r="R1729" s="16" t="str">
        <f>IF($L1729&gt;0,"x","")</f>
        <v>x</v>
      </c>
      <c r="S1729" s="16" t="str">
        <f>IF($L1729&gt;0,"x","")</f>
        <v>x</v>
      </c>
      <c r="U1729" s="46" t="str">
        <f t="shared" si="751"/>
        <v/>
      </c>
      <c r="V1729" s="46">
        <f t="shared" si="751"/>
        <v>5</v>
      </c>
      <c r="W1729" s="46" t="str">
        <f t="shared" si="751"/>
        <v/>
      </c>
      <c r="X1729" s="46" t="str">
        <f t="shared" si="751"/>
        <v/>
      </c>
    </row>
    <row r="1730" spans="2:24" x14ac:dyDescent="0.25">
      <c r="B1730" s="11" t="str">
        <f>CONCATENATE("FUMR","-",LEFT(P1730,2),UPPER(MID(P1730,4,3)),RIGHT(P1730,4))</f>
        <v>FUMR-11JUL1921</v>
      </c>
      <c r="C1730" s="11" t="s">
        <v>5244</v>
      </c>
      <c r="D1730" s="11" t="s">
        <v>2440</v>
      </c>
      <c r="E1730" s="39" t="s">
        <v>4484</v>
      </c>
      <c r="F1730" s="11" t="s">
        <v>3366</v>
      </c>
      <c r="G1730" s="39" t="s">
        <v>4377</v>
      </c>
      <c r="H1730" s="7">
        <v>0</v>
      </c>
      <c r="I1730" s="17">
        <v>0</v>
      </c>
      <c r="J1730" s="17">
        <v>2</v>
      </c>
      <c r="K1730" s="17"/>
      <c r="L1730" s="7">
        <f>SUM(H1730:K1730)</f>
        <v>2</v>
      </c>
      <c r="M1730" s="8">
        <v>1</v>
      </c>
      <c r="N1730" s="8">
        <f>IF(L1730&gt;0,1,"")</f>
        <v>1</v>
      </c>
      <c r="O1730" s="11" t="s">
        <v>1702</v>
      </c>
      <c r="P1730" s="16" t="str">
        <f>IF(LEN(G1730)=10,CONCATENATE("0",G1730),G1730)</f>
        <v>11-Jul-1921</v>
      </c>
      <c r="R1730" s="16" t="str">
        <f>IF($L1730&gt;0,"x","")</f>
        <v>x</v>
      </c>
      <c r="S1730" s="16" t="str">
        <f>IF($L1730&gt;0,"x","")</f>
        <v>x</v>
      </c>
      <c r="U1730" s="46" t="str">
        <f t="shared" si="751"/>
        <v/>
      </c>
      <c r="V1730" s="46">
        <f t="shared" si="751"/>
        <v>2</v>
      </c>
      <c r="W1730" s="46" t="str">
        <f t="shared" si="751"/>
        <v/>
      </c>
      <c r="X1730" s="46" t="str">
        <f t="shared" si="751"/>
        <v/>
      </c>
    </row>
    <row r="1731" spans="2:24" x14ac:dyDescent="0.25">
      <c r="N1731" s="8" t="str">
        <f>IF(R1731="x",1,"")</f>
        <v/>
      </c>
      <c r="U1731" s="46" t="str">
        <f t="shared" si="751"/>
        <v/>
      </c>
      <c r="V1731" s="46" t="str">
        <f t="shared" si="751"/>
        <v/>
      </c>
      <c r="W1731" s="46" t="str">
        <f t="shared" si="751"/>
        <v/>
      </c>
      <c r="X1731" s="46" t="str">
        <f t="shared" si="751"/>
        <v/>
      </c>
    </row>
    <row r="1732" spans="2:24" x14ac:dyDescent="0.25">
      <c r="B1732" s="18"/>
      <c r="C1732" s="18"/>
      <c r="D1732" s="18"/>
      <c r="E1732" s="40"/>
      <c r="F1732" s="18"/>
      <c r="G1732" s="40"/>
      <c r="H1732" s="7">
        <f t="shared" ref="H1732:N1732" si="752">SUM(H1729:H1731)</f>
        <v>0</v>
      </c>
      <c r="I1732" s="7">
        <f t="shared" si="752"/>
        <v>0</v>
      </c>
      <c r="J1732" s="7">
        <f>SUM(J1729:J1731)</f>
        <v>7</v>
      </c>
      <c r="K1732" s="7">
        <f t="shared" si="752"/>
        <v>0</v>
      </c>
      <c r="L1732" s="7">
        <f t="shared" si="752"/>
        <v>7</v>
      </c>
      <c r="M1732" s="7">
        <f t="shared" si="752"/>
        <v>2</v>
      </c>
      <c r="N1732" s="7">
        <f t="shared" si="752"/>
        <v>2</v>
      </c>
      <c r="O1732" s="18"/>
      <c r="P1732" s="13"/>
      <c r="Q1732" s="13"/>
      <c r="S1732" s="13"/>
      <c r="T1732" s="15"/>
      <c r="U1732" s="46" t="str">
        <f t="shared" si="751"/>
        <v/>
      </c>
      <c r="V1732" s="46" t="str">
        <f t="shared" si="751"/>
        <v/>
      </c>
      <c r="W1732" s="46" t="str">
        <f t="shared" si="751"/>
        <v/>
      </c>
      <c r="X1732" s="46" t="str">
        <f t="shared" si="751"/>
        <v/>
      </c>
    </row>
    <row r="1733" spans="2:24" x14ac:dyDescent="0.25">
      <c r="B1733" s="18"/>
      <c r="C1733" s="18"/>
      <c r="D1733" s="18"/>
      <c r="E1733" s="40"/>
      <c r="F1733" s="18"/>
      <c r="G1733" s="40"/>
      <c r="N1733" s="8" t="str">
        <f>IF(R1733="x",1,"")</f>
        <v/>
      </c>
      <c r="O1733" s="18"/>
      <c r="P1733" s="13"/>
      <c r="Q1733" s="13"/>
      <c r="R1733" s="13"/>
      <c r="S1733" s="13"/>
      <c r="T1733" s="15"/>
      <c r="U1733" s="46" t="str">
        <f t="shared" si="743"/>
        <v/>
      </c>
      <c r="V1733" s="46" t="str">
        <f t="shared" si="743"/>
        <v/>
      </c>
      <c r="W1733" s="46" t="str">
        <f t="shared" si="743"/>
        <v/>
      </c>
      <c r="X1733" s="46" t="str">
        <f t="shared" si="743"/>
        <v/>
      </c>
    </row>
    <row r="1734" spans="2:24" x14ac:dyDescent="0.25">
      <c r="B1734" s="18"/>
      <c r="C1734" s="18"/>
      <c r="D1734" s="18"/>
      <c r="E1734" s="40"/>
      <c r="F1734" s="18"/>
      <c r="G1734" s="40"/>
      <c r="N1734" s="8" t="str">
        <f>IF(R1734="x",1,"")</f>
        <v/>
      </c>
      <c r="O1734" s="18"/>
      <c r="P1734" s="13"/>
      <c r="Q1734" s="13"/>
      <c r="R1734" s="13"/>
      <c r="S1734" s="13"/>
      <c r="T1734" s="15"/>
      <c r="U1734" s="46" t="str">
        <f t="shared" si="743"/>
        <v/>
      </c>
      <c r="V1734" s="46" t="str">
        <f t="shared" si="743"/>
        <v/>
      </c>
      <c r="W1734" s="46" t="str">
        <f t="shared" si="743"/>
        <v/>
      </c>
      <c r="X1734" s="46" t="str">
        <f t="shared" si="743"/>
        <v/>
      </c>
    </row>
    <row r="1735" spans="2:24" x14ac:dyDescent="0.25">
      <c r="B1735" s="11" t="str">
        <f t="shared" ref="B1735:B1741" si="753">CONCATENATE("GALL","-",LEFT(P1735,2),UPPER(MID(P1735,4,3)),RIGHT(P1735,4))</f>
        <v>GALL-28MAR1899</v>
      </c>
      <c r="C1735" s="11" t="s">
        <v>3258</v>
      </c>
      <c r="D1735" s="11" t="s">
        <v>2097</v>
      </c>
      <c r="E1735" s="39" t="s">
        <v>581</v>
      </c>
      <c r="F1735" s="11" t="s">
        <v>211</v>
      </c>
      <c r="G1735" s="39" t="s">
        <v>4833</v>
      </c>
      <c r="J1735" s="17">
        <v>4</v>
      </c>
      <c r="K1735" s="17"/>
      <c r="L1735" s="7">
        <f t="shared" ref="L1735:L1741" si="754">SUM(H1735:K1735)</f>
        <v>4</v>
      </c>
      <c r="M1735" s="8">
        <v>1</v>
      </c>
      <c r="N1735" s="8">
        <f t="shared" ref="N1735:N1741" si="755">IF(L1735&gt;0,1,"")</f>
        <v>1</v>
      </c>
      <c r="O1735" s="11" t="s">
        <v>1702</v>
      </c>
      <c r="P1735" s="16" t="str">
        <f t="shared" ref="P1735:P1741" si="756">IF(LEN(G1735)=10,CONCATENATE("0",G1735),G1735)</f>
        <v>28-Mar-1899</v>
      </c>
      <c r="R1735" s="16" t="str">
        <f t="shared" ref="R1735:S1741" si="757">IF($L1735&gt;0,"x","")</f>
        <v>x</v>
      </c>
      <c r="S1735" s="16" t="str">
        <f t="shared" si="757"/>
        <v>x</v>
      </c>
      <c r="U1735" s="46" t="str">
        <f t="shared" si="743"/>
        <v/>
      </c>
      <c r="V1735" s="46">
        <f t="shared" si="743"/>
        <v>4</v>
      </c>
      <c r="W1735" s="46" t="str">
        <f t="shared" si="743"/>
        <v/>
      </c>
      <c r="X1735" s="46" t="str">
        <f t="shared" si="743"/>
        <v/>
      </c>
    </row>
    <row r="1736" spans="2:24" x14ac:dyDescent="0.25">
      <c r="B1736" s="11" t="str">
        <f t="shared" si="753"/>
        <v>GALL-29MAY1901</v>
      </c>
      <c r="C1736" s="11" t="s">
        <v>3258</v>
      </c>
      <c r="D1736" s="11" t="s">
        <v>870</v>
      </c>
      <c r="E1736" s="39" t="s">
        <v>3350</v>
      </c>
      <c r="F1736" s="11" t="s">
        <v>1700</v>
      </c>
      <c r="G1736" s="39" t="s">
        <v>3349</v>
      </c>
      <c r="J1736" s="17">
        <v>9</v>
      </c>
      <c r="K1736" s="17"/>
      <c r="L1736" s="7">
        <f t="shared" si="754"/>
        <v>9</v>
      </c>
      <c r="M1736" s="8">
        <v>1</v>
      </c>
      <c r="N1736" s="8">
        <f t="shared" si="755"/>
        <v>1</v>
      </c>
      <c r="O1736" s="11" t="s">
        <v>1702</v>
      </c>
      <c r="P1736" s="16" t="str">
        <f t="shared" si="756"/>
        <v>29-May-1901</v>
      </c>
      <c r="R1736" s="16" t="str">
        <f t="shared" si="757"/>
        <v>x</v>
      </c>
      <c r="S1736" s="16" t="str">
        <f t="shared" si="757"/>
        <v>x</v>
      </c>
      <c r="U1736" s="46" t="str">
        <f>IF($O1736=U$5,$L1736,"")</f>
        <v/>
      </c>
      <c r="V1736" s="46">
        <f>IF($O1736=V$5,$L1736,"")</f>
        <v>9</v>
      </c>
      <c r="W1736" s="46" t="str">
        <f>IF($O1736=W$5,$L1736,"")</f>
        <v/>
      </c>
      <c r="X1736" s="46" t="str">
        <f>IF($O1736=X$5,$L1736,"")</f>
        <v/>
      </c>
    </row>
    <row r="1737" spans="2:24" x14ac:dyDescent="0.25">
      <c r="B1737" s="11" t="str">
        <f t="shared" si="753"/>
        <v>GALL-26NOV1902</v>
      </c>
      <c r="C1737" s="11" t="s">
        <v>3258</v>
      </c>
      <c r="D1737" s="11" t="s">
        <v>870</v>
      </c>
      <c r="E1737" s="39" t="s">
        <v>4830</v>
      </c>
      <c r="F1737" s="11" t="s">
        <v>1700</v>
      </c>
      <c r="G1737" s="39" t="s">
        <v>3553</v>
      </c>
      <c r="J1737" s="17">
        <v>3</v>
      </c>
      <c r="K1737" s="17"/>
      <c r="L1737" s="7">
        <f t="shared" si="754"/>
        <v>3</v>
      </c>
      <c r="M1737" s="8">
        <v>1</v>
      </c>
      <c r="N1737" s="8">
        <f t="shared" si="755"/>
        <v>1</v>
      </c>
      <c r="O1737" s="11" t="s">
        <v>1702</v>
      </c>
      <c r="P1737" s="16" t="str">
        <f t="shared" si="756"/>
        <v>26-Nov-1902</v>
      </c>
      <c r="R1737" s="16" t="str">
        <f t="shared" si="757"/>
        <v>x</v>
      </c>
      <c r="S1737" s="16" t="str">
        <f t="shared" si="757"/>
        <v>x</v>
      </c>
      <c r="U1737" s="46" t="str">
        <f t="shared" ref="U1737:X1738" si="758">IF($O1737=U$5,$L1737,"")</f>
        <v/>
      </c>
      <c r="V1737" s="46">
        <f t="shared" si="758"/>
        <v>3</v>
      </c>
      <c r="W1737" s="46" t="str">
        <f t="shared" si="758"/>
        <v/>
      </c>
      <c r="X1737" s="46" t="str">
        <f t="shared" si="758"/>
        <v/>
      </c>
    </row>
    <row r="1738" spans="2:24" x14ac:dyDescent="0.25">
      <c r="B1738" s="11" t="str">
        <f t="shared" si="753"/>
        <v>GALL-26NOV1902</v>
      </c>
      <c r="C1738" s="11" t="s">
        <v>3258</v>
      </c>
      <c r="D1738" s="11" t="s">
        <v>3007</v>
      </c>
      <c r="E1738" s="39" t="s">
        <v>1630</v>
      </c>
      <c r="F1738" s="11" t="s">
        <v>1700</v>
      </c>
      <c r="G1738" s="39" t="s">
        <v>3553</v>
      </c>
      <c r="J1738" s="17">
        <v>5</v>
      </c>
      <c r="K1738" s="17"/>
      <c r="L1738" s="7">
        <f t="shared" si="754"/>
        <v>5</v>
      </c>
      <c r="M1738" s="8">
        <v>1</v>
      </c>
      <c r="N1738" s="8">
        <f t="shared" si="755"/>
        <v>1</v>
      </c>
      <c r="O1738" s="11" t="s">
        <v>1702</v>
      </c>
      <c r="P1738" s="16" t="str">
        <f t="shared" si="756"/>
        <v>26-Nov-1902</v>
      </c>
      <c r="R1738" s="16" t="str">
        <f t="shared" si="757"/>
        <v>x</v>
      </c>
      <c r="S1738" s="16" t="str">
        <f t="shared" si="757"/>
        <v>x</v>
      </c>
      <c r="U1738" s="46" t="str">
        <f t="shared" si="758"/>
        <v/>
      </c>
      <c r="V1738" s="46">
        <f t="shared" si="758"/>
        <v>5</v>
      </c>
      <c r="W1738" s="46" t="str">
        <f t="shared" si="758"/>
        <v/>
      </c>
      <c r="X1738" s="46" t="str">
        <f t="shared" si="758"/>
        <v/>
      </c>
    </row>
    <row r="1739" spans="2:24" x14ac:dyDescent="0.25">
      <c r="B1739" s="11" t="str">
        <f t="shared" si="753"/>
        <v>GALL-20JUN1904</v>
      </c>
      <c r="C1739" s="11" t="s">
        <v>3258</v>
      </c>
      <c r="D1739" s="11" t="s">
        <v>3007</v>
      </c>
      <c r="E1739" s="39" t="s">
        <v>3311</v>
      </c>
      <c r="F1739" s="11" t="s">
        <v>1700</v>
      </c>
      <c r="G1739" s="39" t="s">
        <v>3310</v>
      </c>
      <c r="J1739" s="17">
        <v>3</v>
      </c>
      <c r="K1739" s="17"/>
      <c r="L1739" s="7">
        <f t="shared" si="754"/>
        <v>3</v>
      </c>
      <c r="M1739" s="8">
        <v>1</v>
      </c>
      <c r="N1739" s="8">
        <f t="shared" si="755"/>
        <v>1</v>
      </c>
      <c r="O1739" s="11" t="s">
        <v>1702</v>
      </c>
      <c r="P1739" s="16" t="str">
        <f t="shared" si="756"/>
        <v>20-Jun-1904</v>
      </c>
      <c r="R1739" s="16" t="str">
        <f t="shared" si="757"/>
        <v>x</v>
      </c>
      <c r="S1739" s="16" t="str">
        <f t="shared" si="757"/>
        <v>x</v>
      </c>
      <c r="U1739" s="46" t="str">
        <f t="shared" si="743"/>
        <v/>
      </c>
      <c r="V1739" s="46">
        <f t="shared" si="743"/>
        <v>3</v>
      </c>
      <c r="W1739" s="46" t="str">
        <f t="shared" si="743"/>
        <v/>
      </c>
      <c r="X1739" s="46" t="str">
        <f t="shared" si="743"/>
        <v/>
      </c>
    </row>
    <row r="1740" spans="2:24" x14ac:dyDescent="0.25">
      <c r="B1740" s="11" t="str">
        <f t="shared" si="753"/>
        <v>GALL-28JAN1907</v>
      </c>
      <c r="C1740" s="11" t="s">
        <v>3258</v>
      </c>
      <c r="D1740" s="11" t="s">
        <v>870</v>
      </c>
      <c r="E1740" s="39" t="s">
        <v>814</v>
      </c>
      <c r="F1740" s="11" t="s">
        <v>1700</v>
      </c>
      <c r="G1740" s="39" t="s">
        <v>3259</v>
      </c>
      <c r="J1740" s="17">
        <v>13</v>
      </c>
      <c r="K1740" s="17"/>
      <c r="L1740" s="7">
        <f t="shared" si="754"/>
        <v>13</v>
      </c>
      <c r="M1740" s="8">
        <v>1</v>
      </c>
      <c r="N1740" s="8">
        <f t="shared" si="755"/>
        <v>1</v>
      </c>
      <c r="O1740" s="11" t="s">
        <v>1702</v>
      </c>
      <c r="P1740" s="16" t="str">
        <f t="shared" si="756"/>
        <v>28-Jan-1907</v>
      </c>
      <c r="R1740" s="16" t="str">
        <f t="shared" si="757"/>
        <v>x</v>
      </c>
      <c r="S1740" s="16" t="str">
        <f t="shared" si="757"/>
        <v>x</v>
      </c>
      <c r="U1740" s="46" t="str">
        <f t="shared" si="743"/>
        <v/>
      </c>
      <c r="V1740" s="46">
        <f t="shared" si="743"/>
        <v>13</v>
      </c>
      <c r="W1740" s="46" t="str">
        <f t="shared" si="743"/>
        <v/>
      </c>
      <c r="X1740" s="46" t="str">
        <f t="shared" si="743"/>
        <v/>
      </c>
    </row>
    <row r="1741" spans="2:24" x14ac:dyDescent="0.25">
      <c r="B1741" s="11" t="str">
        <f t="shared" si="753"/>
        <v>GALL-01NOV1907</v>
      </c>
      <c r="C1741" s="11" t="s">
        <v>3258</v>
      </c>
      <c r="D1741" s="11" t="s">
        <v>870</v>
      </c>
      <c r="E1741" s="39" t="s">
        <v>3325</v>
      </c>
      <c r="F1741" s="11" t="s">
        <v>1700</v>
      </c>
      <c r="G1741" s="39" t="s">
        <v>3324</v>
      </c>
      <c r="H1741" s="7">
        <v>0</v>
      </c>
      <c r="J1741" s="17">
        <v>14</v>
      </c>
      <c r="K1741" s="17"/>
      <c r="L1741" s="7">
        <f t="shared" si="754"/>
        <v>14</v>
      </c>
      <c r="M1741" s="8">
        <v>1</v>
      </c>
      <c r="N1741" s="8">
        <f t="shared" si="755"/>
        <v>1</v>
      </c>
      <c r="O1741" s="11" t="s">
        <v>1702</v>
      </c>
      <c r="P1741" s="16" t="str">
        <f t="shared" si="756"/>
        <v>01-Nov-1907</v>
      </c>
      <c r="R1741" s="16" t="str">
        <f t="shared" si="757"/>
        <v>x</v>
      </c>
      <c r="S1741" s="16" t="str">
        <f t="shared" si="757"/>
        <v>x</v>
      </c>
      <c r="U1741" s="46" t="str">
        <f t="shared" si="743"/>
        <v/>
      </c>
      <c r="V1741" s="46">
        <f t="shared" si="743"/>
        <v>14</v>
      </c>
      <c r="W1741" s="46" t="str">
        <f t="shared" si="743"/>
        <v/>
      </c>
      <c r="X1741" s="46" t="str">
        <f t="shared" si="743"/>
        <v/>
      </c>
    </row>
    <row r="1742" spans="2:24" x14ac:dyDescent="0.25">
      <c r="N1742" s="8" t="str">
        <f>IF(R1742="x",1,"")</f>
        <v/>
      </c>
      <c r="U1742" s="46" t="str">
        <f t="shared" si="743"/>
        <v/>
      </c>
      <c r="V1742" s="46" t="str">
        <f t="shared" si="743"/>
        <v/>
      </c>
      <c r="W1742" s="46" t="str">
        <f t="shared" si="743"/>
        <v/>
      </c>
      <c r="X1742" s="46" t="str">
        <f t="shared" si="743"/>
        <v/>
      </c>
    </row>
    <row r="1743" spans="2:24" x14ac:dyDescent="0.25">
      <c r="B1743" s="18"/>
      <c r="C1743" s="18"/>
      <c r="D1743" s="18"/>
      <c r="E1743" s="40"/>
      <c r="F1743" s="18"/>
      <c r="G1743" s="40"/>
      <c r="H1743" s="7">
        <f t="shared" ref="H1743:N1743" si="759">SUM(H1735:H1742)</f>
        <v>0</v>
      </c>
      <c r="I1743" s="7">
        <f t="shared" si="759"/>
        <v>0</v>
      </c>
      <c r="J1743" s="7">
        <f>SUM(J1735:J1742)</f>
        <v>51</v>
      </c>
      <c r="K1743" s="7">
        <f t="shared" si="759"/>
        <v>0</v>
      </c>
      <c r="L1743" s="7">
        <f t="shared" si="759"/>
        <v>51</v>
      </c>
      <c r="M1743" s="7">
        <f t="shared" si="759"/>
        <v>7</v>
      </c>
      <c r="N1743" s="7">
        <f t="shared" si="759"/>
        <v>7</v>
      </c>
      <c r="O1743" s="18"/>
      <c r="P1743" s="13"/>
      <c r="Q1743" s="13"/>
      <c r="S1743" s="13"/>
      <c r="T1743" s="15"/>
      <c r="U1743" s="46" t="str">
        <f t="shared" si="743"/>
        <v/>
      </c>
      <c r="V1743" s="46" t="str">
        <f t="shared" si="743"/>
        <v/>
      </c>
      <c r="W1743" s="46" t="str">
        <f t="shared" si="743"/>
        <v/>
      </c>
      <c r="X1743" s="46" t="str">
        <f t="shared" si="743"/>
        <v/>
      </c>
    </row>
    <row r="1744" spans="2:24" x14ac:dyDescent="0.25">
      <c r="B1744" s="18"/>
      <c r="C1744" s="18"/>
      <c r="D1744" s="18"/>
      <c r="E1744" s="40"/>
      <c r="F1744" s="18"/>
      <c r="G1744" s="40"/>
      <c r="N1744" s="8" t="str">
        <f>IF(R1744="x",1,"")</f>
        <v/>
      </c>
      <c r="O1744" s="18"/>
      <c r="P1744" s="13"/>
      <c r="Q1744" s="13"/>
      <c r="R1744" s="13"/>
      <c r="S1744" s="13"/>
      <c r="T1744" s="15"/>
      <c r="U1744" s="46" t="str">
        <f t="shared" ref="U1744:X1749" si="760">IF($O1744=U$5,$L1744,"")</f>
        <v/>
      </c>
      <c r="V1744" s="46" t="str">
        <f t="shared" si="760"/>
        <v/>
      </c>
      <c r="W1744" s="46" t="str">
        <f t="shared" si="760"/>
        <v/>
      </c>
      <c r="X1744" s="46" t="str">
        <f t="shared" si="760"/>
        <v/>
      </c>
    </row>
    <row r="1745" spans="2:24" x14ac:dyDescent="0.25">
      <c r="B1745" s="18"/>
      <c r="C1745" s="18"/>
      <c r="D1745" s="18"/>
      <c r="E1745" s="40"/>
      <c r="F1745" s="18"/>
      <c r="G1745" s="40"/>
      <c r="N1745" s="8" t="str">
        <f>IF(R1745="x",1,"")</f>
        <v/>
      </c>
      <c r="O1745" s="18"/>
      <c r="P1745" s="13"/>
      <c r="Q1745" s="13"/>
      <c r="R1745" s="13"/>
      <c r="S1745" s="13"/>
      <c r="T1745" s="15"/>
      <c r="U1745" s="46" t="str">
        <f t="shared" si="760"/>
        <v/>
      </c>
      <c r="V1745" s="46" t="str">
        <f t="shared" si="760"/>
        <v/>
      </c>
      <c r="W1745" s="46" t="str">
        <f t="shared" si="760"/>
        <v/>
      </c>
      <c r="X1745" s="46" t="str">
        <f t="shared" si="760"/>
        <v/>
      </c>
    </row>
    <row r="1746" spans="2:24" x14ac:dyDescent="0.25">
      <c r="B1746" s="11" t="str">
        <f>CONCATENATE("GLRT","-",LEFT(P1746,2),UPPER(MID(P1746,4,3)),RIGHT(P1746,4))</f>
        <v>GLRT-02AUG1890</v>
      </c>
      <c r="C1746" s="11" t="s">
        <v>118</v>
      </c>
      <c r="D1746" s="11" t="s">
        <v>1699</v>
      </c>
      <c r="F1746" s="11" t="s">
        <v>1700</v>
      </c>
      <c r="G1746" s="39" t="s">
        <v>5891</v>
      </c>
      <c r="H1746" s="7">
        <v>0</v>
      </c>
      <c r="J1746" s="17">
        <v>15</v>
      </c>
      <c r="K1746" s="17"/>
      <c r="L1746" s="7">
        <f>SUM(H1746:K1746)</f>
        <v>15</v>
      </c>
      <c r="M1746" s="8">
        <v>1</v>
      </c>
      <c r="N1746" s="8">
        <f>IF(L1746&gt;0,1,"")</f>
        <v>1</v>
      </c>
      <c r="O1746" s="11" t="s">
        <v>1702</v>
      </c>
      <c r="P1746" s="16" t="str">
        <f>IF(LEN(G1746)=10,CONCATENATE("0",G1746),G1746)</f>
        <v>02-Aug-1890</v>
      </c>
      <c r="R1746" s="16" t="str">
        <f>IF($L1746&gt;0,"x","")</f>
        <v>x</v>
      </c>
      <c r="S1746" s="16" t="str">
        <f>IF($L1746&gt;0,"x","")</f>
        <v>x</v>
      </c>
      <c r="U1746" s="46" t="str">
        <f t="shared" si="760"/>
        <v/>
      </c>
      <c r="V1746" s="46">
        <f t="shared" si="760"/>
        <v>15</v>
      </c>
      <c r="W1746" s="46" t="str">
        <f t="shared" si="760"/>
        <v/>
      </c>
      <c r="X1746" s="46" t="str">
        <f t="shared" si="760"/>
        <v/>
      </c>
    </row>
    <row r="1747" spans="2:24" x14ac:dyDescent="0.25">
      <c r="B1747" s="11" t="str">
        <f>CONCATENATE("GLRT","-",LEFT(P1747,2),UPPER(MID(P1747,4,3)),RIGHT(P1747,4))</f>
        <v>GLRT-20JUN1891</v>
      </c>
      <c r="C1747" s="11" t="s">
        <v>118</v>
      </c>
      <c r="D1747" s="11" t="s">
        <v>1699</v>
      </c>
      <c r="F1747" s="11" t="s">
        <v>1700</v>
      </c>
      <c r="G1747" s="39" t="s">
        <v>4870</v>
      </c>
      <c r="J1747" s="17">
        <v>11</v>
      </c>
      <c r="K1747" s="17"/>
      <c r="L1747" s="7">
        <f>SUM(H1747:K1747)</f>
        <v>11</v>
      </c>
      <c r="M1747" s="8">
        <v>1</v>
      </c>
      <c r="N1747" s="8">
        <f>IF(L1747&gt;0,1,"")</f>
        <v>1</v>
      </c>
      <c r="O1747" s="11" t="s">
        <v>1702</v>
      </c>
      <c r="P1747" s="16" t="str">
        <f>IF(LEN(G1747)=10,CONCATENATE("0",G1747),G1747)</f>
        <v>20-Jun-1891</v>
      </c>
      <c r="R1747" s="16" t="str">
        <f>IF($L1747&gt;0,"x","")</f>
        <v>x</v>
      </c>
      <c r="S1747" s="16" t="str">
        <f>IF($L1747&gt;0,"x","")</f>
        <v>x</v>
      </c>
      <c r="U1747" s="46" t="str">
        <f t="shared" si="760"/>
        <v/>
      </c>
      <c r="V1747" s="46">
        <f t="shared" si="760"/>
        <v>11</v>
      </c>
      <c r="W1747" s="46" t="str">
        <f t="shared" si="760"/>
        <v/>
      </c>
      <c r="X1747" s="46" t="str">
        <f t="shared" si="760"/>
        <v/>
      </c>
    </row>
    <row r="1748" spans="2:24" x14ac:dyDescent="0.25">
      <c r="N1748" s="8" t="str">
        <f>IF(R1748="x",1,"")</f>
        <v/>
      </c>
      <c r="U1748" s="46" t="str">
        <f t="shared" si="760"/>
        <v/>
      </c>
      <c r="V1748" s="46" t="str">
        <f t="shared" si="760"/>
        <v/>
      </c>
      <c r="W1748" s="46" t="str">
        <f t="shared" si="760"/>
        <v/>
      </c>
      <c r="X1748" s="46" t="str">
        <f t="shared" si="760"/>
        <v/>
      </c>
    </row>
    <row r="1749" spans="2:24" x14ac:dyDescent="0.25">
      <c r="B1749" s="18"/>
      <c r="C1749" s="18"/>
      <c r="D1749" s="18"/>
      <c r="E1749" s="40"/>
      <c r="F1749" s="18"/>
      <c r="G1749" s="40"/>
      <c r="H1749" s="7">
        <f t="shared" ref="H1749:N1749" si="761">SUM(H1746:H1748)</f>
        <v>0</v>
      </c>
      <c r="I1749" s="7">
        <f t="shared" si="761"/>
        <v>0</v>
      </c>
      <c r="J1749" s="7">
        <f>SUM(J1746:J1748)</f>
        <v>26</v>
      </c>
      <c r="K1749" s="7">
        <f t="shared" si="761"/>
        <v>0</v>
      </c>
      <c r="L1749" s="7">
        <f t="shared" si="761"/>
        <v>26</v>
      </c>
      <c r="M1749" s="7">
        <f t="shared" si="761"/>
        <v>2</v>
      </c>
      <c r="N1749" s="7">
        <f t="shared" si="761"/>
        <v>2</v>
      </c>
      <c r="O1749" s="18"/>
      <c r="P1749" s="13"/>
      <c r="Q1749" s="13"/>
      <c r="S1749" s="13"/>
      <c r="T1749" s="15"/>
      <c r="U1749" s="46" t="str">
        <f t="shared" si="760"/>
        <v/>
      </c>
      <c r="V1749" s="46" t="str">
        <f t="shared" si="760"/>
        <v/>
      </c>
      <c r="W1749" s="46" t="str">
        <f t="shared" si="760"/>
        <v/>
      </c>
      <c r="X1749" s="46" t="str">
        <f t="shared" si="760"/>
        <v/>
      </c>
    </row>
    <row r="1750" spans="2:24" x14ac:dyDescent="0.25">
      <c r="B1750" s="18"/>
      <c r="C1750" s="18"/>
      <c r="D1750" s="18"/>
      <c r="E1750" s="40"/>
      <c r="F1750" s="18"/>
      <c r="G1750" s="40"/>
      <c r="N1750" s="8" t="str">
        <f>IF(R1750="x",1,"")</f>
        <v/>
      </c>
      <c r="O1750" s="18"/>
      <c r="P1750" s="13"/>
      <c r="Q1750" s="13"/>
      <c r="R1750" s="13"/>
      <c r="S1750" s="13"/>
      <c r="T1750" s="15"/>
      <c r="U1750" s="46" t="str">
        <f t="shared" si="743"/>
        <v/>
      </c>
      <c r="V1750" s="46" t="str">
        <f t="shared" si="743"/>
        <v/>
      </c>
      <c r="W1750" s="46" t="str">
        <f t="shared" si="743"/>
        <v/>
      </c>
      <c r="X1750" s="46" t="str">
        <f t="shared" si="743"/>
        <v/>
      </c>
    </row>
    <row r="1751" spans="2:24" x14ac:dyDescent="0.25">
      <c r="B1751" s="18"/>
      <c r="C1751" s="18"/>
      <c r="D1751" s="18"/>
      <c r="E1751" s="40"/>
      <c r="F1751" s="18"/>
      <c r="G1751" s="40"/>
      <c r="N1751" s="8" t="str">
        <f>IF(R1751="x",1,"")</f>
        <v/>
      </c>
      <c r="O1751" s="18"/>
      <c r="P1751" s="13"/>
      <c r="Q1751" s="13"/>
      <c r="R1751" s="13"/>
      <c r="S1751" s="13"/>
      <c r="T1751" s="15"/>
      <c r="U1751" s="46" t="str">
        <f t="shared" si="743"/>
        <v/>
      </c>
      <c r="V1751" s="46" t="str">
        <f t="shared" si="743"/>
        <v/>
      </c>
      <c r="W1751" s="46" t="str">
        <f t="shared" si="743"/>
        <v/>
      </c>
      <c r="X1751" s="46" t="str">
        <f t="shared" si="743"/>
        <v/>
      </c>
    </row>
    <row r="1752" spans="2:24" x14ac:dyDescent="0.25">
      <c r="B1752" s="11" t="str">
        <f t="shared" ref="B1752:B1765" si="762">CONCATENATE("GWAS","-",LEFT(P1752,2),UPPER(MID(P1752,4,3)),RIGHT(P1752,4))</f>
        <v>GWAS-17JAN1912</v>
      </c>
      <c r="C1752" s="11" t="s">
        <v>3610</v>
      </c>
      <c r="D1752" s="11" t="s">
        <v>3359</v>
      </c>
      <c r="E1752" s="39" t="s">
        <v>910</v>
      </c>
      <c r="F1752" s="11" t="s">
        <v>1700</v>
      </c>
      <c r="G1752" s="39" t="s">
        <v>6028</v>
      </c>
      <c r="H1752" s="7">
        <v>0</v>
      </c>
      <c r="I1752" s="7">
        <v>0</v>
      </c>
      <c r="J1752" s="17">
        <v>8</v>
      </c>
      <c r="K1752" s="17"/>
      <c r="L1752" s="7">
        <f t="shared" ref="L1752:L1765" si="763">SUM(H1752:K1752)</f>
        <v>8</v>
      </c>
      <c r="M1752" s="8">
        <v>1</v>
      </c>
      <c r="N1752" s="8">
        <f t="shared" ref="N1752:N1765" si="764">IF(L1752&gt;0,1,"")</f>
        <v>1</v>
      </c>
      <c r="O1752" s="11" t="s">
        <v>1702</v>
      </c>
      <c r="P1752" s="16" t="str">
        <f t="shared" ref="P1752:P1765" si="765">IF(LEN(G1752)=10,CONCATENATE("0",G1752),G1752)</f>
        <v>17-Jan-1912</v>
      </c>
      <c r="R1752" s="16" t="str">
        <f>IF($L1752&gt;0,"x","")</f>
        <v>x</v>
      </c>
      <c r="S1752" s="16" t="str">
        <f>IF($L1752&gt;0,"x","")</f>
        <v>x</v>
      </c>
      <c r="U1752" s="46" t="str">
        <f t="shared" si="743"/>
        <v/>
      </c>
      <c r="V1752" s="46">
        <f t="shared" si="743"/>
        <v>8</v>
      </c>
      <c r="W1752" s="46" t="str">
        <f t="shared" si="743"/>
        <v/>
      </c>
      <c r="X1752" s="46" t="str">
        <f t="shared" si="743"/>
        <v/>
      </c>
    </row>
    <row r="1753" spans="2:24" x14ac:dyDescent="0.25">
      <c r="B1753" s="11" t="str">
        <f>CONCATENATE("GWAS","-",LEFT(P1753,2),UPPER(MID(P1753,4,3)),RIGHT(P1753,4))</f>
        <v>GWAS-17JAN1912</v>
      </c>
      <c r="C1753" s="11" t="s">
        <v>3610</v>
      </c>
      <c r="D1753" s="11" t="s">
        <v>2224</v>
      </c>
      <c r="E1753" s="39" t="s">
        <v>1890</v>
      </c>
      <c r="F1753" s="11" t="s">
        <v>1700</v>
      </c>
      <c r="G1753" s="39" t="s">
        <v>6028</v>
      </c>
      <c r="H1753" s="7">
        <v>0</v>
      </c>
      <c r="I1753" s="7">
        <v>0</v>
      </c>
      <c r="J1753" s="17">
        <v>0</v>
      </c>
      <c r="K1753" s="17"/>
      <c r="L1753" s="7">
        <f>SUM(H1753:K1753)</f>
        <v>0</v>
      </c>
      <c r="M1753" s="8">
        <v>1</v>
      </c>
      <c r="N1753" s="8" t="str">
        <f>IF(L1753&gt;0,1,"")</f>
        <v/>
      </c>
      <c r="O1753" s="11" t="s">
        <v>1702</v>
      </c>
      <c r="P1753" s="16" t="str">
        <f>IF(LEN(G1753)=10,CONCATENATE("0",G1753),G1753)</f>
        <v>17-Jan-1912</v>
      </c>
      <c r="R1753" s="16" t="str">
        <f>IF($L1753&gt;0,"x","")</f>
        <v/>
      </c>
      <c r="S1753" s="16" t="str">
        <f>IF($L1753&gt;0,"x","")</f>
        <v/>
      </c>
      <c r="U1753" s="46" t="str">
        <f t="shared" ref="U1753:X1754" si="766">IF($O1753=U$5,$L1753,"")</f>
        <v/>
      </c>
      <c r="V1753" s="46">
        <f t="shared" si="766"/>
        <v>0</v>
      </c>
      <c r="W1753" s="46" t="str">
        <f t="shared" si="766"/>
        <v/>
      </c>
      <c r="X1753" s="46" t="str">
        <f t="shared" si="766"/>
        <v/>
      </c>
    </row>
    <row r="1754" spans="2:24" x14ac:dyDescent="0.25">
      <c r="B1754" s="11" t="str">
        <f>CONCATENATE("GWAS","-",LEFT(P1754,2),UPPER(MID(P1754,4,3)),RIGHT(P1754,4))</f>
        <v>GWAS-06AUG1912</v>
      </c>
      <c r="C1754" s="11" t="s">
        <v>3610</v>
      </c>
      <c r="D1754" s="11" t="s">
        <v>3359</v>
      </c>
      <c r="E1754" s="39" t="s">
        <v>1328</v>
      </c>
      <c r="F1754" s="11" t="s">
        <v>1700</v>
      </c>
      <c r="G1754" s="39" t="s">
        <v>1321</v>
      </c>
      <c r="H1754" s="7">
        <v>0</v>
      </c>
      <c r="I1754" s="7">
        <v>0</v>
      </c>
      <c r="J1754" s="17">
        <v>6</v>
      </c>
      <c r="K1754" s="17"/>
      <c r="L1754" s="7">
        <f>SUM(H1754:K1754)</f>
        <v>6</v>
      </c>
      <c r="M1754" s="8">
        <v>1</v>
      </c>
      <c r="N1754" s="8">
        <f>IF(L1754&gt;0,1,"")</f>
        <v>1</v>
      </c>
      <c r="O1754" s="11" t="s">
        <v>1702</v>
      </c>
      <c r="P1754" s="16" t="str">
        <f>IF(LEN(G1754)=10,CONCATENATE("0",G1754),G1754)</f>
        <v>06-Aug-1912</v>
      </c>
      <c r="R1754" s="16" t="str">
        <f t="shared" ref="R1754:S1767" si="767">IF($L1754&gt;0,"x","")</f>
        <v>x</v>
      </c>
      <c r="S1754" s="16" t="str">
        <f t="shared" si="767"/>
        <v>x</v>
      </c>
      <c r="U1754" s="46" t="str">
        <f t="shared" si="766"/>
        <v/>
      </c>
      <c r="V1754" s="46">
        <f t="shared" si="766"/>
        <v>6</v>
      </c>
      <c r="W1754" s="46" t="str">
        <f t="shared" si="766"/>
        <v/>
      </c>
      <c r="X1754" s="46" t="str">
        <f t="shared" si="766"/>
        <v/>
      </c>
    </row>
    <row r="1755" spans="2:24" x14ac:dyDescent="0.25">
      <c r="B1755" s="11" t="str">
        <f t="shared" si="762"/>
        <v>GWAS-12MAY1913</v>
      </c>
      <c r="C1755" s="11" t="s">
        <v>3610</v>
      </c>
      <c r="D1755" s="11" t="s">
        <v>2224</v>
      </c>
      <c r="E1755" s="39" t="s">
        <v>2351</v>
      </c>
      <c r="F1755" s="11" t="s">
        <v>1700</v>
      </c>
      <c r="G1755" s="39" t="s">
        <v>3031</v>
      </c>
      <c r="H1755" s="7">
        <v>0</v>
      </c>
      <c r="I1755" s="7">
        <v>0</v>
      </c>
      <c r="J1755" s="17">
        <v>16</v>
      </c>
      <c r="K1755" s="17"/>
      <c r="L1755" s="7">
        <f t="shared" si="763"/>
        <v>16</v>
      </c>
      <c r="M1755" s="8">
        <v>1</v>
      </c>
      <c r="N1755" s="8">
        <f t="shared" si="764"/>
        <v>1</v>
      </c>
      <c r="O1755" s="11" t="s">
        <v>1702</v>
      </c>
      <c r="P1755" s="16" t="str">
        <f t="shared" si="765"/>
        <v>12-May-1913</v>
      </c>
      <c r="R1755" s="16" t="str">
        <f t="shared" si="767"/>
        <v>x</v>
      </c>
      <c r="S1755" s="16" t="str">
        <f t="shared" si="767"/>
        <v>x</v>
      </c>
      <c r="U1755" s="46" t="str">
        <f t="shared" si="743"/>
        <v/>
      </c>
      <c r="V1755" s="46">
        <f t="shared" si="743"/>
        <v>16</v>
      </c>
      <c r="W1755" s="46" t="str">
        <f t="shared" si="743"/>
        <v/>
      </c>
      <c r="X1755" s="46" t="str">
        <f t="shared" si="743"/>
        <v/>
      </c>
    </row>
    <row r="1756" spans="2:24" x14ac:dyDescent="0.25">
      <c r="B1756" s="11" t="str">
        <f t="shared" si="762"/>
        <v>GWAS-07JUL1913</v>
      </c>
      <c r="C1756" s="11" t="s">
        <v>3610</v>
      </c>
      <c r="D1756" s="11" t="s">
        <v>3359</v>
      </c>
      <c r="E1756" s="39" t="s">
        <v>1297</v>
      </c>
      <c r="F1756" s="11" t="s">
        <v>1700</v>
      </c>
      <c r="G1756" s="39" t="s">
        <v>3257</v>
      </c>
      <c r="H1756" s="7">
        <v>0</v>
      </c>
      <c r="I1756" s="7">
        <v>0</v>
      </c>
      <c r="J1756" s="17">
        <v>1</v>
      </c>
      <c r="K1756" s="17"/>
      <c r="L1756" s="7">
        <f t="shared" si="763"/>
        <v>1</v>
      </c>
      <c r="M1756" s="8">
        <v>1</v>
      </c>
      <c r="N1756" s="8">
        <f t="shared" si="764"/>
        <v>1</v>
      </c>
      <c r="O1756" s="11" t="s">
        <v>1702</v>
      </c>
      <c r="P1756" s="16" t="str">
        <f t="shared" si="765"/>
        <v>07-Jul-1913</v>
      </c>
      <c r="R1756" s="16" t="str">
        <f t="shared" si="767"/>
        <v>x</v>
      </c>
      <c r="S1756" s="16" t="str">
        <f t="shared" si="767"/>
        <v>x</v>
      </c>
      <c r="U1756" s="46" t="str">
        <f t="shared" ref="U1756:X1761" si="768">IF($O1756=U$5,$L1756,"")</f>
        <v/>
      </c>
      <c r="V1756" s="46">
        <f t="shared" si="768"/>
        <v>1</v>
      </c>
      <c r="W1756" s="46" t="str">
        <f t="shared" si="768"/>
        <v/>
      </c>
      <c r="X1756" s="46" t="str">
        <f t="shared" si="768"/>
        <v/>
      </c>
    </row>
    <row r="1757" spans="2:24" x14ac:dyDescent="0.25">
      <c r="B1757" s="11" t="str">
        <f>CONCATENATE("GWAS","-",LEFT(P1757,2),UPPER(MID(P1757,4,3)),RIGHT(P1757,4))</f>
        <v>GWAS-07JUL1913</v>
      </c>
      <c r="C1757" s="11" t="s">
        <v>3610</v>
      </c>
      <c r="D1757" s="11" t="s">
        <v>2224</v>
      </c>
      <c r="E1757" s="39" t="s">
        <v>4559</v>
      </c>
      <c r="F1757" s="11" t="s">
        <v>1700</v>
      </c>
      <c r="G1757" s="39" t="s">
        <v>3257</v>
      </c>
      <c r="H1757" s="7">
        <v>0</v>
      </c>
      <c r="I1757" s="7">
        <v>0</v>
      </c>
      <c r="J1757" s="17">
        <v>0</v>
      </c>
      <c r="K1757" s="17"/>
      <c r="L1757" s="7">
        <f>SUM(H1757:K1757)</f>
        <v>0</v>
      </c>
      <c r="M1757" s="8">
        <v>1</v>
      </c>
      <c r="N1757" s="8" t="str">
        <f>IF(L1757&gt;0,1,"")</f>
        <v/>
      </c>
      <c r="O1757" s="11" t="s">
        <v>1702</v>
      </c>
      <c r="P1757" s="16" t="str">
        <f>IF(LEN(G1757)=10,CONCATENATE("0",G1757),G1757)</f>
        <v>07-Jul-1913</v>
      </c>
      <c r="R1757" s="16" t="str">
        <f t="shared" si="767"/>
        <v/>
      </c>
      <c r="S1757" s="16" t="str">
        <f t="shared" si="767"/>
        <v/>
      </c>
      <c r="U1757" s="46" t="str">
        <f t="shared" si="768"/>
        <v/>
      </c>
      <c r="V1757" s="46">
        <f t="shared" si="768"/>
        <v>0</v>
      </c>
      <c r="W1757" s="46" t="str">
        <f t="shared" si="768"/>
        <v/>
      </c>
      <c r="X1757" s="46" t="str">
        <f t="shared" si="768"/>
        <v/>
      </c>
    </row>
    <row r="1758" spans="2:24" x14ac:dyDescent="0.25">
      <c r="B1758" s="11" t="str">
        <f>CONCATENATE("GWAS","-",LEFT(P1758,2),UPPER(MID(P1758,4,3)),RIGHT(P1758,4))</f>
        <v>GWAS-11MAY1914</v>
      </c>
      <c r="C1758" s="11" t="s">
        <v>3610</v>
      </c>
      <c r="D1758" s="11" t="s">
        <v>3359</v>
      </c>
      <c r="E1758" s="39" t="s">
        <v>2373</v>
      </c>
      <c r="F1758" s="11" t="s">
        <v>1700</v>
      </c>
      <c r="G1758" s="39" t="s">
        <v>5527</v>
      </c>
      <c r="H1758" s="7">
        <v>0</v>
      </c>
      <c r="I1758" s="7">
        <v>0</v>
      </c>
      <c r="J1758" s="17">
        <v>6</v>
      </c>
      <c r="K1758" s="17"/>
      <c r="L1758" s="7">
        <f>SUM(H1758:K1758)</f>
        <v>6</v>
      </c>
      <c r="M1758" s="8">
        <v>1</v>
      </c>
      <c r="N1758" s="8">
        <f>IF(L1758&gt;0,1,"")</f>
        <v>1</v>
      </c>
      <c r="O1758" s="11" t="s">
        <v>1702</v>
      </c>
      <c r="P1758" s="16" t="str">
        <f>IF(LEN(G1758)=10,CONCATENATE("0",G1758),G1758)</f>
        <v>11-May-1914</v>
      </c>
      <c r="R1758" s="16" t="str">
        <f t="shared" si="767"/>
        <v>x</v>
      </c>
      <c r="S1758" s="16" t="str">
        <f t="shared" si="767"/>
        <v>x</v>
      </c>
      <c r="U1758" s="46" t="str">
        <f t="shared" si="768"/>
        <v/>
      </c>
      <c r="V1758" s="46">
        <f t="shared" si="768"/>
        <v>6</v>
      </c>
      <c r="W1758" s="46" t="str">
        <f t="shared" si="768"/>
        <v/>
      </c>
      <c r="X1758" s="46" t="str">
        <f t="shared" si="768"/>
        <v/>
      </c>
    </row>
    <row r="1759" spans="2:24" x14ac:dyDescent="0.25">
      <c r="B1759" s="11" t="str">
        <f>CONCATENATE("GWAS","-",LEFT(P1759,2),UPPER(MID(P1759,4,3)),RIGHT(P1759,4))</f>
        <v>GWAS-11MAY1914</v>
      </c>
      <c r="C1759" s="11" t="s">
        <v>3610</v>
      </c>
      <c r="D1759" s="11" t="s">
        <v>2224</v>
      </c>
      <c r="E1759" s="39" t="s">
        <v>5528</v>
      </c>
      <c r="F1759" s="11" t="s">
        <v>1700</v>
      </c>
      <c r="G1759" s="39" t="s">
        <v>5527</v>
      </c>
      <c r="H1759" s="7">
        <v>0</v>
      </c>
      <c r="I1759" s="7">
        <v>0</v>
      </c>
      <c r="J1759" s="17">
        <v>0</v>
      </c>
      <c r="K1759" s="17"/>
      <c r="L1759" s="7">
        <f>SUM(H1759:K1759)</f>
        <v>0</v>
      </c>
      <c r="M1759" s="8">
        <v>1</v>
      </c>
      <c r="N1759" s="8" t="str">
        <f>IF(L1759&gt;0,1,"")</f>
        <v/>
      </c>
      <c r="O1759" s="11" t="s">
        <v>1702</v>
      </c>
      <c r="P1759" s="16" t="str">
        <f>IF(LEN(G1759)=10,CONCATENATE("0",G1759),G1759)</f>
        <v>11-May-1914</v>
      </c>
      <c r="R1759" s="16" t="str">
        <f t="shared" si="767"/>
        <v/>
      </c>
      <c r="S1759" s="16" t="str">
        <f t="shared" si="767"/>
        <v/>
      </c>
      <c r="U1759" s="46" t="str">
        <f t="shared" si="768"/>
        <v/>
      </c>
      <c r="V1759" s="46">
        <f t="shared" si="768"/>
        <v>0</v>
      </c>
      <c r="W1759" s="46" t="str">
        <f t="shared" si="768"/>
        <v/>
      </c>
      <c r="X1759" s="46" t="str">
        <f t="shared" si="768"/>
        <v/>
      </c>
    </row>
    <row r="1760" spans="2:24" x14ac:dyDescent="0.25">
      <c r="B1760" s="11" t="str">
        <f>CONCATENATE("GWAS","-",LEFT(P1760,2),UPPER(MID(P1760,4,3)),RIGHT(P1760,4))</f>
        <v>GWAS-08JUN1914</v>
      </c>
      <c r="C1760" s="11" t="s">
        <v>3610</v>
      </c>
      <c r="D1760" s="11" t="s">
        <v>3359</v>
      </c>
      <c r="E1760" s="39" t="s">
        <v>1552</v>
      </c>
      <c r="F1760" s="11" t="s">
        <v>1700</v>
      </c>
      <c r="G1760" s="39" t="s">
        <v>6109</v>
      </c>
      <c r="H1760" s="7">
        <v>0</v>
      </c>
      <c r="I1760" s="7">
        <v>0</v>
      </c>
      <c r="J1760" s="17">
        <v>1</v>
      </c>
      <c r="K1760" s="17"/>
      <c r="L1760" s="7">
        <f>SUM(H1760:K1760)</f>
        <v>1</v>
      </c>
      <c r="M1760" s="8">
        <v>1</v>
      </c>
      <c r="N1760" s="8">
        <f>IF(L1760&gt;0,1,"")</f>
        <v>1</v>
      </c>
      <c r="O1760" s="11" t="s">
        <v>1702</v>
      </c>
      <c r="P1760" s="16" t="str">
        <f>IF(LEN(G1760)=10,CONCATENATE("0",G1760),G1760)</f>
        <v>08-Jun-1914</v>
      </c>
      <c r="R1760" s="16" t="str">
        <f t="shared" si="767"/>
        <v>x</v>
      </c>
      <c r="S1760" s="16" t="str">
        <f t="shared" si="767"/>
        <v>x</v>
      </c>
      <c r="U1760" s="46" t="str">
        <f t="shared" si="768"/>
        <v/>
      </c>
      <c r="V1760" s="46">
        <f t="shared" si="768"/>
        <v>1</v>
      </c>
      <c r="W1760" s="46" t="str">
        <f t="shared" si="768"/>
        <v/>
      </c>
      <c r="X1760" s="46" t="str">
        <f t="shared" si="768"/>
        <v/>
      </c>
    </row>
    <row r="1761" spans="2:24" x14ac:dyDescent="0.25">
      <c r="B1761" s="11" t="str">
        <f>CONCATENATE("GWAS","-",LEFT(P1761,2),UPPER(MID(P1761,4,3)),RIGHT(P1761,4))</f>
        <v>GWAS-08JUN1914</v>
      </c>
      <c r="C1761" s="11" t="s">
        <v>3610</v>
      </c>
      <c r="D1761" s="11" t="s">
        <v>2224</v>
      </c>
      <c r="E1761" s="39" t="s">
        <v>2367</v>
      </c>
      <c r="F1761" s="11" t="s">
        <v>1700</v>
      </c>
      <c r="G1761" s="39" t="s">
        <v>6109</v>
      </c>
      <c r="H1761" s="7">
        <v>0</v>
      </c>
      <c r="I1761" s="7">
        <v>0</v>
      </c>
      <c r="J1761" s="17">
        <v>0</v>
      </c>
      <c r="K1761" s="17"/>
      <c r="L1761" s="7">
        <f>SUM(H1761:K1761)</f>
        <v>0</v>
      </c>
      <c r="M1761" s="8">
        <v>1</v>
      </c>
      <c r="N1761" s="8" t="str">
        <f>IF(L1761&gt;0,1,"")</f>
        <v/>
      </c>
      <c r="O1761" s="11" t="s">
        <v>1702</v>
      </c>
      <c r="P1761" s="16" t="str">
        <f>IF(LEN(G1761)=10,CONCATENATE("0",G1761),G1761)</f>
        <v>08-Jun-1914</v>
      </c>
      <c r="R1761" s="16" t="str">
        <f t="shared" si="767"/>
        <v/>
      </c>
      <c r="S1761" s="16" t="str">
        <f t="shared" si="767"/>
        <v/>
      </c>
      <c r="U1761" s="46" t="str">
        <f t="shared" si="768"/>
        <v/>
      </c>
      <c r="V1761" s="46">
        <f t="shared" si="768"/>
        <v>0</v>
      </c>
      <c r="W1761" s="46" t="str">
        <f t="shared" si="768"/>
        <v/>
      </c>
      <c r="X1761" s="46" t="str">
        <f t="shared" si="768"/>
        <v/>
      </c>
    </row>
    <row r="1762" spans="2:24" x14ac:dyDescent="0.25">
      <c r="B1762" s="11" t="str">
        <f t="shared" si="762"/>
        <v>GWAS-07APR1923</v>
      </c>
      <c r="C1762" s="11" t="s">
        <v>3610</v>
      </c>
      <c r="D1762" s="11" t="s">
        <v>2224</v>
      </c>
      <c r="E1762" s="39" t="s">
        <v>4306</v>
      </c>
      <c r="F1762" s="11" t="s">
        <v>1700</v>
      </c>
      <c r="G1762" s="39" t="s">
        <v>2884</v>
      </c>
      <c r="H1762" s="7">
        <v>0</v>
      </c>
      <c r="I1762" s="7">
        <f>1+1</f>
        <v>2</v>
      </c>
      <c r="J1762" s="17">
        <f>3+1</f>
        <v>4</v>
      </c>
      <c r="K1762" s="17"/>
      <c r="L1762" s="7">
        <f t="shared" si="763"/>
        <v>6</v>
      </c>
      <c r="M1762" s="8">
        <v>1</v>
      </c>
      <c r="N1762" s="8">
        <f t="shared" si="764"/>
        <v>1</v>
      </c>
      <c r="O1762" s="11" t="s">
        <v>1702</v>
      </c>
      <c r="P1762" s="16" t="str">
        <f t="shared" si="765"/>
        <v>07-Apr-1923</v>
      </c>
      <c r="R1762" s="16" t="str">
        <f t="shared" si="767"/>
        <v>x</v>
      </c>
      <c r="S1762" s="16" t="str">
        <f t="shared" si="767"/>
        <v>x</v>
      </c>
      <c r="U1762" s="46" t="str">
        <f t="shared" si="743"/>
        <v/>
      </c>
      <c r="V1762" s="46">
        <f t="shared" si="743"/>
        <v>6</v>
      </c>
      <c r="W1762" s="46" t="str">
        <f t="shared" si="743"/>
        <v/>
      </c>
      <c r="X1762" s="46" t="str">
        <f t="shared" si="743"/>
        <v/>
      </c>
    </row>
    <row r="1763" spans="2:24" x14ac:dyDescent="0.25">
      <c r="B1763" s="11" t="str">
        <f t="shared" si="762"/>
        <v>GWAS-07JAN1924</v>
      </c>
      <c r="C1763" s="11" t="s">
        <v>3610</v>
      </c>
      <c r="D1763" s="11" t="s">
        <v>2224</v>
      </c>
      <c r="E1763" s="39" t="s">
        <v>4539</v>
      </c>
      <c r="F1763" s="11" t="s">
        <v>1700</v>
      </c>
      <c r="G1763" s="39" t="s">
        <v>4540</v>
      </c>
      <c r="H1763" s="7">
        <v>0</v>
      </c>
      <c r="I1763" s="7">
        <v>0</v>
      </c>
      <c r="J1763" s="17">
        <f>1+1</f>
        <v>2</v>
      </c>
      <c r="K1763" s="17"/>
      <c r="L1763" s="7">
        <f t="shared" si="763"/>
        <v>2</v>
      </c>
      <c r="M1763" s="8">
        <v>1</v>
      </c>
      <c r="N1763" s="8">
        <f t="shared" si="764"/>
        <v>1</v>
      </c>
      <c r="O1763" s="11" t="s">
        <v>1702</v>
      </c>
      <c r="P1763" s="16" t="str">
        <f t="shared" si="765"/>
        <v>07-Jan-1924</v>
      </c>
      <c r="R1763" s="16" t="str">
        <f t="shared" si="767"/>
        <v>x</v>
      </c>
      <c r="S1763" s="16" t="str">
        <f t="shared" si="767"/>
        <v>x</v>
      </c>
      <c r="U1763" s="46" t="str">
        <f>IF($O1763=U$5,$L1763,"")</f>
        <v/>
      </c>
      <c r="V1763" s="46">
        <f>IF($O1763=V$5,$L1763,"")</f>
        <v>2</v>
      </c>
      <c r="W1763" s="46" t="str">
        <f>IF($O1763=W$5,$L1763,"")</f>
        <v/>
      </c>
      <c r="X1763" s="46" t="str">
        <f>IF($O1763=X$5,$L1763,"")</f>
        <v/>
      </c>
    </row>
    <row r="1764" spans="2:24" x14ac:dyDescent="0.25">
      <c r="B1764" s="11" t="str">
        <f t="shared" si="762"/>
        <v>GWAS-30MAY1924</v>
      </c>
      <c r="C1764" s="11" t="s">
        <v>3610</v>
      </c>
      <c r="D1764" s="11" t="s">
        <v>2224</v>
      </c>
      <c r="E1764" s="39" t="s">
        <v>4337</v>
      </c>
      <c r="F1764" s="11" t="s">
        <v>1700</v>
      </c>
      <c r="G1764" s="39" t="s">
        <v>4338</v>
      </c>
      <c r="H1764" s="7">
        <v>0</v>
      </c>
      <c r="I1764" s="7">
        <f>4+1</f>
        <v>5</v>
      </c>
      <c r="J1764" s="17">
        <f>3+1</f>
        <v>4</v>
      </c>
      <c r="K1764" s="17"/>
      <c r="L1764" s="7">
        <f t="shared" si="763"/>
        <v>9</v>
      </c>
      <c r="M1764" s="8">
        <v>1</v>
      </c>
      <c r="N1764" s="8">
        <f t="shared" si="764"/>
        <v>1</v>
      </c>
      <c r="O1764" s="11" t="s">
        <v>1702</v>
      </c>
      <c r="P1764" s="16" t="str">
        <f t="shared" si="765"/>
        <v>30-May-1924</v>
      </c>
      <c r="R1764" s="16" t="str">
        <f t="shared" si="767"/>
        <v>x</v>
      </c>
      <c r="S1764" s="16" t="str">
        <f t="shared" si="767"/>
        <v>x</v>
      </c>
      <c r="U1764" s="46" t="str">
        <f t="shared" si="743"/>
        <v/>
      </c>
      <c r="V1764" s="46">
        <f t="shared" si="743"/>
        <v>9</v>
      </c>
      <c r="W1764" s="46" t="str">
        <f t="shared" si="743"/>
        <v/>
      </c>
      <c r="X1764" s="46" t="str">
        <f t="shared" si="743"/>
        <v/>
      </c>
    </row>
    <row r="1765" spans="2:24" x14ac:dyDescent="0.25">
      <c r="B1765" s="11" t="str">
        <f t="shared" si="762"/>
        <v>GWAS-05FEB1925</v>
      </c>
      <c r="C1765" s="11" t="s">
        <v>3610</v>
      </c>
      <c r="D1765" s="11" t="s">
        <v>2224</v>
      </c>
      <c r="E1765" s="39" t="s">
        <v>4433</v>
      </c>
      <c r="F1765" s="11" t="s">
        <v>1700</v>
      </c>
      <c r="G1765" s="39" t="s">
        <v>4434</v>
      </c>
      <c r="H1765" s="7">
        <v>0</v>
      </c>
      <c r="I1765" s="7">
        <v>0</v>
      </c>
      <c r="J1765" s="17">
        <f>1+5</f>
        <v>6</v>
      </c>
      <c r="K1765" s="17"/>
      <c r="L1765" s="7">
        <f t="shared" si="763"/>
        <v>6</v>
      </c>
      <c r="M1765" s="8">
        <v>1</v>
      </c>
      <c r="N1765" s="8">
        <f t="shared" si="764"/>
        <v>1</v>
      </c>
      <c r="O1765" s="11" t="s">
        <v>1702</v>
      </c>
      <c r="P1765" s="16" t="str">
        <f t="shared" si="765"/>
        <v>05-Feb-1925</v>
      </c>
      <c r="R1765" s="16" t="str">
        <f t="shared" si="767"/>
        <v>x</v>
      </c>
      <c r="S1765" s="16" t="str">
        <f t="shared" si="767"/>
        <v>x</v>
      </c>
      <c r="U1765" s="46" t="str">
        <f t="shared" si="743"/>
        <v/>
      </c>
      <c r="V1765" s="46">
        <f t="shared" si="743"/>
        <v>6</v>
      </c>
      <c r="W1765" s="46" t="str">
        <f t="shared" si="743"/>
        <v/>
      </c>
      <c r="X1765" s="46" t="str">
        <f t="shared" si="743"/>
        <v/>
      </c>
    </row>
    <row r="1766" spans="2:24" x14ac:dyDescent="0.25">
      <c r="B1766" s="11" t="str">
        <f>CONCATENATE("GWAS","-",LEFT(P1766,2),UPPER(MID(P1766,4,3)),RIGHT(P1766,4))</f>
        <v>GWAS-28JAN1928</v>
      </c>
      <c r="C1766" s="11" t="s">
        <v>3610</v>
      </c>
      <c r="D1766" s="11" t="s">
        <v>2224</v>
      </c>
      <c r="E1766" s="39" t="s">
        <v>5001</v>
      </c>
      <c r="F1766" s="11" t="s">
        <v>1700</v>
      </c>
      <c r="G1766" s="39" t="s">
        <v>5002</v>
      </c>
      <c r="H1766" s="7">
        <v>1</v>
      </c>
      <c r="I1766" s="7">
        <v>0</v>
      </c>
      <c r="J1766" s="17">
        <f>6+1</f>
        <v>7</v>
      </c>
      <c r="K1766" s="17"/>
      <c r="L1766" s="7">
        <f>SUM(H1766:K1766)</f>
        <v>8</v>
      </c>
      <c r="M1766" s="8">
        <v>1</v>
      </c>
      <c r="N1766" s="8">
        <f>IF(L1766&gt;0,1,"")</f>
        <v>1</v>
      </c>
      <c r="O1766" s="11" t="s">
        <v>1702</v>
      </c>
      <c r="P1766" s="16" t="str">
        <f>IF(LEN(G1766)=10,CONCATENATE("0",G1766),G1766)</f>
        <v>28-Jan-1928</v>
      </c>
      <c r="R1766" s="16" t="str">
        <f t="shared" si="767"/>
        <v>x</v>
      </c>
      <c r="S1766" s="16" t="str">
        <f t="shared" si="767"/>
        <v>x</v>
      </c>
      <c r="U1766" s="46" t="str">
        <f t="shared" ref="U1766:X1767" si="769">IF($O1766=U$5,$L1766,"")</f>
        <v/>
      </c>
      <c r="V1766" s="46">
        <f t="shared" si="769"/>
        <v>8</v>
      </c>
      <c r="W1766" s="46" t="str">
        <f t="shared" si="769"/>
        <v/>
      </c>
      <c r="X1766" s="46" t="str">
        <f t="shared" si="769"/>
        <v/>
      </c>
    </row>
    <row r="1767" spans="2:24" x14ac:dyDescent="0.25">
      <c r="B1767" s="11" t="str">
        <f>CONCATENATE("GWAS","-",LEFT(P1767,2),UPPER(MID(P1767,4,3)),RIGHT(P1767,4))</f>
        <v>GWAS-12OCT1928</v>
      </c>
      <c r="C1767" s="11" t="s">
        <v>3610</v>
      </c>
      <c r="D1767" s="11" t="s">
        <v>2224</v>
      </c>
      <c r="E1767" s="39" t="s">
        <v>4546</v>
      </c>
      <c r="F1767" s="11" t="s">
        <v>1700</v>
      </c>
      <c r="G1767" s="39" t="s">
        <v>4547</v>
      </c>
      <c r="H1767" s="7">
        <v>0</v>
      </c>
      <c r="J1767" s="17">
        <f>2+1</f>
        <v>3</v>
      </c>
      <c r="K1767" s="17"/>
      <c r="L1767" s="7">
        <f>SUM(H1767:K1767)</f>
        <v>3</v>
      </c>
      <c r="M1767" s="8">
        <v>1</v>
      </c>
      <c r="N1767" s="8">
        <f>IF(L1767&gt;0,1,"")</f>
        <v>1</v>
      </c>
      <c r="O1767" s="11" t="s">
        <v>1702</v>
      </c>
      <c r="P1767" s="16" t="str">
        <f>IF(LEN(G1767)=10,CONCATENATE("0",G1767),G1767)</f>
        <v>12-Oct-1928</v>
      </c>
      <c r="R1767" s="16" t="str">
        <f t="shared" si="767"/>
        <v>x</v>
      </c>
      <c r="S1767" s="16" t="str">
        <f t="shared" si="767"/>
        <v>x</v>
      </c>
      <c r="U1767" s="46" t="str">
        <f t="shared" si="769"/>
        <v/>
      </c>
      <c r="V1767" s="46">
        <f t="shared" si="769"/>
        <v>3</v>
      </c>
      <c r="W1767" s="46" t="str">
        <f t="shared" si="769"/>
        <v/>
      </c>
      <c r="X1767" s="46" t="str">
        <f t="shared" si="769"/>
        <v/>
      </c>
    </row>
    <row r="1768" spans="2:24" x14ac:dyDescent="0.25">
      <c r="N1768" s="8" t="str">
        <f>IF(R1768="x",1,"")</f>
        <v/>
      </c>
      <c r="U1768" s="46" t="str">
        <f t="shared" si="743"/>
        <v/>
      </c>
      <c r="V1768" s="46" t="str">
        <f t="shared" si="743"/>
        <v/>
      </c>
      <c r="W1768" s="46" t="str">
        <f t="shared" si="743"/>
        <v/>
      </c>
      <c r="X1768" s="46" t="str">
        <f t="shared" si="743"/>
        <v/>
      </c>
    </row>
    <row r="1769" spans="2:24" x14ac:dyDescent="0.25">
      <c r="B1769" s="18"/>
      <c r="C1769" s="18"/>
      <c r="D1769" s="18"/>
      <c r="E1769" s="40"/>
      <c r="F1769" s="18"/>
      <c r="G1769" s="40"/>
      <c r="H1769" s="7">
        <f t="shared" ref="H1769:N1769" si="770">SUM(H1752:H1768)</f>
        <v>1</v>
      </c>
      <c r="I1769" s="7">
        <f t="shared" si="770"/>
        <v>7</v>
      </c>
      <c r="J1769" s="7">
        <f>SUM(J1752:J1768)</f>
        <v>64</v>
      </c>
      <c r="K1769" s="7">
        <f t="shared" si="770"/>
        <v>0</v>
      </c>
      <c r="L1769" s="7">
        <f t="shared" si="770"/>
        <v>72</v>
      </c>
      <c r="M1769" s="7">
        <f t="shared" si="770"/>
        <v>16</v>
      </c>
      <c r="N1769" s="7">
        <f t="shared" si="770"/>
        <v>12</v>
      </c>
      <c r="O1769" s="18"/>
      <c r="P1769" s="13"/>
      <c r="Q1769" s="13"/>
      <c r="S1769" s="13"/>
      <c r="T1769" s="15"/>
      <c r="U1769" s="46" t="str">
        <f t="shared" si="743"/>
        <v/>
      </c>
      <c r="V1769" s="46" t="str">
        <f t="shared" si="743"/>
        <v/>
      </c>
      <c r="W1769" s="46" t="str">
        <f t="shared" si="743"/>
        <v/>
      </c>
      <c r="X1769" s="46" t="str">
        <f t="shared" si="743"/>
        <v/>
      </c>
    </row>
    <row r="1770" spans="2:24" x14ac:dyDescent="0.25">
      <c r="B1770" s="18"/>
      <c r="C1770" s="18"/>
      <c r="D1770" s="18"/>
      <c r="E1770" s="40"/>
      <c r="F1770" s="18"/>
      <c r="G1770" s="40"/>
      <c r="N1770" s="8" t="str">
        <f>IF(R1770="x",1,"")</f>
        <v/>
      </c>
      <c r="O1770" s="18"/>
      <c r="P1770" s="13"/>
      <c r="Q1770" s="13"/>
      <c r="R1770" s="13"/>
      <c r="S1770" s="13"/>
      <c r="T1770" s="15"/>
      <c r="U1770" s="46" t="str">
        <f t="shared" ref="U1770:X1776" si="771">IF($O1770=U$5,$L1770,"")</f>
        <v/>
      </c>
      <c r="V1770" s="46" t="str">
        <f t="shared" si="771"/>
        <v/>
      </c>
      <c r="W1770" s="46" t="str">
        <f t="shared" si="771"/>
        <v/>
      </c>
      <c r="X1770" s="46" t="str">
        <f t="shared" si="771"/>
        <v/>
      </c>
    </row>
    <row r="1771" spans="2:24" x14ac:dyDescent="0.25">
      <c r="B1771" s="18"/>
      <c r="C1771" s="18"/>
      <c r="D1771" s="18"/>
      <c r="E1771" s="40"/>
      <c r="F1771" s="18"/>
      <c r="G1771" s="40"/>
      <c r="N1771" s="8" t="str">
        <f>IF(R1771="x",1,"")</f>
        <v/>
      </c>
      <c r="O1771" s="18"/>
      <c r="P1771" s="13"/>
      <c r="Q1771" s="13"/>
      <c r="R1771" s="13"/>
      <c r="S1771" s="13"/>
      <c r="T1771" s="15"/>
      <c r="U1771" s="46" t="str">
        <f t="shared" si="771"/>
        <v/>
      </c>
      <c r="V1771" s="46" t="str">
        <f t="shared" si="771"/>
        <v/>
      </c>
      <c r="W1771" s="46" t="str">
        <f t="shared" si="771"/>
        <v/>
      </c>
      <c r="X1771" s="46" t="str">
        <f t="shared" si="771"/>
        <v/>
      </c>
    </row>
    <row r="1772" spans="2:24" x14ac:dyDescent="0.25">
      <c r="B1772" s="11" t="str">
        <f>CONCATENATE("GRGA","-",LEFT(P1772,2),UPPER(MID(P1772,4,3)),RIGHT(P1772,4))</f>
        <v>GRGA-18APR1896</v>
      </c>
      <c r="C1772" s="11" t="s">
        <v>3720</v>
      </c>
      <c r="D1772" s="11" t="s">
        <v>3585</v>
      </c>
      <c r="F1772" s="11" t="s">
        <v>1700</v>
      </c>
      <c r="G1772" s="39" t="s">
        <v>6046</v>
      </c>
      <c r="J1772" s="17">
        <v>3</v>
      </c>
      <c r="K1772" s="17"/>
      <c r="L1772" s="7">
        <f>SUM(H1772:K1772)</f>
        <v>3</v>
      </c>
      <c r="M1772" s="8">
        <v>1</v>
      </c>
      <c r="N1772" s="8">
        <f>IF(L1772&gt;0,1,"")</f>
        <v>1</v>
      </c>
      <c r="O1772" s="11" t="s">
        <v>1702</v>
      </c>
      <c r="P1772" s="16" t="str">
        <f>IF(LEN(G1772)=10,CONCATENATE("0",G1772),G1772)</f>
        <v>18-Apr-1896</v>
      </c>
      <c r="R1772" s="16" t="str">
        <f t="shared" ref="R1772:S1774" si="772">IF($L1772&gt;0,"x","")</f>
        <v>x</v>
      </c>
      <c r="S1772" s="16" t="str">
        <f t="shared" si="772"/>
        <v>x</v>
      </c>
      <c r="U1772" s="46" t="str">
        <f t="shared" si="771"/>
        <v/>
      </c>
      <c r="V1772" s="46">
        <f t="shared" si="771"/>
        <v>3</v>
      </c>
      <c r="W1772" s="46" t="str">
        <f t="shared" si="771"/>
        <v/>
      </c>
      <c r="X1772" s="46" t="str">
        <f t="shared" si="771"/>
        <v/>
      </c>
    </row>
    <row r="1773" spans="2:24" x14ac:dyDescent="0.25">
      <c r="B1773" s="11" t="str">
        <f>CONCATENATE("GRGA","-",LEFT(P1773,2),UPPER(MID(P1773,4,3)),RIGHT(P1773,4))</f>
        <v>GRGA-01JUL1901</v>
      </c>
      <c r="C1773" s="11" t="s">
        <v>3720</v>
      </c>
      <c r="D1773" s="11" t="s">
        <v>3007</v>
      </c>
      <c r="E1773" s="39" t="s">
        <v>4680</v>
      </c>
      <c r="F1773" s="11" t="s">
        <v>1700</v>
      </c>
      <c r="G1773" s="39" t="s">
        <v>1680</v>
      </c>
      <c r="J1773" s="17">
        <v>0</v>
      </c>
      <c r="K1773" s="17"/>
      <c r="L1773" s="7">
        <f>SUM(H1773:K1773)</f>
        <v>0</v>
      </c>
      <c r="M1773" s="8">
        <v>1</v>
      </c>
      <c r="N1773" s="8" t="str">
        <f>IF(L1773&gt;0,1,"")</f>
        <v/>
      </c>
      <c r="O1773" s="11" t="s">
        <v>1702</v>
      </c>
      <c r="P1773" s="16" t="str">
        <f>IF(LEN(G1773)=10,CONCATENATE("0",G1773),G1773)</f>
        <v>01-Jul-1901</v>
      </c>
      <c r="R1773" s="16" t="str">
        <f t="shared" si="772"/>
        <v/>
      </c>
      <c r="S1773" s="16" t="str">
        <f t="shared" si="772"/>
        <v/>
      </c>
      <c r="U1773" s="46" t="str">
        <f t="shared" si="771"/>
        <v/>
      </c>
      <c r="V1773" s="46">
        <f t="shared" si="771"/>
        <v>0</v>
      </c>
      <c r="W1773" s="46" t="str">
        <f t="shared" si="771"/>
        <v/>
      </c>
      <c r="X1773" s="46" t="str">
        <f t="shared" si="771"/>
        <v/>
      </c>
    </row>
    <row r="1774" spans="2:24" x14ac:dyDescent="0.25">
      <c r="B1774" s="11" t="str">
        <f>CONCATENATE("GRGA","-",LEFT(P1774,2),UPPER(MID(P1774,4,3)),RIGHT(P1774,4))</f>
        <v>GRGA-19JUL1906</v>
      </c>
      <c r="C1774" s="11" t="s">
        <v>3720</v>
      </c>
      <c r="D1774" s="11" t="s">
        <v>1906</v>
      </c>
      <c r="E1774" s="39" t="s">
        <v>3721</v>
      </c>
      <c r="F1774" s="11" t="s">
        <v>1700</v>
      </c>
      <c r="G1774" s="39" t="s">
        <v>3722</v>
      </c>
      <c r="H1774" s="7">
        <v>4</v>
      </c>
      <c r="J1774" s="17">
        <v>0</v>
      </c>
      <c r="K1774" s="17"/>
      <c r="L1774" s="7">
        <f>SUM(H1774:K1774)</f>
        <v>4</v>
      </c>
      <c r="M1774" s="8">
        <v>1</v>
      </c>
      <c r="N1774" s="8">
        <f>IF(L1774&gt;0,1,"")</f>
        <v>1</v>
      </c>
      <c r="O1774" s="11" t="s">
        <v>1702</v>
      </c>
      <c r="P1774" s="16" t="str">
        <f>IF(LEN(G1774)=10,CONCATENATE("0",G1774),G1774)</f>
        <v>19-Jul-1906</v>
      </c>
      <c r="R1774" s="16" t="str">
        <f t="shared" si="772"/>
        <v>x</v>
      </c>
      <c r="S1774" s="16" t="str">
        <f t="shared" si="772"/>
        <v>x</v>
      </c>
      <c r="U1774" s="46" t="str">
        <f>IF($O1774=U$5,$L1774,"")</f>
        <v/>
      </c>
      <c r="V1774" s="46">
        <f>IF($O1774=V$5,$L1774,"")</f>
        <v>4</v>
      </c>
      <c r="W1774" s="46" t="str">
        <f>IF($O1774=W$5,$L1774,"")</f>
        <v/>
      </c>
      <c r="X1774" s="46" t="str">
        <f>IF($O1774=X$5,$L1774,"")</f>
        <v/>
      </c>
    </row>
    <row r="1775" spans="2:24" x14ac:dyDescent="0.25">
      <c r="N1775" s="8" t="str">
        <f>IF(R1775="x",1,"")</f>
        <v/>
      </c>
      <c r="U1775" s="46" t="str">
        <f t="shared" si="771"/>
        <v/>
      </c>
      <c r="V1775" s="46" t="str">
        <f t="shared" si="771"/>
        <v/>
      </c>
      <c r="W1775" s="46" t="str">
        <f t="shared" si="771"/>
        <v/>
      </c>
      <c r="X1775" s="46" t="str">
        <f t="shared" si="771"/>
        <v/>
      </c>
    </row>
    <row r="1776" spans="2:24" x14ac:dyDescent="0.25">
      <c r="B1776" s="18"/>
      <c r="C1776" s="18"/>
      <c r="D1776" s="18"/>
      <c r="E1776" s="40"/>
      <c r="F1776" s="18"/>
      <c r="G1776" s="40"/>
      <c r="H1776" s="7">
        <f t="shared" ref="H1776:N1776" si="773">SUM(H1772:H1775)</f>
        <v>4</v>
      </c>
      <c r="I1776" s="7">
        <f t="shared" si="773"/>
        <v>0</v>
      </c>
      <c r="J1776" s="7">
        <f>SUM(J1772:J1775)</f>
        <v>3</v>
      </c>
      <c r="K1776" s="7">
        <f t="shared" si="773"/>
        <v>0</v>
      </c>
      <c r="L1776" s="7">
        <f t="shared" si="773"/>
        <v>7</v>
      </c>
      <c r="M1776" s="7">
        <f t="shared" si="773"/>
        <v>3</v>
      </c>
      <c r="N1776" s="7">
        <f t="shared" si="773"/>
        <v>2</v>
      </c>
      <c r="O1776" s="18"/>
      <c r="P1776" s="13"/>
      <c r="Q1776" s="13"/>
      <c r="S1776" s="13"/>
      <c r="T1776" s="15"/>
      <c r="U1776" s="46" t="str">
        <f t="shared" si="771"/>
        <v/>
      </c>
      <c r="V1776" s="46" t="str">
        <f t="shared" si="771"/>
        <v/>
      </c>
      <c r="W1776" s="46" t="str">
        <f t="shared" si="771"/>
        <v/>
      </c>
      <c r="X1776" s="46" t="str">
        <f t="shared" si="771"/>
        <v/>
      </c>
    </row>
    <row r="1777" spans="2:26" x14ac:dyDescent="0.25">
      <c r="B1777" s="18"/>
      <c r="C1777" s="18"/>
      <c r="D1777" s="18"/>
      <c r="E1777" s="40"/>
      <c r="F1777" s="18"/>
      <c r="G1777" s="40"/>
      <c r="N1777" s="8" t="str">
        <f>IF(R1777="x",1,"")</f>
        <v/>
      </c>
      <c r="O1777" s="18"/>
      <c r="P1777" s="13"/>
      <c r="Q1777" s="13"/>
      <c r="R1777" s="13"/>
      <c r="S1777" s="13"/>
      <c r="T1777" s="15"/>
      <c r="U1777" s="46" t="str">
        <f t="shared" si="743"/>
        <v/>
      </c>
      <c r="V1777" s="46" t="str">
        <f t="shared" si="743"/>
        <v/>
      </c>
      <c r="W1777" s="46" t="str">
        <f t="shared" si="743"/>
        <v/>
      </c>
      <c r="X1777" s="46" t="str">
        <f t="shared" si="743"/>
        <v/>
      </c>
    </row>
    <row r="1778" spans="2:26" x14ac:dyDescent="0.25">
      <c r="B1778" s="18"/>
      <c r="C1778" s="18"/>
      <c r="D1778" s="18"/>
      <c r="E1778" s="40"/>
      <c r="F1778" s="18"/>
      <c r="G1778" s="40"/>
      <c r="N1778" s="8" t="str">
        <f>IF(R1778="x",1,"")</f>
        <v/>
      </c>
      <c r="O1778" s="18"/>
      <c r="P1778" s="13"/>
      <c r="Q1778" s="13"/>
      <c r="R1778" s="13"/>
      <c r="S1778" s="13"/>
      <c r="T1778" s="15"/>
      <c r="U1778" s="46" t="str">
        <f t="shared" si="743"/>
        <v/>
      </c>
      <c r="V1778" s="46" t="str">
        <f t="shared" si="743"/>
        <v/>
      </c>
      <c r="W1778" s="46" t="str">
        <f t="shared" si="743"/>
        <v/>
      </c>
      <c r="X1778" s="46" t="str">
        <f t="shared" si="743"/>
        <v/>
      </c>
    </row>
    <row r="1779" spans="2:26" x14ac:dyDescent="0.25">
      <c r="B1779" s="11" t="str">
        <f>CONCATENATE("GRGC","-",LEFT(P1779,2),UPPER(MID(P1779,4,3)),RIGHT(P1779,4))</f>
        <v>GRGC-26SEP1937</v>
      </c>
      <c r="C1779" s="11" t="s">
        <v>5947</v>
      </c>
      <c r="D1779" s="11" t="s">
        <v>1699</v>
      </c>
      <c r="E1779" s="39" t="s">
        <v>5948</v>
      </c>
      <c r="F1779" s="11" t="s">
        <v>1700</v>
      </c>
      <c r="G1779" s="39" t="s">
        <v>5949</v>
      </c>
      <c r="I1779" s="7">
        <v>0</v>
      </c>
      <c r="J1779" s="17">
        <f>15+1</f>
        <v>16</v>
      </c>
      <c r="K1779" s="17"/>
      <c r="L1779" s="7">
        <f>SUM(H1779:K1779)</f>
        <v>16</v>
      </c>
      <c r="M1779" s="8">
        <v>1</v>
      </c>
      <c r="N1779" s="8">
        <f>IF(L1779&gt;0,1,"")</f>
        <v>1</v>
      </c>
      <c r="O1779" s="11" t="s">
        <v>1702</v>
      </c>
      <c r="P1779" s="16" t="str">
        <f>IF(LEN(G1779)=10,CONCATENATE("0",G1779),G1779)</f>
        <v>26-Sep-1937</v>
      </c>
      <c r="R1779" s="16" t="str">
        <f>IF($L1779&gt;0,"x","")</f>
        <v>x</v>
      </c>
      <c r="S1779" s="16" t="str">
        <f>IF($L1779&gt;0,"x","")</f>
        <v>x</v>
      </c>
      <c r="U1779" s="46" t="str">
        <f t="shared" si="743"/>
        <v/>
      </c>
      <c r="V1779" s="46">
        <f t="shared" si="743"/>
        <v>16</v>
      </c>
      <c r="W1779" s="46" t="str">
        <f t="shared" si="743"/>
        <v/>
      </c>
      <c r="X1779" s="46" t="str">
        <f t="shared" si="743"/>
        <v/>
      </c>
    </row>
    <row r="1780" spans="2:26" x14ac:dyDescent="0.25">
      <c r="N1780" s="8" t="str">
        <f>IF(R1780="x",1,"")</f>
        <v/>
      </c>
      <c r="U1780" s="46" t="str">
        <f t="shared" si="743"/>
        <v/>
      </c>
      <c r="V1780" s="46" t="str">
        <f t="shared" si="743"/>
        <v/>
      </c>
      <c r="W1780" s="46" t="str">
        <f t="shared" si="743"/>
        <v/>
      </c>
      <c r="X1780" s="46" t="str">
        <f t="shared" si="743"/>
        <v/>
      </c>
    </row>
    <row r="1781" spans="2:26" x14ac:dyDescent="0.25">
      <c r="B1781" s="18"/>
      <c r="C1781" s="18"/>
      <c r="D1781" s="18"/>
      <c r="E1781" s="40"/>
      <c r="F1781" s="18"/>
      <c r="G1781" s="40"/>
      <c r="H1781" s="7">
        <f t="shared" ref="H1781:N1781" si="774">SUM(H1779:H1780)</f>
        <v>0</v>
      </c>
      <c r="I1781" s="7">
        <f t="shared" si="774"/>
        <v>0</v>
      </c>
      <c r="J1781" s="7">
        <f>SUM(J1779:J1780)</f>
        <v>16</v>
      </c>
      <c r="K1781" s="7">
        <f t="shared" si="774"/>
        <v>0</v>
      </c>
      <c r="L1781" s="7">
        <f t="shared" si="774"/>
        <v>16</v>
      </c>
      <c r="M1781" s="7">
        <f t="shared" si="774"/>
        <v>1</v>
      </c>
      <c r="N1781" s="7">
        <f t="shared" si="774"/>
        <v>1</v>
      </c>
      <c r="O1781" s="18"/>
      <c r="P1781" s="13"/>
      <c r="Q1781" s="13"/>
      <c r="S1781" s="13"/>
      <c r="T1781" s="15"/>
      <c r="U1781" s="46" t="str">
        <f t="shared" si="743"/>
        <v/>
      </c>
      <c r="V1781" s="46" t="str">
        <f t="shared" si="743"/>
        <v/>
      </c>
      <c r="W1781" s="46" t="str">
        <f t="shared" si="743"/>
        <v/>
      </c>
      <c r="X1781" s="46" t="str">
        <f t="shared" si="743"/>
        <v/>
      </c>
    </row>
    <row r="1782" spans="2:26" x14ac:dyDescent="0.25">
      <c r="B1782" s="18"/>
      <c r="C1782" s="18"/>
      <c r="D1782" s="18"/>
      <c r="E1782" s="40"/>
      <c r="F1782" s="18"/>
      <c r="G1782" s="40"/>
      <c r="N1782" s="8" t="str">
        <f>IF(R1782="x",1,"")</f>
        <v/>
      </c>
      <c r="O1782" s="18"/>
      <c r="P1782" s="13"/>
      <c r="Q1782" s="13"/>
      <c r="R1782" s="13"/>
      <c r="S1782" s="13"/>
      <c r="T1782" s="15"/>
      <c r="U1782" s="46" t="str">
        <f t="shared" si="743"/>
        <v/>
      </c>
      <c r="V1782" s="46" t="str">
        <f t="shared" si="743"/>
        <v/>
      </c>
      <c r="W1782" s="46" t="str">
        <f t="shared" si="743"/>
        <v/>
      </c>
      <c r="X1782" s="46" t="str">
        <f t="shared" si="743"/>
        <v/>
      </c>
    </row>
    <row r="1783" spans="2:26" x14ac:dyDescent="0.25">
      <c r="B1783" s="18"/>
      <c r="C1783" s="18"/>
      <c r="D1783" s="18"/>
      <c r="E1783" s="40"/>
      <c r="F1783" s="18"/>
      <c r="G1783" s="40"/>
      <c r="N1783" s="8" t="str">
        <f>IF(R1783="x",1,"")</f>
        <v/>
      </c>
      <c r="O1783" s="18"/>
      <c r="P1783" s="13"/>
      <c r="Q1783" s="13"/>
      <c r="R1783" s="13"/>
      <c r="S1783" s="13"/>
      <c r="T1783" s="15"/>
      <c r="U1783" s="46" t="str">
        <f t="shared" si="743"/>
        <v/>
      </c>
      <c r="V1783" s="46" t="str">
        <f t="shared" si="743"/>
        <v/>
      </c>
      <c r="W1783" s="46" t="str">
        <f t="shared" si="743"/>
        <v/>
      </c>
      <c r="X1783" s="46" t="str">
        <f t="shared" si="743"/>
        <v/>
      </c>
    </row>
    <row r="1784" spans="2:26" x14ac:dyDescent="0.25">
      <c r="B1784" s="11" t="str">
        <f>CONCATENATE("GERG","-",LEFT(P1784,2),UPPER(MID(P1784,4,3)),RIGHT(P1784,4))</f>
        <v>GERG-08NOV1902</v>
      </c>
      <c r="C1784" s="11" t="s">
        <v>3232</v>
      </c>
      <c r="D1784" s="11" t="s">
        <v>870</v>
      </c>
      <c r="E1784" s="39" t="s">
        <v>1380</v>
      </c>
      <c r="F1784" s="11" t="s">
        <v>1700</v>
      </c>
      <c r="G1784" s="39" t="s">
        <v>1630</v>
      </c>
      <c r="J1784" s="17">
        <v>4</v>
      </c>
      <c r="K1784" s="17"/>
      <c r="L1784" s="7">
        <f>SUM(H1784:K1784)</f>
        <v>4</v>
      </c>
      <c r="M1784" s="8">
        <v>1</v>
      </c>
      <c r="N1784" s="8">
        <f>IF(L1784&gt;0,1,"")</f>
        <v>1</v>
      </c>
      <c r="O1784" s="11" t="s">
        <v>1702</v>
      </c>
      <c r="P1784" s="16" t="str">
        <f>IF(LEN(G1784)=10,CONCATENATE("0",G1784),G1784)</f>
        <v>08-Nov-1902</v>
      </c>
      <c r="R1784" s="16" t="str">
        <f>IF($L1784&gt;0,"x","")</f>
        <v>x</v>
      </c>
      <c r="S1784" s="16" t="str">
        <f>IF($L1784&gt;0,"x","")</f>
        <v>x</v>
      </c>
      <c r="U1784" s="46" t="str">
        <f t="shared" si="743"/>
        <v/>
      </c>
      <c r="V1784" s="46">
        <f t="shared" si="743"/>
        <v>4</v>
      </c>
      <c r="W1784" s="46" t="str">
        <f t="shared" si="743"/>
        <v/>
      </c>
      <c r="X1784" s="46" t="str">
        <f t="shared" si="743"/>
        <v/>
      </c>
    </row>
    <row r="1785" spans="2:26" x14ac:dyDescent="0.25">
      <c r="N1785" s="8" t="str">
        <f>IF(R1785="x",1,"")</f>
        <v/>
      </c>
      <c r="U1785" s="46" t="str">
        <f t="shared" si="743"/>
        <v/>
      </c>
      <c r="V1785" s="46" t="str">
        <f t="shared" si="743"/>
        <v/>
      </c>
      <c r="W1785" s="46" t="str">
        <f t="shared" si="743"/>
        <v/>
      </c>
      <c r="X1785" s="46" t="str">
        <f t="shared" si="743"/>
        <v/>
      </c>
    </row>
    <row r="1786" spans="2:26" x14ac:dyDescent="0.25">
      <c r="B1786" s="18"/>
      <c r="C1786" s="18"/>
      <c r="D1786" s="18"/>
      <c r="E1786" s="40"/>
      <c r="F1786" s="18"/>
      <c r="G1786" s="40"/>
      <c r="H1786" s="7">
        <f t="shared" ref="H1786:N1786" si="775">SUM(H1784:H1785)</f>
        <v>0</v>
      </c>
      <c r="I1786" s="7">
        <f t="shared" si="775"/>
        <v>0</v>
      </c>
      <c r="J1786" s="7">
        <f>SUM(J1784:J1785)</f>
        <v>4</v>
      </c>
      <c r="K1786" s="7">
        <f t="shared" si="775"/>
        <v>0</v>
      </c>
      <c r="L1786" s="7">
        <f t="shared" si="775"/>
        <v>4</v>
      </c>
      <c r="M1786" s="7">
        <f t="shared" si="775"/>
        <v>1</v>
      </c>
      <c r="N1786" s="7">
        <f t="shared" si="775"/>
        <v>1</v>
      </c>
      <c r="O1786" s="18"/>
      <c r="P1786" s="13"/>
      <c r="Q1786" s="13"/>
      <c r="S1786" s="13"/>
      <c r="T1786" s="15"/>
      <c r="U1786" s="46" t="str">
        <f t="shared" si="743"/>
        <v/>
      </c>
      <c r="V1786" s="46" t="str">
        <f t="shared" si="743"/>
        <v/>
      </c>
      <c r="W1786" s="46" t="str">
        <f t="shared" si="743"/>
        <v/>
      </c>
      <c r="X1786" s="46" t="str">
        <f t="shared" si="743"/>
        <v/>
      </c>
    </row>
    <row r="1787" spans="2:26" s="18" customFormat="1" x14ac:dyDescent="0.25">
      <c r="E1787" s="40"/>
      <c r="G1787" s="40"/>
      <c r="H1787" s="7"/>
      <c r="I1787" s="7"/>
      <c r="J1787" s="7"/>
      <c r="K1787" s="7"/>
      <c r="L1787" s="7"/>
      <c r="M1787" s="8"/>
      <c r="N1787" s="8" t="str">
        <f>IF(R1787="x",1,"")</f>
        <v/>
      </c>
      <c r="P1787" s="13"/>
      <c r="Q1787" s="13"/>
      <c r="R1787" s="13"/>
      <c r="S1787" s="13"/>
      <c r="T1787" s="15"/>
      <c r="U1787" s="46" t="str">
        <f t="shared" si="743"/>
        <v/>
      </c>
      <c r="V1787" s="46" t="str">
        <f t="shared" si="743"/>
        <v/>
      </c>
      <c r="W1787" s="46" t="str">
        <f t="shared" si="743"/>
        <v/>
      </c>
      <c r="X1787" s="46" t="str">
        <f t="shared" si="743"/>
        <v/>
      </c>
      <c r="Z1787" s="11"/>
    </row>
    <row r="1788" spans="2:26" s="18" customFormat="1" x14ac:dyDescent="0.25">
      <c r="E1788" s="40"/>
      <c r="G1788" s="40"/>
      <c r="H1788" s="7"/>
      <c r="I1788" s="7"/>
      <c r="J1788" s="7"/>
      <c r="K1788" s="7"/>
      <c r="L1788" s="7"/>
      <c r="M1788" s="8"/>
      <c r="N1788" s="8" t="str">
        <f>IF(R1788="x",1,"")</f>
        <v/>
      </c>
      <c r="P1788" s="13"/>
      <c r="Q1788" s="13"/>
      <c r="R1788" s="13"/>
      <c r="S1788" s="13"/>
      <c r="T1788" s="15"/>
      <c r="U1788" s="46" t="str">
        <f t="shared" si="743"/>
        <v/>
      </c>
      <c r="V1788" s="46" t="str">
        <f t="shared" si="743"/>
        <v/>
      </c>
      <c r="W1788" s="46" t="str">
        <f t="shared" si="743"/>
        <v/>
      </c>
      <c r="X1788" s="46" t="str">
        <f t="shared" si="743"/>
        <v/>
      </c>
      <c r="Z1788" s="11"/>
    </row>
    <row r="1789" spans="2:26" x14ac:dyDescent="0.25">
      <c r="B1789" s="11" t="str">
        <f t="shared" ref="B1789:B1799" si="776">CONCATENATE("GERM","-",LEFT(P1789,2),UPPER(MID(P1789,4,3)),RIGHT(P1789,4))</f>
        <v>GERM-17JUL1905</v>
      </c>
      <c r="C1789" s="11" t="s">
        <v>1600</v>
      </c>
      <c r="D1789" s="11" t="s">
        <v>870</v>
      </c>
      <c r="E1789" s="39" t="s">
        <v>3758</v>
      </c>
      <c r="F1789" s="11" t="s">
        <v>1700</v>
      </c>
      <c r="G1789" s="39" t="s">
        <v>6076</v>
      </c>
      <c r="J1789" s="17">
        <v>18</v>
      </c>
      <c r="K1789" s="17"/>
      <c r="L1789" s="7">
        <f t="shared" ref="L1789:L1799" si="777">SUM(H1789:K1789)</f>
        <v>18</v>
      </c>
      <c r="M1789" s="8">
        <v>1</v>
      </c>
      <c r="N1789" s="8">
        <f t="shared" ref="N1789:N1799" si="778">IF(L1789&gt;0,1,"")</f>
        <v>1</v>
      </c>
      <c r="O1789" s="11" t="s">
        <v>1702</v>
      </c>
      <c r="P1789" s="16" t="str">
        <f t="shared" ref="P1789:P1799" si="779">IF(LEN(G1789)=10,CONCATENATE("0",G1789),G1789)</f>
        <v>17-Jul-1905</v>
      </c>
      <c r="R1789" s="16" t="str">
        <f t="shared" ref="R1789:S1791" si="780">IF($L1789&gt;0,"x","")</f>
        <v>x</v>
      </c>
      <c r="S1789" s="16" t="str">
        <f t="shared" si="780"/>
        <v>x</v>
      </c>
      <c r="U1789" s="46" t="str">
        <f t="shared" si="743"/>
        <v/>
      </c>
      <c r="V1789" s="46">
        <f t="shared" si="743"/>
        <v>18</v>
      </c>
      <c r="W1789" s="46" t="str">
        <f t="shared" si="743"/>
        <v/>
      </c>
      <c r="X1789" s="46" t="str">
        <f t="shared" si="743"/>
        <v/>
      </c>
    </row>
    <row r="1790" spans="2:26" x14ac:dyDescent="0.25">
      <c r="B1790" s="11" t="str">
        <f>CONCATENATE("GERM","-",LEFT(P1790,2),UPPER(MID(P1790,4,3)),RIGHT(P1790,4))</f>
        <v>GERM-17JUL1905</v>
      </c>
      <c r="C1790" s="11" t="s">
        <v>1600</v>
      </c>
      <c r="D1790" s="11" t="s">
        <v>3007</v>
      </c>
      <c r="E1790" s="39" t="s">
        <v>6077</v>
      </c>
      <c r="F1790" s="11" t="s">
        <v>1700</v>
      </c>
      <c r="G1790" s="39" t="s">
        <v>6076</v>
      </c>
      <c r="H1790" s="7">
        <v>0</v>
      </c>
      <c r="J1790" s="17">
        <v>0</v>
      </c>
      <c r="K1790" s="17"/>
      <c r="L1790" s="7">
        <f>SUM(H1790:K1790)</f>
        <v>0</v>
      </c>
      <c r="M1790" s="8">
        <v>1</v>
      </c>
      <c r="N1790" s="8" t="str">
        <f>IF(L1790&gt;0,1,"")</f>
        <v/>
      </c>
      <c r="O1790" s="11" t="s">
        <v>1702</v>
      </c>
      <c r="P1790" s="16" t="str">
        <f>IF(LEN(G1790)=10,CONCATENATE("0",G1790),G1790)</f>
        <v>17-Jul-1905</v>
      </c>
      <c r="R1790" s="16" t="str">
        <f t="shared" si="780"/>
        <v/>
      </c>
      <c r="S1790" s="16" t="str">
        <f t="shared" si="780"/>
        <v/>
      </c>
      <c r="U1790" s="46" t="str">
        <f t="shared" ref="U1790:X1792" si="781">IF($O1790=U$5,$L1790,"")</f>
        <v/>
      </c>
      <c r="V1790" s="46">
        <f t="shared" si="781"/>
        <v>0</v>
      </c>
      <c r="W1790" s="46" t="str">
        <f t="shared" si="781"/>
        <v/>
      </c>
      <c r="X1790" s="46" t="str">
        <f t="shared" si="781"/>
        <v/>
      </c>
    </row>
    <row r="1791" spans="2:26" x14ac:dyDescent="0.25">
      <c r="B1791" s="11" t="str">
        <f>CONCATENATE("GERM","-",LEFT(P1791,2),UPPER(MID(P1791,4,3)),RIGHT(P1791,4))</f>
        <v>GERM-21NOV1911</v>
      </c>
      <c r="C1791" s="11" t="s">
        <v>1600</v>
      </c>
      <c r="D1791" s="11" t="s">
        <v>870</v>
      </c>
      <c r="E1791" s="39" t="s">
        <v>3599</v>
      </c>
      <c r="F1791" s="11" t="s">
        <v>1602</v>
      </c>
      <c r="G1791" s="39" t="s">
        <v>1310</v>
      </c>
      <c r="H1791" s="7">
        <v>0</v>
      </c>
      <c r="J1791" s="17">
        <v>37</v>
      </c>
      <c r="K1791" s="17"/>
      <c r="L1791" s="7">
        <f>SUM(H1791:K1791)</f>
        <v>37</v>
      </c>
      <c r="M1791" s="8">
        <v>1</v>
      </c>
      <c r="N1791" s="8">
        <f>IF(L1791&gt;0,1,"")</f>
        <v>1</v>
      </c>
      <c r="O1791" s="11" t="s">
        <v>1702</v>
      </c>
      <c r="P1791" s="16" t="str">
        <f>IF(LEN(G1791)=10,CONCATENATE("0",G1791),G1791)</f>
        <v>21-Nov-1911</v>
      </c>
      <c r="R1791" s="16" t="str">
        <f t="shared" si="780"/>
        <v>x</v>
      </c>
      <c r="S1791" s="16" t="str">
        <f t="shared" si="780"/>
        <v>x</v>
      </c>
      <c r="U1791" s="46" t="str">
        <f t="shared" si="781"/>
        <v/>
      </c>
      <c r="V1791" s="46">
        <f t="shared" si="781"/>
        <v>37</v>
      </c>
      <c r="W1791" s="46" t="str">
        <f t="shared" si="781"/>
        <v/>
      </c>
      <c r="X1791" s="46" t="str">
        <f t="shared" si="781"/>
        <v/>
      </c>
    </row>
    <row r="1792" spans="2:26" x14ac:dyDescent="0.25">
      <c r="B1792" s="11" t="str">
        <f>CONCATENATE("GERM","-",LEFT(P1792,2),UPPER(MID(P1792,4,3)),RIGHT(P1792,4))</f>
        <v>GERM-08JAN1912</v>
      </c>
      <c r="C1792" s="11" t="s">
        <v>1600</v>
      </c>
      <c r="D1792" s="11" t="s">
        <v>870</v>
      </c>
      <c r="E1792" s="39" t="s">
        <v>1601</v>
      </c>
      <c r="F1792" s="11" t="s">
        <v>1602</v>
      </c>
      <c r="G1792" s="39" t="s">
        <v>1603</v>
      </c>
      <c r="J1792" s="17">
        <v>60</v>
      </c>
      <c r="K1792" s="17"/>
      <c r="L1792" s="7">
        <f>SUM(H1792:K1792)</f>
        <v>60</v>
      </c>
      <c r="M1792" s="8">
        <v>1</v>
      </c>
      <c r="N1792" s="8">
        <f>IF(L1792&gt;0,1,"")</f>
        <v>1</v>
      </c>
      <c r="O1792" s="11" t="s">
        <v>1702</v>
      </c>
      <c r="P1792" s="16" t="str">
        <f>IF(LEN(G1792)=10,CONCATENATE("0",G1792),G1792)</f>
        <v>08-Jan-1912</v>
      </c>
      <c r="R1792" s="16" t="str">
        <f t="shared" ref="R1792:S1803" si="782">IF($L1792&gt;0,"x","")</f>
        <v>x</v>
      </c>
      <c r="S1792" s="16" t="str">
        <f t="shared" si="782"/>
        <v>x</v>
      </c>
      <c r="U1792" s="46" t="str">
        <f t="shared" si="781"/>
        <v/>
      </c>
      <c r="V1792" s="46">
        <f t="shared" si="781"/>
        <v>60</v>
      </c>
      <c r="W1792" s="46" t="str">
        <f t="shared" si="781"/>
        <v/>
      </c>
      <c r="X1792" s="46" t="str">
        <f t="shared" si="781"/>
        <v/>
      </c>
    </row>
    <row r="1793" spans="2:26" x14ac:dyDescent="0.25">
      <c r="B1793" s="11" t="str">
        <f>CONCATENATE("GERM","-",LEFT(P1793,2),UPPER(MID(P1793,4,3)),RIGHT(P1793,4))</f>
        <v>GERM-10JAN1912</v>
      </c>
      <c r="C1793" s="11" t="s">
        <v>1600</v>
      </c>
      <c r="D1793" s="11" t="s">
        <v>870</v>
      </c>
      <c r="E1793" s="39" t="s">
        <v>1601</v>
      </c>
      <c r="F1793" s="11" t="s">
        <v>1700</v>
      </c>
      <c r="G1793" s="39" t="s">
        <v>2508</v>
      </c>
      <c r="H1793" s="7">
        <v>0</v>
      </c>
      <c r="I1793" s="7">
        <v>0</v>
      </c>
      <c r="J1793" s="17">
        <v>5</v>
      </c>
      <c r="K1793" s="17"/>
      <c r="L1793" s="7">
        <f>SUM(H1793:K1793)</f>
        <v>5</v>
      </c>
      <c r="M1793" s="8">
        <v>1</v>
      </c>
      <c r="N1793" s="8">
        <f>IF(L1793&gt;0,1,"")</f>
        <v>1</v>
      </c>
      <c r="O1793" s="11" t="s">
        <v>1702</v>
      </c>
      <c r="P1793" s="16" t="str">
        <f>IF(LEN(G1793)=10,CONCATENATE("0",G1793),G1793)</f>
        <v>10-Jan-1912</v>
      </c>
      <c r="R1793" s="16" t="str">
        <f t="shared" si="782"/>
        <v>x</v>
      </c>
      <c r="S1793" s="16" t="str">
        <f t="shared" si="782"/>
        <v>x</v>
      </c>
      <c r="U1793" s="46" t="str">
        <f t="shared" si="743"/>
        <v/>
      </c>
      <c r="V1793" s="46">
        <f t="shared" si="743"/>
        <v>5</v>
      </c>
      <c r="W1793" s="46" t="str">
        <f t="shared" si="743"/>
        <v/>
      </c>
      <c r="X1793" s="46" t="str">
        <f t="shared" si="743"/>
        <v/>
      </c>
    </row>
    <row r="1794" spans="2:26" x14ac:dyDescent="0.25">
      <c r="B1794" s="11" t="str">
        <f t="shared" si="776"/>
        <v>GERM-24FEB1912</v>
      </c>
      <c r="C1794" s="11" t="s">
        <v>1600</v>
      </c>
      <c r="D1794" s="11" t="s">
        <v>870</v>
      </c>
      <c r="E1794" s="39" t="s">
        <v>1606</v>
      </c>
      <c r="F1794" s="11" t="s">
        <v>1602</v>
      </c>
      <c r="G1794" s="39" t="s">
        <v>1530</v>
      </c>
      <c r="J1794" s="17">
        <v>27</v>
      </c>
      <c r="K1794" s="17"/>
      <c r="L1794" s="7">
        <f t="shared" si="777"/>
        <v>27</v>
      </c>
      <c r="M1794" s="8">
        <v>1</v>
      </c>
      <c r="N1794" s="8">
        <f t="shared" si="778"/>
        <v>1</v>
      </c>
      <c r="O1794" s="11" t="s">
        <v>1702</v>
      </c>
      <c r="P1794" s="16" t="str">
        <f t="shared" si="779"/>
        <v>24-Feb-1912</v>
      </c>
      <c r="R1794" s="16" t="str">
        <f t="shared" si="782"/>
        <v>x</v>
      </c>
      <c r="S1794" s="16" t="str">
        <f t="shared" si="782"/>
        <v>x</v>
      </c>
      <c r="U1794" s="46" t="str">
        <f t="shared" si="743"/>
        <v/>
      </c>
      <c r="V1794" s="46">
        <f t="shared" si="743"/>
        <v>27</v>
      </c>
      <c r="W1794" s="46" t="str">
        <f t="shared" si="743"/>
        <v/>
      </c>
      <c r="X1794" s="46" t="str">
        <f t="shared" si="743"/>
        <v/>
      </c>
    </row>
    <row r="1795" spans="2:26" x14ac:dyDescent="0.25">
      <c r="B1795" s="11" t="str">
        <f t="shared" si="776"/>
        <v>GERM-24NOV1912</v>
      </c>
      <c r="C1795" s="11" t="s">
        <v>1600</v>
      </c>
      <c r="D1795" s="11" t="s">
        <v>870</v>
      </c>
      <c r="E1795" s="39" t="s">
        <v>3995</v>
      </c>
      <c r="F1795" s="11" t="s">
        <v>1602</v>
      </c>
      <c r="G1795" s="39" t="s">
        <v>3996</v>
      </c>
      <c r="I1795" s="7">
        <v>0</v>
      </c>
      <c r="J1795" s="17">
        <v>34</v>
      </c>
      <c r="K1795" s="17"/>
      <c r="L1795" s="7">
        <f t="shared" si="777"/>
        <v>34</v>
      </c>
      <c r="M1795" s="8">
        <v>1</v>
      </c>
      <c r="N1795" s="8">
        <f t="shared" si="778"/>
        <v>1</v>
      </c>
      <c r="O1795" s="11" t="s">
        <v>1702</v>
      </c>
      <c r="P1795" s="16" t="str">
        <f t="shared" si="779"/>
        <v>24-Nov-1912</v>
      </c>
      <c r="R1795" s="16" t="str">
        <f t="shared" si="782"/>
        <v>x</v>
      </c>
      <c r="S1795" s="16" t="str">
        <f t="shared" si="782"/>
        <v>x</v>
      </c>
      <c r="U1795" s="46" t="str">
        <f t="shared" si="743"/>
        <v/>
      </c>
      <c r="V1795" s="46">
        <f t="shared" si="743"/>
        <v>34</v>
      </c>
      <c r="W1795" s="46" t="str">
        <f t="shared" si="743"/>
        <v/>
      </c>
      <c r="X1795" s="46" t="str">
        <f t="shared" si="743"/>
        <v/>
      </c>
    </row>
    <row r="1796" spans="2:26" x14ac:dyDescent="0.25">
      <c r="B1796" s="11" t="str">
        <f t="shared" si="776"/>
        <v>GERM-10JAN1913</v>
      </c>
      <c r="C1796" s="11" t="s">
        <v>1600</v>
      </c>
      <c r="D1796" s="11" t="s">
        <v>870</v>
      </c>
      <c r="E1796" s="39" t="s">
        <v>3813</v>
      </c>
      <c r="F1796" s="11" t="s">
        <v>1602</v>
      </c>
      <c r="G1796" s="39" t="s">
        <v>3923</v>
      </c>
      <c r="I1796" s="7">
        <v>1</v>
      </c>
      <c r="J1796" s="17">
        <v>50</v>
      </c>
      <c r="K1796" s="17"/>
      <c r="L1796" s="7">
        <f t="shared" si="777"/>
        <v>51</v>
      </c>
      <c r="M1796" s="8">
        <v>1</v>
      </c>
      <c r="N1796" s="8">
        <f t="shared" si="778"/>
        <v>1</v>
      </c>
      <c r="O1796" s="11" t="s">
        <v>1702</v>
      </c>
      <c r="P1796" s="16" t="str">
        <f t="shared" si="779"/>
        <v>10-Jan-1913</v>
      </c>
      <c r="R1796" s="16" t="str">
        <f t="shared" si="782"/>
        <v>x</v>
      </c>
      <c r="S1796" s="16" t="str">
        <f t="shared" si="782"/>
        <v>x</v>
      </c>
      <c r="U1796" s="46" t="str">
        <f t="shared" si="743"/>
        <v/>
      </c>
      <c r="V1796" s="46">
        <f t="shared" si="743"/>
        <v>51</v>
      </c>
      <c r="W1796" s="46" t="str">
        <f t="shared" si="743"/>
        <v/>
      </c>
      <c r="X1796" s="46" t="str">
        <f t="shared" si="743"/>
        <v/>
      </c>
    </row>
    <row r="1797" spans="2:26" x14ac:dyDescent="0.25">
      <c r="B1797" s="11" t="str">
        <f t="shared" si="776"/>
        <v>GERM-28FEB1913</v>
      </c>
      <c r="C1797" s="11" t="s">
        <v>1600</v>
      </c>
      <c r="D1797" s="11" t="s">
        <v>870</v>
      </c>
      <c r="E1797" s="39" t="s">
        <v>3943</v>
      </c>
      <c r="F1797" s="11" t="s">
        <v>1602</v>
      </c>
      <c r="G1797" s="39" t="s">
        <v>3944</v>
      </c>
      <c r="J1797" s="17">
        <v>61</v>
      </c>
      <c r="K1797" s="17"/>
      <c r="L1797" s="7">
        <f t="shared" si="777"/>
        <v>61</v>
      </c>
      <c r="M1797" s="8">
        <v>1</v>
      </c>
      <c r="N1797" s="8">
        <f t="shared" si="778"/>
        <v>1</v>
      </c>
      <c r="O1797" s="11" t="s">
        <v>1702</v>
      </c>
      <c r="P1797" s="16" t="str">
        <f t="shared" si="779"/>
        <v>28-Feb-1913</v>
      </c>
      <c r="R1797" s="16" t="str">
        <f t="shared" si="782"/>
        <v>x</v>
      </c>
      <c r="S1797" s="16" t="str">
        <f t="shared" si="782"/>
        <v>x</v>
      </c>
      <c r="U1797" s="46" t="str">
        <f t="shared" si="743"/>
        <v/>
      </c>
      <c r="V1797" s="46">
        <f t="shared" si="743"/>
        <v>61</v>
      </c>
      <c r="W1797" s="46" t="str">
        <f t="shared" si="743"/>
        <v/>
      </c>
      <c r="X1797" s="46" t="str">
        <f t="shared" si="743"/>
        <v/>
      </c>
    </row>
    <row r="1798" spans="2:26" x14ac:dyDescent="0.25">
      <c r="B1798" s="11" t="str">
        <f>CONCATENATE("GERM","-",LEFT(P1798,2),UPPER(MID(P1798,4,3)),RIGHT(P1798,4))</f>
        <v>GERM-01MAR1913</v>
      </c>
      <c r="C1798" s="11" t="s">
        <v>1600</v>
      </c>
      <c r="D1798" s="11" t="s">
        <v>870</v>
      </c>
      <c r="E1798" s="39" t="s">
        <v>3943</v>
      </c>
      <c r="F1798" s="11" t="s">
        <v>1700</v>
      </c>
      <c r="G1798" s="39" t="s">
        <v>1920</v>
      </c>
      <c r="I1798" s="7">
        <v>0</v>
      </c>
      <c r="J1798" s="17">
        <v>11</v>
      </c>
      <c r="K1798" s="17"/>
      <c r="L1798" s="7">
        <f>SUM(H1798:K1798)</f>
        <v>11</v>
      </c>
      <c r="M1798" s="8">
        <v>1</v>
      </c>
      <c r="N1798" s="8">
        <f>IF(L1798&gt;0,1,"")</f>
        <v>1</v>
      </c>
      <c r="O1798" s="11" t="s">
        <v>1702</v>
      </c>
      <c r="P1798" s="16" t="str">
        <f>IF(LEN(G1798)=10,CONCATENATE("0",G1798),G1798)</f>
        <v>01-Mar-1913</v>
      </c>
      <c r="R1798" s="16" t="str">
        <f t="shared" si="782"/>
        <v>x</v>
      </c>
      <c r="S1798" s="16" t="str">
        <f t="shared" si="782"/>
        <v>x</v>
      </c>
      <c r="U1798" s="46" t="str">
        <f>IF($O1798=U$5,$L1798,"")</f>
        <v/>
      </c>
      <c r="V1798" s="46">
        <f>IF($O1798=V$5,$L1798,"")</f>
        <v>11</v>
      </c>
      <c r="W1798" s="46" t="str">
        <f>IF($O1798=W$5,$L1798,"")</f>
        <v/>
      </c>
      <c r="X1798" s="46" t="str">
        <f>IF($O1798=X$5,$L1798,"")</f>
        <v/>
      </c>
    </row>
    <row r="1799" spans="2:26" x14ac:dyDescent="0.25">
      <c r="B1799" s="11" t="str">
        <f t="shared" si="776"/>
        <v>GERM-18APR1913</v>
      </c>
      <c r="C1799" s="11" t="s">
        <v>1600</v>
      </c>
      <c r="D1799" s="11" t="s">
        <v>870</v>
      </c>
      <c r="E1799" s="39" t="s">
        <v>2437</v>
      </c>
      <c r="F1799" s="11" t="s">
        <v>1602</v>
      </c>
      <c r="G1799" s="39" t="s">
        <v>2438</v>
      </c>
      <c r="H1799" s="7">
        <v>0</v>
      </c>
      <c r="I1799" s="7">
        <v>0</v>
      </c>
      <c r="J1799" s="17">
        <v>21</v>
      </c>
      <c r="K1799" s="17"/>
      <c r="L1799" s="7">
        <f t="shared" si="777"/>
        <v>21</v>
      </c>
      <c r="M1799" s="8">
        <v>1</v>
      </c>
      <c r="N1799" s="8">
        <f t="shared" si="778"/>
        <v>1</v>
      </c>
      <c r="O1799" s="11" t="s">
        <v>1702</v>
      </c>
      <c r="P1799" s="16" t="str">
        <f t="shared" si="779"/>
        <v>18-Apr-1913</v>
      </c>
      <c r="R1799" s="16" t="str">
        <f t="shared" si="782"/>
        <v>x</v>
      </c>
      <c r="S1799" s="16" t="str">
        <f t="shared" si="782"/>
        <v>x</v>
      </c>
      <c r="U1799" s="46" t="str">
        <f t="shared" si="743"/>
        <v/>
      </c>
      <c r="V1799" s="46">
        <f t="shared" si="743"/>
        <v>21</v>
      </c>
      <c r="W1799" s="46" t="str">
        <f t="shared" si="743"/>
        <v/>
      </c>
      <c r="X1799" s="46" t="str">
        <f t="shared" si="743"/>
        <v/>
      </c>
    </row>
    <row r="1800" spans="2:26" x14ac:dyDescent="0.25">
      <c r="B1800" s="11" t="str">
        <f>CONCATENATE("GERM","-",LEFT(P1800,2),UPPER(MID(P1800,4,3)),RIGHT(P1800,4))</f>
        <v>GERM-01JUN1913</v>
      </c>
      <c r="C1800" s="11" t="s">
        <v>1600</v>
      </c>
      <c r="D1800" s="11" t="s">
        <v>870</v>
      </c>
      <c r="E1800" s="39" t="s">
        <v>1286</v>
      </c>
      <c r="F1800" s="11" t="s">
        <v>1602</v>
      </c>
      <c r="G1800" s="39" t="s">
        <v>4900</v>
      </c>
      <c r="H1800" s="7">
        <v>0</v>
      </c>
      <c r="I1800" s="7">
        <v>0</v>
      </c>
      <c r="J1800" s="17">
        <v>16</v>
      </c>
      <c r="K1800" s="17"/>
      <c r="L1800" s="7">
        <f>SUM(H1800:K1800)</f>
        <v>16</v>
      </c>
      <c r="M1800" s="8">
        <v>1</v>
      </c>
      <c r="N1800" s="8">
        <f>IF(L1800&gt;0,1,"")</f>
        <v>1</v>
      </c>
      <c r="O1800" s="11" t="s">
        <v>1702</v>
      </c>
      <c r="P1800" s="16" t="str">
        <f>IF(LEN(G1800)=10,CONCATENATE("0",G1800),G1800)</f>
        <v>01-Jun-1913</v>
      </c>
      <c r="R1800" s="16" t="str">
        <f t="shared" si="782"/>
        <v>x</v>
      </c>
      <c r="S1800" s="16" t="str">
        <f t="shared" si="782"/>
        <v>x</v>
      </c>
      <c r="U1800" s="46" t="str">
        <f t="shared" ref="U1800:X1802" si="783">IF($O1800=U$5,$L1800,"")</f>
        <v/>
      </c>
      <c r="V1800" s="46">
        <f t="shared" si="783"/>
        <v>16</v>
      </c>
      <c r="W1800" s="46" t="str">
        <f t="shared" si="783"/>
        <v/>
      </c>
      <c r="X1800" s="46" t="str">
        <f t="shared" si="783"/>
        <v/>
      </c>
    </row>
    <row r="1801" spans="2:26" x14ac:dyDescent="0.25">
      <c r="B1801" s="11" t="str">
        <f>CONCATENATE("GERM","-",LEFT(P1801,2),UPPER(MID(P1801,4,3)),RIGHT(P1801,4))</f>
        <v>GERM-03JUN1913</v>
      </c>
      <c r="C1801" s="11" t="s">
        <v>1600</v>
      </c>
      <c r="D1801" s="11" t="s">
        <v>870</v>
      </c>
      <c r="E1801" s="39" t="s">
        <v>1286</v>
      </c>
      <c r="F1801" s="11" t="s">
        <v>1700</v>
      </c>
      <c r="G1801" s="39" t="s">
        <v>11486</v>
      </c>
      <c r="H1801" s="7">
        <v>0</v>
      </c>
      <c r="I1801" s="7">
        <v>2</v>
      </c>
      <c r="J1801" s="17">
        <v>5</v>
      </c>
      <c r="K1801" s="17"/>
      <c r="L1801" s="7">
        <f>SUM(H1801:K1801)</f>
        <v>7</v>
      </c>
      <c r="M1801" s="8">
        <v>1</v>
      </c>
      <c r="N1801" s="8">
        <f>IF(L1801&gt;0,1,"")</f>
        <v>1</v>
      </c>
      <c r="O1801" s="11" t="s">
        <v>1702</v>
      </c>
      <c r="P1801" s="16" t="str">
        <f>IF(LEN(G1801)=10,CONCATENATE("0",G1801),G1801)</f>
        <v>03-Jun-1913</v>
      </c>
      <c r="R1801" s="16" t="str">
        <f t="shared" si="782"/>
        <v>x</v>
      </c>
      <c r="S1801" s="16" t="str">
        <f t="shared" si="782"/>
        <v>x</v>
      </c>
      <c r="U1801" s="46" t="str">
        <f t="shared" si="783"/>
        <v/>
      </c>
      <c r="V1801" s="46">
        <f t="shared" si="783"/>
        <v>7</v>
      </c>
      <c r="W1801" s="46" t="str">
        <f t="shared" si="783"/>
        <v/>
      </c>
      <c r="X1801" s="46" t="str">
        <f t="shared" si="783"/>
        <v/>
      </c>
    </row>
    <row r="1802" spans="2:26" x14ac:dyDescent="0.25">
      <c r="B1802" s="11" t="str">
        <f>CONCATENATE("GERM","-",LEFT(P1802,2),UPPER(MID(P1802,4,3)),RIGHT(P1802,4))</f>
        <v>GERM-30NOV1913</v>
      </c>
      <c r="C1802" s="11" t="s">
        <v>1600</v>
      </c>
      <c r="D1802" s="11" t="s">
        <v>870</v>
      </c>
      <c r="E1802" s="39" t="s">
        <v>1291</v>
      </c>
      <c r="F1802" s="11" t="s">
        <v>1602</v>
      </c>
      <c r="G1802" s="39" t="s">
        <v>4013</v>
      </c>
      <c r="H1802" s="7">
        <v>0</v>
      </c>
      <c r="I1802" s="7">
        <v>0</v>
      </c>
      <c r="J1802" s="17">
        <v>103</v>
      </c>
      <c r="K1802" s="17"/>
      <c r="L1802" s="7">
        <f>SUM(H1802:K1802)</f>
        <v>103</v>
      </c>
      <c r="M1802" s="8">
        <v>1</v>
      </c>
      <c r="N1802" s="8">
        <f>IF(L1802&gt;0,1,"")</f>
        <v>1</v>
      </c>
      <c r="O1802" s="11" t="s">
        <v>1702</v>
      </c>
      <c r="P1802" s="16" t="str">
        <f>IF(LEN(G1802)=10,CONCATENATE("0",G1802),G1802)</f>
        <v>30-Nov-1913</v>
      </c>
      <c r="R1802" s="16" t="str">
        <f t="shared" si="782"/>
        <v>x</v>
      </c>
      <c r="S1802" s="16" t="str">
        <f t="shared" si="782"/>
        <v>x</v>
      </c>
      <c r="U1802" s="46" t="str">
        <f t="shared" si="783"/>
        <v/>
      </c>
      <c r="V1802" s="46">
        <f t="shared" si="783"/>
        <v>103</v>
      </c>
      <c r="W1802" s="46" t="str">
        <f t="shared" si="783"/>
        <v/>
      </c>
      <c r="X1802" s="46" t="str">
        <f t="shared" si="783"/>
        <v/>
      </c>
    </row>
    <row r="1803" spans="2:26" x14ac:dyDescent="0.25">
      <c r="B1803" s="11" t="str">
        <f>CONCATENATE("GERM","-",LEFT(P1803,2),UPPER(MID(P1803,4,3)),RIGHT(P1803,4))</f>
        <v>GERM-17MAY1914</v>
      </c>
      <c r="C1803" s="11" t="s">
        <v>1600</v>
      </c>
      <c r="D1803" s="11" t="s">
        <v>870</v>
      </c>
      <c r="E1803" s="39" t="s">
        <v>2373</v>
      </c>
      <c r="F1803" s="11" t="s">
        <v>1602</v>
      </c>
      <c r="G1803" s="39" t="s">
        <v>5169</v>
      </c>
      <c r="H1803" s="7">
        <v>0</v>
      </c>
      <c r="J1803" s="17">
        <v>17</v>
      </c>
      <c r="K1803" s="17"/>
      <c r="L1803" s="7">
        <f>SUM(H1803:K1803)</f>
        <v>17</v>
      </c>
      <c r="M1803" s="8">
        <v>1</v>
      </c>
      <c r="N1803" s="8">
        <f>IF(L1803&gt;0,1,"")</f>
        <v>1</v>
      </c>
      <c r="O1803" s="11" t="s">
        <v>1702</v>
      </c>
      <c r="P1803" s="16" t="str">
        <f>IF(LEN(G1803)=10,CONCATENATE("0",G1803),G1803)</f>
        <v>17-May-1914</v>
      </c>
      <c r="R1803" s="16" t="str">
        <f t="shared" si="782"/>
        <v>x</v>
      </c>
      <c r="S1803" s="16" t="str">
        <f t="shared" si="782"/>
        <v>x</v>
      </c>
      <c r="U1803" s="46" t="str">
        <f t="shared" si="743"/>
        <v/>
      </c>
      <c r="V1803" s="46">
        <f t="shared" si="743"/>
        <v>17</v>
      </c>
      <c r="W1803" s="46" t="str">
        <f t="shared" si="743"/>
        <v/>
      </c>
      <c r="X1803" s="46" t="str">
        <f t="shared" si="743"/>
        <v/>
      </c>
    </row>
    <row r="1804" spans="2:26" x14ac:dyDescent="0.25">
      <c r="N1804" s="8" t="str">
        <f>IF(R1804="x",1,"")</f>
        <v/>
      </c>
      <c r="U1804" s="46" t="str">
        <f t="shared" si="743"/>
        <v/>
      </c>
      <c r="V1804" s="46" t="str">
        <f t="shared" si="743"/>
        <v/>
      </c>
      <c r="W1804" s="46" t="str">
        <f t="shared" si="743"/>
        <v/>
      </c>
      <c r="X1804" s="46" t="str">
        <f t="shared" si="743"/>
        <v/>
      </c>
    </row>
    <row r="1805" spans="2:26" s="18" customFormat="1" x14ac:dyDescent="0.25">
      <c r="E1805" s="40"/>
      <c r="G1805" s="40"/>
      <c r="H1805" s="7">
        <f t="shared" ref="H1805:N1805" si="784">SUM(H1789:H1804)</f>
        <v>0</v>
      </c>
      <c r="I1805" s="7">
        <f t="shared" si="784"/>
        <v>3</v>
      </c>
      <c r="J1805" s="7">
        <f>SUM(J1789:J1804)</f>
        <v>465</v>
      </c>
      <c r="K1805" s="7">
        <f t="shared" si="784"/>
        <v>0</v>
      </c>
      <c r="L1805" s="7">
        <f t="shared" si="784"/>
        <v>468</v>
      </c>
      <c r="M1805" s="7">
        <f t="shared" si="784"/>
        <v>15</v>
      </c>
      <c r="N1805" s="7">
        <f t="shared" si="784"/>
        <v>14</v>
      </c>
      <c r="P1805" s="13"/>
      <c r="Q1805" s="13"/>
      <c r="R1805" s="16"/>
      <c r="S1805" s="13"/>
      <c r="T1805" s="15"/>
      <c r="U1805" s="46" t="str">
        <f t="shared" si="743"/>
        <v/>
      </c>
      <c r="V1805" s="46" t="str">
        <f t="shared" si="743"/>
        <v/>
      </c>
      <c r="W1805" s="46" t="str">
        <f t="shared" si="743"/>
        <v/>
      </c>
      <c r="X1805" s="46" t="str">
        <f t="shared" si="743"/>
        <v/>
      </c>
      <c r="Z1805" s="11"/>
    </row>
    <row r="1806" spans="2:26" x14ac:dyDescent="0.25">
      <c r="B1806" s="18"/>
      <c r="C1806" s="18"/>
      <c r="D1806" s="18"/>
      <c r="E1806" s="40"/>
      <c r="F1806" s="18"/>
      <c r="G1806" s="40"/>
      <c r="N1806" s="8" t="str">
        <f>IF(R1806="x",1,"")</f>
        <v/>
      </c>
      <c r="O1806" s="18"/>
      <c r="P1806" s="13"/>
      <c r="Q1806" s="13"/>
      <c r="R1806" s="13"/>
      <c r="S1806" s="13"/>
      <c r="T1806" s="15"/>
      <c r="U1806" s="46" t="str">
        <f t="shared" ref="U1806:X1812" si="785">IF($O1806=U$5,$L1806,"")</f>
        <v/>
      </c>
      <c r="V1806" s="46" t="str">
        <f t="shared" si="785"/>
        <v/>
      </c>
      <c r="W1806" s="46" t="str">
        <f t="shared" si="785"/>
        <v/>
      </c>
      <c r="X1806" s="46" t="str">
        <f t="shared" si="785"/>
        <v/>
      </c>
    </row>
    <row r="1807" spans="2:26" x14ac:dyDescent="0.25">
      <c r="B1807" s="18"/>
      <c r="C1807" s="18"/>
      <c r="D1807" s="18"/>
      <c r="E1807" s="40"/>
      <c r="F1807" s="18"/>
      <c r="G1807" s="40"/>
      <c r="N1807" s="8" t="str">
        <f>IF(R1807="x",1,"")</f>
        <v/>
      </c>
      <c r="O1807" s="18"/>
      <c r="P1807" s="13"/>
      <c r="Q1807" s="13"/>
      <c r="R1807" s="13"/>
      <c r="S1807" s="13"/>
      <c r="T1807" s="15"/>
      <c r="U1807" s="46" t="str">
        <f t="shared" si="785"/>
        <v/>
      </c>
      <c r="V1807" s="46" t="str">
        <f t="shared" si="785"/>
        <v/>
      </c>
      <c r="W1807" s="46" t="str">
        <f t="shared" si="785"/>
        <v/>
      </c>
      <c r="X1807" s="46" t="str">
        <f t="shared" si="785"/>
        <v/>
      </c>
    </row>
    <row r="1808" spans="2:26" x14ac:dyDescent="0.25">
      <c r="B1808" s="11" t="str">
        <f>CONCATENATE("GERC","-",LEFT(P1808,2),UPPER(MID(P1808,4,3)),RIGHT(P1808,4))</f>
        <v>GERC-21APR1888</v>
      </c>
      <c r="C1808" s="11" t="s">
        <v>4904</v>
      </c>
      <c r="D1808" s="11" t="s">
        <v>2097</v>
      </c>
      <c r="F1808" s="11" t="s">
        <v>1700</v>
      </c>
      <c r="G1808" s="39" t="s">
        <v>5681</v>
      </c>
      <c r="H1808" s="7">
        <v>2</v>
      </c>
      <c r="J1808" s="17">
        <v>0</v>
      </c>
      <c r="K1808" s="17"/>
      <c r="L1808" s="7">
        <f>SUM(H1808:K1808)</f>
        <v>2</v>
      </c>
      <c r="M1808" s="8">
        <v>1</v>
      </c>
      <c r="N1808" s="8">
        <f>IF(L1808&gt;0,1,"")</f>
        <v>1</v>
      </c>
      <c r="O1808" s="11" t="s">
        <v>1702</v>
      </c>
      <c r="P1808" s="16" t="str">
        <f>IF(LEN(G1808)=10,CONCATENATE("0",G1808),G1808)</f>
        <v>21-Apr-1888</v>
      </c>
      <c r="R1808" s="16" t="str">
        <f t="shared" ref="R1808:S1810" si="786">IF($L1808&gt;0,"x","")</f>
        <v>x</v>
      </c>
      <c r="S1808" s="16" t="str">
        <f t="shared" si="786"/>
        <v>x</v>
      </c>
      <c r="U1808" s="46" t="str">
        <f t="shared" si="785"/>
        <v/>
      </c>
      <c r="V1808" s="46">
        <f t="shared" si="785"/>
        <v>2</v>
      </c>
      <c r="W1808" s="46" t="str">
        <f t="shared" si="785"/>
        <v/>
      </c>
      <c r="X1808" s="46" t="str">
        <f t="shared" si="785"/>
        <v/>
      </c>
    </row>
    <row r="1809" spans="2:24" x14ac:dyDescent="0.25">
      <c r="B1809" s="11" t="str">
        <f>CONCATENATE("GERC","-",LEFT(P1809,2),UPPER(MID(P1809,4,3)),RIGHT(P1809,4))</f>
        <v>GERC-25SEP1896</v>
      </c>
      <c r="C1809" s="11" t="s">
        <v>4904</v>
      </c>
      <c r="D1809" s="11" t="s">
        <v>2097</v>
      </c>
      <c r="F1809" s="11" t="s">
        <v>1700</v>
      </c>
      <c r="G1809" s="39" t="s">
        <v>5576</v>
      </c>
      <c r="H1809" s="7">
        <v>0</v>
      </c>
      <c r="J1809" s="17">
        <v>6</v>
      </c>
      <c r="K1809" s="17"/>
      <c r="L1809" s="7">
        <f>SUM(H1809:K1809)</f>
        <v>6</v>
      </c>
      <c r="M1809" s="8">
        <v>1</v>
      </c>
      <c r="N1809" s="8">
        <f>IF(L1809&gt;0,1,"")</f>
        <v>1</v>
      </c>
      <c r="O1809" s="11" t="s">
        <v>1702</v>
      </c>
      <c r="P1809" s="16" t="str">
        <f>IF(LEN(G1809)=10,CONCATENATE("0",G1809),G1809)</f>
        <v>25-Sep-1896</v>
      </c>
      <c r="R1809" s="16" t="str">
        <f t="shared" si="786"/>
        <v>x</v>
      </c>
      <c r="S1809" s="16" t="str">
        <f t="shared" si="786"/>
        <v>x</v>
      </c>
      <c r="U1809" s="46" t="str">
        <f t="shared" si="785"/>
        <v/>
      </c>
      <c r="V1809" s="46">
        <f t="shared" si="785"/>
        <v>6</v>
      </c>
      <c r="W1809" s="46" t="str">
        <f t="shared" si="785"/>
        <v/>
      </c>
      <c r="X1809" s="46" t="str">
        <f t="shared" si="785"/>
        <v/>
      </c>
    </row>
    <row r="1810" spans="2:24" x14ac:dyDescent="0.25">
      <c r="B1810" s="11" t="str">
        <f>CONCATENATE("GERC","-",LEFT(P1810,2),UPPER(MID(P1810,4,3)),RIGHT(P1810,4))</f>
        <v>GERC-12SEP1904</v>
      </c>
      <c r="C1810" s="11" t="s">
        <v>4904</v>
      </c>
      <c r="D1810" s="11" t="s">
        <v>2224</v>
      </c>
      <c r="E1810" s="39" t="s">
        <v>1767</v>
      </c>
      <c r="F1810" s="11" t="s">
        <v>1700</v>
      </c>
      <c r="G1810" s="39" t="s">
        <v>4905</v>
      </c>
      <c r="H1810" s="7">
        <v>0</v>
      </c>
      <c r="J1810" s="17">
        <v>13</v>
      </c>
      <c r="K1810" s="17"/>
      <c r="L1810" s="7">
        <f>SUM(H1810:K1810)</f>
        <v>13</v>
      </c>
      <c r="M1810" s="8">
        <v>1</v>
      </c>
      <c r="N1810" s="8">
        <f>IF(L1810&gt;0,1,"")</f>
        <v>1</v>
      </c>
      <c r="O1810" s="11" t="s">
        <v>1702</v>
      </c>
      <c r="P1810" s="16" t="str">
        <f>IF(LEN(G1810)=10,CONCATENATE("0",G1810),G1810)</f>
        <v>12-Sep-1904</v>
      </c>
      <c r="R1810" s="16" t="str">
        <f t="shared" si="786"/>
        <v>x</v>
      </c>
      <c r="S1810" s="16" t="str">
        <f t="shared" si="786"/>
        <v>x</v>
      </c>
      <c r="U1810" s="46" t="str">
        <f t="shared" si="785"/>
        <v/>
      </c>
      <c r="V1810" s="46">
        <f t="shared" si="785"/>
        <v>13</v>
      </c>
      <c r="W1810" s="46" t="str">
        <f t="shared" si="785"/>
        <v/>
      </c>
      <c r="X1810" s="46" t="str">
        <f t="shared" si="785"/>
        <v/>
      </c>
    </row>
    <row r="1811" spans="2:24" x14ac:dyDescent="0.25">
      <c r="N1811" s="8" t="str">
        <f>IF(R1811="x",1,"")</f>
        <v/>
      </c>
      <c r="U1811" s="46" t="str">
        <f t="shared" si="785"/>
        <v/>
      </c>
      <c r="V1811" s="46" t="str">
        <f t="shared" si="785"/>
        <v/>
      </c>
      <c r="W1811" s="46" t="str">
        <f t="shared" si="785"/>
        <v/>
      </c>
      <c r="X1811" s="46" t="str">
        <f t="shared" si="785"/>
        <v/>
      </c>
    </row>
    <row r="1812" spans="2:24" x14ac:dyDescent="0.25">
      <c r="B1812" s="18"/>
      <c r="C1812" s="18"/>
      <c r="D1812" s="18"/>
      <c r="E1812" s="40"/>
      <c r="F1812" s="18"/>
      <c r="G1812" s="40"/>
      <c r="H1812" s="7">
        <f t="shared" ref="H1812:N1812" si="787">SUM(H1808:H1811)</f>
        <v>2</v>
      </c>
      <c r="I1812" s="7">
        <f t="shared" si="787"/>
        <v>0</v>
      </c>
      <c r="J1812" s="7">
        <f>SUM(J1808:J1811)</f>
        <v>19</v>
      </c>
      <c r="K1812" s="7">
        <f t="shared" si="787"/>
        <v>0</v>
      </c>
      <c r="L1812" s="7">
        <f t="shared" si="787"/>
        <v>21</v>
      </c>
      <c r="M1812" s="7">
        <f t="shared" si="787"/>
        <v>3</v>
      </c>
      <c r="N1812" s="7">
        <f t="shared" si="787"/>
        <v>3</v>
      </c>
      <c r="O1812" s="18"/>
      <c r="P1812" s="13"/>
      <c r="Q1812" s="13"/>
      <c r="S1812" s="13"/>
      <c r="T1812" s="15"/>
      <c r="U1812" s="46" t="str">
        <f t="shared" si="785"/>
        <v/>
      </c>
      <c r="V1812" s="46" t="str">
        <f t="shared" si="785"/>
        <v/>
      </c>
      <c r="W1812" s="46" t="str">
        <f t="shared" si="785"/>
        <v/>
      </c>
      <c r="X1812" s="46" t="str">
        <f t="shared" si="785"/>
        <v/>
      </c>
    </row>
    <row r="1813" spans="2:24" x14ac:dyDescent="0.25">
      <c r="B1813" s="18"/>
      <c r="C1813" s="18"/>
      <c r="D1813" s="18"/>
      <c r="E1813" s="40"/>
      <c r="F1813" s="18"/>
      <c r="G1813" s="40"/>
      <c r="N1813" s="8" t="str">
        <f>IF(R1813="x",1,"")</f>
        <v/>
      </c>
      <c r="O1813" s="18"/>
      <c r="P1813" s="13"/>
      <c r="Q1813" s="13"/>
      <c r="R1813" s="13"/>
      <c r="S1813" s="13"/>
      <c r="T1813" s="15"/>
      <c r="U1813" s="46" t="str">
        <f t="shared" si="743"/>
        <v/>
      </c>
      <c r="V1813" s="46" t="str">
        <f t="shared" si="743"/>
        <v/>
      </c>
      <c r="W1813" s="46" t="str">
        <f t="shared" si="743"/>
        <v/>
      </c>
      <c r="X1813" s="46" t="str">
        <f t="shared" si="743"/>
        <v/>
      </c>
    </row>
    <row r="1814" spans="2:24" x14ac:dyDescent="0.25">
      <c r="B1814" s="18"/>
      <c r="C1814" s="18"/>
      <c r="D1814" s="18"/>
      <c r="E1814" s="40"/>
      <c r="F1814" s="18"/>
      <c r="G1814" s="40"/>
      <c r="N1814" s="8" t="str">
        <f>IF(R1814="x",1,"")</f>
        <v/>
      </c>
      <c r="O1814" s="18"/>
      <c r="P1814" s="13"/>
      <c r="Q1814" s="13"/>
      <c r="R1814" s="13"/>
      <c r="S1814" s="13"/>
      <c r="T1814" s="15"/>
      <c r="U1814" s="46" t="str">
        <f t="shared" si="743"/>
        <v/>
      </c>
      <c r="V1814" s="46" t="str">
        <f t="shared" si="743"/>
        <v/>
      </c>
      <c r="W1814" s="46" t="str">
        <f t="shared" si="743"/>
        <v/>
      </c>
      <c r="X1814" s="46" t="str">
        <f t="shared" si="743"/>
        <v/>
      </c>
    </row>
    <row r="1815" spans="2:24" x14ac:dyDescent="0.25">
      <c r="B1815" s="11" t="str">
        <f>CONCATENATE("GERT","-",LEFT(P1815,2),UPPER(MID(P1815,4,3)),RIGHT(P1815,4))</f>
        <v>GERT-09NOV1904</v>
      </c>
      <c r="C1815" s="11" t="s">
        <v>3476</v>
      </c>
      <c r="D1815" s="11" t="s">
        <v>3007</v>
      </c>
      <c r="E1815" s="39" t="s">
        <v>5033</v>
      </c>
      <c r="F1815" s="11" t="s">
        <v>1700</v>
      </c>
      <c r="G1815" s="39" t="s">
        <v>5034</v>
      </c>
      <c r="H1815" s="7">
        <v>0</v>
      </c>
      <c r="J1815" s="17">
        <v>13</v>
      </c>
      <c r="K1815" s="17"/>
      <c r="L1815" s="7">
        <f>SUM(H1815:K1815)</f>
        <v>13</v>
      </c>
      <c r="M1815" s="8">
        <v>1</v>
      </c>
      <c r="N1815" s="8">
        <f>IF(L1815&gt;0,1,"")</f>
        <v>1</v>
      </c>
      <c r="O1815" s="11" t="s">
        <v>1702</v>
      </c>
      <c r="P1815" s="16" t="str">
        <f>IF(LEN(G1815)=10,CONCATENATE("0",G1815),G1815)</f>
        <v>09-Nov-1904</v>
      </c>
      <c r="R1815" s="16" t="str">
        <f t="shared" ref="R1815:S1817" si="788">IF($L1815&gt;0,"x","")</f>
        <v>x</v>
      </c>
      <c r="S1815" s="16" t="str">
        <f t="shared" si="788"/>
        <v>x</v>
      </c>
      <c r="U1815" s="46" t="str">
        <f t="shared" si="743"/>
        <v/>
      </c>
      <c r="V1815" s="46">
        <f t="shared" si="743"/>
        <v>13</v>
      </c>
      <c r="W1815" s="46" t="str">
        <f t="shared" si="743"/>
        <v/>
      </c>
      <c r="X1815" s="46" t="str">
        <f t="shared" si="743"/>
        <v/>
      </c>
    </row>
    <row r="1816" spans="2:24" x14ac:dyDescent="0.25">
      <c r="B1816" s="11" t="str">
        <f>CONCATENATE("GERT","-",LEFT(P1816,2),UPPER(MID(P1816,4,3)),RIGHT(P1816,4))</f>
        <v>GERT-11DEC1906</v>
      </c>
      <c r="C1816" s="11" t="s">
        <v>3476</v>
      </c>
      <c r="D1816" s="11" t="s">
        <v>1906</v>
      </c>
      <c r="E1816" s="39" t="s">
        <v>2649</v>
      </c>
      <c r="F1816" s="11" t="s">
        <v>1700</v>
      </c>
      <c r="G1816" s="39" t="s">
        <v>813</v>
      </c>
      <c r="H1816" s="7">
        <v>0</v>
      </c>
      <c r="J1816" s="17">
        <v>20</v>
      </c>
      <c r="K1816" s="17"/>
      <c r="L1816" s="7">
        <f>SUM(H1816:K1816)</f>
        <v>20</v>
      </c>
      <c r="M1816" s="8">
        <v>1</v>
      </c>
      <c r="N1816" s="8">
        <f>IF(L1816&gt;0,1,"")</f>
        <v>1</v>
      </c>
      <c r="O1816" s="11" t="s">
        <v>1702</v>
      </c>
      <c r="P1816" s="16" t="str">
        <f>IF(LEN(G1816)=10,CONCATENATE("0",G1816),G1816)</f>
        <v>11-Dec-1906</v>
      </c>
      <c r="R1816" s="16" t="str">
        <f t="shared" si="788"/>
        <v>x</v>
      </c>
      <c r="S1816" s="16" t="str">
        <f t="shared" si="788"/>
        <v>x</v>
      </c>
      <c r="U1816" s="46" t="str">
        <f>IF($O1816=U$5,$L1816,"")</f>
        <v/>
      </c>
      <c r="V1816" s="46">
        <f>IF($O1816=V$5,$L1816,"")</f>
        <v>20</v>
      </c>
      <c r="W1816" s="46" t="str">
        <f>IF($O1816=W$5,$L1816,"")</f>
        <v/>
      </c>
      <c r="X1816" s="46" t="str">
        <f>IF($O1816=X$5,$L1816,"")</f>
        <v/>
      </c>
    </row>
    <row r="1817" spans="2:24" x14ac:dyDescent="0.25">
      <c r="B1817" s="11" t="str">
        <f>CONCATENATE("GERT","-",LEFT(P1817,2),UPPER(MID(P1817,4,3)),RIGHT(P1817,4))</f>
        <v>GERT-16FEB1907</v>
      </c>
      <c r="C1817" s="11" t="s">
        <v>3476</v>
      </c>
      <c r="D1817" s="11" t="s">
        <v>1906</v>
      </c>
      <c r="E1817" s="39" t="s">
        <v>3477</v>
      </c>
      <c r="F1817" s="11" t="s">
        <v>1700</v>
      </c>
      <c r="G1817" s="39" t="s">
        <v>1199</v>
      </c>
      <c r="H1817" s="7">
        <v>0</v>
      </c>
      <c r="I1817" s="7">
        <v>0</v>
      </c>
      <c r="J1817" s="17">
        <v>7</v>
      </c>
      <c r="K1817" s="17"/>
      <c r="L1817" s="7">
        <f>SUM(H1817:K1817)</f>
        <v>7</v>
      </c>
      <c r="M1817" s="8">
        <v>1</v>
      </c>
      <c r="N1817" s="8">
        <f>IF(L1817&gt;0,1,"")</f>
        <v>1</v>
      </c>
      <c r="O1817" s="11" t="s">
        <v>1702</v>
      </c>
      <c r="P1817" s="16" t="str">
        <f>IF(LEN(G1817)=10,CONCATENATE("0",G1817),G1817)</f>
        <v>16-Feb-1907</v>
      </c>
      <c r="R1817" s="16" t="str">
        <f t="shared" si="788"/>
        <v>x</v>
      </c>
      <c r="S1817" s="16" t="str">
        <f t="shared" si="788"/>
        <v>x</v>
      </c>
      <c r="U1817" s="46" t="str">
        <f t="shared" si="743"/>
        <v/>
      </c>
      <c r="V1817" s="46">
        <f t="shared" si="743"/>
        <v>7</v>
      </c>
      <c r="W1817" s="46" t="str">
        <f t="shared" si="743"/>
        <v/>
      </c>
      <c r="X1817" s="46" t="str">
        <f t="shared" si="743"/>
        <v/>
      </c>
    </row>
    <row r="1818" spans="2:24" x14ac:dyDescent="0.25">
      <c r="N1818" s="8" t="str">
        <f>IF(R1818="x",1,"")</f>
        <v/>
      </c>
      <c r="U1818" s="46" t="str">
        <f t="shared" si="743"/>
        <v/>
      </c>
      <c r="V1818" s="46" t="str">
        <f t="shared" si="743"/>
        <v/>
      </c>
      <c r="W1818" s="46" t="str">
        <f t="shared" si="743"/>
        <v/>
      </c>
      <c r="X1818" s="46" t="str">
        <f t="shared" si="743"/>
        <v/>
      </c>
    </row>
    <row r="1819" spans="2:24" x14ac:dyDescent="0.25">
      <c r="B1819" s="18"/>
      <c r="C1819" s="18"/>
      <c r="D1819" s="18"/>
      <c r="E1819" s="40"/>
      <c r="F1819" s="18"/>
      <c r="G1819" s="40"/>
      <c r="H1819" s="7">
        <f t="shared" ref="H1819:N1819" si="789">SUM(H1815:H1818)</f>
        <v>0</v>
      </c>
      <c r="I1819" s="7">
        <f t="shared" si="789"/>
        <v>0</v>
      </c>
      <c r="J1819" s="7">
        <f>SUM(J1815:J1818)</f>
        <v>40</v>
      </c>
      <c r="K1819" s="7">
        <f t="shared" si="789"/>
        <v>0</v>
      </c>
      <c r="L1819" s="7">
        <f t="shared" si="789"/>
        <v>40</v>
      </c>
      <c r="M1819" s="7">
        <f t="shared" si="789"/>
        <v>3</v>
      </c>
      <c r="N1819" s="7">
        <f t="shared" si="789"/>
        <v>3</v>
      </c>
      <c r="O1819" s="18"/>
      <c r="P1819" s="13"/>
      <c r="Q1819" s="13"/>
      <c r="S1819" s="13"/>
      <c r="T1819" s="15"/>
      <c r="U1819" s="46" t="str">
        <f t="shared" si="743"/>
        <v/>
      </c>
      <c r="V1819" s="46" t="str">
        <f t="shared" si="743"/>
        <v/>
      </c>
      <c r="W1819" s="46" t="str">
        <f t="shared" si="743"/>
        <v/>
      </c>
      <c r="X1819" s="46" t="str">
        <f t="shared" si="743"/>
        <v/>
      </c>
    </row>
    <row r="1820" spans="2:24" x14ac:dyDescent="0.25">
      <c r="B1820" s="18"/>
      <c r="C1820" s="18"/>
      <c r="D1820" s="18"/>
      <c r="E1820" s="40"/>
      <c r="F1820" s="18"/>
      <c r="G1820" s="40"/>
      <c r="N1820" s="8" t="str">
        <f>IF(R1820="x",1,"")</f>
        <v/>
      </c>
      <c r="O1820" s="18"/>
      <c r="P1820" s="13"/>
      <c r="Q1820" s="13"/>
      <c r="R1820" s="13"/>
      <c r="S1820" s="13"/>
      <c r="T1820" s="15"/>
      <c r="U1820" s="46" t="str">
        <f t="shared" si="743"/>
        <v/>
      </c>
      <c r="V1820" s="46" t="str">
        <f t="shared" si="743"/>
        <v/>
      </c>
      <c r="W1820" s="46" t="str">
        <f t="shared" si="743"/>
        <v/>
      </c>
      <c r="X1820" s="46" t="str">
        <f t="shared" ref="X1820:X1829" si="790">IF($O1820=X$5,$L1820,"")</f>
        <v/>
      </c>
    </row>
    <row r="1821" spans="2:24" x14ac:dyDescent="0.25">
      <c r="B1821" s="18"/>
      <c r="C1821" s="18"/>
      <c r="D1821" s="18"/>
      <c r="E1821" s="40"/>
      <c r="F1821" s="18"/>
      <c r="G1821" s="40"/>
      <c r="N1821" s="8" t="str">
        <f>IF(R1821="x",1,"")</f>
        <v/>
      </c>
      <c r="O1821" s="18"/>
      <c r="P1821" s="13"/>
      <c r="Q1821" s="13"/>
      <c r="R1821" s="13"/>
      <c r="S1821" s="13"/>
      <c r="T1821" s="15"/>
      <c r="U1821" s="46" t="str">
        <f t="shared" ref="U1821:W1829" si="791">IF($O1821=U$5,$L1821,"")</f>
        <v/>
      </c>
      <c r="V1821" s="46" t="str">
        <f t="shared" si="791"/>
        <v/>
      </c>
      <c r="W1821" s="46" t="str">
        <f t="shared" si="791"/>
        <v/>
      </c>
      <c r="X1821" s="46" t="str">
        <f t="shared" si="790"/>
        <v/>
      </c>
    </row>
    <row r="1822" spans="2:24" x14ac:dyDescent="0.25">
      <c r="B1822" s="11" t="str">
        <f>CONCATENATE("GIUS","-",LEFT(P1822,2),UPPER(MID(P1822,4,3)),RIGHT(P1822,4))</f>
        <v>GIUS-06JAN1916</v>
      </c>
      <c r="C1822" s="11" t="s">
        <v>3026</v>
      </c>
      <c r="D1822" s="11" t="s">
        <v>3007</v>
      </c>
      <c r="E1822" s="39" t="s">
        <v>3027</v>
      </c>
      <c r="F1822" s="11" t="s">
        <v>1700</v>
      </c>
      <c r="G1822" s="39" t="s">
        <v>1967</v>
      </c>
      <c r="H1822" s="7">
        <v>0</v>
      </c>
      <c r="I1822" s="7">
        <v>0</v>
      </c>
      <c r="J1822" s="17">
        <v>13</v>
      </c>
      <c r="K1822" s="17"/>
      <c r="L1822" s="7">
        <f>SUM(H1822:K1822)</f>
        <v>13</v>
      </c>
      <c r="M1822" s="8">
        <v>1</v>
      </c>
      <c r="N1822" s="8">
        <f>IF(L1822&gt;0,1,"")</f>
        <v>1</v>
      </c>
      <c r="O1822" s="11" t="s">
        <v>1702</v>
      </c>
      <c r="P1822" s="16" t="str">
        <f>IF(LEN(G1822)=10,CONCATENATE("0",G1822),G1822)</f>
        <v>06-Jan-1916</v>
      </c>
      <c r="R1822" s="16" t="str">
        <f>IF($L1822&gt;0,"x","")</f>
        <v>x</v>
      </c>
      <c r="S1822" s="16" t="str">
        <f>IF($L1822&gt;0,"x","")</f>
        <v>x</v>
      </c>
      <c r="U1822" s="46" t="str">
        <f t="shared" si="791"/>
        <v/>
      </c>
      <c r="V1822" s="46">
        <f t="shared" si="791"/>
        <v>13</v>
      </c>
      <c r="W1822" s="46" t="str">
        <f t="shared" si="791"/>
        <v/>
      </c>
      <c r="X1822" s="46" t="str">
        <f t="shared" si="790"/>
        <v/>
      </c>
    </row>
    <row r="1823" spans="2:24" x14ac:dyDescent="0.25">
      <c r="N1823" s="8" t="str">
        <f>IF(R1823="x",1,"")</f>
        <v/>
      </c>
      <c r="U1823" s="46" t="str">
        <f t="shared" si="791"/>
        <v/>
      </c>
      <c r="V1823" s="46" t="str">
        <f t="shared" si="791"/>
        <v/>
      </c>
      <c r="W1823" s="46" t="str">
        <f t="shared" si="791"/>
        <v/>
      </c>
      <c r="X1823" s="46" t="str">
        <f t="shared" si="790"/>
        <v/>
      </c>
    </row>
    <row r="1824" spans="2:24" x14ac:dyDescent="0.25">
      <c r="B1824" s="18"/>
      <c r="C1824" s="18"/>
      <c r="D1824" s="18"/>
      <c r="E1824" s="40"/>
      <c r="F1824" s="18"/>
      <c r="G1824" s="40"/>
      <c r="H1824" s="7">
        <f t="shared" ref="H1824:N1824" si="792">SUM(H1822:H1823)</f>
        <v>0</v>
      </c>
      <c r="I1824" s="7">
        <f t="shared" si="792"/>
        <v>0</v>
      </c>
      <c r="J1824" s="7">
        <f>SUM(J1822:J1823)</f>
        <v>13</v>
      </c>
      <c r="K1824" s="7">
        <f t="shared" si="792"/>
        <v>0</v>
      </c>
      <c r="L1824" s="7">
        <f t="shared" si="792"/>
        <v>13</v>
      </c>
      <c r="M1824" s="7">
        <f t="shared" si="792"/>
        <v>1</v>
      </c>
      <c r="N1824" s="7">
        <f t="shared" si="792"/>
        <v>1</v>
      </c>
      <c r="O1824" s="18"/>
      <c r="P1824" s="13"/>
      <c r="Q1824" s="13"/>
      <c r="S1824" s="13"/>
      <c r="T1824" s="15"/>
      <c r="U1824" s="46" t="str">
        <f t="shared" si="791"/>
        <v/>
      </c>
      <c r="V1824" s="46" t="str">
        <f t="shared" si="791"/>
        <v/>
      </c>
      <c r="W1824" s="46" t="str">
        <f t="shared" si="791"/>
        <v/>
      </c>
      <c r="X1824" s="46" t="str">
        <f t="shared" si="790"/>
        <v/>
      </c>
    </row>
    <row r="1825" spans="2:24" x14ac:dyDescent="0.25">
      <c r="B1825" s="18"/>
      <c r="C1825" s="18"/>
      <c r="D1825" s="18"/>
      <c r="E1825" s="40"/>
      <c r="F1825" s="18"/>
      <c r="G1825" s="40"/>
      <c r="N1825" s="8" t="str">
        <f>IF(R1825="x",1,"")</f>
        <v/>
      </c>
      <c r="O1825" s="18"/>
      <c r="P1825" s="13"/>
      <c r="Q1825" s="13"/>
      <c r="R1825" s="13"/>
      <c r="S1825" s="13"/>
      <c r="T1825" s="15"/>
      <c r="U1825" s="46" t="str">
        <f t="shared" si="791"/>
        <v/>
      </c>
      <c r="V1825" s="46" t="str">
        <f t="shared" si="791"/>
        <v/>
      </c>
      <c r="W1825" s="46" t="str">
        <f t="shared" si="791"/>
        <v/>
      </c>
      <c r="X1825" s="46" t="str">
        <f t="shared" si="790"/>
        <v/>
      </c>
    </row>
    <row r="1826" spans="2:24" x14ac:dyDescent="0.25">
      <c r="B1826" s="18"/>
      <c r="C1826" s="18"/>
      <c r="D1826" s="18"/>
      <c r="E1826" s="40"/>
      <c r="F1826" s="18"/>
      <c r="G1826" s="40"/>
      <c r="N1826" s="8" t="str">
        <f>IF(R1826="x",1,"")</f>
        <v/>
      </c>
      <c r="O1826" s="18"/>
      <c r="P1826" s="13"/>
      <c r="Q1826" s="13"/>
      <c r="R1826" s="13"/>
      <c r="S1826" s="13"/>
      <c r="T1826" s="15"/>
      <c r="U1826" s="46" t="str">
        <f t="shared" si="791"/>
        <v/>
      </c>
      <c r="V1826" s="46" t="str">
        <f t="shared" si="791"/>
        <v/>
      </c>
      <c r="W1826" s="46" t="str">
        <f t="shared" si="791"/>
        <v/>
      </c>
      <c r="X1826" s="46" t="str">
        <f t="shared" si="790"/>
        <v/>
      </c>
    </row>
    <row r="1827" spans="2:24" x14ac:dyDescent="0.25">
      <c r="B1827" s="11" t="str">
        <f>CONCATENATE("GLEN","-",LEFT(P1827,2),UPPER(MID(P1827,4,3)),RIGHT(P1827,4))</f>
        <v>GLEN-13DEC1919</v>
      </c>
      <c r="C1827" s="11" t="s">
        <v>4410</v>
      </c>
      <c r="D1827" s="11" t="s">
        <v>3395</v>
      </c>
      <c r="E1827" s="39" t="s">
        <v>4411</v>
      </c>
      <c r="F1827" s="11" t="s">
        <v>3050</v>
      </c>
      <c r="G1827" s="39" t="s">
        <v>4412</v>
      </c>
      <c r="J1827" s="17">
        <v>3</v>
      </c>
      <c r="K1827" s="17"/>
      <c r="L1827" s="7">
        <f>SUM(H1827:K1827)</f>
        <v>3</v>
      </c>
      <c r="M1827" s="8">
        <v>1</v>
      </c>
      <c r="N1827" s="8">
        <f>IF(L1827&gt;0,1,"")</f>
        <v>1</v>
      </c>
      <c r="O1827" s="11" t="s">
        <v>1702</v>
      </c>
      <c r="P1827" s="16" t="str">
        <f>IF(LEN(G1827)=10,CONCATENATE("0",G1827),G1827)</f>
        <v>13-Dec-1919</v>
      </c>
      <c r="R1827" s="16" t="str">
        <f>IF($L1827&gt;0,"x","")</f>
        <v>x</v>
      </c>
      <c r="S1827" s="16" t="str">
        <f>IF($L1827&gt;0,"x","")</f>
        <v>x</v>
      </c>
      <c r="U1827" s="46" t="str">
        <f t="shared" si="791"/>
        <v/>
      </c>
      <c r="V1827" s="46">
        <f t="shared" si="791"/>
        <v>3</v>
      </c>
      <c r="W1827" s="46" t="str">
        <f t="shared" si="791"/>
        <v/>
      </c>
      <c r="X1827" s="46" t="str">
        <f t="shared" si="790"/>
        <v/>
      </c>
    </row>
    <row r="1828" spans="2:24" x14ac:dyDescent="0.25">
      <c r="N1828" s="8" t="str">
        <f>IF(R1828="x",1,"")</f>
        <v/>
      </c>
      <c r="U1828" s="46" t="str">
        <f t="shared" si="791"/>
        <v/>
      </c>
      <c r="V1828" s="46" t="str">
        <f t="shared" si="791"/>
        <v/>
      </c>
      <c r="W1828" s="46" t="str">
        <f t="shared" si="791"/>
        <v/>
      </c>
      <c r="X1828" s="46" t="str">
        <f t="shared" si="790"/>
        <v/>
      </c>
    </row>
    <row r="1829" spans="2:24" x14ac:dyDescent="0.25">
      <c r="B1829" s="18"/>
      <c r="C1829" s="18"/>
      <c r="D1829" s="18"/>
      <c r="E1829" s="40"/>
      <c r="F1829" s="18"/>
      <c r="G1829" s="40"/>
      <c r="H1829" s="7">
        <f t="shared" ref="H1829:N1829" si="793">SUM(H1827:H1828)</f>
        <v>0</v>
      </c>
      <c r="I1829" s="7">
        <f t="shared" si="793"/>
        <v>0</v>
      </c>
      <c r="J1829" s="7">
        <f>SUM(J1827:J1828)</f>
        <v>3</v>
      </c>
      <c r="K1829" s="7">
        <f t="shared" si="793"/>
        <v>0</v>
      </c>
      <c r="L1829" s="7">
        <f t="shared" si="793"/>
        <v>3</v>
      </c>
      <c r="M1829" s="7">
        <f t="shared" si="793"/>
        <v>1</v>
      </c>
      <c r="N1829" s="7">
        <f t="shared" si="793"/>
        <v>1</v>
      </c>
      <c r="O1829" s="18"/>
      <c r="P1829" s="13"/>
      <c r="Q1829" s="13"/>
      <c r="S1829" s="13"/>
      <c r="T1829" s="15"/>
      <c r="U1829" s="46" t="str">
        <f t="shared" si="791"/>
        <v/>
      </c>
      <c r="V1829" s="46" t="str">
        <f t="shared" si="791"/>
        <v/>
      </c>
      <c r="W1829" s="46" t="str">
        <f t="shared" si="791"/>
        <v/>
      </c>
      <c r="X1829" s="46" t="str">
        <f t="shared" si="790"/>
        <v/>
      </c>
    </row>
    <row r="1830" spans="2:24" x14ac:dyDescent="0.25">
      <c r="B1830" s="18"/>
      <c r="C1830" s="18"/>
      <c r="D1830" s="18"/>
      <c r="E1830" s="40"/>
      <c r="F1830" s="18"/>
      <c r="G1830" s="40"/>
      <c r="N1830" s="8" t="str">
        <f>IF(R1830="x",1,"")</f>
        <v/>
      </c>
      <c r="O1830" s="18"/>
      <c r="P1830" s="13"/>
      <c r="Q1830" s="13"/>
      <c r="R1830" s="13"/>
      <c r="S1830" s="13"/>
      <c r="T1830" s="15"/>
      <c r="U1830" s="46" t="str">
        <f t="shared" ref="U1830:X1834" si="794">IF($O1830=U$5,$L1830,"")</f>
        <v/>
      </c>
      <c r="V1830" s="46" t="str">
        <f t="shared" si="794"/>
        <v/>
      </c>
      <c r="W1830" s="46" t="str">
        <f t="shared" si="794"/>
        <v/>
      </c>
      <c r="X1830" s="46" t="str">
        <f t="shared" si="794"/>
        <v/>
      </c>
    </row>
    <row r="1831" spans="2:24" x14ac:dyDescent="0.25">
      <c r="B1831" s="18"/>
      <c r="C1831" s="18"/>
      <c r="D1831" s="18"/>
      <c r="E1831" s="40"/>
      <c r="F1831" s="18"/>
      <c r="G1831" s="40"/>
      <c r="N1831" s="8" t="str">
        <f>IF(R1831="x",1,"")</f>
        <v/>
      </c>
      <c r="O1831" s="18"/>
      <c r="P1831" s="13"/>
      <c r="Q1831" s="13"/>
      <c r="R1831" s="13"/>
      <c r="S1831" s="13"/>
      <c r="T1831" s="15"/>
      <c r="U1831" s="46" t="str">
        <f t="shared" si="794"/>
        <v/>
      </c>
      <c r="V1831" s="46" t="str">
        <f t="shared" si="794"/>
        <v/>
      </c>
      <c r="W1831" s="46" t="str">
        <f t="shared" si="794"/>
        <v/>
      </c>
      <c r="X1831" s="46" t="str">
        <f t="shared" si="794"/>
        <v/>
      </c>
    </row>
    <row r="1832" spans="2:24" x14ac:dyDescent="0.25">
      <c r="B1832" s="11" t="str">
        <f>CONCATENATE("GTHI","-",LEFT(P1832,2),UPPER(MID(P1832,4,3)),RIGHT(P1832,4))</f>
        <v>GTHI-29FEB1892</v>
      </c>
      <c r="C1832" s="11" t="s">
        <v>119</v>
      </c>
      <c r="D1832" s="11" t="s">
        <v>1699</v>
      </c>
      <c r="F1832" s="11" t="s">
        <v>1700</v>
      </c>
      <c r="G1832" s="39" t="s">
        <v>232</v>
      </c>
      <c r="J1832" s="17">
        <v>3</v>
      </c>
      <c r="K1832" s="17"/>
      <c r="L1832" s="7">
        <f>SUM(H1832:K1832)</f>
        <v>3</v>
      </c>
      <c r="M1832" s="8">
        <v>1</v>
      </c>
      <c r="N1832" s="8">
        <f>IF(L1832&gt;0,1,"")</f>
        <v>1</v>
      </c>
      <c r="O1832" s="11" t="s">
        <v>1702</v>
      </c>
      <c r="P1832" s="16" t="str">
        <f>IF(LEN(G1832)=10,CONCATENATE("0",G1832),G1832)</f>
        <v>29-Feb-1892</v>
      </c>
      <c r="R1832" s="16" t="str">
        <f>IF($L1832&gt;0,"x","")</f>
        <v>x</v>
      </c>
      <c r="S1832" s="16" t="str">
        <f>IF($L1832&gt;0,"x","")</f>
        <v>x</v>
      </c>
      <c r="U1832" s="46" t="str">
        <f t="shared" si="794"/>
        <v/>
      </c>
      <c r="V1832" s="46">
        <f t="shared" si="794"/>
        <v>3</v>
      </c>
      <c r="W1832" s="46" t="str">
        <f t="shared" si="794"/>
        <v/>
      </c>
      <c r="X1832" s="46" t="str">
        <f t="shared" si="794"/>
        <v/>
      </c>
    </row>
    <row r="1833" spans="2:24" x14ac:dyDescent="0.25">
      <c r="N1833" s="8" t="str">
        <f>IF(R1833="x",1,"")</f>
        <v/>
      </c>
      <c r="U1833" s="46" t="str">
        <f t="shared" si="794"/>
        <v/>
      </c>
      <c r="V1833" s="46" t="str">
        <f t="shared" si="794"/>
        <v/>
      </c>
      <c r="W1833" s="46" t="str">
        <f t="shared" si="794"/>
        <v/>
      </c>
      <c r="X1833" s="46" t="str">
        <f t="shared" si="794"/>
        <v/>
      </c>
    </row>
    <row r="1834" spans="2:24" x14ac:dyDescent="0.25">
      <c r="B1834" s="18"/>
      <c r="C1834" s="18"/>
      <c r="D1834" s="18"/>
      <c r="E1834" s="40"/>
      <c r="F1834" s="18"/>
      <c r="G1834" s="40"/>
      <c r="H1834" s="7">
        <f t="shared" ref="H1834:N1834" si="795">SUM(H1832:H1833)</f>
        <v>0</v>
      </c>
      <c r="I1834" s="7">
        <f t="shared" si="795"/>
        <v>0</v>
      </c>
      <c r="J1834" s="7">
        <f>SUM(J1832:J1833)</f>
        <v>3</v>
      </c>
      <c r="K1834" s="7">
        <f t="shared" si="795"/>
        <v>0</v>
      </c>
      <c r="L1834" s="7">
        <f t="shared" si="795"/>
        <v>3</v>
      </c>
      <c r="M1834" s="7">
        <f t="shared" si="795"/>
        <v>1</v>
      </c>
      <c r="N1834" s="7">
        <f t="shared" si="795"/>
        <v>1</v>
      </c>
      <c r="O1834" s="18"/>
      <c r="P1834" s="13"/>
      <c r="Q1834" s="13"/>
      <c r="S1834" s="13"/>
      <c r="T1834" s="15"/>
      <c r="U1834" s="46" t="str">
        <f t="shared" si="794"/>
        <v/>
      </c>
      <c r="V1834" s="46" t="str">
        <f t="shared" si="794"/>
        <v/>
      </c>
      <c r="W1834" s="46" t="str">
        <f t="shared" si="794"/>
        <v/>
      </c>
      <c r="X1834" s="46" t="str">
        <f t="shared" si="794"/>
        <v/>
      </c>
    </row>
    <row r="1835" spans="2:24" x14ac:dyDescent="0.25">
      <c r="B1835" s="18"/>
      <c r="C1835" s="18"/>
      <c r="D1835" s="18"/>
      <c r="E1835" s="40"/>
      <c r="F1835" s="18"/>
      <c r="G1835" s="40"/>
      <c r="N1835" s="8" t="str">
        <f>IF(R1835="x",1,"")</f>
        <v/>
      </c>
      <c r="O1835" s="18"/>
      <c r="P1835" s="13"/>
      <c r="Q1835" s="13"/>
      <c r="R1835" s="13"/>
      <c r="S1835" s="13"/>
      <c r="T1835" s="15"/>
      <c r="U1835" s="46" t="str">
        <f t="shared" ref="U1835:X1839" si="796">IF($O1835=U$5,$L1835,"")</f>
        <v/>
      </c>
      <c r="V1835" s="46" t="str">
        <f t="shared" si="796"/>
        <v/>
      </c>
      <c r="W1835" s="46" t="str">
        <f t="shared" si="796"/>
        <v/>
      </c>
      <c r="X1835" s="46" t="str">
        <f t="shared" si="796"/>
        <v/>
      </c>
    </row>
    <row r="1836" spans="2:24" x14ac:dyDescent="0.25">
      <c r="B1836" s="18"/>
      <c r="C1836" s="18"/>
      <c r="D1836" s="18"/>
      <c r="E1836" s="40"/>
      <c r="F1836" s="18"/>
      <c r="G1836" s="40"/>
      <c r="N1836" s="8" t="str">
        <f>IF(R1836="x",1,"")</f>
        <v/>
      </c>
      <c r="O1836" s="18"/>
      <c r="P1836" s="13"/>
      <c r="Q1836" s="13"/>
      <c r="R1836" s="13"/>
      <c r="S1836" s="13"/>
      <c r="T1836" s="15"/>
      <c r="U1836" s="46" t="str">
        <f t="shared" si="796"/>
        <v/>
      </c>
      <c r="V1836" s="46" t="str">
        <f t="shared" si="796"/>
        <v/>
      </c>
      <c r="W1836" s="46" t="str">
        <f t="shared" si="796"/>
        <v/>
      </c>
      <c r="X1836" s="46" t="str">
        <f t="shared" si="796"/>
        <v/>
      </c>
    </row>
    <row r="1837" spans="2:24" x14ac:dyDescent="0.25">
      <c r="B1837" s="11" t="str">
        <f>CONCATENATE("GOTH","-",LEFT(P1837,2),UPPER(MID(P1837,4,3)),RIGHT(P1837,4))</f>
        <v>GOTH-27NOV1920</v>
      </c>
      <c r="C1837" s="11" t="s">
        <v>4585</v>
      </c>
      <c r="D1837" s="11" t="s">
        <v>2224</v>
      </c>
      <c r="E1837" s="39" t="s">
        <v>1595</v>
      </c>
      <c r="F1837" s="11" t="s">
        <v>1700</v>
      </c>
      <c r="G1837" s="39" t="s">
        <v>3047</v>
      </c>
      <c r="J1837" s="17">
        <v>57</v>
      </c>
      <c r="K1837" s="17"/>
      <c r="L1837" s="7">
        <f>SUM(H1837:K1837)</f>
        <v>57</v>
      </c>
      <c r="M1837" s="8">
        <v>1</v>
      </c>
      <c r="N1837" s="8">
        <f>IF(L1837&gt;0,1,"")</f>
        <v>1</v>
      </c>
      <c r="O1837" s="11" t="s">
        <v>1702</v>
      </c>
      <c r="P1837" s="16" t="str">
        <f>IF(LEN(G1837)=10,CONCATENATE("0",G1837),G1837)</f>
        <v>27-Nov-1920</v>
      </c>
      <c r="R1837" s="16" t="str">
        <f>IF($L1837&gt;0,"x","")</f>
        <v>x</v>
      </c>
      <c r="S1837" s="16" t="str">
        <f>IF($L1837&gt;0,"x","")</f>
        <v>x</v>
      </c>
      <c r="U1837" s="46" t="str">
        <f t="shared" si="796"/>
        <v/>
      </c>
      <c r="V1837" s="46">
        <f t="shared" si="796"/>
        <v>57</v>
      </c>
      <c r="W1837" s="46" t="str">
        <f t="shared" si="796"/>
        <v/>
      </c>
      <c r="X1837" s="46" t="str">
        <f t="shared" si="796"/>
        <v/>
      </c>
    </row>
    <row r="1838" spans="2:24" x14ac:dyDescent="0.25">
      <c r="N1838" s="8" t="str">
        <f>IF(R1838="x",1,"")</f>
        <v/>
      </c>
      <c r="U1838" s="46" t="str">
        <f t="shared" si="796"/>
        <v/>
      </c>
      <c r="V1838" s="46" t="str">
        <f t="shared" si="796"/>
        <v/>
      </c>
      <c r="W1838" s="46" t="str">
        <f t="shared" si="796"/>
        <v/>
      </c>
      <c r="X1838" s="46" t="str">
        <f t="shared" si="796"/>
        <v/>
      </c>
    </row>
    <row r="1839" spans="2:24" x14ac:dyDescent="0.25">
      <c r="B1839" s="18"/>
      <c r="C1839" s="18"/>
      <c r="D1839" s="18"/>
      <c r="E1839" s="40"/>
      <c r="F1839" s="18"/>
      <c r="G1839" s="40"/>
      <c r="H1839" s="7">
        <f t="shared" ref="H1839:N1839" si="797">SUM(H1837:H1838)</f>
        <v>0</v>
      </c>
      <c r="I1839" s="7">
        <f t="shared" si="797"/>
        <v>0</v>
      </c>
      <c r="J1839" s="7">
        <f>SUM(J1837:J1838)</f>
        <v>57</v>
      </c>
      <c r="K1839" s="7">
        <f t="shared" si="797"/>
        <v>0</v>
      </c>
      <c r="L1839" s="7">
        <f t="shared" si="797"/>
        <v>57</v>
      </c>
      <c r="M1839" s="7">
        <f t="shared" si="797"/>
        <v>1</v>
      </c>
      <c r="N1839" s="7">
        <f t="shared" si="797"/>
        <v>1</v>
      </c>
      <c r="O1839" s="18"/>
      <c r="P1839" s="13"/>
      <c r="Q1839" s="13"/>
      <c r="S1839" s="13"/>
      <c r="T1839" s="15"/>
      <c r="U1839" s="46" t="str">
        <f t="shared" si="796"/>
        <v/>
      </c>
      <c r="V1839" s="46" t="str">
        <f t="shared" si="796"/>
        <v/>
      </c>
      <c r="W1839" s="46" t="str">
        <f t="shared" si="796"/>
        <v/>
      </c>
      <c r="X1839" s="46" t="str">
        <f t="shared" si="796"/>
        <v/>
      </c>
    </row>
    <row r="1840" spans="2:24" x14ac:dyDescent="0.25">
      <c r="B1840" s="18"/>
      <c r="C1840" s="18"/>
      <c r="D1840" s="18"/>
      <c r="E1840" s="40"/>
      <c r="F1840" s="18"/>
      <c r="G1840" s="40"/>
      <c r="N1840" s="8" t="str">
        <f>IF(R1840="x",1,"")</f>
        <v/>
      </c>
      <c r="O1840" s="18"/>
      <c r="P1840" s="13"/>
      <c r="Q1840" s="13"/>
      <c r="R1840" s="13"/>
      <c r="S1840" s="13"/>
      <c r="T1840" s="15"/>
      <c r="U1840" s="46" t="str">
        <f t="shared" ref="U1840:X1842" si="798">IF($O1840=U$5,$L1840,"")</f>
        <v/>
      </c>
      <c r="V1840" s="46" t="str">
        <f t="shared" si="798"/>
        <v/>
      </c>
      <c r="W1840" s="46" t="str">
        <f t="shared" si="798"/>
        <v/>
      </c>
      <c r="X1840" s="46" t="str">
        <f t="shared" si="798"/>
        <v/>
      </c>
    </row>
    <row r="1841" spans="2:24" x14ac:dyDescent="0.25">
      <c r="B1841" s="18"/>
      <c r="C1841" s="18"/>
      <c r="D1841" s="18"/>
      <c r="E1841" s="40"/>
      <c r="F1841" s="18"/>
      <c r="G1841" s="40"/>
      <c r="N1841" s="8" t="str">
        <f>IF(R1841="x",1,"")</f>
        <v/>
      </c>
      <c r="O1841" s="18"/>
      <c r="P1841" s="13"/>
      <c r="Q1841" s="13"/>
      <c r="R1841" s="13"/>
      <c r="S1841" s="13"/>
      <c r="T1841" s="15"/>
      <c r="U1841" s="46" t="str">
        <f t="shared" si="798"/>
        <v/>
      </c>
      <c r="V1841" s="46" t="str">
        <f t="shared" si="798"/>
        <v/>
      </c>
      <c r="W1841" s="46" t="str">
        <f t="shared" si="798"/>
        <v/>
      </c>
      <c r="X1841" s="46" t="str">
        <f t="shared" si="798"/>
        <v/>
      </c>
    </row>
    <row r="1842" spans="2:24" x14ac:dyDescent="0.25">
      <c r="B1842" s="11" t="str">
        <f t="shared" ref="B1842:B1851" si="799">CONCATENATE("GCOB","-",LEFT(P1842,2),UPPER(MID(P1842,4,3)),RIGHT(P1842,4))</f>
        <v>GCOB-12FEB1925</v>
      </c>
      <c r="C1842" s="11" t="s">
        <v>4428</v>
      </c>
      <c r="D1842" s="11" t="s">
        <v>3122</v>
      </c>
      <c r="E1842" s="39" t="s">
        <v>4429</v>
      </c>
      <c r="F1842" s="11" t="s">
        <v>4211</v>
      </c>
      <c r="G1842" s="39" t="s">
        <v>4429</v>
      </c>
      <c r="H1842" s="7">
        <v>2</v>
      </c>
      <c r="J1842" s="17"/>
      <c r="K1842" s="17"/>
      <c r="L1842" s="7">
        <f t="shared" ref="L1842:L1851" si="800">SUM(H1842:K1842)</f>
        <v>2</v>
      </c>
      <c r="M1842" s="8">
        <v>1</v>
      </c>
      <c r="N1842" s="8">
        <f t="shared" ref="N1842:N1851" si="801">IF(L1842&gt;0,1,"")</f>
        <v>1</v>
      </c>
      <c r="O1842" s="11" t="s">
        <v>1702</v>
      </c>
      <c r="P1842" s="16" t="str">
        <f t="shared" ref="P1842:P1851" si="802">IF(LEN(G1842)=10,CONCATENATE("0",G1842),G1842)</f>
        <v>12-Feb-1925</v>
      </c>
      <c r="R1842" s="16" t="str">
        <f t="shared" ref="R1842:S1852" si="803">IF($L1842&gt;0,"x","")</f>
        <v>x</v>
      </c>
      <c r="S1842" s="16" t="str">
        <f t="shared" si="803"/>
        <v>x</v>
      </c>
      <c r="U1842" s="46" t="str">
        <f t="shared" si="798"/>
        <v/>
      </c>
      <c r="V1842" s="46">
        <f t="shared" si="798"/>
        <v>2</v>
      </c>
      <c r="W1842" s="46" t="str">
        <f t="shared" si="798"/>
        <v/>
      </c>
      <c r="X1842" s="46" t="str">
        <f t="shared" si="798"/>
        <v/>
      </c>
    </row>
    <row r="1843" spans="2:24" x14ac:dyDescent="0.25">
      <c r="B1843" s="11" t="str">
        <f t="shared" si="799"/>
        <v>GCOB-19OCT1925</v>
      </c>
      <c r="C1843" s="11" t="s">
        <v>4428</v>
      </c>
      <c r="D1843" s="11" t="s">
        <v>3122</v>
      </c>
      <c r="E1843" s="39" t="s">
        <v>4949</v>
      </c>
      <c r="F1843" s="11" t="s">
        <v>4211</v>
      </c>
      <c r="G1843" s="39" t="s">
        <v>4949</v>
      </c>
      <c r="H1843" s="7">
        <v>5</v>
      </c>
      <c r="J1843" s="17">
        <v>0</v>
      </c>
      <c r="K1843" s="17"/>
      <c r="L1843" s="7">
        <f t="shared" si="800"/>
        <v>5</v>
      </c>
      <c r="M1843" s="8">
        <v>1</v>
      </c>
      <c r="N1843" s="8">
        <f t="shared" si="801"/>
        <v>1</v>
      </c>
      <c r="O1843" s="11" t="s">
        <v>1702</v>
      </c>
      <c r="P1843" s="16" t="str">
        <f t="shared" si="802"/>
        <v>19-Oct-1925</v>
      </c>
      <c r="R1843" s="16" t="str">
        <f t="shared" ref="R1843:S1845" si="804">IF($L1843&gt;0,"x","")</f>
        <v>x</v>
      </c>
      <c r="S1843" s="16" t="str">
        <f t="shared" si="804"/>
        <v>x</v>
      </c>
      <c r="U1843" s="46" t="str">
        <f t="shared" ref="U1843:X1852" si="805">IF($O1843=U$5,$L1843,"")</f>
        <v/>
      </c>
      <c r="V1843" s="46">
        <f t="shared" si="805"/>
        <v>5</v>
      </c>
      <c r="W1843" s="46" t="str">
        <f t="shared" si="805"/>
        <v/>
      </c>
      <c r="X1843" s="46" t="str">
        <f t="shared" si="805"/>
        <v/>
      </c>
    </row>
    <row r="1844" spans="2:24" x14ac:dyDescent="0.25">
      <c r="B1844" s="11" t="str">
        <f>CONCATENATE("GCOB","-",LEFT(P1844,2),UPPER(MID(P1844,4,3)),RIGHT(P1844,4))</f>
        <v>GCOB-22FEB1926</v>
      </c>
      <c r="C1844" s="11" t="s">
        <v>4428</v>
      </c>
      <c r="D1844" s="11" t="s">
        <v>3122</v>
      </c>
      <c r="E1844" s="39" t="s">
        <v>4992</v>
      </c>
      <c r="F1844" s="11" t="s">
        <v>4211</v>
      </c>
      <c r="G1844" s="39" t="s">
        <v>4992</v>
      </c>
      <c r="H1844" s="7">
        <v>2</v>
      </c>
      <c r="J1844" s="17">
        <v>0</v>
      </c>
      <c r="K1844" s="17"/>
      <c r="L1844" s="7">
        <f>SUM(H1844:K1844)</f>
        <v>2</v>
      </c>
      <c r="M1844" s="8">
        <v>1</v>
      </c>
      <c r="N1844" s="8">
        <f>IF(L1844&gt;0,1,"")</f>
        <v>1</v>
      </c>
      <c r="O1844" s="11" t="s">
        <v>1702</v>
      </c>
      <c r="P1844" s="16" t="str">
        <f>IF(LEN(G1844)=10,CONCATENATE("0",G1844),G1844)</f>
        <v>22-Feb-1926</v>
      </c>
      <c r="R1844" s="16" t="str">
        <f t="shared" si="804"/>
        <v>x</v>
      </c>
      <c r="S1844" s="16" t="str">
        <f t="shared" si="804"/>
        <v>x</v>
      </c>
      <c r="U1844" s="46" t="str">
        <f t="shared" si="805"/>
        <v/>
      </c>
      <c r="V1844" s="46">
        <f t="shared" si="805"/>
        <v>2</v>
      </c>
      <c r="W1844" s="46" t="str">
        <f t="shared" si="805"/>
        <v/>
      </c>
      <c r="X1844" s="46" t="str">
        <f t="shared" si="805"/>
        <v/>
      </c>
    </row>
    <row r="1845" spans="2:24" x14ac:dyDescent="0.25">
      <c r="B1845" s="11" t="str">
        <f>CONCATENATE("GCOB","-",LEFT(P1845,2),UPPER(MID(P1845,4,3)),RIGHT(P1845,4))</f>
        <v>GCOB-24SEP1926</v>
      </c>
      <c r="C1845" s="11" t="s">
        <v>4428</v>
      </c>
      <c r="D1845" s="11" t="s">
        <v>3122</v>
      </c>
      <c r="E1845" s="39" t="s">
        <v>11293</v>
      </c>
      <c r="F1845" s="11" t="s">
        <v>4211</v>
      </c>
      <c r="G1845" s="39" t="s">
        <v>11293</v>
      </c>
      <c r="H1845" s="7">
        <v>2</v>
      </c>
      <c r="J1845" s="17">
        <v>0</v>
      </c>
      <c r="K1845" s="17"/>
      <c r="L1845" s="7">
        <f>SUM(H1845:K1845)</f>
        <v>2</v>
      </c>
      <c r="M1845" s="8">
        <v>1</v>
      </c>
      <c r="N1845" s="8">
        <f>IF(L1845&gt;0,1,"")</f>
        <v>1</v>
      </c>
      <c r="O1845" s="11" t="s">
        <v>1702</v>
      </c>
      <c r="P1845" s="16" t="str">
        <f>IF(LEN(G1845)=10,CONCATENATE("0",G1845),G1845)</f>
        <v>24-Sep-1926</v>
      </c>
      <c r="R1845" s="16" t="str">
        <f t="shared" si="804"/>
        <v>x</v>
      </c>
      <c r="S1845" s="16" t="str">
        <f t="shared" si="804"/>
        <v>x</v>
      </c>
      <c r="U1845" s="46" t="str">
        <f t="shared" si="805"/>
        <v/>
      </c>
      <c r="V1845" s="46">
        <f t="shared" si="805"/>
        <v>2</v>
      </c>
      <c r="W1845" s="46" t="str">
        <f t="shared" si="805"/>
        <v/>
      </c>
      <c r="X1845" s="46" t="str">
        <f t="shared" si="805"/>
        <v/>
      </c>
    </row>
    <row r="1846" spans="2:24" x14ac:dyDescent="0.25">
      <c r="B1846" s="11" t="str">
        <f t="shared" si="799"/>
        <v>GCOB-21MAR1927</v>
      </c>
      <c r="C1846" s="11" t="s">
        <v>4428</v>
      </c>
      <c r="D1846" s="11" t="s">
        <v>3122</v>
      </c>
      <c r="E1846" s="39" t="s">
        <v>4848</v>
      </c>
      <c r="F1846" s="11" t="s">
        <v>4211</v>
      </c>
      <c r="G1846" s="39" t="s">
        <v>4848</v>
      </c>
      <c r="H1846" s="7">
        <v>2</v>
      </c>
      <c r="J1846" s="17">
        <v>0</v>
      </c>
      <c r="K1846" s="17"/>
      <c r="L1846" s="7">
        <f t="shared" si="800"/>
        <v>2</v>
      </c>
      <c r="M1846" s="8">
        <v>1</v>
      </c>
      <c r="N1846" s="8">
        <f t="shared" si="801"/>
        <v>1</v>
      </c>
      <c r="O1846" s="11" t="s">
        <v>1702</v>
      </c>
      <c r="P1846" s="16" t="str">
        <f t="shared" si="802"/>
        <v>21-Mar-1927</v>
      </c>
      <c r="R1846" s="16" t="str">
        <f t="shared" si="803"/>
        <v>x</v>
      </c>
      <c r="S1846" s="16" t="str">
        <f t="shared" si="803"/>
        <v>x</v>
      </c>
      <c r="U1846" s="46" t="str">
        <f t="shared" si="805"/>
        <v/>
      </c>
      <c r="V1846" s="46">
        <f t="shared" si="805"/>
        <v>2</v>
      </c>
      <c r="W1846" s="46" t="str">
        <f t="shared" si="805"/>
        <v/>
      </c>
      <c r="X1846" s="46" t="str">
        <f t="shared" si="805"/>
        <v/>
      </c>
    </row>
    <row r="1847" spans="2:24" x14ac:dyDescent="0.25">
      <c r="B1847" s="11" t="str">
        <f t="shared" si="799"/>
        <v>GCOB-30MAR1927</v>
      </c>
      <c r="C1847" s="11" t="s">
        <v>4428</v>
      </c>
      <c r="D1847" s="11" t="s">
        <v>3122</v>
      </c>
      <c r="E1847" s="39" t="s">
        <v>4968</v>
      </c>
      <c r="F1847" s="11" t="s">
        <v>4211</v>
      </c>
      <c r="G1847" s="39" t="s">
        <v>4968</v>
      </c>
      <c r="H1847" s="7">
        <v>2</v>
      </c>
      <c r="J1847" s="17"/>
      <c r="K1847" s="17"/>
      <c r="L1847" s="7">
        <f t="shared" si="800"/>
        <v>2</v>
      </c>
      <c r="M1847" s="8">
        <v>1</v>
      </c>
      <c r="N1847" s="8">
        <f t="shared" si="801"/>
        <v>1</v>
      </c>
      <c r="O1847" s="11" t="s">
        <v>1702</v>
      </c>
      <c r="P1847" s="16" t="str">
        <f t="shared" si="802"/>
        <v>30-Mar-1927</v>
      </c>
      <c r="R1847" s="16" t="str">
        <f>IF($L1847&gt;0,"x","")</f>
        <v>x</v>
      </c>
      <c r="S1847" s="16" t="str">
        <f>IF($L1847&gt;0,"x","")</f>
        <v>x</v>
      </c>
      <c r="U1847" s="46" t="str">
        <f t="shared" si="805"/>
        <v/>
      </c>
      <c r="V1847" s="46">
        <f t="shared" si="805"/>
        <v>2</v>
      </c>
      <c r="W1847" s="46" t="str">
        <f t="shared" si="805"/>
        <v/>
      </c>
      <c r="X1847" s="46" t="str">
        <f t="shared" si="805"/>
        <v/>
      </c>
    </row>
    <row r="1848" spans="2:24" x14ac:dyDescent="0.25">
      <c r="B1848" s="11" t="str">
        <f>CONCATENATE("GCOB","-",LEFT(P1848,2),UPPER(MID(P1848,4,3)),RIGHT(P1848,4))</f>
        <v>GCOB-02SEP1927</v>
      </c>
      <c r="C1848" s="11" t="s">
        <v>4428</v>
      </c>
      <c r="D1848" s="11" t="s">
        <v>3122</v>
      </c>
      <c r="E1848" s="39" t="s">
        <v>4696</v>
      </c>
      <c r="F1848" s="11" t="s">
        <v>4211</v>
      </c>
      <c r="G1848" s="39" t="s">
        <v>4696</v>
      </c>
      <c r="H1848" s="7">
        <v>2</v>
      </c>
      <c r="J1848" s="17"/>
      <c r="K1848" s="17"/>
      <c r="L1848" s="7">
        <f>SUM(H1848:K1848)</f>
        <v>2</v>
      </c>
      <c r="M1848" s="8">
        <v>1</v>
      </c>
      <c r="N1848" s="8">
        <f>IF(L1848&gt;0,1,"")</f>
        <v>1</v>
      </c>
      <c r="O1848" s="11" t="s">
        <v>1702</v>
      </c>
      <c r="P1848" s="16" t="str">
        <f>IF(LEN(G1848)=10,CONCATENATE("0",G1848),G1848)</f>
        <v>02-Sep-1927</v>
      </c>
      <c r="R1848" s="16" t="str">
        <f t="shared" si="803"/>
        <v>x</v>
      </c>
      <c r="S1848" s="16" t="str">
        <f t="shared" si="803"/>
        <v>x</v>
      </c>
      <c r="U1848" s="46" t="str">
        <f t="shared" si="805"/>
        <v/>
      </c>
      <c r="V1848" s="46">
        <f t="shared" si="805"/>
        <v>2</v>
      </c>
      <c r="W1848" s="46" t="str">
        <f t="shared" si="805"/>
        <v/>
      </c>
      <c r="X1848" s="46" t="str">
        <f t="shared" si="805"/>
        <v/>
      </c>
    </row>
    <row r="1849" spans="2:24" x14ac:dyDescent="0.25">
      <c r="B1849" s="11" t="str">
        <f t="shared" si="799"/>
        <v>GCOB-12OCT1927</v>
      </c>
      <c r="C1849" s="11" t="s">
        <v>4428</v>
      </c>
      <c r="D1849" s="11" t="s">
        <v>3122</v>
      </c>
      <c r="E1849" s="39" t="s">
        <v>11210</v>
      </c>
      <c r="F1849" s="11" t="s">
        <v>4211</v>
      </c>
      <c r="G1849" s="39" t="s">
        <v>11210</v>
      </c>
      <c r="H1849" s="7">
        <v>3</v>
      </c>
      <c r="J1849" s="17"/>
      <c r="K1849" s="17"/>
      <c r="L1849" s="7">
        <f t="shared" si="800"/>
        <v>3</v>
      </c>
      <c r="M1849" s="8">
        <v>1</v>
      </c>
      <c r="N1849" s="8">
        <f t="shared" si="801"/>
        <v>1</v>
      </c>
      <c r="O1849" s="11" t="s">
        <v>1702</v>
      </c>
      <c r="P1849" s="16" t="str">
        <f t="shared" si="802"/>
        <v>12-Oct-1927</v>
      </c>
      <c r="R1849" s="16" t="str">
        <f t="shared" si="803"/>
        <v>x</v>
      </c>
      <c r="S1849" s="16" t="str">
        <f t="shared" si="803"/>
        <v>x</v>
      </c>
      <c r="U1849" s="46" t="str">
        <f t="shared" si="805"/>
        <v/>
      </c>
      <c r="V1849" s="46">
        <f t="shared" si="805"/>
        <v>3</v>
      </c>
      <c r="W1849" s="46" t="str">
        <f t="shared" si="805"/>
        <v/>
      </c>
      <c r="X1849" s="46" t="str">
        <f t="shared" si="805"/>
        <v/>
      </c>
    </row>
    <row r="1850" spans="2:24" x14ac:dyDescent="0.25">
      <c r="B1850" s="11" t="str">
        <f>CONCATENATE("GCOB","-",LEFT(P1850,2),UPPER(MID(P1850,4,3)),RIGHT(P1850,4))</f>
        <v>GCOB-16JAN1928</v>
      </c>
      <c r="C1850" s="11" t="s">
        <v>4428</v>
      </c>
      <c r="D1850" s="11" t="s">
        <v>3122</v>
      </c>
      <c r="E1850" s="39" t="s">
        <v>5841</v>
      </c>
      <c r="F1850" s="11" t="s">
        <v>4211</v>
      </c>
      <c r="G1850" s="39" t="s">
        <v>5841</v>
      </c>
      <c r="H1850" s="7">
        <v>6</v>
      </c>
      <c r="J1850" s="17"/>
      <c r="K1850" s="17"/>
      <c r="L1850" s="7">
        <f>SUM(H1850:K1850)</f>
        <v>6</v>
      </c>
      <c r="M1850" s="8">
        <v>1</v>
      </c>
      <c r="N1850" s="8">
        <f>IF(L1850&gt;0,1,"")</f>
        <v>1</v>
      </c>
      <c r="O1850" s="11" t="s">
        <v>1702</v>
      </c>
      <c r="P1850" s="16" t="str">
        <f>IF(LEN(G1850)=10,CONCATENATE("0",G1850),G1850)</f>
        <v>16-Jan-1928</v>
      </c>
      <c r="R1850" s="16" t="str">
        <f t="shared" si="803"/>
        <v>x</v>
      </c>
      <c r="S1850" s="16" t="str">
        <f t="shared" si="803"/>
        <v>x</v>
      </c>
      <c r="U1850" s="46" t="str">
        <f t="shared" si="805"/>
        <v/>
      </c>
      <c r="V1850" s="46">
        <f t="shared" si="805"/>
        <v>6</v>
      </c>
      <c r="W1850" s="46" t="str">
        <f t="shared" si="805"/>
        <v/>
      </c>
      <c r="X1850" s="46" t="str">
        <f t="shared" si="805"/>
        <v/>
      </c>
    </row>
    <row r="1851" spans="2:24" x14ac:dyDescent="0.25">
      <c r="B1851" s="11" t="str">
        <f t="shared" si="799"/>
        <v>GCOB-31OCT1928</v>
      </c>
      <c r="C1851" s="11" t="s">
        <v>4428</v>
      </c>
      <c r="D1851" s="11" t="s">
        <v>3122</v>
      </c>
      <c r="E1851" s="39" t="s">
        <v>4989</v>
      </c>
      <c r="F1851" s="11" t="s">
        <v>4211</v>
      </c>
      <c r="G1851" s="39" t="s">
        <v>4989</v>
      </c>
      <c r="H1851" s="7">
        <v>4</v>
      </c>
      <c r="J1851" s="17">
        <v>1</v>
      </c>
      <c r="K1851" s="17"/>
      <c r="L1851" s="7">
        <f t="shared" si="800"/>
        <v>5</v>
      </c>
      <c r="M1851" s="8">
        <v>1</v>
      </c>
      <c r="N1851" s="8">
        <f t="shared" si="801"/>
        <v>1</v>
      </c>
      <c r="O1851" s="11" t="s">
        <v>1702</v>
      </c>
      <c r="P1851" s="16" t="str">
        <f t="shared" si="802"/>
        <v>31-Oct-1928</v>
      </c>
      <c r="R1851" s="16" t="str">
        <f t="shared" si="803"/>
        <v>x</v>
      </c>
      <c r="S1851" s="16" t="str">
        <f t="shared" si="803"/>
        <v>x</v>
      </c>
      <c r="U1851" s="46" t="str">
        <f t="shared" si="805"/>
        <v/>
      </c>
      <c r="V1851" s="46">
        <f t="shared" si="805"/>
        <v>5</v>
      </c>
      <c r="W1851" s="46" t="str">
        <f t="shared" si="805"/>
        <v/>
      </c>
      <c r="X1851" s="46" t="str">
        <f t="shared" si="805"/>
        <v/>
      </c>
    </row>
    <row r="1852" spans="2:24" x14ac:dyDescent="0.25">
      <c r="B1852" s="11" t="str">
        <f>CONCATENATE("GCOB","-",LEFT(P1852,2),UPPER(MID(P1852,4,3)),RIGHT(P1852,4))</f>
        <v>GCOB-12SEP1930</v>
      </c>
      <c r="C1852" s="11" t="s">
        <v>4428</v>
      </c>
      <c r="D1852" s="11" t="s">
        <v>3122</v>
      </c>
      <c r="E1852" s="39" t="s">
        <v>6323</v>
      </c>
      <c r="F1852" s="11" t="s">
        <v>4211</v>
      </c>
      <c r="G1852" s="39" t="s">
        <v>6323</v>
      </c>
      <c r="H1852" s="7">
        <v>3</v>
      </c>
      <c r="J1852" s="17"/>
      <c r="K1852" s="17"/>
      <c r="L1852" s="7">
        <f>SUM(H1852:K1852)</f>
        <v>3</v>
      </c>
      <c r="M1852" s="8">
        <v>1</v>
      </c>
      <c r="N1852" s="8">
        <f>IF(L1852&gt;0,1,"")</f>
        <v>1</v>
      </c>
      <c r="O1852" s="11" t="s">
        <v>1702</v>
      </c>
      <c r="P1852" s="16" t="str">
        <f>IF(LEN(G1852)=10,CONCATENATE("0",G1852),G1852)</f>
        <v>12-Sep-1930</v>
      </c>
      <c r="R1852" s="16" t="str">
        <f t="shared" si="803"/>
        <v>x</v>
      </c>
      <c r="S1852" s="16" t="str">
        <f t="shared" si="803"/>
        <v>x</v>
      </c>
      <c r="U1852" s="46" t="str">
        <f t="shared" si="805"/>
        <v/>
      </c>
      <c r="V1852" s="46">
        <f t="shared" si="805"/>
        <v>3</v>
      </c>
      <c r="W1852" s="46" t="str">
        <f t="shared" si="805"/>
        <v/>
      </c>
      <c r="X1852" s="46" t="str">
        <f t="shared" si="805"/>
        <v/>
      </c>
    </row>
    <row r="1853" spans="2:24" x14ac:dyDescent="0.25">
      <c r="N1853" s="8" t="str">
        <f>IF(R1853="x",1,"")</f>
        <v/>
      </c>
      <c r="U1853" s="46" t="str">
        <f t="shared" ref="U1853:X1860" si="806">IF($O1853=U$5,$L1853,"")</f>
        <v/>
      </c>
      <c r="V1853" s="46" t="str">
        <f t="shared" si="806"/>
        <v/>
      </c>
      <c r="W1853" s="46" t="str">
        <f t="shared" si="806"/>
        <v/>
      </c>
      <c r="X1853" s="46" t="str">
        <f t="shared" si="806"/>
        <v/>
      </c>
    </row>
    <row r="1854" spans="2:24" x14ac:dyDescent="0.25">
      <c r="B1854" s="18"/>
      <c r="C1854" s="18"/>
      <c r="D1854" s="18"/>
      <c r="E1854" s="40"/>
      <c r="F1854" s="18"/>
      <c r="G1854" s="40"/>
      <c r="H1854" s="7">
        <f t="shared" ref="H1854:N1854" si="807">SUM(H1842:H1853)</f>
        <v>33</v>
      </c>
      <c r="I1854" s="7">
        <f t="shared" si="807"/>
        <v>0</v>
      </c>
      <c r="J1854" s="7">
        <f>SUM(J1842:J1853)</f>
        <v>1</v>
      </c>
      <c r="K1854" s="7">
        <f t="shared" si="807"/>
        <v>0</v>
      </c>
      <c r="L1854" s="7">
        <f t="shared" si="807"/>
        <v>34</v>
      </c>
      <c r="M1854" s="7">
        <f t="shared" si="807"/>
        <v>11</v>
      </c>
      <c r="N1854" s="7">
        <f t="shared" si="807"/>
        <v>11</v>
      </c>
      <c r="O1854" s="18"/>
      <c r="P1854" s="13"/>
      <c r="Q1854" s="13"/>
      <c r="S1854" s="13"/>
      <c r="T1854" s="15"/>
      <c r="U1854" s="46" t="str">
        <f t="shared" si="806"/>
        <v/>
      </c>
      <c r="V1854" s="46" t="str">
        <f t="shared" si="806"/>
        <v/>
      </c>
      <c r="W1854" s="46" t="str">
        <f t="shared" si="806"/>
        <v/>
      </c>
      <c r="X1854" s="46" t="str">
        <f t="shared" si="806"/>
        <v/>
      </c>
    </row>
    <row r="1855" spans="2:24" x14ac:dyDescent="0.25">
      <c r="B1855" s="18"/>
      <c r="C1855" s="18"/>
      <c r="D1855" s="18"/>
      <c r="E1855" s="40"/>
      <c r="F1855" s="18"/>
      <c r="G1855" s="40"/>
      <c r="N1855" s="8" t="str">
        <f>IF(R1855="x",1,"")</f>
        <v/>
      </c>
      <c r="O1855" s="18"/>
      <c r="P1855" s="13"/>
      <c r="Q1855" s="13"/>
      <c r="R1855" s="13"/>
      <c r="S1855" s="13"/>
      <c r="T1855" s="15"/>
      <c r="U1855" s="46" t="str">
        <f t="shared" si="806"/>
        <v/>
      </c>
      <c r="V1855" s="46" t="str">
        <f t="shared" si="806"/>
        <v/>
      </c>
      <c r="W1855" s="46" t="str">
        <f t="shared" si="806"/>
        <v/>
      </c>
      <c r="X1855" s="46" t="str">
        <f t="shared" si="806"/>
        <v/>
      </c>
    </row>
    <row r="1856" spans="2:24" x14ac:dyDescent="0.25">
      <c r="B1856" s="18"/>
      <c r="C1856" s="18"/>
      <c r="D1856" s="18"/>
      <c r="E1856" s="40"/>
      <c r="F1856" s="18"/>
      <c r="G1856" s="40"/>
      <c r="N1856" s="8" t="str">
        <f>IF(R1856="x",1,"")</f>
        <v/>
      </c>
      <c r="O1856" s="18"/>
      <c r="P1856" s="13"/>
      <c r="Q1856" s="13"/>
      <c r="R1856" s="13"/>
      <c r="S1856" s="13"/>
      <c r="T1856" s="15"/>
      <c r="U1856" s="46" t="str">
        <f t="shared" si="806"/>
        <v/>
      </c>
      <c r="V1856" s="46" t="str">
        <f t="shared" si="806"/>
        <v/>
      </c>
      <c r="W1856" s="46" t="str">
        <f t="shared" si="806"/>
        <v/>
      </c>
      <c r="X1856" s="46" t="str">
        <f t="shared" si="806"/>
        <v/>
      </c>
    </row>
    <row r="1857" spans="2:24" x14ac:dyDescent="0.25">
      <c r="B1857" s="11" t="str">
        <f t="shared" ref="B1857:B1872" si="808">CONCATENATE("GWLD","-",LEFT(P1857,2),UPPER(MID(P1857,4,3)),RIGHT(P1857,4))</f>
        <v>GWLD-07JUL1899</v>
      </c>
      <c r="C1857" s="11" t="s">
        <v>3284</v>
      </c>
      <c r="D1857" s="11" t="s">
        <v>2103</v>
      </c>
      <c r="E1857" s="39" t="s">
        <v>5918</v>
      </c>
      <c r="F1857" s="11" t="s">
        <v>1700</v>
      </c>
      <c r="G1857" s="39" t="s">
        <v>5919</v>
      </c>
      <c r="J1857" s="17">
        <v>6</v>
      </c>
      <c r="K1857" s="17"/>
      <c r="L1857" s="7">
        <f t="shared" ref="L1857:L1872" si="809">SUM(H1857:K1857)</f>
        <v>6</v>
      </c>
      <c r="M1857" s="8">
        <v>1</v>
      </c>
      <c r="N1857" s="8">
        <f t="shared" ref="N1857:N1872" si="810">IF(L1857&gt;0,1,"")</f>
        <v>1</v>
      </c>
      <c r="O1857" s="11" t="s">
        <v>1702</v>
      </c>
      <c r="P1857" s="16" t="str">
        <f t="shared" ref="P1857:P1872" si="811">IF(LEN(G1857)=10,CONCATENATE("0",G1857),G1857)</f>
        <v>07-Jul-1899</v>
      </c>
      <c r="R1857" s="16" t="str">
        <f t="shared" ref="R1857:S1859" si="812">IF($L1857&gt;0,"x","")</f>
        <v>x</v>
      </c>
      <c r="S1857" s="16" t="str">
        <f t="shared" si="812"/>
        <v>x</v>
      </c>
      <c r="U1857" s="46" t="str">
        <f t="shared" si="806"/>
        <v/>
      </c>
      <c r="V1857" s="46">
        <f t="shared" si="806"/>
        <v>6</v>
      </c>
      <c r="W1857" s="46" t="str">
        <f t="shared" si="806"/>
        <v/>
      </c>
      <c r="X1857" s="46" t="str">
        <f t="shared" si="806"/>
        <v/>
      </c>
    </row>
    <row r="1858" spans="2:24" x14ac:dyDescent="0.25">
      <c r="B1858" s="11" t="str">
        <f t="shared" si="808"/>
        <v>GWLD-04AUG1900</v>
      </c>
      <c r="C1858" s="11" t="s">
        <v>3284</v>
      </c>
      <c r="D1858" s="11" t="s">
        <v>2103</v>
      </c>
      <c r="E1858" s="39" t="s">
        <v>4023</v>
      </c>
      <c r="F1858" s="11" t="s">
        <v>1700</v>
      </c>
      <c r="G1858" s="39" t="s">
        <v>4024</v>
      </c>
      <c r="J1858" s="17">
        <v>15</v>
      </c>
      <c r="K1858" s="17"/>
      <c r="L1858" s="7">
        <f t="shared" si="809"/>
        <v>15</v>
      </c>
      <c r="M1858" s="8">
        <v>1</v>
      </c>
      <c r="N1858" s="8">
        <f t="shared" si="810"/>
        <v>1</v>
      </c>
      <c r="O1858" s="11" t="s">
        <v>1702</v>
      </c>
      <c r="P1858" s="16" t="str">
        <f t="shared" si="811"/>
        <v>04-Aug-1900</v>
      </c>
      <c r="R1858" s="16" t="str">
        <f t="shared" si="812"/>
        <v>x</v>
      </c>
      <c r="S1858" s="16" t="str">
        <f t="shared" si="812"/>
        <v>x</v>
      </c>
      <c r="U1858" s="46" t="str">
        <f t="shared" si="806"/>
        <v/>
      </c>
      <c r="V1858" s="46">
        <f t="shared" si="806"/>
        <v>15</v>
      </c>
      <c r="W1858" s="46" t="str">
        <f t="shared" si="806"/>
        <v/>
      </c>
      <c r="X1858" s="46" t="str">
        <f t="shared" si="806"/>
        <v/>
      </c>
    </row>
    <row r="1859" spans="2:24" x14ac:dyDescent="0.25">
      <c r="B1859" s="11" t="str">
        <f t="shared" si="808"/>
        <v>GWLD-14SEP1900</v>
      </c>
      <c r="C1859" s="11" t="s">
        <v>3284</v>
      </c>
      <c r="D1859" s="11" t="s">
        <v>2103</v>
      </c>
      <c r="E1859" s="39" t="s">
        <v>5237</v>
      </c>
      <c r="F1859" s="11" t="s">
        <v>1700</v>
      </c>
      <c r="G1859" s="39" t="s">
        <v>5238</v>
      </c>
      <c r="J1859" s="17">
        <v>15</v>
      </c>
      <c r="K1859" s="17"/>
      <c r="L1859" s="7">
        <f t="shared" si="809"/>
        <v>15</v>
      </c>
      <c r="M1859" s="8">
        <v>1</v>
      </c>
      <c r="N1859" s="8">
        <f t="shared" si="810"/>
        <v>1</v>
      </c>
      <c r="O1859" s="11" t="s">
        <v>1702</v>
      </c>
      <c r="P1859" s="16" t="str">
        <f t="shared" si="811"/>
        <v>14-Sep-1900</v>
      </c>
      <c r="R1859" s="16" t="str">
        <f t="shared" si="812"/>
        <v>x</v>
      </c>
      <c r="S1859" s="16" t="str">
        <f t="shared" si="812"/>
        <v>x</v>
      </c>
      <c r="U1859" s="46" t="str">
        <f t="shared" si="806"/>
        <v/>
      </c>
      <c r="V1859" s="46">
        <f t="shared" si="806"/>
        <v>15</v>
      </c>
      <c r="W1859" s="46" t="str">
        <f t="shared" si="806"/>
        <v/>
      </c>
      <c r="X1859" s="46" t="str">
        <f t="shared" si="806"/>
        <v/>
      </c>
    </row>
    <row r="1860" spans="2:24" x14ac:dyDescent="0.25">
      <c r="B1860" s="11" t="str">
        <f t="shared" si="808"/>
        <v>GWLD-09DEC1900</v>
      </c>
      <c r="C1860" s="11" t="s">
        <v>3284</v>
      </c>
      <c r="D1860" s="11" t="s">
        <v>2103</v>
      </c>
      <c r="E1860" s="39" t="s">
        <v>3285</v>
      </c>
      <c r="F1860" s="11" t="s">
        <v>1700</v>
      </c>
      <c r="G1860" s="39" t="s">
        <v>73</v>
      </c>
      <c r="J1860" s="17">
        <v>61</v>
      </c>
      <c r="K1860" s="17"/>
      <c r="L1860" s="7">
        <f t="shared" si="809"/>
        <v>61</v>
      </c>
      <c r="M1860" s="8">
        <v>1</v>
      </c>
      <c r="N1860" s="8">
        <f t="shared" si="810"/>
        <v>1</v>
      </c>
      <c r="O1860" s="11" t="s">
        <v>1702</v>
      </c>
      <c r="P1860" s="16" t="str">
        <f t="shared" si="811"/>
        <v>09-Dec-1900</v>
      </c>
      <c r="R1860" s="16" t="str">
        <f t="shared" ref="R1860:S1872" si="813">IF($L1860&gt;0,"x","")</f>
        <v>x</v>
      </c>
      <c r="S1860" s="16" t="str">
        <f t="shared" si="813"/>
        <v>x</v>
      </c>
      <c r="U1860" s="46" t="str">
        <f t="shared" si="806"/>
        <v/>
      </c>
      <c r="V1860" s="46">
        <f t="shared" si="806"/>
        <v>61</v>
      </c>
      <c r="W1860" s="46" t="str">
        <f t="shared" si="806"/>
        <v/>
      </c>
      <c r="X1860" s="46" t="str">
        <f t="shared" si="806"/>
        <v/>
      </c>
    </row>
    <row r="1861" spans="2:24" x14ac:dyDescent="0.25">
      <c r="B1861" s="11" t="str">
        <f t="shared" si="808"/>
        <v>GWLD-28JAN1901</v>
      </c>
      <c r="C1861" s="11" t="s">
        <v>3284</v>
      </c>
      <c r="D1861" s="11" t="s">
        <v>2103</v>
      </c>
      <c r="E1861" s="39" t="s">
        <v>681</v>
      </c>
      <c r="F1861" s="11" t="s">
        <v>1700</v>
      </c>
      <c r="G1861" s="39" t="s">
        <v>2585</v>
      </c>
      <c r="J1861" s="17">
        <v>21</v>
      </c>
      <c r="K1861" s="17"/>
      <c r="L1861" s="7">
        <f t="shared" si="809"/>
        <v>21</v>
      </c>
      <c r="M1861" s="8">
        <v>1</v>
      </c>
      <c r="N1861" s="8">
        <f t="shared" si="810"/>
        <v>1</v>
      </c>
      <c r="O1861" s="11" t="s">
        <v>1702</v>
      </c>
      <c r="P1861" s="16" t="str">
        <f t="shared" si="811"/>
        <v>28-Jan-1901</v>
      </c>
      <c r="R1861" s="16" t="str">
        <f t="shared" si="813"/>
        <v>x</v>
      </c>
      <c r="S1861" s="16" t="str">
        <f t="shared" si="813"/>
        <v>x</v>
      </c>
      <c r="U1861" s="46" t="str">
        <f t="shared" ref="U1861:X1862" si="814">IF($O1861=U$5,$L1861,"")</f>
        <v/>
      </c>
      <c r="V1861" s="46">
        <f t="shared" si="814"/>
        <v>21</v>
      </c>
      <c r="W1861" s="46" t="str">
        <f t="shared" si="814"/>
        <v/>
      </c>
      <c r="X1861" s="46" t="str">
        <f t="shared" si="814"/>
        <v/>
      </c>
    </row>
    <row r="1862" spans="2:24" x14ac:dyDescent="0.25">
      <c r="B1862" s="11" t="str">
        <f t="shared" si="808"/>
        <v>GWLD-29AUG1901</v>
      </c>
      <c r="C1862" s="11" t="s">
        <v>3284</v>
      </c>
      <c r="D1862" s="11" t="s">
        <v>2103</v>
      </c>
      <c r="E1862" s="39" t="s">
        <v>2581</v>
      </c>
      <c r="F1862" s="11" t="s">
        <v>1700</v>
      </c>
      <c r="G1862" s="39" t="s">
        <v>5922</v>
      </c>
      <c r="J1862" s="17">
        <v>12</v>
      </c>
      <c r="K1862" s="17"/>
      <c r="L1862" s="7">
        <f t="shared" si="809"/>
        <v>12</v>
      </c>
      <c r="M1862" s="8">
        <v>1</v>
      </c>
      <c r="N1862" s="8">
        <f t="shared" si="810"/>
        <v>1</v>
      </c>
      <c r="O1862" s="11" t="s">
        <v>1702</v>
      </c>
      <c r="P1862" s="16" t="str">
        <f t="shared" si="811"/>
        <v>29-Aug-1901</v>
      </c>
      <c r="R1862" s="16" t="str">
        <f t="shared" si="813"/>
        <v>x</v>
      </c>
      <c r="S1862" s="16" t="str">
        <f t="shared" si="813"/>
        <v>x</v>
      </c>
      <c r="U1862" s="46" t="str">
        <f t="shared" si="814"/>
        <v/>
      </c>
      <c r="V1862" s="46">
        <f t="shared" si="814"/>
        <v>12</v>
      </c>
      <c r="W1862" s="46" t="str">
        <f t="shared" si="814"/>
        <v/>
      </c>
      <c r="X1862" s="46" t="str">
        <f t="shared" si="814"/>
        <v/>
      </c>
    </row>
    <row r="1863" spans="2:24" x14ac:dyDescent="0.25">
      <c r="B1863" s="11" t="str">
        <f t="shared" si="808"/>
        <v>GWLD-11OCT1901</v>
      </c>
      <c r="C1863" s="11" t="s">
        <v>3284</v>
      </c>
      <c r="D1863" s="11" t="s">
        <v>2103</v>
      </c>
      <c r="E1863" s="39" t="s">
        <v>4039</v>
      </c>
      <c r="F1863" s="11" t="s">
        <v>1700</v>
      </c>
      <c r="G1863" s="39" t="s">
        <v>4040</v>
      </c>
      <c r="J1863" s="17">
        <v>18</v>
      </c>
      <c r="K1863" s="17"/>
      <c r="L1863" s="7">
        <f t="shared" si="809"/>
        <v>18</v>
      </c>
      <c r="M1863" s="8">
        <v>1</v>
      </c>
      <c r="N1863" s="8">
        <f t="shared" si="810"/>
        <v>1</v>
      </c>
      <c r="O1863" s="11" t="s">
        <v>1702</v>
      </c>
      <c r="P1863" s="16" t="str">
        <f t="shared" si="811"/>
        <v>11-Oct-1901</v>
      </c>
      <c r="R1863" s="16" t="str">
        <f t="shared" si="813"/>
        <v>x</v>
      </c>
      <c r="S1863" s="16" t="str">
        <f t="shared" si="813"/>
        <v>x</v>
      </c>
      <c r="U1863" s="46" t="str">
        <f t="shared" ref="U1863:X1867" si="815">IF($O1863=U$5,$L1863,"")</f>
        <v/>
      </c>
      <c r="V1863" s="46">
        <f t="shared" si="815"/>
        <v>18</v>
      </c>
      <c r="W1863" s="46" t="str">
        <f t="shared" si="815"/>
        <v/>
      </c>
      <c r="X1863" s="46" t="str">
        <f t="shared" si="815"/>
        <v/>
      </c>
    </row>
    <row r="1864" spans="2:24" x14ac:dyDescent="0.25">
      <c r="B1864" s="11" t="str">
        <f t="shared" si="808"/>
        <v>GWLD-30JUL1902</v>
      </c>
      <c r="C1864" s="11" t="s">
        <v>3284</v>
      </c>
      <c r="D1864" s="11" t="s">
        <v>2103</v>
      </c>
      <c r="E1864" s="39" t="s">
        <v>4688</v>
      </c>
      <c r="F1864" s="11" t="s">
        <v>1700</v>
      </c>
      <c r="G1864" s="39" t="s">
        <v>4689</v>
      </c>
      <c r="J1864" s="17">
        <v>23</v>
      </c>
      <c r="K1864" s="17"/>
      <c r="L1864" s="7">
        <f t="shared" si="809"/>
        <v>23</v>
      </c>
      <c r="M1864" s="8">
        <v>1</v>
      </c>
      <c r="N1864" s="8">
        <f t="shared" si="810"/>
        <v>1</v>
      </c>
      <c r="O1864" s="11" t="s">
        <v>1702</v>
      </c>
      <c r="P1864" s="16" t="str">
        <f t="shared" si="811"/>
        <v>30-Jul-1902</v>
      </c>
      <c r="R1864" s="16" t="str">
        <f t="shared" si="813"/>
        <v>x</v>
      </c>
      <c r="S1864" s="16" t="str">
        <f t="shared" si="813"/>
        <v>x</v>
      </c>
      <c r="U1864" s="46" t="str">
        <f t="shared" si="815"/>
        <v/>
      </c>
      <c r="V1864" s="46">
        <f t="shared" si="815"/>
        <v>23</v>
      </c>
      <c r="W1864" s="46" t="str">
        <f t="shared" si="815"/>
        <v/>
      </c>
      <c r="X1864" s="46" t="str">
        <f t="shared" si="815"/>
        <v/>
      </c>
    </row>
    <row r="1865" spans="2:24" x14ac:dyDescent="0.25">
      <c r="B1865" s="11" t="str">
        <f t="shared" si="808"/>
        <v>GWLD-09OCT1902</v>
      </c>
      <c r="C1865" s="11" t="s">
        <v>3284</v>
      </c>
      <c r="D1865" s="11" t="s">
        <v>2103</v>
      </c>
      <c r="E1865" s="39" t="s">
        <v>5926</v>
      </c>
      <c r="F1865" s="11" t="s">
        <v>1700</v>
      </c>
      <c r="G1865" s="39" t="s">
        <v>3660</v>
      </c>
      <c r="J1865" s="17">
        <v>20</v>
      </c>
      <c r="K1865" s="17"/>
      <c r="L1865" s="7">
        <f t="shared" si="809"/>
        <v>20</v>
      </c>
      <c r="M1865" s="8">
        <v>1</v>
      </c>
      <c r="N1865" s="8">
        <f t="shared" si="810"/>
        <v>1</v>
      </c>
      <c r="O1865" s="11" t="s">
        <v>1702</v>
      </c>
      <c r="P1865" s="16" t="str">
        <f t="shared" si="811"/>
        <v>09-Oct-1902</v>
      </c>
      <c r="R1865" s="16" t="str">
        <f t="shared" si="813"/>
        <v>x</v>
      </c>
      <c r="S1865" s="16" t="str">
        <f t="shared" si="813"/>
        <v>x</v>
      </c>
      <c r="U1865" s="46" t="str">
        <f t="shared" si="815"/>
        <v/>
      </c>
      <c r="V1865" s="46">
        <f t="shared" si="815"/>
        <v>20</v>
      </c>
      <c r="W1865" s="46" t="str">
        <f t="shared" si="815"/>
        <v/>
      </c>
      <c r="X1865" s="46" t="str">
        <f t="shared" si="815"/>
        <v/>
      </c>
    </row>
    <row r="1866" spans="2:24" x14ac:dyDescent="0.25">
      <c r="B1866" s="11" t="str">
        <f t="shared" si="808"/>
        <v>GWLD-21NOV1902</v>
      </c>
      <c r="C1866" s="11" t="s">
        <v>3284</v>
      </c>
      <c r="D1866" s="11" t="s">
        <v>2103</v>
      </c>
      <c r="E1866" s="39" t="s">
        <v>3402</v>
      </c>
      <c r="F1866" s="11" t="s">
        <v>1700</v>
      </c>
      <c r="G1866" s="39" t="s">
        <v>3403</v>
      </c>
      <c r="J1866" s="17">
        <v>27</v>
      </c>
      <c r="K1866" s="17"/>
      <c r="L1866" s="7">
        <f t="shared" si="809"/>
        <v>27</v>
      </c>
      <c r="M1866" s="8">
        <v>1</v>
      </c>
      <c r="N1866" s="8">
        <f t="shared" si="810"/>
        <v>1</v>
      </c>
      <c r="O1866" s="11" t="s">
        <v>1702</v>
      </c>
      <c r="P1866" s="16" t="str">
        <f t="shared" si="811"/>
        <v>21-Nov-1902</v>
      </c>
      <c r="R1866" s="16" t="str">
        <f t="shared" si="813"/>
        <v>x</v>
      </c>
      <c r="S1866" s="16" t="str">
        <f t="shared" si="813"/>
        <v>x</v>
      </c>
      <c r="U1866" s="46" t="str">
        <f t="shared" si="815"/>
        <v/>
      </c>
      <c r="V1866" s="46">
        <f t="shared" si="815"/>
        <v>27</v>
      </c>
      <c r="W1866" s="46" t="str">
        <f t="shared" si="815"/>
        <v/>
      </c>
      <c r="X1866" s="46" t="str">
        <f t="shared" si="815"/>
        <v/>
      </c>
    </row>
    <row r="1867" spans="2:24" x14ac:dyDescent="0.25">
      <c r="B1867" s="11" t="str">
        <f t="shared" si="808"/>
        <v>GWLD-30JUL1903</v>
      </c>
      <c r="C1867" s="11" t="s">
        <v>3284</v>
      </c>
      <c r="D1867" s="11" t="s">
        <v>2103</v>
      </c>
      <c r="E1867" s="39" t="s">
        <v>3677</v>
      </c>
      <c r="F1867" s="11" t="s">
        <v>1700</v>
      </c>
      <c r="G1867" s="39" t="s">
        <v>3676</v>
      </c>
      <c r="H1867" s="7">
        <v>0</v>
      </c>
      <c r="I1867" s="7">
        <v>0</v>
      </c>
      <c r="J1867" s="17">
        <v>14</v>
      </c>
      <c r="K1867" s="17"/>
      <c r="L1867" s="7">
        <f t="shared" si="809"/>
        <v>14</v>
      </c>
      <c r="M1867" s="8">
        <v>1</v>
      </c>
      <c r="N1867" s="8">
        <f t="shared" si="810"/>
        <v>1</v>
      </c>
      <c r="O1867" s="11" t="s">
        <v>1702</v>
      </c>
      <c r="P1867" s="16" t="str">
        <f t="shared" si="811"/>
        <v>30-Jul-1903</v>
      </c>
      <c r="R1867" s="16" t="str">
        <f t="shared" si="813"/>
        <v>x</v>
      </c>
      <c r="S1867" s="16" t="str">
        <f t="shared" si="813"/>
        <v>x</v>
      </c>
      <c r="U1867" s="46" t="str">
        <f t="shared" si="815"/>
        <v/>
      </c>
      <c r="V1867" s="46">
        <f t="shared" si="815"/>
        <v>14</v>
      </c>
      <c r="W1867" s="46" t="str">
        <f t="shared" si="815"/>
        <v/>
      </c>
      <c r="X1867" s="46" t="str">
        <f t="shared" si="815"/>
        <v/>
      </c>
    </row>
    <row r="1868" spans="2:24" x14ac:dyDescent="0.25">
      <c r="B1868" s="11" t="str">
        <f t="shared" si="808"/>
        <v>GWLD-23OCT1903</v>
      </c>
      <c r="C1868" s="11" t="s">
        <v>3284</v>
      </c>
      <c r="D1868" s="11" t="s">
        <v>2103</v>
      </c>
      <c r="E1868" s="39" t="s">
        <v>5362</v>
      </c>
      <c r="F1868" s="11" t="s">
        <v>1700</v>
      </c>
      <c r="G1868" s="39" t="s">
        <v>2915</v>
      </c>
      <c r="H1868" s="7">
        <v>0</v>
      </c>
      <c r="I1868" s="7">
        <v>0</v>
      </c>
      <c r="J1868" s="17">
        <v>8</v>
      </c>
      <c r="K1868" s="17"/>
      <c r="L1868" s="7">
        <f t="shared" si="809"/>
        <v>8</v>
      </c>
      <c r="M1868" s="8">
        <v>1</v>
      </c>
      <c r="N1868" s="8">
        <f t="shared" si="810"/>
        <v>1</v>
      </c>
      <c r="O1868" s="11" t="s">
        <v>1702</v>
      </c>
      <c r="P1868" s="16" t="str">
        <f t="shared" si="811"/>
        <v>23-Oct-1903</v>
      </c>
      <c r="R1868" s="16" t="str">
        <f t="shared" si="813"/>
        <v>x</v>
      </c>
      <c r="S1868" s="16" t="str">
        <f t="shared" si="813"/>
        <v>x</v>
      </c>
      <c r="U1868" s="46" t="str">
        <f t="shared" ref="U1868:X1869" si="816">IF($O1868=U$5,$L1868,"")</f>
        <v/>
      </c>
      <c r="V1868" s="46">
        <f t="shared" si="816"/>
        <v>8</v>
      </c>
      <c r="W1868" s="46" t="str">
        <f t="shared" si="816"/>
        <v/>
      </c>
      <c r="X1868" s="46" t="str">
        <f t="shared" si="816"/>
        <v/>
      </c>
    </row>
    <row r="1869" spans="2:24" x14ac:dyDescent="0.25">
      <c r="B1869" s="11" t="str">
        <f t="shared" si="808"/>
        <v>GWLD-18FEB1905</v>
      </c>
      <c r="C1869" s="11" t="s">
        <v>3284</v>
      </c>
      <c r="D1869" s="11" t="s">
        <v>2103</v>
      </c>
      <c r="E1869" s="39" t="s">
        <v>4919</v>
      </c>
      <c r="F1869" s="11" t="s">
        <v>1700</v>
      </c>
      <c r="G1869" s="39" t="s">
        <v>786</v>
      </c>
      <c r="H1869" s="7">
        <v>0</v>
      </c>
      <c r="I1869" s="7">
        <v>0</v>
      </c>
      <c r="J1869" s="17">
        <v>12</v>
      </c>
      <c r="K1869" s="17"/>
      <c r="L1869" s="7">
        <f t="shared" si="809"/>
        <v>12</v>
      </c>
      <c r="M1869" s="8">
        <v>1</v>
      </c>
      <c r="N1869" s="8">
        <f t="shared" si="810"/>
        <v>1</v>
      </c>
      <c r="O1869" s="11" t="s">
        <v>1702</v>
      </c>
      <c r="P1869" s="16" t="str">
        <f t="shared" si="811"/>
        <v>18-Feb-1905</v>
      </c>
      <c r="R1869" s="16" t="str">
        <f t="shared" si="813"/>
        <v>x</v>
      </c>
      <c r="S1869" s="16" t="str">
        <f t="shared" si="813"/>
        <v>x</v>
      </c>
      <c r="U1869" s="46" t="str">
        <f t="shared" si="816"/>
        <v/>
      </c>
      <c r="V1869" s="46">
        <f t="shared" si="816"/>
        <v>12</v>
      </c>
      <c r="W1869" s="46" t="str">
        <f t="shared" si="816"/>
        <v/>
      </c>
      <c r="X1869" s="46" t="str">
        <f t="shared" si="816"/>
        <v/>
      </c>
    </row>
    <row r="1870" spans="2:24" x14ac:dyDescent="0.25">
      <c r="B1870" s="11" t="str">
        <f t="shared" si="808"/>
        <v>GWLD-30JUN1905</v>
      </c>
      <c r="C1870" s="11" t="s">
        <v>3284</v>
      </c>
      <c r="D1870" s="11" t="s">
        <v>2103</v>
      </c>
      <c r="E1870" s="39" t="s">
        <v>3759</v>
      </c>
      <c r="F1870" s="11" t="s">
        <v>1700</v>
      </c>
      <c r="G1870" s="39" t="s">
        <v>3758</v>
      </c>
      <c r="H1870" s="7">
        <v>0</v>
      </c>
      <c r="I1870" s="7">
        <v>0</v>
      </c>
      <c r="J1870" s="17">
        <v>39</v>
      </c>
      <c r="K1870" s="17"/>
      <c r="L1870" s="7">
        <f t="shared" si="809"/>
        <v>39</v>
      </c>
      <c r="M1870" s="8">
        <v>1</v>
      </c>
      <c r="N1870" s="8">
        <f t="shared" si="810"/>
        <v>1</v>
      </c>
      <c r="O1870" s="11" t="s">
        <v>1702</v>
      </c>
      <c r="P1870" s="16" t="str">
        <f t="shared" si="811"/>
        <v>30-Jun-1905</v>
      </c>
      <c r="R1870" s="16" t="str">
        <f t="shared" si="813"/>
        <v>x</v>
      </c>
      <c r="S1870" s="16" t="str">
        <f t="shared" si="813"/>
        <v>x</v>
      </c>
      <c r="U1870" s="46" t="str">
        <f>IF($O1870=U$5,$L1870,"")</f>
        <v/>
      </c>
      <c r="V1870" s="46">
        <f>IF($O1870=V$5,$L1870,"")</f>
        <v>39</v>
      </c>
      <c r="W1870" s="46" t="str">
        <f>IF($O1870=W$5,$L1870,"")</f>
        <v/>
      </c>
      <c r="X1870" s="46" t="str">
        <f>IF($O1870=X$5,$L1870,"")</f>
        <v/>
      </c>
    </row>
    <row r="1871" spans="2:24" x14ac:dyDescent="0.25">
      <c r="B1871" s="11" t="str">
        <f t="shared" si="808"/>
        <v>GWLD-21JUN1907</v>
      </c>
      <c r="C1871" s="11" t="s">
        <v>3284</v>
      </c>
      <c r="D1871" s="11" t="s">
        <v>2103</v>
      </c>
      <c r="E1871" s="39" t="s">
        <v>5521</v>
      </c>
      <c r="F1871" s="11" t="s">
        <v>1700</v>
      </c>
      <c r="G1871" s="39" t="s">
        <v>3386</v>
      </c>
      <c r="H1871" s="7">
        <v>0</v>
      </c>
      <c r="I1871" s="7">
        <v>0</v>
      </c>
      <c r="J1871" s="17">
        <v>26</v>
      </c>
      <c r="K1871" s="17"/>
      <c r="L1871" s="7">
        <f t="shared" si="809"/>
        <v>26</v>
      </c>
      <c r="M1871" s="8">
        <v>1</v>
      </c>
      <c r="N1871" s="8">
        <f t="shared" si="810"/>
        <v>1</v>
      </c>
      <c r="O1871" s="11" t="s">
        <v>1702</v>
      </c>
      <c r="P1871" s="16" t="str">
        <f t="shared" si="811"/>
        <v>21-Jun-1907</v>
      </c>
      <c r="R1871" s="16" t="str">
        <f t="shared" si="813"/>
        <v>x</v>
      </c>
      <c r="S1871" s="16" t="str">
        <f t="shared" si="813"/>
        <v>x</v>
      </c>
      <c r="U1871" s="46" t="str">
        <f t="shared" ref="U1871:X1872" si="817">IF($O1871=U$5,$L1871,"")</f>
        <v/>
      </c>
      <c r="V1871" s="46">
        <f t="shared" si="817"/>
        <v>26</v>
      </c>
      <c r="W1871" s="46" t="str">
        <f t="shared" si="817"/>
        <v/>
      </c>
      <c r="X1871" s="46" t="str">
        <f t="shared" si="817"/>
        <v/>
      </c>
    </row>
    <row r="1872" spans="2:24" x14ac:dyDescent="0.25">
      <c r="B1872" s="11" t="str">
        <f t="shared" si="808"/>
        <v>GWLD-05FEB1909</v>
      </c>
      <c r="C1872" s="11" t="s">
        <v>3284</v>
      </c>
      <c r="D1872" s="11" t="s">
        <v>2103</v>
      </c>
      <c r="E1872" s="39" t="s">
        <v>4806</v>
      </c>
      <c r="F1872" s="11" t="s">
        <v>1700</v>
      </c>
      <c r="G1872" s="39" t="s">
        <v>4805</v>
      </c>
      <c r="H1872" s="7">
        <v>0</v>
      </c>
      <c r="I1872" s="7">
        <v>0</v>
      </c>
      <c r="J1872" s="17">
        <v>8</v>
      </c>
      <c r="K1872" s="17"/>
      <c r="L1872" s="7">
        <f t="shared" si="809"/>
        <v>8</v>
      </c>
      <c r="M1872" s="8">
        <v>1</v>
      </c>
      <c r="N1872" s="8">
        <f t="shared" si="810"/>
        <v>1</v>
      </c>
      <c r="O1872" s="11" t="s">
        <v>1702</v>
      </c>
      <c r="P1872" s="16" t="str">
        <f t="shared" si="811"/>
        <v>05-Feb-1909</v>
      </c>
      <c r="R1872" s="16" t="str">
        <f t="shared" si="813"/>
        <v>x</v>
      </c>
      <c r="S1872" s="16" t="str">
        <f t="shared" si="813"/>
        <v>x</v>
      </c>
      <c r="U1872" s="46" t="str">
        <f t="shared" si="817"/>
        <v/>
      </c>
      <c r="V1872" s="46">
        <f t="shared" si="817"/>
        <v>8</v>
      </c>
      <c r="W1872" s="46" t="str">
        <f t="shared" si="817"/>
        <v/>
      </c>
      <c r="X1872" s="46" t="str">
        <f t="shared" si="817"/>
        <v/>
      </c>
    </row>
    <row r="1873" spans="2:24" x14ac:dyDescent="0.25">
      <c r="N1873" s="8" t="str">
        <f>IF(R1873="x",1,"")</f>
        <v/>
      </c>
      <c r="U1873" s="46" t="str">
        <f t="shared" ref="U1873:X1882" si="818">IF($O1873=U$5,$L1873,"")</f>
        <v/>
      </c>
      <c r="V1873" s="46" t="str">
        <f t="shared" si="818"/>
        <v/>
      </c>
      <c r="W1873" s="46" t="str">
        <f t="shared" si="818"/>
        <v/>
      </c>
      <c r="X1873" s="46" t="str">
        <f t="shared" si="818"/>
        <v/>
      </c>
    </row>
    <row r="1874" spans="2:24" x14ac:dyDescent="0.25">
      <c r="B1874" s="18"/>
      <c r="C1874" s="18"/>
      <c r="D1874" s="18"/>
      <c r="E1874" s="40"/>
      <c r="F1874" s="18"/>
      <c r="G1874" s="40"/>
      <c r="H1874" s="7">
        <f t="shared" ref="H1874:N1874" si="819">SUM(H1857:H1873)</f>
        <v>0</v>
      </c>
      <c r="I1874" s="7">
        <f t="shared" si="819"/>
        <v>0</v>
      </c>
      <c r="J1874" s="7">
        <f>SUM(J1857:J1873)</f>
        <v>325</v>
      </c>
      <c r="K1874" s="7">
        <f t="shared" si="819"/>
        <v>0</v>
      </c>
      <c r="L1874" s="7">
        <f t="shared" si="819"/>
        <v>325</v>
      </c>
      <c r="M1874" s="7">
        <f t="shared" si="819"/>
        <v>16</v>
      </c>
      <c r="N1874" s="7">
        <f t="shared" si="819"/>
        <v>16</v>
      </c>
      <c r="O1874" s="18"/>
      <c r="P1874" s="13"/>
      <c r="Q1874" s="13"/>
      <c r="S1874" s="13"/>
      <c r="T1874" s="15"/>
      <c r="U1874" s="46" t="str">
        <f t="shared" si="818"/>
        <v/>
      </c>
      <c r="V1874" s="46" t="str">
        <f t="shared" si="818"/>
        <v/>
      </c>
      <c r="W1874" s="46" t="str">
        <f t="shared" si="818"/>
        <v/>
      </c>
      <c r="X1874" s="46" t="str">
        <f t="shared" si="818"/>
        <v/>
      </c>
    </row>
    <row r="1875" spans="2:24" x14ac:dyDescent="0.25">
      <c r="B1875" s="18"/>
      <c r="C1875" s="18"/>
      <c r="D1875" s="18"/>
      <c r="E1875" s="40"/>
      <c r="F1875" s="18"/>
      <c r="G1875" s="40"/>
      <c r="N1875" s="8" t="str">
        <f>IF(R1875="x",1,"")</f>
        <v/>
      </c>
      <c r="O1875" s="18"/>
      <c r="P1875" s="13"/>
      <c r="Q1875" s="13"/>
      <c r="R1875" s="13"/>
      <c r="S1875" s="13"/>
      <c r="T1875" s="15"/>
      <c r="U1875" s="46" t="str">
        <f t="shared" si="818"/>
        <v/>
      </c>
      <c r="V1875" s="46" t="str">
        <f t="shared" si="818"/>
        <v/>
      </c>
      <c r="W1875" s="46" t="str">
        <f t="shared" si="818"/>
        <v/>
      </c>
      <c r="X1875" s="46" t="str">
        <f t="shared" si="818"/>
        <v/>
      </c>
    </row>
    <row r="1876" spans="2:24" x14ac:dyDescent="0.25">
      <c r="B1876" s="18"/>
      <c r="C1876" s="18"/>
      <c r="D1876" s="18"/>
      <c r="E1876" s="40"/>
      <c r="F1876" s="18"/>
      <c r="G1876" s="40"/>
      <c r="N1876" s="8" t="str">
        <f>IF(R1876="x",1,"")</f>
        <v/>
      </c>
      <c r="O1876" s="18"/>
      <c r="P1876" s="13"/>
      <c r="Q1876" s="13"/>
      <c r="R1876" s="13"/>
      <c r="S1876" s="13"/>
      <c r="T1876" s="15"/>
      <c r="U1876" s="46" t="str">
        <f t="shared" si="818"/>
        <v/>
      </c>
      <c r="V1876" s="46" t="str">
        <f t="shared" si="818"/>
        <v/>
      </c>
      <c r="W1876" s="46" t="str">
        <f t="shared" si="818"/>
        <v/>
      </c>
      <c r="X1876" s="46" t="str">
        <f t="shared" si="818"/>
        <v/>
      </c>
    </row>
    <row r="1877" spans="2:24" x14ac:dyDescent="0.25">
      <c r="B1877" s="11" t="str">
        <f>CONCATENATE("GRMP","-",LEFT(P1877,2),UPPER(MID(P1877,4,3)),RIGHT(P1877,4))</f>
        <v>GRMP-03SEP1920</v>
      </c>
      <c r="C1877" s="11" t="s">
        <v>3096</v>
      </c>
      <c r="D1877" s="11" t="s">
        <v>2814</v>
      </c>
      <c r="E1877" s="39" t="s">
        <v>3098</v>
      </c>
      <c r="F1877" s="11" t="s">
        <v>2813</v>
      </c>
      <c r="G1877" s="39" t="s">
        <v>3097</v>
      </c>
      <c r="J1877" s="17">
        <f>7+1</f>
        <v>8</v>
      </c>
      <c r="K1877" s="17"/>
      <c r="L1877" s="7">
        <f>SUM(H1877:K1877)</f>
        <v>8</v>
      </c>
      <c r="M1877" s="8">
        <v>1</v>
      </c>
      <c r="N1877" s="8">
        <f>IF(L1877&gt;0,1,"")</f>
        <v>1</v>
      </c>
      <c r="O1877" s="11" t="s">
        <v>1702</v>
      </c>
      <c r="P1877" s="16" t="str">
        <f>IF(LEN(G1877)=10,CONCATENATE("0",G1877),G1877)</f>
        <v>03-Sep-1920</v>
      </c>
      <c r="R1877" s="16" t="str">
        <f t="shared" ref="R1877:S1880" si="820">IF($L1877&gt;0,"x","")</f>
        <v>x</v>
      </c>
      <c r="S1877" s="16" t="str">
        <f t="shared" si="820"/>
        <v>x</v>
      </c>
      <c r="U1877" s="46" t="str">
        <f t="shared" si="818"/>
        <v/>
      </c>
      <c r="V1877" s="46">
        <f t="shared" si="818"/>
        <v>8</v>
      </c>
      <c r="W1877" s="46" t="str">
        <f t="shared" si="818"/>
        <v/>
      </c>
      <c r="X1877" s="46" t="str">
        <f t="shared" si="818"/>
        <v/>
      </c>
    </row>
    <row r="1878" spans="2:24" x14ac:dyDescent="0.25">
      <c r="B1878" s="11" t="str">
        <f>CONCATENATE("GRMP","-",LEFT(P1878,2),UPPER(MID(P1878,4,3)),RIGHT(P1878,4))</f>
        <v>GRMP-03SEP1920</v>
      </c>
      <c r="C1878" s="11" t="s">
        <v>3096</v>
      </c>
      <c r="D1878" s="11" t="s">
        <v>598</v>
      </c>
      <c r="E1878" s="39" t="s">
        <v>2554</v>
      </c>
      <c r="F1878" s="11" t="s">
        <v>2813</v>
      </c>
      <c r="G1878" s="39" t="s">
        <v>3097</v>
      </c>
      <c r="J1878" s="17">
        <f>18+5</f>
        <v>23</v>
      </c>
      <c r="K1878" s="17"/>
      <c r="L1878" s="7">
        <f>SUM(H1878:K1878)</f>
        <v>23</v>
      </c>
      <c r="M1878" s="8">
        <v>1</v>
      </c>
      <c r="N1878" s="8">
        <f>IF(L1878&gt;0,1,"")</f>
        <v>1</v>
      </c>
      <c r="O1878" s="11" t="s">
        <v>1702</v>
      </c>
      <c r="P1878" s="16" t="str">
        <f>IF(LEN(G1878)=10,CONCATENATE("0",G1878),G1878)</f>
        <v>03-Sep-1920</v>
      </c>
      <c r="R1878" s="16" t="str">
        <f t="shared" si="820"/>
        <v>x</v>
      </c>
      <c r="S1878" s="16" t="str">
        <f t="shared" si="820"/>
        <v>x</v>
      </c>
      <c r="U1878" s="46" t="str">
        <f t="shared" si="818"/>
        <v/>
      </c>
      <c r="V1878" s="46">
        <f t="shared" si="818"/>
        <v>23</v>
      </c>
      <c r="W1878" s="46" t="str">
        <f t="shared" si="818"/>
        <v/>
      </c>
      <c r="X1878" s="46" t="str">
        <f t="shared" si="818"/>
        <v/>
      </c>
    </row>
    <row r="1879" spans="2:24" x14ac:dyDescent="0.25">
      <c r="B1879" s="11" t="str">
        <f>CONCATENATE("GRMP","-",LEFT(P1879,2),UPPER(MID(P1879,4,3)),RIGHT(P1879,4))</f>
        <v>GRMP-10OCT1920</v>
      </c>
      <c r="C1879" s="11" t="s">
        <v>3096</v>
      </c>
      <c r="D1879" s="11" t="s">
        <v>598</v>
      </c>
      <c r="E1879" s="39" t="s">
        <v>2573</v>
      </c>
      <c r="F1879" s="11" t="s">
        <v>2813</v>
      </c>
      <c r="G1879" s="39" t="s">
        <v>4912</v>
      </c>
      <c r="I1879" s="7">
        <v>0</v>
      </c>
      <c r="J1879" s="17">
        <v>20</v>
      </c>
      <c r="K1879" s="17"/>
      <c r="L1879" s="7">
        <f>SUM(H1879:K1879)</f>
        <v>20</v>
      </c>
      <c r="M1879" s="8">
        <v>1</v>
      </c>
      <c r="N1879" s="8">
        <f>IF(L1879&gt;0,1,"")</f>
        <v>1</v>
      </c>
      <c r="O1879" s="11" t="s">
        <v>1702</v>
      </c>
      <c r="P1879" s="16" t="str">
        <f>IF(LEN(G1879)=10,CONCATENATE("0",G1879),G1879)</f>
        <v>10-Oct-1920</v>
      </c>
      <c r="R1879" s="16" t="str">
        <f t="shared" si="820"/>
        <v>x</v>
      </c>
      <c r="S1879" s="16" t="str">
        <f t="shared" si="820"/>
        <v>x</v>
      </c>
      <c r="U1879" s="46" t="str">
        <f t="shared" si="818"/>
        <v/>
      </c>
      <c r="V1879" s="46">
        <f t="shared" si="818"/>
        <v>20</v>
      </c>
      <c r="W1879" s="46" t="str">
        <f t="shared" si="818"/>
        <v/>
      </c>
      <c r="X1879" s="46" t="str">
        <f t="shared" si="818"/>
        <v/>
      </c>
    </row>
    <row r="1880" spans="2:24" x14ac:dyDescent="0.25">
      <c r="B1880" s="11" t="str">
        <f>CONCATENATE("GRMP","-",LEFT(P1880,2),UPPER(MID(P1880,4,3)),RIGHT(P1880,4))</f>
        <v>GRMP-14NOV1920</v>
      </c>
      <c r="C1880" s="11" t="s">
        <v>3096</v>
      </c>
      <c r="D1880" s="11" t="s">
        <v>2814</v>
      </c>
      <c r="E1880" s="39" t="s">
        <v>2806</v>
      </c>
      <c r="F1880" s="11" t="s">
        <v>2813</v>
      </c>
      <c r="G1880" s="39" t="s">
        <v>3091</v>
      </c>
      <c r="J1880" s="17">
        <v>5</v>
      </c>
      <c r="K1880" s="17"/>
      <c r="L1880" s="7">
        <f>SUM(H1880:K1880)</f>
        <v>5</v>
      </c>
      <c r="M1880" s="8">
        <v>1</v>
      </c>
      <c r="N1880" s="8">
        <f>IF(L1880&gt;0,1,"")</f>
        <v>1</v>
      </c>
      <c r="O1880" s="11" t="s">
        <v>1702</v>
      </c>
      <c r="P1880" s="16" t="str">
        <f>IF(LEN(G1880)=10,CONCATENATE("0",G1880),G1880)</f>
        <v>14-Nov-1920</v>
      </c>
      <c r="Q1880" s="80"/>
      <c r="S1880" s="16" t="str">
        <f t="shared" si="820"/>
        <v>x</v>
      </c>
      <c r="U1880" s="46" t="str">
        <f t="shared" si="818"/>
        <v/>
      </c>
      <c r="V1880" s="46">
        <f t="shared" si="818"/>
        <v>5</v>
      </c>
      <c r="W1880" s="46" t="str">
        <f t="shared" si="818"/>
        <v/>
      </c>
      <c r="X1880" s="46" t="str">
        <f t="shared" si="818"/>
        <v/>
      </c>
    </row>
    <row r="1881" spans="2:24" x14ac:dyDescent="0.25">
      <c r="N1881" s="8" t="str">
        <f>IF(R1881="x",1,"")</f>
        <v/>
      </c>
      <c r="U1881" s="46" t="str">
        <f t="shared" si="818"/>
        <v/>
      </c>
      <c r="V1881" s="46" t="str">
        <f t="shared" si="818"/>
        <v/>
      </c>
      <c r="W1881" s="46" t="str">
        <f t="shared" si="818"/>
        <v/>
      </c>
      <c r="X1881" s="46" t="str">
        <f t="shared" si="818"/>
        <v/>
      </c>
    </row>
    <row r="1882" spans="2:24" x14ac:dyDescent="0.25">
      <c r="B1882" s="18"/>
      <c r="C1882" s="18"/>
      <c r="D1882" s="18"/>
      <c r="E1882" s="40"/>
      <c r="F1882" s="18"/>
      <c r="G1882" s="40"/>
      <c r="H1882" s="7">
        <f t="shared" ref="H1882:N1882" si="821">SUM(H1877:H1881)</f>
        <v>0</v>
      </c>
      <c r="I1882" s="7">
        <f t="shared" si="821"/>
        <v>0</v>
      </c>
      <c r="J1882" s="7">
        <f>SUM(J1877:J1881)</f>
        <v>56</v>
      </c>
      <c r="K1882" s="7">
        <f t="shared" si="821"/>
        <v>0</v>
      </c>
      <c r="L1882" s="7">
        <f t="shared" si="821"/>
        <v>56</v>
      </c>
      <c r="M1882" s="7">
        <f t="shared" si="821"/>
        <v>4</v>
      </c>
      <c r="N1882" s="7">
        <f t="shared" si="821"/>
        <v>4</v>
      </c>
      <c r="O1882" s="18"/>
      <c r="P1882" s="13"/>
      <c r="Q1882" s="13"/>
      <c r="S1882" s="13"/>
      <c r="T1882" s="15"/>
      <c r="U1882" s="46" t="str">
        <f t="shared" si="818"/>
        <v/>
      </c>
      <c r="V1882" s="46" t="str">
        <f t="shared" si="818"/>
        <v/>
      </c>
      <c r="W1882" s="46" t="str">
        <f t="shared" si="818"/>
        <v/>
      </c>
      <c r="X1882" s="46" t="str">
        <f t="shared" si="818"/>
        <v/>
      </c>
    </row>
    <row r="1883" spans="2:24" x14ac:dyDescent="0.25">
      <c r="B1883" s="18"/>
      <c r="C1883" s="18"/>
      <c r="D1883" s="18"/>
      <c r="E1883" s="40"/>
      <c r="F1883" s="18"/>
      <c r="G1883" s="40"/>
      <c r="N1883" s="8" t="str">
        <f>IF(R1883="x",1,"")</f>
        <v/>
      </c>
      <c r="O1883" s="18"/>
      <c r="P1883" s="13"/>
      <c r="Q1883" s="13"/>
      <c r="R1883" s="13"/>
      <c r="S1883" s="13"/>
      <c r="T1883" s="15"/>
      <c r="U1883" s="46" t="str">
        <f t="shared" ref="U1883:X1887" si="822">IF($O1883=U$5,$L1883,"")</f>
        <v/>
      </c>
      <c r="V1883" s="46" t="str">
        <f t="shared" si="822"/>
        <v/>
      </c>
      <c r="W1883" s="46" t="str">
        <f t="shared" si="822"/>
        <v/>
      </c>
      <c r="X1883" s="46" t="str">
        <f t="shared" si="822"/>
        <v/>
      </c>
    </row>
    <row r="1884" spans="2:24" x14ac:dyDescent="0.25">
      <c r="B1884" s="18"/>
      <c r="C1884" s="18"/>
      <c r="D1884" s="18"/>
      <c r="E1884" s="40"/>
      <c r="F1884" s="18"/>
      <c r="G1884" s="40"/>
      <c r="N1884" s="8" t="str">
        <f>IF(R1884="x",1,"")</f>
        <v/>
      </c>
      <c r="O1884" s="18"/>
      <c r="P1884" s="13"/>
      <c r="Q1884" s="13"/>
      <c r="R1884" s="13"/>
      <c r="S1884" s="13"/>
      <c r="T1884" s="15"/>
      <c r="U1884" s="46" t="str">
        <f t="shared" si="822"/>
        <v/>
      </c>
      <c r="V1884" s="46" t="str">
        <f t="shared" si="822"/>
        <v/>
      </c>
      <c r="W1884" s="46" t="str">
        <f t="shared" si="822"/>
        <v/>
      </c>
      <c r="X1884" s="46" t="str">
        <f t="shared" si="822"/>
        <v/>
      </c>
    </row>
    <row r="1885" spans="2:24" x14ac:dyDescent="0.25">
      <c r="B1885" s="11" t="str">
        <f>CONCATENATE("GRKF","-",LEFT(P1885,2),UPPER(MID(P1885,4,3)),RIGHT(P1885,4))</f>
        <v>GRKF-26SEP1905</v>
      </c>
      <c r="C1885" s="11" t="s">
        <v>5314</v>
      </c>
      <c r="D1885" s="11" t="s">
        <v>3359</v>
      </c>
      <c r="E1885" s="39" t="s">
        <v>2639</v>
      </c>
      <c r="F1885" s="11" t="s">
        <v>1700</v>
      </c>
      <c r="G1885" s="39" t="s">
        <v>5315</v>
      </c>
      <c r="H1885" s="7">
        <v>0</v>
      </c>
      <c r="I1885" s="7">
        <v>0</v>
      </c>
      <c r="J1885" s="17">
        <v>3</v>
      </c>
      <c r="K1885" s="17"/>
      <c r="L1885" s="7">
        <f>SUM(H1885:K1885)</f>
        <v>3</v>
      </c>
      <c r="M1885" s="8">
        <v>1</v>
      </c>
      <c r="N1885" s="8">
        <f>IF(L1885&gt;0,1,"")</f>
        <v>1</v>
      </c>
      <c r="O1885" s="11" t="s">
        <v>1702</v>
      </c>
      <c r="P1885" s="16" t="str">
        <f>IF(LEN(G1885)=10,CONCATENATE("0",G1885),G1885)</f>
        <v>26-Sep-1905</v>
      </c>
      <c r="R1885" s="16" t="str">
        <f>IF($L1885&gt;0,"x","")</f>
        <v>x</v>
      </c>
      <c r="S1885" s="16" t="str">
        <f>IF($L1885&gt;0,"x","")</f>
        <v>x</v>
      </c>
      <c r="U1885" s="46" t="str">
        <f t="shared" si="822"/>
        <v/>
      </c>
      <c r="V1885" s="46">
        <f t="shared" si="822"/>
        <v>3</v>
      </c>
      <c r="W1885" s="46" t="str">
        <f t="shared" si="822"/>
        <v/>
      </c>
      <c r="X1885" s="46" t="str">
        <f t="shared" si="822"/>
        <v/>
      </c>
    </row>
    <row r="1886" spans="2:24" x14ac:dyDescent="0.25">
      <c r="N1886" s="8" t="str">
        <f>IF(R1886="x",1,"")</f>
        <v/>
      </c>
      <c r="U1886" s="46" t="str">
        <f t="shared" si="822"/>
        <v/>
      </c>
      <c r="V1886" s="46" t="str">
        <f t="shared" si="822"/>
        <v/>
      </c>
      <c r="W1886" s="46" t="str">
        <f t="shared" si="822"/>
        <v/>
      </c>
      <c r="X1886" s="46" t="str">
        <f t="shared" si="822"/>
        <v/>
      </c>
    </row>
    <row r="1887" spans="2:24" x14ac:dyDescent="0.25">
      <c r="B1887" s="18"/>
      <c r="C1887" s="18"/>
      <c r="D1887" s="18"/>
      <c r="E1887" s="40"/>
      <c r="F1887" s="18"/>
      <c r="G1887" s="40"/>
      <c r="H1887" s="7">
        <f t="shared" ref="H1887:N1887" si="823">SUM(H1885:H1886)</f>
        <v>0</v>
      </c>
      <c r="I1887" s="7">
        <f t="shared" si="823"/>
        <v>0</v>
      </c>
      <c r="J1887" s="7">
        <f>SUM(J1885:J1886)</f>
        <v>3</v>
      </c>
      <c r="K1887" s="7">
        <f t="shared" si="823"/>
        <v>0</v>
      </c>
      <c r="L1887" s="7">
        <f t="shared" si="823"/>
        <v>3</v>
      </c>
      <c r="M1887" s="7">
        <f t="shared" si="823"/>
        <v>1</v>
      </c>
      <c r="N1887" s="7">
        <f t="shared" si="823"/>
        <v>1</v>
      </c>
      <c r="O1887" s="18"/>
      <c r="P1887" s="13"/>
      <c r="Q1887" s="13"/>
      <c r="S1887" s="13"/>
      <c r="T1887" s="15"/>
      <c r="U1887" s="46" t="str">
        <f t="shared" si="822"/>
        <v/>
      </c>
      <c r="V1887" s="46" t="str">
        <f t="shared" si="822"/>
        <v/>
      </c>
      <c r="W1887" s="46" t="str">
        <f t="shared" si="822"/>
        <v/>
      </c>
      <c r="X1887" s="46" t="str">
        <f t="shared" si="822"/>
        <v/>
      </c>
    </row>
    <row r="1888" spans="2:24" x14ac:dyDescent="0.25">
      <c r="B1888" s="18"/>
      <c r="C1888" s="18"/>
      <c r="D1888" s="18"/>
      <c r="E1888" s="40"/>
      <c r="F1888" s="18"/>
      <c r="G1888" s="40"/>
      <c r="N1888" s="8" t="str">
        <f>IF(R1888="x",1,"")</f>
        <v/>
      </c>
      <c r="O1888" s="18"/>
      <c r="P1888" s="13"/>
      <c r="Q1888" s="13"/>
      <c r="R1888" s="13"/>
      <c r="S1888" s="13"/>
      <c r="T1888" s="15"/>
      <c r="U1888" s="46" t="str">
        <f t="shared" ref="U1888:X1896" si="824">IF($O1888=U$5,$L1888,"")</f>
        <v/>
      </c>
      <c r="V1888" s="46" t="str">
        <f t="shared" si="824"/>
        <v/>
      </c>
      <c r="W1888" s="46" t="str">
        <f t="shared" si="824"/>
        <v/>
      </c>
      <c r="X1888" s="46" t="str">
        <f t="shared" si="824"/>
        <v/>
      </c>
    </row>
    <row r="1889" spans="2:24" x14ac:dyDescent="0.25">
      <c r="B1889" s="18"/>
      <c r="C1889" s="18"/>
      <c r="D1889" s="18"/>
      <c r="E1889" s="40"/>
      <c r="F1889" s="18"/>
      <c r="G1889" s="40"/>
      <c r="N1889" s="8" t="str">
        <f>IF(R1889="x",1,"")</f>
        <v/>
      </c>
      <c r="O1889" s="18"/>
      <c r="P1889" s="13"/>
      <c r="Q1889" s="13"/>
      <c r="R1889" s="13"/>
      <c r="S1889" s="13"/>
      <c r="T1889" s="15"/>
      <c r="U1889" s="46" t="str">
        <f t="shared" si="824"/>
        <v/>
      </c>
      <c r="V1889" s="46" t="str">
        <f t="shared" si="824"/>
        <v/>
      </c>
      <c r="W1889" s="46" t="str">
        <f t="shared" si="824"/>
        <v/>
      </c>
      <c r="X1889" s="46" t="str">
        <f t="shared" si="824"/>
        <v/>
      </c>
    </row>
    <row r="1890" spans="2:24" x14ac:dyDescent="0.25">
      <c r="B1890" s="11" t="str">
        <f>CONCATENATE("GULD","-",LEFT(P1890,2),UPPER(MID(P1890,4,3)),RIGHT(P1890,4))</f>
        <v>GULD-02NOV1920</v>
      </c>
      <c r="C1890" s="11" t="s">
        <v>3004</v>
      </c>
      <c r="D1890" s="11" t="s">
        <v>2808</v>
      </c>
      <c r="E1890" s="39" t="s">
        <v>3514</v>
      </c>
      <c r="F1890" s="11" t="s">
        <v>1700</v>
      </c>
      <c r="G1890" s="39" t="s">
        <v>2806</v>
      </c>
      <c r="H1890" s="7">
        <v>9</v>
      </c>
      <c r="I1890" s="7">
        <v>67</v>
      </c>
      <c r="J1890" s="17">
        <f>320+5</f>
        <v>325</v>
      </c>
      <c r="K1890" s="17"/>
      <c r="L1890" s="7">
        <f>SUM(H1890:K1890)</f>
        <v>401</v>
      </c>
      <c r="M1890" s="8">
        <v>1</v>
      </c>
      <c r="N1890" s="8">
        <f>IF(L1890&gt;0,1,"")</f>
        <v>1</v>
      </c>
      <c r="O1890" s="11" t="s">
        <v>1702</v>
      </c>
      <c r="P1890" s="16" t="str">
        <f>IF(LEN(G1890)=10,CONCATENATE("0",G1890),G1890)</f>
        <v>02-Nov-1920</v>
      </c>
      <c r="R1890" s="16" t="str">
        <f>IF($L1890&gt;0,"x","")</f>
        <v>x</v>
      </c>
      <c r="S1890" s="16" t="str">
        <f>IF($L1890&gt;0,"x","")</f>
        <v>x</v>
      </c>
      <c r="U1890" s="46" t="str">
        <f t="shared" si="824"/>
        <v/>
      </c>
      <c r="V1890" s="46">
        <f t="shared" si="824"/>
        <v>401</v>
      </c>
      <c r="W1890" s="46" t="str">
        <f t="shared" si="824"/>
        <v/>
      </c>
      <c r="X1890" s="46" t="str">
        <f t="shared" si="824"/>
        <v/>
      </c>
    </row>
    <row r="1891" spans="2:24" x14ac:dyDescent="0.25">
      <c r="B1891" s="11" t="str">
        <f>CONCATENATE("GULD","-",LEFT(P1891,2),UPPER(MID(P1891,4,3)),RIGHT(P1891,4))</f>
        <v>GULD-18JUL1921</v>
      </c>
      <c r="C1891" s="11" t="s">
        <v>3004</v>
      </c>
      <c r="D1891" s="11" t="s">
        <v>4188</v>
      </c>
      <c r="E1891" s="39" t="s">
        <v>4187</v>
      </c>
      <c r="F1891" s="11" t="s">
        <v>1700</v>
      </c>
      <c r="G1891" s="39" t="s">
        <v>2063</v>
      </c>
      <c r="H1891" s="7">
        <v>1</v>
      </c>
      <c r="I1891" s="7">
        <v>0</v>
      </c>
      <c r="J1891" s="17">
        <f>14+5</f>
        <v>19</v>
      </c>
      <c r="K1891" s="17"/>
      <c r="L1891" s="7">
        <f>SUM(H1891:K1891)</f>
        <v>20</v>
      </c>
      <c r="M1891" s="8">
        <v>1</v>
      </c>
      <c r="N1891" s="8">
        <f>IF(L1891&gt;0,1,"")</f>
        <v>1</v>
      </c>
      <c r="O1891" s="11" t="s">
        <v>1702</v>
      </c>
      <c r="P1891" s="16" t="str">
        <f>IF(LEN(G1891)=10,CONCATENATE("0",G1891),G1891)</f>
        <v>18-Jul-1921</v>
      </c>
      <c r="R1891" s="16" t="str">
        <f>IF($L1891&gt;0,"x","")</f>
        <v>x</v>
      </c>
      <c r="S1891" s="16" t="str">
        <f>IF($L1891&gt;0,"x","")</f>
        <v>x</v>
      </c>
      <c r="U1891" s="46" t="str">
        <f t="shared" si="824"/>
        <v/>
      </c>
      <c r="V1891" s="46">
        <f t="shared" si="824"/>
        <v>20</v>
      </c>
      <c r="W1891" s="46" t="str">
        <f t="shared" si="824"/>
        <v/>
      </c>
      <c r="X1891" s="46" t="str">
        <f t="shared" si="824"/>
        <v/>
      </c>
    </row>
    <row r="1892" spans="2:24" x14ac:dyDescent="0.25">
      <c r="B1892" s="11" t="str">
        <f>CONCATENATE("GULD","-",LEFT(P1892,2),UPPER(MID(P1892,4,3)),RIGHT(P1892,4))</f>
        <v>GULD-10SEP1921</v>
      </c>
      <c r="C1892" s="11" t="s">
        <v>3004</v>
      </c>
      <c r="D1892" s="11" t="s">
        <v>2808</v>
      </c>
      <c r="E1892" s="39" t="s">
        <v>1144</v>
      </c>
      <c r="F1892" s="11" t="s">
        <v>1700</v>
      </c>
      <c r="G1892" s="39" t="s">
        <v>3005</v>
      </c>
      <c r="H1892" s="7">
        <v>29</v>
      </c>
      <c r="I1892" s="7">
        <v>0</v>
      </c>
      <c r="J1892" s="17">
        <v>109</v>
      </c>
      <c r="K1892" s="17"/>
      <c r="L1892" s="7">
        <f>SUM(H1892:K1892)</f>
        <v>138</v>
      </c>
      <c r="M1892" s="8">
        <v>1</v>
      </c>
      <c r="N1892" s="8">
        <f>IF(L1892&gt;0,1,"")</f>
        <v>1</v>
      </c>
      <c r="O1892" s="11" t="s">
        <v>1702</v>
      </c>
      <c r="P1892" s="16" t="str">
        <f>IF(LEN(G1892)=10,CONCATENATE("0",G1892),G1892)</f>
        <v>10-Sep-1921</v>
      </c>
      <c r="R1892" s="16" t="str">
        <f t="shared" ref="R1892:S1894" si="825">IF($L1892&gt;0,"x","")</f>
        <v>x</v>
      </c>
      <c r="S1892" s="16" t="str">
        <f t="shared" si="825"/>
        <v>x</v>
      </c>
      <c r="U1892" s="46" t="str">
        <f t="shared" si="824"/>
        <v/>
      </c>
      <c r="V1892" s="46">
        <f t="shared" si="824"/>
        <v>138</v>
      </c>
      <c r="W1892" s="46" t="str">
        <f t="shared" si="824"/>
        <v/>
      </c>
      <c r="X1892" s="46" t="str">
        <f t="shared" si="824"/>
        <v/>
      </c>
    </row>
    <row r="1893" spans="2:24" x14ac:dyDescent="0.25">
      <c r="B1893" s="11" t="str">
        <f>CONCATENATE("GULD","-",LEFT(P1893,2),UPPER(MID(P1893,4,3)),RIGHT(P1893,4))</f>
        <v>GULD-10SEP1921</v>
      </c>
      <c r="C1893" s="11" t="s">
        <v>3004</v>
      </c>
      <c r="D1893" s="11" t="s">
        <v>3007</v>
      </c>
      <c r="E1893" s="39" t="s">
        <v>3006</v>
      </c>
      <c r="F1893" s="11" t="s">
        <v>1700</v>
      </c>
      <c r="G1893" s="39" t="s">
        <v>3005</v>
      </c>
      <c r="H1893" s="7">
        <v>0</v>
      </c>
      <c r="I1893" s="7">
        <v>0</v>
      </c>
      <c r="J1893" s="17">
        <v>33</v>
      </c>
      <c r="K1893" s="17"/>
      <c r="L1893" s="7">
        <f>SUM(H1893:K1893)</f>
        <v>33</v>
      </c>
      <c r="M1893" s="8">
        <v>1</v>
      </c>
      <c r="N1893" s="8">
        <f>IF(L1893&gt;0,1,"")</f>
        <v>1</v>
      </c>
      <c r="O1893" s="11" t="s">
        <v>1702</v>
      </c>
      <c r="P1893" s="16" t="str">
        <f>IF(LEN(G1893)=10,CONCATENATE("0",G1893),G1893)</f>
        <v>10-Sep-1921</v>
      </c>
      <c r="R1893" s="16" t="str">
        <f t="shared" si="825"/>
        <v>x</v>
      </c>
      <c r="S1893" s="16" t="str">
        <f t="shared" si="825"/>
        <v>x</v>
      </c>
      <c r="U1893" s="46" t="str">
        <f t="shared" si="824"/>
        <v/>
      </c>
      <c r="V1893" s="46">
        <f t="shared" si="824"/>
        <v>33</v>
      </c>
      <c r="W1893" s="46" t="str">
        <f t="shared" si="824"/>
        <v/>
      </c>
      <c r="X1893" s="46" t="str">
        <f t="shared" si="824"/>
        <v/>
      </c>
    </row>
    <row r="1894" spans="2:24" x14ac:dyDescent="0.25">
      <c r="B1894" s="11" t="str">
        <f>CONCATENATE("GULD","-",LEFT(P1894,2),UPPER(MID(P1894,4,3)),RIGHT(P1894,4))</f>
        <v>GULD-10NOV1921</v>
      </c>
      <c r="C1894" s="11" t="s">
        <v>3004</v>
      </c>
      <c r="D1894" s="11" t="s">
        <v>2808</v>
      </c>
      <c r="E1894" s="39" t="s">
        <v>4203</v>
      </c>
      <c r="F1894" s="11" t="s">
        <v>1700</v>
      </c>
      <c r="G1894" s="39" t="s">
        <v>4204</v>
      </c>
      <c r="H1894" s="7">
        <f>9+1</f>
        <v>10</v>
      </c>
      <c r="I1894" s="7">
        <v>0</v>
      </c>
      <c r="J1894" s="17">
        <f>54+2</f>
        <v>56</v>
      </c>
      <c r="K1894" s="17"/>
      <c r="L1894" s="7">
        <f>SUM(H1894:K1894)</f>
        <v>66</v>
      </c>
      <c r="M1894" s="8">
        <v>1</v>
      </c>
      <c r="N1894" s="8">
        <f>IF(L1894&gt;0,1,"")</f>
        <v>1</v>
      </c>
      <c r="O1894" s="11" t="s">
        <v>1702</v>
      </c>
      <c r="P1894" s="16" t="str">
        <f>IF(LEN(G1894)=10,CONCATENATE("0",G1894),G1894)</f>
        <v>10-Nov-1921</v>
      </c>
      <c r="R1894" s="16" t="str">
        <f t="shared" si="825"/>
        <v>x</v>
      </c>
      <c r="S1894" s="16" t="str">
        <f t="shared" si="825"/>
        <v>x</v>
      </c>
      <c r="U1894" s="46" t="str">
        <f t="shared" si="824"/>
        <v/>
      </c>
      <c r="V1894" s="46">
        <f t="shared" si="824"/>
        <v>66</v>
      </c>
      <c r="W1894" s="46" t="str">
        <f t="shared" si="824"/>
        <v/>
      </c>
      <c r="X1894" s="46" t="str">
        <f t="shared" si="824"/>
        <v/>
      </c>
    </row>
    <row r="1895" spans="2:24" x14ac:dyDescent="0.25">
      <c r="N1895" s="8" t="str">
        <f>IF(R1895="x",1,"")</f>
        <v/>
      </c>
      <c r="U1895" s="46" t="str">
        <f t="shared" si="824"/>
        <v/>
      </c>
      <c r="V1895" s="46" t="str">
        <f t="shared" si="824"/>
        <v/>
      </c>
      <c r="W1895" s="46" t="str">
        <f t="shared" si="824"/>
        <v/>
      </c>
      <c r="X1895" s="46" t="str">
        <f t="shared" si="824"/>
        <v/>
      </c>
    </row>
    <row r="1896" spans="2:24" x14ac:dyDescent="0.25">
      <c r="B1896" s="18"/>
      <c r="C1896" s="18"/>
      <c r="D1896" s="18"/>
      <c r="E1896" s="40"/>
      <c r="F1896" s="18"/>
      <c r="G1896" s="40"/>
      <c r="H1896" s="7">
        <f t="shared" ref="H1896:N1896" si="826">SUM(H1890:H1895)</f>
        <v>49</v>
      </c>
      <c r="I1896" s="7">
        <f t="shared" si="826"/>
        <v>67</v>
      </c>
      <c r="J1896" s="7">
        <f>SUM(J1890:J1895)</f>
        <v>542</v>
      </c>
      <c r="K1896" s="7">
        <f t="shared" si="826"/>
        <v>0</v>
      </c>
      <c r="L1896" s="7">
        <f t="shared" si="826"/>
        <v>658</v>
      </c>
      <c r="M1896" s="7">
        <f t="shared" si="826"/>
        <v>5</v>
      </c>
      <c r="N1896" s="7">
        <f t="shared" si="826"/>
        <v>5</v>
      </c>
      <c r="O1896" s="18"/>
      <c r="P1896" s="13"/>
      <c r="Q1896" s="13"/>
      <c r="S1896" s="13"/>
      <c r="T1896" s="15"/>
      <c r="U1896" s="46" t="str">
        <f t="shared" si="824"/>
        <v/>
      </c>
      <c r="V1896" s="46" t="str">
        <f t="shared" si="824"/>
        <v/>
      </c>
      <c r="W1896" s="46" t="str">
        <f t="shared" si="824"/>
        <v/>
      </c>
      <c r="X1896" s="46" t="str">
        <f t="shared" si="824"/>
        <v/>
      </c>
    </row>
    <row r="1897" spans="2:24" x14ac:dyDescent="0.25">
      <c r="B1897" s="18"/>
      <c r="C1897" s="18"/>
      <c r="D1897" s="18"/>
      <c r="E1897" s="40"/>
      <c r="F1897" s="18"/>
      <c r="G1897" s="40"/>
      <c r="N1897" s="8" t="str">
        <f>IF(R1897="x",1,"")</f>
        <v/>
      </c>
      <c r="O1897" s="18"/>
      <c r="P1897" s="13"/>
      <c r="Q1897" s="13"/>
      <c r="R1897" s="13"/>
      <c r="S1897" s="13"/>
      <c r="T1897" s="15"/>
      <c r="U1897" s="46" t="str">
        <f t="shared" ref="U1897:X1901" si="827">IF($O1897=U$5,$L1897,"")</f>
        <v/>
      </c>
      <c r="V1897" s="46" t="str">
        <f t="shared" si="827"/>
        <v/>
      </c>
      <c r="W1897" s="46" t="str">
        <f t="shared" si="827"/>
        <v/>
      </c>
      <c r="X1897" s="46" t="str">
        <f t="shared" si="827"/>
        <v/>
      </c>
    </row>
    <row r="1898" spans="2:24" x14ac:dyDescent="0.25">
      <c r="B1898" s="18"/>
      <c r="C1898" s="18"/>
      <c r="D1898" s="18"/>
      <c r="E1898" s="40"/>
      <c r="F1898" s="18"/>
      <c r="G1898" s="40"/>
      <c r="N1898" s="8" t="str">
        <f>IF(R1898="x",1,"")</f>
        <v/>
      </c>
      <c r="O1898" s="18"/>
      <c r="P1898" s="13"/>
      <c r="Q1898" s="13"/>
      <c r="R1898" s="13"/>
      <c r="S1898" s="13"/>
      <c r="T1898" s="15"/>
      <c r="U1898" s="46" t="str">
        <f t="shared" si="827"/>
        <v/>
      </c>
      <c r="V1898" s="46" t="str">
        <f t="shared" si="827"/>
        <v/>
      </c>
      <c r="W1898" s="46" t="str">
        <f t="shared" si="827"/>
        <v/>
      </c>
      <c r="X1898" s="46" t="str">
        <f t="shared" si="827"/>
        <v/>
      </c>
    </row>
    <row r="1899" spans="2:24" x14ac:dyDescent="0.25">
      <c r="B1899" s="11" t="str">
        <f>CONCATENATE("HALI","-",LEFT(P1899,2),UPPER(MID(P1899,4,3)),RIGHT(P1899,4))</f>
        <v>HALI-03AUG1904</v>
      </c>
      <c r="C1899" s="11" t="s">
        <v>2904</v>
      </c>
      <c r="D1899" s="11" t="s">
        <v>1699</v>
      </c>
      <c r="E1899" s="39" t="s">
        <v>5865</v>
      </c>
      <c r="F1899" s="11" t="s">
        <v>2813</v>
      </c>
      <c r="G1899" s="39" t="s">
        <v>5866</v>
      </c>
      <c r="J1899" s="17">
        <v>9</v>
      </c>
      <c r="K1899" s="17"/>
      <c r="L1899" s="7">
        <f>SUM(H1899:K1899)</f>
        <v>9</v>
      </c>
      <c r="M1899" s="8">
        <v>1</v>
      </c>
      <c r="N1899" s="8">
        <f>IF(L1899&gt;0,1,"")</f>
        <v>1</v>
      </c>
      <c r="O1899" s="11" t="s">
        <v>1702</v>
      </c>
      <c r="P1899" s="16" t="str">
        <f>IF(LEN(G1899)=10,CONCATENATE("0",G1899),G1899)</f>
        <v>03-Aug-1904</v>
      </c>
      <c r="R1899" s="16" t="str">
        <f>IF($L1899&gt;0,"x","")</f>
        <v>x</v>
      </c>
      <c r="S1899" s="16" t="str">
        <f>IF($L1899&gt;0,"x","")</f>
        <v>x</v>
      </c>
      <c r="U1899" s="46" t="str">
        <f t="shared" si="827"/>
        <v/>
      </c>
      <c r="V1899" s="46">
        <f t="shared" si="827"/>
        <v>9</v>
      </c>
      <c r="W1899" s="46" t="str">
        <f t="shared" si="827"/>
        <v/>
      </c>
      <c r="X1899" s="46" t="str">
        <f t="shared" si="827"/>
        <v/>
      </c>
    </row>
    <row r="1900" spans="2:24" x14ac:dyDescent="0.25">
      <c r="N1900" s="8" t="str">
        <f>IF(R1900="x",1,"")</f>
        <v/>
      </c>
      <c r="U1900" s="46" t="str">
        <f t="shared" si="827"/>
        <v/>
      </c>
      <c r="V1900" s="46" t="str">
        <f t="shared" si="827"/>
        <v/>
      </c>
      <c r="W1900" s="46" t="str">
        <f t="shared" si="827"/>
        <v/>
      </c>
      <c r="X1900" s="46" t="str">
        <f t="shared" si="827"/>
        <v/>
      </c>
    </row>
    <row r="1901" spans="2:24" x14ac:dyDescent="0.25">
      <c r="B1901" s="18"/>
      <c r="C1901" s="18"/>
      <c r="D1901" s="18"/>
      <c r="E1901" s="40"/>
      <c r="F1901" s="18"/>
      <c r="G1901" s="40"/>
      <c r="H1901" s="7">
        <f t="shared" ref="H1901:N1901" si="828">SUM(H1899:H1900)</f>
        <v>0</v>
      </c>
      <c r="I1901" s="7">
        <f t="shared" si="828"/>
        <v>0</v>
      </c>
      <c r="J1901" s="7">
        <f>SUM(J1899:J1900)</f>
        <v>9</v>
      </c>
      <c r="K1901" s="7">
        <f t="shared" si="828"/>
        <v>0</v>
      </c>
      <c r="L1901" s="7">
        <f t="shared" si="828"/>
        <v>9</v>
      </c>
      <c r="M1901" s="7">
        <f t="shared" si="828"/>
        <v>1</v>
      </c>
      <c r="N1901" s="7">
        <f t="shared" si="828"/>
        <v>1</v>
      </c>
      <c r="O1901" s="18"/>
      <c r="P1901" s="13"/>
      <c r="Q1901" s="13"/>
      <c r="S1901" s="13"/>
      <c r="T1901" s="15"/>
      <c r="U1901" s="46" t="str">
        <f t="shared" si="827"/>
        <v/>
      </c>
      <c r="V1901" s="46" t="str">
        <f t="shared" si="827"/>
        <v/>
      </c>
      <c r="W1901" s="46" t="str">
        <f t="shared" si="827"/>
        <v/>
      </c>
      <c r="X1901" s="46" t="str">
        <f t="shared" si="827"/>
        <v/>
      </c>
    </row>
    <row r="1902" spans="2:24" x14ac:dyDescent="0.25">
      <c r="B1902" s="18"/>
      <c r="C1902" s="18"/>
      <c r="D1902" s="18"/>
      <c r="E1902" s="40"/>
      <c r="F1902" s="18"/>
      <c r="G1902" s="40"/>
      <c r="N1902" s="8" t="str">
        <f>IF(R1902="x",1,"")</f>
        <v/>
      </c>
      <c r="O1902" s="18"/>
      <c r="P1902" s="13"/>
      <c r="Q1902" s="13"/>
      <c r="R1902" s="13"/>
      <c r="S1902" s="13"/>
      <c r="T1902" s="15"/>
      <c r="U1902" s="46" t="str">
        <f t="shared" ref="U1902:X1912" si="829">IF($O1902=U$5,$L1902,"")</f>
        <v/>
      </c>
      <c r="V1902" s="46" t="str">
        <f t="shared" si="829"/>
        <v/>
      </c>
      <c r="W1902" s="46" t="str">
        <f t="shared" si="829"/>
        <v/>
      </c>
      <c r="X1902" s="46" t="str">
        <f t="shared" si="829"/>
        <v/>
      </c>
    </row>
    <row r="1903" spans="2:24" x14ac:dyDescent="0.25">
      <c r="B1903" s="18"/>
      <c r="C1903" s="18"/>
      <c r="D1903" s="18"/>
      <c r="E1903" s="40"/>
      <c r="F1903" s="18"/>
      <c r="G1903" s="40"/>
      <c r="N1903" s="8" t="str">
        <f>IF(R1903="x",1,"")</f>
        <v/>
      </c>
      <c r="O1903" s="18"/>
      <c r="P1903" s="13"/>
      <c r="Q1903" s="13"/>
      <c r="R1903" s="13"/>
      <c r="S1903" s="13"/>
      <c r="T1903" s="15"/>
      <c r="U1903" s="46" t="str">
        <f t="shared" si="829"/>
        <v/>
      </c>
      <c r="V1903" s="46" t="str">
        <f t="shared" si="829"/>
        <v/>
      </c>
      <c r="W1903" s="46" t="str">
        <f t="shared" si="829"/>
        <v/>
      </c>
      <c r="X1903" s="46" t="str">
        <f t="shared" si="829"/>
        <v/>
      </c>
    </row>
    <row r="1904" spans="2:24" x14ac:dyDescent="0.25">
      <c r="B1904" s="11" t="str">
        <f>CONCATENATE("HAMB","-",LEFT(P1904,2),UPPER(MID(P1904,4,3)),RIGHT(P1904,4))</f>
        <v>HAMB-25SEP1905</v>
      </c>
      <c r="C1904" s="11" t="s">
        <v>3134</v>
      </c>
      <c r="D1904" s="11" t="s">
        <v>2103</v>
      </c>
      <c r="E1904" s="39" t="s">
        <v>5027</v>
      </c>
      <c r="F1904" s="11" t="s">
        <v>1700</v>
      </c>
      <c r="G1904" s="39" t="s">
        <v>2633</v>
      </c>
      <c r="H1904" s="7">
        <v>0</v>
      </c>
      <c r="I1904" s="7">
        <v>0</v>
      </c>
      <c r="J1904" s="17">
        <v>14</v>
      </c>
      <c r="K1904" s="17"/>
      <c r="L1904" s="7">
        <f>SUM(H1904:K1904)</f>
        <v>14</v>
      </c>
      <c r="M1904" s="8">
        <v>1</v>
      </c>
      <c r="N1904" s="8">
        <f>IF(L1904&gt;0,1,"")</f>
        <v>1</v>
      </c>
      <c r="O1904" s="11" t="s">
        <v>1702</v>
      </c>
      <c r="P1904" s="16" t="str">
        <f>IF(LEN(G1904)=10,CONCATENATE("0",G1904),G1904)</f>
        <v>25-Sep-1905</v>
      </c>
      <c r="Q1904" s="13"/>
      <c r="S1904" s="16" t="s">
        <v>1703</v>
      </c>
      <c r="U1904" s="46" t="str">
        <f t="shared" si="829"/>
        <v/>
      </c>
      <c r="V1904" s="46">
        <f t="shared" si="829"/>
        <v>14</v>
      </c>
      <c r="W1904" s="46" t="str">
        <f t="shared" si="829"/>
        <v/>
      </c>
      <c r="X1904" s="46" t="str">
        <f t="shared" si="829"/>
        <v/>
      </c>
    </row>
    <row r="1905" spans="2:24" x14ac:dyDescent="0.25">
      <c r="B1905" s="11" t="str">
        <f>CONCATENATE("HAMB","-",LEFT(P1905,2),UPPER(MID(P1905,4,3)),RIGHT(P1905,4))</f>
        <v>HAMB-24JUN1913</v>
      </c>
      <c r="C1905" s="11" t="s">
        <v>3134</v>
      </c>
      <c r="D1905" s="11" t="s">
        <v>3007</v>
      </c>
      <c r="E1905" s="39" t="s">
        <v>153</v>
      </c>
      <c r="F1905" s="11" t="s">
        <v>1700</v>
      </c>
      <c r="G1905" s="39" t="s">
        <v>1012</v>
      </c>
      <c r="H1905" s="7">
        <v>0</v>
      </c>
      <c r="I1905" s="7">
        <v>0</v>
      </c>
      <c r="J1905" s="17">
        <v>2</v>
      </c>
      <c r="K1905" s="17"/>
      <c r="L1905" s="7">
        <f>SUM(H1905:K1905)</f>
        <v>2</v>
      </c>
      <c r="M1905" s="8">
        <v>1</v>
      </c>
      <c r="N1905" s="8">
        <f>IF(L1905&gt;0,1,"")</f>
        <v>1</v>
      </c>
      <c r="O1905" s="11" t="s">
        <v>1702</v>
      </c>
      <c r="P1905" s="16" t="str">
        <f>IF(LEN(G1905)=10,CONCATENATE("0",G1905),G1905)</f>
        <v>24-Jun-1913</v>
      </c>
      <c r="R1905" s="16" t="str">
        <f>IF($L1905&gt;0,"x","")</f>
        <v>x</v>
      </c>
      <c r="S1905" s="16" t="str">
        <f>IF($L1905&gt;0,"x","")</f>
        <v>x</v>
      </c>
      <c r="U1905" s="46" t="str">
        <f t="shared" si="829"/>
        <v/>
      </c>
      <c r="V1905" s="46">
        <f t="shared" si="829"/>
        <v>2</v>
      </c>
      <c r="W1905" s="46" t="str">
        <f t="shared" si="829"/>
        <v/>
      </c>
      <c r="X1905" s="46" t="str">
        <f t="shared" si="829"/>
        <v/>
      </c>
    </row>
    <row r="1906" spans="2:24" x14ac:dyDescent="0.25">
      <c r="N1906" s="8" t="str">
        <f>IF(R1906="x",1,"")</f>
        <v/>
      </c>
      <c r="U1906" s="46" t="str">
        <f t="shared" si="829"/>
        <v/>
      </c>
      <c r="V1906" s="46" t="str">
        <f t="shared" si="829"/>
        <v/>
      </c>
      <c r="W1906" s="46" t="str">
        <f t="shared" si="829"/>
        <v/>
      </c>
      <c r="X1906" s="46" t="str">
        <f t="shared" si="829"/>
        <v/>
      </c>
    </row>
    <row r="1907" spans="2:24" x14ac:dyDescent="0.25">
      <c r="B1907" s="18"/>
      <c r="C1907" s="18"/>
      <c r="D1907" s="18"/>
      <c r="E1907" s="40"/>
      <c r="F1907" s="18"/>
      <c r="G1907" s="40"/>
      <c r="H1907" s="7">
        <f t="shared" ref="H1907:N1907" si="830">SUM(H1904:H1906)</f>
        <v>0</v>
      </c>
      <c r="I1907" s="7">
        <f t="shared" si="830"/>
        <v>0</v>
      </c>
      <c r="J1907" s="7">
        <f>SUM(J1904:J1906)</f>
        <v>16</v>
      </c>
      <c r="K1907" s="7">
        <f t="shared" si="830"/>
        <v>0</v>
      </c>
      <c r="L1907" s="7">
        <f t="shared" si="830"/>
        <v>16</v>
      </c>
      <c r="M1907" s="7">
        <f t="shared" si="830"/>
        <v>2</v>
      </c>
      <c r="N1907" s="7">
        <f t="shared" si="830"/>
        <v>2</v>
      </c>
      <c r="O1907" s="18"/>
      <c r="P1907" s="13"/>
      <c r="Q1907" s="13"/>
      <c r="S1907" s="13"/>
      <c r="T1907" s="15"/>
      <c r="U1907" s="46" t="str">
        <f t="shared" si="829"/>
        <v/>
      </c>
      <c r="V1907" s="46" t="str">
        <f t="shared" si="829"/>
        <v/>
      </c>
      <c r="W1907" s="46" t="str">
        <f t="shared" si="829"/>
        <v/>
      </c>
      <c r="X1907" s="46" t="str">
        <f t="shared" si="829"/>
        <v/>
      </c>
    </row>
    <row r="1908" spans="2:24" x14ac:dyDescent="0.25">
      <c r="B1908" s="18"/>
      <c r="C1908" s="18"/>
      <c r="D1908" s="18"/>
      <c r="E1908" s="40"/>
      <c r="F1908" s="18"/>
      <c r="G1908" s="40"/>
      <c r="N1908" s="8" t="str">
        <f>IF(R1908="x",1,"")</f>
        <v/>
      </c>
      <c r="O1908" s="18"/>
      <c r="P1908" s="13"/>
      <c r="Q1908" s="13"/>
      <c r="R1908" s="13"/>
      <c r="S1908" s="13"/>
      <c r="T1908" s="15"/>
      <c r="U1908" s="46" t="str">
        <f t="shared" si="829"/>
        <v/>
      </c>
      <c r="V1908" s="46" t="str">
        <f t="shared" si="829"/>
        <v/>
      </c>
      <c r="W1908" s="46" t="str">
        <f t="shared" si="829"/>
        <v/>
      </c>
      <c r="X1908" s="46" t="str">
        <f t="shared" si="829"/>
        <v/>
      </c>
    </row>
    <row r="1909" spans="2:24" x14ac:dyDescent="0.25">
      <c r="B1909" s="18"/>
      <c r="C1909" s="18"/>
      <c r="D1909" s="18"/>
      <c r="E1909" s="40"/>
      <c r="F1909" s="18"/>
      <c r="G1909" s="40"/>
      <c r="N1909" s="8" t="str">
        <f>IF(R1909="x",1,"")</f>
        <v/>
      </c>
      <c r="O1909" s="18"/>
      <c r="P1909" s="13"/>
      <c r="Q1909" s="13"/>
      <c r="R1909" s="13"/>
      <c r="S1909" s="13"/>
      <c r="T1909" s="15"/>
      <c r="U1909" s="46" t="str">
        <f t="shared" si="829"/>
        <v/>
      </c>
      <c r="V1909" s="46" t="str">
        <f t="shared" si="829"/>
        <v/>
      </c>
      <c r="W1909" s="46" t="str">
        <f t="shared" si="829"/>
        <v/>
      </c>
      <c r="X1909" s="46" t="str">
        <f t="shared" si="829"/>
        <v/>
      </c>
    </row>
    <row r="1910" spans="2:24" x14ac:dyDescent="0.25">
      <c r="B1910" s="11" t="str">
        <f>CONCATENATE("HANN","-",LEFT(P1910,2),UPPER(MID(P1910,4,3)),RIGHT(P1910,4))</f>
        <v>HANN-09JAN1912</v>
      </c>
      <c r="C1910" s="11" t="s">
        <v>11473</v>
      </c>
      <c r="D1910" s="11" t="s">
        <v>3359</v>
      </c>
      <c r="E1910" s="39" t="s">
        <v>11474</v>
      </c>
      <c r="F1910" s="11" t="s">
        <v>4064</v>
      </c>
      <c r="G1910" s="39" t="s">
        <v>5125</v>
      </c>
      <c r="I1910" s="7">
        <v>0</v>
      </c>
      <c r="J1910" s="17">
        <v>7</v>
      </c>
      <c r="K1910" s="17"/>
      <c r="L1910" s="7">
        <f>SUM(H1910:K1910)</f>
        <v>7</v>
      </c>
      <c r="M1910" s="8">
        <v>1</v>
      </c>
      <c r="N1910" s="8">
        <f>IF(L1910&gt;0,1,"")</f>
        <v>1</v>
      </c>
      <c r="O1910" s="11" t="s">
        <v>1702</v>
      </c>
      <c r="P1910" s="16" t="str">
        <f>IF(LEN(G1910)=10,CONCATENATE("0",G1910),G1910)</f>
        <v>09-Jan-1912</v>
      </c>
      <c r="R1910" s="16" t="str">
        <f>IF($L1910&gt;0,"x","")</f>
        <v>x</v>
      </c>
      <c r="S1910" s="16" t="str">
        <f>IF($L1910&gt;0,"x","")</f>
        <v>x</v>
      </c>
      <c r="U1910" s="46" t="str">
        <f t="shared" si="829"/>
        <v/>
      </c>
      <c r="V1910" s="46">
        <f t="shared" si="829"/>
        <v>7</v>
      </c>
      <c r="W1910" s="46" t="str">
        <f t="shared" si="829"/>
        <v/>
      </c>
      <c r="X1910" s="46" t="str">
        <f t="shared" si="829"/>
        <v/>
      </c>
    </row>
    <row r="1911" spans="2:24" x14ac:dyDescent="0.25">
      <c r="N1911" s="8" t="str">
        <f>IF(R1911="x",1,"")</f>
        <v/>
      </c>
      <c r="U1911" s="46" t="str">
        <f t="shared" si="829"/>
        <v/>
      </c>
      <c r="V1911" s="46" t="str">
        <f t="shared" si="829"/>
        <v/>
      </c>
      <c r="W1911" s="46" t="str">
        <f t="shared" si="829"/>
        <v/>
      </c>
      <c r="X1911" s="46" t="str">
        <f t="shared" si="829"/>
        <v/>
      </c>
    </row>
    <row r="1912" spans="2:24" x14ac:dyDescent="0.25">
      <c r="B1912" s="18"/>
      <c r="C1912" s="18"/>
      <c r="D1912" s="18"/>
      <c r="E1912" s="40"/>
      <c r="F1912" s="18"/>
      <c r="G1912" s="40"/>
      <c r="H1912" s="7">
        <f t="shared" ref="H1912:N1912" si="831">SUM(H1910:H1911)</f>
        <v>0</v>
      </c>
      <c r="I1912" s="7">
        <f t="shared" si="831"/>
        <v>0</v>
      </c>
      <c r="J1912" s="7">
        <f t="shared" si="831"/>
        <v>7</v>
      </c>
      <c r="K1912" s="7">
        <f t="shared" si="831"/>
        <v>0</v>
      </c>
      <c r="L1912" s="7">
        <f t="shared" si="831"/>
        <v>7</v>
      </c>
      <c r="M1912" s="7">
        <f t="shared" si="831"/>
        <v>1</v>
      </c>
      <c r="N1912" s="7">
        <f t="shared" si="831"/>
        <v>1</v>
      </c>
      <c r="O1912" s="18"/>
      <c r="P1912" s="13"/>
      <c r="Q1912" s="13"/>
      <c r="S1912" s="13"/>
      <c r="T1912" s="15"/>
      <c r="U1912" s="46" t="str">
        <f t="shared" si="829"/>
        <v/>
      </c>
      <c r="V1912" s="46" t="str">
        <f t="shared" si="829"/>
        <v/>
      </c>
      <c r="W1912" s="46" t="str">
        <f t="shared" si="829"/>
        <v/>
      </c>
      <c r="X1912" s="46" t="str">
        <f t="shared" si="829"/>
        <v/>
      </c>
    </row>
    <row r="1913" spans="2:24" x14ac:dyDescent="0.25">
      <c r="B1913" s="18"/>
      <c r="C1913" s="18"/>
      <c r="D1913" s="18"/>
      <c r="E1913" s="40"/>
      <c r="F1913" s="18"/>
      <c r="G1913" s="40"/>
      <c r="N1913" s="8" t="str">
        <f>IF(R1913="x",1,"")</f>
        <v/>
      </c>
      <c r="O1913" s="18"/>
      <c r="P1913" s="13"/>
      <c r="Q1913" s="13"/>
      <c r="R1913" s="13"/>
      <c r="S1913" s="13"/>
      <c r="T1913" s="15"/>
      <c r="U1913" s="46" t="str">
        <f t="shared" ref="U1913:X1929" si="832">IF($O1913=U$5,$L1913,"")</f>
        <v/>
      </c>
      <c r="V1913" s="46" t="str">
        <f t="shared" si="832"/>
        <v/>
      </c>
      <c r="W1913" s="46" t="str">
        <f t="shared" si="832"/>
        <v/>
      </c>
      <c r="X1913" s="46" t="str">
        <f t="shared" si="832"/>
        <v/>
      </c>
    </row>
    <row r="1914" spans="2:24" x14ac:dyDescent="0.25">
      <c r="B1914" s="18"/>
      <c r="C1914" s="18"/>
      <c r="D1914" s="18"/>
      <c r="E1914" s="40"/>
      <c r="F1914" s="18"/>
      <c r="G1914" s="40"/>
      <c r="N1914" s="8" t="str">
        <f>IF(R1914="x",1,"")</f>
        <v/>
      </c>
      <c r="O1914" s="18"/>
      <c r="P1914" s="13"/>
      <c r="Q1914" s="13"/>
      <c r="R1914" s="13"/>
      <c r="S1914" s="13"/>
      <c r="T1914" s="15"/>
      <c r="U1914" s="46" t="str">
        <f t="shared" si="832"/>
        <v/>
      </c>
      <c r="V1914" s="46" t="str">
        <f t="shared" si="832"/>
        <v/>
      </c>
      <c r="W1914" s="46" t="str">
        <f t="shared" si="832"/>
        <v/>
      </c>
      <c r="X1914" s="46" t="str">
        <f t="shared" si="832"/>
        <v/>
      </c>
    </row>
    <row r="1915" spans="2:24" x14ac:dyDescent="0.25">
      <c r="B1915" s="11" t="str">
        <f>CONCATENATE("HAVA","-",LEFT(P1915,2),UPPER(MID(P1915,4,3)),RIGHT(P1915,4))</f>
        <v>HAVA-17NOV1930</v>
      </c>
      <c r="C1915" s="11" t="s">
        <v>3122</v>
      </c>
      <c r="D1915" s="11" t="s">
        <v>4820</v>
      </c>
      <c r="E1915" s="39" t="s">
        <v>4821</v>
      </c>
      <c r="F1915" s="11" t="s">
        <v>1700</v>
      </c>
      <c r="G1915" s="39" t="s">
        <v>4822</v>
      </c>
      <c r="H1915" s="7">
        <v>2</v>
      </c>
      <c r="J1915" s="17"/>
      <c r="K1915" s="17"/>
      <c r="L1915" s="7">
        <f>SUM(H1915:K1915)</f>
        <v>2</v>
      </c>
      <c r="M1915" s="8">
        <v>1</v>
      </c>
      <c r="N1915" s="8">
        <f>IF(L1915&gt;0,1,"")</f>
        <v>1</v>
      </c>
      <c r="O1915" s="11" t="s">
        <v>1702</v>
      </c>
      <c r="P1915" s="16" t="str">
        <f>IF(LEN(G1915)=10,CONCATENATE("0",G1915),G1915)</f>
        <v>17-Nov-1930</v>
      </c>
      <c r="R1915" s="16" t="str">
        <f>IF($L1915&gt;0,"x","")</f>
        <v>x</v>
      </c>
      <c r="S1915" s="16" t="str">
        <f>IF($L1915&gt;0,"x","")</f>
        <v>x</v>
      </c>
      <c r="U1915" s="46" t="str">
        <f t="shared" si="832"/>
        <v/>
      </c>
      <c r="V1915" s="46">
        <f t="shared" si="832"/>
        <v>2</v>
      </c>
      <c r="W1915" s="46" t="str">
        <f t="shared" si="832"/>
        <v/>
      </c>
      <c r="X1915" s="46" t="str">
        <f t="shared" si="832"/>
        <v/>
      </c>
    </row>
    <row r="1916" spans="2:24" x14ac:dyDescent="0.25">
      <c r="N1916" s="8" t="str">
        <f>IF(R1916="x",1,"")</f>
        <v/>
      </c>
      <c r="U1916" s="46" t="str">
        <f t="shared" si="832"/>
        <v/>
      </c>
      <c r="V1916" s="46" t="str">
        <f t="shared" si="832"/>
        <v/>
      </c>
      <c r="W1916" s="46" t="str">
        <f t="shared" si="832"/>
        <v/>
      </c>
      <c r="X1916" s="46" t="str">
        <f t="shared" si="832"/>
        <v/>
      </c>
    </row>
    <row r="1917" spans="2:24" x14ac:dyDescent="0.25">
      <c r="B1917" s="18"/>
      <c r="C1917" s="18"/>
      <c r="D1917" s="18"/>
      <c r="E1917" s="40"/>
      <c r="F1917" s="18"/>
      <c r="G1917" s="40"/>
      <c r="H1917" s="7">
        <f t="shared" ref="H1917:N1917" si="833">SUM(H1915:H1916)</f>
        <v>2</v>
      </c>
      <c r="I1917" s="7">
        <f t="shared" si="833"/>
        <v>0</v>
      </c>
      <c r="J1917" s="7">
        <f>SUM(J1915:J1916)</f>
        <v>0</v>
      </c>
      <c r="K1917" s="7">
        <f t="shared" si="833"/>
        <v>0</v>
      </c>
      <c r="L1917" s="7">
        <f t="shared" si="833"/>
        <v>2</v>
      </c>
      <c r="M1917" s="7">
        <f t="shared" si="833"/>
        <v>1</v>
      </c>
      <c r="N1917" s="7">
        <f t="shared" si="833"/>
        <v>1</v>
      </c>
      <c r="O1917" s="18"/>
      <c r="P1917" s="13"/>
      <c r="Q1917" s="13"/>
      <c r="S1917" s="13"/>
      <c r="T1917" s="15"/>
      <c r="U1917" s="46" t="str">
        <f t="shared" si="832"/>
        <v/>
      </c>
      <c r="V1917" s="46" t="str">
        <f t="shared" si="832"/>
        <v/>
      </c>
      <c r="W1917" s="46" t="str">
        <f t="shared" si="832"/>
        <v/>
      </c>
      <c r="X1917" s="46" t="str">
        <f t="shared" si="832"/>
        <v/>
      </c>
    </row>
    <row r="1918" spans="2:24" x14ac:dyDescent="0.25">
      <c r="B1918" s="18"/>
      <c r="C1918" s="18"/>
      <c r="D1918" s="18"/>
      <c r="E1918" s="40"/>
      <c r="F1918" s="18"/>
      <c r="G1918" s="40"/>
      <c r="N1918" s="8" t="str">
        <f>IF(R1918="x",1,"")</f>
        <v/>
      </c>
      <c r="O1918" s="18"/>
      <c r="P1918" s="13"/>
      <c r="Q1918" s="13"/>
      <c r="R1918" s="13"/>
      <c r="S1918" s="13"/>
      <c r="T1918" s="15"/>
      <c r="U1918" s="46" t="str">
        <f t="shared" si="832"/>
        <v/>
      </c>
      <c r="V1918" s="46" t="str">
        <f t="shared" si="832"/>
        <v/>
      </c>
      <c r="W1918" s="46" t="str">
        <f t="shared" si="832"/>
        <v/>
      </c>
      <c r="X1918" s="46" t="str">
        <f t="shared" si="832"/>
        <v/>
      </c>
    </row>
    <row r="1919" spans="2:24" x14ac:dyDescent="0.25">
      <c r="B1919" s="18"/>
      <c r="C1919" s="18"/>
      <c r="D1919" s="18"/>
      <c r="E1919" s="40"/>
      <c r="F1919" s="18"/>
      <c r="G1919" s="40"/>
      <c r="N1919" s="8" t="str">
        <f>IF(R1919="x",1,"")</f>
        <v/>
      </c>
      <c r="O1919" s="18"/>
      <c r="P1919" s="13"/>
      <c r="Q1919" s="13"/>
      <c r="R1919" s="13"/>
      <c r="S1919" s="13"/>
      <c r="T1919" s="15"/>
      <c r="U1919" s="46" t="str">
        <f t="shared" si="832"/>
        <v/>
      </c>
      <c r="V1919" s="46" t="str">
        <f t="shared" si="832"/>
        <v/>
      </c>
      <c r="W1919" s="46" t="str">
        <f t="shared" si="832"/>
        <v/>
      </c>
      <c r="X1919" s="46" t="str">
        <f t="shared" si="832"/>
        <v/>
      </c>
    </row>
    <row r="1920" spans="2:24" x14ac:dyDescent="0.25">
      <c r="B1920" s="11" t="str">
        <f t="shared" ref="B1920:B1954" si="834">CONCATENATE("HAVR","-",LEFT(P1920,2),UPPER(MID(P1920,4,3)),RIGHT(P1920,4))</f>
        <v>HAVR-09MAY1905</v>
      </c>
      <c r="C1920" s="11" t="s">
        <v>2924</v>
      </c>
      <c r="D1920" s="11" t="s">
        <v>2097</v>
      </c>
      <c r="E1920" s="39" t="s">
        <v>3330</v>
      </c>
      <c r="F1920" s="11" t="s">
        <v>3039</v>
      </c>
      <c r="G1920" s="39" t="s">
        <v>2699</v>
      </c>
      <c r="I1920" s="7">
        <v>0</v>
      </c>
      <c r="J1920" s="17">
        <v>8</v>
      </c>
      <c r="K1920" s="17"/>
      <c r="L1920" s="7">
        <f t="shared" ref="L1920:L1953" si="835">SUM(H1920:K1920)</f>
        <v>8</v>
      </c>
      <c r="M1920" s="8">
        <v>1</v>
      </c>
      <c r="N1920" s="8">
        <f t="shared" ref="N1920:N1954" si="836">IF(L1920&gt;0,1,"")</f>
        <v>1</v>
      </c>
      <c r="O1920" s="11" t="s">
        <v>1702</v>
      </c>
      <c r="P1920" s="16" t="str">
        <f t="shared" ref="P1920:P1954" si="837">IF(LEN(G1920)=10,CONCATENATE("0",G1920),G1920)</f>
        <v>09-May-1905</v>
      </c>
      <c r="R1920" s="16" t="str">
        <f t="shared" ref="R1920:S1928" si="838">IF($L1920&gt;0,"x","")</f>
        <v>x</v>
      </c>
      <c r="S1920" s="16" t="str">
        <f t="shared" si="838"/>
        <v>x</v>
      </c>
      <c r="U1920" s="46" t="str">
        <f t="shared" si="832"/>
        <v/>
      </c>
      <c r="V1920" s="46">
        <f t="shared" si="832"/>
        <v>8</v>
      </c>
      <c r="W1920" s="46" t="str">
        <f t="shared" si="832"/>
        <v/>
      </c>
      <c r="X1920" s="46" t="str">
        <f t="shared" si="832"/>
        <v/>
      </c>
    </row>
    <row r="1921" spans="2:24" x14ac:dyDescent="0.25">
      <c r="B1921" s="11" t="str">
        <f t="shared" si="834"/>
        <v>HAVR-06DEC1905</v>
      </c>
      <c r="C1921" s="11" t="s">
        <v>2924</v>
      </c>
      <c r="D1921" s="11" t="s">
        <v>2097</v>
      </c>
      <c r="E1921" s="39" t="s">
        <v>5715</v>
      </c>
      <c r="F1921" s="11" t="s">
        <v>3039</v>
      </c>
      <c r="G1921" s="39" t="s">
        <v>5716</v>
      </c>
      <c r="I1921" s="7">
        <v>1</v>
      </c>
      <c r="J1921" s="17">
        <v>9</v>
      </c>
      <c r="K1921" s="17"/>
      <c r="L1921" s="7">
        <f>SUM(H1921:K1921)</f>
        <v>10</v>
      </c>
      <c r="M1921" s="8">
        <v>1</v>
      </c>
      <c r="N1921" s="8">
        <f t="shared" si="836"/>
        <v>1</v>
      </c>
      <c r="O1921" s="11" t="s">
        <v>1702</v>
      </c>
      <c r="P1921" s="16" t="str">
        <f t="shared" si="837"/>
        <v>06-Dec-1905</v>
      </c>
      <c r="R1921" s="16" t="str">
        <f t="shared" si="838"/>
        <v>x</v>
      </c>
      <c r="S1921" s="16" t="str">
        <f t="shared" si="838"/>
        <v>x</v>
      </c>
      <c r="U1921" s="46" t="str">
        <f t="shared" si="832"/>
        <v/>
      </c>
      <c r="V1921" s="46">
        <f t="shared" si="832"/>
        <v>10</v>
      </c>
      <c r="W1921" s="46" t="str">
        <f t="shared" si="832"/>
        <v/>
      </c>
      <c r="X1921" s="46" t="str">
        <f t="shared" si="832"/>
        <v/>
      </c>
    </row>
    <row r="1922" spans="2:24" x14ac:dyDescent="0.25">
      <c r="B1922" s="11" t="str">
        <f t="shared" si="834"/>
        <v>HAVR-09JAN1906</v>
      </c>
      <c r="C1922" s="11" t="s">
        <v>2924</v>
      </c>
      <c r="D1922" s="11" t="s">
        <v>2097</v>
      </c>
      <c r="E1922" s="39" t="s">
        <v>11150</v>
      </c>
      <c r="F1922" s="11" t="s">
        <v>3039</v>
      </c>
      <c r="G1922" s="39" t="s">
        <v>3532</v>
      </c>
      <c r="I1922" s="7">
        <v>1</v>
      </c>
      <c r="J1922" s="17">
        <v>10</v>
      </c>
      <c r="K1922" s="17"/>
      <c r="L1922" s="7">
        <f>SUM(H1922:K1922)</f>
        <v>11</v>
      </c>
      <c r="M1922" s="8">
        <v>1</v>
      </c>
      <c r="N1922" s="8">
        <f t="shared" si="836"/>
        <v>1</v>
      </c>
      <c r="O1922" s="11" t="s">
        <v>1702</v>
      </c>
      <c r="P1922" s="16" t="str">
        <f t="shared" si="837"/>
        <v>09-Jan-1906</v>
      </c>
      <c r="R1922" s="16" t="str">
        <f t="shared" si="838"/>
        <v>x</v>
      </c>
      <c r="S1922" s="16" t="str">
        <f t="shared" si="838"/>
        <v>x</v>
      </c>
      <c r="U1922" s="46" t="str">
        <f t="shared" si="832"/>
        <v/>
      </c>
      <c r="V1922" s="46">
        <f t="shared" si="832"/>
        <v>11</v>
      </c>
      <c r="W1922" s="46" t="str">
        <f t="shared" si="832"/>
        <v/>
      </c>
      <c r="X1922" s="46" t="str">
        <f t="shared" si="832"/>
        <v/>
      </c>
    </row>
    <row r="1923" spans="2:24" x14ac:dyDescent="0.25">
      <c r="B1923" s="11" t="str">
        <f t="shared" si="834"/>
        <v>HAVR-28MAY1906</v>
      </c>
      <c r="C1923" s="11" t="s">
        <v>2924</v>
      </c>
      <c r="D1923" s="11" t="s">
        <v>2097</v>
      </c>
      <c r="E1923" s="39" t="s">
        <v>4029</v>
      </c>
      <c r="F1923" s="11" t="s">
        <v>3039</v>
      </c>
      <c r="G1923" s="39" t="s">
        <v>4030</v>
      </c>
      <c r="I1923" s="7">
        <v>0</v>
      </c>
      <c r="J1923" s="17">
        <v>8</v>
      </c>
      <c r="K1923" s="17"/>
      <c r="L1923" s="7">
        <f t="shared" si="835"/>
        <v>8</v>
      </c>
      <c r="M1923" s="8">
        <v>1</v>
      </c>
      <c r="N1923" s="8">
        <f t="shared" si="836"/>
        <v>1</v>
      </c>
      <c r="O1923" s="11" t="s">
        <v>1702</v>
      </c>
      <c r="P1923" s="16" t="str">
        <f t="shared" si="837"/>
        <v>28-May-1906</v>
      </c>
      <c r="R1923" s="16" t="str">
        <f t="shared" si="838"/>
        <v>x</v>
      </c>
      <c r="S1923" s="16" t="str">
        <f t="shared" si="838"/>
        <v>x</v>
      </c>
      <c r="U1923" s="46" t="str">
        <f t="shared" si="832"/>
        <v/>
      </c>
      <c r="V1923" s="46">
        <f t="shared" si="832"/>
        <v>8</v>
      </c>
      <c r="W1923" s="46" t="str">
        <f t="shared" si="832"/>
        <v/>
      </c>
      <c r="X1923" s="46" t="str">
        <f t="shared" si="832"/>
        <v/>
      </c>
    </row>
    <row r="1924" spans="2:24" x14ac:dyDescent="0.25">
      <c r="B1924" s="11" t="str">
        <f t="shared" si="834"/>
        <v>HAVR-07MAR1907</v>
      </c>
      <c r="C1924" s="11" t="s">
        <v>2924</v>
      </c>
      <c r="D1924" s="11" t="s">
        <v>2097</v>
      </c>
      <c r="E1924" s="39" t="s">
        <v>4944</v>
      </c>
      <c r="F1924" s="11" t="s">
        <v>3039</v>
      </c>
      <c r="G1924" s="39" t="s">
        <v>4945</v>
      </c>
      <c r="I1924" s="7">
        <v>0</v>
      </c>
      <c r="J1924" s="17">
        <v>2</v>
      </c>
      <c r="K1924" s="17"/>
      <c r="L1924" s="7">
        <f t="shared" si="835"/>
        <v>2</v>
      </c>
      <c r="M1924" s="8">
        <v>1</v>
      </c>
      <c r="N1924" s="8">
        <f t="shared" si="836"/>
        <v>1</v>
      </c>
      <c r="O1924" s="11" t="s">
        <v>1702</v>
      </c>
      <c r="P1924" s="16" t="str">
        <f t="shared" si="837"/>
        <v>07-Mar-1907</v>
      </c>
      <c r="R1924" s="16" t="str">
        <f t="shared" si="838"/>
        <v>x</v>
      </c>
      <c r="S1924" s="16" t="str">
        <f t="shared" si="838"/>
        <v>x</v>
      </c>
      <c r="U1924" s="46" t="str">
        <f t="shared" si="832"/>
        <v/>
      </c>
      <c r="V1924" s="46">
        <f t="shared" si="832"/>
        <v>2</v>
      </c>
      <c r="W1924" s="46" t="str">
        <f t="shared" si="832"/>
        <v/>
      </c>
      <c r="X1924" s="46" t="str">
        <f t="shared" si="832"/>
        <v/>
      </c>
    </row>
    <row r="1925" spans="2:24" x14ac:dyDescent="0.25">
      <c r="B1925" s="11" t="str">
        <f t="shared" si="834"/>
        <v>HAVR-17JUN1907</v>
      </c>
      <c r="C1925" s="11" t="s">
        <v>2924</v>
      </c>
      <c r="D1925" s="11" t="s">
        <v>2097</v>
      </c>
      <c r="E1925" s="39" t="s">
        <v>3353</v>
      </c>
      <c r="F1925" s="11" t="s">
        <v>3039</v>
      </c>
      <c r="G1925" s="39" t="s">
        <v>3354</v>
      </c>
      <c r="I1925" s="7">
        <v>0</v>
      </c>
      <c r="J1925" s="17">
        <v>9</v>
      </c>
      <c r="K1925" s="17"/>
      <c r="L1925" s="7">
        <f t="shared" si="835"/>
        <v>9</v>
      </c>
      <c r="M1925" s="8">
        <v>1</v>
      </c>
      <c r="N1925" s="8">
        <f t="shared" si="836"/>
        <v>1</v>
      </c>
      <c r="O1925" s="11" t="s">
        <v>1702</v>
      </c>
      <c r="P1925" s="16" t="str">
        <f t="shared" si="837"/>
        <v>17-Jun-1907</v>
      </c>
      <c r="R1925" s="16" t="str">
        <f t="shared" si="838"/>
        <v>x</v>
      </c>
      <c r="S1925" s="16" t="str">
        <f t="shared" si="838"/>
        <v>x</v>
      </c>
      <c r="U1925" s="46" t="str">
        <f t="shared" si="832"/>
        <v/>
      </c>
      <c r="V1925" s="46">
        <f t="shared" si="832"/>
        <v>9</v>
      </c>
      <c r="W1925" s="46" t="str">
        <f t="shared" si="832"/>
        <v/>
      </c>
      <c r="X1925" s="46" t="str">
        <f t="shared" si="832"/>
        <v/>
      </c>
    </row>
    <row r="1926" spans="2:24" x14ac:dyDescent="0.25">
      <c r="B1926" s="11" t="str">
        <f t="shared" si="834"/>
        <v>HAVR-25AUG1907</v>
      </c>
      <c r="C1926" s="11" t="s">
        <v>2924</v>
      </c>
      <c r="D1926" s="11" t="s">
        <v>2097</v>
      </c>
      <c r="E1926" s="39" t="s">
        <v>5671</v>
      </c>
      <c r="F1926" s="11" t="s">
        <v>3039</v>
      </c>
      <c r="G1926" s="39" t="s">
        <v>5672</v>
      </c>
      <c r="I1926" s="7">
        <v>0</v>
      </c>
      <c r="J1926" s="17">
        <v>12</v>
      </c>
      <c r="K1926" s="17"/>
      <c r="L1926" s="7">
        <f>SUM(H1926:K1926)</f>
        <v>12</v>
      </c>
      <c r="M1926" s="8">
        <v>1</v>
      </c>
      <c r="N1926" s="8">
        <f t="shared" si="836"/>
        <v>1</v>
      </c>
      <c r="O1926" s="11" t="s">
        <v>1702</v>
      </c>
      <c r="P1926" s="16" t="str">
        <f t="shared" si="837"/>
        <v>25-Aug-1907</v>
      </c>
      <c r="R1926" s="16" t="str">
        <f t="shared" si="838"/>
        <v>x</v>
      </c>
      <c r="S1926" s="16" t="str">
        <f t="shared" si="838"/>
        <v>x</v>
      </c>
      <c r="U1926" s="46" t="str">
        <f t="shared" si="832"/>
        <v/>
      </c>
      <c r="V1926" s="46">
        <f t="shared" si="832"/>
        <v>12</v>
      </c>
      <c r="W1926" s="46" t="str">
        <f t="shared" si="832"/>
        <v/>
      </c>
      <c r="X1926" s="46" t="str">
        <f t="shared" si="832"/>
        <v/>
      </c>
    </row>
    <row r="1927" spans="2:24" x14ac:dyDescent="0.25">
      <c r="B1927" s="11" t="str">
        <f t="shared" si="834"/>
        <v>HAVR-30SEP1907</v>
      </c>
      <c r="C1927" s="11" t="s">
        <v>2924</v>
      </c>
      <c r="D1927" s="11" t="s">
        <v>2097</v>
      </c>
      <c r="E1927" s="39" t="s">
        <v>5152</v>
      </c>
      <c r="F1927" s="11" t="s">
        <v>3039</v>
      </c>
      <c r="G1927" s="39" t="s">
        <v>3764</v>
      </c>
      <c r="I1927" s="7">
        <v>0</v>
      </c>
      <c r="J1927" s="17">
        <v>1</v>
      </c>
      <c r="K1927" s="17"/>
      <c r="L1927" s="7">
        <f>SUM(H1927:K1927)</f>
        <v>1</v>
      </c>
      <c r="M1927" s="8">
        <v>1</v>
      </c>
      <c r="N1927" s="8">
        <f t="shared" si="836"/>
        <v>1</v>
      </c>
      <c r="O1927" s="11" t="s">
        <v>1702</v>
      </c>
      <c r="P1927" s="16" t="str">
        <f t="shared" si="837"/>
        <v>30-Sep-1907</v>
      </c>
      <c r="R1927" s="16" t="str">
        <f t="shared" si="838"/>
        <v>x</v>
      </c>
      <c r="S1927" s="16" t="str">
        <f t="shared" si="838"/>
        <v>x</v>
      </c>
      <c r="U1927" s="46" t="str">
        <f t="shared" si="832"/>
        <v/>
      </c>
      <c r="V1927" s="46">
        <f t="shared" si="832"/>
        <v>1</v>
      </c>
      <c r="W1927" s="46" t="str">
        <f t="shared" si="832"/>
        <v/>
      </c>
      <c r="X1927" s="46" t="str">
        <f t="shared" si="832"/>
        <v/>
      </c>
    </row>
    <row r="1928" spans="2:24" x14ac:dyDescent="0.25">
      <c r="B1928" s="11" t="str">
        <f t="shared" si="834"/>
        <v>HAVR-17FEB1908</v>
      </c>
      <c r="C1928" s="11" t="s">
        <v>2924</v>
      </c>
      <c r="D1928" s="11" t="s">
        <v>2097</v>
      </c>
      <c r="E1928" s="39" t="s">
        <v>3928</v>
      </c>
      <c r="F1928" s="11" t="s">
        <v>3039</v>
      </c>
      <c r="G1928" s="39" t="s">
        <v>835</v>
      </c>
      <c r="I1928" s="7">
        <v>7</v>
      </c>
      <c r="J1928" s="17">
        <v>2</v>
      </c>
      <c r="K1928" s="17"/>
      <c r="L1928" s="7">
        <f t="shared" si="835"/>
        <v>9</v>
      </c>
      <c r="M1928" s="8">
        <v>1</v>
      </c>
      <c r="N1928" s="8">
        <f t="shared" si="836"/>
        <v>1</v>
      </c>
      <c r="O1928" s="11" t="s">
        <v>1702</v>
      </c>
      <c r="P1928" s="16" t="str">
        <f t="shared" si="837"/>
        <v>17-Feb-1908</v>
      </c>
      <c r="R1928" s="16" t="str">
        <f t="shared" si="838"/>
        <v>x</v>
      </c>
      <c r="S1928" s="16" t="str">
        <f t="shared" si="838"/>
        <v>x</v>
      </c>
      <c r="U1928" s="46" t="str">
        <f t="shared" si="832"/>
        <v/>
      </c>
      <c r="V1928" s="46">
        <f t="shared" si="832"/>
        <v>9</v>
      </c>
      <c r="W1928" s="46" t="str">
        <f t="shared" si="832"/>
        <v/>
      </c>
      <c r="X1928" s="46" t="str">
        <f t="shared" si="832"/>
        <v/>
      </c>
    </row>
    <row r="1929" spans="2:24" x14ac:dyDescent="0.25">
      <c r="B1929" s="11" t="str">
        <f t="shared" si="834"/>
        <v>HAVR-29DEC1908</v>
      </c>
      <c r="C1929" s="11" t="s">
        <v>2924</v>
      </c>
      <c r="D1929" s="11" t="s">
        <v>2097</v>
      </c>
      <c r="E1929" s="39" t="s">
        <v>2926</v>
      </c>
      <c r="F1929" s="11" t="s">
        <v>2922</v>
      </c>
      <c r="G1929" s="39" t="s">
        <v>2925</v>
      </c>
      <c r="I1929" s="7">
        <v>0</v>
      </c>
      <c r="J1929" s="17">
        <v>15</v>
      </c>
      <c r="K1929" s="17"/>
      <c r="L1929" s="7">
        <f t="shared" si="835"/>
        <v>15</v>
      </c>
      <c r="M1929" s="8">
        <v>1</v>
      </c>
      <c r="N1929" s="8">
        <f t="shared" si="836"/>
        <v>1</v>
      </c>
      <c r="O1929" s="11" t="s">
        <v>1702</v>
      </c>
      <c r="P1929" s="16" t="str">
        <f t="shared" si="837"/>
        <v>29-Dec-1908</v>
      </c>
      <c r="R1929" s="16" t="str">
        <f t="shared" ref="R1929:S1951" si="839">IF($L1929&gt;0,"x","")</f>
        <v>x</v>
      </c>
      <c r="S1929" s="16" t="str">
        <f t="shared" si="839"/>
        <v>x</v>
      </c>
      <c r="U1929" s="46" t="str">
        <f t="shared" si="832"/>
        <v/>
      </c>
      <c r="V1929" s="46">
        <f t="shared" si="832"/>
        <v>15</v>
      </c>
      <c r="W1929" s="46" t="str">
        <f t="shared" si="832"/>
        <v/>
      </c>
      <c r="X1929" s="46" t="str">
        <f t="shared" si="832"/>
        <v/>
      </c>
    </row>
    <row r="1930" spans="2:24" x14ac:dyDescent="0.25">
      <c r="B1930" s="11" t="str">
        <f t="shared" si="834"/>
        <v>HAVR-02FEB1909</v>
      </c>
      <c r="C1930" s="11" t="s">
        <v>2924</v>
      </c>
      <c r="D1930" s="11" t="s">
        <v>2097</v>
      </c>
      <c r="E1930" s="39" t="s">
        <v>4537</v>
      </c>
      <c r="F1930" s="11" t="s">
        <v>2922</v>
      </c>
      <c r="G1930" s="39" t="s">
        <v>4536</v>
      </c>
      <c r="I1930" s="7">
        <v>3</v>
      </c>
      <c r="J1930" s="17">
        <v>37</v>
      </c>
      <c r="K1930" s="17"/>
      <c r="L1930" s="7">
        <f t="shared" si="835"/>
        <v>40</v>
      </c>
      <c r="M1930" s="8">
        <v>1</v>
      </c>
      <c r="N1930" s="8">
        <f t="shared" si="836"/>
        <v>1</v>
      </c>
      <c r="O1930" s="11" t="s">
        <v>1702</v>
      </c>
      <c r="P1930" s="16" t="str">
        <f t="shared" si="837"/>
        <v>02-Feb-1909</v>
      </c>
      <c r="R1930" s="16" t="str">
        <f t="shared" si="839"/>
        <v>x</v>
      </c>
      <c r="S1930" s="16" t="str">
        <f t="shared" si="839"/>
        <v>x</v>
      </c>
      <c r="U1930" s="46" t="str">
        <f t="shared" ref="U1930:X1931" si="840">IF($O1930=U$5,$L1930,"")</f>
        <v/>
      </c>
      <c r="V1930" s="46">
        <f t="shared" si="840"/>
        <v>40</v>
      </c>
      <c r="W1930" s="46" t="str">
        <f t="shared" si="840"/>
        <v/>
      </c>
      <c r="X1930" s="46" t="str">
        <f t="shared" si="840"/>
        <v/>
      </c>
    </row>
    <row r="1931" spans="2:24" x14ac:dyDescent="0.25">
      <c r="B1931" s="11" t="str">
        <f t="shared" si="834"/>
        <v>HAVR-16JAN1911</v>
      </c>
      <c r="C1931" s="11" t="s">
        <v>2924</v>
      </c>
      <c r="D1931" s="11" t="s">
        <v>2097</v>
      </c>
      <c r="E1931" s="39" t="s">
        <v>5294</v>
      </c>
      <c r="F1931" s="11" t="s">
        <v>3039</v>
      </c>
      <c r="G1931" s="39" t="s">
        <v>4425</v>
      </c>
      <c r="I1931" s="7">
        <v>3</v>
      </c>
      <c r="J1931" s="17">
        <v>5</v>
      </c>
      <c r="K1931" s="17"/>
      <c r="L1931" s="7">
        <f>SUM(H1931:K1931)</f>
        <v>8</v>
      </c>
      <c r="M1931" s="8">
        <v>1</v>
      </c>
      <c r="N1931" s="8">
        <f t="shared" si="836"/>
        <v>1</v>
      </c>
      <c r="O1931" s="11" t="s">
        <v>1702</v>
      </c>
      <c r="P1931" s="16" t="str">
        <f t="shared" si="837"/>
        <v>16-Jan-1911</v>
      </c>
      <c r="R1931" s="16" t="str">
        <f>IF($L1931&gt;0,"x","")</f>
        <v>x</v>
      </c>
      <c r="S1931" s="16" t="str">
        <f>IF($L1931&gt;0,"x","")</f>
        <v>x</v>
      </c>
      <c r="U1931" s="46" t="str">
        <f t="shared" si="840"/>
        <v/>
      </c>
      <c r="V1931" s="46">
        <f t="shared" si="840"/>
        <v>8</v>
      </c>
      <c r="W1931" s="46" t="str">
        <f t="shared" si="840"/>
        <v/>
      </c>
      <c r="X1931" s="46" t="str">
        <f t="shared" si="840"/>
        <v/>
      </c>
    </row>
    <row r="1932" spans="2:24" x14ac:dyDescent="0.25">
      <c r="B1932" s="11" t="str">
        <f t="shared" si="834"/>
        <v>HAVR-05JUN1911</v>
      </c>
      <c r="C1932" s="11" t="s">
        <v>2924</v>
      </c>
      <c r="D1932" s="11" t="s">
        <v>2097</v>
      </c>
      <c r="E1932" s="39" t="s">
        <v>959</v>
      </c>
      <c r="F1932" s="11" t="s">
        <v>3039</v>
      </c>
      <c r="G1932" s="39" t="s">
        <v>4226</v>
      </c>
      <c r="I1932" s="7">
        <v>0</v>
      </c>
      <c r="J1932" s="17">
        <v>4</v>
      </c>
      <c r="K1932" s="17"/>
      <c r="L1932" s="7">
        <f t="shared" si="835"/>
        <v>4</v>
      </c>
      <c r="M1932" s="8">
        <v>1</v>
      </c>
      <c r="N1932" s="8">
        <f t="shared" si="836"/>
        <v>1</v>
      </c>
      <c r="O1932" s="11" t="s">
        <v>1702</v>
      </c>
      <c r="P1932" s="16" t="str">
        <f t="shared" si="837"/>
        <v>05-Jun-1911</v>
      </c>
      <c r="R1932" s="16" t="str">
        <f t="shared" si="839"/>
        <v>x</v>
      </c>
      <c r="S1932" s="16" t="str">
        <f t="shared" si="839"/>
        <v>x</v>
      </c>
      <c r="U1932" s="46" t="str">
        <f>IF($O1932=U$5,$L1932,"")</f>
        <v/>
      </c>
      <c r="V1932" s="46">
        <f>IF($O1932=V$5,$L1932,"")</f>
        <v>4</v>
      </c>
      <c r="W1932" s="46" t="str">
        <f>IF($O1932=W$5,$L1932,"")</f>
        <v/>
      </c>
      <c r="X1932" s="46" t="str">
        <f>IF($O1932=X$5,$L1932,"")</f>
        <v/>
      </c>
    </row>
    <row r="1933" spans="2:24" x14ac:dyDescent="0.25">
      <c r="B1933" s="11" t="str">
        <f t="shared" si="834"/>
        <v>HAVR-22OCT1911</v>
      </c>
      <c r="C1933" s="11" t="s">
        <v>2924</v>
      </c>
      <c r="D1933" s="11" t="s">
        <v>2097</v>
      </c>
      <c r="E1933" s="39" t="s">
        <v>5114</v>
      </c>
      <c r="F1933" s="11" t="s">
        <v>3039</v>
      </c>
      <c r="G1933" s="39" t="s">
        <v>5886</v>
      </c>
      <c r="I1933" s="7">
        <v>0</v>
      </c>
      <c r="J1933" s="17">
        <v>7</v>
      </c>
      <c r="K1933" s="17"/>
      <c r="L1933" s="7">
        <f>SUM(H1933:K1933)</f>
        <v>7</v>
      </c>
      <c r="M1933" s="8">
        <v>1</v>
      </c>
      <c r="N1933" s="8">
        <f t="shared" si="836"/>
        <v>1</v>
      </c>
      <c r="O1933" s="11" t="s">
        <v>1702</v>
      </c>
      <c r="P1933" s="16" t="str">
        <f t="shared" si="837"/>
        <v>22-Oct-1911</v>
      </c>
      <c r="R1933" s="16" t="str">
        <f t="shared" si="839"/>
        <v>x</v>
      </c>
      <c r="S1933" s="16" t="str">
        <f t="shared" si="839"/>
        <v>x</v>
      </c>
      <c r="U1933" s="46" t="str">
        <f t="shared" ref="U1933:X1936" si="841">IF($O1933=U$5,$L1933,"")</f>
        <v/>
      </c>
      <c r="V1933" s="46">
        <f t="shared" si="841"/>
        <v>7</v>
      </c>
      <c r="W1933" s="46" t="str">
        <f t="shared" si="841"/>
        <v/>
      </c>
      <c r="X1933" s="46" t="str">
        <f t="shared" si="841"/>
        <v/>
      </c>
    </row>
    <row r="1934" spans="2:24" x14ac:dyDescent="0.25">
      <c r="B1934" s="11" t="str">
        <f t="shared" si="834"/>
        <v>HAVR-05DEC1911</v>
      </c>
      <c r="C1934" s="11" t="s">
        <v>2924</v>
      </c>
      <c r="D1934" s="11" t="s">
        <v>2097</v>
      </c>
      <c r="E1934" s="39" t="s">
        <v>4794</v>
      </c>
      <c r="F1934" s="11" t="s">
        <v>3039</v>
      </c>
      <c r="G1934" s="39" t="s">
        <v>977</v>
      </c>
      <c r="I1934" s="7">
        <v>0</v>
      </c>
      <c r="J1934" s="17">
        <v>13</v>
      </c>
      <c r="K1934" s="17"/>
      <c r="L1934" s="7">
        <f t="shared" si="835"/>
        <v>13</v>
      </c>
      <c r="M1934" s="8">
        <v>1</v>
      </c>
      <c r="N1934" s="8">
        <f t="shared" si="836"/>
        <v>1</v>
      </c>
      <c r="O1934" s="11" t="s">
        <v>1702</v>
      </c>
      <c r="P1934" s="16" t="str">
        <f t="shared" si="837"/>
        <v>05-Dec-1911</v>
      </c>
      <c r="R1934" s="16" t="str">
        <f t="shared" si="839"/>
        <v>x</v>
      </c>
      <c r="S1934" s="16" t="str">
        <f t="shared" si="839"/>
        <v>x</v>
      </c>
      <c r="U1934" s="46" t="str">
        <f t="shared" si="841"/>
        <v/>
      </c>
      <c r="V1934" s="46">
        <f t="shared" si="841"/>
        <v>13</v>
      </c>
      <c r="W1934" s="46" t="str">
        <f t="shared" si="841"/>
        <v/>
      </c>
      <c r="X1934" s="46" t="str">
        <f t="shared" si="841"/>
        <v/>
      </c>
    </row>
    <row r="1935" spans="2:24" x14ac:dyDescent="0.25">
      <c r="B1935" s="11" t="str">
        <f t="shared" si="834"/>
        <v>HAVR-09JAN1912</v>
      </c>
      <c r="C1935" s="11" t="s">
        <v>2924</v>
      </c>
      <c r="D1935" s="11" t="s">
        <v>2097</v>
      </c>
      <c r="E1935" s="39" t="s">
        <v>5124</v>
      </c>
      <c r="F1935" s="11" t="s">
        <v>3039</v>
      </c>
      <c r="G1935" s="39" t="s">
        <v>5125</v>
      </c>
      <c r="I1935" s="7">
        <v>3</v>
      </c>
      <c r="J1935" s="17">
        <v>25</v>
      </c>
      <c r="K1935" s="17"/>
      <c r="L1935" s="7">
        <f t="shared" si="835"/>
        <v>28</v>
      </c>
      <c r="M1935" s="8">
        <v>1</v>
      </c>
      <c r="N1935" s="8">
        <f t="shared" si="836"/>
        <v>1</v>
      </c>
      <c r="O1935" s="11" t="s">
        <v>1702</v>
      </c>
      <c r="P1935" s="16" t="str">
        <f t="shared" si="837"/>
        <v>09-Jan-1912</v>
      </c>
      <c r="R1935" s="16" t="str">
        <f t="shared" si="839"/>
        <v>x</v>
      </c>
      <c r="S1935" s="16" t="str">
        <f t="shared" si="839"/>
        <v>x</v>
      </c>
      <c r="U1935" s="46" t="str">
        <f t="shared" si="841"/>
        <v/>
      </c>
      <c r="V1935" s="46">
        <f t="shared" si="841"/>
        <v>28</v>
      </c>
      <c r="W1935" s="46" t="str">
        <f t="shared" si="841"/>
        <v/>
      </c>
      <c r="X1935" s="46" t="str">
        <f t="shared" si="841"/>
        <v/>
      </c>
    </row>
    <row r="1936" spans="2:24" x14ac:dyDescent="0.25">
      <c r="B1936" s="11" t="str">
        <f t="shared" si="834"/>
        <v>HAVR-14FEB1912</v>
      </c>
      <c r="C1936" s="11" t="s">
        <v>2924</v>
      </c>
      <c r="D1936" s="11" t="s">
        <v>2097</v>
      </c>
      <c r="E1936" s="39" t="s">
        <v>5026</v>
      </c>
      <c r="F1936" s="11" t="s">
        <v>3039</v>
      </c>
      <c r="G1936" s="39" t="s">
        <v>2500</v>
      </c>
      <c r="I1936" s="7">
        <v>1</v>
      </c>
      <c r="J1936" s="17">
        <v>32</v>
      </c>
      <c r="K1936" s="17"/>
      <c r="L1936" s="7">
        <f t="shared" si="835"/>
        <v>33</v>
      </c>
      <c r="M1936" s="8">
        <v>1</v>
      </c>
      <c r="N1936" s="8">
        <f t="shared" si="836"/>
        <v>1</v>
      </c>
      <c r="O1936" s="11" t="s">
        <v>1702</v>
      </c>
      <c r="P1936" s="16" t="str">
        <f t="shared" si="837"/>
        <v>14-Feb-1912</v>
      </c>
      <c r="R1936" s="16" t="str">
        <f t="shared" si="839"/>
        <v>x</v>
      </c>
      <c r="S1936" s="16" t="str">
        <f t="shared" si="839"/>
        <v>x</v>
      </c>
      <c r="U1936" s="46" t="str">
        <f t="shared" si="841"/>
        <v/>
      </c>
      <c r="V1936" s="46">
        <f t="shared" si="841"/>
        <v>33</v>
      </c>
      <c r="W1936" s="46" t="str">
        <f t="shared" si="841"/>
        <v/>
      </c>
      <c r="X1936" s="46" t="str">
        <f t="shared" si="841"/>
        <v/>
      </c>
    </row>
    <row r="1937" spans="2:24" x14ac:dyDescent="0.25">
      <c r="B1937" s="11" t="str">
        <f t="shared" si="834"/>
        <v>HAVR-23MAR1912</v>
      </c>
      <c r="C1937" s="11" t="s">
        <v>2924</v>
      </c>
      <c r="D1937" s="11" t="s">
        <v>2097</v>
      </c>
      <c r="E1937" s="39" t="s">
        <v>3233</v>
      </c>
      <c r="F1937" s="11" t="s">
        <v>3039</v>
      </c>
      <c r="G1937" s="39" t="s">
        <v>1895</v>
      </c>
      <c r="I1937" s="7">
        <v>7</v>
      </c>
      <c r="J1937" s="17">
        <v>37</v>
      </c>
      <c r="K1937" s="17"/>
      <c r="L1937" s="7">
        <f t="shared" si="835"/>
        <v>44</v>
      </c>
      <c r="M1937" s="8">
        <v>1</v>
      </c>
      <c r="N1937" s="8">
        <f t="shared" si="836"/>
        <v>1</v>
      </c>
      <c r="O1937" s="11" t="s">
        <v>1702</v>
      </c>
      <c r="P1937" s="16" t="str">
        <f t="shared" si="837"/>
        <v>23-Mar-1912</v>
      </c>
      <c r="R1937" s="16" t="str">
        <f t="shared" si="839"/>
        <v>x</v>
      </c>
      <c r="S1937" s="16" t="str">
        <f t="shared" si="839"/>
        <v>x</v>
      </c>
      <c r="U1937" s="46" t="str">
        <f>IF($O1937=U$5,$L1937,"")</f>
        <v/>
      </c>
      <c r="V1937" s="46">
        <f>IF($O1937=V$5,$L1937,"")</f>
        <v>44</v>
      </c>
      <c r="W1937" s="46" t="str">
        <f>IF($O1937=W$5,$L1937,"")</f>
        <v/>
      </c>
      <c r="X1937" s="46" t="str">
        <f>IF($O1937=X$5,$L1937,"")</f>
        <v/>
      </c>
    </row>
    <row r="1938" spans="2:24" x14ac:dyDescent="0.25">
      <c r="B1938" s="11" t="str">
        <f t="shared" si="834"/>
        <v>HAVR-01MAY1912</v>
      </c>
      <c r="C1938" s="11" t="s">
        <v>2924</v>
      </c>
      <c r="D1938" s="11" t="s">
        <v>2097</v>
      </c>
      <c r="E1938" s="39" t="s">
        <v>980</v>
      </c>
      <c r="F1938" s="11" t="s">
        <v>3039</v>
      </c>
      <c r="G1938" s="39" t="s">
        <v>4538</v>
      </c>
      <c r="I1938" s="7">
        <v>0</v>
      </c>
      <c r="J1938" s="17">
        <v>74</v>
      </c>
      <c r="K1938" s="17"/>
      <c r="L1938" s="7">
        <f t="shared" si="835"/>
        <v>74</v>
      </c>
      <c r="M1938" s="8">
        <v>1</v>
      </c>
      <c r="N1938" s="8">
        <f t="shared" si="836"/>
        <v>1</v>
      </c>
      <c r="O1938" s="11" t="s">
        <v>1702</v>
      </c>
      <c r="P1938" s="16" t="str">
        <f t="shared" si="837"/>
        <v>01-May-1912</v>
      </c>
      <c r="R1938" s="16" t="str">
        <f t="shared" si="839"/>
        <v>x</v>
      </c>
      <c r="S1938" s="16" t="str">
        <f t="shared" si="839"/>
        <v>x</v>
      </c>
      <c r="U1938" s="46" t="str">
        <f t="shared" ref="U1938:X1942" si="842">IF($O1938=U$5,$L1938,"")</f>
        <v/>
      </c>
      <c r="V1938" s="46">
        <f t="shared" si="842"/>
        <v>74</v>
      </c>
      <c r="W1938" s="46" t="str">
        <f t="shared" si="842"/>
        <v/>
      </c>
      <c r="X1938" s="46" t="str">
        <f t="shared" si="842"/>
        <v/>
      </c>
    </row>
    <row r="1939" spans="2:24" x14ac:dyDescent="0.25">
      <c r="B1939" s="11" t="str">
        <f t="shared" si="834"/>
        <v>HAVR-04JUN1912</v>
      </c>
      <c r="C1939" s="11" t="s">
        <v>2924</v>
      </c>
      <c r="D1939" s="11" t="s">
        <v>2097</v>
      </c>
      <c r="E1939" s="39" t="s">
        <v>1900</v>
      </c>
      <c r="F1939" s="11" t="s">
        <v>3039</v>
      </c>
      <c r="G1939" s="39" t="s">
        <v>993</v>
      </c>
      <c r="I1939" s="7">
        <v>11</v>
      </c>
      <c r="J1939" s="17">
        <v>43</v>
      </c>
      <c r="K1939" s="17"/>
      <c r="L1939" s="7">
        <f>SUM(H1939:K1939)</f>
        <v>54</v>
      </c>
      <c r="M1939" s="8">
        <v>1</v>
      </c>
      <c r="N1939" s="8">
        <f t="shared" si="836"/>
        <v>1</v>
      </c>
      <c r="O1939" s="11" t="s">
        <v>1702</v>
      </c>
      <c r="P1939" s="16" t="str">
        <f t="shared" si="837"/>
        <v>04-Jun-1912</v>
      </c>
      <c r="R1939" s="16" t="str">
        <f t="shared" si="839"/>
        <v>x</v>
      </c>
      <c r="S1939" s="16" t="str">
        <f t="shared" si="839"/>
        <v>x</v>
      </c>
      <c r="U1939" s="46" t="str">
        <f t="shared" si="842"/>
        <v/>
      </c>
      <c r="V1939" s="46">
        <f t="shared" si="842"/>
        <v>54</v>
      </c>
      <c r="W1939" s="46" t="str">
        <f t="shared" si="842"/>
        <v/>
      </c>
      <c r="X1939" s="46" t="str">
        <f t="shared" si="842"/>
        <v/>
      </c>
    </row>
    <row r="1940" spans="2:24" x14ac:dyDescent="0.25">
      <c r="B1940" s="11" t="str">
        <f t="shared" si="834"/>
        <v>HAVR-09JUL1912</v>
      </c>
      <c r="C1940" s="11" t="s">
        <v>2924</v>
      </c>
      <c r="D1940" s="11" t="s">
        <v>2097</v>
      </c>
      <c r="E1940" s="39" t="s">
        <v>2516</v>
      </c>
      <c r="F1940" s="11" t="s">
        <v>3039</v>
      </c>
      <c r="G1940" s="39" t="s">
        <v>5313</v>
      </c>
      <c r="I1940" s="7">
        <v>10</v>
      </c>
      <c r="J1940" s="17">
        <v>40</v>
      </c>
      <c r="K1940" s="17"/>
      <c r="L1940" s="7">
        <f>SUM(H1940:K1940)</f>
        <v>50</v>
      </c>
      <c r="M1940" s="8">
        <v>1</v>
      </c>
      <c r="N1940" s="8">
        <f t="shared" si="836"/>
        <v>1</v>
      </c>
      <c r="O1940" s="11" t="s">
        <v>1702</v>
      </c>
      <c r="P1940" s="16" t="str">
        <f t="shared" si="837"/>
        <v>09-Jul-1912</v>
      </c>
      <c r="R1940" s="16" t="str">
        <f t="shared" si="839"/>
        <v>x</v>
      </c>
      <c r="S1940" s="16" t="str">
        <f t="shared" si="839"/>
        <v>x</v>
      </c>
      <c r="U1940" s="46" t="str">
        <f t="shared" si="842"/>
        <v/>
      </c>
      <c r="V1940" s="46">
        <f t="shared" si="842"/>
        <v>50</v>
      </c>
      <c r="W1940" s="46" t="str">
        <f t="shared" si="842"/>
        <v/>
      </c>
      <c r="X1940" s="46" t="str">
        <f t="shared" si="842"/>
        <v/>
      </c>
    </row>
    <row r="1941" spans="2:24" x14ac:dyDescent="0.25">
      <c r="B1941" s="11" t="str">
        <f t="shared" si="834"/>
        <v>HAVR-13AUG1912</v>
      </c>
      <c r="C1941" s="11" t="s">
        <v>2924</v>
      </c>
      <c r="D1941" s="11" t="s">
        <v>2097</v>
      </c>
      <c r="E1941" s="39" t="s">
        <v>4913</v>
      </c>
      <c r="F1941" s="11" t="s">
        <v>3039</v>
      </c>
      <c r="G1941" s="39" t="s">
        <v>994</v>
      </c>
      <c r="I1941" s="7">
        <v>0</v>
      </c>
      <c r="J1941" s="17">
        <v>46</v>
      </c>
      <c r="K1941" s="17"/>
      <c r="L1941" s="7">
        <f>SUM(H1941:K1941)</f>
        <v>46</v>
      </c>
      <c r="M1941" s="8">
        <v>1</v>
      </c>
      <c r="N1941" s="8">
        <f t="shared" si="836"/>
        <v>1</v>
      </c>
      <c r="O1941" s="11" t="s">
        <v>1702</v>
      </c>
      <c r="P1941" s="16" t="str">
        <f t="shared" si="837"/>
        <v>13-Aug-1912</v>
      </c>
      <c r="R1941" s="16" t="str">
        <f>IF($L1941&gt;0,"x","")</f>
        <v>x</v>
      </c>
      <c r="S1941" s="16" t="str">
        <f>IF($L1941&gt;0,"x","")</f>
        <v>x</v>
      </c>
      <c r="U1941" s="46" t="str">
        <f t="shared" si="842"/>
        <v/>
      </c>
      <c r="V1941" s="46">
        <f t="shared" si="842"/>
        <v>46</v>
      </c>
      <c r="W1941" s="46" t="str">
        <f t="shared" si="842"/>
        <v/>
      </c>
      <c r="X1941" s="46" t="str">
        <f t="shared" si="842"/>
        <v/>
      </c>
    </row>
    <row r="1942" spans="2:24" x14ac:dyDescent="0.25">
      <c r="B1942" s="11" t="str">
        <f t="shared" si="834"/>
        <v>HAVR-16SEP1912</v>
      </c>
      <c r="C1942" s="11" t="s">
        <v>2924</v>
      </c>
      <c r="D1942" s="11" t="s">
        <v>2097</v>
      </c>
      <c r="E1942" s="39" t="s">
        <v>6048</v>
      </c>
      <c r="F1942" s="11" t="s">
        <v>3039</v>
      </c>
      <c r="G1942" s="39" t="s">
        <v>6049</v>
      </c>
      <c r="I1942" s="7">
        <v>1</v>
      </c>
      <c r="J1942" s="17">
        <v>32</v>
      </c>
      <c r="K1942" s="17"/>
      <c r="L1942" s="7">
        <f>SUM(H1942:K1942)</f>
        <v>33</v>
      </c>
      <c r="M1942" s="8">
        <v>1</v>
      </c>
      <c r="N1942" s="8">
        <f t="shared" si="836"/>
        <v>1</v>
      </c>
      <c r="O1942" s="11" t="s">
        <v>1702</v>
      </c>
      <c r="P1942" s="16" t="str">
        <f t="shared" si="837"/>
        <v>16-Sep-1912</v>
      </c>
      <c r="R1942" s="16" t="str">
        <f>IF($L1942&gt;0,"x","")</f>
        <v>x</v>
      </c>
      <c r="S1942" s="16" t="str">
        <f>IF($L1942&gt;0,"x","")</f>
        <v>x</v>
      </c>
      <c r="U1942" s="46" t="str">
        <f t="shared" si="842"/>
        <v/>
      </c>
      <c r="V1942" s="46">
        <f t="shared" si="842"/>
        <v>33</v>
      </c>
      <c r="W1942" s="46" t="str">
        <f t="shared" si="842"/>
        <v/>
      </c>
      <c r="X1942" s="46" t="str">
        <f t="shared" si="842"/>
        <v/>
      </c>
    </row>
    <row r="1943" spans="2:24" x14ac:dyDescent="0.25">
      <c r="B1943" s="11" t="str">
        <f t="shared" si="834"/>
        <v>HAVR-21OCT1912</v>
      </c>
      <c r="C1943" s="11" t="s">
        <v>2924</v>
      </c>
      <c r="D1943" s="11" t="s">
        <v>2097</v>
      </c>
      <c r="E1943" s="39" t="s">
        <v>3704</v>
      </c>
      <c r="F1943" s="11" t="s">
        <v>3039</v>
      </c>
      <c r="G1943" s="39" t="s">
        <v>1911</v>
      </c>
      <c r="I1943" s="7">
        <v>0</v>
      </c>
      <c r="J1943" s="17">
        <v>37</v>
      </c>
      <c r="K1943" s="17"/>
      <c r="L1943" s="7">
        <f t="shared" si="835"/>
        <v>37</v>
      </c>
      <c r="M1943" s="8">
        <v>1</v>
      </c>
      <c r="N1943" s="8">
        <f t="shared" si="836"/>
        <v>1</v>
      </c>
      <c r="O1943" s="11" t="s">
        <v>1702</v>
      </c>
      <c r="P1943" s="16" t="str">
        <f t="shared" si="837"/>
        <v>21-Oct-1912</v>
      </c>
      <c r="R1943" s="16" t="str">
        <f t="shared" si="839"/>
        <v>x</v>
      </c>
      <c r="S1943" s="16" t="str">
        <f t="shared" si="839"/>
        <v>x</v>
      </c>
      <c r="U1943" s="46" t="str">
        <f t="shared" ref="U1943:X1945" si="843">IF($O1943=U$5,$L1943,"")</f>
        <v/>
      </c>
      <c r="V1943" s="46">
        <f t="shared" si="843"/>
        <v>37</v>
      </c>
      <c r="W1943" s="46" t="str">
        <f t="shared" si="843"/>
        <v/>
      </c>
      <c r="X1943" s="46" t="str">
        <f t="shared" si="843"/>
        <v/>
      </c>
    </row>
    <row r="1944" spans="2:24" x14ac:dyDescent="0.25">
      <c r="B1944" s="11" t="str">
        <f t="shared" si="834"/>
        <v>HAVR-03DEC1912</v>
      </c>
      <c r="C1944" s="11" t="s">
        <v>2924</v>
      </c>
      <c r="D1944" s="11" t="s">
        <v>2097</v>
      </c>
      <c r="E1944" s="39" t="s">
        <v>3077</v>
      </c>
      <c r="F1944" s="11" t="s">
        <v>3039</v>
      </c>
      <c r="G1944" s="39" t="s">
        <v>3303</v>
      </c>
      <c r="I1944" s="7">
        <v>1</v>
      </c>
      <c r="J1944" s="17">
        <f>67+1</f>
        <v>68</v>
      </c>
      <c r="K1944" s="17"/>
      <c r="L1944" s="7">
        <f t="shared" si="835"/>
        <v>69</v>
      </c>
      <c r="M1944" s="8">
        <v>1</v>
      </c>
      <c r="N1944" s="8">
        <f t="shared" si="836"/>
        <v>1</v>
      </c>
      <c r="O1944" s="11" t="s">
        <v>1702</v>
      </c>
      <c r="P1944" s="16" t="str">
        <f t="shared" si="837"/>
        <v>03-Dec-1912</v>
      </c>
      <c r="R1944" s="16" t="str">
        <f t="shared" si="839"/>
        <v>x</v>
      </c>
      <c r="S1944" s="16" t="str">
        <f t="shared" si="839"/>
        <v>x</v>
      </c>
      <c r="U1944" s="46" t="str">
        <f t="shared" si="843"/>
        <v/>
      </c>
      <c r="V1944" s="46">
        <f t="shared" si="843"/>
        <v>69</v>
      </c>
      <c r="W1944" s="46" t="str">
        <f t="shared" si="843"/>
        <v/>
      </c>
      <c r="X1944" s="46" t="str">
        <f t="shared" si="843"/>
        <v/>
      </c>
    </row>
    <row r="1945" spans="2:24" x14ac:dyDescent="0.25">
      <c r="B1945" s="11" t="str">
        <f t="shared" si="834"/>
        <v>HAVR-09JAN1913</v>
      </c>
      <c r="C1945" s="11" t="s">
        <v>2924</v>
      </c>
      <c r="D1945" s="11" t="s">
        <v>2097</v>
      </c>
      <c r="E1945" s="39" t="s">
        <v>3813</v>
      </c>
      <c r="F1945" s="11" t="s">
        <v>3039</v>
      </c>
      <c r="G1945" s="39" t="s">
        <v>3812</v>
      </c>
      <c r="I1945" s="7">
        <v>0</v>
      </c>
      <c r="J1945" s="17">
        <v>45</v>
      </c>
      <c r="K1945" s="17"/>
      <c r="L1945" s="7">
        <f t="shared" si="835"/>
        <v>45</v>
      </c>
      <c r="M1945" s="8">
        <v>1</v>
      </c>
      <c r="N1945" s="8">
        <f t="shared" si="836"/>
        <v>1</v>
      </c>
      <c r="O1945" s="11" t="s">
        <v>1702</v>
      </c>
      <c r="P1945" s="16" t="str">
        <f t="shared" si="837"/>
        <v>09-Jan-1913</v>
      </c>
      <c r="R1945" s="16" t="str">
        <f t="shared" si="839"/>
        <v>x</v>
      </c>
      <c r="S1945" s="16" t="str">
        <f t="shared" si="839"/>
        <v>x</v>
      </c>
      <c r="U1945" s="46" t="str">
        <f t="shared" si="843"/>
        <v/>
      </c>
      <c r="V1945" s="46">
        <f t="shared" si="843"/>
        <v>45</v>
      </c>
      <c r="W1945" s="46" t="str">
        <f t="shared" si="843"/>
        <v/>
      </c>
      <c r="X1945" s="46" t="str">
        <f t="shared" si="843"/>
        <v/>
      </c>
    </row>
    <row r="1946" spans="2:24" x14ac:dyDescent="0.25">
      <c r="B1946" s="11" t="str">
        <f t="shared" si="834"/>
        <v>HAVR-17FEB1913</v>
      </c>
      <c r="C1946" s="11" t="s">
        <v>2924</v>
      </c>
      <c r="D1946" s="11" t="s">
        <v>2097</v>
      </c>
      <c r="E1946" s="39" t="s">
        <v>1019</v>
      </c>
      <c r="F1946" s="11" t="s">
        <v>3039</v>
      </c>
      <c r="G1946" s="39" t="s">
        <v>5230</v>
      </c>
      <c r="I1946" s="7">
        <v>13</v>
      </c>
      <c r="J1946" s="17">
        <v>48</v>
      </c>
      <c r="K1946" s="17"/>
      <c r="L1946" s="7">
        <f>SUM(H1946:K1946)</f>
        <v>61</v>
      </c>
      <c r="M1946" s="8">
        <v>1</v>
      </c>
      <c r="N1946" s="8">
        <f t="shared" si="836"/>
        <v>1</v>
      </c>
      <c r="O1946" s="11" t="s">
        <v>1702</v>
      </c>
      <c r="P1946" s="16" t="str">
        <f t="shared" si="837"/>
        <v>17-Feb-1913</v>
      </c>
      <c r="R1946" s="16" t="str">
        <f t="shared" si="839"/>
        <v>x</v>
      </c>
      <c r="S1946" s="16" t="str">
        <f t="shared" si="839"/>
        <v>x</v>
      </c>
      <c r="U1946" s="46" t="str">
        <f t="shared" ref="U1946:X1947" si="844">IF($O1946=U$5,$L1946,"")</f>
        <v/>
      </c>
      <c r="V1946" s="46">
        <f t="shared" si="844"/>
        <v>61</v>
      </c>
      <c r="W1946" s="46" t="str">
        <f t="shared" si="844"/>
        <v/>
      </c>
      <c r="X1946" s="46" t="str">
        <f t="shared" si="844"/>
        <v/>
      </c>
    </row>
    <row r="1947" spans="2:24" x14ac:dyDescent="0.25">
      <c r="B1947" s="11" t="str">
        <f t="shared" si="834"/>
        <v>HAVR-07APR1913</v>
      </c>
      <c r="C1947" s="11" t="s">
        <v>2924</v>
      </c>
      <c r="D1947" s="11" t="s">
        <v>2097</v>
      </c>
      <c r="E1947" s="39" t="s">
        <v>2780</v>
      </c>
      <c r="F1947" s="11" t="s">
        <v>3039</v>
      </c>
      <c r="G1947" s="39" t="s">
        <v>5350</v>
      </c>
      <c r="I1947" s="7">
        <v>2</v>
      </c>
      <c r="J1947" s="17">
        <v>33</v>
      </c>
      <c r="K1947" s="17"/>
      <c r="L1947" s="7">
        <f>SUM(H1947:K1947)</f>
        <v>35</v>
      </c>
      <c r="M1947" s="8">
        <v>1</v>
      </c>
      <c r="N1947" s="8">
        <f t="shared" si="836"/>
        <v>1</v>
      </c>
      <c r="O1947" s="11" t="s">
        <v>1702</v>
      </c>
      <c r="P1947" s="16" t="str">
        <f t="shared" si="837"/>
        <v>07-Apr-1913</v>
      </c>
      <c r="R1947" s="16" t="str">
        <f>IF($L1947&gt;0,"x","")</f>
        <v>x</v>
      </c>
      <c r="S1947" s="16" t="str">
        <f>IF($L1947&gt;0,"x","")</f>
        <v>x</v>
      </c>
      <c r="U1947" s="46" t="str">
        <f t="shared" si="844"/>
        <v/>
      </c>
      <c r="V1947" s="46">
        <f t="shared" si="844"/>
        <v>35</v>
      </c>
      <c r="W1947" s="46" t="str">
        <f t="shared" si="844"/>
        <v/>
      </c>
      <c r="X1947" s="46" t="str">
        <f t="shared" si="844"/>
        <v/>
      </c>
    </row>
    <row r="1948" spans="2:24" x14ac:dyDescent="0.25">
      <c r="B1948" s="11" t="str">
        <f t="shared" si="834"/>
        <v>HAVR-18AUG1913</v>
      </c>
      <c r="C1948" s="11" t="s">
        <v>2924</v>
      </c>
      <c r="D1948" s="11" t="s">
        <v>2097</v>
      </c>
      <c r="E1948" s="39" t="s">
        <v>3144</v>
      </c>
      <c r="F1948" s="11" t="s">
        <v>3039</v>
      </c>
      <c r="G1948" s="39" t="s">
        <v>3513</v>
      </c>
      <c r="I1948" s="7">
        <v>3</v>
      </c>
      <c r="J1948" s="17">
        <v>81</v>
      </c>
      <c r="K1948" s="17"/>
      <c r="L1948" s="7">
        <f t="shared" si="835"/>
        <v>84</v>
      </c>
      <c r="M1948" s="8">
        <v>1</v>
      </c>
      <c r="N1948" s="8">
        <f t="shared" si="836"/>
        <v>1</v>
      </c>
      <c r="O1948" s="11" t="s">
        <v>1702</v>
      </c>
      <c r="P1948" s="16" t="str">
        <f t="shared" si="837"/>
        <v>18-Aug-1913</v>
      </c>
      <c r="R1948" s="16" t="str">
        <f t="shared" si="839"/>
        <v>x</v>
      </c>
      <c r="S1948" s="16" t="str">
        <f t="shared" si="839"/>
        <v>x</v>
      </c>
      <c r="U1948" s="46" t="str">
        <f>IF($O1948=U$5,$L1948,"")</f>
        <v/>
      </c>
      <c r="V1948" s="46">
        <f>IF($O1948=V$5,$L1948,"")</f>
        <v>84</v>
      </c>
      <c r="W1948" s="46" t="str">
        <f>IF($O1948=W$5,$L1948,"")</f>
        <v/>
      </c>
      <c r="X1948" s="46" t="str">
        <f>IF($O1948=X$5,$L1948,"")</f>
        <v/>
      </c>
    </row>
    <row r="1949" spans="2:24" x14ac:dyDescent="0.25">
      <c r="B1949" s="11" t="str">
        <f t="shared" si="834"/>
        <v>HAVR-21SEP1913</v>
      </c>
      <c r="C1949" s="11" t="s">
        <v>2924</v>
      </c>
      <c r="D1949" s="11" t="s">
        <v>2097</v>
      </c>
      <c r="E1949" s="39" t="s">
        <v>2527</v>
      </c>
      <c r="F1949" s="11" t="s">
        <v>3039</v>
      </c>
      <c r="G1949" s="39" t="s">
        <v>1290</v>
      </c>
      <c r="I1949" s="7">
        <v>0</v>
      </c>
      <c r="J1949" s="17">
        <v>59</v>
      </c>
      <c r="K1949" s="17"/>
      <c r="L1949" s="7">
        <f>SUM(H1949:K1949)</f>
        <v>59</v>
      </c>
      <c r="M1949" s="8">
        <v>1</v>
      </c>
      <c r="N1949" s="8">
        <f t="shared" si="836"/>
        <v>1</v>
      </c>
      <c r="O1949" s="11" t="s">
        <v>1702</v>
      </c>
      <c r="P1949" s="16" t="str">
        <f t="shared" si="837"/>
        <v>21-Sep-1913</v>
      </c>
      <c r="R1949" s="16" t="str">
        <f>IF($L1949&gt;0,"x","")</f>
        <v>x</v>
      </c>
      <c r="S1949" s="16" t="str">
        <f>IF($L1949&gt;0,"x","")</f>
        <v>x</v>
      </c>
      <c r="U1949" s="46" t="str">
        <f t="shared" ref="U1949:X1952" si="845">IF($O1949=U$5,$L1949,"")</f>
        <v/>
      </c>
      <c r="V1949" s="46">
        <f t="shared" si="845"/>
        <v>59</v>
      </c>
      <c r="W1949" s="46" t="str">
        <f t="shared" si="845"/>
        <v/>
      </c>
      <c r="X1949" s="46" t="str">
        <f t="shared" si="845"/>
        <v/>
      </c>
    </row>
    <row r="1950" spans="2:24" x14ac:dyDescent="0.25">
      <c r="B1950" s="11" t="str">
        <f t="shared" si="834"/>
        <v>HAVR-27OCT1913</v>
      </c>
      <c r="C1950" s="11" t="s">
        <v>2924</v>
      </c>
      <c r="D1950" s="11" t="s">
        <v>2097</v>
      </c>
      <c r="E1950" s="39" t="s">
        <v>2541</v>
      </c>
      <c r="F1950" s="11" t="s">
        <v>3039</v>
      </c>
      <c r="G1950" s="39" t="s">
        <v>4235</v>
      </c>
      <c r="I1950" s="7">
        <v>0</v>
      </c>
      <c r="J1950" s="17">
        <v>22</v>
      </c>
      <c r="K1950" s="17"/>
      <c r="L1950" s="7">
        <f>SUM(H1950:K1950)</f>
        <v>22</v>
      </c>
      <c r="M1950" s="8">
        <v>1</v>
      </c>
      <c r="N1950" s="8">
        <f t="shared" si="836"/>
        <v>1</v>
      </c>
      <c r="O1950" s="11" t="s">
        <v>1702</v>
      </c>
      <c r="P1950" s="16" t="str">
        <f t="shared" si="837"/>
        <v>27-Oct-1913</v>
      </c>
      <c r="R1950" s="16" t="str">
        <f t="shared" si="839"/>
        <v>x</v>
      </c>
      <c r="S1950" s="16" t="str">
        <f t="shared" si="839"/>
        <v>x</v>
      </c>
      <c r="U1950" s="46" t="str">
        <f t="shared" si="845"/>
        <v/>
      </c>
      <c r="V1950" s="46">
        <f t="shared" si="845"/>
        <v>22</v>
      </c>
      <c r="W1950" s="46" t="str">
        <f t="shared" si="845"/>
        <v/>
      </c>
      <c r="X1950" s="46" t="str">
        <f t="shared" si="845"/>
        <v/>
      </c>
    </row>
    <row r="1951" spans="2:24" x14ac:dyDescent="0.25">
      <c r="B1951" s="11" t="str">
        <f t="shared" si="834"/>
        <v>HAVR-03DEC1913</v>
      </c>
      <c r="C1951" s="11" t="s">
        <v>2924</v>
      </c>
      <c r="D1951" s="11" t="s">
        <v>2097</v>
      </c>
      <c r="E1951" s="39" t="s">
        <v>3372</v>
      </c>
      <c r="F1951" s="11" t="s">
        <v>3039</v>
      </c>
      <c r="G1951" s="39" t="s">
        <v>2543</v>
      </c>
      <c r="I1951" s="7">
        <v>7</v>
      </c>
      <c r="J1951" s="17">
        <v>51</v>
      </c>
      <c r="K1951" s="17"/>
      <c r="L1951" s="7">
        <f>SUM(H1951:K1951)</f>
        <v>58</v>
      </c>
      <c r="M1951" s="8">
        <v>1</v>
      </c>
      <c r="N1951" s="8">
        <f t="shared" si="836"/>
        <v>1</v>
      </c>
      <c r="O1951" s="11" t="s">
        <v>1702</v>
      </c>
      <c r="P1951" s="16" t="str">
        <f t="shared" si="837"/>
        <v>03-Dec-1913</v>
      </c>
      <c r="R1951" s="16" t="str">
        <f t="shared" si="839"/>
        <v>x</v>
      </c>
      <c r="S1951" s="16" t="str">
        <f t="shared" si="839"/>
        <v>x</v>
      </c>
      <c r="U1951" s="46" t="str">
        <f t="shared" si="845"/>
        <v/>
      </c>
      <c r="V1951" s="46">
        <f t="shared" si="845"/>
        <v>58</v>
      </c>
      <c r="W1951" s="46" t="str">
        <f t="shared" si="845"/>
        <v/>
      </c>
      <c r="X1951" s="46" t="str">
        <f t="shared" si="845"/>
        <v/>
      </c>
    </row>
    <row r="1952" spans="2:24" x14ac:dyDescent="0.25">
      <c r="B1952" s="11" t="str">
        <f t="shared" si="834"/>
        <v>HAVR-28APR1914</v>
      </c>
      <c r="C1952" s="11" t="s">
        <v>2924</v>
      </c>
      <c r="D1952" s="11" t="s">
        <v>2097</v>
      </c>
      <c r="E1952" s="39" t="s">
        <v>6237</v>
      </c>
      <c r="F1952" s="11" t="s">
        <v>3039</v>
      </c>
      <c r="G1952" s="39" t="s">
        <v>6238</v>
      </c>
      <c r="I1952" s="7">
        <v>1</v>
      </c>
      <c r="J1952" s="17">
        <v>5</v>
      </c>
      <c r="K1952" s="17"/>
      <c r="L1952" s="7">
        <f>SUM(H1952:K1952)</f>
        <v>6</v>
      </c>
      <c r="M1952" s="8">
        <v>1</v>
      </c>
      <c r="N1952" s="8">
        <f t="shared" si="836"/>
        <v>1</v>
      </c>
      <c r="O1952" s="11" t="s">
        <v>1702</v>
      </c>
      <c r="P1952" s="16" t="str">
        <f t="shared" si="837"/>
        <v>28-Apr-1914</v>
      </c>
      <c r="R1952" s="16" t="str">
        <f t="shared" ref="R1952:S1954" si="846">IF($L1952&gt;0,"x","")</f>
        <v>x</v>
      </c>
      <c r="S1952" s="16" t="str">
        <f t="shared" si="846"/>
        <v>x</v>
      </c>
      <c r="U1952" s="46" t="str">
        <f t="shared" si="845"/>
        <v/>
      </c>
      <c r="V1952" s="46">
        <f t="shared" si="845"/>
        <v>6</v>
      </c>
      <c r="W1952" s="46" t="str">
        <f t="shared" si="845"/>
        <v/>
      </c>
      <c r="X1952" s="46" t="str">
        <f t="shared" si="845"/>
        <v/>
      </c>
    </row>
    <row r="1953" spans="2:24" x14ac:dyDescent="0.25">
      <c r="B1953" s="11" t="str">
        <f t="shared" si="834"/>
        <v>HAVR-31MAY1914</v>
      </c>
      <c r="C1953" s="11" t="s">
        <v>2924</v>
      </c>
      <c r="D1953" s="11" t="s">
        <v>2097</v>
      </c>
      <c r="E1953" s="39" t="s">
        <v>2562</v>
      </c>
      <c r="F1953" s="11" t="s">
        <v>3039</v>
      </c>
      <c r="G1953" s="39" t="s">
        <v>2367</v>
      </c>
      <c r="I1953" s="7">
        <v>0</v>
      </c>
      <c r="J1953" s="17">
        <v>13</v>
      </c>
      <c r="K1953" s="17"/>
      <c r="L1953" s="7">
        <f t="shared" si="835"/>
        <v>13</v>
      </c>
      <c r="M1953" s="8">
        <v>1</v>
      </c>
      <c r="N1953" s="8">
        <f t="shared" si="836"/>
        <v>1</v>
      </c>
      <c r="O1953" s="11" t="s">
        <v>1702</v>
      </c>
      <c r="P1953" s="16" t="str">
        <f t="shared" si="837"/>
        <v>31-May-1914</v>
      </c>
      <c r="R1953" s="16" t="str">
        <f t="shared" si="846"/>
        <v>x</v>
      </c>
      <c r="S1953" s="16" t="str">
        <f t="shared" si="846"/>
        <v>x</v>
      </c>
      <c r="U1953" s="46" t="str">
        <f t="shared" ref="U1953:X1956" si="847">IF($O1953=U$5,$L1953,"")</f>
        <v/>
      </c>
      <c r="V1953" s="46">
        <f t="shared" si="847"/>
        <v>13</v>
      </c>
      <c r="W1953" s="46" t="str">
        <f t="shared" si="847"/>
        <v/>
      </c>
      <c r="X1953" s="46" t="str">
        <f t="shared" si="847"/>
        <v/>
      </c>
    </row>
    <row r="1954" spans="2:24" x14ac:dyDescent="0.25">
      <c r="B1954" s="11" t="str">
        <f t="shared" si="834"/>
        <v>HAVR-09NOV1919</v>
      </c>
      <c r="C1954" s="11" t="s">
        <v>2924</v>
      </c>
      <c r="D1954" s="11" t="s">
        <v>2097</v>
      </c>
      <c r="E1954" s="39" t="s">
        <v>5459</v>
      </c>
      <c r="F1954" s="11" t="s">
        <v>3039</v>
      </c>
      <c r="G1954" s="39" t="s">
        <v>5460</v>
      </c>
      <c r="I1954" s="7">
        <v>0</v>
      </c>
      <c r="J1954" s="17">
        <f>2+1</f>
        <v>3</v>
      </c>
      <c r="K1954" s="17"/>
      <c r="L1954" s="7">
        <f>SUM(H1954:K1954)</f>
        <v>3</v>
      </c>
      <c r="M1954" s="8">
        <v>1</v>
      </c>
      <c r="N1954" s="8">
        <f t="shared" si="836"/>
        <v>1</v>
      </c>
      <c r="O1954" s="11" t="s">
        <v>1702</v>
      </c>
      <c r="P1954" s="16" t="str">
        <f t="shared" si="837"/>
        <v>09-Nov-1919</v>
      </c>
      <c r="R1954" s="16" t="str">
        <f t="shared" si="846"/>
        <v>x</v>
      </c>
      <c r="S1954" s="16" t="str">
        <f t="shared" si="846"/>
        <v>x</v>
      </c>
      <c r="U1954" s="46" t="str">
        <f t="shared" si="847"/>
        <v/>
      </c>
      <c r="V1954" s="46">
        <f t="shared" si="847"/>
        <v>3</v>
      </c>
      <c r="W1954" s="46" t="str">
        <f t="shared" si="847"/>
        <v/>
      </c>
      <c r="X1954" s="46" t="str">
        <f t="shared" si="847"/>
        <v/>
      </c>
    </row>
    <row r="1955" spans="2:24" x14ac:dyDescent="0.25">
      <c r="N1955" s="8" t="str">
        <f>IF(R1955="x",1,"")</f>
        <v/>
      </c>
      <c r="U1955" s="46" t="str">
        <f t="shared" si="847"/>
        <v/>
      </c>
      <c r="V1955" s="46" t="str">
        <f t="shared" si="847"/>
        <v/>
      </c>
      <c r="W1955" s="46" t="str">
        <f t="shared" si="847"/>
        <v/>
      </c>
      <c r="X1955" s="46" t="str">
        <f t="shared" si="847"/>
        <v/>
      </c>
    </row>
    <row r="1956" spans="2:24" x14ac:dyDescent="0.25">
      <c r="B1956" s="18"/>
      <c r="C1956" s="18"/>
      <c r="D1956" s="18"/>
      <c r="E1956" s="40"/>
      <c r="F1956" s="18"/>
      <c r="G1956" s="40"/>
      <c r="H1956" s="7">
        <f t="shared" ref="H1956:N1956" si="848">SUM(H1920:H1955)</f>
        <v>0</v>
      </c>
      <c r="I1956" s="7">
        <f t="shared" si="848"/>
        <v>75</v>
      </c>
      <c r="J1956" s="7">
        <f>SUM(J1920:J1955)</f>
        <v>936</v>
      </c>
      <c r="K1956" s="7">
        <f t="shared" si="848"/>
        <v>0</v>
      </c>
      <c r="L1956" s="7">
        <f t="shared" si="848"/>
        <v>1011</v>
      </c>
      <c r="M1956" s="7">
        <f t="shared" si="848"/>
        <v>35</v>
      </c>
      <c r="N1956" s="7">
        <f t="shared" si="848"/>
        <v>35</v>
      </c>
      <c r="O1956" s="18"/>
      <c r="P1956" s="13"/>
      <c r="Q1956" s="13"/>
      <c r="S1956" s="13"/>
      <c r="T1956" s="15"/>
      <c r="U1956" s="46" t="str">
        <f t="shared" si="847"/>
        <v/>
      </c>
      <c r="V1956" s="46" t="str">
        <f t="shared" si="847"/>
        <v/>
      </c>
      <c r="W1956" s="46" t="str">
        <f t="shared" si="847"/>
        <v/>
      </c>
      <c r="X1956" s="46" t="str">
        <f t="shared" si="847"/>
        <v/>
      </c>
    </row>
    <row r="1957" spans="2:24" x14ac:dyDescent="0.25">
      <c r="B1957" s="18"/>
      <c r="C1957" s="18"/>
      <c r="D1957" s="18"/>
      <c r="E1957" s="40"/>
      <c r="F1957" s="18"/>
      <c r="G1957" s="40"/>
      <c r="N1957" s="8" t="str">
        <f>IF(R1957="x",1,"")</f>
        <v/>
      </c>
      <c r="O1957" s="18"/>
      <c r="P1957" s="13"/>
      <c r="Q1957" s="13"/>
      <c r="R1957" s="13"/>
      <c r="S1957" s="13"/>
      <c r="T1957" s="15"/>
      <c r="U1957" s="46" t="str">
        <f t="shared" ref="U1957:X1961" si="849">IF($O1957=U$5,$L1957,"")</f>
        <v/>
      </c>
      <c r="V1957" s="46" t="str">
        <f t="shared" si="849"/>
        <v/>
      </c>
      <c r="W1957" s="46" t="str">
        <f t="shared" si="849"/>
        <v/>
      </c>
      <c r="X1957" s="46" t="str">
        <f t="shared" si="849"/>
        <v/>
      </c>
    </row>
    <row r="1958" spans="2:24" x14ac:dyDescent="0.25">
      <c r="B1958" s="18"/>
      <c r="C1958" s="18"/>
      <c r="D1958" s="18"/>
      <c r="E1958" s="40"/>
      <c r="F1958" s="18"/>
      <c r="G1958" s="40"/>
      <c r="N1958" s="8" t="str">
        <f>IF(R1958="x",1,"")</f>
        <v/>
      </c>
      <c r="O1958" s="18"/>
      <c r="P1958" s="13"/>
      <c r="Q1958" s="13"/>
      <c r="R1958" s="13"/>
      <c r="S1958" s="13"/>
      <c r="T1958" s="15"/>
      <c r="U1958" s="46" t="str">
        <f t="shared" si="849"/>
        <v/>
      </c>
      <c r="V1958" s="46" t="str">
        <f t="shared" si="849"/>
        <v/>
      </c>
      <c r="W1958" s="46" t="str">
        <f t="shared" si="849"/>
        <v/>
      </c>
      <c r="X1958" s="46" t="str">
        <f t="shared" si="849"/>
        <v/>
      </c>
    </row>
    <row r="1959" spans="2:24" x14ac:dyDescent="0.25">
      <c r="B1959" s="11" t="str">
        <f>CONCATENATE("HIMR","-",LEFT(P1959,2),UPPER(MID(P1959,4,3)),RIGHT(P1959,4))</f>
        <v>HIMR-26OCT1917</v>
      </c>
      <c r="C1959" s="11" t="s">
        <v>3708</v>
      </c>
      <c r="D1959" s="11" t="s">
        <v>2440</v>
      </c>
      <c r="E1959" s="39" t="s">
        <v>3709</v>
      </c>
      <c r="F1959" s="11" t="s">
        <v>3366</v>
      </c>
      <c r="G1959" s="39" t="s">
        <v>3710</v>
      </c>
      <c r="H1959" s="7">
        <v>0</v>
      </c>
      <c r="J1959" s="17">
        <f>2+3</f>
        <v>5</v>
      </c>
      <c r="K1959" s="17"/>
      <c r="L1959" s="7">
        <f>SUM(H1959:K1959)</f>
        <v>5</v>
      </c>
      <c r="M1959" s="8">
        <v>1</v>
      </c>
      <c r="N1959" s="8">
        <f>IF(L1959&gt;0,1,"")</f>
        <v>1</v>
      </c>
      <c r="O1959" s="11" t="s">
        <v>1702</v>
      </c>
      <c r="P1959" s="16" t="str">
        <f>IF(LEN(G1959)=10,CONCATENATE("0",G1959),G1959)</f>
        <v>26-Oct-1917</v>
      </c>
      <c r="R1959" s="16" t="str">
        <f>IF($L1959&gt;0,"x","")</f>
        <v>x</v>
      </c>
      <c r="S1959" s="16" t="str">
        <f>IF($L1959&gt;0,"x","")</f>
        <v>x</v>
      </c>
      <c r="U1959" s="46" t="str">
        <f t="shared" si="849"/>
        <v/>
      </c>
      <c r="V1959" s="46">
        <f t="shared" si="849"/>
        <v>5</v>
      </c>
      <c r="W1959" s="46" t="str">
        <f t="shared" si="849"/>
        <v/>
      </c>
      <c r="X1959" s="46" t="str">
        <f t="shared" si="849"/>
        <v/>
      </c>
    </row>
    <row r="1960" spans="2:24" x14ac:dyDescent="0.25">
      <c r="N1960" s="8" t="str">
        <f>IF(R1960="x",1,"")</f>
        <v/>
      </c>
      <c r="U1960" s="46" t="str">
        <f t="shared" si="849"/>
        <v/>
      </c>
      <c r="V1960" s="46" t="str">
        <f t="shared" si="849"/>
        <v/>
      </c>
      <c r="W1960" s="46" t="str">
        <f t="shared" si="849"/>
        <v/>
      </c>
      <c r="X1960" s="46" t="str">
        <f t="shared" si="849"/>
        <v/>
      </c>
    </row>
    <row r="1961" spans="2:24" x14ac:dyDescent="0.25">
      <c r="B1961" s="18"/>
      <c r="C1961" s="18"/>
      <c r="D1961" s="18"/>
      <c r="E1961" s="40"/>
      <c r="F1961" s="18"/>
      <c r="G1961" s="40"/>
      <c r="H1961" s="7">
        <f t="shared" ref="H1961:N1961" si="850">SUM(H1959:H1960)</f>
        <v>0</v>
      </c>
      <c r="I1961" s="7">
        <f t="shared" si="850"/>
        <v>0</v>
      </c>
      <c r="J1961" s="7">
        <f>SUM(J1959:J1960)</f>
        <v>5</v>
      </c>
      <c r="K1961" s="7">
        <f t="shared" si="850"/>
        <v>0</v>
      </c>
      <c r="L1961" s="7">
        <f t="shared" si="850"/>
        <v>5</v>
      </c>
      <c r="M1961" s="7">
        <f t="shared" si="850"/>
        <v>1</v>
      </c>
      <c r="N1961" s="7">
        <f t="shared" si="850"/>
        <v>1</v>
      </c>
      <c r="O1961" s="18"/>
      <c r="P1961" s="13"/>
      <c r="Q1961" s="13"/>
      <c r="S1961" s="13"/>
      <c r="T1961" s="15"/>
      <c r="U1961" s="46" t="str">
        <f t="shared" si="849"/>
        <v/>
      </c>
      <c r="V1961" s="46" t="str">
        <f t="shared" si="849"/>
        <v/>
      </c>
      <c r="W1961" s="46" t="str">
        <f t="shared" si="849"/>
        <v/>
      </c>
      <c r="X1961" s="46" t="str">
        <f t="shared" ref="X1961:X1972" si="851">IF($O1961=X$5,$L1961,"")</f>
        <v/>
      </c>
    </row>
    <row r="1962" spans="2:24" x14ac:dyDescent="0.25">
      <c r="B1962" s="18"/>
      <c r="C1962" s="18"/>
      <c r="D1962" s="18"/>
      <c r="E1962" s="40"/>
      <c r="F1962" s="18"/>
      <c r="G1962" s="40"/>
      <c r="N1962" s="8" t="str">
        <f>IF(R1962="x",1,"")</f>
        <v/>
      </c>
      <c r="O1962" s="18"/>
      <c r="P1962" s="13"/>
      <c r="Q1962" s="13"/>
      <c r="R1962" s="13"/>
      <c r="S1962" s="13"/>
      <c r="T1962" s="15"/>
      <c r="U1962" s="46" t="str">
        <f t="shared" ref="U1962:W1972" si="852">IF($O1962=U$5,$L1962,"")</f>
        <v/>
      </c>
      <c r="V1962" s="46" t="str">
        <f t="shared" si="852"/>
        <v/>
      </c>
      <c r="W1962" s="46" t="str">
        <f t="shared" si="852"/>
        <v/>
      </c>
      <c r="X1962" s="46" t="str">
        <f t="shared" si="851"/>
        <v/>
      </c>
    </row>
    <row r="1963" spans="2:24" x14ac:dyDescent="0.25">
      <c r="B1963" s="18"/>
      <c r="C1963" s="18"/>
      <c r="D1963" s="18"/>
      <c r="E1963" s="40"/>
      <c r="F1963" s="18"/>
      <c r="G1963" s="40"/>
      <c r="N1963" s="8" t="str">
        <f>IF(R1963="x",1,"")</f>
        <v/>
      </c>
      <c r="O1963" s="18"/>
      <c r="P1963" s="13"/>
      <c r="Q1963" s="13"/>
      <c r="R1963" s="13"/>
      <c r="S1963" s="13"/>
      <c r="T1963" s="15"/>
      <c r="U1963" s="46" t="str">
        <f t="shared" si="852"/>
        <v/>
      </c>
      <c r="V1963" s="46" t="str">
        <f t="shared" si="852"/>
        <v/>
      </c>
      <c r="W1963" s="46" t="str">
        <f t="shared" si="852"/>
        <v/>
      </c>
      <c r="X1963" s="46" t="str">
        <f t="shared" si="851"/>
        <v/>
      </c>
    </row>
    <row r="1964" spans="2:24" x14ac:dyDescent="0.25">
      <c r="B1964" s="11" t="str">
        <f>CONCATENATE("HEFF","-",LEFT(P1964,2),UPPER(MID(P1964,4,3)),RIGHT(P1964,4))</f>
        <v>HEFF-21NOV1920</v>
      </c>
      <c r="C1964" s="11" t="s">
        <v>5373</v>
      </c>
      <c r="D1964" s="11" t="s">
        <v>1906</v>
      </c>
      <c r="F1964" s="11" t="s">
        <v>1700</v>
      </c>
      <c r="G1964" s="39" t="s">
        <v>4163</v>
      </c>
      <c r="J1964" s="17">
        <v>54</v>
      </c>
      <c r="K1964" s="17"/>
      <c r="L1964" s="7">
        <f>SUM(H1964:K1964)</f>
        <v>54</v>
      </c>
      <c r="M1964" s="8">
        <v>1</v>
      </c>
      <c r="N1964" s="8">
        <f>IF(L1964&gt;0,1,"")</f>
        <v>1</v>
      </c>
      <c r="O1964" s="11" t="s">
        <v>1702</v>
      </c>
      <c r="P1964" s="16" t="str">
        <f>IF(LEN(G1964)=10,CONCATENATE("0",G1964),G1964)</f>
        <v>21-Nov-1920</v>
      </c>
      <c r="R1964" s="16" t="str">
        <f>IF($L1964&gt;0,"x","")</f>
        <v>x</v>
      </c>
      <c r="S1964" s="16" t="str">
        <f>IF($L1964&gt;0,"x","")</f>
        <v>x</v>
      </c>
      <c r="U1964" s="46" t="str">
        <f t="shared" si="852"/>
        <v/>
      </c>
      <c r="V1964" s="46">
        <f t="shared" si="852"/>
        <v>54</v>
      </c>
      <c r="W1964" s="46" t="str">
        <f t="shared" si="852"/>
        <v/>
      </c>
      <c r="X1964" s="46" t="str">
        <f t="shared" si="851"/>
        <v/>
      </c>
    </row>
    <row r="1965" spans="2:24" x14ac:dyDescent="0.25">
      <c r="N1965" s="8" t="str">
        <f>IF(R1965="x",1,"")</f>
        <v/>
      </c>
      <c r="U1965" s="46" t="str">
        <f t="shared" si="852"/>
        <v/>
      </c>
      <c r="V1965" s="46" t="str">
        <f t="shared" si="852"/>
        <v/>
      </c>
      <c r="W1965" s="46" t="str">
        <f t="shared" si="852"/>
        <v/>
      </c>
      <c r="X1965" s="46" t="str">
        <f t="shared" si="851"/>
        <v/>
      </c>
    </row>
    <row r="1966" spans="2:24" x14ac:dyDescent="0.25">
      <c r="B1966" s="18"/>
      <c r="C1966" s="18"/>
      <c r="D1966" s="18"/>
      <c r="E1966" s="40"/>
      <c r="F1966" s="18"/>
      <c r="G1966" s="40"/>
      <c r="H1966" s="7">
        <f t="shared" ref="H1966:N1966" si="853">SUM(H1964:H1965)</f>
        <v>0</v>
      </c>
      <c r="I1966" s="7">
        <f t="shared" si="853"/>
        <v>0</v>
      </c>
      <c r="J1966" s="7">
        <f>SUM(J1964:J1965)</f>
        <v>54</v>
      </c>
      <c r="K1966" s="7">
        <f t="shared" si="853"/>
        <v>0</v>
      </c>
      <c r="L1966" s="7">
        <f t="shared" si="853"/>
        <v>54</v>
      </c>
      <c r="M1966" s="7">
        <f t="shared" si="853"/>
        <v>1</v>
      </c>
      <c r="N1966" s="7">
        <f t="shared" si="853"/>
        <v>1</v>
      </c>
      <c r="O1966" s="18"/>
      <c r="P1966" s="13"/>
      <c r="Q1966" s="13"/>
      <c r="S1966" s="13"/>
      <c r="T1966" s="15"/>
      <c r="U1966" s="46" t="str">
        <f t="shared" si="852"/>
        <v/>
      </c>
      <c r="V1966" s="46" t="str">
        <f t="shared" si="852"/>
        <v/>
      </c>
      <c r="W1966" s="46" t="str">
        <f t="shared" si="852"/>
        <v/>
      </c>
      <c r="X1966" s="46" t="str">
        <f t="shared" si="851"/>
        <v/>
      </c>
    </row>
    <row r="1967" spans="2:24" x14ac:dyDescent="0.25">
      <c r="B1967" s="18"/>
      <c r="C1967" s="18"/>
      <c r="D1967" s="18"/>
      <c r="E1967" s="40"/>
      <c r="F1967" s="18"/>
      <c r="G1967" s="40"/>
      <c r="N1967" s="8" t="str">
        <f>IF(R1967="x",1,"")</f>
        <v/>
      </c>
      <c r="O1967" s="18"/>
      <c r="P1967" s="13"/>
      <c r="Q1967" s="13"/>
      <c r="R1967" s="13"/>
      <c r="S1967" s="13"/>
      <c r="T1967" s="15"/>
      <c r="U1967" s="46" t="str">
        <f t="shared" si="852"/>
        <v/>
      </c>
      <c r="V1967" s="46" t="str">
        <f t="shared" si="852"/>
        <v/>
      </c>
      <c r="W1967" s="46" t="str">
        <f t="shared" si="852"/>
        <v/>
      </c>
      <c r="X1967" s="46" t="str">
        <f t="shared" si="851"/>
        <v/>
      </c>
    </row>
    <row r="1968" spans="2:24" x14ac:dyDescent="0.25">
      <c r="B1968" s="18"/>
      <c r="C1968" s="18"/>
      <c r="D1968" s="18"/>
      <c r="E1968" s="40"/>
      <c r="F1968" s="18"/>
      <c r="G1968" s="40"/>
      <c r="N1968" s="8" t="str">
        <f>IF(R1968="x",1,"")</f>
        <v/>
      </c>
      <c r="O1968" s="18"/>
      <c r="P1968" s="13"/>
      <c r="Q1968" s="13"/>
      <c r="R1968" s="13"/>
      <c r="S1968" s="13"/>
      <c r="T1968" s="15"/>
      <c r="U1968" s="46" t="str">
        <f t="shared" si="852"/>
        <v/>
      </c>
      <c r="V1968" s="46" t="str">
        <f t="shared" si="852"/>
        <v/>
      </c>
      <c r="W1968" s="46" t="str">
        <f t="shared" si="852"/>
        <v/>
      </c>
      <c r="X1968" s="46" t="str">
        <f t="shared" si="851"/>
        <v/>
      </c>
    </row>
    <row r="1969" spans="2:24" x14ac:dyDescent="0.25">
      <c r="B1969" s="11" t="str">
        <f t="shared" ref="B1969:B1977" si="854">CONCATENATE("HLGO","-",LEFT(P1969,2),UPPER(MID(P1969,4,3)),RIGHT(P1969,4))</f>
        <v>HLGO-30MAY1916</v>
      </c>
      <c r="C1969" s="11" t="s">
        <v>3084</v>
      </c>
      <c r="D1969" s="11" t="s">
        <v>117</v>
      </c>
      <c r="E1969" s="39" t="s">
        <v>6098</v>
      </c>
      <c r="F1969" s="11" t="s">
        <v>1700</v>
      </c>
      <c r="G1969" s="39" t="s">
        <v>6099</v>
      </c>
      <c r="H1969" s="7">
        <v>0</v>
      </c>
      <c r="I1969" s="7">
        <v>9</v>
      </c>
      <c r="J1969" s="17">
        <v>9</v>
      </c>
      <c r="K1969" s="17"/>
      <c r="L1969" s="7">
        <f t="shared" ref="L1969:L1977" si="855">SUM(H1969:K1969)</f>
        <v>18</v>
      </c>
      <c r="M1969" s="8">
        <v>1</v>
      </c>
      <c r="N1969" s="8">
        <f t="shared" ref="N1969:N1977" si="856">IF(L1969&gt;0,1,"")</f>
        <v>1</v>
      </c>
      <c r="O1969" s="11" t="s">
        <v>1702</v>
      </c>
      <c r="P1969" s="16" t="str">
        <f t="shared" ref="P1969:P1977" si="857">IF(LEN(G1969)=10,CONCATENATE("0",G1969),G1969)</f>
        <v>30-May-1916</v>
      </c>
      <c r="R1969" s="16" t="str">
        <f>IF($L1969&gt;0,"x","")</f>
        <v>x</v>
      </c>
      <c r="S1969" s="16" t="str">
        <f>IF($L1969&gt;0,"x","")</f>
        <v>x</v>
      </c>
      <c r="U1969" s="46" t="str">
        <f t="shared" si="852"/>
        <v/>
      </c>
      <c r="V1969" s="46">
        <f t="shared" si="852"/>
        <v>18</v>
      </c>
      <c r="W1969" s="46" t="str">
        <f t="shared" si="852"/>
        <v/>
      </c>
      <c r="X1969" s="46" t="str">
        <f t="shared" si="851"/>
        <v/>
      </c>
    </row>
    <row r="1970" spans="2:24" x14ac:dyDescent="0.25">
      <c r="B1970" s="11" t="str">
        <f>CONCATENATE("HLGO","-",LEFT(P1970,2),UPPER(MID(P1970,4,3)),RIGHT(P1970,4))</f>
        <v>HLGO-22AUG1916</v>
      </c>
      <c r="C1970" s="11" t="s">
        <v>3084</v>
      </c>
      <c r="D1970" s="11" t="s">
        <v>3001</v>
      </c>
      <c r="E1970" s="39" t="s">
        <v>3829</v>
      </c>
      <c r="F1970" s="11" t="s">
        <v>1700</v>
      </c>
      <c r="G1970" s="39" t="s">
        <v>3830</v>
      </c>
      <c r="H1970" s="7">
        <v>0</v>
      </c>
      <c r="I1970" s="7">
        <v>0</v>
      </c>
      <c r="J1970" s="17">
        <v>3</v>
      </c>
      <c r="K1970" s="17"/>
      <c r="L1970" s="7">
        <f>SUM(H1970:K1970)</f>
        <v>3</v>
      </c>
      <c r="M1970" s="8">
        <v>1</v>
      </c>
      <c r="N1970" s="8">
        <f>IF(L1970&gt;0,1,"")</f>
        <v>1</v>
      </c>
      <c r="O1970" s="11" t="s">
        <v>1702</v>
      </c>
      <c r="P1970" s="16" t="str">
        <f>IF(LEN(G1970)=10,CONCATENATE("0",G1970),G1970)</f>
        <v>22-Aug-1916</v>
      </c>
      <c r="R1970" s="16" t="str">
        <f t="shared" ref="R1970:S1972" si="858">IF($L1970&gt;0,"x","")</f>
        <v>x</v>
      </c>
      <c r="S1970" s="16" t="str">
        <f t="shared" si="858"/>
        <v>x</v>
      </c>
      <c r="U1970" s="46" t="str">
        <f t="shared" si="852"/>
        <v/>
      </c>
      <c r="V1970" s="46">
        <f t="shared" si="852"/>
        <v>3</v>
      </c>
      <c r="W1970" s="46" t="str">
        <f t="shared" si="852"/>
        <v/>
      </c>
      <c r="X1970" s="46" t="str">
        <f t="shared" si="851"/>
        <v/>
      </c>
    </row>
    <row r="1971" spans="2:24" x14ac:dyDescent="0.25">
      <c r="B1971" s="11" t="str">
        <f t="shared" si="854"/>
        <v>HLGO-22AUG1916</v>
      </c>
      <c r="C1971" s="11" t="s">
        <v>3084</v>
      </c>
      <c r="D1971" s="11" t="s">
        <v>117</v>
      </c>
      <c r="E1971" s="39" t="s">
        <v>1068</v>
      </c>
      <c r="F1971" s="11" t="s">
        <v>1700</v>
      </c>
      <c r="G1971" s="39" t="s">
        <v>3830</v>
      </c>
      <c r="H1971" s="7">
        <v>0</v>
      </c>
      <c r="I1971" s="7">
        <v>1</v>
      </c>
      <c r="J1971" s="17">
        <v>16</v>
      </c>
      <c r="K1971" s="17"/>
      <c r="L1971" s="7">
        <f t="shared" si="855"/>
        <v>17</v>
      </c>
      <c r="M1971" s="8">
        <v>1</v>
      </c>
      <c r="N1971" s="8">
        <f t="shared" si="856"/>
        <v>1</v>
      </c>
      <c r="O1971" s="11" t="s">
        <v>1702</v>
      </c>
      <c r="P1971" s="16" t="str">
        <f t="shared" si="857"/>
        <v>22-Aug-1916</v>
      </c>
      <c r="R1971" s="16" t="str">
        <f t="shared" si="858"/>
        <v>x</v>
      </c>
      <c r="S1971" s="16" t="str">
        <f t="shared" si="858"/>
        <v>x</v>
      </c>
      <c r="U1971" s="46" t="str">
        <f t="shared" si="852"/>
        <v/>
      </c>
      <c r="V1971" s="46">
        <f t="shared" si="852"/>
        <v>17</v>
      </c>
      <c r="W1971" s="46" t="str">
        <f t="shared" si="852"/>
        <v/>
      </c>
      <c r="X1971" s="46" t="str">
        <f t="shared" si="851"/>
        <v/>
      </c>
    </row>
    <row r="1972" spans="2:24" x14ac:dyDescent="0.25">
      <c r="B1972" s="11" t="str">
        <f t="shared" si="854"/>
        <v>HLGO-03OCT1916</v>
      </c>
      <c r="C1972" s="11" t="s">
        <v>3084</v>
      </c>
      <c r="D1972" s="11" t="s">
        <v>117</v>
      </c>
      <c r="E1972" s="39" t="s">
        <v>4500</v>
      </c>
      <c r="F1972" s="11" t="s">
        <v>1700</v>
      </c>
      <c r="G1972" s="39" t="s">
        <v>4501</v>
      </c>
      <c r="H1972" s="7">
        <v>0</v>
      </c>
      <c r="I1972" s="7">
        <v>0</v>
      </c>
      <c r="J1972" s="17">
        <v>21</v>
      </c>
      <c r="K1972" s="17"/>
      <c r="L1972" s="7">
        <f t="shared" si="855"/>
        <v>21</v>
      </c>
      <c r="M1972" s="8">
        <v>1</v>
      </c>
      <c r="N1972" s="8">
        <f t="shared" si="856"/>
        <v>1</v>
      </c>
      <c r="O1972" s="11" t="s">
        <v>1702</v>
      </c>
      <c r="P1972" s="16" t="str">
        <f t="shared" si="857"/>
        <v>03-Oct-1916</v>
      </c>
      <c r="R1972" s="16" t="str">
        <f t="shared" si="858"/>
        <v>x</v>
      </c>
      <c r="S1972" s="16" t="str">
        <f t="shared" si="858"/>
        <v>x</v>
      </c>
      <c r="U1972" s="46" t="str">
        <f t="shared" si="852"/>
        <v/>
      </c>
      <c r="V1972" s="46">
        <f t="shared" si="852"/>
        <v>21</v>
      </c>
      <c r="W1972" s="46" t="str">
        <f t="shared" si="852"/>
        <v/>
      </c>
      <c r="X1972" s="46" t="str">
        <f t="shared" si="851"/>
        <v/>
      </c>
    </row>
    <row r="1973" spans="2:24" x14ac:dyDescent="0.25">
      <c r="B1973" s="11" t="str">
        <f t="shared" si="854"/>
        <v>HLGO-14NOV1916</v>
      </c>
      <c r="C1973" s="11" t="s">
        <v>3084</v>
      </c>
      <c r="D1973" s="11" t="s">
        <v>117</v>
      </c>
      <c r="E1973" s="39" t="s">
        <v>5240</v>
      </c>
      <c r="F1973" s="11" t="s">
        <v>1700</v>
      </c>
      <c r="G1973" s="39" t="s">
        <v>5241</v>
      </c>
      <c r="H1973" s="7">
        <v>0</v>
      </c>
      <c r="I1973" s="7">
        <v>3</v>
      </c>
      <c r="J1973" s="17">
        <v>33</v>
      </c>
      <c r="K1973" s="17"/>
      <c r="L1973" s="7">
        <f t="shared" si="855"/>
        <v>36</v>
      </c>
      <c r="M1973" s="8">
        <v>1</v>
      </c>
      <c r="N1973" s="8">
        <f t="shared" si="856"/>
        <v>1</v>
      </c>
      <c r="O1973" s="11" t="s">
        <v>1702</v>
      </c>
      <c r="P1973" s="16" t="str">
        <f t="shared" si="857"/>
        <v>14-Nov-1916</v>
      </c>
      <c r="R1973" s="16" t="str">
        <f t="shared" ref="R1973:S1976" si="859">IF($L1973&gt;0,"x","")</f>
        <v>x</v>
      </c>
      <c r="S1973" s="16" t="str">
        <f t="shared" si="859"/>
        <v>x</v>
      </c>
      <c r="U1973" s="46" t="str">
        <f t="shared" ref="U1973:X1976" si="860">IF($O1973=U$5,$L1973,"")</f>
        <v/>
      </c>
      <c r="V1973" s="46">
        <f t="shared" si="860"/>
        <v>36</v>
      </c>
      <c r="W1973" s="46" t="str">
        <f t="shared" si="860"/>
        <v/>
      </c>
      <c r="X1973" s="46" t="str">
        <f t="shared" si="860"/>
        <v/>
      </c>
    </row>
    <row r="1974" spans="2:24" x14ac:dyDescent="0.25">
      <c r="B1974" s="11" t="str">
        <f t="shared" si="854"/>
        <v>HLGO-27JAN1917</v>
      </c>
      <c r="C1974" s="11" t="s">
        <v>3084</v>
      </c>
      <c r="D1974" s="11" t="s">
        <v>117</v>
      </c>
      <c r="E1974" s="39" t="s">
        <v>5699</v>
      </c>
      <c r="F1974" s="11" t="s">
        <v>1700</v>
      </c>
      <c r="G1974" s="39" t="s">
        <v>5700</v>
      </c>
      <c r="H1974" s="7">
        <v>0</v>
      </c>
      <c r="I1974" s="7">
        <v>2</v>
      </c>
      <c r="J1974" s="17">
        <v>17</v>
      </c>
      <c r="K1974" s="17"/>
      <c r="L1974" s="7">
        <f t="shared" si="855"/>
        <v>19</v>
      </c>
      <c r="M1974" s="8">
        <v>1</v>
      </c>
      <c r="N1974" s="8">
        <f t="shared" si="856"/>
        <v>1</v>
      </c>
      <c r="O1974" s="11" t="s">
        <v>1702</v>
      </c>
      <c r="P1974" s="16" t="str">
        <f t="shared" si="857"/>
        <v>27-Jan-1917</v>
      </c>
      <c r="R1974" s="16" t="str">
        <f t="shared" si="859"/>
        <v>x</v>
      </c>
      <c r="S1974" s="16" t="str">
        <f t="shared" si="859"/>
        <v>x</v>
      </c>
      <c r="U1974" s="46" t="str">
        <f t="shared" si="860"/>
        <v/>
      </c>
      <c r="V1974" s="46">
        <f t="shared" si="860"/>
        <v>19</v>
      </c>
      <c r="W1974" s="46" t="str">
        <f t="shared" si="860"/>
        <v/>
      </c>
      <c r="X1974" s="46" t="str">
        <f t="shared" si="860"/>
        <v/>
      </c>
    </row>
    <row r="1975" spans="2:24" x14ac:dyDescent="0.25">
      <c r="B1975" s="11" t="str">
        <f>CONCATENATE("HLGO","-",LEFT(P1975,2),UPPER(MID(P1975,4,3)),RIGHT(P1975,4))</f>
        <v>HLGO-26JUL1917</v>
      </c>
      <c r="C1975" s="11" t="s">
        <v>3084</v>
      </c>
      <c r="D1975" s="11" t="s">
        <v>117</v>
      </c>
      <c r="E1975" s="39" t="s">
        <v>5624</v>
      </c>
      <c r="F1975" s="11" t="s">
        <v>1700</v>
      </c>
      <c r="G1975" s="39" t="s">
        <v>5625</v>
      </c>
      <c r="H1975" s="7">
        <v>0</v>
      </c>
      <c r="I1975" s="7">
        <v>0</v>
      </c>
      <c r="J1975" s="17">
        <v>7</v>
      </c>
      <c r="K1975" s="17"/>
      <c r="L1975" s="7">
        <f>SUM(H1975:K1975)</f>
        <v>7</v>
      </c>
      <c r="M1975" s="8">
        <v>1</v>
      </c>
      <c r="N1975" s="8">
        <f>IF(L1975&gt;0,1,"")</f>
        <v>1</v>
      </c>
      <c r="O1975" s="11" t="s">
        <v>1702</v>
      </c>
      <c r="P1975" s="16" t="str">
        <f>IF(LEN(G1975)=10,CONCATENATE("0",G1975),G1975)</f>
        <v>26-Jul-1917</v>
      </c>
      <c r="R1975" s="16" t="str">
        <f t="shared" si="859"/>
        <v>x</v>
      </c>
      <c r="S1975" s="16" t="str">
        <f t="shared" si="859"/>
        <v>x</v>
      </c>
      <c r="U1975" s="46" t="str">
        <f t="shared" si="860"/>
        <v/>
      </c>
      <c r="V1975" s="46">
        <f t="shared" si="860"/>
        <v>7</v>
      </c>
      <c r="W1975" s="46" t="str">
        <f t="shared" si="860"/>
        <v/>
      </c>
      <c r="X1975" s="46" t="str">
        <f t="shared" si="860"/>
        <v/>
      </c>
    </row>
    <row r="1976" spans="2:24" x14ac:dyDescent="0.25">
      <c r="B1976" s="11" t="str">
        <f t="shared" si="854"/>
        <v>HLGO-28DEC1917</v>
      </c>
      <c r="C1976" s="11" t="s">
        <v>3084</v>
      </c>
      <c r="D1976" s="11" t="s">
        <v>117</v>
      </c>
      <c r="E1976" s="39" t="s">
        <v>3085</v>
      </c>
      <c r="F1976" s="11" t="s">
        <v>1700</v>
      </c>
      <c r="G1976" s="39" t="s">
        <v>3086</v>
      </c>
      <c r="H1976" s="7">
        <v>0</v>
      </c>
      <c r="I1976" s="7">
        <v>0</v>
      </c>
      <c r="J1976" s="17">
        <v>15</v>
      </c>
      <c r="K1976" s="17"/>
      <c r="L1976" s="7">
        <f t="shared" si="855"/>
        <v>15</v>
      </c>
      <c r="M1976" s="8">
        <v>1</v>
      </c>
      <c r="N1976" s="8">
        <f t="shared" si="856"/>
        <v>1</v>
      </c>
      <c r="O1976" s="11" t="s">
        <v>1702</v>
      </c>
      <c r="P1976" s="16" t="str">
        <f t="shared" si="857"/>
        <v>28-Dec-1917</v>
      </c>
      <c r="R1976" s="16" t="str">
        <f t="shared" si="859"/>
        <v>x</v>
      </c>
      <c r="S1976" s="16" t="str">
        <f t="shared" si="859"/>
        <v>x</v>
      </c>
      <c r="U1976" s="46" t="str">
        <f t="shared" si="860"/>
        <v/>
      </c>
      <c r="V1976" s="46">
        <f t="shared" si="860"/>
        <v>15</v>
      </c>
      <c r="W1976" s="46" t="str">
        <f t="shared" si="860"/>
        <v/>
      </c>
      <c r="X1976" s="46" t="str">
        <f t="shared" si="860"/>
        <v/>
      </c>
    </row>
    <row r="1977" spans="2:24" x14ac:dyDescent="0.25">
      <c r="B1977" s="11" t="str">
        <f t="shared" si="854"/>
        <v>HLGO-07MAR1918</v>
      </c>
      <c r="C1977" s="11" t="s">
        <v>3084</v>
      </c>
      <c r="D1977" s="11" t="s">
        <v>117</v>
      </c>
      <c r="E1977" s="39" t="s">
        <v>4780</v>
      </c>
      <c r="F1977" s="11" t="s">
        <v>1700</v>
      </c>
      <c r="G1977" s="39" t="s">
        <v>4781</v>
      </c>
      <c r="H1977" s="7">
        <v>0</v>
      </c>
      <c r="I1977" s="7">
        <v>0</v>
      </c>
      <c r="J1977" s="17">
        <v>1</v>
      </c>
      <c r="K1977" s="17"/>
      <c r="L1977" s="7">
        <f t="shared" si="855"/>
        <v>1</v>
      </c>
      <c r="M1977" s="8">
        <v>1</v>
      </c>
      <c r="N1977" s="8">
        <f t="shared" si="856"/>
        <v>1</v>
      </c>
      <c r="O1977" s="11" t="s">
        <v>1702</v>
      </c>
      <c r="P1977" s="16" t="str">
        <f t="shared" si="857"/>
        <v>07-Mar-1918</v>
      </c>
      <c r="U1977" s="46" t="str">
        <f t="shared" ref="U1977:X1979" si="861">IF($O1977=U$5,$L1977,"")</f>
        <v/>
      </c>
      <c r="V1977" s="46">
        <f t="shared" si="861"/>
        <v>1</v>
      </c>
      <c r="W1977" s="46" t="str">
        <f t="shared" si="861"/>
        <v/>
      </c>
      <c r="X1977" s="46" t="str">
        <f t="shared" si="861"/>
        <v/>
      </c>
    </row>
    <row r="1978" spans="2:24" x14ac:dyDescent="0.25">
      <c r="N1978" s="8" t="str">
        <f>IF(R1978="x",1,"")</f>
        <v/>
      </c>
      <c r="U1978" s="46" t="str">
        <f t="shared" si="861"/>
        <v/>
      </c>
      <c r="V1978" s="46" t="str">
        <f t="shared" si="861"/>
        <v/>
      </c>
      <c r="W1978" s="46" t="str">
        <f t="shared" si="861"/>
        <v/>
      </c>
      <c r="X1978" s="46" t="str">
        <f t="shared" si="861"/>
        <v/>
      </c>
    </row>
    <row r="1979" spans="2:24" x14ac:dyDescent="0.25">
      <c r="B1979" s="18"/>
      <c r="C1979" s="18"/>
      <c r="D1979" s="18"/>
      <c r="E1979" s="40"/>
      <c r="F1979" s="18"/>
      <c r="G1979" s="40"/>
      <c r="H1979" s="7">
        <f t="shared" ref="H1979:N1979" si="862">SUM(H1969:H1978)</f>
        <v>0</v>
      </c>
      <c r="I1979" s="7">
        <f t="shared" si="862"/>
        <v>15</v>
      </c>
      <c r="J1979" s="7">
        <f>SUM(J1969:J1978)</f>
        <v>122</v>
      </c>
      <c r="K1979" s="7">
        <f t="shared" si="862"/>
        <v>0</v>
      </c>
      <c r="L1979" s="7">
        <f t="shared" si="862"/>
        <v>137</v>
      </c>
      <c r="M1979" s="7">
        <f t="shared" si="862"/>
        <v>9</v>
      </c>
      <c r="N1979" s="7">
        <f t="shared" si="862"/>
        <v>9</v>
      </c>
      <c r="O1979" s="18"/>
      <c r="P1979" s="13"/>
      <c r="Q1979" s="13"/>
      <c r="S1979" s="13"/>
      <c r="T1979" s="15"/>
      <c r="U1979" s="46" t="str">
        <f t="shared" si="861"/>
        <v/>
      </c>
      <c r="V1979" s="46" t="str">
        <f t="shared" si="861"/>
        <v/>
      </c>
      <c r="W1979" s="46" t="str">
        <f t="shared" si="861"/>
        <v/>
      </c>
      <c r="X1979" s="46" t="str">
        <f t="shared" si="861"/>
        <v/>
      </c>
    </row>
    <row r="1980" spans="2:24" x14ac:dyDescent="0.25">
      <c r="B1980" s="18"/>
      <c r="C1980" s="18"/>
      <c r="D1980" s="18"/>
      <c r="E1980" s="40"/>
      <c r="F1980" s="18"/>
      <c r="G1980" s="40"/>
      <c r="N1980" s="8" t="str">
        <f>IF(R1980="x",1,"")</f>
        <v/>
      </c>
      <c r="O1980" s="18"/>
      <c r="P1980" s="13"/>
      <c r="Q1980" s="13"/>
      <c r="R1980" s="13"/>
      <c r="S1980" s="13"/>
      <c r="T1980" s="15"/>
      <c r="U1980" s="46" t="str">
        <f t="shared" ref="U1980:X1984" si="863">IF($O1980=U$5,$L1980,"")</f>
        <v/>
      </c>
      <c r="V1980" s="46" t="str">
        <f t="shared" si="863"/>
        <v/>
      </c>
      <c r="W1980" s="46" t="str">
        <f t="shared" si="863"/>
        <v/>
      </c>
      <c r="X1980" s="46" t="str">
        <f t="shared" si="863"/>
        <v/>
      </c>
    </row>
    <row r="1981" spans="2:24" x14ac:dyDescent="0.25">
      <c r="B1981" s="18"/>
      <c r="C1981" s="18"/>
      <c r="D1981" s="18"/>
      <c r="E1981" s="40"/>
      <c r="F1981" s="18"/>
      <c r="G1981" s="40"/>
      <c r="N1981" s="8" t="str">
        <f>IF(R1981="x",1,"")</f>
        <v/>
      </c>
      <c r="O1981" s="18"/>
      <c r="P1981" s="13"/>
      <c r="Q1981" s="13"/>
      <c r="R1981" s="13"/>
      <c r="S1981" s="13"/>
      <c r="T1981" s="15"/>
      <c r="U1981" s="46" t="str">
        <f t="shared" si="863"/>
        <v/>
      </c>
      <c r="V1981" s="46" t="str">
        <f t="shared" si="863"/>
        <v/>
      </c>
      <c r="W1981" s="46" t="str">
        <f t="shared" si="863"/>
        <v/>
      </c>
      <c r="X1981" s="46" t="str">
        <f t="shared" si="863"/>
        <v/>
      </c>
    </row>
    <row r="1982" spans="2:24" x14ac:dyDescent="0.25">
      <c r="B1982" s="11" t="str">
        <f>CONCATENATE("HELV","-",LEFT(P1982,2),UPPER(MID(P1982,4,3)),RIGHT(P1982,4))</f>
        <v>HELV-26JUN1882</v>
      </c>
      <c r="C1982" s="11" t="s">
        <v>6219</v>
      </c>
      <c r="D1982" s="11" t="s">
        <v>2097</v>
      </c>
      <c r="F1982" s="11" t="s">
        <v>1700</v>
      </c>
      <c r="G1982" s="39" t="s">
        <v>6220</v>
      </c>
      <c r="H1982" s="7">
        <v>4</v>
      </c>
      <c r="J1982" s="17">
        <v>0</v>
      </c>
      <c r="K1982" s="17"/>
      <c r="L1982" s="7">
        <f>SUM(H1982:K1982)</f>
        <v>4</v>
      </c>
      <c r="M1982" s="8">
        <v>1</v>
      </c>
      <c r="N1982" s="8">
        <f>IF(L1982&gt;0,1,"")</f>
        <v>1</v>
      </c>
      <c r="O1982" s="11" t="s">
        <v>1702</v>
      </c>
      <c r="P1982" s="16" t="str">
        <f>IF(LEN(G1982)=10,CONCATENATE("0",G1982),G1982)</f>
        <v>26-Jun-1882</v>
      </c>
      <c r="R1982" s="16" t="str">
        <f>IF($L1982&gt;0,"x","")</f>
        <v>x</v>
      </c>
      <c r="S1982" s="16" t="str">
        <f>IF($L1982&gt;0,"x","")</f>
        <v>x</v>
      </c>
      <c r="U1982" s="46" t="str">
        <f t="shared" si="863"/>
        <v/>
      </c>
      <c r="V1982" s="46">
        <f t="shared" si="863"/>
        <v>4</v>
      </c>
      <c r="W1982" s="46" t="str">
        <f t="shared" si="863"/>
        <v/>
      </c>
      <c r="X1982" s="46" t="str">
        <f t="shared" si="863"/>
        <v/>
      </c>
    </row>
    <row r="1983" spans="2:24" x14ac:dyDescent="0.25">
      <c r="N1983" s="8" t="str">
        <f>IF(R1983="x",1,"")</f>
        <v/>
      </c>
      <c r="U1983" s="46" t="str">
        <f t="shared" si="863"/>
        <v/>
      </c>
      <c r="V1983" s="46" t="str">
        <f t="shared" si="863"/>
        <v/>
      </c>
      <c r="W1983" s="46" t="str">
        <f t="shared" si="863"/>
        <v/>
      </c>
      <c r="X1983" s="46" t="str">
        <f t="shared" si="863"/>
        <v/>
      </c>
    </row>
    <row r="1984" spans="2:24" x14ac:dyDescent="0.25">
      <c r="B1984" s="18"/>
      <c r="C1984" s="18"/>
      <c r="D1984" s="18"/>
      <c r="E1984" s="40"/>
      <c r="F1984" s="18"/>
      <c r="G1984" s="40"/>
      <c r="H1984" s="7">
        <f t="shared" ref="H1984:N1984" si="864">SUM(H1982:H1983)</f>
        <v>4</v>
      </c>
      <c r="I1984" s="7">
        <f t="shared" si="864"/>
        <v>0</v>
      </c>
      <c r="J1984" s="7">
        <f>SUM(J1982:J1983)</f>
        <v>0</v>
      </c>
      <c r="K1984" s="7">
        <f t="shared" si="864"/>
        <v>0</v>
      </c>
      <c r="L1984" s="7">
        <f t="shared" si="864"/>
        <v>4</v>
      </c>
      <c r="M1984" s="7">
        <f t="shared" si="864"/>
        <v>1</v>
      </c>
      <c r="N1984" s="7">
        <f t="shared" si="864"/>
        <v>1</v>
      </c>
      <c r="O1984" s="18"/>
      <c r="P1984" s="13"/>
      <c r="Q1984" s="13"/>
      <c r="S1984" s="13"/>
      <c r="T1984" s="15"/>
      <c r="U1984" s="46" t="str">
        <f t="shared" si="863"/>
        <v/>
      </c>
      <c r="V1984" s="46" t="str">
        <f t="shared" si="863"/>
        <v/>
      </c>
      <c r="W1984" s="46" t="str">
        <f t="shared" si="863"/>
        <v/>
      </c>
      <c r="X1984" s="46" t="str">
        <f t="shared" si="863"/>
        <v/>
      </c>
    </row>
    <row r="1985" spans="2:24" x14ac:dyDescent="0.25">
      <c r="B1985" s="18"/>
      <c r="C1985" s="18"/>
      <c r="D1985" s="18"/>
      <c r="E1985" s="40"/>
      <c r="F1985" s="18"/>
      <c r="G1985" s="40"/>
      <c r="N1985" s="8" t="str">
        <f>IF(R1985="x",1,"")</f>
        <v/>
      </c>
      <c r="O1985" s="18"/>
      <c r="P1985" s="13"/>
      <c r="Q1985" s="13"/>
      <c r="R1985" s="13"/>
      <c r="S1985" s="13"/>
      <c r="T1985" s="15"/>
      <c r="U1985" s="46" t="str">
        <f t="shared" ref="U1985:X1994" si="865">IF($O1985=U$5,$L1985,"")</f>
        <v/>
      </c>
      <c r="V1985" s="46" t="str">
        <f t="shared" si="865"/>
        <v/>
      </c>
      <c r="W1985" s="46" t="str">
        <f t="shared" si="865"/>
        <v/>
      </c>
      <c r="X1985" s="46" t="str">
        <f t="shared" si="865"/>
        <v/>
      </c>
    </row>
    <row r="1986" spans="2:24" x14ac:dyDescent="0.25">
      <c r="B1986" s="18"/>
      <c r="C1986" s="18"/>
      <c r="D1986" s="18"/>
      <c r="E1986" s="40"/>
      <c r="F1986" s="18"/>
      <c r="G1986" s="40"/>
      <c r="N1986" s="8" t="str">
        <f>IF(R1986="x",1,"")</f>
        <v/>
      </c>
      <c r="O1986" s="18"/>
      <c r="P1986" s="13"/>
      <c r="Q1986" s="13"/>
      <c r="R1986" s="13"/>
      <c r="S1986" s="13"/>
      <c r="T1986" s="15"/>
      <c r="U1986" s="46" t="str">
        <f t="shared" si="865"/>
        <v/>
      </c>
      <c r="V1986" s="46" t="str">
        <f t="shared" si="865"/>
        <v/>
      </c>
      <c r="W1986" s="46" t="str">
        <f t="shared" si="865"/>
        <v/>
      </c>
      <c r="X1986" s="46" t="str">
        <f t="shared" si="865"/>
        <v/>
      </c>
    </row>
    <row r="1987" spans="2:24" x14ac:dyDescent="0.25">
      <c r="B1987" s="11" t="str">
        <f>CONCATENATE("HMAL","-",LEFT(P1987,2),UPPER(MID(P1987,4,3)),RIGHT(P1987,4))</f>
        <v>HMAL-09MAY1920</v>
      </c>
      <c r="C1987" s="11" t="s">
        <v>4140</v>
      </c>
      <c r="D1987" s="11" t="s">
        <v>3007</v>
      </c>
      <c r="E1987" s="39" t="s">
        <v>4141</v>
      </c>
      <c r="F1987" s="11" t="s">
        <v>1700</v>
      </c>
      <c r="G1987" s="39" t="s">
        <v>4142</v>
      </c>
      <c r="H1987" s="7">
        <f>3+4</f>
        <v>7</v>
      </c>
      <c r="J1987" s="17">
        <v>34</v>
      </c>
      <c r="K1987" s="17"/>
      <c r="L1987" s="7">
        <f>SUM(H1987:K1987)</f>
        <v>41</v>
      </c>
      <c r="M1987" s="8">
        <v>1</v>
      </c>
      <c r="N1987" s="8">
        <f>IF(L1987&gt;0,1,"")</f>
        <v>1</v>
      </c>
      <c r="O1987" s="11" t="s">
        <v>1702</v>
      </c>
      <c r="P1987" s="16" t="str">
        <f>IF(LEN(G1987)=10,CONCATENATE("0",G1987),G1987)</f>
        <v>09-May-1920</v>
      </c>
      <c r="R1987" s="16" t="str">
        <f>IF($L1987&gt;0,"x","")</f>
        <v>x</v>
      </c>
      <c r="S1987" s="16" t="str">
        <f>IF($L1987&gt;0,"x","")</f>
        <v>x</v>
      </c>
      <c r="U1987" s="46" t="str">
        <f t="shared" si="865"/>
        <v/>
      </c>
      <c r="V1987" s="46">
        <f t="shared" si="865"/>
        <v>41</v>
      </c>
      <c r="W1987" s="46" t="str">
        <f t="shared" si="865"/>
        <v/>
      </c>
      <c r="X1987" s="46" t="str">
        <f t="shared" si="865"/>
        <v/>
      </c>
    </row>
    <row r="1988" spans="2:24" x14ac:dyDescent="0.25">
      <c r="N1988" s="8" t="str">
        <f>IF(R1988="x",1,"")</f>
        <v/>
      </c>
      <c r="U1988" s="46" t="str">
        <f t="shared" si="865"/>
        <v/>
      </c>
      <c r="V1988" s="46" t="str">
        <f t="shared" si="865"/>
        <v/>
      </c>
      <c r="W1988" s="46" t="str">
        <f t="shared" si="865"/>
        <v/>
      </c>
      <c r="X1988" s="46" t="str">
        <f t="shared" si="865"/>
        <v/>
      </c>
    </row>
    <row r="1989" spans="2:24" x14ac:dyDescent="0.25">
      <c r="B1989" s="18"/>
      <c r="C1989" s="18"/>
      <c r="D1989" s="18"/>
      <c r="E1989" s="40"/>
      <c r="F1989" s="18"/>
      <c r="G1989" s="40"/>
      <c r="H1989" s="7">
        <f t="shared" ref="H1989:N1989" si="866">SUM(H1987:H1988)</f>
        <v>7</v>
      </c>
      <c r="I1989" s="7">
        <f t="shared" si="866"/>
        <v>0</v>
      </c>
      <c r="J1989" s="7">
        <f>SUM(J1987:J1988)</f>
        <v>34</v>
      </c>
      <c r="K1989" s="7">
        <f t="shared" si="866"/>
        <v>0</v>
      </c>
      <c r="L1989" s="7">
        <f t="shared" si="866"/>
        <v>41</v>
      </c>
      <c r="M1989" s="7">
        <f t="shared" si="866"/>
        <v>1</v>
      </c>
      <c r="N1989" s="7">
        <f t="shared" si="866"/>
        <v>1</v>
      </c>
      <c r="O1989" s="18"/>
      <c r="P1989" s="13"/>
      <c r="Q1989" s="13"/>
      <c r="S1989" s="13"/>
      <c r="T1989" s="15"/>
      <c r="U1989" s="46" t="str">
        <f t="shared" si="865"/>
        <v/>
      </c>
      <c r="V1989" s="46" t="str">
        <f t="shared" si="865"/>
        <v/>
      </c>
      <c r="W1989" s="46" t="str">
        <f t="shared" si="865"/>
        <v/>
      </c>
      <c r="X1989" s="46" t="str">
        <f t="shared" si="865"/>
        <v/>
      </c>
    </row>
    <row r="1990" spans="2:24" x14ac:dyDescent="0.25">
      <c r="B1990" s="18"/>
      <c r="C1990" s="18"/>
      <c r="D1990" s="18"/>
      <c r="E1990" s="40"/>
      <c r="F1990" s="18"/>
      <c r="G1990" s="40"/>
      <c r="N1990" s="8" t="str">
        <f>IF(R1990="x",1,"")</f>
        <v/>
      </c>
      <c r="O1990" s="18"/>
      <c r="P1990" s="13"/>
      <c r="Q1990" s="13"/>
      <c r="R1990" s="13"/>
      <c r="S1990" s="13"/>
      <c r="T1990" s="15"/>
      <c r="U1990" s="46" t="str">
        <f t="shared" si="865"/>
        <v/>
      </c>
      <c r="V1990" s="46" t="str">
        <f t="shared" si="865"/>
        <v/>
      </c>
      <c r="W1990" s="46" t="str">
        <f t="shared" si="865"/>
        <v/>
      </c>
      <c r="X1990" s="46" t="str">
        <f t="shared" si="865"/>
        <v/>
      </c>
    </row>
    <row r="1991" spans="2:24" x14ac:dyDescent="0.25">
      <c r="B1991" s="18"/>
      <c r="C1991" s="18"/>
      <c r="D1991" s="18"/>
      <c r="E1991" s="40"/>
      <c r="F1991" s="18"/>
      <c r="G1991" s="40"/>
      <c r="N1991" s="8" t="str">
        <f>IF(R1991="x",1,"")</f>
        <v/>
      </c>
      <c r="O1991" s="18"/>
      <c r="P1991" s="13"/>
      <c r="Q1991" s="13"/>
      <c r="R1991" s="13"/>
      <c r="S1991" s="13"/>
      <c r="T1991" s="15"/>
      <c r="U1991" s="46" t="str">
        <f t="shared" si="865"/>
        <v/>
      </c>
      <c r="V1991" s="46" t="str">
        <f t="shared" si="865"/>
        <v/>
      </c>
      <c r="W1991" s="46" t="str">
        <f t="shared" si="865"/>
        <v/>
      </c>
      <c r="X1991" s="46" t="str">
        <f t="shared" si="865"/>
        <v/>
      </c>
    </row>
    <row r="1992" spans="2:24" x14ac:dyDescent="0.25">
      <c r="B1992" s="11" t="str">
        <f>CONCATENATE("HRDA","-",LEFT(P1992,2),UPPER(MID(P1992,4,3)),RIGHT(P1992,4))</f>
        <v>HRDA-07SEP1925</v>
      </c>
      <c r="C1992" s="11" t="s">
        <v>11488</v>
      </c>
      <c r="D1992" s="11" t="s">
        <v>3122</v>
      </c>
      <c r="E1992" s="39" t="s">
        <v>11489</v>
      </c>
      <c r="F1992" s="11" t="s">
        <v>3075</v>
      </c>
      <c r="G1992" s="39" t="s">
        <v>11490</v>
      </c>
      <c r="H1992" s="7">
        <v>1</v>
      </c>
      <c r="J1992" s="17"/>
      <c r="K1992" s="17"/>
      <c r="L1992" s="7">
        <f>SUM(H1992:K1992)</f>
        <v>1</v>
      </c>
      <c r="M1992" s="8">
        <v>1</v>
      </c>
      <c r="N1992" s="8">
        <f>IF(L1992&gt;0,1,"")</f>
        <v>1</v>
      </c>
      <c r="O1992" s="11" t="s">
        <v>1702</v>
      </c>
      <c r="P1992" s="16" t="str">
        <f>IF(LEN(G1992)=10,CONCATENATE("0",G1992),G1992)</f>
        <v>07-Sep-1925</v>
      </c>
      <c r="R1992" s="16" t="str">
        <f>IF($L1992&gt;0,"x","")</f>
        <v>x</v>
      </c>
      <c r="S1992" s="80"/>
      <c r="U1992" s="46" t="str">
        <f t="shared" si="865"/>
        <v/>
      </c>
      <c r="V1992" s="46">
        <f t="shared" si="865"/>
        <v>1</v>
      </c>
      <c r="W1992" s="46" t="str">
        <f t="shared" si="865"/>
        <v/>
      </c>
      <c r="X1992" s="46" t="str">
        <f t="shared" si="865"/>
        <v/>
      </c>
    </row>
    <row r="1993" spans="2:24" x14ac:dyDescent="0.25">
      <c r="N1993" s="8" t="str">
        <f>IF(R1993="x",1,"")</f>
        <v/>
      </c>
      <c r="U1993" s="46" t="str">
        <f t="shared" si="865"/>
        <v/>
      </c>
      <c r="V1993" s="46" t="str">
        <f t="shared" si="865"/>
        <v/>
      </c>
      <c r="W1993" s="46" t="str">
        <f t="shared" si="865"/>
        <v/>
      </c>
      <c r="X1993" s="46" t="str">
        <f t="shared" si="865"/>
        <v/>
      </c>
    </row>
    <row r="1994" spans="2:24" x14ac:dyDescent="0.25">
      <c r="B1994" s="18"/>
      <c r="C1994" s="18"/>
      <c r="D1994" s="18"/>
      <c r="E1994" s="40"/>
      <c r="F1994" s="18"/>
      <c r="G1994" s="40"/>
      <c r="H1994" s="7">
        <f t="shared" ref="H1994:N1994" si="867">SUM(H1992:H1993)</f>
        <v>1</v>
      </c>
      <c r="I1994" s="7">
        <f t="shared" si="867"/>
        <v>0</v>
      </c>
      <c r="J1994" s="7">
        <f t="shared" si="867"/>
        <v>0</v>
      </c>
      <c r="K1994" s="7">
        <f t="shared" si="867"/>
        <v>0</v>
      </c>
      <c r="L1994" s="7">
        <f t="shared" si="867"/>
        <v>1</v>
      </c>
      <c r="M1994" s="7">
        <f t="shared" si="867"/>
        <v>1</v>
      </c>
      <c r="N1994" s="7">
        <f t="shared" si="867"/>
        <v>1</v>
      </c>
      <c r="O1994" s="18"/>
      <c r="P1994" s="13"/>
      <c r="Q1994" s="13"/>
      <c r="S1994" s="13"/>
      <c r="T1994" s="15"/>
      <c r="U1994" s="46" t="str">
        <f t="shared" si="865"/>
        <v/>
      </c>
      <c r="V1994" s="46" t="str">
        <f t="shared" si="865"/>
        <v/>
      </c>
      <c r="W1994" s="46" t="str">
        <f t="shared" si="865"/>
        <v/>
      </c>
      <c r="X1994" s="46" t="str">
        <f t="shared" si="865"/>
        <v/>
      </c>
    </row>
    <row r="1995" spans="2:24" x14ac:dyDescent="0.25">
      <c r="B1995" s="18"/>
      <c r="C1995" s="18"/>
      <c r="D1995" s="18"/>
      <c r="E1995" s="40"/>
      <c r="F1995" s="18"/>
      <c r="G1995" s="40"/>
      <c r="N1995" s="8" t="str">
        <f>IF(R1995="x",1,"")</f>
        <v/>
      </c>
      <c r="O1995" s="18"/>
      <c r="P1995" s="13"/>
      <c r="Q1995" s="13"/>
      <c r="R1995" s="13"/>
      <c r="S1995" s="13"/>
      <c r="T1995" s="15"/>
      <c r="U1995" s="46" t="str">
        <f t="shared" ref="U1995:X1999" si="868">IF($O1995=U$5,$L1995,"")</f>
        <v/>
      </c>
      <c r="V1995" s="46" t="str">
        <f t="shared" si="868"/>
        <v/>
      </c>
      <c r="W1995" s="46" t="str">
        <f t="shared" si="868"/>
        <v/>
      </c>
      <c r="X1995" s="46" t="str">
        <f t="shared" si="868"/>
        <v/>
      </c>
    </row>
    <row r="1996" spans="2:24" x14ac:dyDescent="0.25">
      <c r="B1996" s="18"/>
      <c r="C1996" s="18"/>
      <c r="D1996" s="18"/>
      <c r="E1996" s="40"/>
      <c r="F1996" s="18"/>
      <c r="G1996" s="40"/>
      <c r="N1996" s="8" t="str">
        <f>IF(R1996="x",1,"")</f>
        <v/>
      </c>
      <c r="O1996" s="18"/>
      <c r="P1996" s="13"/>
      <c r="Q1996" s="13"/>
      <c r="R1996" s="13"/>
      <c r="S1996" s="13"/>
      <c r="T1996" s="15"/>
      <c r="U1996" s="46" t="str">
        <f t="shared" si="868"/>
        <v/>
      </c>
      <c r="V1996" s="46" t="str">
        <f t="shared" si="868"/>
        <v/>
      </c>
      <c r="W1996" s="46" t="str">
        <f t="shared" si="868"/>
        <v/>
      </c>
      <c r="X1996" s="46" t="str">
        <f t="shared" si="868"/>
        <v/>
      </c>
    </row>
    <row r="1997" spans="2:24" x14ac:dyDescent="0.25">
      <c r="B1997" s="11" t="str">
        <f>CONCATENATE("HISP","-",LEFT(P1997,2),UPPER(MID(P1997,4,3)),RIGHT(P1997,4))</f>
        <v>HISP-20JUN1896</v>
      </c>
      <c r="C1997" s="11" t="s">
        <v>5262</v>
      </c>
      <c r="D1997" s="11" t="s">
        <v>1699</v>
      </c>
      <c r="F1997" s="11" t="s">
        <v>1700</v>
      </c>
      <c r="G1997" s="39" t="s">
        <v>5263</v>
      </c>
      <c r="J1997" s="17">
        <v>23</v>
      </c>
      <c r="K1997" s="17"/>
      <c r="L1997" s="7">
        <f>SUM(H1997:K1997)</f>
        <v>23</v>
      </c>
      <c r="M1997" s="8">
        <v>1</v>
      </c>
      <c r="N1997" s="8">
        <f>IF(L1997&gt;0,1,"")</f>
        <v>1</v>
      </c>
      <c r="O1997" s="11" t="s">
        <v>1702</v>
      </c>
      <c r="P1997" s="16" t="str">
        <f>IF(LEN(G1997)=10,CONCATENATE("0",G1997),G1997)</f>
        <v>20-Jun-1896</v>
      </c>
      <c r="R1997" s="16" t="str">
        <f>IF($L1997&gt;0,"x","")</f>
        <v>x</v>
      </c>
      <c r="S1997" s="16" t="str">
        <f>IF($L1997&gt;0,"x","")</f>
        <v>x</v>
      </c>
      <c r="U1997" s="46" t="str">
        <f t="shared" si="868"/>
        <v/>
      </c>
      <c r="V1997" s="46">
        <f t="shared" si="868"/>
        <v>23</v>
      </c>
      <c r="W1997" s="46" t="str">
        <f t="shared" si="868"/>
        <v/>
      </c>
      <c r="X1997" s="46" t="str">
        <f t="shared" si="868"/>
        <v/>
      </c>
    </row>
    <row r="1998" spans="2:24" x14ac:dyDescent="0.25">
      <c r="N1998" s="8" t="str">
        <f>IF(R1998="x",1,"")</f>
        <v/>
      </c>
      <c r="U1998" s="46" t="str">
        <f t="shared" si="868"/>
        <v/>
      </c>
      <c r="V1998" s="46" t="str">
        <f t="shared" si="868"/>
        <v/>
      </c>
      <c r="W1998" s="46" t="str">
        <f t="shared" si="868"/>
        <v/>
      </c>
      <c r="X1998" s="46" t="str">
        <f t="shared" si="868"/>
        <v/>
      </c>
    </row>
    <row r="1999" spans="2:24" x14ac:dyDescent="0.25">
      <c r="B1999" s="18"/>
      <c r="C1999" s="18"/>
      <c r="D1999" s="18"/>
      <c r="E1999" s="40"/>
      <c r="F1999" s="18"/>
      <c r="G1999" s="40"/>
      <c r="H1999" s="7">
        <f t="shared" ref="H1999:N1999" si="869">SUM(H1997:H1998)</f>
        <v>0</v>
      </c>
      <c r="I1999" s="7">
        <f t="shared" si="869"/>
        <v>0</v>
      </c>
      <c r="J1999" s="7">
        <f>SUM(J1997:J1998)</f>
        <v>23</v>
      </c>
      <c r="K1999" s="7">
        <f t="shared" si="869"/>
        <v>0</v>
      </c>
      <c r="L1999" s="7">
        <f t="shared" si="869"/>
        <v>23</v>
      </c>
      <c r="M1999" s="7">
        <f t="shared" si="869"/>
        <v>1</v>
      </c>
      <c r="N1999" s="7">
        <f t="shared" si="869"/>
        <v>1</v>
      </c>
      <c r="O1999" s="18"/>
      <c r="P1999" s="13"/>
      <c r="Q1999" s="13"/>
      <c r="S1999" s="13"/>
      <c r="T1999" s="15"/>
      <c r="U1999" s="46" t="str">
        <f t="shared" si="868"/>
        <v/>
      </c>
      <c r="V1999" s="46" t="str">
        <f t="shared" si="868"/>
        <v/>
      </c>
      <c r="W1999" s="46" t="str">
        <f t="shared" si="868"/>
        <v/>
      </c>
      <c r="X1999" s="46" t="str">
        <f t="shared" si="868"/>
        <v/>
      </c>
    </row>
    <row r="2000" spans="2:24" x14ac:dyDescent="0.25">
      <c r="B2000" s="18"/>
      <c r="C2000" s="18"/>
      <c r="D2000" s="18"/>
      <c r="E2000" s="40"/>
      <c r="F2000" s="18"/>
      <c r="G2000" s="40"/>
      <c r="N2000" s="8" t="str">
        <f>IF(R2000="x",1,"")</f>
        <v/>
      </c>
      <c r="O2000" s="18"/>
      <c r="P2000" s="13"/>
      <c r="Q2000" s="13"/>
      <c r="R2000" s="13"/>
      <c r="S2000" s="13"/>
      <c r="T2000" s="15"/>
      <c r="U2000" s="46" t="str">
        <f t="shared" ref="U2000:X2015" si="870">IF($O2000=U$5,$L2000,"")</f>
        <v/>
      </c>
      <c r="V2000" s="46" t="str">
        <f t="shared" si="870"/>
        <v/>
      </c>
      <c r="W2000" s="46" t="str">
        <f t="shared" si="870"/>
        <v/>
      </c>
      <c r="X2000" s="46" t="str">
        <f t="shared" si="870"/>
        <v/>
      </c>
    </row>
    <row r="2001" spans="2:24" x14ac:dyDescent="0.25">
      <c r="B2001" s="18"/>
      <c r="C2001" s="18"/>
      <c r="D2001" s="18"/>
      <c r="E2001" s="40"/>
      <c r="F2001" s="18"/>
      <c r="G2001" s="40"/>
      <c r="N2001" s="8" t="str">
        <f>IF(R2001="x",1,"")</f>
        <v/>
      </c>
      <c r="O2001" s="18"/>
      <c r="P2001" s="13"/>
      <c r="Q2001" s="13"/>
      <c r="R2001" s="13"/>
      <c r="S2001" s="13"/>
      <c r="T2001" s="15"/>
      <c r="U2001" s="46" t="str">
        <f t="shared" si="870"/>
        <v/>
      </c>
      <c r="V2001" s="46" t="str">
        <f t="shared" si="870"/>
        <v/>
      </c>
      <c r="W2001" s="46" t="str">
        <f t="shared" si="870"/>
        <v/>
      </c>
      <c r="X2001" s="46" t="str">
        <f t="shared" si="870"/>
        <v/>
      </c>
    </row>
    <row r="2002" spans="2:24" x14ac:dyDescent="0.25">
      <c r="B2002" s="11" t="str">
        <f t="shared" ref="B2002:B2010" si="871">CONCATENATE("HOMR","-",LEFT(P2002,2),UPPER(MID(P2002,4,3)),RIGHT(P2002,4))</f>
        <v>HOMR-20JUL1922</v>
      </c>
      <c r="C2002" s="11" t="s">
        <v>3802</v>
      </c>
      <c r="D2002" s="11" t="s">
        <v>2224</v>
      </c>
      <c r="E2002" s="39" t="s">
        <v>4267</v>
      </c>
      <c r="F2002" s="11" t="s">
        <v>1700</v>
      </c>
      <c r="G2002" s="39" t="s">
        <v>4268</v>
      </c>
      <c r="H2002" s="7">
        <v>0</v>
      </c>
      <c r="I2002" s="7">
        <v>4</v>
      </c>
      <c r="J2002" s="17">
        <f>0+2</f>
        <v>2</v>
      </c>
      <c r="K2002" s="17"/>
      <c r="L2002" s="7">
        <f t="shared" ref="L2002:L2010" si="872">SUM(H2002:K2002)</f>
        <v>6</v>
      </c>
      <c r="M2002" s="8">
        <v>1</v>
      </c>
      <c r="N2002" s="8">
        <f t="shared" ref="N2002:N2010" si="873">IF(L2002&gt;0,1,"")</f>
        <v>1</v>
      </c>
      <c r="O2002" s="11" t="s">
        <v>1702</v>
      </c>
      <c r="P2002" s="16" t="str">
        <f t="shared" ref="P2002:P2010" si="874">IF(LEN(G2002)=10,CONCATENATE("0",G2002),G2002)</f>
        <v>20-Jul-1922</v>
      </c>
      <c r="R2002" s="16" t="str">
        <f t="shared" ref="R2002:S2005" si="875">IF($L2002&gt;0,"x","")</f>
        <v>x</v>
      </c>
      <c r="S2002" s="16" t="str">
        <f t="shared" si="875"/>
        <v>x</v>
      </c>
      <c r="U2002" s="46" t="str">
        <f t="shared" si="870"/>
        <v/>
      </c>
      <c r="V2002" s="46">
        <f t="shared" si="870"/>
        <v>6</v>
      </c>
      <c r="W2002" s="46" t="str">
        <f t="shared" si="870"/>
        <v/>
      </c>
      <c r="X2002" s="46" t="str">
        <f t="shared" si="870"/>
        <v/>
      </c>
    </row>
    <row r="2003" spans="2:24" x14ac:dyDescent="0.25">
      <c r="B2003" s="11" t="str">
        <f>CONCATENATE("HOMR","-",LEFT(P2003,2),UPPER(MID(P2003,4,3)),RIGHT(P2003,4))</f>
        <v>HOMR-16AUG1922</v>
      </c>
      <c r="C2003" s="11" t="s">
        <v>3802</v>
      </c>
      <c r="D2003" s="11" t="s">
        <v>2224</v>
      </c>
      <c r="E2003" s="39" t="s">
        <v>3271</v>
      </c>
      <c r="F2003" s="11" t="s">
        <v>1700</v>
      </c>
      <c r="G2003" s="39" t="s">
        <v>2837</v>
      </c>
      <c r="H2003" s="7">
        <v>0</v>
      </c>
      <c r="I2003" s="7">
        <v>0</v>
      </c>
      <c r="J2003" s="17">
        <v>7</v>
      </c>
      <c r="K2003" s="17"/>
      <c r="L2003" s="7">
        <f>SUM(H2003:K2003)</f>
        <v>7</v>
      </c>
      <c r="M2003" s="8">
        <v>1</v>
      </c>
      <c r="N2003" s="8">
        <f>IF(L2003&gt;0,1,"")</f>
        <v>1</v>
      </c>
      <c r="O2003" s="11" t="s">
        <v>1702</v>
      </c>
      <c r="P2003" s="16" t="str">
        <f>IF(LEN(G2003)=10,CONCATENATE("0",G2003),G2003)</f>
        <v>16-Aug-1922</v>
      </c>
      <c r="R2003" s="16" t="str">
        <f t="shared" si="875"/>
        <v>x</v>
      </c>
      <c r="S2003" s="16" t="str">
        <f t="shared" si="875"/>
        <v>x</v>
      </c>
      <c r="U2003" s="46" t="str">
        <f t="shared" si="870"/>
        <v/>
      </c>
      <c r="V2003" s="46">
        <f t="shared" si="870"/>
        <v>7</v>
      </c>
      <c r="W2003" s="46" t="str">
        <f t="shared" si="870"/>
        <v/>
      </c>
      <c r="X2003" s="46" t="str">
        <f t="shared" si="870"/>
        <v/>
      </c>
    </row>
    <row r="2004" spans="2:24" x14ac:dyDescent="0.25">
      <c r="B2004" s="11" t="str">
        <f t="shared" si="871"/>
        <v>HOMR-12APR1923</v>
      </c>
      <c r="C2004" s="11" t="s">
        <v>3802</v>
      </c>
      <c r="D2004" s="11" t="s">
        <v>2224</v>
      </c>
      <c r="E2004" s="39" t="s">
        <v>4309</v>
      </c>
      <c r="F2004" s="11" t="s">
        <v>1700</v>
      </c>
      <c r="G2004" s="39" t="s">
        <v>4310</v>
      </c>
      <c r="H2004" s="7">
        <v>0</v>
      </c>
      <c r="I2004" s="7">
        <v>0</v>
      </c>
      <c r="J2004" s="17">
        <f>2+1</f>
        <v>3</v>
      </c>
      <c r="K2004" s="17"/>
      <c r="L2004" s="7">
        <f t="shared" si="872"/>
        <v>3</v>
      </c>
      <c r="M2004" s="8">
        <v>1</v>
      </c>
      <c r="N2004" s="8">
        <f t="shared" si="873"/>
        <v>1</v>
      </c>
      <c r="O2004" s="11" t="s">
        <v>1702</v>
      </c>
      <c r="P2004" s="16" t="str">
        <f t="shared" si="874"/>
        <v>12-Apr-1923</v>
      </c>
      <c r="R2004" s="16" t="str">
        <f t="shared" si="875"/>
        <v>x</v>
      </c>
      <c r="S2004" s="16" t="str">
        <f t="shared" si="875"/>
        <v>x</v>
      </c>
      <c r="U2004" s="46" t="str">
        <f t="shared" si="870"/>
        <v/>
      </c>
      <c r="V2004" s="46">
        <f t="shared" si="870"/>
        <v>3</v>
      </c>
      <c r="W2004" s="46" t="str">
        <f t="shared" si="870"/>
        <v/>
      </c>
      <c r="X2004" s="46" t="str">
        <f t="shared" si="870"/>
        <v/>
      </c>
    </row>
    <row r="2005" spans="2:24" x14ac:dyDescent="0.25">
      <c r="B2005" s="11" t="str">
        <f t="shared" si="871"/>
        <v>HOMR-12AUG1925</v>
      </c>
      <c r="C2005" s="11" t="s">
        <v>3802</v>
      </c>
      <c r="D2005" s="11" t="s">
        <v>2224</v>
      </c>
      <c r="E2005" s="39" t="s">
        <v>3725</v>
      </c>
      <c r="F2005" s="11" t="s">
        <v>1700</v>
      </c>
      <c r="G2005" s="39" t="s">
        <v>4475</v>
      </c>
      <c r="H2005" s="7">
        <v>1</v>
      </c>
      <c r="I2005" s="7">
        <f>2+2</f>
        <v>4</v>
      </c>
      <c r="J2005" s="17">
        <f>0+1</f>
        <v>1</v>
      </c>
      <c r="K2005" s="17"/>
      <c r="L2005" s="7">
        <f t="shared" si="872"/>
        <v>6</v>
      </c>
      <c r="M2005" s="8">
        <v>1</v>
      </c>
      <c r="N2005" s="8">
        <f t="shared" si="873"/>
        <v>1</v>
      </c>
      <c r="O2005" s="11" t="s">
        <v>1702</v>
      </c>
      <c r="P2005" s="16" t="str">
        <f t="shared" si="874"/>
        <v>12-Aug-1925</v>
      </c>
      <c r="R2005" s="16" t="str">
        <f t="shared" si="875"/>
        <v>x</v>
      </c>
      <c r="S2005" s="16" t="str">
        <f t="shared" si="875"/>
        <v>x</v>
      </c>
      <c r="U2005" s="46" t="str">
        <f t="shared" si="870"/>
        <v/>
      </c>
      <c r="V2005" s="46">
        <f t="shared" si="870"/>
        <v>6</v>
      </c>
      <c r="W2005" s="46" t="str">
        <f t="shared" si="870"/>
        <v/>
      </c>
      <c r="X2005" s="46" t="str">
        <f t="shared" si="870"/>
        <v/>
      </c>
    </row>
    <row r="2006" spans="2:24" x14ac:dyDescent="0.25">
      <c r="B2006" s="11" t="str">
        <f t="shared" si="871"/>
        <v>HOMR-23SEP1925</v>
      </c>
      <c r="C2006" s="11" t="s">
        <v>3802</v>
      </c>
      <c r="D2006" s="11" t="s">
        <v>2224</v>
      </c>
      <c r="E2006" s="39" t="s">
        <v>3805</v>
      </c>
      <c r="F2006" s="11" t="s">
        <v>1700</v>
      </c>
      <c r="G2006" s="39" t="s">
        <v>3804</v>
      </c>
      <c r="H2006" s="7">
        <v>0</v>
      </c>
      <c r="I2006" s="7">
        <v>2</v>
      </c>
      <c r="J2006" s="17">
        <f>3+3</f>
        <v>6</v>
      </c>
      <c r="K2006" s="17"/>
      <c r="L2006" s="7">
        <f t="shared" si="872"/>
        <v>8</v>
      </c>
      <c r="M2006" s="8">
        <v>1</v>
      </c>
      <c r="N2006" s="8">
        <f t="shared" si="873"/>
        <v>1</v>
      </c>
      <c r="O2006" s="11" t="s">
        <v>1702</v>
      </c>
      <c r="P2006" s="16" t="str">
        <f t="shared" si="874"/>
        <v>23-Sep-1925</v>
      </c>
      <c r="R2006" s="16" t="str">
        <f t="shared" ref="R2006:S2010" si="876">IF($L2006&gt;0,"x","")</f>
        <v>x</v>
      </c>
      <c r="S2006" s="16" t="str">
        <f t="shared" si="876"/>
        <v>x</v>
      </c>
      <c r="U2006" s="46" t="str">
        <f t="shared" si="870"/>
        <v/>
      </c>
      <c r="V2006" s="46">
        <f t="shared" si="870"/>
        <v>8</v>
      </c>
      <c r="W2006" s="46" t="str">
        <f t="shared" si="870"/>
        <v/>
      </c>
      <c r="X2006" s="46" t="str">
        <f t="shared" si="870"/>
        <v/>
      </c>
    </row>
    <row r="2007" spans="2:24" x14ac:dyDescent="0.25">
      <c r="B2007" s="11" t="str">
        <f t="shared" si="871"/>
        <v>HOMR-23SEP1925</v>
      </c>
      <c r="C2007" s="11" t="s">
        <v>3802</v>
      </c>
      <c r="D2007" s="11" t="s">
        <v>598</v>
      </c>
      <c r="E2007" s="39" t="s">
        <v>3803</v>
      </c>
      <c r="F2007" s="11" t="s">
        <v>1700</v>
      </c>
      <c r="G2007" s="39" t="s">
        <v>3804</v>
      </c>
      <c r="H2007" s="7">
        <v>2</v>
      </c>
      <c r="I2007" s="7">
        <v>0</v>
      </c>
      <c r="J2007" s="17">
        <v>0</v>
      </c>
      <c r="K2007" s="17"/>
      <c r="L2007" s="7">
        <f t="shared" si="872"/>
        <v>2</v>
      </c>
      <c r="M2007" s="8">
        <v>1</v>
      </c>
      <c r="N2007" s="8">
        <f t="shared" si="873"/>
        <v>1</v>
      </c>
      <c r="O2007" s="11" t="s">
        <v>1702</v>
      </c>
      <c r="P2007" s="16" t="str">
        <f t="shared" si="874"/>
        <v>23-Sep-1925</v>
      </c>
      <c r="R2007" s="16" t="str">
        <f t="shared" si="876"/>
        <v>x</v>
      </c>
      <c r="S2007" s="16" t="str">
        <f t="shared" si="876"/>
        <v>x</v>
      </c>
      <c r="U2007" s="46" t="str">
        <f t="shared" si="870"/>
        <v/>
      </c>
      <c r="V2007" s="46">
        <f t="shared" si="870"/>
        <v>2</v>
      </c>
      <c r="W2007" s="46" t="str">
        <f t="shared" si="870"/>
        <v/>
      </c>
      <c r="X2007" s="46" t="str">
        <f t="shared" si="870"/>
        <v/>
      </c>
    </row>
    <row r="2008" spans="2:24" x14ac:dyDescent="0.25">
      <c r="B2008" s="11" t="str">
        <f>CONCATENATE("HOMR","-",LEFT(P2008,2),UPPER(MID(P2008,4,3)),RIGHT(P2008,4))</f>
        <v>HOMR-28SEP1927</v>
      </c>
      <c r="C2008" s="11" t="s">
        <v>3802</v>
      </c>
      <c r="D2008" s="11" t="s">
        <v>2224</v>
      </c>
      <c r="E2008" s="39" t="s">
        <v>11162</v>
      </c>
      <c r="F2008" s="11" t="s">
        <v>1700</v>
      </c>
      <c r="G2008" s="39" t="s">
        <v>11163</v>
      </c>
      <c r="H2008" s="7">
        <v>0</v>
      </c>
      <c r="I2008" s="7">
        <v>0</v>
      </c>
      <c r="J2008" s="17">
        <f>7+3</f>
        <v>10</v>
      </c>
      <c r="K2008" s="17"/>
      <c r="L2008" s="7">
        <f>SUM(H2008:K2008)</f>
        <v>10</v>
      </c>
      <c r="M2008" s="8">
        <v>1</v>
      </c>
      <c r="N2008" s="8">
        <f>IF(L2008&gt;0,1,"")</f>
        <v>1</v>
      </c>
      <c r="O2008" s="11" t="s">
        <v>1702</v>
      </c>
      <c r="P2008" s="16" t="str">
        <f>IF(LEN(G2008)=10,CONCATENATE("0",G2008),G2008)</f>
        <v>28-Sep-1927</v>
      </c>
      <c r="R2008" s="16" t="str">
        <f t="shared" si="876"/>
        <v>x</v>
      </c>
      <c r="S2008" s="16" t="str">
        <f t="shared" si="876"/>
        <v>x</v>
      </c>
      <c r="U2008" s="46" t="str">
        <f t="shared" si="870"/>
        <v/>
      </c>
      <c r="V2008" s="46">
        <f t="shared" si="870"/>
        <v>10</v>
      </c>
      <c r="W2008" s="46" t="str">
        <f t="shared" si="870"/>
        <v/>
      </c>
      <c r="X2008" s="46" t="str">
        <f t="shared" si="870"/>
        <v/>
      </c>
    </row>
    <row r="2009" spans="2:24" x14ac:dyDescent="0.25">
      <c r="B2009" s="11" t="str">
        <f>CONCATENATE("HOMR","-",LEFT(P2009,2),UPPER(MID(P2009,4,3)),RIGHT(P2009,4))</f>
        <v>HOMR-12JUN1929</v>
      </c>
      <c r="C2009" s="11" t="s">
        <v>3802</v>
      </c>
      <c r="D2009" s="11" t="s">
        <v>2224</v>
      </c>
      <c r="E2009" s="39" t="s">
        <v>5558</v>
      </c>
      <c r="F2009" s="11" t="s">
        <v>1700</v>
      </c>
      <c r="G2009" s="39" t="s">
        <v>5559</v>
      </c>
      <c r="H2009" s="7">
        <v>0</v>
      </c>
      <c r="I2009" s="7">
        <v>0</v>
      </c>
      <c r="J2009" s="17">
        <f>5+1</f>
        <v>6</v>
      </c>
      <c r="K2009" s="17"/>
      <c r="L2009" s="7">
        <f>SUM(H2009:K2009)</f>
        <v>6</v>
      </c>
      <c r="M2009" s="8">
        <v>1</v>
      </c>
      <c r="N2009" s="8">
        <f>IF(L2009&gt;0,1,"")</f>
        <v>1</v>
      </c>
      <c r="O2009" s="11" t="s">
        <v>1702</v>
      </c>
      <c r="P2009" s="16" t="str">
        <f>IF(LEN(G2009)=10,CONCATENATE("0",G2009),G2009)</f>
        <v>12-Jun-1929</v>
      </c>
      <c r="R2009" s="16" t="str">
        <f t="shared" si="876"/>
        <v>x</v>
      </c>
      <c r="S2009" s="16" t="str">
        <f t="shared" si="876"/>
        <v>x</v>
      </c>
      <c r="U2009" s="46" t="str">
        <f t="shared" si="870"/>
        <v/>
      </c>
      <c r="V2009" s="46">
        <f t="shared" si="870"/>
        <v>6</v>
      </c>
      <c r="W2009" s="46" t="str">
        <f t="shared" si="870"/>
        <v/>
      </c>
      <c r="X2009" s="46" t="str">
        <f t="shared" si="870"/>
        <v/>
      </c>
    </row>
    <row r="2010" spans="2:24" x14ac:dyDescent="0.25">
      <c r="B2010" s="11" t="str">
        <f t="shared" si="871"/>
        <v>HOMR-23JAN1930</v>
      </c>
      <c r="C2010" s="11" t="s">
        <v>3802</v>
      </c>
      <c r="D2010" s="11" t="s">
        <v>2224</v>
      </c>
      <c r="E2010" s="39" t="s">
        <v>11215</v>
      </c>
      <c r="F2010" s="11" t="s">
        <v>1700</v>
      </c>
      <c r="G2010" s="39" t="s">
        <v>11216</v>
      </c>
      <c r="H2010" s="7">
        <v>0</v>
      </c>
      <c r="I2010" s="7">
        <v>2</v>
      </c>
      <c r="J2010" s="17">
        <v>5</v>
      </c>
      <c r="K2010" s="17"/>
      <c r="L2010" s="7">
        <f t="shared" si="872"/>
        <v>7</v>
      </c>
      <c r="M2010" s="8">
        <v>1</v>
      </c>
      <c r="N2010" s="8">
        <f t="shared" si="873"/>
        <v>1</v>
      </c>
      <c r="O2010" s="11" t="s">
        <v>1702</v>
      </c>
      <c r="P2010" s="16" t="str">
        <f t="shared" si="874"/>
        <v>23-Jan-1930</v>
      </c>
      <c r="R2010" s="16" t="str">
        <f t="shared" si="876"/>
        <v>x</v>
      </c>
      <c r="S2010" s="16" t="str">
        <f t="shared" si="876"/>
        <v>x</v>
      </c>
      <c r="U2010" s="46" t="str">
        <f t="shared" si="870"/>
        <v/>
      </c>
      <c r="V2010" s="46">
        <f t="shared" si="870"/>
        <v>7</v>
      </c>
      <c r="W2010" s="46" t="str">
        <f t="shared" si="870"/>
        <v/>
      </c>
      <c r="X2010" s="46" t="str">
        <f t="shared" si="870"/>
        <v/>
      </c>
    </row>
    <row r="2011" spans="2:24" x14ac:dyDescent="0.25">
      <c r="N2011" s="8" t="str">
        <f>IF(R2011="x",1,"")</f>
        <v/>
      </c>
      <c r="U2011" s="46" t="str">
        <f t="shared" si="870"/>
        <v/>
      </c>
      <c r="V2011" s="46" t="str">
        <f t="shared" si="870"/>
        <v/>
      </c>
      <c r="W2011" s="46" t="str">
        <f t="shared" si="870"/>
        <v/>
      </c>
      <c r="X2011" s="46" t="str">
        <f t="shared" si="870"/>
        <v/>
      </c>
    </row>
    <row r="2012" spans="2:24" x14ac:dyDescent="0.25">
      <c r="B2012" s="18"/>
      <c r="C2012" s="18"/>
      <c r="D2012" s="18"/>
      <c r="E2012" s="40"/>
      <c r="F2012" s="18"/>
      <c r="G2012" s="40"/>
      <c r="H2012" s="7">
        <f t="shared" ref="H2012:N2012" si="877">SUM(H2002:H2011)</f>
        <v>3</v>
      </c>
      <c r="I2012" s="7">
        <f t="shared" si="877"/>
        <v>12</v>
      </c>
      <c r="J2012" s="7">
        <f>SUM(J2002:J2011)</f>
        <v>40</v>
      </c>
      <c r="K2012" s="7">
        <f t="shared" si="877"/>
        <v>0</v>
      </c>
      <c r="L2012" s="7">
        <f t="shared" si="877"/>
        <v>55</v>
      </c>
      <c r="M2012" s="7">
        <f t="shared" si="877"/>
        <v>9</v>
      </c>
      <c r="N2012" s="7">
        <f t="shared" si="877"/>
        <v>9</v>
      </c>
      <c r="O2012" s="18"/>
      <c r="P2012" s="13"/>
      <c r="Q2012" s="13"/>
      <c r="S2012" s="13"/>
      <c r="T2012" s="15"/>
      <c r="U2012" s="46" t="str">
        <f t="shared" si="870"/>
        <v/>
      </c>
      <c r="V2012" s="46" t="str">
        <f t="shared" si="870"/>
        <v/>
      </c>
      <c r="W2012" s="46" t="str">
        <f t="shared" si="870"/>
        <v/>
      </c>
      <c r="X2012" s="46" t="str">
        <f t="shared" si="870"/>
        <v/>
      </c>
    </row>
    <row r="2013" spans="2:24" x14ac:dyDescent="0.25">
      <c r="B2013" s="18"/>
      <c r="C2013" s="18"/>
      <c r="D2013" s="18"/>
      <c r="E2013" s="40"/>
      <c r="F2013" s="18"/>
      <c r="G2013" s="40"/>
      <c r="N2013" s="8" t="str">
        <f>IF(R2013="x",1,"")</f>
        <v/>
      </c>
      <c r="O2013" s="18"/>
      <c r="P2013" s="13"/>
      <c r="Q2013" s="13"/>
      <c r="R2013" s="13"/>
      <c r="S2013" s="13"/>
      <c r="T2013" s="15"/>
      <c r="U2013" s="46" t="str">
        <f t="shared" si="870"/>
        <v/>
      </c>
      <c r="V2013" s="46" t="str">
        <f t="shared" si="870"/>
        <v/>
      </c>
      <c r="W2013" s="46" t="str">
        <f t="shared" si="870"/>
        <v/>
      </c>
      <c r="X2013" s="46" t="str">
        <f t="shared" si="870"/>
        <v/>
      </c>
    </row>
    <row r="2014" spans="2:24" x14ac:dyDescent="0.25">
      <c r="B2014" s="18"/>
      <c r="C2014" s="18"/>
      <c r="D2014" s="18"/>
      <c r="E2014" s="40"/>
      <c r="F2014" s="18"/>
      <c r="G2014" s="40"/>
      <c r="N2014" s="8" t="str">
        <f>IF(R2014="x",1,"")</f>
        <v/>
      </c>
      <c r="O2014" s="18"/>
      <c r="P2014" s="13"/>
      <c r="Q2014" s="13"/>
      <c r="R2014" s="13"/>
      <c r="S2014" s="13"/>
      <c r="T2014" s="15"/>
      <c r="U2014" s="46" t="str">
        <f t="shared" si="870"/>
        <v/>
      </c>
      <c r="V2014" s="46" t="str">
        <f t="shared" si="870"/>
        <v/>
      </c>
      <c r="W2014" s="46" t="str">
        <f t="shared" si="870"/>
        <v/>
      </c>
      <c r="X2014" s="46" t="str">
        <f t="shared" si="870"/>
        <v/>
      </c>
    </row>
    <row r="2015" spans="2:24" x14ac:dyDescent="0.25">
      <c r="B2015" s="11" t="str">
        <f t="shared" ref="B2015:B2030" si="878">CONCATENATE("HUDS","-",LEFT(P2015,2),UPPER(MID(P2015,4,3)),RIGHT(P2015,4))</f>
        <v>HUDS-15JUN1905</v>
      </c>
      <c r="C2015" s="11" t="s">
        <v>3028</v>
      </c>
      <c r="D2015" s="11" t="s">
        <v>1699</v>
      </c>
      <c r="E2015" s="39" t="s">
        <v>1420</v>
      </c>
      <c r="F2015" s="11" t="s">
        <v>1700</v>
      </c>
      <c r="G2015" s="39" t="s">
        <v>3681</v>
      </c>
      <c r="J2015" s="17">
        <v>13</v>
      </c>
      <c r="K2015" s="17"/>
      <c r="L2015" s="7">
        <f t="shared" ref="L2015:L2030" si="879">SUM(H2015:K2015)</f>
        <v>13</v>
      </c>
      <c r="M2015" s="8">
        <v>1</v>
      </c>
      <c r="N2015" s="8">
        <f t="shared" ref="N2015:N2030" si="880">IF(L2015&gt;0,1,"")</f>
        <v>1</v>
      </c>
      <c r="O2015" s="11" t="s">
        <v>1702</v>
      </c>
      <c r="P2015" s="16" t="str">
        <f t="shared" ref="P2015:P2030" si="881">IF(LEN(G2015)=10,CONCATENATE("0",G2015),G2015)</f>
        <v>15-Jun-1905</v>
      </c>
      <c r="R2015" s="16" t="str">
        <f t="shared" ref="R2015:S2020" si="882">IF($L2015&gt;0,"x","")</f>
        <v>x</v>
      </c>
      <c r="S2015" s="16" t="str">
        <f t="shared" si="882"/>
        <v>x</v>
      </c>
      <c r="U2015" s="46" t="str">
        <f t="shared" si="870"/>
        <v/>
      </c>
      <c r="V2015" s="46">
        <f t="shared" si="870"/>
        <v>13</v>
      </c>
      <c r="W2015" s="46" t="str">
        <f t="shared" si="870"/>
        <v/>
      </c>
      <c r="X2015" s="46" t="str">
        <f t="shared" si="870"/>
        <v/>
      </c>
    </row>
    <row r="2016" spans="2:24" x14ac:dyDescent="0.25">
      <c r="B2016" s="11" t="str">
        <f>CONCATENATE("HUDS","-",LEFT(P2016,2),UPPER(MID(P2016,4,3)),RIGHT(P2016,4))</f>
        <v>HUDS-27JUL1905</v>
      </c>
      <c r="C2016" s="11" t="s">
        <v>3028</v>
      </c>
      <c r="D2016" s="11" t="s">
        <v>1699</v>
      </c>
      <c r="E2016" s="39" t="s">
        <v>697</v>
      </c>
      <c r="F2016" s="11" t="s">
        <v>1700</v>
      </c>
      <c r="G2016" s="39" t="s">
        <v>6027</v>
      </c>
      <c r="J2016" s="17">
        <v>31</v>
      </c>
      <c r="K2016" s="17"/>
      <c r="L2016" s="7">
        <f>SUM(H2016:K2016)</f>
        <v>31</v>
      </c>
      <c r="M2016" s="8">
        <v>1</v>
      </c>
      <c r="N2016" s="8">
        <f>IF(L2016&gt;0,1,"")</f>
        <v>1</v>
      </c>
      <c r="O2016" s="11" t="s">
        <v>1702</v>
      </c>
      <c r="P2016" s="16" t="str">
        <f>IF(LEN(G2016)=10,CONCATENATE("0",G2016),G2016)</f>
        <v>27-Jul-1905</v>
      </c>
      <c r="R2016" s="16" t="str">
        <f t="shared" si="882"/>
        <v>x</v>
      </c>
      <c r="S2016" s="16" t="str">
        <f t="shared" si="882"/>
        <v>x</v>
      </c>
      <c r="U2016" s="46" t="str">
        <f t="shared" ref="U2016:X2018" si="883">IF($O2016=U$5,$L2016,"")</f>
        <v/>
      </c>
      <c r="V2016" s="46">
        <f t="shared" si="883"/>
        <v>31</v>
      </c>
      <c r="W2016" s="46" t="str">
        <f t="shared" si="883"/>
        <v/>
      </c>
      <c r="X2016" s="46" t="str">
        <f t="shared" si="883"/>
        <v/>
      </c>
    </row>
    <row r="2017" spans="2:24" x14ac:dyDescent="0.25">
      <c r="B2017" s="11" t="str">
        <f>CONCATENATE("HUDS","-",LEFT(P2017,2),UPPER(MID(P2017,4,3)),RIGHT(P2017,4))</f>
        <v>HUDS-09SEP1905</v>
      </c>
      <c r="C2017" s="11" t="s">
        <v>3028</v>
      </c>
      <c r="D2017" s="11" t="s">
        <v>1699</v>
      </c>
      <c r="E2017" s="39" t="s">
        <v>1782</v>
      </c>
      <c r="F2017" s="11" t="s">
        <v>1700</v>
      </c>
      <c r="G2017" s="39" t="s">
        <v>5842</v>
      </c>
      <c r="J2017" s="17">
        <v>5</v>
      </c>
      <c r="K2017" s="17"/>
      <c r="L2017" s="7">
        <f>SUM(H2017:K2017)</f>
        <v>5</v>
      </c>
      <c r="M2017" s="8">
        <v>1</v>
      </c>
      <c r="N2017" s="8">
        <f>IF(L2017&gt;0,1,"")</f>
        <v>1</v>
      </c>
      <c r="O2017" s="11" t="s">
        <v>1702</v>
      </c>
      <c r="P2017" s="16" t="str">
        <f>IF(LEN(G2017)=10,CONCATENATE("0",G2017),G2017)</f>
        <v>09-Sep-1905</v>
      </c>
      <c r="R2017" s="16" t="str">
        <f t="shared" si="882"/>
        <v>x</v>
      </c>
      <c r="S2017" s="16" t="str">
        <f t="shared" si="882"/>
        <v>x</v>
      </c>
      <c r="U2017" s="46" t="str">
        <f t="shared" si="883"/>
        <v/>
      </c>
      <c r="V2017" s="46">
        <f t="shared" si="883"/>
        <v>5</v>
      </c>
      <c r="W2017" s="46" t="str">
        <f t="shared" si="883"/>
        <v/>
      </c>
      <c r="X2017" s="46" t="str">
        <f t="shared" si="883"/>
        <v/>
      </c>
    </row>
    <row r="2018" spans="2:24" x14ac:dyDescent="0.25">
      <c r="B2018" s="11" t="str">
        <f>CONCATENATE("HUDS","-",LEFT(P2018,2),UPPER(MID(P2018,4,3)),RIGHT(P2018,4))</f>
        <v>HUDS-21OCT1905</v>
      </c>
      <c r="C2018" s="11" t="s">
        <v>3028</v>
      </c>
      <c r="D2018" s="11" t="s">
        <v>1699</v>
      </c>
      <c r="E2018" s="39" t="s">
        <v>783</v>
      </c>
      <c r="F2018" s="11" t="s">
        <v>1700</v>
      </c>
      <c r="G2018" s="39" t="s">
        <v>2277</v>
      </c>
      <c r="J2018" s="17">
        <v>4</v>
      </c>
      <c r="K2018" s="17"/>
      <c r="L2018" s="7">
        <f>SUM(H2018:K2018)</f>
        <v>4</v>
      </c>
      <c r="M2018" s="8">
        <v>1</v>
      </c>
      <c r="N2018" s="8">
        <f>IF(L2018&gt;0,1,"")</f>
        <v>1</v>
      </c>
      <c r="O2018" s="11" t="s">
        <v>1702</v>
      </c>
      <c r="P2018" s="16" t="str">
        <f>IF(LEN(G2018)=10,CONCATENATE("0",G2018),G2018)</f>
        <v>21-Oct-1905</v>
      </c>
      <c r="R2018" s="16" t="str">
        <f t="shared" si="882"/>
        <v>x</v>
      </c>
      <c r="S2018" s="16" t="str">
        <f t="shared" si="882"/>
        <v>x</v>
      </c>
      <c r="U2018" s="46" t="str">
        <f t="shared" si="883"/>
        <v/>
      </c>
      <c r="V2018" s="46">
        <f t="shared" si="883"/>
        <v>4</v>
      </c>
      <c r="W2018" s="46" t="str">
        <f t="shared" si="883"/>
        <v/>
      </c>
      <c r="X2018" s="46" t="str">
        <f t="shared" si="883"/>
        <v/>
      </c>
    </row>
    <row r="2019" spans="2:24" x14ac:dyDescent="0.25">
      <c r="B2019" s="11" t="str">
        <f t="shared" si="878"/>
        <v>HUDS-27APR1906</v>
      </c>
      <c r="C2019" s="11" t="s">
        <v>3028</v>
      </c>
      <c r="D2019" s="11" t="s">
        <v>1699</v>
      </c>
      <c r="E2019" s="39" t="s">
        <v>1435</v>
      </c>
      <c r="F2019" s="11" t="s">
        <v>1700</v>
      </c>
      <c r="G2019" s="39" t="s">
        <v>2083</v>
      </c>
      <c r="J2019" s="17">
        <v>9</v>
      </c>
      <c r="K2019" s="17"/>
      <c r="L2019" s="7">
        <f t="shared" si="879"/>
        <v>9</v>
      </c>
      <c r="M2019" s="8">
        <v>1</v>
      </c>
      <c r="N2019" s="8">
        <f t="shared" si="880"/>
        <v>1</v>
      </c>
      <c r="O2019" s="11" t="s">
        <v>1702</v>
      </c>
      <c r="P2019" s="16" t="str">
        <f t="shared" si="881"/>
        <v>27-Apr-1906</v>
      </c>
      <c r="R2019" s="16" t="str">
        <f t="shared" si="882"/>
        <v>x</v>
      </c>
      <c r="S2019" s="16" t="str">
        <f t="shared" si="882"/>
        <v>x</v>
      </c>
      <c r="U2019" s="46" t="str">
        <f t="shared" ref="U2019:X2029" si="884">IF($O2019=U$5,$L2019,"")</f>
        <v/>
      </c>
      <c r="V2019" s="46">
        <f t="shared" si="884"/>
        <v>9</v>
      </c>
      <c r="W2019" s="46" t="str">
        <f t="shared" si="884"/>
        <v/>
      </c>
      <c r="X2019" s="46" t="str">
        <f t="shared" si="884"/>
        <v/>
      </c>
    </row>
    <row r="2020" spans="2:24" x14ac:dyDescent="0.25">
      <c r="B2020" s="11" t="str">
        <f>CONCATENATE("HUDS","-",LEFT(P2020,2),UPPER(MID(P2020,4,3)),RIGHT(P2020,4))</f>
        <v>HUDS-20JUL1906</v>
      </c>
      <c r="C2020" s="11" t="s">
        <v>3028</v>
      </c>
      <c r="D2020" s="11" t="s">
        <v>1699</v>
      </c>
      <c r="E2020" s="39" t="s">
        <v>809</v>
      </c>
      <c r="F2020" s="11" t="s">
        <v>1700</v>
      </c>
      <c r="G2020" s="39" t="s">
        <v>11428</v>
      </c>
      <c r="J2020" s="17">
        <v>10</v>
      </c>
      <c r="K2020" s="17"/>
      <c r="L2020" s="7">
        <f>SUM(H2020:K2020)</f>
        <v>10</v>
      </c>
      <c r="M2020" s="8">
        <v>1</v>
      </c>
      <c r="N2020" s="8">
        <f>IF(L2020&gt;0,1,"")</f>
        <v>1</v>
      </c>
      <c r="O2020" s="11" t="s">
        <v>1702</v>
      </c>
      <c r="P2020" s="16" t="str">
        <f>IF(LEN(G2020)=10,CONCATENATE("0",G2020),G2020)</f>
        <v>20-Jul-1906</v>
      </c>
      <c r="R2020" s="16" t="str">
        <f t="shared" si="882"/>
        <v>x</v>
      </c>
      <c r="S2020" s="16" t="str">
        <f t="shared" si="882"/>
        <v>x</v>
      </c>
      <c r="U2020" s="46" t="str">
        <f t="shared" si="884"/>
        <v/>
      </c>
      <c r="V2020" s="46">
        <f t="shared" si="884"/>
        <v>10</v>
      </c>
      <c r="W2020" s="46" t="str">
        <f t="shared" si="884"/>
        <v/>
      </c>
      <c r="X2020" s="46" t="str">
        <f t="shared" si="884"/>
        <v/>
      </c>
    </row>
    <row r="2021" spans="2:24" x14ac:dyDescent="0.25">
      <c r="B2021" s="11" t="str">
        <f t="shared" si="878"/>
        <v>HUDS-31AUG1906</v>
      </c>
      <c r="C2021" s="11" t="s">
        <v>3028</v>
      </c>
      <c r="D2021" s="11" t="s">
        <v>1699</v>
      </c>
      <c r="E2021" s="39" t="s">
        <v>1438</v>
      </c>
      <c r="F2021" s="11" t="s">
        <v>1700</v>
      </c>
      <c r="G2021" s="39" t="s">
        <v>3108</v>
      </c>
      <c r="J2021" s="17">
        <v>30</v>
      </c>
      <c r="K2021" s="17"/>
      <c r="L2021" s="7">
        <f t="shared" si="879"/>
        <v>30</v>
      </c>
      <c r="M2021" s="8">
        <v>1</v>
      </c>
      <c r="N2021" s="8">
        <f t="shared" si="880"/>
        <v>1</v>
      </c>
      <c r="O2021" s="11" t="s">
        <v>1702</v>
      </c>
      <c r="P2021" s="16" t="str">
        <f t="shared" si="881"/>
        <v>31-Aug-1906</v>
      </c>
      <c r="R2021" s="16" t="str">
        <f t="shared" ref="R2021:S2025" si="885">IF($L2021&gt;0,"x","")</f>
        <v>x</v>
      </c>
      <c r="S2021" s="16" t="str">
        <f t="shared" si="885"/>
        <v>x</v>
      </c>
      <c r="U2021" s="46" t="str">
        <f t="shared" si="884"/>
        <v/>
      </c>
      <c r="V2021" s="46">
        <f t="shared" si="884"/>
        <v>30</v>
      </c>
      <c r="W2021" s="46" t="str">
        <f t="shared" si="884"/>
        <v/>
      </c>
      <c r="X2021" s="46" t="str">
        <f t="shared" si="884"/>
        <v/>
      </c>
    </row>
    <row r="2022" spans="2:24" x14ac:dyDescent="0.25">
      <c r="B2022" s="11" t="str">
        <f t="shared" si="878"/>
        <v>HUDS-03DEC1906</v>
      </c>
      <c r="C2022" s="11" t="s">
        <v>3028</v>
      </c>
      <c r="D2022" s="11" t="s">
        <v>1699</v>
      </c>
      <c r="E2022" s="39" t="s">
        <v>2051</v>
      </c>
      <c r="F2022" s="11" t="s">
        <v>1700</v>
      </c>
      <c r="G2022" s="39" t="s">
        <v>5133</v>
      </c>
      <c r="J2022" s="17">
        <v>14</v>
      </c>
      <c r="K2022" s="17"/>
      <c r="L2022" s="7">
        <f t="shared" si="879"/>
        <v>14</v>
      </c>
      <c r="M2022" s="8">
        <v>1</v>
      </c>
      <c r="N2022" s="8">
        <f t="shared" si="880"/>
        <v>1</v>
      </c>
      <c r="O2022" s="11" t="s">
        <v>1702</v>
      </c>
      <c r="P2022" s="16" t="str">
        <f t="shared" si="881"/>
        <v>03-Dec-1906</v>
      </c>
      <c r="R2022" s="16" t="str">
        <f t="shared" si="885"/>
        <v>x</v>
      </c>
      <c r="S2022" s="16" t="str">
        <f t="shared" si="885"/>
        <v>x</v>
      </c>
      <c r="U2022" s="46" t="str">
        <f t="shared" si="884"/>
        <v/>
      </c>
      <c r="V2022" s="46">
        <f t="shared" si="884"/>
        <v>14</v>
      </c>
      <c r="W2022" s="46" t="str">
        <f t="shared" si="884"/>
        <v/>
      </c>
      <c r="X2022" s="46" t="str">
        <f t="shared" si="884"/>
        <v/>
      </c>
    </row>
    <row r="2023" spans="2:24" x14ac:dyDescent="0.25">
      <c r="B2023" s="11" t="str">
        <f t="shared" si="878"/>
        <v>HUDS-25MAY1907</v>
      </c>
      <c r="C2023" s="11" t="s">
        <v>3028</v>
      </c>
      <c r="D2023" s="11" t="s">
        <v>1699</v>
      </c>
      <c r="E2023" s="39" t="s">
        <v>1202</v>
      </c>
      <c r="F2023" s="11" t="s">
        <v>1700</v>
      </c>
      <c r="G2023" s="39" t="s">
        <v>1456</v>
      </c>
      <c r="J2023" s="17">
        <v>23</v>
      </c>
      <c r="K2023" s="17"/>
      <c r="L2023" s="7">
        <f t="shared" si="879"/>
        <v>23</v>
      </c>
      <c r="M2023" s="8">
        <v>1</v>
      </c>
      <c r="N2023" s="8">
        <f t="shared" si="880"/>
        <v>1</v>
      </c>
      <c r="O2023" s="11" t="s">
        <v>1702</v>
      </c>
      <c r="P2023" s="16" t="str">
        <f t="shared" si="881"/>
        <v>25-May-1907</v>
      </c>
      <c r="R2023" s="16" t="str">
        <f t="shared" si="885"/>
        <v>x</v>
      </c>
      <c r="S2023" s="16" t="str">
        <f t="shared" si="885"/>
        <v>x</v>
      </c>
      <c r="U2023" s="46" t="str">
        <f t="shared" si="884"/>
        <v/>
      </c>
      <c r="V2023" s="46">
        <f t="shared" si="884"/>
        <v>23</v>
      </c>
      <c r="W2023" s="46" t="str">
        <f t="shared" si="884"/>
        <v/>
      </c>
      <c r="X2023" s="46" t="str">
        <f t="shared" si="884"/>
        <v/>
      </c>
    </row>
    <row r="2024" spans="2:24" x14ac:dyDescent="0.25">
      <c r="B2024" s="11" t="str">
        <f>CONCATENATE("HUDS","-",LEFT(P2024,2),UPPER(MID(P2024,4,3)),RIGHT(P2024,4))</f>
        <v>HUDS-05JUL1907</v>
      </c>
      <c r="C2024" s="11" t="s">
        <v>3028</v>
      </c>
      <c r="D2024" s="11" t="s">
        <v>1699</v>
      </c>
      <c r="E2024" s="39" t="s">
        <v>1448</v>
      </c>
      <c r="F2024" s="11" t="s">
        <v>1700</v>
      </c>
      <c r="G2024" s="39" t="s">
        <v>3686</v>
      </c>
      <c r="J2024" s="17">
        <v>14</v>
      </c>
      <c r="K2024" s="17"/>
      <c r="L2024" s="7">
        <f>SUM(H2024:K2024)</f>
        <v>14</v>
      </c>
      <c r="M2024" s="8">
        <v>1</v>
      </c>
      <c r="N2024" s="8">
        <f>IF(L2024&gt;0,1,"")</f>
        <v>1</v>
      </c>
      <c r="O2024" s="11" t="s">
        <v>1702</v>
      </c>
      <c r="P2024" s="16" t="str">
        <f>IF(LEN(G2024)=10,CONCATENATE("0",G2024),G2024)</f>
        <v>05-Jul-1907</v>
      </c>
      <c r="R2024" s="16" t="str">
        <f t="shared" si="885"/>
        <v>x</v>
      </c>
      <c r="S2024" s="16" t="str">
        <f t="shared" si="885"/>
        <v>x</v>
      </c>
      <c r="U2024" s="46" t="str">
        <f t="shared" si="884"/>
        <v/>
      </c>
      <c r="V2024" s="46">
        <f t="shared" si="884"/>
        <v>14</v>
      </c>
      <c r="W2024" s="46" t="str">
        <f t="shared" si="884"/>
        <v/>
      </c>
      <c r="X2024" s="46" t="str">
        <f t="shared" si="884"/>
        <v/>
      </c>
    </row>
    <row r="2025" spans="2:24" x14ac:dyDescent="0.25">
      <c r="B2025" s="11" t="str">
        <f>CONCATENATE("HUDS","-",LEFT(P2025,2),UPPER(MID(P2025,4,3)),RIGHT(P2025,4))</f>
        <v>HUDS-16AUG1907</v>
      </c>
      <c r="C2025" s="11" t="s">
        <v>3028</v>
      </c>
      <c r="D2025" s="11" t="s">
        <v>1699</v>
      </c>
      <c r="E2025" s="39" t="s">
        <v>833</v>
      </c>
      <c r="F2025" s="11" t="s">
        <v>1700</v>
      </c>
      <c r="G2025" s="39" t="s">
        <v>3691</v>
      </c>
      <c r="J2025" s="17">
        <v>5</v>
      </c>
      <c r="K2025" s="17"/>
      <c r="L2025" s="7">
        <f>SUM(H2025:K2025)</f>
        <v>5</v>
      </c>
      <c r="M2025" s="8">
        <v>1</v>
      </c>
      <c r="N2025" s="8">
        <f>IF(L2025&gt;0,1,"")</f>
        <v>1</v>
      </c>
      <c r="O2025" s="11" t="s">
        <v>1702</v>
      </c>
      <c r="P2025" s="16" t="str">
        <f>IF(LEN(G2025)=10,CONCATENATE("0",G2025),G2025)</f>
        <v>16-Aug-1907</v>
      </c>
      <c r="R2025" s="16" t="str">
        <f t="shared" si="885"/>
        <v>x</v>
      </c>
      <c r="S2025" s="16" t="str">
        <f t="shared" si="885"/>
        <v>x</v>
      </c>
      <c r="U2025" s="46" t="str">
        <f t="shared" si="884"/>
        <v/>
      </c>
      <c r="V2025" s="46">
        <f t="shared" si="884"/>
        <v>5</v>
      </c>
      <c r="W2025" s="46" t="str">
        <f t="shared" si="884"/>
        <v/>
      </c>
      <c r="X2025" s="46" t="str">
        <f t="shared" si="884"/>
        <v/>
      </c>
    </row>
    <row r="2026" spans="2:24" x14ac:dyDescent="0.25">
      <c r="B2026" s="11" t="str">
        <f t="shared" si="878"/>
        <v>HUDS-17OCT1907</v>
      </c>
      <c r="C2026" s="11" t="s">
        <v>3028</v>
      </c>
      <c r="D2026" s="11" t="s">
        <v>1699</v>
      </c>
      <c r="E2026" s="39" t="s">
        <v>1807</v>
      </c>
      <c r="F2026" s="11" t="s">
        <v>1700</v>
      </c>
      <c r="G2026" s="39" t="s">
        <v>3029</v>
      </c>
      <c r="J2026" s="17">
        <v>6</v>
      </c>
      <c r="K2026" s="17"/>
      <c r="L2026" s="7">
        <f t="shared" si="879"/>
        <v>6</v>
      </c>
      <c r="M2026" s="8">
        <v>1</v>
      </c>
      <c r="N2026" s="8">
        <f t="shared" si="880"/>
        <v>1</v>
      </c>
      <c r="O2026" s="11" t="s">
        <v>1702</v>
      </c>
      <c r="P2026" s="16" t="str">
        <f t="shared" si="881"/>
        <v>17-Oct-1907</v>
      </c>
      <c r="R2026" s="16" t="str">
        <f t="shared" ref="R2026:S2032" si="886">IF($L2026&gt;0,"x","")</f>
        <v>x</v>
      </c>
      <c r="S2026" s="16" t="str">
        <f t="shared" si="886"/>
        <v>x</v>
      </c>
      <c r="U2026" s="46" t="str">
        <f t="shared" si="884"/>
        <v/>
      </c>
      <c r="V2026" s="46">
        <f t="shared" si="884"/>
        <v>6</v>
      </c>
      <c r="W2026" s="46" t="str">
        <f t="shared" si="884"/>
        <v/>
      </c>
      <c r="X2026" s="46" t="str">
        <f t="shared" si="884"/>
        <v/>
      </c>
    </row>
    <row r="2027" spans="2:24" x14ac:dyDescent="0.25">
      <c r="B2027" s="11" t="str">
        <f t="shared" si="878"/>
        <v>HUDS-30NOV1907</v>
      </c>
      <c r="C2027" s="11" t="s">
        <v>3028</v>
      </c>
      <c r="D2027" s="11" t="s">
        <v>1699</v>
      </c>
      <c r="E2027" s="39" t="s">
        <v>1462</v>
      </c>
      <c r="F2027" s="11" t="s">
        <v>1700</v>
      </c>
      <c r="G2027" s="39" t="s">
        <v>1811</v>
      </c>
      <c r="J2027" s="17">
        <v>25</v>
      </c>
      <c r="K2027" s="17"/>
      <c r="L2027" s="7">
        <f t="shared" si="879"/>
        <v>25</v>
      </c>
      <c r="M2027" s="8">
        <v>1</v>
      </c>
      <c r="N2027" s="8">
        <f t="shared" si="880"/>
        <v>1</v>
      </c>
      <c r="O2027" s="11" t="s">
        <v>1702</v>
      </c>
      <c r="P2027" s="16" t="str">
        <f t="shared" si="881"/>
        <v>30-Nov-1907</v>
      </c>
      <c r="R2027" s="16" t="str">
        <f t="shared" si="886"/>
        <v>x</v>
      </c>
      <c r="S2027" s="16" t="str">
        <f t="shared" si="886"/>
        <v>x</v>
      </c>
      <c r="U2027" s="46" t="str">
        <f t="shared" si="884"/>
        <v/>
      </c>
      <c r="V2027" s="46">
        <f t="shared" si="884"/>
        <v>25</v>
      </c>
      <c r="W2027" s="46" t="str">
        <f t="shared" si="884"/>
        <v/>
      </c>
      <c r="X2027" s="46" t="str">
        <f t="shared" si="884"/>
        <v/>
      </c>
    </row>
    <row r="2028" spans="2:24" x14ac:dyDescent="0.25">
      <c r="B2028" s="11" t="str">
        <f>CONCATENATE("HUDS","-",LEFT(P2028,2),UPPER(MID(P2028,4,3)),RIGHT(P2028,4))</f>
        <v>HUDS-24APR1909</v>
      </c>
      <c r="C2028" s="11" t="s">
        <v>3028</v>
      </c>
      <c r="D2028" s="11" t="s">
        <v>1956</v>
      </c>
      <c r="E2028" s="39" t="s">
        <v>1481</v>
      </c>
      <c r="F2028" s="11" t="s">
        <v>1700</v>
      </c>
      <c r="G2028" s="39" t="s">
        <v>95</v>
      </c>
      <c r="J2028" s="17">
        <v>39</v>
      </c>
      <c r="K2028" s="17"/>
      <c r="L2028" s="7">
        <f>SUM(H2028:K2028)</f>
        <v>39</v>
      </c>
      <c r="M2028" s="8">
        <v>1</v>
      </c>
      <c r="N2028" s="8">
        <f>IF(L2028&gt;0,1,"")</f>
        <v>1</v>
      </c>
      <c r="O2028" s="11" t="s">
        <v>1702</v>
      </c>
      <c r="P2028" s="16" t="str">
        <f>IF(LEN(G2028)=10,CONCATENATE("0",G2028),G2028)</f>
        <v>24-Apr-1909</v>
      </c>
      <c r="R2028" s="16" t="str">
        <f t="shared" si="886"/>
        <v>x</v>
      </c>
      <c r="S2028" s="16" t="str">
        <f t="shared" si="886"/>
        <v>x</v>
      </c>
      <c r="U2028" s="46" t="str">
        <f t="shared" si="884"/>
        <v/>
      </c>
      <c r="V2028" s="46">
        <f t="shared" si="884"/>
        <v>39</v>
      </c>
      <c r="W2028" s="46" t="str">
        <f t="shared" si="884"/>
        <v/>
      </c>
      <c r="X2028" s="46" t="str">
        <f t="shared" si="884"/>
        <v/>
      </c>
    </row>
    <row r="2029" spans="2:24" x14ac:dyDescent="0.25">
      <c r="B2029" s="11" t="str">
        <f t="shared" si="878"/>
        <v>HUDS-17JUL1909</v>
      </c>
      <c r="C2029" s="11" t="s">
        <v>3028</v>
      </c>
      <c r="D2029" s="11" t="s">
        <v>1956</v>
      </c>
      <c r="E2029" s="39" t="s">
        <v>1839</v>
      </c>
      <c r="F2029" s="11" t="s">
        <v>1700</v>
      </c>
      <c r="G2029" s="39" t="s">
        <v>2314</v>
      </c>
      <c r="J2029" s="17">
        <v>7</v>
      </c>
      <c r="K2029" s="17"/>
      <c r="L2029" s="7">
        <f t="shared" si="879"/>
        <v>7</v>
      </c>
      <c r="M2029" s="8">
        <v>1</v>
      </c>
      <c r="N2029" s="8">
        <f t="shared" si="880"/>
        <v>1</v>
      </c>
      <c r="O2029" s="11" t="s">
        <v>1702</v>
      </c>
      <c r="P2029" s="16" t="str">
        <f t="shared" si="881"/>
        <v>17-Jul-1909</v>
      </c>
      <c r="R2029" s="16" t="str">
        <f t="shared" si="886"/>
        <v>x</v>
      </c>
      <c r="S2029" s="16" t="str">
        <f t="shared" si="886"/>
        <v>x</v>
      </c>
      <c r="U2029" s="46" t="str">
        <f t="shared" si="884"/>
        <v/>
      </c>
      <c r="V2029" s="46">
        <f t="shared" si="884"/>
        <v>7</v>
      </c>
      <c r="W2029" s="46" t="str">
        <f t="shared" si="884"/>
        <v/>
      </c>
      <c r="X2029" s="46" t="str">
        <f t="shared" si="884"/>
        <v/>
      </c>
    </row>
    <row r="2030" spans="2:24" x14ac:dyDescent="0.25">
      <c r="B2030" s="11" t="str">
        <f t="shared" si="878"/>
        <v>HUDS-10SEP1909</v>
      </c>
      <c r="C2030" s="11" t="s">
        <v>3028</v>
      </c>
      <c r="D2030" s="11" t="s">
        <v>1956</v>
      </c>
      <c r="E2030" s="39" t="s">
        <v>87</v>
      </c>
      <c r="F2030" s="11" t="s">
        <v>1700</v>
      </c>
      <c r="G2030" s="39" t="s">
        <v>88</v>
      </c>
      <c r="J2030" s="17">
        <v>3</v>
      </c>
      <c r="K2030" s="17"/>
      <c r="L2030" s="7">
        <f t="shared" si="879"/>
        <v>3</v>
      </c>
      <c r="M2030" s="8">
        <v>1</v>
      </c>
      <c r="N2030" s="8">
        <f t="shared" si="880"/>
        <v>1</v>
      </c>
      <c r="O2030" s="11" t="s">
        <v>1702</v>
      </c>
      <c r="P2030" s="16" t="str">
        <f t="shared" si="881"/>
        <v>10-Sep-1909</v>
      </c>
      <c r="R2030" s="16" t="str">
        <f t="shared" si="886"/>
        <v>x</v>
      </c>
      <c r="S2030" s="16" t="str">
        <f t="shared" si="886"/>
        <v>x</v>
      </c>
      <c r="U2030" s="46" t="str">
        <f t="shared" ref="U2030:X2032" si="887">IF($O2030=U$5,$L2030,"")</f>
        <v/>
      </c>
      <c r="V2030" s="46">
        <f t="shared" si="887"/>
        <v>3</v>
      </c>
      <c r="W2030" s="46" t="str">
        <f t="shared" si="887"/>
        <v/>
      </c>
      <c r="X2030" s="46" t="str">
        <f t="shared" si="887"/>
        <v/>
      </c>
    </row>
    <row r="2031" spans="2:24" x14ac:dyDescent="0.25">
      <c r="B2031" s="11" t="str">
        <f>CONCATENATE("HUDS","-",LEFT(P2031,2),UPPER(MID(P2031,4,3)),RIGHT(P2031,4))</f>
        <v>HUDS-08JAN1911</v>
      </c>
      <c r="C2031" s="11" t="s">
        <v>3028</v>
      </c>
      <c r="D2031" s="11" t="s">
        <v>1956</v>
      </c>
      <c r="E2031" s="39" t="s">
        <v>5976</v>
      </c>
      <c r="F2031" s="11" t="s">
        <v>1700</v>
      </c>
      <c r="G2031" s="39" t="s">
        <v>5977</v>
      </c>
      <c r="J2031" s="17">
        <v>7</v>
      </c>
      <c r="K2031" s="17"/>
      <c r="L2031" s="7">
        <f>SUM(H2031:K2031)</f>
        <v>7</v>
      </c>
      <c r="M2031" s="8">
        <v>1</v>
      </c>
      <c r="N2031" s="8">
        <f>IF(L2031&gt;0,1,"")</f>
        <v>1</v>
      </c>
      <c r="O2031" s="11" t="s">
        <v>1702</v>
      </c>
      <c r="P2031" s="16" t="str">
        <f>IF(LEN(G2031)=10,CONCATENATE("0",G2031),G2031)</f>
        <v>08-Jan-1911</v>
      </c>
      <c r="R2031" s="16" t="str">
        <f t="shared" si="886"/>
        <v>x</v>
      </c>
      <c r="S2031" s="16" t="str">
        <f t="shared" si="886"/>
        <v>x</v>
      </c>
      <c r="U2031" s="46" t="str">
        <f t="shared" si="887"/>
        <v/>
      </c>
      <c r="V2031" s="46">
        <f t="shared" si="887"/>
        <v>7</v>
      </c>
      <c r="W2031" s="46" t="str">
        <f t="shared" si="887"/>
        <v/>
      </c>
      <c r="X2031" s="46" t="str">
        <f t="shared" si="887"/>
        <v/>
      </c>
    </row>
    <row r="2032" spans="2:24" x14ac:dyDescent="0.25">
      <c r="B2032" s="11" t="str">
        <f>CONCATENATE("HUDS","-",LEFT(P2032,2),UPPER(MID(P2032,4,3)),RIGHT(P2032,4))</f>
        <v>HUDS-28APR1913</v>
      </c>
      <c r="C2032" s="11" t="s">
        <v>3028</v>
      </c>
      <c r="D2032" s="11" t="s">
        <v>1699</v>
      </c>
      <c r="E2032" s="39" t="s">
        <v>6155</v>
      </c>
      <c r="F2032" s="11" t="s">
        <v>1700</v>
      </c>
      <c r="G2032" s="39" t="s">
        <v>1022</v>
      </c>
      <c r="I2032" s="7">
        <v>0</v>
      </c>
      <c r="J2032" s="17">
        <v>13</v>
      </c>
      <c r="K2032" s="17"/>
      <c r="L2032" s="7">
        <f>SUM(H2032:K2032)</f>
        <v>13</v>
      </c>
      <c r="M2032" s="8">
        <v>1</v>
      </c>
      <c r="N2032" s="8">
        <f>IF(L2032&gt;0,1,"")</f>
        <v>1</v>
      </c>
      <c r="O2032" s="11" t="s">
        <v>1702</v>
      </c>
      <c r="P2032" s="16" t="str">
        <f>IF(LEN(G2032)=10,CONCATENATE("0",G2032),G2032)</f>
        <v>28-Apr-1913</v>
      </c>
      <c r="R2032" s="16" t="str">
        <f t="shared" si="886"/>
        <v>x</v>
      </c>
      <c r="S2032" s="16" t="str">
        <f t="shared" si="886"/>
        <v>x</v>
      </c>
      <c r="U2032" s="46" t="str">
        <f t="shared" si="887"/>
        <v/>
      </c>
      <c r="V2032" s="46">
        <f t="shared" si="887"/>
        <v>13</v>
      </c>
      <c r="W2032" s="46" t="str">
        <f t="shared" si="887"/>
        <v/>
      </c>
      <c r="X2032" s="46" t="str">
        <f t="shared" si="887"/>
        <v/>
      </c>
    </row>
    <row r="2033" spans="2:24" x14ac:dyDescent="0.25">
      <c r="N2033" s="8" t="str">
        <f>IF(R2033="x",1,"")</f>
        <v/>
      </c>
      <c r="U2033" s="46" t="str">
        <f t="shared" ref="U2033:X2034" si="888">IF($O2033=U$5,$L2033,"")</f>
        <v/>
      </c>
      <c r="V2033" s="46" t="str">
        <f t="shared" si="888"/>
        <v/>
      </c>
      <c r="W2033" s="46" t="str">
        <f t="shared" si="888"/>
        <v/>
      </c>
      <c r="X2033" s="46" t="str">
        <f t="shared" si="888"/>
        <v/>
      </c>
    </row>
    <row r="2034" spans="2:24" x14ac:dyDescent="0.25">
      <c r="B2034" s="18"/>
      <c r="C2034" s="18"/>
      <c r="D2034" s="18"/>
      <c r="E2034" s="40"/>
      <c r="F2034" s="18"/>
      <c r="G2034" s="40"/>
      <c r="H2034" s="7">
        <f t="shared" ref="H2034:N2034" si="889">SUM(H2015:H2033)</f>
        <v>0</v>
      </c>
      <c r="I2034" s="7">
        <f t="shared" si="889"/>
        <v>0</v>
      </c>
      <c r="J2034" s="7">
        <f>SUM(J2015:J2033)</f>
        <v>258</v>
      </c>
      <c r="K2034" s="7">
        <f t="shared" si="889"/>
        <v>0</v>
      </c>
      <c r="L2034" s="7">
        <f t="shared" si="889"/>
        <v>258</v>
      </c>
      <c r="M2034" s="7">
        <f t="shared" si="889"/>
        <v>18</v>
      </c>
      <c r="N2034" s="7">
        <f t="shared" si="889"/>
        <v>18</v>
      </c>
      <c r="O2034" s="18"/>
      <c r="P2034" s="13"/>
      <c r="Q2034" s="13"/>
      <c r="S2034" s="13"/>
      <c r="T2034" s="15"/>
      <c r="U2034" s="46" t="str">
        <f t="shared" si="888"/>
        <v/>
      </c>
      <c r="V2034" s="46" t="str">
        <f t="shared" si="888"/>
        <v/>
      </c>
      <c r="W2034" s="46" t="str">
        <f t="shared" si="888"/>
        <v/>
      </c>
      <c r="X2034" s="46" t="str">
        <f t="shared" si="888"/>
        <v/>
      </c>
    </row>
    <row r="2035" spans="2:24" x14ac:dyDescent="0.25">
      <c r="B2035" s="18"/>
      <c r="C2035" s="18"/>
      <c r="D2035" s="18"/>
      <c r="E2035" s="40"/>
      <c r="F2035" s="18"/>
      <c r="G2035" s="40"/>
      <c r="N2035" s="8" t="str">
        <f>IF(R2035="x",1,"")</f>
        <v/>
      </c>
      <c r="O2035" s="18"/>
      <c r="P2035" s="13"/>
      <c r="Q2035" s="13"/>
      <c r="R2035" s="13"/>
      <c r="S2035" s="13"/>
      <c r="T2035" s="15"/>
      <c r="U2035" s="46" t="str">
        <f t="shared" ref="U2035:X2043" si="890">IF($O2035=U$5,$L2035,"")</f>
        <v/>
      </c>
      <c r="V2035" s="46" t="str">
        <f t="shared" si="890"/>
        <v/>
      </c>
      <c r="W2035" s="46" t="str">
        <f t="shared" si="890"/>
        <v/>
      </c>
      <c r="X2035" s="46" t="str">
        <f t="shared" si="890"/>
        <v/>
      </c>
    </row>
    <row r="2036" spans="2:24" x14ac:dyDescent="0.25">
      <c r="B2036" s="18"/>
      <c r="C2036" s="18"/>
      <c r="D2036" s="18"/>
      <c r="E2036" s="40"/>
      <c r="F2036" s="18"/>
      <c r="G2036" s="40"/>
      <c r="N2036" s="8" t="str">
        <f>IF(R2036="x",1,"")</f>
        <v/>
      </c>
      <c r="O2036" s="18"/>
      <c r="P2036" s="13"/>
      <c r="Q2036" s="13"/>
      <c r="R2036" s="13"/>
      <c r="S2036" s="13"/>
      <c r="T2036" s="15"/>
      <c r="U2036" s="46" t="str">
        <f t="shared" si="890"/>
        <v/>
      </c>
      <c r="V2036" s="46" t="str">
        <f t="shared" si="890"/>
        <v/>
      </c>
      <c r="W2036" s="46" t="str">
        <f t="shared" si="890"/>
        <v/>
      </c>
      <c r="X2036" s="46" t="str">
        <f t="shared" si="890"/>
        <v/>
      </c>
    </row>
    <row r="2037" spans="2:24" x14ac:dyDescent="0.25">
      <c r="B2037" s="11" t="str">
        <f>CONCATENATE("ILDF","-",LEFT(P2037,2),UPPER(MID(P2037,4,3)),RIGHT(P2037,4))</f>
        <v>ILDF-25APR1928</v>
      </c>
      <c r="C2037" s="11" t="s">
        <v>5502</v>
      </c>
      <c r="D2037" s="11" t="s">
        <v>1699</v>
      </c>
      <c r="E2037" s="39" t="s">
        <v>5503</v>
      </c>
      <c r="F2037" s="11" t="s">
        <v>1700</v>
      </c>
      <c r="G2037" s="39" t="s">
        <v>5504</v>
      </c>
      <c r="H2037" s="7">
        <v>0</v>
      </c>
      <c r="I2037" s="7">
        <v>3</v>
      </c>
      <c r="J2037" s="17">
        <f>1+1</f>
        <v>2</v>
      </c>
      <c r="K2037" s="17"/>
      <c r="L2037" s="7">
        <f>SUM(H2037:K2037)</f>
        <v>5</v>
      </c>
      <c r="M2037" s="8">
        <v>1</v>
      </c>
      <c r="N2037" s="8">
        <f>IF(L2037&gt;0,1,"")</f>
        <v>1</v>
      </c>
      <c r="O2037" s="11" t="s">
        <v>1702</v>
      </c>
      <c r="P2037" s="16" t="str">
        <f>IF(LEN(G2037)=10,CONCATENATE("0",G2037),G2037)</f>
        <v>25-Apr-1928</v>
      </c>
      <c r="R2037" s="16" t="str">
        <f t="shared" ref="R2037:S2041" si="891">IF($L2037&gt;0,"x","")</f>
        <v>x</v>
      </c>
      <c r="S2037" s="16" t="str">
        <f t="shared" si="891"/>
        <v>x</v>
      </c>
      <c r="U2037" s="46" t="str">
        <f t="shared" si="890"/>
        <v/>
      </c>
      <c r="V2037" s="46">
        <f t="shared" si="890"/>
        <v>5</v>
      </c>
      <c r="W2037" s="46" t="str">
        <f t="shared" si="890"/>
        <v/>
      </c>
      <c r="X2037" s="46" t="str">
        <f t="shared" si="890"/>
        <v/>
      </c>
    </row>
    <row r="2038" spans="2:24" x14ac:dyDescent="0.25">
      <c r="B2038" s="11" t="str">
        <f>CONCATENATE("ILDF","-",LEFT(P2038,2),UPPER(MID(P2038,4,3)),RIGHT(P2038,4))</f>
        <v>ILDF-24SEP1929</v>
      </c>
      <c r="C2038" s="11" t="s">
        <v>5502</v>
      </c>
      <c r="D2038" s="11" t="s">
        <v>1699</v>
      </c>
      <c r="E2038" s="39" t="s">
        <v>11220</v>
      </c>
      <c r="F2038" s="11" t="s">
        <v>1700</v>
      </c>
      <c r="G2038" s="39" t="s">
        <v>11221</v>
      </c>
      <c r="H2038" s="7">
        <f>0+1</f>
        <v>1</v>
      </c>
      <c r="I2038" s="7">
        <v>1</v>
      </c>
      <c r="J2038" s="17">
        <v>2</v>
      </c>
      <c r="K2038" s="17"/>
      <c r="L2038" s="7">
        <f>SUM(H2038:K2038)</f>
        <v>4</v>
      </c>
      <c r="M2038" s="8">
        <v>1</v>
      </c>
      <c r="N2038" s="8">
        <f>IF(L2038&gt;0,1,"")</f>
        <v>1</v>
      </c>
      <c r="O2038" s="11" t="s">
        <v>1702</v>
      </c>
      <c r="P2038" s="16" t="str">
        <f>IF(LEN(G2038)=10,CONCATENATE("0",G2038),G2038)</f>
        <v>24-Sep-1929</v>
      </c>
      <c r="R2038" s="16" t="str">
        <f t="shared" si="891"/>
        <v>x</v>
      </c>
      <c r="S2038" s="16" t="str">
        <f t="shared" si="891"/>
        <v>x</v>
      </c>
      <c r="U2038" s="46" t="str">
        <f t="shared" si="890"/>
        <v/>
      </c>
      <c r="V2038" s="46">
        <f t="shared" si="890"/>
        <v>4</v>
      </c>
      <c r="W2038" s="46" t="str">
        <f t="shared" si="890"/>
        <v/>
      </c>
      <c r="X2038" s="46" t="str">
        <f t="shared" si="890"/>
        <v/>
      </c>
    </row>
    <row r="2039" spans="2:24" x14ac:dyDescent="0.25">
      <c r="B2039" s="11" t="str">
        <f>CONCATENATE("ILDF","-",LEFT(P2039,2),UPPER(MID(P2039,4,3)),RIGHT(P2039,4))</f>
        <v>ILDF-07NOV1929</v>
      </c>
      <c r="C2039" s="11" t="s">
        <v>5502</v>
      </c>
      <c r="D2039" s="11" t="s">
        <v>1699</v>
      </c>
      <c r="E2039" s="39" t="s">
        <v>6136</v>
      </c>
      <c r="F2039" s="11" t="s">
        <v>1700</v>
      </c>
      <c r="G2039" s="39" t="s">
        <v>6137</v>
      </c>
      <c r="H2039" s="7">
        <f>0+1</f>
        <v>1</v>
      </c>
      <c r="I2039" s="7">
        <v>0</v>
      </c>
      <c r="J2039" s="17">
        <f>5+4</f>
        <v>9</v>
      </c>
      <c r="K2039" s="17"/>
      <c r="L2039" s="7">
        <f>SUM(H2039:K2039)</f>
        <v>10</v>
      </c>
      <c r="M2039" s="8">
        <v>1</v>
      </c>
      <c r="N2039" s="8">
        <f>IF(L2039&gt;0,1,"")</f>
        <v>1</v>
      </c>
      <c r="O2039" s="11" t="s">
        <v>1702</v>
      </c>
      <c r="P2039" s="16" t="str">
        <f>IF(LEN(G2039)=10,CONCATENATE("0",G2039),G2039)</f>
        <v>07-Nov-1929</v>
      </c>
      <c r="R2039" s="16" t="str">
        <f t="shared" si="891"/>
        <v>x</v>
      </c>
      <c r="S2039" s="16" t="str">
        <f t="shared" si="891"/>
        <v>x</v>
      </c>
      <c r="U2039" s="46" t="str">
        <f t="shared" si="890"/>
        <v/>
      </c>
      <c r="V2039" s="46">
        <f t="shared" si="890"/>
        <v>10</v>
      </c>
      <c r="W2039" s="46" t="str">
        <f t="shared" si="890"/>
        <v/>
      </c>
      <c r="X2039" s="46" t="str">
        <f t="shared" si="890"/>
        <v/>
      </c>
    </row>
    <row r="2040" spans="2:24" x14ac:dyDescent="0.25">
      <c r="B2040" s="11" t="str">
        <f>CONCATENATE("ILDF","-",LEFT(P2040,2),UPPER(MID(P2040,4,3)),RIGHT(P2040,4))</f>
        <v>ILDF-25MAR1930</v>
      </c>
      <c r="C2040" s="11" t="s">
        <v>5502</v>
      </c>
      <c r="D2040" s="11" t="s">
        <v>1699</v>
      </c>
      <c r="E2040" s="39" t="s">
        <v>5782</v>
      </c>
      <c r="F2040" s="11" t="s">
        <v>1700</v>
      </c>
      <c r="G2040" s="39" t="s">
        <v>5783</v>
      </c>
      <c r="H2040" s="7">
        <v>0</v>
      </c>
      <c r="I2040" s="7">
        <v>3</v>
      </c>
      <c r="J2040" s="17">
        <f>4+1</f>
        <v>5</v>
      </c>
      <c r="K2040" s="17"/>
      <c r="L2040" s="7">
        <f>SUM(H2040:K2040)</f>
        <v>8</v>
      </c>
      <c r="M2040" s="8">
        <v>1</v>
      </c>
      <c r="N2040" s="8">
        <f>IF(L2040&gt;0,1,"")</f>
        <v>1</v>
      </c>
      <c r="O2040" s="11" t="s">
        <v>1702</v>
      </c>
      <c r="P2040" s="16" t="str">
        <f>IF(LEN(G2040)=10,CONCATENATE("0",G2040),G2040)</f>
        <v>25-Mar-1930</v>
      </c>
      <c r="R2040" s="16" t="str">
        <f t="shared" si="891"/>
        <v>x</v>
      </c>
      <c r="S2040" s="16" t="str">
        <f t="shared" si="891"/>
        <v>x</v>
      </c>
      <c r="U2040" s="46" t="str">
        <f t="shared" si="890"/>
        <v/>
      </c>
      <c r="V2040" s="46">
        <f t="shared" si="890"/>
        <v>8</v>
      </c>
      <c r="W2040" s="46" t="str">
        <f t="shared" si="890"/>
        <v/>
      </c>
      <c r="X2040" s="46" t="str">
        <f t="shared" si="890"/>
        <v/>
      </c>
    </row>
    <row r="2041" spans="2:24" x14ac:dyDescent="0.25">
      <c r="B2041" s="11" t="str">
        <f>CONCATENATE("ILDF","-",LEFT(P2041,2),UPPER(MID(P2041,4,3)),RIGHT(P2041,4))</f>
        <v>ILDF-10MAY1939</v>
      </c>
      <c r="C2041" s="11" t="s">
        <v>5502</v>
      </c>
      <c r="D2041" s="11" t="s">
        <v>1699</v>
      </c>
      <c r="E2041" s="39" t="s">
        <v>11176</v>
      </c>
      <c r="F2041" s="11" t="s">
        <v>1700</v>
      </c>
      <c r="G2041" s="39" t="s">
        <v>11175</v>
      </c>
      <c r="I2041" s="7">
        <v>0</v>
      </c>
      <c r="J2041" s="17">
        <f>1+1</f>
        <v>2</v>
      </c>
      <c r="K2041" s="17"/>
      <c r="L2041" s="7">
        <f>SUM(H2041:K2041)</f>
        <v>2</v>
      </c>
      <c r="M2041" s="8">
        <v>1</v>
      </c>
      <c r="N2041" s="8">
        <f>IF(L2041&gt;0,1,"")</f>
        <v>1</v>
      </c>
      <c r="O2041" s="11" t="s">
        <v>1702</v>
      </c>
      <c r="P2041" s="16" t="str">
        <f>IF(LEN(G2041)=10,CONCATENATE("0",G2041),G2041)</f>
        <v>10-May-1939</v>
      </c>
      <c r="R2041" s="16" t="str">
        <f t="shared" si="891"/>
        <v>x</v>
      </c>
      <c r="S2041" s="16" t="str">
        <f t="shared" si="891"/>
        <v>x</v>
      </c>
      <c r="U2041" s="46" t="str">
        <f t="shared" si="890"/>
        <v/>
      </c>
      <c r="V2041" s="46">
        <f t="shared" si="890"/>
        <v>2</v>
      </c>
      <c r="W2041" s="46" t="str">
        <f t="shared" si="890"/>
        <v/>
      </c>
      <c r="X2041" s="46" t="str">
        <f t="shared" si="890"/>
        <v/>
      </c>
    </row>
    <row r="2042" spans="2:24" x14ac:dyDescent="0.25">
      <c r="N2042" s="8" t="str">
        <f>IF(R2042="x",1,"")</f>
        <v/>
      </c>
      <c r="U2042" s="46" t="str">
        <f t="shared" si="890"/>
        <v/>
      </c>
      <c r="V2042" s="46" t="str">
        <f t="shared" si="890"/>
        <v/>
      </c>
      <c r="W2042" s="46" t="str">
        <f t="shared" si="890"/>
        <v/>
      </c>
      <c r="X2042" s="46" t="str">
        <f t="shared" si="890"/>
        <v/>
      </c>
    </row>
    <row r="2043" spans="2:24" x14ac:dyDescent="0.25">
      <c r="B2043" s="18"/>
      <c r="C2043" s="18"/>
      <c r="D2043" s="18"/>
      <c r="E2043" s="40"/>
      <c r="F2043" s="18"/>
      <c r="G2043" s="40"/>
      <c r="H2043" s="7">
        <f t="shared" ref="H2043:N2043" si="892">SUM(H2037:H2042)</f>
        <v>2</v>
      </c>
      <c r="I2043" s="7">
        <f t="shared" si="892"/>
        <v>7</v>
      </c>
      <c r="J2043" s="7">
        <f>SUM(J2037:J2042)</f>
        <v>20</v>
      </c>
      <c r="K2043" s="7">
        <f t="shared" si="892"/>
        <v>0</v>
      </c>
      <c r="L2043" s="7">
        <f t="shared" si="892"/>
        <v>29</v>
      </c>
      <c r="M2043" s="7">
        <f t="shared" si="892"/>
        <v>5</v>
      </c>
      <c r="N2043" s="7">
        <f t="shared" si="892"/>
        <v>5</v>
      </c>
      <c r="O2043" s="18"/>
      <c r="P2043" s="13"/>
      <c r="Q2043" s="13"/>
      <c r="S2043" s="13"/>
      <c r="T2043" s="15"/>
      <c r="U2043" s="46" t="str">
        <f t="shared" si="890"/>
        <v/>
      </c>
      <c r="V2043" s="46" t="str">
        <f t="shared" si="890"/>
        <v/>
      </c>
      <c r="W2043" s="46" t="str">
        <f t="shared" si="890"/>
        <v/>
      </c>
      <c r="X2043" s="46" t="str">
        <f t="shared" si="890"/>
        <v/>
      </c>
    </row>
    <row r="2044" spans="2:24" x14ac:dyDescent="0.25">
      <c r="B2044" s="18"/>
      <c r="C2044" s="18"/>
      <c r="D2044" s="18"/>
      <c r="E2044" s="40"/>
      <c r="F2044" s="18"/>
      <c r="G2044" s="40"/>
      <c r="N2044" s="8" t="str">
        <f>IF(R2044="x",1,"")</f>
        <v/>
      </c>
      <c r="O2044" s="18"/>
      <c r="P2044" s="13"/>
      <c r="Q2044" s="13"/>
      <c r="R2044" s="13"/>
      <c r="S2044" s="13"/>
      <c r="T2044" s="15"/>
      <c r="U2044" s="46" t="str">
        <f t="shared" ref="U2044:X2061" si="893">IF($O2044=U$5,$L2044,"")</f>
        <v/>
      </c>
      <c r="V2044" s="46" t="str">
        <f t="shared" si="893"/>
        <v/>
      </c>
      <c r="W2044" s="46" t="str">
        <f t="shared" si="893"/>
        <v/>
      </c>
      <c r="X2044" s="46" t="str">
        <f t="shared" si="893"/>
        <v/>
      </c>
    </row>
    <row r="2045" spans="2:24" x14ac:dyDescent="0.25">
      <c r="B2045" s="18"/>
      <c r="C2045" s="18"/>
      <c r="D2045" s="18"/>
      <c r="E2045" s="40"/>
      <c r="F2045" s="18"/>
      <c r="G2045" s="40"/>
      <c r="N2045" s="8" t="str">
        <f>IF(R2045="x",1,"")</f>
        <v/>
      </c>
      <c r="O2045" s="18"/>
      <c r="P2045" s="13"/>
      <c r="Q2045" s="13"/>
      <c r="R2045" s="13"/>
      <c r="S2045" s="13"/>
      <c r="T2045" s="15"/>
      <c r="U2045" s="46" t="str">
        <f t="shared" si="893"/>
        <v/>
      </c>
      <c r="V2045" s="46" t="str">
        <f t="shared" si="893"/>
        <v/>
      </c>
      <c r="W2045" s="46" t="str">
        <f t="shared" si="893"/>
        <v/>
      </c>
      <c r="X2045" s="46" t="str">
        <f t="shared" si="893"/>
        <v/>
      </c>
    </row>
    <row r="2046" spans="2:24" x14ac:dyDescent="0.25">
      <c r="B2046" s="11" t="str">
        <f>CONCATENATE("IMPE","-",LEFT(P2046,2),UPPER(MID(P2046,4,3)),RIGHT(P2046,4))</f>
        <v>IMPE-24JUN1914</v>
      </c>
      <c r="C2046" s="11" t="s">
        <v>4614</v>
      </c>
      <c r="D2046" s="11" t="s">
        <v>3359</v>
      </c>
      <c r="E2046" s="39" t="s">
        <v>4695</v>
      </c>
      <c r="F2046" s="11" t="s">
        <v>1700</v>
      </c>
      <c r="G2046" s="39" t="s">
        <v>6023</v>
      </c>
      <c r="H2046" s="7">
        <v>0</v>
      </c>
      <c r="J2046" s="17">
        <v>9</v>
      </c>
      <c r="K2046" s="17"/>
      <c r="L2046" s="7">
        <f>SUM(H2046:K2046)</f>
        <v>9</v>
      </c>
      <c r="M2046" s="8">
        <v>1</v>
      </c>
      <c r="N2046" s="8">
        <f>IF(L2046&gt;0,1,"")</f>
        <v>1</v>
      </c>
      <c r="O2046" s="11" t="s">
        <v>1702</v>
      </c>
      <c r="P2046" s="16" t="str">
        <f>IF(LEN(G2046)=10,CONCATENATE("0",G2046),G2046)</f>
        <v>24-Jun-1914</v>
      </c>
      <c r="R2046" s="16" t="str">
        <f t="shared" ref="R2046:S2048" si="894">IF($L2046&gt;0,"x","")</f>
        <v>x</v>
      </c>
      <c r="S2046" s="16" t="str">
        <f t="shared" si="894"/>
        <v>x</v>
      </c>
      <c r="U2046" s="46" t="str">
        <f t="shared" si="893"/>
        <v/>
      </c>
      <c r="V2046" s="46">
        <f t="shared" si="893"/>
        <v>9</v>
      </c>
      <c r="W2046" s="46" t="str">
        <f t="shared" si="893"/>
        <v/>
      </c>
      <c r="X2046" s="46" t="str">
        <f t="shared" si="893"/>
        <v/>
      </c>
    </row>
    <row r="2047" spans="2:24" x14ac:dyDescent="0.25">
      <c r="B2047" s="11" t="str">
        <f>CONCATENATE("IMPE","-",LEFT(P2047,2),UPPER(MID(P2047,4,3)),RIGHT(P2047,4))</f>
        <v>IMPE-24JUN1914</v>
      </c>
      <c r="C2047" s="11" t="s">
        <v>4614</v>
      </c>
      <c r="D2047" s="11" t="s">
        <v>2224</v>
      </c>
      <c r="E2047" s="39" t="s">
        <v>3776</v>
      </c>
      <c r="F2047" s="11" t="s">
        <v>1700</v>
      </c>
      <c r="G2047" s="39" t="s">
        <v>6023</v>
      </c>
      <c r="H2047" s="7">
        <v>0</v>
      </c>
      <c r="I2047" s="7">
        <v>0</v>
      </c>
      <c r="J2047" s="17">
        <v>0</v>
      </c>
      <c r="K2047" s="17"/>
      <c r="L2047" s="7">
        <f>SUM(H2047:K2047)</f>
        <v>0</v>
      </c>
      <c r="M2047" s="8">
        <v>1</v>
      </c>
      <c r="N2047" s="8" t="str">
        <f>IF(L2047&gt;0,1,"")</f>
        <v/>
      </c>
      <c r="O2047" s="11" t="s">
        <v>1702</v>
      </c>
      <c r="P2047" s="16" t="str">
        <f>IF(LEN(G2047)=10,CONCATENATE("0",G2047),G2047)</f>
        <v>24-Jun-1914</v>
      </c>
      <c r="R2047" s="16" t="str">
        <f t="shared" si="894"/>
        <v/>
      </c>
      <c r="S2047" s="16" t="str">
        <f t="shared" si="894"/>
        <v/>
      </c>
      <c r="U2047" s="46" t="str">
        <f t="shared" si="893"/>
        <v/>
      </c>
      <c r="V2047" s="46">
        <f t="shared" si="893"/>
        <v>0</v>
      </c>
      <c r="W2047" s="46" t="str">
        <f t="shared" si="893"/>
        <v/>
      </c>
      <c r="X2047" s="46" t="str">
        <f t="shared" si="893"/>
        <v/>
      </c>
    </row>
    <row r="2048" spans="2:24" x14ac:dyDescent="0.25">
      <c r="B2048" s="11" t="str">
        <f>CONCATENATE("IMPE","-",LEFT(P2048,2),UPPER(MID(P2048,4,3)),RIGHT(P2048,4))</f>
        <v>IMPE-16NOV1920</v>
      </c>
      <c r="C2048" s="11" t="s">
        <v>4614</v>
      </c>
      <c r="D2048" s="11" t="s">
        <v>2224</v>
      </c>
      <c r="E2048" s="39" t="s">
        <v>3975</v>
      </c>
      <c r="F2048" s="11" t="s">
        <v>1700</v>
      </c>
      <c r="G2048" s="39" t="s">
        <v>2955</v>
      </c>
      <c r="H2048" s="7">
        <v>0</v>
      </c>
      <c r="J2048" s="17">
        <v>2</v>
      </c>
      <c r="K2048" s="17"/>
      <c r="L2048" s="7">
        <f>SUM(H2048:K2048)</f>
        <v>2</v>
      </c>
      <c r="M2048" s="8">
        <v>1</v>
      </c>
      <c r="N2048" s="8">
        <f>IF(L2048&gt;0,1,"")</f>
        <v>1</v>
      </c>
      <c r="O2048" s="11" t="s">
        <v>1702</v>
      </c>
      <c r="P2048" s="16" t="str">
        <f>IF(LEN(G2048)=10,CONCATENATE("0",G2048),G2048)</f>
        <v>16-Nov-1920</v>
      </c>
      <c r="R2048" s="16" t="str">
        <f t="shared" si="894"/>
        <v>x</v>
      </c>
      <c r="S2048" s="16" t="str">
        <f t="shared" si="894"/>
        <v>x</v>
      </c>
      <c r="U2048" s="46" t="str">
        <f t="shared" si="893"/>
        <v/>
      </c>
      <c r="V2048" s="46">
        <f t="shared" si="893"/>
        <v>2</v>
      </c>
      <c r="W2048" s="46" t="str">
        <f t="shared" si="893"/>
        <v/>
      </c>
      <c r="X2048" s="46" t="str">
        <f t="shared" si="893"/>
        <v/>
      </c>
    </row>
    <row r="2049" spans="2:24" x14ac:dyDescent="0.25">
      <c r="N2049" s="8" t="str">
        <f>IF(R2049="x",1,"")</f>
        <v/>
      </c>
      <c r="U2049" s="46" t="str">
        <f t="shared" si="893"/>
        <v/>
      </c>
      <c r="V2049" s="46" t="str">
        <f t="shared" si="893"/>
        <v/>
      </c>
      <c r="W2049" s="46" t="str">
        <f t="shared" si="893"/>
        <v/>
      </c>
      <c r="X2049" s="46" t="str">
        <f t="shared" si="893"/>
        <v/>
      </c>
    </row>
    <row r="2050" spans="2:24" x14ac:dyDescent="0.25">
      <c r="B2050" s="18"/>
      <c r="C2050" s="18"/>
      <c r="D2050" s="18"/>
      <c r="E2050" s="40"/>
      <c r="F2050" s="18"/>
      <c r="G2050" s="40"/>
      <c r="H2050" s="7">
        <f t="shared" ref="H2050:N2050" si="895">SUM(H2046:H2049)</f>
        <v>0</v>
      </c>
      <c r="I2050" s="7">
        <f t="shared" si="895"/>
        <v>0</v>
      </c>
      <c r="J2050" s="7">
        <f>SUM(J2046:J2049)</f>
        <v>11</v>
      </c>
      <c r="K2050" s="7">
        <f t="shared" si="895"/>
        <v>0</v>
      </c>
      <c r="L2050" s="7">
        <f t="shared" si="895"/>
        <v>11</v>
      </c>
      <c r="M2050" s="7">
        <f t="shared" si="895"/>
        <v>3</v>
      </c>
      <c r="N2050" s="7">
        <f t="shared" si="895"/>
        <v>2</v>
      </c>
      <c r="O2050" s="18"/>
      <c r="P2050" s="13"/>
      <c r="Q2050" s="13"/>
      <c r="S2050" s="13"/>
      <c r="T2050" s="15"/>
      <c r="U2050" s="46" t="str">
        <f t="shared" si="893"/>
        <v/>
      </c>
      <c r="V2050" s="46" t="str">
        <f t="shared" si="893"/>
        <v/>
      </c>
      <c r="W2050" s="46" t="str">
        <f t="shared" si="893"/>
        <v/>
      </c>
      <c r="X2050" s="46" t="str">
        <f t="shared" si="893"/>
        <v/>
      </c>
    </row>
    <row r="2051" spans="2:24" x14ac:dyDescent="0.25">
      <c r="B2051" s="18"/>
      <c r="C2051" s="18"/>
      <c r="D2051" s="18"/>
      <c r="E2051" s="40"/>
      <c r="F2051" s="18"/>
      <c r="G2051" s="40"/>
      <c r="N2051" s="8" t="str">
        <f>IF(R2051="x",1,"")</f>
        <v/>
      </c>
      <c r="O2051" s="18"/>
      <c r="P2051" s="13"/>
      <c r="Q2051" s="13"/>
      <c r="R2051" s="13"/>
      <c r="S2051" s="13"/>
      <c r="T2051" s="15"/>
      <c r="U2051" s="46" t="str">
        <f t="shared" si="893"/>
        <v/>
      </c>
      <c r="V2051" s="46" t="str">
        <f t="shared" si="893"/>
        <v/>
      </c>
      <c r="W2051" s="46" t="str">
        <f t="shared" si="893"/>
        <v/>
      </c>
      <c r="X2051" s="46" t="str">
        <f t="shared" si="893"/>
        <v/>
      </c>
    </row>
    <row r="2052" spans="2:24" x14ac:dyDescent="0.25">
      <c r="B2052" s="18"/>
      <c r="C2052" s="18"/>
      <c r="D2052" s="18"/>
      <c r="E2052" s="40"/>
      <c r="F2052" s="18"/>
      <c r="G2052" s="40"/>
      <c r="N2052" s="8" t="str">
        <f>IF(R2052="x",1,"")</f>
        <v/>
      </c>
      <c r="O2052" s="18"/>
      <c r="P2052" s="13"/>
      <c r="Q2052" s="13"/>
      <c r="R2052" s="13"/>
      <c r="S2052" s="13"/>
      <c r="T2052" s="15"/>
      <c r="U2052" s="46" t="str">
        <f t="shared" si="893"/>
        <v/>
      </c>
      <c r="V2052" s="46" t="str">
        <f t="shared" si="893"/>
        <v/>
      </c>
      <c r="W2052" s="46" t="str">
        <f t="shared" si="893"/>
        <v/>
      </c>
      <c r="X2052" s="46" t="str">
        <f t="shared" si="893"/>
        <v/>
      </c>
    </row>
    <row r="2053" spans="2:24" x14ac:dyDescent="0.25">
      <c r="B2053" s="11" t="str">
        <f>CONCATENATE("INMR","-",LEFT(P2053,2),UPPER(MID(P2053,4,3)),RIGHT(P2053,4))</f>
        <v>INMR-10NOV1917</v>
      </c>
      <c r="C2053" s="11" t="s">
        <v>5166</v>
      </c>
      <c r="D2053" s="11" t="s">
        <v>2440</v>
      </c>
      <c r="E2053" s="39" t="s">
        <v>5167</v>
      </c>
      <c r="F2053" s="11" t="s">
        <v>3366</v>
      </c>
      <c r="G2053" s="39" t="s">
        <v>5168</v>
      </c>
      <c r="H2053" s="7">
        <v>0</v>
      </c>
      <c r="I2053" s="7">
        <v>3</v>
      </c>
      <c r="J2053" s="17">
        <v>7</v>
      </c>
      <c r="K2053" s="17"/>
      <c r="L2053" s="7">
        <f>SUM(H2053:K2053)</f>
        <v>10</v>
      </c>
      <c r="M2053" s="8">
        <v>1</v>
      </c>
      <c r="N2053" s="8">
        <f>IF(L2053&gt;0,1,"")</f>
        <v>1</v>
      </c>
      <c r="O2053" s="11" t="s">
        <v>1702</v>
      </c>
      <c r="P2053" s="16" t="str">
        <f>IF(LEN(G2053)=10,CONCATENATE("0",G2053),G2053)</f>
        <v>10-Nov-1917</v>
      </c>
      <c r="R2053" s="16" t="str">
        <f>IF($L2053&gt;0,"x","")</f>
        <v>x</v>
      </c>
      <c r="S2053" s="16" t="str">
        <f>IF($L2053&gt;0,"x","")</f>
        <v>x</v>
      </c>
      <c r="U2053" s="46" t="str">
        <f t="shared" si="893"/>
        <v/>
      </c>
      <c r="V2053" s="46">
        <f t="shared" si="893"/>
        <v>10</v>
      </c>
      <c r="W2053" s="46" t="str">
        <f t="shared" si="893"/>
        <v/>
      </c>
      <c r="X2053" s="46" t="str">
        <f t="shared" si="893"/>
        <v/>
      </c>
    </row>
    <row r="2054" spans="2:24" x14ac:dyDescent="0.25">
      <c r="N2054" s="8" t="str">
        <f>IF(R2054="x",1,"")</f>
        <v/>
      </c>
      <c r="U2054" s="46" t="str">
        <f t="shared" si="893"/>
        <v/>
      </c>
      <c r="V2054" s="46" t="str">
        <f t="shared" si="893"/>
        <v/>
      </c>
      <c r="W2054" s="46" t="str">
        <f t="shared" si="893"/>
        <v/>
      </c>
      <c r="X2054" s="46" t="str">
        <f t="shared" si="893"/>
        <v/>
      </c>
    </row>
    <row r="2055" spans="2:24" x14ac:dyDescent="0.25">
      <c r="B2055" s="18"/>
      <c r="C2055" s="18"/>
      <c r="D2055" s="18"/>
      <c r="E2055" s="40"/>
      <c r="F2055" s="18"/>
      <c r="G2055" s="40"/>
      <c r="H2055" s="7">
        <f t="shared" ref="H2055:N2055" si="896">SUM(H2053:H2054)</f>
        <v>0</v>
      </c>
      <c r="I2055" s="7">
        <f t="shared" si="896"/>
        <v>3</v>
      </c>
      <c r="J2055" s="7">
        <f>SUM(J2053:J2054)</f>
        <v>7</v>
      </c>
      <c r="K2055" s="7">
        <f t="shared" si="896"/>
        <v>0</v>
      </c>
      <c r="L2055" s="7">
        <f t="shared" si="896"/>
        <v>10</v>
      </c>
      <c r="M2055" s="7">
        <f t="shared" si="896"/>
        <v>1</v>
      </c>
      <c r="N2055" s="7">
        <f t="shared" si="896"/>
        <v>1</v>
      </c>
      <c r="O2055" s="18"/>
      <c r="P2055" s="13"/>
      <c r="Q2055" s="13"/>
      <c r="S2055" s="13"/>
      <c r="T2055" s="15"/>
      <c r="U2055" s="46" t="str">
        <f t="shared" si="893"/>
        <v/>
      </c>
      <c r="V2055" s="46" t="str">
        <f t="shared" si="893"/>
        <v/>
      </c>
      <c r="W2055" s="46" t="str">
        <f t="shared" si="893"/>
        <v/>
      </c>
      <c r="X2055" s="46" t="str">
        <f t="shared" si="893"/>
        <v/>
      </c>
    </row>
    <row r="2056" spans="2:24" x14ac:dyDescent="0.25">
      <c r="B2056" s="18"/>
      <c r="C2056" s="18"/>
      <c r="D2056" s="18"/>
      <c r="E2056" s="40"/>
      <c r="F2056" s="18"/>
      <c r="G2056" s="40"/>
      <c r="N2056" s="8" t="str">
        <f>IF(R2056="x",1,"")</f>
        <v/>
      </c>
      <c r="O2056" s="18"/>
      <c r="P2056" s="13"/>
      <c r="Q2056" s="13"/>
      <c r="R2056" s="13"/>
      <c r="S2056" s="13"/>
      <c r="T2056" s="15"/>
      <c r="U2056" s="46" t="str">
        <f t="shared" si="893"/>
        <v/>
      </c>
      <c r="V2056" s="46" t="str">
        <f t="shared" si="893"/>
        <v/>
      </c>
      <c r="W2056" s="46" t="str">
        <f t="shared" si="893"/>
        <v/>
      </c>
      <c r="X2056" s="46" t="str">
        <f t="shared" si="893"/>
        <v/>
      </c>
    </row>
    <row r="2057" spans="2:24" x14ac:dyDescent="0.25">
      <c r="B2057" s="18"/>
      <c r="C2057" s="18"/>
      <c r="D2057" s="18"/>
      <c r="E2057" s="40"/>
      <c r="F2057" s="18"/>
      <c r="G2057" s="40"/>
      <c r="N2057" s="8" t="str">
        <f>IF(R2057="x",1,"")</f>
        <v/>
      </c>
      <c r="O2057" s="18"/>
      <c r="P2057" s="13"/>
      <c r="Q2057" s="13"/>
      <c r="R2057" s="13"/>
      <c r="S2057" s="13"/>
      <c r="T2057" s="15"/>
      <c r="U2057" s="46" t="str">
        <f t="shared" si="893"/>
        <v/>
      </c>
      <c r="V2057" s="46" t="str">
        <f t="shared" si="893"/>
        <v/>
      </c>
      <c r="W2057" s="46" t="str">
        <f t="shared" si="893"/>
        <v/>
      </c>
      <c r="X2057" s="46" t="str">
        <f t="shared" si="893"/>
        <v/>
      </c>
    </row>
    <row r="2058" spans="2:24" x14ac:dyDescent="0.25">
      <c r="B2058" s="11" t="str">
        <f>CONCATENATE("INDI","-",LEFT(P2058,2),UPPER(MID(P2058,4,3)),RIGHT(P2058,4))</f>
        <v>INDI-19OCT1908</v>
      </c>
      <c r="C2058" s="11" t="s">
        <v>4756</v>
      </c>
      <c r="D2058" s="11" t="s">
        <v>3007</v>
      </c>
      <c r="E2058" s="39" t="s">
        <v>1827</v>
      </c>
      <c r="F2058" s="11" t="s">
        <v>1700</v>
      </c>
      <c r="G2058" s="39" t="s">
        <v>6108</v>
      </c>
      <c r="H2058" s="7">
        <v>0</v>
      </c>
      <c r="J2058" s="17">
        <v>3</v>
      </c>
      <c r="K2058" s="17"/>
      <c r="L2058" s="7">
        <f>SUM(H2058:K2058)</f>
        <v>3</v>
      </c>
      <c r="M2058" s="8">
        <v>1</v>
      </c>
      <c r="N2058" s="8">
        <f>IF(L2058&gt;0,1,"")</f>
        <v>1</v>
      </c>
      <c r="O2058" s="11" t="s">
        <v>1702</v>
      </c>
      <c r="P2058" s="16" t="str">
        <f>IF(LEN(G2058)=10,CONCATENATE("0",G2058),G2058)</f>
        <v>19-Oct-1908</v>
      </c>
      <c r="R2058" s="16" t="str">
        <f>IF($L2058&gt;0,"x","")</f>
        <v>x</v>
      </c>
      <c r="S2058" s="16" t="str">
        <f>IF($L2058&gt;0,"x","")</f>
        <v>x</v>
      </c>
      <c r="U2058" s="46" t="str">
        <f t="shared" si="893"/>
        <v/>
      </c>
      <c r="V2058" s="46">
        <f t="shared" si="893"/>
        <v>3</v>
      </c>
      <c r="W2058" s="46" t="str">
        <f t="shared" si="893"/>
        <v/>
      </c>
      <c r="X2058" s="46" t="str">
        <f t="shared" si="893"/>
        <v/>
      </c>
    </row>
    <row r="2059" spans="2:24" x14ac:dyDescent="0.25">
      <c r="B2059" s="11" t="str">
        <f>CONCATENATE("INDI","-",LEFT(P2059,2),UPPER(MID(P2059,4,3)),RIGHT(P2059,4))</f>
        <v>INDI-05AUG1909</v>
      </c>
      <c r="C2059" s="11" t="s">
        <v>4756</v>
      </c>
      <c r="D2059" s="11" t="s">
        <v>3007</v>
      </c>
      <c r="E2059" s="39" t="s">
        <v>4642</v>
      </c>
      <c r="F2059" s="11" t="s">
        <v>1700</v>
      </c>
      <c r="G2059" s="39" t="s">
        <v>3378</v>
      </c>
      <c r="H2059" s="7">
        <v>0</v>
      </c>
      <c r="J2059" s="17">
        <v>67</v>
      </c>
      <c r="K2059" s="17"/>
      <c r="L2059" s="7">
        <f>SUM(H2059:K2059)</f>
        <v>67</v>
      </c>
      <c r="M2059" s="8">
        <v>1</v>
      </c>
      <c r="N2059" s="8">
        <f>IF(L2059&gt;0,1,"")</f>
        <v>1</v>
      </c>
      <c r="O2059" s="11" t="s">
        <v>1702</v>
      </c>
      <c r="P2059" s="16" t="str">
        <f>IF(LEN(G2059)=10,CONCATENATE("0",G2059),G2059)</f>
        <v>05-Aug-1909</v>
      </c>
      <c r="R2059" s="16" t="str">
        <f>IF($L2059&gt;0,"x","")</f>
        <v>x</v>
      </c>
      <c r="S2059" s="16" t="str">
        <f>IF($L2059&gt;0,"x","")</f>
        <v>x</v>
      </c>
      <c r="U2059" s="46" t="str">
        <f t="shared" si="893"/>
        <v/>
      </c>
      <c r="V2059" s="46">
        <f t="shared" si="893"/>
        <v>67</v>
      </c>
      <c r="W2059" s="46" t="str">
        <f t="shared" si="893"/>
        <v/>
      </c>
      <c r="X2059" s="46" t="str">
        <f t="shared" si="893"/>
        <v/>
      </c>
    </row>
    <row r="2060" spans="2:24" x14ac:dyDescent="0.25">
      <c r="N2060" s="8" t="str">
        <f>IF(R2060="x",1,"")</f>
        <v/>
      </c>
      <c r="U2060" s="46" t="str">
        <f t="shared" si="893"/>
        <v/>
      </c>
      <c r="V2060" s="46" t="str">
        <f t="shared" si="893"/>
        <v/>
      </c>
      <c r="W2060" s="46" t="str">
        <f t="shared" si="893"/>
        <v/>
      </c>
      <c r="X2060" s="46" t="str">
        <f t="shared" si="893"/>
        <v/>
      </c>
    </row>
    <row r="2061" spans="2:24" x14ac:dyDescent="0.25">
      <c r="B2061" s="18"/>
      <c r="C2061" s="18"/>
      <c r="D2061" s="18"/>
      <c r="E2061" s="40"/>
      <c r="F2061" s="18"/>
      <c r="G2061" s="40"/>
      <c r="H2061" s="7">
        <f t="shared" ref="H2061:N2061" si="897">SUM(H2058:H2060)</f>
        <v>0</v>
      </c>
      <c r="I2061" s="7">
        <f t="shared" si="897"/>
        <v>0</v>
      </c>
      <c r="J2061" s="7">
        <f>SUM(J2058:J2060)</f>
        <v>70</v>
      </c>
      <c r="K2061" s="7">
        <f t="shared" si="897"/>
        <v>0</v>
      </c>
      <c r="L2061" s="7">
        <f t="shared" si="897"/>
        <v>70</v>
      </c>
      <c r="M2061" s="7">
        <f t="shared" si="897"/>
        <v>2</v>
      </c>
      <c r="N2061" s="7">
        <f t="shared" si="897"/>
        <v>2</v>
      </c>
      <c r="O2061" s="18"/>
      <c r="P2061" s="13"/>
      <c r="Q2061" s="13"/>
      <c r="S2061" s="13"/>
      <c r="T2061" s="15"/>
      <c r="U2061" s="46" t="str">
        <f t="shared" si="893"/>
        <v/>
      </c>
      <c r="V2061" s="46" t="str">
        <f t="shared" si="893"/>
        <v/>
      </c>
      <c r="W2061" s="46" t="str">
        <f t="shared" si="893"/>
        <v/>
      </c>
      <c r="X2061" s="46" t="str">
        <f t="shared" si="893"/>
        <v/>
      </c>
    </row>
    <row r="2062" spans="2:24" x14ac:dyDescent="0.25">
      <c r="B2062" s="18"/>
      <c r="C2062" s="18"/>
      <c r="D2062" s="18"/>
      <c r="E2062" s="40"/>
      <c r="F2062" s="18"/>
      <c r="G2062" s="40"/>
      <c r="N2062" s="8" t="str">
        <f>IF(R2062="x",1,"")</f>
        <v/>
      </c>
      <c r="O2062" s="18"/>
      <c r="P2062" s="13"/>
      <c r="Q2062" s="13"/>
      <c r="R2062" s="13"/>
      <c r="S2062" s="13"/>
      <c r="T2062" s="15"/>
      <c r="U2062" s="46" t="str">
        <f t="shared" ref="U2062:X2067" si="898">IF($O2062=U$5,$L2062,"")</f>
        <v/>
      </c>
      <c r="V2062" s="46" t="str">
        <f t="shared" si="898"/>
        <v/>
      </c>
      <c r="W2062" s="46" t="str">
        <f t="shared" si="898"/>
        <v/>
      </c>
      <c r="X2062" s="46" t="str">
        <f t="shared" si="898"/>
        <v/>
      </c>
    </row>
    <row r="2063" spans="2:24" x14ac:dyDescent="0.25">
      <c r="B2063" s="18"/>
      <c r="C2063" s="18"/>
      <c r="D2063" s="18"/>
      <c r="E2063" s="40"/>
      <c r="F2063" s="18"/>
      <c r="G2063" s="40"/>
      <c r="N2063" s="8" t="str">
        <f>IF(R2063="x",1,"")</f>
        <v/>
      </c>
      <c r="O2063" s="18"/>
      <c r="P2063" s="13"/>
      <c r="Q2063" s="13"/>
      <c r="R2063" s="13"/>
      <c r="S2063" s="13"/>
      <c r="T2063" s="15"/>
      <c r="U2063" s="46" t="str">
        <f t="shared" si="898"/>
        <v/>
      </c>
      <c r="V2063" s="46" t="str">
        <f t="shared" si="898"/>
        <v/>
      </c>
      <c r="W2063" s="46" t="str">
        <f t="shared" si="898"/>
        <v/>
      </c>
      <c r="X2063" s="46" t="str">
        <f t="shared" si="898"/>
        <v/>
      </c>
    </row>
    <row r="2064" spans="2:24" x14ac:dyDescent="0.25">
      <c r="B2064" s="11" t="str">
        <f>CONCATENATE("IOAN","-",LEFT(P2064,2),UPPER(MID(P2064,4,3)),RIGHT(P2064,4))</f>
        <v>IOAN-02SEP1914</v>
      </c>
      <c r="C2064" s="11" t="s">
        <v>5432</v>
      </c>
      <c r="D2064" s="11" t="s">
        <v>1906</v>
      </c>
      <c r="E2064" s="39" t="s">
        <v>1043</v>
      </c>
      <c r="F2064" s="11" t="s">
        <v>1700</v>
      </c>
      <c r="G2064" s="39" t="s">
        <v>5801</v>
      </c>
      <c r="H2064" s="7">
        <v>0</v>
      </c>
      <c r="I2064" s="7">
        <v>0</v>
      </c>
      <c r="J2064" s="17">
        <v>3</v>
      </c>
      <c r="K2064" s="17"/>
      <c r="L2064" s="7">
        <f>SUM(H2064:K2064)</f>
        <v>3</v>
      </c>
      <c r="M2064" s="8">
        <v>1</v>
      </c>
      <c r="N2064" s="8">
        <f>IF(L2064&gt;0,1,"")</f>
        <v>1</v>
      </c>
      <c r="O2064" s="11" t="s">
        <v>1702</v>
      </c>
      <c r="P2064" s="16" t="str">
        <f>IF(LEN(G2064)=10,CONCATENATE("0",G2064),G2064)</f>
        <v>02-Sep-1914</v>
      </c>
      <c r="R2064" s="16" t="str">
        <f>IF($L2064&gt;0,"x","")</f>
        <v>x</v>
      </c>
      <c r="S2064" s="16" t="str">
        <f>IF($L2064&gt;0,"x","")</f>
        <v>x</v>
      </c>
      <c r="U2064" s="46" t="str">
        <f t="shared" si="898"/>
        <v/>
      </c>
      <c r="V2064" s="46">
        <f t="shared" si="898"/>
        <v>3</v>
      </c>
      <c r="W2064" s="46" t="str">
        <f t="shared" si="898"/>
        <v/>
      </c>
      <c r="X2064" s="46" t="str">
        <f t="shared" si="898"/>
        <v/>
      </c>
    </row>
    <row r="2065" spans="2:24" x14ac:dyDescent="0.25">
      <c r="B2065" s="11" t="str">
        <f>CONCATENATE("IOAN","-",LEFT(P2065,2),UPPER(MID(P2065,4,3)),RIGHT(P2065,4))</f>
        <v>IOAN-27DEC1915</v>
      </c>
      <c r="C2065" s="11" t="s">
        <v>5432</v>
      </c>
      <c r="D2065" s="11" t="s">
        <v>847</v>
      </c>
      <c r="E2065" s="39" t="s">
        <v>5433</v>
      </c>
      <c r="F2065" s="11" t="s">
        <v>1700</v>
      </c>
      <c r="G2065" s="39" t="s">
        <v>5434</v>
      </c>
      <c r="I2065" s="7">
        <v>2</v>
      </c>
      <c r="J2065" s="17">
        <v>3</v>
      </c>
      <c r="K2065" s="17"/>
      <c r="L2065" s="7">
        <f>SUM(H2065:K2065)</f>
        <v>5</v>
      </c>
      <c r="M2065" s="8">
        <v>1</v>
      </c>
      <c r="N2065" s="8">
        <f>IF(L2065&gt;0,1,"")</f>
        <v>1</v>
      </c>
      <c r="O2065" s="11" t="s">
        <v>1702</v>
      </c>
      <c r="P2065" s="16" t="str">
        <f>IF(LEN(G2065)=10,CONCATENATE("0",G2065),G2065)</f>
        <v>27-Dec-1915</v>
      </c>
      <c r="R2065" s="16" t="str">
        <f>IF($L2065&gt;0,"x","")</f>
        <v>x</v>
      </c>
      <c r="S2065" s="16" t="str">
        <f>IF($L2065&gt;0,"x","")</f>
        <v>x</v>
      </c>
      <c r="U2065" s="46" t="str">
        <f t="shared" si="898"/>
        <v/>
      </c>
      <c r="V2065" s="46">
        <f t="shared" si="898"/>
        <v>5</v>
      </c>
      <c r="W2065" s="46" t="str">
        <f t="shared" si="898"/>
        <v/>
      </c>
      <c r="X2065" s="46" t="str">
        <f t="shared" si="898"/>
        <v/>
      </c>
    </row>
    <row r="2066" spans="2:24" x14ac:dyDescent="0.25">
      <c r="N2066" s="8" t="str">
        <f>IF(R2066="x",1,"")</f>
        <v/>
      </c>
      <c r="U2066" s="46" t="str">
        <f t="shared" si="898"/>
        <v/>
      </c>
      <c r="V2066" s="46" t="str">
        <f t="shared" si="898"/>
        <v/>
      </c>
      <c r="W2066" s="46" t="str">
        <f t="shared" si="898"/>
        <v/>
      </c>
      <c r="X2066" s="46" t="str">
        <f t="shared" si="898"/>
        <v/>
      </c>
    </row>
    <row r="2067" spans="2:24" x14ac:dyDescent="0.25">
      <c r="B2067" s="18"/>
      <c r="C2067" s="18"/>
      <c r="D2067" s="18"/>
      <c r="E2067" s="40"/>
      <c r="F2067" s="18"/>
      <c r="G2067" s="40"/>
      <c r="H2067" s="7">
        <f t="shared" ref="H2067:N2067" si="899">SUM(H2064:H2066)</f>
        <v>0</v>
      </c>
      <c r="I2067" s="7">
        <f t="shared" si="899"/>
        <v>2</v>
      </c>
      <c r="J2067" s="7">
        <f>SUM(J2064:J2066)</f>
        <v>6</v>
      </c>
      <c r="K2067" s="7">
        <f t="shared" si="899"/>
        <v>0</v>
      </c>
      <c r="L2067" s="7">
        <f t="shared" si="899"/>
        <v>8</v>
      </c>
      <c r="M2067" s="7">
        <f t="shared" si="899"/>
        <v>2</v>
      </c>
      <c r="N2067" s="7">
        <f t="shared" si="899"/>
        <v>2</v>
      </c>
      <c r="O2067" s="18"/>
      <c r="P2067" s="13"/>
      <c r="Q2067" s="13"/>
      <c r="S2067" s="13"/>
      <c r="T2067" s="15"/>
      <c r="U2067" s="46" t="str">
        <f t="shared" si="898"/>
        <v/>
      </c>
      <c r="V2067" s="46" t="str">
        <f t="shared" si="898"/>
        <v/>
      </c>
      <c r="W2067" s="46" t="str">
        <f t="shared" si="898"/>
        <v/>
      </c>
      <c r="X2067" s="46" t="str">
        <f t="shared" si="898"/>
        <v/>
      </c>
    </row>
    <row r="2068" spans="2:24" x14ac:dyDescent="0.25">
      <c r="B2068" s="18"/>
      <c r="C2068" s="18"/>
      <c r="D2068" s="18"/>
      <c r="E2068" s="40"/>
      <c r="F2068" s="18"/>
      <c r="G2068" s="40"/>
      <c r="N2068" s="8" t="str">
        <f>IF(R2068="x",1,"")</f>
        <v/>
      </c>
      <c r="O2068" s="18"/>
      <c r="P2068" s="13"/>
      <c r="Q2068" s="13"/>
      <c r="R2068" s="13"/>
      <c r="S2068" s="13"/>
      <c r="T2068" s="15"/>
      <c r="U2068" s="46" t="str">
        <f t="shared" ref="U2068:X2070" si="900">IF($O2068=U$5,$L2068,"")</f>
        <v/>
      </c>
      <c r="V2068" s="46" t="str">
        <f t="shared" si="900"/>
        <v/>
      </c>
      <c r="W2068" s="46" t="str">
        <f t="shared" si="900"/>
        <v/>
      </c>
      <c r="X2068" s="46" t="str">
        <f t="shared" si="900"/>
        <v/>
      </c>
    </row>
    <row r="2069" spans="2:24" x14ac:dyDescent="0.25">
      <c r="B2069" s="18"/>
      <c r="C2069" s="18"/>
      <c r="D2069" s="18"/>
      <c r="E2069" s="40"/>
      <c r="F2069" s="18"/>
      <c r="G2069" s="40"/>
      <c r="N2069" s="8" t="str">
        <f>IF(R2069="x",1,"")</f>
        <v/>
      </c>
      <c r="O2069" s="18"/>
      <c r="P2069" s="13"/>
      <c r="Q2069" s="13"/>
      <c r="R2069" s="13"/>
      <c r="S2069" s="13"/>
      <c r="T2069" s="15"/>
      <c r="U2069" s="46" t="str">
        <f t="shared" si="900"/>
        <v/>
      </c>
      <c r="V2069" s="46" t="str">
        <f t="shared" si="900"/>
        <v/>
      </c>
      <c r="W2069" s="46" t="str">
        <f t="shared" si="900"/>
        <v/>
      </c>
      <c r="X2069" s="46" t="str">
        <f t="shared" si="900"/>
        <v/>
      </c>
    </row>
    <row r="2070" spans="2:24" x14ac:dyDescent="0.25">
      <c r="B2070" s="11" t="str">
        <f>CONCATENATE("IONI","-",LEFT(P2070,2),UPPER(MID(P2070,4,3)),RIGHT(P2070,4))</f>
        <v>IONI-08DEC1907</v>
      </c>
      <c r="C2070" s="11" t="s">
        <v>3453</v>
      </c>
      <c r="D2070" s="11" t="s">
        <v>2097</v>
      </c>
      <c r="E2070" s="39" t="s">
        <v>3454</v>
      </c>
      <c r="F2070" s="11" t="s">
        <v>2904</v>
      </c>
      <c r="G2070" s="39" t="s">
        <v>3452</v>
      </c>
      <c r="H2070" s="7">
        <v>0</v>
      </c>
      <c r="I2070" s="7">
        <v>0</v>
      </c>
      <c r="J2070" s="17">
        <v>35</v>
      </c>
      <c r="K2070" s="17"/>
      <c r="L2070" s="7">
        <f>SUM(H2070:K2070)</f>
        <v>35</v>
      </c>
      <c r="M2070" s="8">
        <v>1</v>
      </c>
      <c r="N2070" s="8">
        <f>IF(L2070&gt;0,1,"")</f>
        <v>1</v>
      </c>
      <c r="O2070" s="11" t="s">
        <v>1702</v>
      </c>
      <c r="P2070" s="16" t="str">
        <f>IF(LEN(G2070)=10,CONCATENATE("0",G2070),G2070)</f>
        <v>08-Dec-1907</v>
      </c>
      <c r="R2070" s="16" t="str">
        <f t="shared" ref="R2070:S2073" si="901">IF($L2070&gt;0,"x","")</f>
        <v>x</v>
      </c>
      <c r="S2070" s="16" t="str">
        <f t="shared" si="901"/>
        <v>x</v>
      </c>
      <c r="U2070" s="46" t="str">
        <f t="shared" si="900"/>
        <v/>
      </c>
      <c r="V2070" s="46">
        <f t="shared" si="900"/>
        <v>35</v>
      </c>
      <c r="W2070" s="46" t="str">
        <f t="shared" si="900"/>
        <v/>
      </c>
      <c r="X2070" s="46" t="str">
        <f t="shared" si="900"/>
        <v/>
      </c>
    </row>
    <row r="2071" spans="2:24" x14ac:dyDescent="0.25">
      <c r="B2071" s="11" t="str">
        <f>CONCATENATE("IONI","-",LEFT(P2071,2),UPPER(MID(P2071,4,3)),RIGHT(P2071,4))</f>
        <v>IONI-06MAY1912</v>
      </c>
      <c r="C2071" s="11" t="s">
        <v>3453</v>
      </c>
      <c r="D2071" s="11" t="s">
        <v>1699</v>
      </c>
      <c r="E2071" s="39" t="s">
        <v>1280</v>
      </c>
      <c r="F2071" s="11" t="s">
        <v>2813</v>
      </c>
      <c r="G2071" s="39" t="s">
        <v>3808</v>
      </c>
      <c r="J2071" s="17">
        <v>12</v>
      </c>
      <c r="K2071" s="17"/>
      <c r="L2071" s="7">
        <f>SUM(H2071:K2071)</f>
        <v>12</v>
      </c>
      <c r="M2071" s="8">
        <v>1</v>
      </c>
      <c r="N2071" s="8">
        <f>IF(L2071&gt;0,1,"")</f>
        <v>1</v>
      </c>
      <c r="O2071" s="11" t="s">
        <v>1702</v>
      </c>
      <c r="P2071" s="16" t="str">
        <f>IF(LEN(G2071)=10,CONCATENATE("0",G2071),G2071)</f>
        <v>06-May-1912</v>
      </c>
      <c r="R2071" s="16" t="str">
        <f t="shared" si="901"/>
        <v>x</v>
      </c>
      <c r="S2071" s="16" t="str">
        <f t="shared" si="901"/>
        <v>x</v>
      </c>
      <c r="U2071" s="46" t="str">
        <f t="shared" ref="U2071:X2072" si="902">IF($O2071=U$5,$L2071,"")</f>
        <v/>
      </c>
      <c r="V2071" s="46">
        <f t="shared" si="902"/>
        <v>12</v>
      </c>
      <c r="W2071" s="46" t="str">
        <f t="shared" si="902"/>
        <v/>
      </c>
      <c r="X2071" s="46" t="str">
        <f t="shared" si="902"/>
        <v/>
      </c>
    </row>
    <row r="2072" spans="2:24" x14ac:dyDescent="0.25">
      <c r="B2072" s="11" t="str">
        <f>CONCATENATE("IONI","-",LEFT(P2072,2),UPPER(MID(P2072,4,3)),RIGHT(P2072,4))</f>
        <v>IONI-04JUN1913</v>
      </c>
      <c r="C2072" s="11" t="s">
        <v>3453</v>
      </c>
      <c r="D2072" s="11" t="s">
        <v>1699</v>
      </c>
      <c r="E2072" s="39" t="s">
        <v>3651</v>
      </c>
      <c r="F2072" s="11" t="s">
        <v>2813</v>
      </c>
      <c r="G2072" s="39" t="s">
        <v>2535</v>
      </c>
      <c r="H2072" s="7">
        <v>0</v>
      </c>
      <c r="I2072" s="7">
        <v>0</v>
      </c>
      <c r="J2072" s="17">
        <v>3</v>
      </c>
      <c r="K2072" s="17"/>
      <c r="L2072" s="7">
        <f>SUM(H2072:K2072)</f>
        <v>3</v>
      </c>
      <c r="M2072" s="8">
        <v>1</v>
      </c>
      <c r="N2072" s="8">
        <f>IF(L2072&gt;0,1,"")</f>
        <v>1</v>
      </c>
      <c r="O2072" s="11" t="s">
        <v>1702</v>
      </c>
      <c r="P2072" s="16" t="str">
        <f>IF(LEN(G2072)=10,CONCATENATE("0",G2072),G2072)</f>
        <v>04-Jun-1913</v>
      </c>
      <c r="R2072" s="16" t="str">
        <f t="shared" si="901"/>
        <v>x</v>
      </c>
      <c r="S2072" s="16" t="str">
        <f t="shared" si="901"/>
        <v>x</v>
      </c>
      <c r="U2072" s="46" t="str">
        <f t="shared" si="902"/>
        <v/>
      </c>
      <c r="V2072" s="46">
        <f t="shared" si="902"/>
        <v>3</v>
      </c>
      <c r="W2072" s="46" t="str">
        <f t="shared" si="902"/>
        <v/>
      </c>
      <c r="X2072" s="46" t="str">
        <f t="shared" si="902"/>
        <v/>
      </c>
    </row>
    <row r="2073" spans="2:24" x14ac:dyDescent="0.25">
      <c r="B2073" s="11" t="str">
        <f>CONCATENATE("IONI","-",LEFT(P2073,2),UPPER(MID(P2073,4,3)),RIGHT(P2073,4))</f>
        <v>IONI-09JUL1913</v>
      </c>
      <c r="C2073" s="11" t="s">
        <v>3453</v>
      </c>
      <c r="D2073" s="11" t="s">
        <v>1699</v>
      </c>
      <c r="E2073" s="39" t="s">
        <v>1297</v>
      </c>
      <c r="F2073" s="11" t="s">
        <v>2813</v>
      </c>
      <c r="G2073" s="39" t="s">
        <v>3752</v>
      </c>
      <c r="H2073" s="7">
        <v>0</v>
      </c>
      <c r="I2073" s="7">
        <v>0</v>
      </c>
      <c r="J2073" s="17">
        <v>12</v>
      </c>
      <c r="K2073" s="17"/>
      <c r="L2073" s="7">
        <f>SUM(H2073:K2073)</f>
        <v>12</v>
      </c>
      <c r="M2073" s="8">
        <v>1</v>
      </c>
      <c r="N2073" s="8">
        <f>IF(L2073&gt;0,1,"")</f>
        <v>1</v>
      </c>
      <c r="O2073" s="11" t="s">
        <v>1702</v>
      </c>
      <c r="P2073" s="16" t="str">
        <f>IF(LEN(G2073)=10,CONCATENATE("0",G2073),G2073)</f>
        <v>09-Jul-1913</v>
      </c>
      <c r="R2073" s="16" t="str">
        <f t="shared" si="901"/>
        <v>x</v>
      </c>
      <c r="S2073" s="16" t="str">
        <f t="shared" si="901"/>
        <v>x</v>
      </c>
      <c r="U2073" s="46" t="str">
        <f t="shared" ref="U2073:X2075" si="903">IF($O2073=U$5,$L2073,"")</f>
        <v/>
      </c>
      <c r="V2073" s="46">
        <f t="shared" si="903"/>
        <v>12</v>
      </c>
      <c r="W2073" s="46" t="str">
        <f t="shared" si="903"/>
        <v/>
      </c>
      <c r="X2073" s="46" t="str">
        <f t="shared" si="903"/>
        <v/>
      </c>
    </row>
    <row r="2074" spans="2:24" x14ac:dyDescent="0.25">
      <c r="N2074" s="8" t="str">
        <f>IF(R2074="x",1,"")</f>
        <v/>
      </c>
      <c r="U2074" s="46" t="str">
        <f t="shared" si="903"/>
        <v/>
      </c>
      <c r="V2074" s="46" t="str">
        <f t="shared" si="903"/>
        <v/>
      </c>
      <c r="W2074" s="46" t="str">
        <f t="shared" si="903"/>
        <v/>
      </c>
      <c r="X2074" s="46" t="str">
        <f t="shared" si="903"/>
        <v/>
      </c>
    </row>
    <row r="2075" spans="2:24" x14ac:dyDescent="0.25">
      <c r="B2075" s="18"/>
      <c r="C2075" s="18"/>
      <c r="D2075" s="18"/>
      <c r="E2075" s="40"/>
      <c r="F2075" s="18"/>
      <c r="G2075" s="40"/>
      <c r="H2075" s="7">
        <f t="shared" ref="H2075:N2075" si="904">SUM(H2070:H2074)</f>
        <v>0</v>
      </c>
      <c r="I2075" s="7">
        <f t="shared" si="904"/>
        <v>0</v>
      </c>
      <c r="J2075" s="7">
        <f>SUM(J2070:J2074)</f>
        <v>62</v>
      </c>
      <c r="K2075" s="7">
        <f t="shared" si="904"/>
        <v>0</v>
      </c>
      <c r="L2075" s="7">
        <f t="shared" si="904"/>
        <v>62</v>
      </c>
      <c r="M2075" s="7">
        <f t="shared" si="904"/>
        <v>4</v>
      </c>
      <c r="N2075" s="7">
        <f t="shared" si="904"/>
        <v>4</v>
      </c>
      <c r="O2075" s="18"/>
      <c r="P2075" s="13"/>
      <c r="Q2075" s="13"/>
      <c r="S2075" s="13"/>
      <c r="T2075" s="15"/>
      <c r="U2075" s="46" t="str">
        <f t="shared" si="903"/>
        <v/>
      </c>
      <c r="V2075" s="46" t="str">
        <f t="shared" si="903"/>
        <v/>
      </c>
      <c r="W2075" s="46" t="str">
        <f t="shared" si="903"/>
        <v/>
      </c>
      <c r="X2075" s="46" t="str">
        <f t="shared" si="903"/>
        <v/>
      </c>
    </row>
    <row r="2076" spans="2:24" x14ac:dyDescent="0.25">
      <c r="B2076" s="18"/>
      <c r="C2076" s="18"/>
      <c r="D2076" s="18"/>
      <c r="E2076" s="40"/>
      <c r="F2076" s="18"/>
      <c r="G2076" s="40"/>
      <c r="N2076" s="8" t="str">
        <f>IF(R2076="x",1,"")</f>
        <v/>
      </c>
      <c r="O2076" s="18"/>
      <c r="P2076" s="13"/>
      <c r="Q2076" s="13"/>
      <c r="R2076" s="13"/>
      <c r="S2076" s="13"/>
      <c r="T2076" s="15"/>
      <c r="U2076" s="46" t="str">
        <f t="shared" ref="U2076:X2086" si="905">IF($O2076=U$5,$L2076,"")</f>
        <v/>
      </c>
      <c r="V2076" s="46" t="str">
        <f t="shared" si="905"/>
        <v/>
      </c>
      <c r="W2076" s="46" t="str">
        <f t="shared" si="905"/>
        <v/>
      </c>
      <c r="X2076" s="46" t="str">
        <f t="shared" si="905"/>
        <v/>
      </c>
    </row>
    <row r="2077" spans="2:24" x14ac:dyDescent="0.25">
      <c r="B2077" s="18"/>
      <c r="C2077" s="18"/>
      <c r="D2077" s="18"/>
      <c r="E2077" s="40"/>
      <c r="F2077" s="18"/>
      <c r="G2077" s="40"/>
      <c r="N2077" s="8" t="str">
        <f>IF(R2077="x",1,"")</f>
        <v/>
      </c>
      <c r="O2077" s="18"/>
      <c r="P2077" s="13"/>
      <c r="Q2077" s="13"/>
      <c r="R2077" s="13"/>
      <c r="S2077" s="13"/>
      <c r="T2077" s="15"/>
      <c r="U2077" s="46" t="str">
        <f t="shared" si="905"/>
        <v/>
      </c>
      <c r="V2077" s="46" t="str">
        <f t="shared" si="905"/>
        <v/>
      </c>
      <c r="W2077" s="46" t="str">
        <f t="shared" si="905"/>
        <v/>
      </c>
      <c r="X2077" s="46" t="str">
        <f t="shared" si="905"/>
        <v/>
      </c>
    </row>
    <row r="2078" spans="2:24" x14ac:dyDescent="0.25">
      <c r="B2078" s="11" t="str">
        <f t="shared" ref="B2078:B2084" si="906">CONCATENATE("ITAL","-",LEFT(P2078,2),UPPER(MID(P2078,4,3)),RIGHT(P2078,4))</f>
        <v>ITAL-09SEP1890</v>
      </c>
      <c r="C2078" s="11" t="s">
        <v>4872</v>
      </c>
      <c r="D2078" s="11" t="s">
        <v>1699</v>
      </c>
      <c r="F2078" s="11" t="s">
        <v>1700</v>
      </c>
      <c r="G2078" s="39" t="s">
        <v>6021</v>
      </c>
      <c r="J2078" s="17">
        <v>3</v>
      </c>
      <c r="K2078" s="17"/>
      <c r="L2078" s="7">
        <f t="shared" ref="L2078:L2084" si="907">SUM(H2078:K2078)</f>
        <v>3</v>
      </c>
      <c r="M2078" s="8">
        <v>1</v>
      </c>
      <c r="N2078" s="8">
        <f t="shared" ref="N2078:N2084" si="908">IF(L2078&gt;0,1,"")</f>
        <v>1</v>
      </c>
      <c r="O2078" s="11" t="s">
        <v>1702</v>
      </c>
      <c r="P2078" s="16" t="str">
        <f t="shared" ref="P2078:P2084" si="909">IF(LEN(G2078)=10,CONCATENATE("0",G2078),G2078)</f>
        <v>09-Sep-1890</v>
      </c>
      <c r="R2078" s="16" t="str">
        <f>IF($L2078&gt;0,"x","")</f>
        <v>x</v>
      </c>
      <c r="S2078" s="16" t="str">
        <f>IF($L2078&gt;0,"x","")</f>
        <v>x</v>
      </c>
      <c r="U2078" s="46" t="str">
        <f t="shared" si="905"/>
        <v/>
      </c>
      <c r="V2078" s="46">
        <f t="shared" si="905"/>
        <v>3</v>
      </c>
      <c r="W2078" s="46" t="str">
        <f t="shared" si="905"/>
        <v/>
      </c>
      <c r="X2078" s="46" t="str">
        <f t="shared" si="905"/>
        <v/>
      </c>
    </row>
    <row r="2079" spans="2:24" x14ac:dyDescent="0.25">
      <c r="B2079" s="11" t="str">
        <f>CONCATENATE("ITAL","-",LEFT(P2079,2),UPPER(MID(P2079,4,3)),RIGHT(P2079,4))</f>
        <v>ITAL-28JUN1892</v>
      </c>
      <c r="C2079" s="11" t="s">
        <v>4872</v>
      </c>
      <c r="D2079" s="11" t="s">
        <v>1699</v>
      </c>
      <c r="F2079" s="11" t="s">
        <v>1700</v>
      </c>
      <c r="G2079" s="39" t="s">
        <v>5049</v>
      </c>
      <c r="J2079" s="17">
        <v>25</v>
      </c>
      <c r="K2079" s="17"/>
      <c r="L2079" s="7">
        <f>SUM(H2079:K2079)</f>
        <v>25</v>
      </c>
      <c r="M2079" s="8">
        <v>1</v>
      </c>
      <c r="N2079" s="8">
        <f>IF(L2079&gt;0,1,"")</f>
        <v>1</v>
      </c>
      <c r="O2079" s="11" t="s">
        <v>1702</v>
      </c>
      <c r="P2079" s="16" t="str">
        <f>IF(LEN(G2079)=10,CONCATENATE("0",G2079),G2079)</f>
        <v>28-Jun-1892</v>
      </c>
      <c r="R2079" s="16" t="str">
        <f t="shared" ref="R2079:S2084" si="910">IF($L2079&gt;0,"x","")</f>
        <v>x</v>
      </c>
      <c r="S2079" s="16" t="str">
        <f t="shared" si="910"/>
        <v>x</v>
      </c>
      <c r="U2079" s="46" t="str">
        <f t="shared" si="905"/>
        <v/>
      </c>
      <c r="V2079" s="46">
        <f t="shared" si="905"/>
        <v>25</v>
      </c>
      <c r="W2079" s="46" t="str">
        <f t="shared" si="905"/>
        <v/>
      </c>
      <c r="X2079" s="46" t="str">
        <f t="shared" si="905"/>
        <v/>
      </c>
    </row>
    <row r="2080" spans="2:24" x14ac:dyDescent="0.25">
      <c r="B2080" s="11" t="str">
        <f t="shared" si="906"/>
        <v>ITAL-24JUN1910</v>
      </c>
      <c r="C2080" s="11" t="s">
        <v>4872</v>
      </c>
      <c r="D2080" s="11" t="s">
        <v>3007</v>
      </c>
      <c r="E2080" s="39" t="s">
        <v>5020</v>
      </c>
      <c r="F2080" s="11" t="s">
        <v>1700</v>
      </c>
      <c r="G2080" s="39" t="s">
        <v>5021</v>
      </c>
      <c r="H2080" s="7">
        <v>2</v>
      </c>
      <c r="J2080" s="17">
        <v>9</v>
      </c>
      <c r="K2080" s="17"/>
      <c r="L2080" s="7">
        <f t="shared" si="907"/>
        <v>11</v>
      </c>
      <c r="M2080" s="8">
        <v>1</v>
      </c>
      <c r="N2080" s="8">
        <f t="shared" si="908"/>
        <v>1</v>
      </c>
      <c r="O2080" s="11" t="s">
        <v>1702</v>
      </c>
      <c r="P2080" s="16" t="str">
        <f t="shared" si="909"/>
        <v>24-Jun-1910</v>
      </c>
      <c r="R2080" s="16" t="str">
        <f t="shared" si="910"/>
        <v>x</v>
      </c>
      <c r="S2080" s="16" t="str">
        <f t="shared" si="910"/>
        <v>x</v>
      </c>
      <c r="U2080" s="46" t="str">
        <f t="shared" si="905"/>
        <v/>
      </c>
      <c r="V2080" s="46">
        <f t="shared" si="905"/>
        <v>11</v>
      </c>
      <c r="W2080" s="46" t="str">
        <f t="shared" si="905"/>
        <v/>
      </c>
      <c r="X2080" s="46" t="str">
        <f t="shared" si="905"/>
        <v/>
      </c>
    </row>
    <row r="2081" spans="2:24" x14ac:dyDescent="0.25">
      <c r="B2081" s="11" t="str">
        <f t="shared" si="906"/>
        <v>ITAL-11MAY1911</v>
      </c>
      <c r="C2081" s="11" t="s">
        <v>4872</v>
      </c>
      <c r="D2081" s="11" t="s">
        <v>3007</v>
      </c>
      <c r="E2081" s="39" t="s">
        <v>5884</v>
      </c>
      <c r="F2081" s="11" t="s">
        <v>1700</v>
      </c>
      <c r="G2081" s="39" t="s">
        <v>5885</v>
      </c>
      <c r="H2081" s="7">
        <v>0</v>
      </c>
      <c r="J2081" s="17">
        <v>8</v>
      </c>
      <c r="K2081" s="17"/>
      <c r="L2081" s="7">
        <f t="shared" si="907"/>
        <v>8</v>
      </c>
      <c r="M2081" s="8">
        <v>1</v>
      </c>
      <c r="N2081" s="8">
        <f t="shared" si="908"/>
        <v>1</v>
      </c>
      <c r="O2081" s="11" t="s">
        <v>1702</v>
      </c>
      <c r="P2081" s="16" t="str">
        <f t="shared" si="909"/>
        <v>11-May-1911</v>
      </c>
      <c r="R2081" s="16" t="str">
        <f t="shared" si="910"/>
        <v>x</v>
      </c>
      <c r="S2081" s="16" t="str">
        <f t="shared" si="910"/>
        <v>x</v>
      </c>
      <c r="U2081" s="46" t="str">
        <f t="shared" si="905"/>
        <v/>
      </c>
      <c r="V2081" s="46">
        <f t="shared" si="905"/>
        <v>8</v>
      </c>
      <c r="W2081" s="46" t="str">
        <f t="shared" si="905"/>
        <v/>
      </c>
      <c r="X2081" s="46" t="str">
        <f t="shared" si="905"/>
        <v/>
      </c>
    </row>
    <row r="2082" spans="2:24" x14ac:dyDescent="0.25">
      <c r="B2082" s="11" t="str">
        <f t="shared" si="906"/>
        <v>ITAL-01JUL1911</v>
      </c>
      <c r="C2082" s="11" t="s">
        <v>4872</v>
      </c>
      <c r="D2082" s="11" t="s">
        <v>3007</v>
      </c>
      <c r="E2082" s="39" t="s">
        <v>4873</v>
      </c>
      <c r="F2082" s="11" t="s">
        <v>1700</v>
      </c>
      <c r="G2082" s="39" t="s">
        <v>1519</v>
      </c>
      <c r="H2082" s="7">
        <v>1</v>
      </c>
      <c r="J2082" s="17">
        <v>10</v>
      </c>
      <c r="K2082" s="17"/>
      <c r="L2082" s="7">
        <f t="shared" si="907"/>
        <v>11</v>
      </c>
      <c r="M2082" s="8">
        <v>1</v>
      </c>
      <c r="N2082" s="8">
        <f t="shared" si="908"/>
        <v>1</v>
      </c>
      <c r="O2082" s="11" t="s">
        <v>1702</v>
      </c>
      <c r="P2082" s="16" t="str">
        <f t="shared" si="909"/>
        <v>01-Jul-1911</v>
      </c>
      <c r="R2082" s="16" t="str">
        <f t="shared" si="910"/>
        <v>x</v>
      </c>
      <c r="S2082" s="16" t="str">
        <f t="shared" si="910"/>
        <v>x</v>
      </c>
      <c r="U2082" s="46" t="str">
        <f t="shared" si="905"/>
        <v/>
      </c>
      <c r="V2082" s="46">
        <f t="shared" si="905"/>
        <v>11</v>
      </c>
      <c r="W2082" s="46" t="str">
        <f t="shared" si="905"/>
        <v/>
      </c>
      <c r="X2082" s="46" t="str">
        <f t="shared" si="905"/>
        <v/>
      </c>
    </row>
    <row r="2083" spans="2:24" x14ac:dyDescent="0.25">
      <c r="B2083" s="11" t="str">
        <f t="shared" si="906"/>
        <v>ITAL-26OCT1911</v>
      </c>
      <c r="C2083" s="11" t="s">
        <v>4872</v>
      </c>
      <c r="D2083" s="11" t="s">
        <v>3007</v>
      </c>
      <c r="E2083" s="39" t="s">
        <v>5114</v>
      </c>
      <c r="F2083" s="11" t="s">
        <v>1700</v>
      </c>
      <c r="G2083" s="39" t="s">
        <v>5115</v>
      </c>
      <c r="H2083" s="7">
        <v>3</v>
      </c>
      <c r="J2083" s="17">
        <v>21</v>
      </c>
      <c r="K2083" s="17"/>
      <c r="L2083" s="7">
        <f t="shared" si="907"/>
        <v>24</v>
      </c>
      <c r="M2083" s="8">
        <v>1</v>
      </c>
      <c r="N2083" s="8">
        <f t="shared" si="908"/>
        <v>1</v>
      </c>
      <c r="O2083" s="11" t="s">
        <v>1702</v>
      </c>
      <c r="P2083" s="16" t="str">
        <f t="shared" si="909"/>
        <v>26-Oct-1911</v>
      </c>
      <c r="R2083" s="16" t="str">
        <f t="shared" si="910"/>
        <v>x</v>
      </c>
      <c r="S2083" s="16" t="str">
        <f t="shared" si="910"/>
        <v>x</v>
      </c>
      <c r="U2083" s="46" t="str">
        <f t="shared" si="905"/>
        <v/>
      </c>
      <c r="V2083" s="46">
        <f t="shared" si="905"/>
        <v>24</v>
      </c>
      <c r="W2083" s="46" t="str">
        <f t="shared" si="905"/>
        <v/>
      </c>
      <c r="X2083" s="46" t="str">
        <f t="shared" si="905"/>
        <v/>
      </c>
    </row>
    <row r="2084" spans="2:24" x14ac:dyDescent="0.25">
      <c r="B2084" s="11" t="str">
        <f t="shared" si="906"/>
        <v>ITAL-25DEC1911</v>
      </c>
      <c r="C2084" s="11" t="s">
        <v>4872</v>
      </c>
      <c r="D2084" s="11" t="s">
        <v>3007</v>
      </c>
      <c r="E2084" s="39" t="s">
        <v>2473</v>
      </c>
      <c r="F2084" s="11" t="s">
        <v>1700</v>
      </c>
      <c r="G2084" s="39" t="s">
        <v>3238</v>
      </c>
      <c r="H2084" s="7">
        <v>0</v>
      </c>
      <c r="J2084" s="17">
        <v>8</v>
      </c>
      <c r="K2084" s="17"/>
      <c r="L2084" s="7">
        <f t="shared" si="907"/>
        <v>8</v>
      </c>
      <c r="M2084" s="8">
        <v>1</v>
      </c>
      <c r="N2084" s="8">
        <f t="shared" si="908"/>
        <v>1</v>
      </c>
      <c r="O2084" s="11" t="s">
        <v>1702</v>
      </c>
      <c r="P2084" s="16" t="str">
        <f t="shared" si="909"/>
        <v>25-Dec-1911</v>
      </c>
      <c r="R2084" s="16" t="str">
        <f t="shared" si="910"/>
        <v>x</v>
      </c>
      <c r="S2084" s="16" t="str">
        <f t="shared" si="910"/>
        <v>x</v>
      </c>
      <c r="U2084" s="46" t="str">
        <f t="shared" si="905"/>
        <v/>
      </c>
      <c r="V2084" s="46">
        <f t="shared" si="905"/>
        <v>8</v>
      </c>
      <c r="W2084" s="46" t="str">
        <f t="shared" si="905"/>
        <v/>
      </c>
      <c r="X2084" s="46" t="str">
        <f t="shared" si="905"/>
        <v/>
      </c>
    </row>
    <row r="2085" spans="2:24" x14ac:dyDescent="0.25">
      <c r="N2085" s="8" t="str">
        <f>IF(R2085="x",1,"")</f>
        <v/>
      </c>
      <c r="U2085" s="46" t="str">
        <f t="shared" si="905"/>
        <v/>
      </c>
      <c r="V2085" s="46" t="str">
        <f t="shared" si="905"/>
        <v/>
      </c>
      <c r="W2085" s="46" t="str">
        <f t="shared" si="905"/>
        <v/>
      </c>
      <c r="X2085" s="46" t="str">
        <f t="shared" si="905"/>
        <v/>
      </c>
    </row>
    <row r="2086" spans="2:24" x14ac:dyDescent="0.25">
      <c r="B2086" s="18"/>
      <c r="C2086" s="18"/>
      <c r="D2086" s="18"/>
      <c r="E2086" s="40"/>
      <c r="F2086" s="18"/>
      <c r="G2086" s="40"/>
      <c r="H2086" s="7">
        <f t="shared" ref="H2086:N2086" si="911">SUM(H2078:H2085)</f>
        <v>6</v>
      </c>
      <c r="I2086" s="7">
        <f t="shared" si="911"/>
        <v>0</v>
      </c>
      <c r="J2086" s="7">
        <f>SUM(J2078:J2085)</f>
        <v>84</v>
      </c>
      <c r="K2086" s="7">
        <f t="shared" si="911"/>
        <v>0</v>
      </c>
      <c r="L2086" s="7">
        <f t="shared" si="911"/>
        <v>90</v>
      </c>
      <c r="M2086" s="7">
        <f t="shared" si="911"/>
        <v>7</v>
      </c>
      <c r="N2086" s="7">
        <f t="shared" si="911"/>
        <v>7</v>
      </c>
      <c r="O2086" s="18"/>
      <c r="P2086" s="13"/>
      <c r="Q2086" s="13"/>
      <c r="S2086" s="13"/>
      <c r="T2086" s="15"/>
      <c r="U2086" s="46" t="str">
        <f t="shared" si="905"/>
        <v/>
      </c>
      <c r="V2086" s="46" t="str">
        <f t="shared" si="905"/>
        <v/>
      </c>
      <c r="W2086" s="46" t="str">
        <f t="shared" si="905"/>
        <v/>
      </c>
      <c r="X2086" s="46" t="str">
        <f t="shared" si="905"/>
        <v/>
      </c>
    </row>
    <row r="2087" spans="2:24" x14ac:dyDescent="0.25">
      <c r="B2087" s="18"/>
      <c r="C2087" s="18"/>
      <c r="D2087" s="18"/>
      <c r="E2087" s="40"/>
      <c r="F2087" s="18"/>
      <c r="G2087" s="40"/>
      <c r="N2087" s="8" t="str">
        <f>IF(R2087="x",1,"")</f>
        <v/>
      </c>
      <c r="O2087" s="18"/>
      <c r="P2087" s="13"/>
      <c r="Q2087" s="13"/>
      <c r="R2087" s="13"/>
      <c r="S2087" s="13"/>
      <c r="T2087" s="15"/>
      <c r="U2087" s="46" t="str">
        <f t="shared" ref="U2087:X2090" si="912">IF($O2087=U$5,$L2087,"")</f>
        <v/>
      </c>
      <c r="V2087" s="46" t="str">
        <f t="shared" si="912"/>
        <v/>
      </c>
      <c r="W2087" s="46" t="str">
        <f t="shared" si="912"/>
        <v/>
      </c>
      <c r="X2087" s="46" t="str">
        <f t="shared" si="912"/>
        <v/>
      </c>
    </row>
    <row r="2088" spans="2:24" x14ac:dyDescent="0.25">
      <c r="B2088" s="18"/>
      <c r="C2088" s="18"/>
      <c r="D2088" s="18"/>
      <c r="E2088" s="40"/>
      <c r="F2088" s="18"/>
      <c r="G2088" s="40"/>
      <c r="N2088" s="8" t="str">
        <f>IF(R2088="x",1,"")</f>
        <v/>
      </c>
      <c r="O2088" s="18"/>
      <c r="P2088" s="13"/>
      <c r="Q2088" s="13"/>
      <c r="R2088" s="13"/>
      <c r="S2088" s="13"/>
      <c r="T2088" s="15"/>
      <c r="U2088" s="46" t="str">
        <f t="shared" si="912"/>
        <v/>
      </c>
      <c r="V2088" s="46" t="str">
        <f t="shared" si="912"/>
        <v/>
      </c>
      <c r="W2088" s="46" t="str">
        <f t="shared" si="912"/>
        <v/>
      </c>
      <c r="X2088" s="46" t="str">
        <f t="shared" si="912"/>
        <v/>
      </c>
    </row>
    <row r="2089" spans="2:24" x14ac:dyDescent="0.25">
      <c r="B2089" s="11" t="str">
        <f>CONCATENATE("IVER","-",LEFT(P2089,2),UPPER(MID(P2089,4,3)),RIGHT(P2089,4))</f>
        <v>IVER-17MAR1903</v>
      </c>
      <c r="C2089" s="11" t="s">
        <v>3063</v>
      </c>
      <c r="D2089" s="11" t="s">
        <v>2097</v>
      </c>
      <c r="E2089" s="39" t="s">
        <v>1649</v>
      </c>
      <c r="F2089" s="11" t="s">
        <v>1700</v>
      </c>
      <c r="G2089" s="39" t="s">
        <v>6040</v>
      </c>
      <c r="H2089" s="7">
        <v>0</v>
      </c>
      <c r="I2089" s="7">
        <v>0</v>
      </c>
      <c r="J2089" s="17">
        <v>1</v>
      </c>
      <c r="K2089" s="17"/>
      <c r="L2089" s="7">
        <f>SUM(H2089:K2089)</f>
        <v>1</v>
      </c>
      <c r="M2089" s="8">
        <v>1</v>
      </c>
      <c r="N2089" s="8">
        <f>IF(L2089&gt;0,1,"")</f>
        <v>1</v>
      </c>
      <c r="O2089" s="11" t="s">
        <v>1702</v>
      </c>
      <c r="P2089" s="16" t="str">
        <f>IF(LEN(G2089)=10,CONCATENATE("0",G2089),G2089)</f>
        <v>17-Mar-1903</v>
      </c>
      <c r="R2089" s="16" t="str">
        <f t="shared" ref="R2089:S2091" si="913">IF($L2089&gt;0,"x","")</f>
        <v>x</v>
      </c>
      <c r="S2089" s="16" t="str">
        <f t="shared" si="913"/>
        <v>x</v>
      </c>
      <c r="U2089" s="46" t="str">
        <f t="shared" si="912"/>
        <v/>
      </c>
      <c r="V2089" s="46">
        <f t="shared" si="912"/>
        <v>1</v>
      </c>
      <c r="W2089" s="46" t="str">
        <f t="shared" si="912"/>
        <v/>
      </c>
      <c r="X2089" s="46" t="str">
        <f t="shared" si="912"/>
        <v/>
      </c>
    </row>
    <row r="2090" spans="2:24" x14ac:dyDescent="0.25">
      <c r="B2090" s="11" t="str">
        <f>CONCATENATE("IVER","-",LEFT(P2090,2),UPPER(MID(P2090,4,3)),RIGHT(P2090,4))</f>
        <v>IVER-07APR1904</v>
      </c>
      <c r="C2090" s="11" t="s">
        <v>3063</v>
      </c>
      <c r="D2090" s="11" t="s">
        <v>2097</v>
      </c>
      <c r="E2090" s="39" t="s">
        <v>5287</v>
      </c>
      <c r="F2090" s="11" t="s">
        <v>3050</v>
      </c>
      <c r="G2090" s="39" t="s">
        <v>5288</v>
      </c>
      <c r="H2090" s="7">
        <v>0</v>
      </c>
      <c r="I2090" s="7">
        <v>4</v>
      </c>
      <c r="J2090" s="17">
        <v>5</v>
      </c>
      <c r="K2090" s="17"/>
      <c r="L2090" s="7">
        <f>SUM(H2090:K2090)</f>
        <v>9</v>
      </c>
      <c r="M2090" s="8">
        <v>1</v>
      </c>
      <c r="N2090" s="8">
        <f>IF(L2090&gt;0,1,"")</f>
        <v>1</v>
      </c>
      <c r="O2090" s="11" t="s">
        <v>1702</v>
      </c>
      <c r="P2090" s="16" t="str">
        <f>IF(LEN(G2090)=10,CONCATENATE("0",G2090),G2090)</f>
        <v>07-Apr-1904</v>
      </c>
      <c r="R2090" s="16" t="str">
        <f t="shared" si="913"/>
        <v>x</v>
      </c>
      <c r="S2090" s="16" t="str">
        <f t="shared" si="913"/>
        <v>x</v>
      </c>
      <c r="U2090" s="46" t="str">
        <f t="shared" si="912"/>
        <v/>
      </c>
      <c r="V2090" s="46">
        <f t="shared" si="912"/>
        <v>9</v>
      </c>
      <c r="W2090" s="46" t="str">
        <f t="shared" si="912"/>
        <v/>
      </c>
      <c r="X2090" s="46" t="str">
        <f t="shared" si="912"/>
        <v/>
      </c>
    </row>
    <row r="2091" spans="2:24" x14ac:dyDescent="0.25">
      <c r="B2091" s="11" t="str">
        <f>CONCATENATE("IVER","-",LEFT(P2091,2),UPPER(MID(P2091,4,3)),RIGHT(P2091,4))</f>
        <v>IVER-25AUG1904</v>
      </c>
      <c r="C2091" s="11" t="s">
        <v>3063</v>
      </c>
      <c r="D2091" s="11" t="s">
        <v>2097</v>
      </c>
      <c r="E2091" s="39" t="s">
        <v>5921</v>
      </c>
      <c r="F2091" s="11" t="s">
        <v>3050</v>
      </c>
      <c r="G2091" s="39" t="s">
        <v>5594</v>
      </c>
      <c r="H2091" s="7">
        <v>0</v>
      </c>
      <c r="I2091" s="7">
        <v>0</v>
      </c>
      <c r="J2091" s="17">
        <v>33</v>
      </c>
      <c r="K2091" s="17"/>
      <c r="L2091" s="7">
        <f>SUM(H2091:K2091)</f>
        <v>33</v>
      </c>
      <c r="M2091" s="8">
        <v>1</v>
      </c>
      <c r="N2091" s="8">
        <f>IF(L2091&gt;0,1,"")</f>
        <v>1</v>
      </c>
      <c r="O2091" s="11" t="s">
        <v>1702</v>
      </c>
      <c r="P2091" s="16" t="str">
        <f>IF(LEN(G2091)=10,CONCATENATE("0",G2091),G2091)</f>
        <v>25-Aug-1904</v>
      </c>
      <c r="R2091" s="16" t="str">
        <f t="shared" si="913"/>
        <v>x</v>
      </c>
      <c r="S2091" s="16" t="str">
        <f t="shared" si="913"/>
        <v>x</v>
      </c>
      <c r="U2091" s="46" t="str">
        <f t="shared" ref="U2091:X2092" si="914">IF($O2091=U$5,$L2091,"")</f>
        <v/>
      </c>
      <c r="V2091" s="46">
        <f t="shared" si="914"/>
        <v>33</v>
      </c>
      <c r="W2091" s="46" t="str">
        <f t="shared" si="914"/>
        <v/>
      </c>
      <c r="X2091" s="46" t="str">
        <f t="shared" si="914"/>
        <v/>
      </c>
    </row>
    <row r="2092" spans="2:24" x14ac:dyDescent="0.25">
      <c r="B2092" s="11" t="str">
        <f t="shared" ref="B2092:B2101" si="915">CONCATENATE("IVER","-",LEFT(P2092,2),UPPER(MID(P2092,4,3)),RIGHT(P2092,4))</f>
        <v>IVER-27JAN1905</v>
      </c>
      <c r="C2092" s="11" t="s">
        <v>3063</v>
      </c>
      <c r="D2092" s="11" t="s">
        <v>2097</v>
      </c>
      <c r="E2092" s="39" t="s">
        <v>3768</v>
      </c>
      <c r="F2092" s="11" t="s">
        <v>3050</v>
      </c>
      <c r="G2092" s="39" t="s">
        <v>3769</v>
      </c>
      <c r="H2092" s="7">
        <v>0</v>
      </c>
      <c r="I2092" s="7">
        <v>0</v>
      </c>
      <c r="J2092" s="17">
        <v>6</v>
      </c>
      <c r="K2092" s="17"/>
      <c r="L2092" s="7">
        <f t="shared" ref="L2092:L2101" si="916">SUM(H2092:K2092)</f>
        <v>6</v>
      </c>
      <c r="M2092" s="8">
        <v>1</v>
      </c>
      <c r="N2092" s="8">
        <f t="shared" ref="N2092:N2101" si="917">IF(L2092&gt;0,1,"")</f>
        <v>1</v>
      </c>
      <c r="O2092" s="11" t="s">
        <v>1702</v>
      </c>
      <c r="P2092" s="16" t="str">
        <f t="shared" ref="P2092:P2101" si="918">IF(LEN(G2092)=10,CONCATENATE("0",G2092),G2092)</f>
        <v>27-Jan-1905</v>
      </c>
      <c r="R2092" s="16" t="str">
        <f t="shared" ref="R2092:S2105" si="919">IF($L2092&gt;0,"x","")</f>
        <v>x</v>
      </c>
      <c r="S2092" s="16" t="str">
        <f t="shared" si="919"/>
        <v>x</v>
      </c>
      <c r="U2092" s="46" t="str">
        <f t="shared" si="914"/>
        <v/>
      </c>
      <c r="V2092" s="46">
        <f t="shared" si="914"/>
        <v>6</v>
      </c>
      <c r="W2092" s="46" t="str">
        <f t="shared" si="914"/>
        <v/>
      </c>
      <c r="X2092" s="46" t="str">
        <f t="shared" si="914"/>
        <v/>
      </c>
    </row>
    <row r="2093" spans="2:24" x14ac:dyDescent="0.25">
      <c r="B2093" s="11" t="str">
        <f>CONCATENATE("IVER","-",LEFT(P2093,2),UPPER(MID(P2093,4,3)),RIGHT(P2093,4))</f>
        <v>IVER-30AUG1906</v>
      </c>
      <c r="C2093" s="11" t="s">
        <v>3063</v>
      </c>
      <c r="D2093" s="11" t="s">
        <v>2097</v>
      </c>
      <c r="E2093" s="39" t="s">
        <v>3800</v>
      </c>
      <c r="F2093" s="11" t="s">
        <v>3050</v>
      </c>
      <c r="G2093" s="39" t="s">
        <v>6299</v>
      </c>
      <c r="H2093" s="7">
        <v>1</v>
      </c>
      <c r="I2093" s="7">
        <v>0</v>
      </c>
      <c r="J2093" s="17">
        <v>5</v>
      </c>
      <c r="K2093" s="17"/>
      <c r="L2093" s="7">
        <f>SUM(H2093:K2093)</f>
        <v>6</v>
      </c>
      <c r="M2093" s="8">
        <v>1</v>
      </c>
      <c r="N2093" s="8">
        <f>IF(L2093&gt;0,1,"")</f>
        <v>1</v>
      </c>
      <c r="O2093" s="11" t="s">
        <v>1702</v>
      </c>
      <c r="P2093" s="16" t="str">
        <f>IF(LEN(G2093)=10,CONCATENATE("0",G2093),G2093)</f>
        <v>30-Aug-1906</v>
      </c>
      <c r="R2093" s="16" t="str">
        <f t="shared" si="919"/>
        <v>x</v>
      </c>
      <c r="S2093" s="16" t="str">
        <f t="shared" si="919"/>
        <v>x</v>
      </c>
      <c r="U2093" s="46" t="str">
        <f t="shared" ref="U2093:X2095" si="920">IF($O2093=U$5,$L2093,"")</f>
        <v/>
      </c>
      <c r="V2093" s="46">
        <f t="shared" si="920"/>
        <v>6</v>
      </c>
      <c r="W2093" s="46" t="str">
        <f t="shared" si="920"/>
        <v/>
      </c>
      <c r="X2093" s="46" t="str">
        <f t="shared" si="920"/>
        <v/>
      </c>
    </row>
    <row r="2094" spans="2:24" x14ac:dyDescent="0.25">
      <c r="B2094" s="11" t="str">
        <f>CONCATENATE("IVER","-",LEFT(P2094,2),UPPER(MID(P2094,4,3)),RIGHT(P2094,4))</f>
        <v>IVER-18JUL1907</v>
      </c>
      <c r="C2094" s="11" t="s">
        <v>3063</v>
      </c>
      <c r="D2094" s="11" t="s">
        <v>2097</v>
      </c>
      <c r="E2094" s="39" t="s">
        <v>5836</v>
      </c>
      <c r="F2094" s="11" t="s">
        <v>3050</v>
      </c>
      <c r="G2094" s="39" t="s">
        <v>5837</v>
      </c>
      <c r="H2094" s="7">
        <v>0</v>
      </c>
      <c r="I2094" s="7">
        <v>0</v>
      </c>
      <c r="J2094" s="17">
        <v>7</v>
      </c>
      <c r="K2094" s="17"/>
      <c r="L2094" s="7">
        <f>SUM(H2094:K2094)</f>
        <v>7</v>
      </c>
      <c r="M2094" s="8">
        <v>1</v>
      </c>
      <c r="N2094" s="8">
        <f>IF(L2094&gt;0,1,"")</f>
        <v>1</v>
      </c>
      <c r="O2094" s="11" t="s">
        <v>1702</v>
      </c>
      <c r="P2094" s="16" t="str">
        <f>IF(LEN(G2094)=10,CONCATENATE("0",G2094),G2094)</f>
        <v>18-Jul-1907</v>
      </c>
      <c r="R2094" s="16" t="str">
        <f t="shared" si="919"/>
        <v>x</v>
      </c>
      <c r="S2094" s="16" t="str">
        <f t="shared" si="919"/>
        <v>x</v>
      </c>
      <c r="U2094" s="46" t="str">
        <f t="shared" si="920"/>
        <v/>
      </c>
      <c r="V2094" s="46">
        <f t="shared" si="920"/>
        <v>7</v>
      </c>
      <c r="W2094" s="46" t="str">
        <f t="shared" si="920"/>
        <v/>
      </c>
      <c r="X2094" s="46" t="str">
        <f t="shared" si="920"/>
        <v/>
      </c>
    </row>
    <row r="2095" spans="2:24" x14ac:dyDescent="0.25">
      <c r="B2095" s="11" t="str">
        <f t="shared" si="915"/>
        <v>IVER-07NOV1907</v>
      </c>
      <c r="C2095" s="11" t="s">
        <v>3063</v>
      </c>
      <c r="D2095" s="11" t="s">
        <v>2097</v>
      </c>
      <c r="E2095" s="39" t="s">
        <v>3326</v>
      </c>
      <c r="F2095" s="11" t="s">
        <v>3050</v>
      </c>
      <c r="G2095" s="39" t="s">
        <v>3405</v>
      </c>
      <c r="H2095" s="7">
        <v>0</v>
      </c>
      <c r="I2095" s="7">
        <v>0</v>
      </c>
      <c r="J2095" s="17">
        <v>3</v>
      </c>
      <c r="K2095" s="17"/>
      <c r="L2095" s="7">
        <f t="shared" si="916"/>
        <v>3</v>
      </c>
      <c r="M2095" s="8">
        <v>1</v>
      </c>
      <c r="N2095" s="8">
        <f t="shared" si="917"/>
        <v>1</v>
      </c>
      <c r="O2095" s="11" t="s">
        <v>1702</v>
      </c>
      <c r="P2095" s="16" t="str">
        <f t="shared" si="918"/>
        <v>07-Nov-1907</v>
      </c>
      <c r="R2095" s="16" t="str">
        <f t="shared" si="919"/>
        <v>x</v>
      </c>
      <c r="S2095" s="16" t="str">
        <f t="shared" si="919"/>
        <v>x</v>
      </c>
      <c r="U2095" s="46" t="str">
        <f t="shared" si="920"/>
        <v/>
      </c>
      <c r="V2095" s="46">
        <f t="shared" si="920"/>
        <v>3</v>
      </c>
      <c r="W2095" s="46" t="str">
        <f t="shared" si="920"/>
        <v/>
      </c>
      <c r="X2095" s="46" t="str">
        <f t="shared" si="920"/>
        <v/>
      </c>
    </row>
    <row r="2096" spans="2:24" x14ac:dyDescent="0.25">
      <c r="B2096" s="11" t="str">
        <f>CONCATENATE("IVER","-",LEFT(P2096,2),UPPER(MID(P2096,4,3)),RIGHT(P2096,4))</f>
        <v>IVER-05DEC1907</v>
      </c>
      <c r="C2096" s="11" t="s">
        <v>3063</v>
      </c>
      <c r="D2096" s="11" t="s">
        <v>2097</v>
      </c>
      <c r="E2096" s="39" t="s">
        <v>6138</v>
      </c>
      <c r="F2096" s="11" t="s">
        <v>3050</v>
      </c>
      <c r="G2096" s="39" t="s">
        <v>6139</v>
      </c>
      <c r="H2096" s="7">
        <v>0</v>
      </c>
      <c r="I2096" s="7">
        <v>0</v>
      </c>
      <c r="J2096" s="17">
        <v>6</v>
      </c>
      <c r="K2096" s="17"/>
      <c r="L2096" s="7">
        <f>SUM(H2096:K2096)</f>
        <v>6</v>
      </c>
      <c r="M2096" s="8">
        <v>1</v>
      </c>
      <c r="N2096" s="8">
        <f>IF(L2096&gt;0,1,"")</f>
        <v>1</v>
      </c>
      <c r="O2096" s="11" t="s">
        <v>1702</v>
      </c>
      <c r="P2096" s="16" t="str">
        <f>IF(LEN(G2096)=10,CONCATENATE("0",G2096),G2096)</f>
        <v>05-Dec-1907</v>
      </c>
      <c r="R2096" s="16" t="str">
        <f t="shared" si="919"/>
        <v>x</v>
      </c>
      <c r="S2096" s="16" t="str">
        <f t="shared" si="919"/>
        <v>x</v>
      </c>
      <c r="U2096" s="46" t="str">
        <f t="shared" ref="U2096:X2099" si="921">IF($O2096=U$5,$L2096,"")</f>
        <v/>
      </c>
      <c r="V2096" s="46">
        <f t="shared" si="921"/>
        <v>6</v>
      </c>
      <c r="W2096" s="46" t="str">
        <f t="shared" si="921"/>
        <v/>
      </c>
      <c r="X2096" s="46" t="str">
        <f t="shared" si="921"/>
        <v/>
      </c>
    </row>
    <row r="2097" spans="2:24" x14ac:dyDescent="0.25">
      <c r="B2097" s="11" t="str">
        <f t="shared" si="915"/>
        <v>IVER-01OCT1908</v>
      </c>
      <c r="C2097" s="11" t="s">
        <v>3063</v>
      </c>
      <c r="D2097" s="11" t="s">
        <v>2097</v>
      </c>
      <c r="E2097" s="39" t="s">
        <v>918</v>
      </c>
      <c r="F2097" s="11" t="s">
        <v>3050</v>
      </c>
      <c r="G2097" s="39" t="s">
        <v>5653</v>
      </c>
      <c r="H2097" s="7">
        <v>0</v>
      </c>
      <c r="I2097" s="7">
        <v>0</v>
      </c>
      <c r="J2097" s="17">
        <v>2</v>
      </c>
      <c r="K2097" s="17"/>
      <c r="L2097" s="7">
        <f t="shared" si="916"/>
        <v>2</v>
      </c>
      <c r="M2097" s="8">
        <v>1</v>
      </c>
      <c r="N2097" s="8">
        <f t="shared" si="917"/>
        <v>1</v>
      </c>
      <c r="O2097" s="11" t="s">
        <v>1702</v>
      </c>
      <c r="P2097" s="16" t="str">
        <f t="shared" si="918"/>
        <v>01-Oct-1908</v>
      </c>
      <c r="R2097" s="16" t="str">
        <f t="shared" si="919"/>
        <v>x</v>
      </c>
      <c r="S2097" s="16" t="str">
        <f t="shared" si="919"/>
        <v>x</v>
      </c>
      <c r="U2097" s="46" t="str">
        <f t="shared" si="921"/>
        <v/>
      </c>
      <c r="V2097" s="46">
        <f t="shared" si="921"/>
        <v>2</v>
      </c>
      <c r="W2097" s="46" t="str">
        <f t="shared" si="921"/>
        <v/>
      </c>
      <c r="X2097" s="46" t="str">
        <f t="shared" si="921"/>
        <v/>
      </c>
    </row>
    <row r="2098" spans="2:24" x14ac:dyDescent="0.25">
      <c r="B2098" s="11" t="str">
        <f>CONCATENATE("IVER","-",LEFT(P2098,2),UPPER(MID(P2098,4,3)),RIGHT(P2098,4))</f>
        <v>IVER-17NOV1910</v>
      </c>
      <c r="C2098" s="11" t="s">
        <v>3063</v>
      </c>
      <c r="D2098" s="11" t="s">
        <v>2097</v>
      </c>
      <c r="E2098" s="39" t="s">
        <v>5940</v>
      </c>
      <c r="F2098" s="11" t="s">
        <v>3050</v>
      </c>
      <c r="G2098" s="39" t="s">
        <v>3916</v>
      </c>
      <c r="H2098" s="7">
        <v>0</v>
      </c>
      <c r="I2098" s="7">
        <v>0</v>
      </c>
      <c r="J2098" s="17">
        <v>3</v>
      </c>
      <c r="K2098" s="17"/>
      <c r="L2098" s="7">
        <f>SUM(H2098:K2098)</f>
        <v>3</v>
      </c>
      <c r="M2098" s="8">
        <v>1</v>
      </c>
      <c r="N2098" s="8">
        <f>IF(L2098&gt;0,1,"")</f>
        <v>1</v>
      </c>
      <c r="O2098" s="11" t="s">
        <v>1702</v>
      </c>
      <c r="P2098" s="16" t="str">
        <f>IF(LEN(G2098)=10,CONCATENATE("0",G2098),G2098)</f>
        <v>17-Nov-1910</v>
      </c>
      <c r="R2098" s="16" t="str">
        <f t="shared" si="919"/>
        <v>x</v>
      </c>
      <c r="S2098" s="16" t="str">
        <f t="shared" si="919"/>
        <v>x</v>
      </c>
      <c r="U2098" s="46" t="str">
        <f t="shared" si="921"/>
        <v/>
      </c>
      <c r="V2098" s="46">
        <f t="shared" si="921"/>
        <v>3</v>
      </c>
      <c r="W2098" s="46" t="str">
        <f t="shared" si="921"/>
        <v/>
      </c>
      <c r="X2098" s="46" t="str">
        <f t="shared" si="921"/>
        <v/>
      </c>
    </row>
    <row r="2099" spans="2:24" x14ac:dyDescent="0.25">
      <c r="B2099" s="11" t="str">
        <f t="shared" si="915"/>
        <v>IVER-16MAR1911</v>
      </c>
      <c r="C2099" s="11" t="s">
        <v>3063</v>
      </c>
      <c r="D2099" s="11" t="s">
        <v>2097</v>
      </c>
      <c r="E2099" s="39" t="s">
        <v>5448</v>
      </c>
      <c r="F2099" s="11" t="s">
        <v>3050</v>
      </c>
      <c r="G2099" s="39" t="s">
        <v>5449</v>
      </c>
      <c r="H2099" s="7">
        <v>0</v>
      </c>
      <c r="I2099" s="7">
        <v>0</v>
      </c>
      <c r="J2099" s="17">
        <v>1</v>
      </c>
      <c r="K2099" s="17"/>
      <c r="L2099" s="7">
        <f t="shared" si="916"/>
        <v>1</v>
      </c>
      <c r="M2099" s="8">
        <v>1</v>
      </c>
      <c r="N2099" s="8">
        <f t="shared" si="917"/>
        <v>1</v>
      </c>
      <c r="O2099" s="11" t="s">
        <v>1702</v>
      </c>
      <c r="P2099" s="16" t="str">
        <f t="shared" si="918"/>
        <v>16-Mar-1911</v>
      </c>
      <c r="R2099" s="16" t="str">
        <f t="shared" si="919"/>
        <v>x</v>
      </c>
      <c r="S2099" s="16" t="str">
        <f t="shared" si="919"/>
        <v>x</v>
      </c>
      <c r="U2099" s="46" t="str">
        <f t="shared" si="921"/>
        <v/>
      </c>
      <c r="V2099" s="46">
        <f t="shared" si="921"/>
        <v>1</v>
      </c>
      <c r="W2099" s="46" t="str">
        <f t="shared" si="921"/>
        <v/>
      </c>
      <c r="X2099" s="46" t="str">
        <f t="shared" si="921"/>
        <v/>
      </c>
    </row>
    <row r="2100" spans="2:24" x14ac:dyDescent="0.25">
      <c r="B2100" s="11" t="str">
        <f t="shared" si="915"/>
        <v>IVER-16AUG1912</v>
      </c>
      <c r="C2100" s="11" t="s">
        <v>3063</v>
      </c>
      <c r="D2100" s="11" t="s">
        <v>3957</v>
      </c>
      <c r="E2100" s="39" t="s">
        <v>1328</v>
      </c>
      <c r="F2100" s="11" t="s">
        <v>1700</v>
      </c>
      <c r="G2100" s="39" t="s">
        <v>5107</v>
      </c>
      <c r="H2100" s="7">
        <v>0</v>
      </c>
      <c r="I2100" s="7">
        <v>0</v>
      </c>
      <c r="J2100" s="17">
        <v>26</v>
      </c>
      <c r="K2100" s="17"/>
      <c r="L2100" s="7">
        <f t="shared" si="916"/>
        <v>26</v>
      </c>
      <c r="M2100" s="8">
        <v>1</v>
      </c>
      <c r="N2100" s="8">
        <f t="shared" si="917"/>
        <v>1</v>
      </c>
      <c r="O2100" s="11" t="s">
        <v>1702</v>
      </c>
      <c r="P2100" s="16" t="str">
        <f t="shared" si="918"/>
        <v>16-Aug-1912</v>
      </c>
      <c r="R2100" s="16" t="str">
        <f t="shared" si="919"/>
        <v>x</v>
      </c>
      <c r="S2100" s="16" t="str">
        <f t="shared" si="919"/>
        <v>x</v>
      </c>
      <c r="U2100" s="46" t="str">
        <f t="shared" ref="U2100:X2101" si="922">IF($O2100=U$5,$L2100,"")</f>
        <v/>
      </c>
      <c r="V2100" s="46">
        <f t="shared" si="922"/>
        <v>26</v>
      </c>
      <c r="W2100" s="46" t="str">
        <f t="shared" si="922"/>
        <v/>
      </c>
      <c r="X2100" s="46" t="str">
        <f t="shared" si="922"/>
        <v/>
      </c>
    </row>
    <row r="2101" spans="2:24" x14ac:dyDescent="0.25">
      <c r="B2101" s="11" t="str">
        <f t="shared" si="915"/>
        <v>IVER-16AUG1912</v>
      </c>
      <c r="C2101" s="11" t="s">
        <v>3063</v>
      </c>
      <c r="D2101" s="11" t="s">
        <v>1906</v>
      </c>
      <c r="E2101" s="39" t="s">
        <v>3740</v>
      </c>
      <c r="F2101" s="11" t="s">
        <v>1700</v>
      </c>
      <c r="G2101" s="39" t="s">
        <v>5107</v>
      </c>
      <c r="H2101" s="7">
        <v>0</v>
      </c>
      <c r="I2101" s="7">
        <v>1</v>
      </c>
      <c r="J2101" s="17">
        <v>62</v>
      </c>
      <c r="K2101" s="17"/>
      <c r="L2101" s="7">
        <f t="shared" si="916"/>
        <v>63</v>
      </c>
      <c r="M2101" s="8">
        <v>1</v>
      </c>
      <c r="N2101" s="8">
        <f t="shared" si="917"/>
        <v>1</v>
      </c>
      <c r="O2101" s="11" t="s">
        <v>1702</v>
      </c>
      <c r="P2101" s="16" t="str">
        <f t="shared" si="918"/>
        <v>16-Aug-1912</v>
      </c>
      <c r="R2101" s="16" t="str">
        <f t="shared" si="919"/>
        <v>x</v>
      </c>
      <c r="S2101" s="16" t="str">
        <f t="shared" si="919"/>
        <v>x</v>
      </c>
      <c r="U2101" s="46" t="str">
        <f t="shared" si="922"/>
        <v/>
      </c>
      <c r="V2101" s="46">
        <f t="shared" si="922"/>
        <v>63</v>
      </c>
      <c r="W2101" s="46" t="str">
        <f t="shared" si="922"/>
        <v/>
      </c>
      <c r="X2101" s="46" t="str">
        <f t="shared" si="922"/>
        <v/>
      </c>
    </row>
    <row r="2102" spans="2:24" x14ac:dyDescent="0.25">
      <c r="B2102" s="11" t="str">
        <f t="shared" ref="B2102:B2109" si="923">CONCATENATE("IVER","-",LEFT(P2102,2),UPPER(MID(P2102,4,3)),RIGHT(P2102,4))</f>
        <v>IVER-05OCT1912</v>
      </c>
      <c r="C2102" s="11" t="s">
        <v>3063</v>
      </c>
      <c r="D2102" s="11" t="s">
        <v>3064</v>
      </c>
      <c r="E2102" s="39" t="s">
        <v>3714</v>
      </c>
      <c r="F2102" s="11" t="s">
        <v>1700</v>
      </c>
      <c r="G2102" s="39" t="s">
        <v>1003</v>
      </c>
      <c r="H2102" s="7">
        <v>0</v>
      </c>
      <c r="I2102" s="7">
        <v>0</v>
      </c>
      <c r="J2102" s="17">
        <v>92</v>
      </c>
      <c r="K2102" s="17"/>
      <c r="L2102" s="7">
        <f t="shared" ref="L2102:L2109" si="924">SUM(H2102:K2102)</f>
        <v>92</v>
      </c>
      <c r="M2102" s="8">
        <v>1</v>
      </c>
      <c r="N2102" s="8">
        <f t="shared" ref="N2102:N2109" si="925">IF(L2102&gt;0,1,"")</f>
        <v>1</v>
      </c>
      <c r="O2102" s="11" t="s">
        <v>1702</v>
      </c>
      <c r="P2102" s="16" t="str">
        <f t="shared" ref="P2102:P2109" si="926">IF(LEN(G2102)=10,CONCATENATE("0",G2102),G2102)</f>
        <v>05-Oct-1912</v>
      </c>
      <c r="R2102" s="16" t="str">
        <f t="shared" si="919"/>
        <v>x</v>
      </c>
      <c r="S2102" s="16" t="str">
        <f t="shared" si="919"/>
        <v>x</v>
      </c>
      <c r="U2102" s="46" t="str">
        <f t="shared" ref="U2102:X2119" si="927">IF($O2102=U$5,$L2102,"")</f>
        <v/>
      </c>
      <c r="V2102" s="46">
        <f t="shared" si="927"/>
        <v>92</v>
      </c>
      <c r="W2102" s="46" t="str">
        <f t="shared" si="927"/>
        <v/>
      </c>
      <c r="X2102" s="46" t="str">
        <f t="shared" si="927"/>
        <v/>
      </c>
    </row>
    <row r="2103" spans="2:24" x14ac:dyDescent="0.25">
      <c r="B2103" s="11" t="str">
        <f t="shared" si="923"/>
        <v>IVER-05OCT1912</v>
      </c>
      <c r="C2103" s="11" t="s">
        <v>3063</v>
      </c>
      <c r="D2103" s="11" t="s">
        <v>3957</v>
      </c>
      <c r="E2103" s="39" t="s">
        <v>3714</v>
      </c>
      <c r="F2103" s="11" t="s">
        <v>1700</v>
      </c>
      <c r="G2103" s="39" t="s">
        <v>1003</v>
      </c>
      <c r="H2103" s="7">
        <v>0</v>
      </c>
      <c r="I2103" s="7">
        <v>17</v>
      </c>
      <c r="J2103" s="17">
        <v>0</v>
      </c>
      <c r="K2103" s="17"/>
      <c r="L2103" s="7">
        <f t="shared" si="924"/>
        <v>17</v>
      </c>
      <c r="M2103" s="8">
        <v>1</v>
      </c>
      <c r="N2103" s="8">
        <f t="shared" si="925"/>
        <v>1</v>
      </c>
      <c r="O2103" s="11" t="s">
        <v>1702</v>
      </c>
      <c r="P2103" s="16" t="str">
        <f t="shared" si="926"/>
        <v>05-Oct-1912</v>
      </c>
      <c r="R2103" s="16" t="str">
        <f t="shared" si="919"/>
        <v>x</v>
      </c>
      <c r="S2103" s="16" t="str">
        <f t="shared" si="919"/>
        <v>x</v>
      </c>
      <c r="U2103" s="46" t="str">
        <f t="shared" si="927"/>
        <v/>
      </c>
      <c r="V2103" s="46">
        <f t="shared" si="927"/>
        <v>17</v>
      </c>
      <c r="W2103" s="46" t="str">
        <f t="shared" si="927"/>
        <v/>
      </c>
      <c r="X2103" s="46" t="str">
        <f t="shared" si="927"/>
        <v/>
      </c>
    </row>
    <row r="2104" spans="2:24" x14ac:dyDescent="0.25">
      <c r="B2104" s="11" t="str">
        <f>CONCATENATE("IVER","-",LEFT(P2104,2),UPPER(MID(P2104,4,3)),RIGHT(P2104,4))</f>
        <v>IVER-05OCT1912</v>
      </c>
      <c r="C2104" s="11" t="s">
        <v>3063</v>
      </c>
      <c r="D2104" s="11" t="s">
        <v>1906</v>
      </c>
      <c r="E2104" s="39" t="s">
        <v>995</v>
      </c>
      <c r="F2104" s="11" t="s">
        <v>1700</v>
      </c>
      <c r="G2104" s="39" t="s">
        <v>1003</v>
      </c>
      <c r="H2104" s="7">
        <v>0</v>
      </c>
      <c r="I2104" s="7">
        <v>0</v>
      </c>
      <c r="J2104" s="17">
        <v>46</v>
      </c>
      <c r="K2104" s="17"/>
      <c r="L2104" s="7">
        <f>SUM(H2104:K2104)</f>
        <v>46</v>
      </c>
      <c r="M2104" s="8">
        <v>1</v>
      </c>
      <c r="N2104" s="8">
        <f>IF(L2104&gt;0,1,"")</f>
        <v>1</v>
      </c>
      <c r="O2104" s="11" t="s">
        <v>1702</v>
      </c>
      <c r="P2104" s="16" t="str">
        <f>IF(LEN(G2104)=10,CONCATENATE("0",G2104),G2104)</f>
        <v>05-Oct-1912</v>
      </c>
      <c r="R2104" s="16" t="str">
        <f t="shared" si="919"/>
        <v>x</v>
      </c>
      <c r="S2104" s="16" t="str">
        <f t="shared" si="919"/>
        <v>x</v>
      </c>
      <c r="U2104" s="46" t="str">
        <f t="shared" si="927"/>
        <v/>
      </c>
      <c r="V2104" s="46">
        <f t="shared" si="927"/>
        <v>46</v>
      </c>
      <c r="W2104" s="46" t="str">
        <f t="shared" si="927"/>
        <v/>
      </c>
      <c r="X2104" s="46" t="str">
        <f t="shared" si="927"/>
        <v/>
      </c>
    </row>
    <row r="2105" spans="2:24" x14ac:dyDescent="0.25">
      <c r="B2105" s="11" t="str">
        <f t="shared" si="923"/>
        <v>IVER-24NOV1912</v>
      </c>
      <c r="C2105" s="11" t="s">
        <v>3063</v>
      </c>
      <c r="D2105" s="11" t="s">
        <v>3064</v>
      </c>
      <c r="E2105" s="39" t="s">
        <v>5496</v>
      </c>
      <c r="F2105" s="11" t="s">
        <v>1700</v>
      </c>
      <c r="G2105" s="39" t="s">
        <v>3996</v>
      </c>
      <c r="H2105" s="7">
        <v>0</v>
      </c>
      <c r="I2105" s="7">
        <v>2</v>
      </c>
      <c r="J2105" s="17">
        <v>32</v>
      </c>
      <c r="K2105" s="17"/>
      <c r="L2105" s="7">
        <f t="shared" si="924"/>
        <v>34</v>
      </c>
      <c r="M2105" s="8">
        <v>1</v>
      </c>
      <c r="N2105" s="8">
        <f t="shared" si="925"/>
        <v>1</v>
      </c>
      <c r="O2105" s="11" t="s">
        <v>1702</v>
      </c>
      <c r="P2105" s="16" t="str">
        <f t="shared" si="926"/>
        <v>24-Nov-1912</v>
      </c>
      <c r="R2105" s="16" t="str">
        <f t="shared" si="919"/>
        <v>x</v>
      </c>
      <c r="S2105" s="16" t="str">
        <f t="shared" si="919"/>
        <v>x</v>
      </c>
      <c r="U2105" s="46" t="str">
        <f t="shared" si="927"/>
        <v/>
      </c>
      <c r="V2105" s="46">
        <f t="shared" si="927"/>
        <v>34</v>
      </c>
      <c r="W2105" s="46" t="str">
        <f t="shared" si="927"/>
        <v/>
      </c>
      <c r="X2105" s="46" t="str">
        <f t="shared" si="927"/>
        <v/>
      </c>
    </row>
    <row r="2106" spans="2:24" x14ac:dyDescent="0.25">
      <c r="B2106" s="11" t="str">
        <f t="shared" si="923"/>
        <v>IVER-16MAY1913</v>
      </c>
      <c r="C2106" s="11" t="s">
        <v>3063</v>
      </c>
      <c r="D2106" s="11" t="s">
        <v>3064</v>
      </c>
      <c r="E2106" s="39" t="s">
        <v>3172</v>
      </c>
      <c r="F2106" s="11" t="s">
        <v>1700</v>
      </c>
      <c r="G2106" s="39" t="s">
        <v>3173</v>
      </c>
      <c r="H2106" s="7">
        <v>0</v>
      </c>
      <c r="I2106" s="7">
        <v>0</v>
      </c>
      <c r="J2106" s="17">
        <v>54</v>
      </c>
      <c r="K2106" s="17"/>
      <c r="L2106" s="7">
        <f t="shared" si="924"/>
        <v>54</v>
      </c>
      <c r="M2106" s="8">
        <v>1</v>
      </c>
      <c r="N2106" s="8">
        <f t="shared" si="925"/>
        <v>1</v>
      </c>
      <c r="O2106" s="11" t="s">
        <v>1702</v>
      </c>
      <c r="P2106" s="16" t="str">
        <f t="shared" si="926"/>
        <v>16-May-1913</v>
      </c>
      <c r="R2106" s="16" t="str">
        <f t="shared" ref="R2106:S2108" si="928">IF($L2106&gt;0,"x","")</f>
        <v>x</v>
      </c>
      <c r="S2106" s="16" t="str">
        <f t="shared" si="928"/>
        <v>x</v>
      </c>
      <c r="U2106" s="46" t="str">
        <f t="shared" si="927"/>
        <v/>
      </c>
      <c r="V2106" s="46">
        <f t="shared" si="927"/>
        <v>54</v>
      </c>
      <c r="W2106" s="46" t="str">
        <f t="shared" si="927"/>
        <v/>
      </c>
      <c r="X2106" s="46" t="str">
        <f t="shared" si="927"/>
        <v/>
      </c>
    </row>
    <row r="2107" spans="2:24" x14ac:dyDescent="0.25">
      <c r="B2107" s="11" t="str">
        <f t="shared" si="923"/>
        <v>IVER-06JUL1913</v>
      </c>
      <c r="C2107" s="11" t="s">
        <v>3063</v>
      </c>
      <c r="D2107" s="11" t="s">
        <v>3064</v>
      </c>
      <c r="E2107" s="39" t="s">
        <v>3895</v>
      </c>
      <c r="F2107" s="11" t="s">
        <v>1700</v>
      </c>
      <c r="G2107" s="39" t="s">
        <v>3896</v>
      </c>
      <c r="I2107" s="7">
        <v>0</v>
      </c>
      <c r="J2107" s="17">
        <v>56</v>
      </c>
      <c r="K2107" s="17"/>
      <c r="L2107" s="7">
        <f t="shared" si="924"/>
        <v>56</v>
      </c>
      <c r="M2107" s="8">
        <v>1</v>
      </c>
      <c r="N2107" s="8">
        <f t="shared" si="925"/>
        <v>1</v>
      </c>
      <c r="O2107" s="11" t="s">
        <v>1702</v>
      </c>
      <c r="P2107" s="16" t="str">
        <f t="shared" si="926"/>
        <v>06-Jul-1913</v>
      </c>
      <c r="R2107" s="16" t="str">
        <f t="shared" si="928"/>
        <v>x</v>
      </c>
      <c r="S2107" s="16" t="str">
        <f t="shared" si="928"/>
        <v>x</v>
      </c>
      <c r="U2107" s="46" t="str">
        <f t="shared" si="927"/>
        <v/>
      </c>
      <c r="V2107" s="46">
        <f t="shared" si="927"/>
        <v>56</v>
      </c>
      <c r="W2107" s="46" t="str">
        <f t="shared" si="927"/>
        <v/>
      </c>
      <c r="X2107" s="46" t="str">
        <f t="shared" si="927"/>
        <v/>
      </c>
    </row>
    <row r="2108" spans="2:24" x14ac:dyDescent="0.25">
      <c r="B2108" s="11" t="str">
        <f t="shared" si="923"/>
        <v>IVER-27AUG1913</v>
      </c>
      <c r="C2108" s="11" t="s">
        <v>3063</v>
      </c>
      <c r="D2108" s="11" t="s">
        <v>3064</v>
      </c>
      <c r="E2108" s="39" t="s">
        <v>2774</v>
      </c>
      <c r="F2108" s="11" t="s">
        <v>1700</v>
      </c>
      <c r="G2108" s="39" t="s">
        <v>3368</v>
      </c>
      <c r="H2108" s="7">
        <v>0</v>
      </c>
      <c r="I2108" s="7">
        <v>0</v>
      </c>
      <c r="J2108" s="17">
        <v>43</v>
      </c>
      <c r="K2108" s="17"/>
      <c r="L2108" s="7">
        <f t="shared" si="924"/>
        <v>43</v>
      </c>
      <c r="M2108" s="8">
        <v>1</v>
      </c>
      <c r="N2108" s="8">
        <f t="shared" si="925"/>
        <v>1</v>
      </c>
      <c r="O2108" s="11" t="s">
        <v>1702</v>
      </c>
      <c r="P2108" s="16" t="str">
        <f t="shared" si="926"/>
        <v>27-Aug-1913</v>
      </c>
      <c r="R2108" s="16" t="str">
        <f t="shared" si="928"/>
        <v>x</v>
      </c>
      <c r="S2108" s="16" t="str">
        <f t="shared" si="928"/>
        <v>x</v>
      </c>
      <c r="U2108" s="46" t="str">
        <f t="shared" si="927"/>
        <v/>
      </c>
      <c r="V2108" s="46">
        <f t="shared" si="927"/>
        <v>43</v>
      </c>
      <c r="W2108" s="46" t="str">
        <f t="shared" si="927"/>
        <v/>
      </c>
      <c r="X2108" s="46" t="str">
        <f t="shared" si="927"/>
        <v/>
      </c>
    </row>
    <row r="2109" spans="2:24" x14ac:dyDescent="0.25">
      <c r="B2109" s="11" t="str">
        <f t="shared" si="923"/>
        <v>IVER-15OCT1913</v>
      </c>
      <c r="C2109" s="11" t="s">
        <v>3063</v>
      </c>
      <c r="D2109" s="11" t="s">
        <v>3064</v>
      </c>
      <c r="E2109" s="39" t="s">
        <v>3065</v>
      </c>
      <c r="F2109" s="11" t="s">
        <v>1700</v>
      </c>
      <c r="G2109" s="39" t="s">
        <v>2541</v>
      </c>
      <c r="H2109" s="7">
        <v>0</v>
      </c>
      <c r="I2109" s="7">
        <v>8</v>
      </c>
      <c r="J2109" s="17">
        <v>15</v>
      </c>
      <c r="K2109" s="17"/>
      <c r="L2109" s="7">
        <f t="shared" si="924"/>
        <v>23</v>
      </c>
      <c r="M2109" s="8">
        <v>1</v>
      </c>
      <c r="N2109" s="8">
        <f t="shared" si="925"/>
        <v>1</v>
      </c>
      <c r="O2109" s="11" t="s">
        <v>1702</v>
      </c>
      <c r="P2109" s="16" t="str">
        <f t="shared" si="926"/>
        <v>15-Oct-1913</v>
      </c>
      <c r="R2109" s="16" t="str">
        <f>IF($L2109&gt;0,"x","")</f>
        <v>x</v>
      </c>
      <c r="S2109" s="16" t="str">
        <f>IF($L2109&gt;0,"x","")</f>
        <v>x</v>
      </c>
      <c r="U2109" s="46" t="str">
        <f t="shared" si="927"/>
        <v/>
      </c>
      <c r="V2109" s="46">
        <f t="shared" si="927"/>
        <v>23</v>
      </c>
      <c r="W2109" s="46" t="str">
        <f t="shared" si="927"/>
        <v/>
      </c>
      <c r="X2109" s="46" t="str">
        <f t="shared" si="927"/>
        <v/>
      </c>
    </row>
    <row r="2110" spans="2:24" x14ac:dyDescent="0.25">
      <c r="N2110" s="8" t="str">
        <f>IF(R2110="x",1,"")</f>
        <v/>
      </c>
      <c r="U2110" s="46" t="str">
        <f t="shared" si="927"/>
        <v/>
      </c>
      <c r="V2110" s="46" t="str">
        <f t="shared" si="927"/>
        <v/>
      </c>
      <c r="W2110" s="46" t="str">
        <f t="shared" si="927"/>
        <v/>
      </c>
      <c r="X2110" s="46" t="str">
        <f t="shared" si="927"/>
        <v/>
      </c>
    </row>
    <row r="2111" spans="2:24" x14ac:dyDescent="0.25">
      <c r="B2111" s="18"/>
      <c r="C2111" s="18"/>
      <c r="D2111" s="18"/>
      <c r="E2111" s="40"/>
      <c r="F2111" s="18"/>
      <c r="G2111" s="40"/>
      <c r="H2111" s="7">
        <f t="shared" ref="H2111:N2111" si="929">SUM(H2089:H2110)</f>
        <v>1</v>
      </c>
      <c r="I2111" s="7">
        <f t="shared" si="929"/>
        <v>32</v>
      </c>
      <c r="J2111" s="7">
        <f>SUM(J2089:J2110)</f>
        <v>498</v>
      </c>
      <c r="K2111" s="7">
        <f t="shared" si="929"/>
        <v>0</v>
      </c>
      <c r="L2111" s="7">
        <f t="shared" si="929"/>
        <v>531</v>
      </c>
      <c r="M2111" s="7">
        <f t="shared" si="929"/>
        <v>21</v>
      </c>
      <c r="N2111" s="7">
        <f t="shared" si="929"/>
        <v>21</v>
      </c>
      <c r="O2111" s="18"/>
      <c r="P2111" s="13"/>
      <c r="Q2111" s="13"/>
      <c r="S2111" s="13"/>
      <c r="T2111" s="15"/>
      <c r="U2111" s="46" t="str">
        <f t="shared" si="927"/>
        <v/>
      </c>
      <c r="V2111" s="46" t="str">
        <f t="shared" si="927"/>
        <v/>
      </c>
      <c r="W2111" s="46" t="str">
        <f t="shared" si="927"/>
        <v/>
      </c>
      <c r="X2111" s="46" t="str">
        <f t="shared" si="927"/>
        <v/>
      </c>
    </row>
    <row r="2112" spans="2:24" x14ac:dyDescent="0.25">
      <c r="B2112" s="18"/>
      <c r="C2112" s="18"/>
      <c r="D2112" s="18"/>
      <c r="E2112" s="40"/>
      <c r="F2112" s="18"/>
      <c r="G2112" s="40"/>
      <c r="N2112" s="8" t="str">
        <f>IF(R2112="x",1,"")</f>
        <v/>
      </c>
      <c r="O2112" s="18"/>
      <c r="P2112" s="13"/>
      <c r="Q2112" s="13"/>
      <c r="R2112" s="13"/>
      <c r="S2112" s="13"/>
      <c r="T2112" s="15"/>
      <c r="U2112" s="46" t="str">
        <f t="shared" si="927"/>
        <v/>
      </c>
      <c r="V2112" s="46" t="str">
        <f t="shared" si="927"/>
        <v/>
      </c>
      <c r="W2112" s="46" t="str">
        <f t="shared" si="927"/>
        <v/>
      </c>
      <c r="X2112" s="46" t="str">
        <f t="shared" si="927"/>
        <v/>
      </c>
    </row>
    <row r="2113" spans="2:26" x14ac:dyDescent="0.25">
      <c r="B2113" s="18"/>
      <c r="C2113" s="18"/>
      <c r="D2113" s="18"/>
      <c r="E2113" s="40"/>
      <c r="F2113" s="18"/>
      <c r="G2113" s="40"/>
      <c r="N2113" s="8" t="str">
        <f>IF(R2113="x",1,"")</f>
        <v/>
      </c>
      <c r="O2113" s="18"/>
      <c r="P2113" s="13"/>
      <c r="Q2113" s="13"/>
      <c r="R2113" s="13"/>
      <c r="S2113" s="13"/>
      <c r="T2113" s="15"/>
      <c r="U2113" s="46" t="str">
        <f t="shared" si="927"/>
        <v/>
      </c>
      <c r="V2113" s="46" t="str">
        <f t="shared" si="927"/>
        <v/>
      </c>
      <c r="W2113" s="46" t="str">
        <f t="shared" si="927"/>
        <v/>
      </c>
      <c r="X2113" s="46" t="str">
        <f t="shared" si="927"/>
        <v/>
      </c>
    </row>
    <row r="2114" spans="2:26" x14ac:dyDescent="0.25">
      <c r="B2114" s="11" t="str">
        <f>CONCATENATE("JNJD","-",LEFT(P2114,2),UPPER(MID(P2114,4,3)),RIGHT(P2114,4))</f>
        <v>JNJD-01NOV1930</v>
      </c>
      <c r="C2114" s="11" t="s">
        <v>11289</v>
      </c>
      <c r="D2114" s="11" t="s">
        <v>2814</v>
      </c>
      <c r="E2114" s="39" t="s">
        <v>11290</v>
      </c>
      <c r="F2114" s="11" t="s">
        <v>1700</v>
      </c>
      <c r="G2114" s="39" t="s">
        <v>11291</v>
      </c>
      <c r="H2114" s="7">
        <v>5</v>
      </c>
      <c r="J2114" s="17"/>
      <c r="K2114" s="17"/>
      <c r="L2114" s="7">
        <f>SUM(H2114:K2114)</f>
        <v>5</v>
      </c>
      <c r="M2114" s="8">
        <v>1</v>
      </c>
      <c r="N2114" s="8">
        <f>IF(L2114&gt;0,1,"")</f>
        <v>1</v>
      </c>
      <c r="O2114" s="11" t="s">
        <v>1702</v>
      </c>
      <c r="P2114" s="16" t="str">
        <f>IF(LEN(G2114)=10,CONCATENATE("0",G2114),G2114)</f>
        <v>01-Nov-1930</v>
      </c>
      <c r="R2114" s="16" t="str">
        <f>IF($L2114&gt;0,"x","")</f>
        <v>x</v>
      </c>
      <c r="S2114" s="16" t="str">
        <f>IF($L2114&gt;0,"x","")</f>
        <v>x</v>
      </c>
      <c r="U2114" s="46" t="str">
        <f t="shared" si="927"/>
        <v/>
      </c>
      <c r="V2114" s="46">
        <f t="shared" si="927"/>
        <v>5</v>
      </c>
      <c r="W2114" s="46" t="str">
        <f t="shared" si="927"/>
        <v/>
      </c>
      <c r="X2114" s="46" t="str">
        <f t="shared" si="927"/>
        <v/>
      </c>
      <c r="Z2114" s="11" t="s">
        <v>3927</v>
      </c>
    </row>
    <row r="2115" spans="2:26" x14ac:dyDescent="0.25">
      <c r="N2115" s="8" t="str">
        <f>IF(R2115="x",1,"")</f>
        <v/>
      </c>
      <c r="U2115" s="46" t="str">
        <f t="shared" si="927"/>
        <v/>
      </c>
      <c r="V2115" s="46" t="str">
        <f t="shared" si="927"/>
        <v/>
      </c>
      <c r="W2115" s="46" t="str">
        <f t="shared" si="927"/>
        <v/>
      </c>
      <c r="X2115" s="46" t="str">
        <f t="shared" si="927"/>
        <v/>
      </c>
    </row>
    <row r="2116" spans="2:26" x14ac:dyDescent="0.25">
      <c r="B2116" s="18"/>
      <c r="C2116" s="18"/>
      <c r="D2116" s="18"/>
      <c r="E2116" s="40"/>
      <c r="F2116" s="18"/>
      <c r="G2116" s="40"/>
      <c r="H2116" s="7">
        <f t="shared" ref="H2116:N2116" si="930">SUM(H2114:H2115)</f>
        <v>5</v>
      </c>
      <c r="I2116" s="7">
        <f t="shared" si="930"/>
        <v>0</v>
      </c>
      <c r="J2116" s="7">
        <f t="shared" si="930"/>
        <v>0</v>
      </c>
      <c r="K2116" s="7">
        <f t="shared" si="930"/>
        <v>0</v>
      </c>
      <c r="L2116" s="7">
        <f t="shared" si="930"/>
        <v>5</v>
      </c>
      <c r="M2116" s="7">
        <f t="shared" si="930"/>
        <v>1</v>
      </c>
      <c r="N2116" s="7">
        <f t="shared" si="930"/>
        <v>1</v>
      </c>
      <c r="O2116" s="18"/>
      <c r="P2116" s="13"/>
      <c r="Q2116" s="13"/>
      <c r="S2116" s="13"/>
      <c r="T2116" s="15"/>
      <c r="U2116" s="46" t="str">
        <f t="shared" si="927"/>
        <v/>
      </c>
      <c r="V2116" s="46" t="str">
        <f t="shared" si="927"/>
        <v/>
      </c>
      <c r="W2116" s="46" t="str">
        <f t="shared" si="927"/>
        <v/>
      </c>
      <c r="X2116" s="46" t="str">
        <f t="shared" si="927"/>
        <v/>
      </c>
    </row>
    <row r="2117" spans="2:26" x14ac:dyDescent="0.25">
      <c r="B2117" s="18"/>
      <c r="C2117" s="18"/>
      <c r="D2117" s="18"/>
      <c r="E2117" s="40"/>
      <c r="F2117" s="18"/>
      <c r="G2117" s="40"/>
      <c r="N2117" s="8" t="str">
        <f>IF(R2117="x",1,"")</f>
        <v/>
      </c>
      <c r="O2117" s="18"/>
      <c r="P2117" s="13"/>
      <c r="Q2117" s="13"/>
      <c r="R2117" s="13"/>
      <c r="S2117" s="13"/>
      <c r="T2117" s="15"/>
      <c r="U2117" s="46" t="str">
        <f t="shared" si="927"/>
        <v/>
      </c>
      <c r="V2117" s="46" t="str">
        <f t="shared" si="927"/>
        <v/>
      </c>
      <c r="W2117" s="46" t="str">
        <f t="shared" si="927"/>
        <v/>
      </c>
      <c r="X2117" s="46" t="str">
        <f t="shared" si="927"/>
        <v/>
      </c>
    </row>
    <row r="2118" spans="2:26" x14ac:dyDescent="0.25">
      <c r="B2118" s="18"/>
      <c r="C2118" s="18"/>
      <c r="D2118" s="18"/>
      <c r="E2118" s="40"/>
      <c r="F2118" s="18"/>
      <c r="G2118" s="40"/>
      <c r="N2118" s="8" t="str">
        <f>IF(R2118="x",1,"")</f>
        <v/>
      </c>
      <c r="O2118" s="18"/>
      <c r="P2118" s="13"/>
      <c r="Q2118" s="13"/>
      <c r="R2118" s="13"/>
      <c r="S2118" s="13"/>
      <c r="T2118" s="15"/>
      <c r="U2118" s="46" t="str">
        <f t="shared" si="927"/>
        <v/>
      </c>
      <c r="V2118" s="46" t="str">
        <f t="shared" si="927"/>
        <v/>
      </c>
      <c r="W2118" s="46" t="str">
        <f t="shared" si="927"/>
        <v/>
      </c>
      <c r="X2118" s="46" t="str">
        <f t="shared" si="927"/>
        <v/>
      </c>
    </row>
    <row r="2119" spans="2:26" x14ac:dyDescent="0.25">
      <c r="B2119" s="11" t="str">
        <f>CONCATENATE("JELU","-",LEFT(P2119,2),UPPER(MID(P2119,4,3)),RIGHT(P2119,4))</f>
        <v>JELU-29APR1908</v>
      </c>
      <c r="C2119" s="11" t="s">
        <v>3925</v>
      </c>
      <c r="D2119" s="11" t="s">
        <v>3462</v>
      </c>
      <c r="E2119" s="39" t="s">
        <v>4612</v>
      </c>
      <c r="F2119" s="11" t="s">
        <v>2904</v>
      </c>
      <c r="G2119" s="39" t="s">
        <v>5289</v>
      </c>
      <c r="I2119" s="7">
        <v>0</v>
      </c>
      <c r="J2119" s="17">
        <v>13</v>
      </c>
      <c r="K2119" s="17"/>
      <c r="L2119" s="7">
        <f>SUM(H2119:K2119)</f>
        <v>13</v>
      </c>
      <c r="M2119" s="8">
        <v>1</v>
      </c>
      <c r="N2119" s="8">
        <f>IF(L2119&gt;0,1,"")</f>
        <v>1</v>
      </c>
      <c r="O2119" s="11" t="s">
        <v>1702</v>
      </c>
      <c r="P2119" s="16" t="str">
        <f>IF(LEN(G2119)=10,CONCATENATE("0",G2119),G2119)</f>
        <v>29-Apr-1908</v>
      </c>
      <c r="R2119" s="16" t="str">
        <f t="shared" ref="R2119:S2121" si="931">IF($L2119&gt;0,"x","")</f>
        <v>x</v>
      </c>
      <c r="S2119" s="16" t="str">
        <f t="shared" si="931"/>
        <v>x</v>
      </c>
      <c r="U2119" s="46" t="str">
        <f t="shared" si="927"/>
        <v/>
      </c>
      <c r="V2119" s="46">
        <f t="shared" si="927"/>
        <v>13</v>
      </c>
      <c r="W2119" s="46" t="str">
        <f t="shared" si="927"/>
        <v/>
      </c>
      <c r="X2119" s="46" t="str">
        <f t="shared" si="927"/>
        <v/>
      </c>
      <c r="Z2119" s="11" t="s">
        <v>3927</v>
      </c>
    </row>
    <row r="2120" spans="2:26" x14ac:dyDescent="0.25">
      <c r="B2120" s="11" t="str">
        <f>CONCATENATE("JELU","-",LEFT(P2120,2),UPPER(MID(P2120,4,3)),RIGHT(P2120,4))</f>
        <v>JELU-10JUN1908</v>
      </c>
      <c r="C2120" s="11" t="s">
        <v>3925</v>
      </c>
      <c r="D2120" s="11" t="s">
        <v>3462</v>
      </c>
      <c r="E2120" s="39" t="s">
        <v>922</v>
      </c>
      <c r="F2120" s="11" t="s">
        <v>2904</v>
      </c>
      <c r="G2120" s="39" t="s">
        <v>5608</v>
      </c>
      <c r="J2120" s="17">
        <v>11</v>
      </c>
      <c r="K2120" s="17"/>
      <c r="L2120" s="7">
        <f>SUM(H2120:K2120)</f>
        <v>11</v>
      </c>
      <c r="M2120" s="8">
        <v>1</v>
      </c>
      <c r="N2120" s="8">
        <f>IF(L2120&gt;0,1,"")</f>
        <v>1</v>
      </c>
      <c r="O2120" s="11" t="s">
        <v>1702</v>
      </c>
      <c r="P2120" s="16" t="str">
        <f>IF(LEN(G2120)=10,CONCATENATE("0",G2120),G2120)</f>
        <v>10-Jun-1908</v>
      </c>
      <c r="R2120" s="16" t="str">
        <f t="shared" si="931"/>
        <v>x</v>
      </c>
      <c r="S2120" s="16" t="str">
        <f t="shared" si="931"/>
        <v>x</v>
      </c>
      <c r="U2120" s="46" t="str">
        <f t="shared" ref="U2120:X2121" si="932">IF($O2120=U$5,$L2120,"")</f>
        <v/>
      </c>
      <c r="V2120" s="46">
        <f t="shared" si="932"/>
        <v>11</v>
      </c>
      <c r="W2120" s="46" t="str">
        <f t="shared" si="932"/>
        <v/>
      </c>
      <c r="X2120" s="46" t="str">
        <f t="shared" si="932"/>
        <v/>
      </c>
      <c r="Z2120" s="11" t="s">
        <v>3927</v>
      </c>
    </row>
    <row r="2121" spans="2:26" x14ac:dyDescent="0.25">
      <c r="B2121" s="11" t="str">
        <f>CONCATENATE("JELU","-",LEFT(P2121,2),UPPER(MID(P2121,4,3)),RIGHT(P2121,4))</f>
        <v>JELU-15JUL1908</v>
      </c>
      <c r="C2121" s="11" t="s">
        <v>3925</v>
      </c>
      <c r="D2121" s="11" t="s">
        <v>3462</v>
      </c>
      <c r="E2121" s="39" t="s">
        <v>1824</v>
      </c>
      <c r="F2121" s="11" t="s">
        <v>2904</v>
      </c>
      <c r="G2121" s="39" t="s">
        <v>3926</v>
      </c>
      <c r="H2121" s="7">
        <v>0</v>
      </c>
      <c r="I2121" s="7">
        <v>0</v>
      </c>
      <c r="J2121" s="17">
        <f>25+1</f>
        <v>26</v>
      </c>
      <c r="K2121" s="17"/>
      <c r="L2121" s="7">
        <f>SUM(H2121:K2121)</f>
        <v>26</v>
      </c>
      <c r="M2121" s="8">
        <v>1</v>
      </c>
      <c r="N2121" s="8">
        <f>IF(L2121&gt;0,1,"")</f>
        <v>1</v>
      </c>
      <c r="O2121" s="11" t="s">
        <v>1702</v>
      </c>
      <c r="P2121" s="16" t="str">
        <f>IF(LEN(G2121)=10,CONCATENATE("0",G2121),G2121)</f>
        <v>15-Jul-1908</v>
      </c>
      <c r="R2121" s="16" t="str">
        <f t="shared" si="931"/>
        <v>x</v>
      </c>
      <c r="S2121" s="16" t="str">
        <f t="shared" si="931"/>
        <v>x</v>
      </c>
      <c r="U2121" s="46" t="str">
        <f t="shared" si="932"/>
        <v/>
      </c>
      <c r="V2121" s="46">
        <f t="shared" si="932"/>
        <v>26</v>
      </c>
      <c r="W2121" s="46" t="str">
        <f t="shared" si="932"/>
        <v/>
      </c>
      <c r="X2121" s="46" t="str">
        <f t="shared" si="932"/>
        <v/>
      </c>
      <c r="Z2121" s="11" t="s">
        <v>3927</v>
      </c>
    </row>
    <row r="2122" spans="2:26" x14ac:dyDescent="0.25">
      <c r="N2122" s="8" t="str">
        <f>IF(R2122="x",1,"")</f>
        <v/>
      </c>
      <c r="U2122" s="46" t="str">
        <f t="shared" ref="U2122:X2130" si="933">IF($O2122=U$5,$L2122,"")</f>
        <v/>
      </c>
      <c r="V2122" s="46" t="str">
        <f t="shared" si="933"/>
        <v/>
      </c>
      <c r="W2122" s="46" t="str">
        <f t="shared" si="933"/>
        <v/>
      </c>
      <c r="X2122" s="46" t="str">
        <f t="shared" si="933"/>
        <v/>
      </c>
    </row>
    <row r="2123" spans="2:26" x14ac:dyDescent="0.25">
      <c r="B2123" s="18"/>
      <c r="C2123" s="18"/>
      <c r="D2123" s="18"/>
      <c r="E2123" s="40"/>
      <c r="F2123" s="18"/>
      <c r="G2123" s="40"/>
      <c r="H2123" s="7">
        <f t="shared" ref="H2123:N2123" si="934">SUM(H2119:H2122)</f>
        <v>0</v>
      </c>
      <c r="I2123" s="7">
        <f t="shared" si="934"/>
        <v>0</v>
      </c>
      <c r="J2123" s="7">
        <f>SUM(J2119:J2122)</f>
        <v>50</v>
      </c>
      <c r="K2123" s="7">
        <f t="shared" si="934"/>
        <v>0</v>
      </c>
      <c r="L2123" s="7">
        <f t="shared" si="934"/>
        <v>50</v>
      </c>
      <c r="M2123" s="7">
        <f t="shared" si="934"/>
        <v>3</v>
      </c>
      <c r="N2123" s="7">
        <f t="shared" si="934"/>
        <v>3</v>
      </c>
      <c r="O2123" s="18"/>
      <c r="P2123" s="13"/>
      <c r="Q2123" s="13"/>
      <c r="S2123" s="13"/>
      <c r="T2123" s="15"/>
      <c r="U2123" s="46" t="str">
        <f t="shared" si="933"/>
        <v/>
      </c>
      <c r="V2123" s="46" t="str">
        <f t="shared" si="933"/>
        <v/>
      </c>
      <c r="W2123" s="46" t="str">
        <f t="shared" si="933"/>
        <v/>
      </c>
      <c r="X2123" s="46" t="str">
        <f t="shared" si="933"/>
        <v/>
      </c>
    </row>
    <row r="2124" spans="2:26" x14ac:dyDescent="0.25">
      <c r="B2124" s="18"/>
      <c r="C2124" s="18"/>
      <c r="D2124" s="18"/>
      <c r="E2124" s="40"/>
      <c r="F2124" s="18"/>
      <c r="G2124" s="40"/>
      <c r="N2124" s="8" t="str">
        <f>IF(R2124="x",1,"")</f>
        <v/>
      </c>
      <c r="O2124" s="18"/>
      <c r="P2124" s="13"/>
      <c r="Q2124" s="13"/>
      <c r="R2124" s="13"/>
      <c r="S2124" s="13"/>
      <c r="T2124" s="15"/>
      <c r="U2124" s="46" t="str">
        <f t="shared" si="933"/>
        <v/>
      </c>
      <c r="V2124" s="46" t="str">
        <f t="shared" si="933"/>
        <v/>
      </c>
      <c r="W2124" s="46" t="str">
        <f t="shared" si="933"/>
        <v/>
      </c>
      <c r="X2124" s="46" t="str">
        <f t="shared" si="933"/>
        <v/>
      </c>
    </row>
    <row r="2125" spans="2:26" x14ac:dyDescent="0.25">
      <c r="B2125" s="18"/>
      <c r="C2125" s="18"/>
      <c r="D2125" s="18"/>
      <c r="E2125" s="40"/>
      <c r="F2125" s="18"/>
      <c r="G2125" s="40"/>
      <c r="N2125" s="8" t="str">
        <f>IF(R2125="x",1,"")</f>
        <v/>
      </c>
      <c r="O2125" s="18"/>
      <c r="P2125" s="13"/>
      <c r="Q2125" s="13"/>
      <c r="R2125" s="13"/>
      <c r="S2125" s="13"/>
      <c r="T2125" s="15"/>
      <c r="U2125" s="46" t="str">
        <f t="shared" si="933"/>
        <v/>
      </c>
      <c r="V2125" s="46" t="str">
        <f t="shared" si="933"/>
        <v/>
      </c>
      <c r="W2125" s="46" t="str">
        <f t="shared" si="933"/>
        <v/>
      </c>
      <c r="X2125" s="46" t="str">
        <f t="shared" si="933"/>
        <v/>
      </c>
    </row>
    <row r="2126" spans="2:26" x14ac:dyDescent="0.25">
      <c r="B2126" s="11" t="str">
        <f>CONCATENATE("JERA","-",LEFT(P2126,2),UPPER(MID(P2126,4,3)),RIGHT(P2126,4))</f>
        <v>JERA-12AUG1886</v>
      </c>
      <c r="C2126" s="11" t="s">
        <v>3539</v>
      </c>
      <c r="D2126" s="11" t="s">
        <v>3342</v>
      </c>
      <c r="F2126" s="11" t="s">
        <v>3538</v>
      </c>
      <c r="G2126" s="39" t="s">
        <v>3540</v>
      </c>
      <c r="J2126" s="17">
        <v>16</v>
      </c>
      <c r="K2126" s="17"/>
      <c r="L2126" s="7">
        <f>SUM(H2126:K2126)</f>
        <v>16</v>
      </c>
      <c r="M2126" s="8">
        <v>1</v>
      </c>
      <c r="N2126" s="8">
        <f>IF(L2126&gt;0,1,"")</f>
        <v>1</v>
      </c>
      <c r="O2126" s="11" t="s">
        <v>1702</v>
      </c>
      <c r="P2126" s="16" t="str">
        <f>IF(LEN(G2126)=10,CONCATENATE("0",G2126),G2126)</f>
        <v>12-Aug-1886</v>
      </c>
      <c r="R2126" s="16" t="str">
        <f>IF($L2126&gt;0,"x","")</f>
        <v>x</v>
      </c>
      <c r="S2126" s="16" t="str">
        <f>IF($L2126&gt;0,"x","")</f>
        <v>x</v>
      </c>
      <c r="U2126" s="46" t="str">
        <f t="shared" si="933"/>
        <v/>
      </c>
      <c r="V2126" s="46">
        <f t="shared" si="933"/>
        <v>16</v>
      </c>
      <c r="W2126" s="46" t="str">
        <f t="shared" si="933"/>
        <v/>
      </c>
      <c r="X2126" s="46" t="str">
        <f t="shared" si="933"/>
        <v/>
      </c>
    </row>
    <row r="2127" spans="2:26" x14ac:dyDescent="0.25">
      <c r="N2127" s="8" t="str">
        <f>IF(R2127="x",1,"")</f>
        <v/>
      </c>
      <c r="U2127" s="46" t="str">
        <f t="shared" si="933"/>
        <v/>
      </c>
      <c r="V2127" s="46" t="str">
        <f t="shared" si="933"/>
        <v/>
      </c>
      <c r="W2127" s="46" t="str">
        <f t="shared" si="933"/>
        <v/>
      </c>
      <c r="X2127" s="46" t="str">
        <f t="shared" si="933"/>
        <v/>
      </c>
    </row>
    <row r="2128" spans="2:26" x14ac:dyDescent="0.25">
      <c r="B2128" s="18"/>
      <c r="C2128" s="18"/>
      <c r="D2128" s="18"/>
      <c r="E2128" s="40"/>
      <c r="F2128" s="18"/>
      <c r="G2128" s="40"/>
      <c r="H2128" s="7">
        <f t="shared" ref="H2128:N2128" si="935">SUM(H2126:H2127)</f>
        <v>0</v>
      </c>
      <c r="I2128" s="7">
        <f t="shared" si="935"/>
        <v>0</v>
      </c>
      <c r="J2128" s="7">
        <f>SUM(J2126:J2127)</f>
        <v>16</v>
      </c>
      <c r="K2128" s="7">
        <f t="shared" si="935"/>
        <v>0</v>
      </c>
      <c r="L2128" s="7">
        <f t="shared" si="935"/>
        <v>16</v>
      </c>
      <c r="M2128" s="7">
        <f t="shared" si="935"/>
        <v>1</v>
      </c>
      <c r="N2128" s="7">
        <f t="shared" si="935"/>
        <v>1</v>
      </c>
      <c r="O2128" s="18"/>
      <c r="P2128" s="13"/>
      <c r="Q2128" s="13"/>
      <c r="S2128" s="13"/>
      <c r="T2128" s="15"/>
      <c r="U2128" s="46" t="str">
        <f t="shared" si="933"/>
        <v/>
      </c>
      <c r="V2128" s="46" t="str">
        <f t="shared" si="933"/>
        <v/>
      </c>
      <c r="W2128" s="46" t="str">
        <f t="shared" si="933"/>
        <v/>
      </c>
      <c r="X2128" s="46" t="str">
        <f t="shared" si="933"/>
        <v/>
      </c>
    </row>
    <row r="2129" spans="2:24" x14ac:dyDescent="0.25">
      <c r="B2129" s="18"/>
      <c r="C2129" s="18"/>
      <c r="D2129" s="18"/>
      <c r="E2129" s="40"/>
      <c r="F2129" s="18"/>
      <c r="G2129" s="40"/>
      <c r="N2129" s="8" t="str">
        <f>IF(R2129="x",1,"")</f>
        <v/>
      </c>
      <c r="O2129" s="18"/>
      <c r="P2129" s="13"/>
      <c r="Q2129" s="13"/>
      <c r="R2129" s="13"/>
      <c r="S2129" s="13"/>
      <c r="T2129" s="15"/>
      <c r="U2129" s="46" t="str">
        <f t="shared" si="933"/>
        <v/>
      </c>
      <c r="V2129" s="46" t="str">
        <f t="shared" si="933"/>
        <v/>
      </c>
      <c r="W2129" s="46" t="str">
        <f t="shared" si="933"/>
        <v/>
      </c>
      <c r="X2129" s="46" t="str">
        <f t="shared" si="933"/>
        <v/>
      </c>
    </row>
    <row r="2130" spans="2:24" x14ac:dyDescent="0.25">
      <c r="B2130" s="18"/>
      <c r="C2130" s="18"/>
      <c r="D2130" s="18"/>
      <c r="E2130" s="40"/>
      <c r="F2130" s="18"/>
      <c r="G2130" s="40"/>
      <c r="N2130" s="8" t="str">
        <f>IF(R2130="x",1,"")</f>
        <v/>
      </c>
      <c r="O2130" s="18"/>
      <c r="P2130" s="13"/>
      <c r="Q2130" s="13"/>
      <c r="R2130" s="13"/>
      <c r="S2130" s="13"/>
      <c r="T2130" s="15"/>
      <c r="U2130" s="46" t="str">
        <f t="shared" si="933"/>
        <v/>
      </c>
      <c r="V2130" s="46" t="str">
        <f t="shared" si="933"/>
        <v/>
      </c>
      <c r="W2130" s="46" t="str">
        <f t="shared" si="933"/>
        <v/>
      </c>
      <c r="X2130" s="46" t="str">
        <f t="shared" si="933"/>
        <v/>
      </c>
    </row>
    <row r="2131" spans="2:24" x14ac:dyDescent="0.25">
      <c r="B2131" s="11" t="str">
        <f t="shared" ref="B2131:B2141" si="936">CONCATENATE("KFJI","-",LEFT(P2131,2),UPPER(MID(P2131,4,3)),RIGHT(P2131,4))</f>
        <v>KFJI-08JUN1912</v>
      </c>
      <c r="C2131" s="11" t="s">
        <v>3301</v>
      </c>
      <c r="D2131" s="11" t="s">
        <v>1906</v>
      </c>
      <c r="E2131" s="39" t="s">
        <v>4777</v>
      </c>
      <c r="F2131" s="11" t="s">
        <v>1700</v>
      </c>
      <c r="G2131" s="39" t="s">
        <v>914</v>
      </c>
      <c r="H2131" s="7">
        <v>0</v>
      </c>
      <c r="I2131" s="7">
        <v>12</v>
      </c>
      <c r="J2131" s="17">
        <v>26</v>
      </c>
      <c r="K2131" s="17"/>
      <c r="L2131" s="7">
        <f t="shared" ref="L2131:L2141" si="937">SUM(H2131:K2131)</f>
        <v>38</v>
      </c>
      <c r="M2131" s="8">
        <v>1</v>
      </c>
      <c r="N2131" s="8">
        <f t="shared" ref="N2131:N2141" si="938">IF(L2131&gt;0,1,"")</f>
        <v>1</v>
      </c>
      <c r="O2131" s="11" t="s">
        <v>1702</v>
      </c>
      <c r="P2131" s="16" t="str">
        <f t="shared" ref="P2131:P2141" si="939">IF(LEN(G2131)=10,CONCATENATE("0",G2131),G2131)</f>
        <v>08-Jun-1912</v>
      </c>
      <c r="R2131" s="16" t="str">
        <f t="shared" ref="R2131:S2141" si="940">IF($L2131&gt;0,"x","")</f>
        <v>x</v>
      </c>
      <c r="S2131" s="16" t="str">
        <f t="shared" si="940"/>
        <v>x</v>
      </c>
      <c r="U2131" s="46" t="str">
        <f t="shared" ref="U2131:X2232" si="941">IF($O2131=U$5,$L2131,"")</f>
        <v/>
      </c>
      <c r="V2131" s="46">
        <f t="shared" si="941"/>
        <v>38</v>
      </c>
      <c r="W2131" s="46" t="str">
        <f t="shared" si="941"/>
        <v/>
      </c>
      <c r="X2131" s="46" t="str">
        <f t="shared" si="941"/>
        <v/>
      </c>
    </row>
    <row r="2132" spans="2:24" x14ac:dyDescent="0.25">
      <c r="B2132" s="11" t="str">
        <f>CONCATENATE("KFJI","-",LEFT(P2132,2),UPPER(MID(P2132,4,3)),RIGHT(P2132,4))</f>
        <v>KFJI-20JUL1912</v>
      </c>
      <c r="C2132" s="11" t="s">
        <v>3301</v>
      </c>
      <c r="D2132" s="11" t="s">
        <v>1906</v>
      </c>
      <c r="E2132" s="39" t="s">
        <v>3695</v>
      </c>
      <c r="F2132" s="11" t="s">
        <v>1700</v>
      </c>
      <c r="G2132" s="39" t="s">
        <v>3862</v>
      </c>
      <c r="H2132" s="7">
        <v>0</v>
      </c>
      <c r="I2132" s="7">
        <v>1</v>
      </c>
      <c r="J2132" s="17">
        <v>32</v>
      </c>
      <c r="K2132" s="17"/>
      <c r="L2132" s="7">
        <f>SUM(H2132:K2132)</f>
        <v>33</v>
      </c>
      <c r="M2132" s="8">
        <v>1</v>
      </c>
      <c r="N2132" s="8">
        <f>IF(L2132&gt;0,1,"")</f>
        <v>1</v>
      </c>
      <c r="O2132" s="11" t="s">
        <v>1702</v>
      </c>
      <c r="P2132" s="16" t="str">
        <f>IF(LEN(G2132)=10,CONCATENATE("0",G2132),G2132)</f>
        <v>20-Jul-1912</v>
      </c>
      <c r="R2132" s="16" t="str">
        <f t="shared" si="940"/>
        <v>x</v>
      </c>
      <c r="S2132" s="16" t="str">
        <f t="shared" si="940"/>
        <v>x</v>
      </c>
      <c r="U2132" s="46" t="str">
        <f t="shared" ref="U2132:X2133" si="942">IF($O2132=U$5,$L2132,"")</f>
        <v/>
      </c>
      <c r="V2132" s="46">
        <f t="shared" si="942"/>
        <v>33</v>
      </c>
      <c r="W2132" s="46" t="str">
        <f t="shared" si="942"/>
        <v/>
      </c>
      <c r="X2132" s="46" t="str">
        <f t="shared" si="942"/>
        <v/>
      </c>
    </row>
    <row r="2133" spans="2:24" x14ac:dyDescent="0.25">
      <c r="B2133" s="11" t="str">
        <f>CONCATENATE("KFJI","-",LEFT(P2133,2),UPPER(MID(P2133,4,3)),RIGHT(P2133,4))</f>
        <v>KFJI-03DEC1912</v>
      </c>
      <c r="C2133" s="11" t="s">
        <v>3301</v>
      </c>
      <c r="D2133" s="11" t="s">
        <v>1906</v>
      </c>
      <c r="E2133" s="39" t="s">
        <v>3302</v>
      </c>
      <c r="F2133" s="11" t="s">
        <v>1700</v>
      </c>
      <c r="G2133" s="39" t="s">
        <v>3303</v>
      </c>
      <c r="H2133" s="7">
        <v>0</v>
      </c>
      <c r="I2133" s="7">
        <v>1</v>
      </c>
      <c r="J2133" s="17">
        <f>101+1</f>
        <v>102</v>
      </c>
      <c r="K2133" s="17"/>
      <c r="L2133" s="7">
        <f>SUM(H2133:K2133)</f>
        <v>103</v>
      </c>
      <c r="M2133" s="8">
        <v>1</v>
      </c>
      <c r="N2133" s="8">
        <f>IF(L2133&gt;0,1,"")</f>
        <v>1</v>
      </c>
      <c r="O2133" s="11" t="s">
        <v>1702</v>
      </c>
      <c r="P2133" s="16" t="str">
        <f>IF(LEN(G2133)=10,CONCATENATE("0",G2133),G2133)</f>
        <v>03-Dec-1912</v>
      </c>
      <c r="R2133" s="16" t="str">
        <f t="shared" si="940"/>
        <v>x</v>
      </c>
      <c r="S2133" s="16" t="str">
        <f t="shared" si="940"/>
        <v>x</v>
      </c>
      <c r="U2133" s="46" t="str">
        <f t="shared" si="942"/>
        <v/>
      </c>
      <c r="V2133" s="46">
        <f t="shared" si="942"/>
        <v>103</v>
      </c>
      <c r="W2133" s="46" t="str">
        <f t="shared" si="942"/>
        <v/>
      </c>
      <c r="X2133" s="46" t="str">
        <f t="shared" si="942"/>
        <v/>
      </c>
    </row>
    <row r="2134" spans="2:24" x14ac:dyDescent="0.25">
      <c r="B2134" s="11" t="str">
        <f t="shared" si="936"/>
        <v>KFJI-10MAY1913</v>
      </c>
      <c r="C2134" s="11" t="s">
        <v>3301</v>
      </c>
      <c r="D2134" s="11" t="s">
        <v>1906</v>
      </c>
      <c r="E2134" s="39" t="s">
        <v>1022</v>
      </c>
      <c r="F2134" s="11" t="s">
        <v>1700</v>
      </c>
      <c r="G2134" s="39" t="s">
        <v>1296</v>
      </c>
      <c r="H2134" s="7">
        <v>0</v>
      </c>
      <c r="I2134" s="7">
        <v>1</v>
      </c>
      <c r="J2134" s="17">
        <v>50</v>
      </c>
      <c r="K2134" s="17"/>
      <c r="L2134" s="7">
        <f t="shared" si="937"/>
        <v>51</v>
      </c>
      <c r="M2134" s="8">
        <v>1</v>
      </c>
      <c r="N2134" s="8">
        <f t="shared" si="938"/>
        <v>1</v>
      </c>
      <c r="O2134" s="11" t="s">
        <v>1702</v>
      </c>
      <c r="P2134" s="16" t="str">
        <f t="shared" si="939"/>
        <v>10-May-1913</v>
      </c>
      <c r="R2134" s="16" t="str">
        <f t="shared" si="940"/>
        <v>x</v>
      </c>
      <c r="S2134" s="16" t="str">
        <f t="shared" si="940"/>
        <v>x</v>
      </c>
      <c r="U2134" s="46" t="str">
        <f t="shared" si="941"/>
        <v/>
      </c>
      <c r="V2134" s="46">
        <f t="shared" si="941"/>
        <v>51</v>
      </c>
      <c r="W2134" s="46" t="str">
        <f t="shared" si="941"/>
        <v/>
      </c>
      <c r="X2134" s="46" t="str">
        <f t="shared" si="941"/>
        <v/>
      </c>
    </row>
    <row r="2135" spans="2:24" x14ac:dyDescent="0.25">
      <c r="B2135" s="11" t="str">
        <f t="shared" si="936"/>
        <v>KFJI-17JUN1913</v>
      </c>
      <c r="C2135" s="11" t="s">
        <v>3301</v>
      </c>
      <c r="D2135" s="11" t="s">
        <v>1906</v>
      </c>
      <c r="E2135" s="39" t="s">
        <v>3635</v>
      </c>
      <c r="F2135" s="11" t="s">
        <v>1700</v>
      </c>
      <c r="G2135" s="39" t="s">
        <v>1926</v>
      </c>
      <c r="H2135" s="7">
        <v>0</v>
      </c>
      <c r="I2135" s="7">
        <v>1</v>
      </c>
      <c r="J2135" s="17">
        <v>135</v>
      </c>
      <c r="K2135" s="17"/>
      <c r="L2135" s="7">
        <f t="shared" si="937"/>
        <v>136</v>
      </c>
      <c r="M2135" s="8">
        <v>1</v>
      </c>
      <c r="N2135" s="8">
        <f t="shared" si="938"/>
        <v>1</v>
      </c>
      <c r="O2135" s="11" t="s">
        <v>1702</v>
      </c>
      <c r="P2135" s="16" t="str">
        <f t="shared" si="939"/>
        <v>17-Jun-1913</v>
      </c>
      <c r="R2135" s="16" t="str">
        <f t="shared" si="940"/>
        <v>x</v>
      </c>
      <c r="S2135" s="16" t="str">
        <f t="shared" si="940"/>
        <v>x</v>
      </c>
      <c r="U2135" s="46" t="str">
        <f t="shared" si="941"/>
        <v/>
      </c>
      <c r="V2135" s="46">
        <f t="shared" si="941"/>
        <v>136</v>
      </c>
      <c r="W2135" s="46" t="str">
        <f t="shared" si="941"/>
        <v/>
      </c>
      <c r="X2135" s="46" t="str">
        <f t="shared" si="941"/>
        <v/>
      </c>
    </row>
    <row r="2136" spans="2:24" x14ac:dyDescent="0.25">
      <c r="B2136" s="11" t="str">
        <f>CONCATENATE("KFJI","-",LEFT(P2136,2),UPPER(MID(P2136,4,3)),RIGHT(P2136,4))</f>
        <v>KFJI-25JUL1913</v>
      </c>
      <c r="C2136" s="11" t="s">
        <v>3301</v>
      </c>
      <c r="D2136" s="11" t="s">
        <v>1906</v>
      </c>
      <c r="E2136" s="39" t="s">
        <v>5393</v>
      </c>
      <c r="F2136" s="11" t="s">
        <v>1700</v>
      </c>
      <c r="G2136" s="39" t="s">
        <v>4492</v>
      </c>
      <c r="H2136" s="7">
        <v>1</v>
      </c>
      <c r="I2136" s="7">
        <f>9+3</f>
        <v>12</v>
      </c>
      <c r="J2136" s="17">
        <v>46</v>
      </c>
      <c r="K2136" s="17"/>
      <c r="L2136" s="7">
        <f>SUM(H2136:K2136)</f>
        <v>59</v>
      </c>
      <c r="M2136" s="8">
        <v>1</v>
      </c>
      <c r="N2136" s="8">
        <f>IF(L2136&gt;0,1,"")</f>
        <v>1</v>
      </c>
      <c r="O2136" s="11" t="s">
        <v>1702</v>
      </c>
      <c r="P2136" s="16" t="str">
        <f>IF(LEN(G2136)=10,CONCATENATE("0",G2136),G2136)</f>
        <v>25-Jul-1913</v>
      </c>
      <c r="R2136" s="16" t="str">
        <f>IF($L2136&gt;0,"x","")</f>
        <v>x</v>
      </c>
      <c r="S2136" s="16" t="str">
        <f>IF($L2136&gt;0,"x","")</f>
        <v>x</v>
      </c>
      <c r="U2136" s="46" t="str">
        <f>IF($O2136=U$5,$L2136,"")</f>
        <v/>
      </c>
      <c r="V2136" s="46">
        <f>IF($O2136=V$5,$L2136,"")</f>
        <v>59</v>
      </c>
      <c r="W2136" s="46" t="str">
        <f>IF($O2136=W$5,$L2136,"")</f>
        <v/>
      </c>
      <c r="X2136" s="46" t="str">
        <f>IF($O2136=X$5,$L2136,"")</f>
        <v/>
      </c>
    </row>
    <row r="2137" spans="2:24" x14ac:dyDescent="0.25">
      <c r="B2137" s="11" t="str">
        <f t="shared" si="936"/>
        <v>KFJI-30AUG1913</v>
      </c>
      <c r="C2137" s="11" t="s">
        <v>3301</v>
      </c>
      <c r="D2137" s="11" t="s">
        <v>1906</v>
      </c>
      <c r="E2137" s="39" t="s">
        <v>3513</v>
      </c>
      <c r="F2137" s="11" t="s">
        <v>1700</v>
      </c>
      <c r="G2137" s="39" t="s">
        <v>1289</v>
      </c>
      <c r="H2137" s="7">
        <v>0</v>
      </c>
      <c r="I2137" s="7">
        <v>9</v>
      </c>
      <c r="J2137" s="17">
        <v>13</v>
      </c>
      <c r="K2137" s="17"/>
      <c r="L2137" s="7">
        <f t="shared" si="937"/>
        <v>22</v>
      </c>
      <c r="M2137" s="8">
        <v>1</v>
      </c>
      <c r="N2137" s="8">
        <f t="shared" si="938"/>
        <v>1</v>
      </c>
      <c r="O2137" s="11" t="s">
        <v>1702</v>
      </c>
      <c r="P2137" s="16" t="str">
        <f t="shared" si="939"/>
        <v>30-Aug-1913</v>
      </c>
      <c r="R2137" s="16" t="str">
        <f t="shared" si="940"/>
        <v>x</v>
      </c>
      <c r="S2137" s="16" t="str">
        <f t="shared" si="940"/>
        <v>x</v>
      </c>
      <c r="U2137" s="46" t="str">
        <f t="shared" si="941"/>
        <v/>
      </c>
      <c r="V2137" s="46">
        <f t="shared" si="941"/>
        <v>22</v>
      </c>
      <c r="W2137" s="46" t="str">
        <f t="shared" si="941"/>
        <v/>
      </c>
      <c r="X2137" s="46" t="str">
        <f t="shared" si="941"/>
        <v/>
      </c>
    </row>
    <row r="2138" spans="2:24" x14ac:dyDescent="0.25">
      <c r="B2138" s="11" t="str">
        <f t="shared" si="936"/>
        <v>KFJI-06OCT1913</v>
      </c>
      <c r="C2138" s="11" t="s">
        <v>3301</v>
      </c>
      <c r="D2138" s="11" t="s">
        <v>1906</v>
      </c>
      <c r="E2138" s="39" t="s">
        <v>4256</v>
      </c>
      <c r="F2138" s="11" t="s">
        <v>1700</v>
      </c>
      <c r="G2138" s="39" t="s">
        <v>2775</v>
      </c>
      <c r="H2138" s="7">
        <v>9</v>
      </c>
      <c r="I2138" s="7">
        <v>5</v>
      </c>
      <c r="J2138" s="17">
        <v>31</v>
      </c>
      <c r="K2138" s="17"/>
      <c r="L2138" s="7">
        <f t="shared" si="937"/>
        <v>45</v>
      </c>
      <c r="M2138" s="8">
        <v>1</v>
      </c>
      <c r="N2138" s="8">
        <f t="shared" si="938"/>
        <v>1</v>
      </c>
      <c r="O2138" s="11" t="s">
        <v>1702</v>
      </c>
      <c r="P2138" s="16" t="str">
        <f t="shared" si="939"/>
        <v>06-Oct-1913</v>
      </c>
      <c r="R2138" s="16" t="str">
        <f t="shared" si="940"/>
        <v>x</v>
      </c>
      <c r="S2138" s="16" t="str">
        <f t="shared" si="940"/>
        <v>x</v>
      </c>
      <c r="U2138" s="46" t="str">
        <f t="shared" si="941"/>
        <v/>
      </c>
      <c r="V2138" s="46">
        <f t="shared" si="941"/>
        <v>45</v>
      </c>
      <c r="W2138" s="46" t="str">
        <f t="shared" si="941"/>
        <v/>
      </c>
      <c r="X2138" s="46" t="str">
        <f t="shared" si="941"/>
        <v/>
      </c>
    </row>
    <row r="2139" spans="2:24" x14ac:dyDescent="0.25">
      <c r="B2139" s="11" t="str">
        <f>CONCATENATE("KFJI","-",LEFT(P2139,2),UPPER(MID(P2139,4,3)),RIGHT(P2139,4))</f>
        <v>KFJI-18JAN1914</v>
      </c>
      <c r="C2139" s="11" t="s">
        <v>3301</v>
      </c>
      <c r="D2139" s="11" t="s">
        <v>1906</v>
      </c>
      <c r="E2139" s="39" t="s">
        <v>4560</v>
      </c>
      <c r="F2139" s="11" t="s">
        <v>1700</v>
      </c>
      <c r="G2139" s="39" t="s">
        <v>1300</v>
      </c>
      <c r="H2139" s="7">
        <v>0</v>
      </c>
      <c r="I2139" s="7">
        <v>2</v>
      </c>
      <c r="J2139" s="17">
        <v>23</v>
      </c>
      <c r="K2139" s="17"/>
      <c r="L2139" s="7">
        <f>SUM(H2139:K2139)</f>
        <v>25</v>
      </c>
      <c r="M2139" s="8">
        <v>1</v>
      </c>
      <c r="N2139" s="8">
        <f>IF(L2139&gt;0,1,"")</f>
        <v>1</v>
      </c>
      <c r="O2139" s="11" t="s">
        <v>1702</v>
      </c>
      <c r="P2139" s="16" t="str">
        <f>IF(LEN(G2139)=10,CONCATENATE("0",G2139),G2139)</f>
        <v>18-Jan-1914</v>
      </c>
      <c r="R2139" s="16" t="str">
        <f t="shared" si="940"/>
        <v>x</v>
      </c>
      <c r="S2139" s="16" t="str">
        <f t="shared" si="940"/>
        <v>x</v>
      </c>
      <c r="U2139" s="46" t="str">
        <f t="shared" ref="U2139:X2140" si="943">IF($O2139=U$5,$L2139,"")</f>
        <v/>
      </c>
      <c r="V2139" s="46">
        <f t="shared" si="943"/>
        <v>25</v>
      </c>
      <c r="W2139" s="46" t="str">
        <f t="shared" si="943"/>
        <v/>
      </c>
      <c r="X2139" s="46" t="str">
        <f t="shared" si="943"/>
        <v/>
      </c>
    </row>
    <row r="2140" spans="2:24" x14ac:dyDescent="0.25">
      <c r="B2140" s="11" t="str">
        <f>CONCATENATE("KFJI","-",LEFT(P2140,2),UPPER(MID(P2140,4,3)),RIGHT(P2140,4))</f>
        <v>KFJI-04MAR1914</v>
      </c>
      <c r="C2140" s="11" t="s">
        <v>3301</v>
      </c>
      <c r="D2140" s="11" t="s">
        <v>1906</v>
      </c>
      <c r="E2140" s="39" t="s">
        <v>5687</v>
      </c>
      <c r="F2140" s="11" t="s">
        <v>1700</v>
      </c>
      <c r="G2140" s="39" t="s">
        <v>5688</v>
      </c>
      <c r="H2140" s="7">
        <v>0</v>
      </c>
      <c r="I2140" s="7">
        <v>0</v>
      </c>
      <c r="J2140" s="17">
        <v>4</v>
      </c>
      <c r="K2140" s="17"/>
      <c r="L2140" s="7">
        <f>SUM(H2140:K2140)</f>
        <v>4</v>
      </c>
      <c r="M2140" s="8">
        <v>1</v>
      </c>
      <c r="N2140" s="8">
        <f>IF(L2140&gt;0,1,"")</f>
        <v>1</v>
      </c>
      <c r="O2140" s="11" t="s">
        <v>1702</v>
      </c>
      <c r="P2140" s="16" t="str">
        <f>IF(LEN(G2140)=10,CONCATENATE("0",G2140),G2140)</f>
        <v>04-Mar-1914</v>
      </c>
      <c r="R2140" s="16" t="str">
        <f>IF($L2140&gt;0,"x","")</f>
        <v>x</v>
      </c>
      <c r="S2140" s="16" t="str">
        <f>IF($L2140&gt;0,"x","")</f>
        <v>x</v>
      </c>
      <c r="U2140" s="46" t="str">
        <f t="shared" si="943"/>
        <v/>
      </c>
      <c r="V2140" s="46">
        <f t="shared" si="943"/>
        <v>4</v>
      </c>
      <c r="W2140" s="46" t="str">
        <f t="shared" si="943"/>
        <v/>
      </c>
      <c r="X2140" s="46" t="str">
        <f t="shared" si="943"/>
        <v/>
      </c>
    </row>
    <row r="2141" spans="2:24" x14ac:dyDescent="0.25">
      <c r="B2141" s="11" t="str">
        <f t="shared" si="936"/>
        <v>KFJI-27JUN1914</v>
      </c>
      <c r="C2141" s="11" t="s">
        <v>3301</v>
      </c>
      <c r="D2141" s="11" t="s">
        <v>1906</v>
      </c>
      <c r="E2141" s="39" t="s">
        <v>1345</v>
      </c>
      <c r="F2141" s="11" t="s">
        <v>1700</v>
      </c>
      <c r="G2141" s="39" t="s">
        <v>2375</v>
      </c>
      <c r="H2141" s="7">
        <v>0</v>
      </c>
      <c r="I2141" s="7">
        <v>2</v>
      </c>
      <c r="J2141" s="17">
        <v>21</v>
      </c>
      <c r="K2141" s="17"/>
      <c r="L2141" s="7">
        <f t="shared" si="937"/>
        <v>23</v>
      </c>
      <c r="M2141" s="8">
        <v>1</v>
      </c>
      <c r="N2141" s="8">
        <f t="shared" si="938"/>
        <v>1</v>
      </c>
      <c r="O2141" s="11" t="s">
        <v>1702</v>
      </c>
      <c r="P2141" s="16" t="str">
        <f t="shared" si="939"/>
        <v>27-Jun-1914</v>
      </c>
      <c r="R2141" s="16" t="str">
        <f t="shared" si="940"/>
        <v>x</v>
      </c>
      <c r="S2141" s="16" t="str">
        <f t="shared" si="940"/>
        <v>x</v>
      </c>
      <c r="U2141" s="46" t="str">
        <f t="shared" si="941"/>
        <v/>
      </c>
      <c r="V2141" s="46">
        <f t="shared" si="941"/>
        <v>23</v>
      </c>
      <c r="W2141" s="46" t="str">
        <f t="shared" si="941"/>
        <v/>
      </c>
      <c r="X2141" s="46" t="str">
        <f t="shared" si="941"/>
        <v/>
      </c>
    </row>
    <row r="2142" spans="2:24" x14ac:dyDescent="0.25">
      <c r="N2142" s="8" t="str">
        <f>IF(R2142="x",1,"")</f>
        <v/>
      </c>
      <c r="U2142" s="46" t="str">
        <f t="shared" si="941"/>
        <v/>
      </c>
      <c r="V2142" s="46" t="str">
        <f t="shared" si="941"/>
        <v/>
      </c>
      <c r="W2142" s="46" t="str">
        <f t="shared" si="941"/>
        <v/>
      </c>
      <c r="X2142" s="46" t="str">
        <f t="shared" si="941"/>
        <v/>
      </c>
    </row>
    <row r="2143" spans="2:24" x14ac:dyDescent="0.25">
      <c r="B2143" s="18"/>
      <c r="C2143" s="18"/>
      <c r="D2143" s="18"/>
      <c r="E2143" s="40"/>
      <c r="F2143" s="18"/>
      <c r="G2143" s="40"/>
      <c r="H2143" s="7">
        <f t="shared" ref="H2143:N2143" si="944">SUM(H2131:H2142)</f>
        <v>10</v>
      </c>
      <c r="I2143" s="7">
        <f t="shared" si="944"/>
        <v>46</v>
      </c>
      <c r="J2143" s="7">
        <f>SUM(J2131:J2142)</f>
        <v>483</v>
      </c>
      <c r="K2143" s="7">
        <f t="shared" si="944"/>
        <v>0</v>
      </c>
      <c r="L2143" s="7">
        <f t="shared" si="944"/>
        <v>539</v>
      </c>
      <c r="M2143" s="7">
        <f t="shared" si="944"/>
        <v>11</v>
      </c>
      <c r="N2143" s="7">
        <f t="shared" si="944"/>
        <v>11</v>
      </c>
      <c r="O2143" s="18"/>
      <c r="P2143" s="13"/>
      <c r="Q2143" s="13"/>
      <c r="S2143" s="13"/>
      <c r="T2143" s="15"/>
      <c r="U2143" s="46" t="str">
        <f t="shared" si="941"/>
        <v/>
      </c>
      <c r="V2143" s="46" t="str">
        <f t="shared" si="941"/>
        <v/>
      </c>
      <c r="W2143" s="46" t="str">
        <f t="shared" si="941"/>
        <v/>
      </c>
      <c r="X2143" s="46" t="str">
        <f t="shared" si="941"/>
        <v/>
      </c>
    </row>
    <row r="2144" spans="2:24" x14ac:dyDescent="0.25">
      <c r="B2144" s="18"/>
      <c r="C2144" s="18"/>
      <c r="D2144" s="18"/>
      <c r="E2144" s="40"/>
      <c r="F2144" s="18"/>
      <c r="G2144" s="40"/>
      <c r="N2144" s="8" t="str">
        <f>IF(R2144="x",1,"")</f>
        <v/>
      </c>
      <c r="O2144" s="18"/>
      <c r="P2144" s="13"/>
      <c r="Q2144" s="13"/>
      <c r="R2144" s="13"/>
      <c r="S2144" s="13"/>
      <c r="T2144" s="15"/>
      <c r="U2144" s="46" t="str">
        <f t="shared" si="941"/>
        <v/>
      </c>
      <c r="V2144" s="46" t="str">
        <f t="shared" si="941"/>
        <v/>
      </c>
      <c r="W2144" s="46" t="str">
        <f t="shared" si="941"/>
        <v/>
      </c>
      <c r="X2144" s="46" t="str">
        <f t="shared" si="941"/>
        <v/>
      </c>
    </row>
    <row r="2145" spans="2:24" x14ac:dyDescent="0.25">
      <c r="B2145" s="18"/>
      <c r="C2145" s="18"/>
      <c r="D2145" s="18"/>
      <c r="E2145" s="40"/>
      <c r="F2145" s="18"/>
      <c r="G2145" s="40"/>
      <c r="N2145" s="8" t="str">
        <f>IF(R2145="x",1,"")</f>
        <v/>
      </c>
      <c r="O2145" s="18"/>
      <c r="P2145" s="13"/>
      <c r="Q2145" s="13"/>
      <c r="R2145" s="13"/>
      <c r="S2145" s="13"/>
      <c r="T2145" s="15"/>
      <c r="U2145" s="46" t="str">
        <f t="shared" si="941"/>
        <v/>
      </c>
      <c r="V2145" s="46" t="str">
        <f t="shared" si="941"/>
        <v/>
      </c>
      <c r="W2145" s="46" t="str">
        <f t="shared" si="941"/>
        <v/>
      </c>
      <c r="X2145" s="46" t="str">
        <f t="shared" si="941"/>
        <v/>
      </c>
    </row>
    <row r="2146" spans="2:24" x14ac:dyDescent="0.25">
      <c r="B2146" s="11" t="str">
        <f t="shared" ref="B2146:B2152" si="945">CONCATENATE("KWDG","-",LEFT(P2146,2),UPPER(MID(P2146,4,3)),RIGHT(P2146,4))</f>
        <v>KWDG-26NOV1902</v>
      </c>
      <c r="C2146" s="11" t="s">
        <v>3551</v>
      </c>
      <c r="D2146" s="11" t="s">
        <v>2224</v>
      </c>
      <c r="E2146" s="39" t="s">
        <v>3552</v>
      </c>
      <c r="F2146" s="11" t="s">
        <v>1700</v>
      </c>
      <c r="G2146" s="39" t="s">
        <v>3553</v>
      </c>
      <c r="J2146" s="17">
        <v>10</v>
      </c>
      <c r="K2146" s="17"/>
      <c r="L2146" s="7">
        <f t="shared" ref="L2146:L2152" si="946">SUM(H2146:K2146)</f>
        <v>10</v>
      </c>
      <c r="M2146" s="8">
        <v>1</v>
      </c>
      <c r="N2146" s="8">
        <f t="shared" ref="N2146:N2152" si="947">IF(L2146&gt;0,1,"")</f>
        <v>1</v>
      </c>
      <c r="O2146" s="11" t="s">
        <v>1702</v>
      </c>
      <c r="P2146" s="16" t="str">
        <f t="shared" ref="P2146:P2152" si="948">IF(LEN(G2146)=10,CONCATENATE("0",G2146),G2146)</f>
        <v>26-Nov-1902</v>
      </c>
      <c r="R2146" s="16" t="str">
        <f t="shared" ref="R2146:S2152" si="949">IF($L2146&gt;0,"x","")</f>
        <v>x</v>
      </c>
      <c r="S2146" s="16" t="str">
        <f t="shared" si="949"/>
        <v>x</v>
      </c>
      <c r="U2146" s="46" t="str">
        <f t="shared" si="941"/>
        <v/>
      </c>
      <c r="V2146" s="46">
        <f t="shared" si="941"/>
        <v>10</v>
      </c>
      <c r="W2146" s="46" t="str">
        <f t="shared" si="941"/>
        <v/>
      </c>
      <c r="X2146" s="46" t="str">
        <f t="shared" si="941"/>
        <v/>
      </c>
    </row>
    <row r="2147" spans="2:24" x14ac:dyDescent="0.25">
      <c r="B2147" s="11" t="str">
        <f t="shared" si="945"/>
        <v>KWDG-01APR1903</v>
      </c>
      <c r="C2147" s="11" t="s">
        <v>3551</v>
      </c>
      <c r="D2147" s="11" t="s">
        <v>2224</v>
      </c>
      <c r="E2147" s="39" t="s">
        <v>3990</v>
      </c>
      <c r="F2147" s="11" t="s">
        <v>1700</v>
      </c>
      <c r="G2147" s="39" t="s">
        <v>6061</v>
      </c>
      <c r="J2147" s="17">
        <v>6</v>
      </c>
      <c r="K2147" s="17"/>
      <c r="L2147" s="7">
        <f t="shared" si="946"/>
        <v>6</v>
      </c>
      <c r="M2147" s="8">
        <v>1</v>
      </c>
      <c r="N2147" s="8">
        <f t="shared" si="947"/>
        <v>1</v>
      </c>
      <c r="O2147" s="11" t="s">
        <v>1702</v>
      </c>
      <c r="P2147" s="16" t="str">
        <f t="shared" si="948"/>
        <v>01-Apr-1903</v>
      </c>
      <c r="R2147" s="16" t="str">
        <f t="shared" si="949"/>
        <v>x</v>
      </c>
      <c r="S2147" s="16" t="str">
        <f t="shared" si="949"/>
        <v>x</v>
      </c>
      <c r="U2147" s="46" t="str">
        <f t="shared" ref="U2147:X2152" si="950">IF($O2147=U$5,$L2147,"")</f>
        <v/>
      </c>
      <c r="V2147" s="46">
        <f t="shared" si="950"/>
        <v>6</v>
      </c>
      <c r="W2147" s="46" t="str">
        <f t="shared" si="950"/>
        <v/>
      </c>
      <c r="X2147" s="46" t="str">
        <f t="shared" si="950"/>
        <v/>
      </c>
    </row>
    <row r="2148" spans="2:24" x14ac:dyDescent="0.25">
      <c r="B2148" s="11" t="str">
        <f t="shared" si="945"/>
        <v>KWDG-13MAY1903</v>
      </c>
      <c r="C2148" s="11" t="s">
        <v>3551</v>
      </c>
      <c r="D2148" s="11" t="s">
        <v>2224</v>
      </c>
      <c r="E2148" s="39" t="s">
        <v>5088</v>
      </c>
      <c r="F2148" s="11" t="s">
        <v>1700</v>
      </c>
      <c r="G2148" s="39" t="s">
        <v>5089</v>
      </c>
      <c r="J2148" s="17">
        <v>22</v>
      </c>
      <c r="K2148" s="17"/>
      <c r="L2148" s="7">
        <f t="shared" si="946"/>
        <v>22</v>
      </c>
      <c r="M2148" s="8">
        <v>1</v>
      </c>
      <c r="N2148" s="8">
        <f t="shared" si="947"/>
        <v>1</v>
      </c>
      <c r="O2148" s="11" t="s">
        <v>1702</v>
      </c>
      <c r="P2148" s="16" t="str">
        <f t="shared" si="948"/>
        <v>13-May-1903</v>
      </c>
      <c r="R2148" s="16" t="str">
        <f t="shared" si="949"/>
        <v>x</v>
      </c>
      <c r="S2148" s="16" t="str">
        <f t="shared" si="949"/>
        <v>x</v>
      </c>
      <c r="U2148" s="46" t="str">
        <f t="shared" si="950"/>
        <v/>
      </c>
      <c r="V2148" s="46">
        <f t="shared" si="950"/>
        <v>22</v>
      </c>
      <c r="W2148" s="46" t="str">
        <f t="shared" si="950"/>
        <v/>
      </c>
      <c r="X2148" s="46" t="str">
        <f t="shared" si="950"/>
        <v/>
      </c>
    </row>
    <row r="2149" spans="2:24" x14ac:dyDescent="0.25">
      <c r="B2149" s="11" t="str">
        <f t="shared" si="945"/>
        <v>KWDG-25AUG1903</v>
      </c>
      <c r="C2149" s="11" t="s">
        <v>3551</v>
      </c>
      <c r="D2149" s="11" t="s">
        <v>2224</v>
      </c>
      <c r="E2149" s="39" t="s">
        <v>5998</v>
      </c>
      <c r="F2149" s="11" t="s">
        <v>1700</v>
      </c>
      <c r="G2149" s="39" t="s">
        <v>5999</v>
      </c>
      <c r="J2149" s="17">
        <v>3</v>
      </c>
      <c r="K2149" s="17"/>
      <c r="L2149" s="7">
        <f t="shared" si="946"/>
        <v>3</v>
      </c>
      <c r="M2149" s="8">
        <v>1</v>
      </c>
      <c r="N2149" s="8">
        <f t="shared" si="947"/>
        <v>1</v>
      </c>
      <c r="O2149" s="11" t="s">
        <v>1702</v>
      </c>
      <c r="P2149" s="16" t="str">
        <f t="shared" si="948"/>
        <v>25-Aug-1903</v>
      </c>
      <c r="R2149" s="16" t="str">
        <f t="shared" si="949"/>
        <v>x</v>
      </c>
      <c r="S2149" s="16" t="str">
        <f t="shared" si="949"/>
        <v>x</v>
      </c>
      <c r="U2149" s="46" t="str">
        <f t="shared" si="950"/>
        <v/>
      </c>
      <c r="V2149" s="46">
        <f t="shared" si="950"/>
        <v>3</v>
      </c>
      <c r="W2149" s="46" t="str">
        <f t="shared" si="950"/>
        <v/>
      </c>
      <c r="X2149" s="46" t="str">
        <f t="shared" si="950"/>
        <v/>
      </c>
    </row>
    <row r="2150" spans="2:24" x14ac:dyDescent="0.25">
      <c r="B2150" s="11" t="str">
        <f>CONCATENATE("KWDG","-",LEFT(P2150,2),UPPER(MID(P2150,4,3)),RIGHT(P2150,4))</f>
        <v>KWDG-02MAR1904</v>
      </c>
      <c r="C2150" s="11" t="s">
        <v>3551</v>
      </c>
      <c r="D2150" s="11" t="s">
        <v>2224</v>
      </c>
      <c r="E2150" s="39" t="s">
        <v>6255</v>
      </c>
      <c r="F2150" s="11" t="s">
        <v>1700</v>
      </c>
      <c r="G2150" s="39" t="s">
        <v>6254</v>
      </c>
      <c r="H2150" s="7">
        <v>0</v>
      </c>
      <c r="I2150" s="7">
        <v>0</v>
      </c>
      <c r="J2150" s="17">
        <v>3</v>
      </c>
      <c r="K2150" s="17"/>
      <c r="L2150" s="7">
        <f>SUM(H2150:K2150)</f>
        <v>3</v>
      </c>
      <c r="M2150" s="8">
        <v>1</v>
      </c>
      <c r="N2150" s="8">
        <f>IF(L2150&gt;0,1,"")</f>
        <v>1</v>
      </c>
      <c r="O2150" s="11" t="s">
        <v>1702</v>
      </c>
      <c r="P2150" s="16" t="str">
        <f>IF(LEN(G2150)=10,CONCATENATE("0",G2150),G2150)</f>
        <v>02-Mar-1904</v>
      </c>
      <c r="R2150" s="16" t="str">
        <f t="shared" si="949"/>
        <v>x</v>
      </c>
      <c r="S2150" s="16" t="str">
        <f t="shared" si="949"/>
        <v>x</v>
      </c>
      <c r="U2150" s="46" t="str">
        <f t="shared" si="950"/>
        <v/>
      </c>
      <c r="V2150" s="46">
        <f t="shared" si="950"/>
        <v>3</v>
      </c>
      <c r="W2150" s="46" t="str">
        <f t="shared" si="950"/>
        <v/>
      </c>
      <c r="X2150" s="46" t="str">
        <f t="shared" si="950"/>
        <v/>
      </c>
    </row>
    <row r="2151" spans="2:24" x14ac:dyDescent="0.25">
      <c r="B2151" s="11" t="str">
        <f t="shared" si="945"/>
        <v>KWDG-17MAY1904</v>
      </c>
      <c r="C2151" s="11" t="s">
        <v>3551</v>
      </c>
      <c r="D2151" s="11" t="s">
        <v>2224</v>
      </c>
      <c r="E2151" s="39" t="s">
        <v>4670</v>
      </c>
      <c r="F2151" s="11" t="s">
        <v>1700</v>
      </c>
      <c r="G2151" s="39" t="s">
        <v>3279</v>
      </c>
      <c r="H2151" s="7">
        <v>0</v>
      </c>
      <c r="I2151" s="7">
        <v>2</v>
      </c>
      <c r="J2151" s="17">
        <v>0</v>
      </c>
      <c r="K2151" s="17"/>
      <c r="L2151" s="7">
        <f t="shared" si="946"/>
        <v>2</v>
      </c>
      <c r="M2151" s="8">
        <v>1</v>
      </c>
      <c r="N2151" s="8">
        <f t="shared" si="947"/>
        <v>1</v>
      </c>
      <c r="O2151" s="11" t="s">
        <v>1702</v>
      </c>
      <c r="P2151" s="16" t="str">
        <f t="shared" si="948"/>
        <v>17-May-1904</v>
      </c>
      <c r="R2151" s="16" t="str">
        <f t="shared" si="949"/>
        <v>x</v>
      </c>
      <c r="S2151" s="16" t="str">
        <f t="shared" si="949"/>
        <v>x</v>
      </c>
      <c r="U2151" s="46" t="str">
        <f t="shared" si="950"/>
        <v/>
      </c>
      <c r="V2151" s="46">
        <f t="shared" si="950"/>
        <v>2</v>
      </c>
      <c r="W2151" s="46" t="str">
        <f t="shared" si="950"/>
        <v/>
      </c>
      <c r="X2151" s="46" t="str">
        <f t="shared" si="950"/>
        <v/>
      </c>
    </row>
    <row r="2152" spans="2:24" x14ac:dyDescent="0.25">
      <c r="B2152" s="11" t="str">
        <f t="shared" si="945"/>
        <v>KWDG-26MAR1914</v>
      </c>
      <c r="C2152" s="11" t="s">
        <v>3551</v>
      </c>
      <c r="D2152" s="11" t="s">
        <v>3359</v>
      </c>
      <c r="E2152" s="39" t="s">
        <v>2560</v>
      </c>
      <c r="F2152" s="11" t="s">
        <v>1700</v>
      </c>
      <c r="G2152" s="39" t="s">
        <v>2545</v>
      </c>
      <c r="J2152" s="17">
        <v>1</v>
      </c>
      <c r="K2152" s="17"/>
      <c r="L2152" s="7">
        <f t="shared" si="946"/>
        <v>1</v>
      </c>
      <c r="M2152" s="8">
        <v>1</v>
      </c>
      <c r="N2152" s="8">
        <f t="shared" si="947"/>
        <v>1</v>
      </c>
      <c r="O2152" s="11" t="s">
        <v>1702</v>
      </c>
      <c r="P2152" s="16" t="str">
        <f t="shared" si="948"/>
        <v>26-Mar-1914</v>
      </c>
      <c r="R2152" s="16" t="str">
        <f t="shared" si="949"/>
        <v>x</v>
      </c>
      <c r="S2152" s="16" t="str">
        <f t="shared" si="949"/>
        <v>x</v>
      </c>
      <c r="U2152" s="46" t="str">
        <f t="shared" si="950"/>
        <v/>
      </c>
      <c r="V2152" s="46">
        <f t="shared" si="950"/>
        <v>1</v>
      </c>
      <c r="W2152" s="46" t="str">
        <f t="shared" si="950"/>
        <v/>
      </c>
      <c r="X2152" s="46" t="str">
        <f t="shared" si="950"/>
        <v/>
      </c>
    </row>
    <row r="2153" spans="2:24" x14ac:dyDescent="0.25">
      <c r="N2153" s="8" t="str">
        <f>IF(R2153="x",1,"")</f>
        <v/>
      </c>
      <c r="U2153" s="46" t="str">
        <f t="shared" si="941"/>
        <v/>
      </c>
      <c r="V2153" s="46" t="str">
        <f t="shared" si="941"/>
        <v/>
      </c>
      <c r="W2153" s="46" t="str">
        <f t="shared" si="941"/>
        <v/>
      </c>
      <c r="X2153" s="46" t="str">
        <f t="shared" si="941"/>
        <v/>
      </c>
    </row>
    <row r="2154" spans="2:24" x14ac:dyDescent="0.25">
      <c r="B2154" s="18"/>
      <c r="C2154" s="18"/>
      <c r="D2154" s="18"/>
      <c r="E2154" s="40"/>
      <c r="F2154" s="18"/>
      <c r="G2154" s="40"/>
      <c r="H2154" s="7">
        <f t="shared" ref="H2154:N2154" si="951">SUM(H2146:H2153)</f>
        <v>0</v>
      </c>
      <c r="I2154" s="7">
        <f t="shared" si="951"/>
        <v>2</v>
      </c>
      <c r="J2154" s="7">
        <f>SUM(J2146:J2153)</f>
        <v>45</v>
      </c>
      <c r="K2154" s="7">
        <f t="shared" si="951"/>
        <v>0</v>
      </c>
      <c r="L2154" s="7">
        <f t="shared" si="951"/>
        <v>47</v>
      </c>
      <c r="M2154" s="7">
        <f t="shared" si="951"/>
        <v>7</v>
      </c>
      <c r="N2154" s="7">
        <f t="shared" si="951"/>
        <v>7</v>
      </c>
      <c r="O2154" s="18"/>
      <c r="P2154" s="13"/>
      <c r="Q2154" s="13"/>
      <c r="S2154" s="13"/>
      <c r="T2154" s="15"/>
      <c r="U2154" s="46" t="str">
        <f t="shared" si="941"/>
        <v/>
      </c>
      <c r="V2154" s="46" t="str">
        <f t="shared" si="941"/>
        <v/>
      </c>
      <c r="W2154" s="46" t="str">
        <f t="shared" si="941"/>
        <v/>
      </c>
      <c r="X2154" s="46" t="str">
        <f t="shared" si="941"/>
        <v/>
      </c>
    </row>
    <row r="2155" spans="2:24" x14ac:dyDescent="0.25">
      <c r="B2155" s="18"/>
      <c r="C2155" s="18"/>
      <c r="D2155" s="18"/>
      <c r="E2155" s="40"/>
      <c r="F2155" s="18"/>
      <c r="G2155" s="40"/>
      <c r="N2155" s="8" t="str">
        <f>IF(R2155="x",1,"")</f>
        <v/>
      </c>
      <c r="O2155" s="18"/>
      <c r="P2155" s="13"/>
      <c r="Q2155" s="13"/>
      <c r="R2155" s="13"/>
      <c r="S2155" s="13"/>
      <c r="T2155" s="15"/>
      <c r="U2155" s="46" t="str">
        <f t="shared" si="941"/>
        <v/>
      </c>
      <c r="V2155" s="46" t="str">
        <f t="shared" si="941"/>
        <v/>
      </c>
      <c r="W2155" s="46" t="str">
        <f t="shared" si="941"/>
        <v/>
      </c>
      <c r="X2155" s="46" t="str">
        <f t="shared" si="941"/>
        <v/>
      </c>
    </row>
    <row r="2156" spans="2:24" x14ac:dyDescent="0.25">
      <c r="B2156" s="18"/>
      <c r="C2156" s="18"/>
      <c r="D2156" s="18"/>
      <c r="E2156" s="40"/>
      <c r="F2156" s="18"/>
      <c r="G2156" s="40"/>
      <c r="N2156" s="8" t="str">
        <f>IF(R2156="x",1,"")</f>
        <v/>
      </c>
      <c r="O2156" s="18"/>
      <c r="P2156" s="13"/>
      <c r="Q2156" s="13"/>
      <c r="R2156" s="13"/>
      <c r="S2156" s="13"/>
      <c r="T2156" s="15"/>
      <c r="U2156" s="46" t="str">
        <f t="shared" si="941"/>
        <v/>
      </c>
      <c r="V2156" s="46" t="str">
        <f t="shared" si="941"/>
        <v/>
      </c>
      <c r="W2156" s="46" t="str">
        <f t="shared" si="941"/>
        <v/>
      </c>
      <c r="X2156" s="46" t="str">
        <f t="shared" si="941"/>
        <v/>
      </c>
    </row>
    <row r="2157" spans="2:24" x14ac:dyDescent="0.25">
      <c r="B2157" s="11" t="str">
        <f t="shared" ref="B2157:B2165" si="952">CONCATENATE("KWII","-",LEFT(P2157,2),UPPER(MID(P2157,4,3)),RIGHT(P2157,4))</f>
        <v>KWII-28FEB1893</v>
      </c>
      <c r="C2157" s="11" t="s">
        <v>3458</v>
      </c>
      <c r="D2157" s="11" t="s">
        <v>3217</v>
      </c>
      <c r="F2157" s="11" t="s">
        <v>1700</v>
      </c>
      <c r="G2157" s="39" t="s">
        <v>4076</v>
      </c>
      <c r="H2157" s="7">
        <v>0</v>
      </c>
      <c r="I2157" s="7">
        <v>10</v>
      </c>
      <c r="J2157" s="17">
        <v>0</v>
      </c>
      <c r="K2157" s="17"/>
      <c r="L2157" s="7">
        <f t="shared" ref="L2157:L2165" si="953">SUM(H2157:K2157)</f>
        <v>10</v>
      </c>
      <c r="M2157" s="8">
        <v>1</v>
      </c>
      <c r="N2157" s="8">
        <f t="shared" ref="N2157:N2165" si="954">IF(L2157&gt;0,1,"")</f>
        <v>1</v>
      </c>
      <c r="O2157" s="11" t="s">
        <v>1702</v>
      </c>
      <c r="P2157" s="16" t="str">
        <f t="shared" ref="P2157:P2165" si="955">IF(LEN(G2157)=10,CONCATENATE("0",G2157),G2157)</f>
        <v>28-Feb-1893</v>
      </c>
      <c r="R2157" s="16" t="str">
        <f>IF($L2157&gt;0,"x","")</f>
        <v>x</v>
      </c>
      <c r="S2157" s="16" t="str">
        <f>IF($L2157&gt;0,"x","")</f>
        <v>x</v>
      </c>
      <c r="U2157" s="46" t="str">
        <f t="shared" si="941"/>
        <v/>
      </c>
      <c r="V2157" s="46">
        <f t="shared" si="941"/>
        <v>10</v>
      </c>
      <c r="W2157" s="46" t="str">
        <f t="shared" si="941"/>
        <v/>
      </c>
      <c r="X2157" s="46" t="str">
        <f t="shared" si="941"/>
        <v/>
      </c>
    </row>
    <row r="2158" spans="2:24" x14ac:dyDescent="0.25">
      <c r="B2158" s="11" t="str">
        <f t="shared" si="952"/>
        <v>KWII-07APR1896</v>
      </c>
      <c r="C2158" s="11" t="s">
        <v>3458</v>
      </c>
      <c r="D2158" s="11" t="s">
        <v>3217</v>
      </c>
      <c r="F2158" s="11" t="s">
        <v>1700</v>
      </c>
      <c r="G2158" s="39" t="s">
        <v>614</v>
      </c>
      <c r="H2158" s="7">
        <v>0</v>
      </c>
      <c r="I2158" s="7">
        <v>2</v>
      </c>
      <c r="J2158" s="17">
        <v>0</v>
      </c>
      <c r="K2158" s="17"/>
      <c r="L2158" s="7">
        <f t="shared" si="953"/>
        <v>2</v>
      </c>
      <c r="M2158" s="8">
        <v>1</v>
      </c>
      <c r="N2158" s="8">
        <f t="shared" si="954"/>
        <v>1</v>
      </c>
      <c r="O2158" s="11" t="s">
        <v>1702</v>
      </c>
      <c r="P2158" s="16" t="str">
        <f t="shared" si="955"/>
        <v>07-Apr-1896</v>
      </c>
      <c r="R2158" s="16" t="str">
        <f t="shared" ref="R2158:S2161" si="956">IF($L2158&gt;0,"x","")</f>
        <v>x</v>
      </c>
      <c r="S2158" s="16" t="str">
        <f t="shared" si="956"/>
        <v>x</v>
      </c>
      <c r="U2158" s="46" t="str">
        <f t="shared" si="941"/>
        <v/>
      </c>
      <c r="V2158" s="46">
        <f t="shared" si="941"/>
        <v>2</v>
      </c>
      <c r="W2158" s="46" t="str">
        <f t="shared" si="941"/>
        <v/>
      </c>
      <c r="X2158" s="46" t="str">
        <f t="shared" si="941"/>
        <v/>
      </c>
    </row>
    <row r="2159" spans="2:24" x14ac:dyDescent="0.25">
      <c r="B2159" s="11" t="str">
        <f t="shared" si="952"/>
        <v>KWII-17JUN1903</v>
      </c>
      <c r="C2159" s="11" t="s">
        <v>3458</v>
      </c>
      <c r="D2159" s="11" t="s">
        <v>2224</v>
      </c>
      <c r="E2159" s="39" t="s">
        <v>3673</v>
      </c>
      <c r="F2159" s="11" t="s">
        <v>1700</v>
      </c>
      <c r="G2159" s="39" t="s">
        <v>3672</v>
      </c>
      <c r="H2159" s="7">
        <v>0</v>
      </c>
      <c r="I2159" s="7">
        <v>0</v>
      </c>
      <c r="J2159" s="17">
        <v>6</v>
      </c>
      <c r="K2159" s="17"/>
      <c r="L2159" s="7">
        <f t="shared" si="953"/>
        <v>6</v>
      </c>
      <c r="M2159" s="8">
        <v>1</v>
      </c>
      <c r="N2159" s="8">
        <f t="shared" si="954"/>
        <v>1</v>
      </c>
      <c r="O2159" s="11" t="s">
        <v>1702</v>
      </c>
      <c r="P2159" s="16" t="str">
        <f t="shared" si="955"/>
        <v>17-Jun-1903</v>
      </c>
      <c r="R2159" s="16" t="str">
        <f t="shared" si="956"/>
        <v>x</v>
      </c>
      <c r="S2159" s="16" t="str">
        <f t="shared" si="956"/>
        <v>x</v>
      </c>
      <c r="U2159" s="46" t="str">
        <f t="shared" si="941"/>
        <v/>
      </c>
      <c r="V2159" s="46">
        <f t="shared" si="941"/>
        <v>6</v>
      </c>
      <c r="W2159" s="46" t="str">
        <f t="shared" si="941"/>
        <v/>
      </c>
      <c r="X2159" s="46" t="str">
        <f t="shared" si="941"/>
        <v/>
      </c>
    </row>
    <row r="2160" spans="2:24" x14ac:dyDescent="0.25">
      <c r="B2160" s="11" t="str">
        <f t="shared" si="952"/>
        <v>KWII-18AUG1903</v>
      </c>
      <c r="C2160" s="11" t="s">
        <v>3458</v>
      </c>
      <c r="D2160" s="11" t="s">
        <v>2224</v>
      </c>
      <c r="E2160" s="39" t="s">
        <v>3612</v>
      </c>
      <c r="F2160" s="11" t="s">
        <v>1700</v>
      </c>
      <c r="G2160" s="39" t="s">
        <v>3611</v>
      </c>
      <c r="H2160" s="7">
        <v>0</v>
      </c>
      <c r="I2160" s="7">
        <v>0</v>
      </c>
      <c r="J2160" s="17">
        <v>9</v>
      </c>
      <c r="K2160" s="17"/>
      <c r="L2160" s="7">
        <f t="shared" si="953"/>
        <v>9</v>
      </c>
      <c r="M2160" s="8">
        <v>1</v>
      </c>
      <c r="N2160" s="8">
        <f t="shared" si="954"/>
        <v>1</v>
      </c>
      <c r="O2160" s="11" t="s">
        <v>1702</v>
      </c>
      <c r="P2160" s="16" t="str">
        <f t="shared" si="955"/>
        <v>18-Aug-1903</v>
      </c>
      <c r="R2160" s="16" t="str">
        <f t="shared" si="956"/>
        <v>x</v>
      </c>
      <c r="S2160" s="16" t="str">
        <f t="shared" si="956"/>
        <v>x</v>
      </c>
      <c r="U2160" s="46" t="str">
        <f>IF($O2160=U$5,$L2160,"")</f>
        <v/>
      </c>
      <c r="V2160" s="46">
        <f>IF($O2160=V$5,$L2160,"")</f>
        <v>9</v>
      </c>
      <c r="W2160" s="46" t="str">
        <f>IF($O2160=W$5,$L2160,"")</f>
        <v/>
      </c>
      <c r="X2160" s="46" t="str">
        <f>IF($O2160=X$5,$L2160,"")</f>
        <v/>
      </c>
    </row>
    <row r="2161" spans="2:24" x14ac:dyDescent="0.25">
      <c r="B2161" s="11" t="str">
        <f t="shared" si="952"/>
        <v>KWII-11NOV1903</v>
      </c>
      <c r="C2161" s="11" t="s">
        <v>3458</v>
      </c>
      <c r="D2161" s="11" t="s">
        <v>2224</v>
      </c>
      <c r="E2161" s="39" t="s">
        <v>5655</v>
      </c>
      <c r="F2161" s="11" t="s">
        <v>1700</v>
      </c>
      <c r="G2161" s="39" t="s">
        <v>5656</v>
      </c>
      <c r="H2161" s="7">
        <v>0</v>
      </c>
      <c r="I2161" s="7">
        <v>1</v>
      </c>
      <c r="J2161" s="17">
        <v>13</v>
      </c>
      <c r="K2161" s="17"/>
      <c r="L2161" s="7">
        <f t="shared" si="953"/>
        <v>14</v>
      </c>
      <c r="M2161" s="8">
        <v>1</v>
      </c>
      <c r="N2161" s="8">
        <f t="shared" si="954"/>
        <v>1</v>
      </c>
      <c r="O2161" s="11" t="s">
        <v>1702</v>
      </c>
      <c r="P2161" s="16" t="str">
        <f t="shared" si="955"/>
        <v>11-Nov-1903</v>
      </c>
      <c r="R2161" s="16" t="str">
        <f t="shared" si="956"/>
        <v>x</v>
      </c>
      <c r="S2161" s="16" t="str">
        <f t="shared" si="956"/>
        <v>x</v>
      </c>
      <c r="U2161" s="46" t="str">
        <f t="shared" ref="U2161:X2165" si="957">IF($O2161=U$5,$L2161,"")</f>
        <v/>
      </c>
      <c r="V2161" s="46">
        <f t="shared" si="957"/>
        <v>14</v>
      </c>
      <c r="W2161" s="46" t="str">
        <f t="shared" si="957"/>
        <v/>
      </c>
      <c r="X2161" s="46" t="str">
        <f t="shared" si="957"/>
        <v/>
      </c>
    </row>
    <row r="2162" spans="2:24" x14ac:dyDescent="0.25">
      <c r="B2162" s="11" t="str">
        <f t="shared" si="952"/>
        <v>KWII-09DEC1903</v>
      </c>
      <c r="C2162" s="11" t="s">
        <v>3458</v>
      </c>
      <c r="D2162" s="11" t="s">
        <v>2224</v>
      </c>
      <c r="E2162" s="39" t="s">
        <v>5060</v>
      </c>
      <c r="F2162" s="11" t="s">
        <v>1700</v>
      </c>
      <c r="G2162" s="39" t="s">
        <v>5061</v>
      </c>
      <c r="H2162" s="7">
        <v>0</v>
      </c>
      <c r="I2162" s="7">
        <v>0</v>
      </c>
      <c r="J2162" s="17">
        <v>13</v>
      </c>
      <c r="K2162" s="17"/>
      <c r="L2162" s="7">
        <f t="shared" si="953"/>
        <v>13</v>
      </c>
      <c r="M2162" s="8">
        <v>1</v>
      </c>
      <c r="N2162" s="8">
        <f t="shared" si="954"/>
        <v>1</v>
      </c>
      <c r="O2162" s="11" t="s">
        <v>1702</v>
      </c>
      <c r="P2162" s="16" t="str">
        <f t="shared" si="955"/>
        <v>09-Dec-1903</v>
      </c>
      <c r="R2162" s="16" t="str">
        <f t="shared" ref="R2162:S2165" si="958">IF($L2162&gt;0,"x","")</f>
        <v>x</v>
      </c>
      <c r="S2162" s="16" t="str">
        <f t="shared" si="958"/>
        <v>x</v>
      </c>
      <c r="U2162" s="46" t="str">
        <f t="shared" si="941"/>
        <v/>
      </c>
      <c r="V2162" s="46">
        <f t="shared" si="941"/>
        <v>13</v>
      </c>
      <c r="W2162" s="46" t="str">
        <f t="shared" si="941"/>
        <v/>
      </c>
      <c r="X2162" s="46" t="str">
        <f t="shared" si="941"/>
        <v/>
      </c>
    </row>
    <row r="2163" spans="2:24" x14ac:dyDescent="0.25">
      <c r="B2163" s="11" t="str">
        <f>CONCATENATE("KWII","-",LEFT(P2163,2),UPPER(MID(P2163,4,3)),RIGHT(P2163,4))</f>
        <v>KWII-06APR1904</v>
      </c>
      <c r="C2163" s="11" t="s">
        <v>3458</v>
      </c>
      <c r="D2163" s="11" t="s">
        <v>2224</v>
      </c>
      <c r="E2163" s="39" t="s">
        <v>5455</v>
      </c>
      <c r="F2163" s="11" t="s">
        <v>1700</v>
      </c>
      <c r="G2163" s="39" t="s">
        <v>4668</v>
      </c>
      <c r="H2163" s="7">
        <v>0</v>
      </c>
      <c r="I2163" s="7">
        <v>0</v>
      </c>
      <c r="J2163" s="17">
        <v>7</v>
      </c>
      <c r="K2163" s="17"/>
      <c r="L2163" s="7">
        <f>SUM(H2163:K2163)</f>
        <v>7</v>
      </c>
      <c r="M2163" s="8">
        <v>1</v>
      </c>
      <c r="N2163" s="8">
        <f>IF(L2163&gt;0,1,"")</f>
        <v>1</v>
      </c>
      <c r="O2163" s="11" t="s">
        <v>1702</v>
      </c>
      <c r="P2163" s="16" t="str">
        <f>IF(LEN(G2163)=10,CONCATENATE("0",G2163),G2163)</f>
        <v>06-Apr-1904</v>
      </c>
      <c r="R2163" s="16" t="str">
        <f t="shared" si="958"/>
        <v>x</v>
      </c>
      <c r="S2163" s="16" t="str">
        <f t="shared" si="958"/>
        <v>x</v>
      </c>
      <c r="U2163" s="46" t="str">
        <f t="shared" si="957"/>
        <v/>
      </c>
      <c r="V2163" s="46">
        <f t="shared" si="957"/>
        <v>7</v>
      </c>
      <c r="W2163" s="46" t="str">
        <f t="shared" si="957"/>
        <v/>
      </c>
      <c r="X2163" s="46" t="str">
        <f t="shared" si="957"/>
        <v/>
      </c>
    </row>
    <row r="2164" spans="2:24" x14ac:dyDescent="0.25">
      <c r="B2164" s="11" t="str">
        <f>CONCATENATE("KWII","-",LEFT(P2164,2),UPPER(MID(P2164,4,3)),RIGHT(P2164,4))</f>
        <v>KWII-30NOV1904</v>
      </c>
      <c r="C2164" s="11" t="s">
        <v>3458</v>
      </c>
      <c r="D2164" s="11" t="s">
        <v>2224</v>
      </c>
      <c r="E2164" s="39" t="s">
        <v>5054</v>
      </c>
      <c r="F2164" s="11" t="s">
        <v>1700</v>
      </c>
      <c r="G2164" s="39" t="s">
        <v>11369</v>
      </c>
      <c r="H2164" s="7">
        <v>0</v>
      </c>
      <c r="I2164" s="7">
        <v>0</v>
      </c>
      <c r="J2164" s="17">
        <v>3</v>
      </c>
      <c r="K2164" s="17"/>
      <c r="L2164" s="7">
        <f>SUM(H2164:K2164)</f>
        <v>3</v>
      </c>
      <c r="M2164" s="8">
        <v>1</v>
      </c>
      <c r="N2164" s="8">
        <f>IF(L2164&gt;0,1,"")</f>
        <v>1</v>
      </c>
      <c r="O2164" s="11" t="s">
        <v>1702</v>
      </c>
      <c r="P2164" s="16" t="str">
        <f>IF(LEN(G2164)=10,CONCATENATE("0",G2164),G2164)</f>
        <v>30-Nov-1904</v>
      </c>
      <c r="R2164" s="16" t="str">
        <f>IF($L2164&gt;0,"x","")</f>
        <v>x</v>
      </c>
      <c r="S2164" s="16" t="str">
        <f>IF($L2164&gt;0,"x","")</f>
        <v>x</v>
      </c>
      <c r="U2164" s="46" t="str">
        <f t="shared" si="957"/>
        <v/>
      </c>
      <c r="V2164" s="46">
        <f t="shared" si="957"/>
        <v>3</v>
      </c>
      <c r="W2164" s="46" t="str">
        <f t="shared" si="957"/>
        <v/>
      </c>
      <c r="X2164" s="46" t="str">
        <f t="shared" si="957"/>
        <v/>
      </c>
    </row>
    <row r="2165" spans="2:24" x14ac:dyDescent="0.25">
      <c r="B2165" s="11" t="str">
        <f t="shared" si="952"/>
        <v>KWII-21SEP1909</v>
      </c>
      <c r="C2165" s="11" t="s">
        <v>3458</v>
      </c>
      <c r="D2165" s="11" t="s">
        <v>2224</v>
      </c>
      <c r="E2165" s="39" t="s">
        <v>3482</v>
      </c>
      <c r="F2165" s="11" t="s">
        <v>1700</v>
      </c>
      <c r="G2165" s="39" t="s">
        <v>5300</v>
      </c>
      <c r="H2165" s="7">
        <v>0</v>
      </c>
      <c r="I2165" s="7">
        <v>1</v>
      </c>
      <c r="J2165" s="17">
        <v>0</v>
      </c>
      <c r="K2165" s="17"/>
      <c r="L2165" s="7">
        <f t="shared" si="953"/>
        <v>1</v>
      </c>
      <c r="M2165" s="8">
        <v>1</v>
      </c>
      <c r="N2165" s="8">
        <f t="shared" si="954"/>
        <v>1</v>
      </c>
      <c r="O2165" s="11" t="s">
        <v>1702</v>
      </c>
      <c r="P2165" s="16" t="str">
        <f t="shared" si="955"/>
        <v>21-Sep-1909</v>
      </c>
      <c r="R2165" s="16" t="str">
        <f t="shared" si="958"/>
        <v>x</v>
      </c>
      <c r="S2165" s="16" t="str">
        <f t="shared" si="958"/>
        <v>x</v>
      </c>
      <c r="U2165" s="46" t="str">
        <f t="shared" si="957"/>
        <v/>
      </c>
      <c r="V2165" s="46">
        <f t="shared" si="957"/>
        <v>1</v>
      </c>
      <c r="W2165" s="46" t="str">
        <f t="shared" si="957"/>
        <v/>
      </c>
      <c r="X2165" s="46" t="str">
        <f t="shared" si="957"/>
        <v/>
      </c>
    </row>
    <row r="2166" spans="2:24" x14ac:dyDescent="0.25">
      <c r="N2166" s="8" t="str">
        <f>IF(R2166="x",1,"")</f>
        <v/>
      </c>
      <c r="U2166" s="46" t="str">
        <f t="shared" si="941"/>
        <v/>
      </c>
      <c r="V2166" s="46" t="str">
        <f t="shared" si="941"/>
        <v/>
      </c>
      <c r="W2166" s="46" t="str">
        <f t="shared" si="941"/>
        <v/>
      </c>
      <c r="X2166" s="46" t="str">
        <f t="shared" si="941"/>
        <v/>
      </c>
    </row>
    <row r="2167" spans="2:24" x14ac:dyDescent="0.25">
      <c r="B2167" s="18"/>
      <c r="C2167" s="18"/>
      <c r="D2167" s="18"/>
      <c r="E2167" s="40"/>
      <c r="F2167" s="18"/>
      <c r="G2167" s="40"/>
      <c r="H2167" s="7">
        <f t="shared" ref="H2167:N2167" si="959">SUM(H2157:H2166)</f>
        <v>0</v>
      </c>
      <c r="I2167" s="7">
        <f t="shared" si="959"/>
        <v>14</v>
      </c>
      <c r="J2167" s="7">
        <f>SUM(J2157:J2166)</f>
        <v>51</v>
      </c>
      <c r="K2167" s="7">
        <f t="shared" si="959"/>
        <v>0</v>
      </c>
      <c r="L2167" s="7">
        <f t="shared" si="959"/>
        <v>65</v>
      </c>
      <c r="M2167" s="7">
        <f t="shared" si="959"/>
        <v>9</v>
      </c>
      <c r="N2167" s="7">
        <f t="shared" si="959"/>
        <v>9</v>
      </c>
      <c r="O2167" s="18"/>
      <c r="P2167" s="13"/>
      <c r="Q2167" s="13"/>
      <c r="S2167" s="13"/>
      <c r="T2167" s="15"/>
      <c r="U2167" s="46" t="str">
        <f t="shared" si="941"/>
        <v/>
      </c>
      <c r="V2167" s="46" t="str">
        <f t="shared" si="941"/>
        <v/>
      </c>
      <c r="W2167" s="46" t="str">
        <f t="shared" si="941"/>
        <v/>
      </c>
      <c r="X2167" s="46" t="str">
        <f t="shared" si="941"/>
        <v/>
      </c>
    </row>
    <row r="2168" spans="2:24" x14ac:dyDescent="0.25">
      <c r="B2168" s="18"/>
      <c r="C2168" s="18"/>
      <c r="D2168" s="18"/>
      <c r="E2168" s="40"/>
      <c r="F2168" s="18"/>
      <c r="G2168" s="40"/>
      <c r="N2168" s="8" t="str">
        <f>IF(R2168="x",1,"")</f>
        <v/>
      </c>
      <c r="O2168" s="18"/>
      <c r="P2168" s="13"/>
      <c r="Q2168" s="13"/>
      <c r="R2168" s="13"/>
      <c r="S2168" s="13"/>
      <c r="T2168" s="15"/>
      <c r="U2168" s="46" t="str">
        <f t="shared" si="941"/>
        <v/>
      </c>
      <c r="V2168" s="46" t="str">
        <f t="shared" si="941"/>
        <v/>
      </c>
      <c r="W2168" s="46" t="str">
        <f t="shared" si="941"/>
        <v/>
      </c>
      <c r="X2168" s="46" t="str">
        <f t="shared" si="941"/>
        <v/>
      </c>
    </row>
    <row r="2169" spans="2:24" x14ac:dyDescent="0.25">
      <c r="B2169" s="18"/>
      <c r="C2169" s="18"/>
      <c r="D2169" s="18"/>
      <c r="E2169" s="40"/>
      <c r="F2169" s="18"/>
      <c r="G2169" s="40"/>
      <c r="N2169" s="8" t="str">
        <f>IF(R2169="x",1,"")</f>
        <v/>
      </c>
      <c r="O2169" s="18"/>
      <c r="P2169" s="13"/>
      <c r="Q2169" s="13"/>
      <c r="R2169" s="13"/>
      <c r="S2169" s="13"/>
      <c r="T2169" s="15"/>
      <c r="U2169" s="46" t="str">
        <f t="shared" si="941"/>
        <v/>
      </c>
      <c r="V2169" s="46" t="str">
        <f t="shared" si="941"/>
        <v/>
      </c>
      <c r="W2169" s="46" t="str">
        <f t="shared" si="941"/>
        <v/>
      </c>
      <c r="X2169" s="46" t="str">
        <f t="shared" si="941"/>
        <v/>
      </c>
    </row>
    <row r="2170" spans="2:24" x14ac:dyDescent="0.25">
      <c r="B2170" s="11" t="str">
        <f t="shared" ref="B2170:B2178" si="960">CONCATENATE("KNAV","-",LEFT(P2170,2),UPPER(MID(P2170,4,3)),RIGHT(P2170,4))</f>
        <v>KNAV-03NOV1906</v>
      </c>
      <c r="C2170" s="11" t="s">
        <v>3653</v>
      </c>
      <c r="D2170" s="11" t="s">
        <v>3134</v>
      </c>
      <c r="E2170" s="39" t="s">
        <v>4957</v>
      </c>
      <c r="F2170" s="11" t="s">
        <v>1700</v>
      </c>
      <c r="G2170" s="39" t="s">
        <v>2714</v>
      </c>
      <c r="H2170" s="7">
        <v>0</v>
      </c>
      <c r="I2170" s="7">
        <v>0</v>
      </c>
      <c r="J2170" s="17">
        <v>8</v>
      </c>
      <c r="K2170" s="17"/>
      <c r="L2170" s="7">
        <f t="shared" ref="L2170:L2178" si="961">SUM(H2170:K2170)</f>
        <v>8</v>
      </c>
      <c r="M2170" s="8">
        <v>1</v>
      </c>
      <c r="N2170" s="8">
        <f t="shared" ref="N2170:N2178" si="962">IF(L2170&gt;0,1,"")</f>
        <v>1</v>
      </c>
      <c r="O2170" s="11" t="s">
        <v>1702</v>
      </c>
      <c r="P2170" s="16" t="str">
        <f t="shared" ref="P2170:P2178" si="963">IF(LEN(G2170)=10,CONCATENATE("0",G2170),G2170)</f>
        <v>03-Nov-1906</v>
      </c>
      <c r="R2170" s="16" t="str">
        <f t="shared" ref="R2170:S2178" si="964">IF($L2170&gt;0,"x","")</f>
        <v>x</v>
      </c>
      <c r="S2170" s="16" t="str">
        <f t="shared" si="964"/>
        <v>x</v>
      </c>
      <c r="U2170" s="46" t="str">
        <f t="shared" si="941"/>
        <v/>
      </c>
      <c r="V2170" s="46">
        <f t="shared" si="941"/>
        <v>8</v>
      </c>
      <c r="W2170" s="46" t="str">
        <f t="shared" si="941"/>
        <v/>
      </c>
      <c r="X2170" s="46" t="str">
        <f t="shared" si="941"/>
        <v/>
      </c>
    </row>
    <row r="2171" spans="2:24" x14ac:dyDescent="0.25">
      <c r="B2171" s="11" t="str">
        <f t="shared" si="960"/>
        <v>KNAV-03NOV1906</v>
      </c>
      <c r="C2171" s="11" t="s">
        <v>3653</v>
      </c>
      <c r="D2171" s="11" t="s">
        <v>2224</v>
      </c>
      <c r="E2171" s="39" t="s">
        <v>4958</v>
      </c>
      <c r="F2171" s="11" t="s">
        <v>1700</v>
      </c>
      <c r="G2171" s="39" t="s">
        <v>2714</v>
      </c>
      <c r="H2171" s="7">
        <v>1</v>
      </c>
      <c r="I2171" s="7">
        <v>0</v>
      </c>
      <c r="J2171" s="17">
        <v>0</v>
      </c>
      <c r="K2171" s="17"/>
      <c r="L2171" s="7">
        <f t="shared" si="961"/>
        <v>1</v>
      </c>
      <c r="M2171" s="8">
        <v>1</v>
      </c>
      <c r="N2171" s="8">
        <f t="shared" si="962"/>
        <v>1</v>
      </c>
      <c r="O2171" s="11" t="s">
        <v>1702</v>
      </c>
      <c r="P2171" s="16" t="str">
        <f t="shared" si="963"/>
        <v>03-Nov-1906</v>
      </c>
      <c r="R2171" s="16" t="str">
        <f t="shared" si="964"/>
        <v>x</v>
      </c>
      <c r="S2171" s="16" t="str">
        <f t="shared" si="964"/>
        <v>x</v>
      </c>
      <c r="U2171" s="46" t="str">
        <f t="shared" ref="U2171:X2173" si="965">IF($O2171=U$5,$L2171,"")</f>
        <v/>
      </c>
      <c r="V2171" s="46">
        <f t="shared" si="965"/>
        <v>1</v>
      </c>
      <c r="W2171" s="46" t="str">
        <f t="shared" si="965"/>
        <v/>
      </c>
      <c r="X2171" s="46" t="str">
        <f t="shared" si="965"/>
        <v/>
      </c>
    </row>
    <row r="2172" spans="2:24" x14ac:dyDescent="0.25">
      <c r="B2172" s="11" t="str">
        <f t="shared" si="960"/>
        <v>KNAV-24NOV1907</v>
      </c>
      <c r="C2172" s="11" t="s">
        <v>3653</v>
      </c>
      <c r="D2172" s="11" t="s">
        <v>2224</v>
      </c>
      <c r="E2172" s="39" t="s">
        <v>3701</v>
      </c>
      <c r="F2172" s="11" t="s">
        <v>1700</v>
      </c>
      <c r="G2172" s="39" t="s">
        <v>3700</v>
      </c>
      <c r="H2172" s="7">
        <v>0</v>
      </c>
      <c r="I2172" s="7">
        <v>0</v>
      </c>
      <c r="J2172" s="17">
        <v>11</v>
      </c>
      <c r="K2172" s="17"/>
      <c r="L2172" s="7">
        <f t="shared" si="961"/>
        <v>11</v>
      </c>
      <c r="M2172" s="8">
        <v>1</v>
      </c>
      <c r="N2172" s="8">
        <f t="shared" si="962"/>
        <v>1</v>
      </c>
      <c r="O2172" s="11" t="s">
        <v>1702</v>
      </c>
      <c r="P2172" s="16" t="str">
        <f t="shared" si="963"/>
        <v>24-Nov-1907</v>
      </c>
      <c r="R2172" s="16" t="str">
        <f t="shared" si="964"/>
        <v>x</v>
      </c>
      <c r="S2172" s="16" t="str">
        <f t="shared" si="964"/>
        <v>x</v>
      </c>
      <c r="U2172" s="46" t="str">
        <f t="shared" si="965"/>
        <v/>
      </c>
      <c r="V2172" s="46">
        <f t="shared" si="965"/>
        <v>11</v>
      </c>
      <c r="W2172" s="46" t="str">
        <f t="shared" si="965"/>
        <v/>
      </c>
      <c r="X2172" s="46" t="str">
        <f t="shared" si="965"/>
        <v/>
      </c>
    </row>
    <row r="2173" spans="2:24" x14ac:dyDescent="0.25">
      <c r="B2173" s="11" t="str">
        <f t="shared" si="960"/>
        <v>KNAV-07NOV1908</v>
      </c>
      <c r="C2173" s="11" t="s">
        <v>3653</v>
      </c>
      <c r="D2173" s="11" t="s">
        <v>3619</v>
      </c>
      <c r="E2173" s="39" t="s">
        <v>5883</v>
      </c>
      <c r="F2173" s="11" t="s">
        <v>1700</v>
      </c>
      <c r="G2173" s="39" t="s">
        <v>1475</v>
      </c>
      <c r="H2173" s="7">
        <v>0</v>
      </c>
      <c r="I2173" s="7">
        <v>6</v>
      </c>
      <c r="J2173" s="17">
        <v>0</v>
      </c>
      <c r="K2173" s="17"/>
      <c r="L2173" s="7">
        <f t="shared" si="961"/>
        <v>6</v>
      </c>
      <c r="M2173" s="8">
        <v>1</v>
      </c>
      <c r="N2173" s="8">
        <f t="shared" si="962"/>
        <v>1</v>
      </c>
      <c r="O2173" s="11" t="s">
        <v>1702</v>
      </c>
      <c r="P2173" s="16" t="str">
        <f t="shared" si="963"/>
        <v>07-Nov-1908</v>
      </c>
      <c r="R2173" s="16" t="str">
        <f t="shared" si="964"/>
        <v>x</v>
      </c>
      <c r="S2173" s="16" t="str">
        <f t="shared" si="964"/>
        <v>x</v>
      </c>
      <c r="U2173" s="46" t="str">
        <f t="shared" si="965"/>
        <v/>
      </c>
      <c r="V2173" s="46">
        <f t="shared" si="965"/>
        <v>6</v>
      </c>
      <c r="W2173" s="46" t="str">
        <f t="shared" si="965"/>
        <v/>
      </c>
      <c r="X2173" s="46" t="str">
        <f t="shared" si="965"/>
        <v/>
      </c>
    </row>
    <row r="2174" spans="2:24" x14ac:dyDescent="0.25">
      <c r="B2174" s="11" t="str">
        <f t="shared" si="960"/>
        <v>KNAV-11MAR1911</v>
      </c>
      <c r="C2174" s="11" t="s">
        <v>3653</v>
      </c>
      <c r="D2174" s="11" t="s">
        <v>3134</v>
      </c>
      <c r="E2174" s="39" t="s">
        <v>6063</v>
      </c>
      <c r="F2174" s="11" t="s">
        <v>1700</v>
      </c>
      <c r="G2174" s="39" t="s">
        <v>1873</v>
      </c>
      <c r="H2174" s="7">
        <v>0</v>
      </c>
      <c r="I2174" s="7">
        <v>0</v>
      </c>
      <c r="J2174" s="17">
        <v>6</v>
      </c>
      <c r="K2174" s="17"/>
      <c r="L2174" s="7">
        <f t="shared" si="961"/>
        <v>6</v>
      </c>
      <c r="M2174" s="8">
        <v>1</v>
      </c>
      <c r="N2174" s="8">
        <f t="shared" si="962"/>
        <v>1</v>
      </c>
      <c r="O2174" s="11" t="s">
        <v>1702</v>
      </c>
      <c r="P2174" s="16" t="str">
        <f t="shared" si="963"/>
        <v>11-Mar-1911</v>
      </c>
      <c r="R2174" s="16" t="str">
        <f t="shared" si="964"/>
        <v>x</v>
      </c>
      <c r="S2174" s="16" t="str">
        <f t="shared" si="964"/>
        <v>x</v>
      </c>
      <c r="U2174" s="46" t="str">
        <f t="shared" ref="U2174:X2178" si="966">IF($O2174=U$5,$L2174,"")</f>
        <v/>
      </c>
      <c r="V2174" s="46">
        <f t="shared" si="966"/>
        <v>6</v>
      </c>
      <c r="W2174" s="46" t="str">
        <f t="shared" si="966"/>
        <v/>
      </c>
      <c r="X2174" s="46" t="str">
        <f t="shared" si="966"/>
        <v/>
      </c>
    </row>
    <row r="2175" spans="2:24" x14ac:dyDescent="0.25">
      <c r="B2175" s="11" t="str">
        <f>CONCATENATE("KNAV","-",LEFT(P2175,2),UPPER(MID(P2175,4,3)),RIGHT(P2175,4))</f>
        <v>KNAV-11MAR1911</v>
      </c>
      <c r="C2175" s="11" t="s">
        <v>3653</v>
      </c>
      <c r="D2175" s="11" t="s">
        <v>2224</v>
      </c>
      <c r="E2175" s="39" t="s">
        <v>6064</v>
      </c>
      <c r="F2175" s="11" t="s">
        <v>1700</v>
      </c>
      <c r="G2175" s="39" t="s">
        <v>1873</v>
      </c>
      <c r="H2175" s="7">
        <v>0</v>
      </c>
      <c r="I2175" s="7">
        <v>0</v>
      </c>
      <c r="J2175" s="17">
        <v>0</v>
      </c>
      <c r="K2175" s="17"/>
      <c r="L2175" s="7">
        <f>SUM(H2175:K2175)</f>
        <v>0</v>
      </c>
      <c r="M2175" s="8">
        <v>1</v>
      </c>
      <c r="N2175" s="8" t="str">
        <f>IF(L2175&gt;0,1,"")</f>
        <v/>
      </c>
      <c r="O2175" s="11" t="s">
        <v>1702</v>
      </c>
      <c r="P2175" s="16" t="str">
        <f>IF(LEN(G2175)=10,CONCATENATE("0",G2175),G2175)</f>
        <v>11-Mar-1911</v>
      </c>
      <c r="R2175" s="16" t="str">
        <f t="shared" si="964"/>
        <v/>
      </c>
      <c r="S2175" s="16" t="str">
        <f t="shared" si="964"/>
        <v/>
      </c>
      <c r="U2175" s="46" t="str">
        <f t="shared" si="966"/>
        <v/>
      </c>
      <c r="V2175" s="46">
        <f t="shared" si="966"/>
        <v>0</v>
      </c>
      <c r="W2175" s="46" t="str">
        <f t="shared" si="966"/>
        <v/>
      </c>
      <c r="X2175" s="46" t="str">
        <f t="shared" si="966"/>
        <v/>
      </c>
    </row>
    <row r="2176" spans="2:24" x14ac:dyDescent="0.25">
      <c r="B2176" s="11" t="str">
        <f t="shared" si="960"/>
        <v>KNAV-24MAY1913</v>
      </c>
      <c r="C2176" s="11" t="s">
        <v>3653</v>
      </c>
      <c r="D2176" s="11" t="s">
        <v>3134</v>
      </c>
      <c r="E2176" s="39" t="s">
        <v>3652</v>
      </c>
      <c r="F2176" s="11" t="s">
        <v>1700</v>
      </c>
      <c r="G2176" s="39" t="s">
        <v>3651</v>
      </c>
      <c r="H2176" s="7">
        <v>0</v>
      </c>
      <c r="I2176" s="7">
        <v>2</v>
      </c>
      <c r="J2176" s="17">
        <v>5</v>
      </c>
      <c r="K2176" s="17"/>
      <c r="L2176" s="7">
        <f t="shared" si="961"/>
        <v>7</v>
      </c>
      <c r="M2176" s="8">
        <v>1</v>
      </c>
      <c r="N2176" s="8">
        <f t="shared" si="962"/>
        <v>1</v>
      </c>
      <c r="O2176" s="11" t="s">
        <v>1702</v>
      </c>
      <c r="P2176" s="16" t="str">
        <f t="shared" si="963"/>
        <v>24-May-1913</v>
      </c>
      <c r="R2176" s="16" t="str">
        <f t="shared" si="964"/>
        <v>x</v>
      </c>
      <c r="S2176" s="16" t="str">
        <f t="shared" si="964"/>
        <v>x</v>
      </c>
      <c r="U2176" s="46" t="str">
        <f t="shared" si="941"/>
        <v/>
      </c>
      <c r="V2176" s="46">
        <f t="shared" si="941"/>
        <v>7</v>
      </c>
      <c r="W2176" s="46" t="str">
        <f t="shared" si="941"/>
        <v/>
      </c>
      <c r="X2176" s="46" t="str">
        <f t="shared" si="941"/>
        <v/>
      </c>
    </row>
    <row r="2177" spans="2:24" x14ac:dyDescent="0.25">
      <c r="B2177" s="11" t="str">
        <f t="shared" si="960"/>
        <v>KNAV-08FEB1914</v>
      </c>
      <c r="C2177" s="11" t="s">
        <v>3653</v>
      </c>
      <c r="D2177" s="11" t="s">
        <v>3134</v>
      </c>
      <c r="E2177" s="39" t="s">
        <v>1341</v>
      </c>
      <c r="F2177" s="11" t="s">
        <v>1700</v>
      </c>
      <c r="G2177" s="39" t="s">
        <v>1301</v>
      </c>
      <c r="H2177" s="7">
        <v>0</v>
      </c>
      <c r="I2177" s="7">
        <v>0</v>
      </c>
      <c r="J2177" s="17">
        <v>9</v>
      </c>
      <c r="K2177" s="17"/>
      <c r="L2177" s="7">
        <f t="shared" si="961"/>
        <v>9</v>
      </c>
      <c r="M2177" s="8">
        <v>1</v>
      </c>
      <c r="N2177" s="8">
        <f t="shared" si="962"/>
        <v>1</v>
      </c>
      <c r="O2177" s="11" t="s">
        <v>1702</v>
      </c>
      <c r="P2177" s="16" t="str">
        <f t="shared" si="963"/>
        <v>08-Feb-1914</v>
      </c>
      <c r="R2177" s="16" t="str">
        <f t="shared" si="964"/>
        <v>x</v>
      </c>
      <c r="S2177" s="16" t="str">
        <f t="shared" si="964"/>
        <v>x</v>
      </c>
      <c r="U2177" s="46" t="str">
        <f t="shared" si="966"/>
        <v/>
      </c>
      <c r="V2177" s="46">
        <f t="shared" si="966"/>
        <v>9</v>
      </c>
      <c r="W2177" s="46" t="str">
        <f t="shared" si="966"/>
        <v/>
      </c>
      <c r="X2177" s="46" t="str">
        <f t="shared" si="966"/>
        <v/>
      </c>
    </row>
    <row r="2178" spans="2:24" x14ac:dyDescent="0.25">
      <c r="B2178" s="11" t="str">
        <f t="shared" si="960"/>
        <v>KNAV-08FEB1914</v>
      </c>
      <c r="C2178" s="11" t="s">
        <v>3653</v>
      </c>
      <c r="D2178" s="11" t="s">
        <v>2224</v>
      </c>
      <c r="E2178" s="39" t="s">
        <v>4212</v>
      </c>
      <c r="F2178" s="11" t="s">
        <v>1700</v>
      </c>
      <c r="G2178" s="39" t="s">
        <v>1301</v>
      </c>
      <c r="H2178" s="7">
        <v>0</v>
      </c>
      <c r="I2178" s="7">
        <v>0</v>
      </c>
      <c r="J2178" s="17">
        <v>0</v>
      </c>
      <c r="K2178" s="17"/>
      <c r="L2178" s="7">
        <f t="shared" si="961"/>
        <v>0</v>
      </c>
      <c r="M2178" s="8">
        <v>1</v>
      </c>
      <c r="N2178" s="8" t="str">
        <f t="shared" si="962"/>
        <v/>
      </c>
      <c r="O2178" s="11" t="s">
        <v>1702</v>
      </c>
      <c r="P2178" s="16" t="str">
        <f t="shared" si="963"/>
        <v>08-Feb-1914</v>
      </c>
      <c r="R2178" s="16" t="str">
        <f t="shared" si="964"/>
        <v/>
      </c>
      <c r="S2178" s="16" t="str">
        <f t="shared" si="964"/>
        <v/>
      </c>
      <c r="U2178" s="46" t="str">
        <f t="shared" si="966"/>
        <v/>
      </c>
      <c r="V2178" s="46">
        <f t="shared" si="966"/>
        <v>0</v>
      </c>
      <c r="W2178" s="46" t="str">
        <f t="shared" si="966"/>
        <v/>
      </c>
      <c r="X2178" s="46" t="str">
        <f t="shared" si="966"/>
        <v/>
      </c>
    </row>
    <row r="2179" spans="2:24" x14ac:dyDescent="0.25">
      <c r="N2179" s="8" t="str">
        <f>IF(R2179="x",1,"")</f>
        <v/>
      </c>
      <c r="U2179" s="46" t="str">
        <f t="shared" si="941"/>
        <v/>
      </c>
      <c r="V2179" s="46" t="str">
        <f t="shared" si="941"/>
        <v/>
      </c>
      <c r="W2179" s="46" t="str">
        <f t="shared" si="941"/>
        <v/>
      </c>
      <c r="X2179" s="46" t="str">
        <f t="shared" si="941"/>
        <v/>
      </c>
    </row>
    <row r="2180" spans="2:24" x14ac:dyDescent="0.25">
      <c r="B2180" s="18"/>
      <c r="C2180" s="18"/>
      <c r="D2180" s="18"/>
      <c r="E2180" s="40"/>
      <c r="F2180" s="18"/>
      <c r="G2180" s="40"/>
      <c r="H2180" s="7">
        <f t="shared" ref="H2180:N2180" si="967">SUM(H2170:H2179)</f>
        <v>1</v>
      </c>
      <c r="I2180" s="7">
        <f t="shared" si="967"/>
        <v>8</v>
      </c>
      <c r="J2180" s="7">
        <f>SUM(J2170:J2179)</f>
        <v>39</v>
      </c>
      <c r="K2180" s="7">
        <f t="shared" si="967"/>
        <v>0</v>
      </c>
      <c r="L2180" s="7">
        <f t="shared" si="967"/>
        <v>48</v>
      </c>
      <c r="M2180" s="7">
        <f t="shared" si="967"/>
        <v>9</v>
      </c>
      <c r="N2180" s="7">
        <f t="shared" si="967"/>
        <v>7</v>
      </c>
      <c r="O2180" s="18"/>
      <c r="P2180" s="13"/>
      <c r="Q2180" s="13"/>
      <c r="S2180" s="13"/>
      <c r="T2180" s="15"/>
      <c r="U2180" s="46" t="str">
        <f t="shared" si="941"/>
        <v/>
      </c>
      <c r="V2180" s="46" t="str">
        <f t="shared" si="941"/>
        <v/>
      </c>
      <c r="W2180" s="46" t="str">
        <f t="shared" si="941"/>
        <v/>
      </c>
      <c r="X2180" s="46" t="str">
        <f t="shared" si="941"/>
        <v/>
      </c>
    </row>
    <row r="2181" spans="2:24" x14ac:dyDescent="0.25">
      <c r="B2181" s="18"/>
      <c r="C2181" s="18"/>
      <c r="D2181" s="18"/>
      <c r="E2181" s="40"/>
      <c r="F2181" s="18"/>
      <c r="G2181" s="40"/>
      <c r="N2181" s="8" t="str">
        <f>IF(R2181="x",1,"")</f>
        <v/>
      </c>
      <c r="O2181" s="18"/>
      <c r="P2181" s="13"/>
      <c r="Q2181" s="13"/>
      <c r="R2181" s="13"/>
      <c r="S2181" s="13"/>
      <c r="T2181" s="15"/>
      <c r="U2181" s="46" t="str">
        <f t="shared" ref="U2181:X2185" si="968">IF($O2181=U$5,$L2181,"")</f>
        <v/>
      </c>
      <c r="V2181" s="46" t="str">
        <f t="shared" si="968"/>
        <v/>
      </c>
      <c r="W2181" s="46" t="str">
        <f t="shared" si="968"/>
        <v/>
      </c>
      <c r="X2181" s="46" t="str">
        <f t="shared" si="968"/>
        <v/>
      </c>
    </row>
    <row r="2182" spans="2:24" x14ac:dyDescent="0.25">
      <c r="B2182" s="18"/>
      <c r="C2182" s="18"/>
      <c r="D2182" s="18"/>
      <c r="E2182" s="40"/>
      <c r="F2182" s="18"/>
      <c r="G2182" s="40"/>
      <c r="N2182" s="8" t="str">
        <f>IF(R2182="x",1,"")</f>
        <v/>
      </c>
      <c r="O2182" s="18"/>
      <c r="P2182" s="13"/>
      <c r="Q2182" s="13"/>
      <c r="R2182" s="13"/>
      <c r="S2182" s="13"/>
      <c r="T2182" s="15"/>
      <c r="U2182" s="46" t="str">
        <f t="shared" si="968"/>
        <v/>
      </c>
      <c r="V2182" s="46" t="str">
        <f t="shared" si="968"/>
        <v/>
      </c>
      <c r="W2182" s="46" t="str">
        <f t="shared" si="968"/>
        <v/>
      </c>
      <c r="X2182" s="46" t="str">
        <f t="shared" si="968"/>
        <v/>
      </c>
    </row>
    <row r="2183" spans="2:24" x14ac:dyDescent="0.25">
      <c r="B2183" s="11" t="str">
        <f>CONCATENATE("KAMA","-",LEFT(P2183,2),UPPER(MID(P2183,4,3)),RIGHT(P2183,4))</f>
        <v>KAMA-14FEB1921</v>
      </c>
      <c r="C2183" s="11" t="s">
        <v>11146</v>
      </c>
      <c r="D2183" s="11" t="s">
        <v>1699</v>
      </c>
      <c r="E2183" s="39" t="s">
        <v>11147</v>
      </c>
      <c r="F2183" s="11" t="s">
        <v>2904</v>
      </c>
      <c r="G2183" s="39" t="s">
        <v>3984</v>
      </c>
      <c r="I2183" s="7">
        <v>0</v>
      </c>
      <c r="J2183" s="17">
        <v>5</v>
      </c>
      <c r="K2183" s="17"/>
      <c r="L2183" s="7">
        <f>SUM(H2183:K2183)</f>
        <v>5</v>
      </c>
      <c r="M2183" s="8">
        <v>1</v>
      </c>
      <c r="N2183" s="8">
        <f>IF(L2183&gt;0,1,"")</f>
        <v>1</v>
      </c>
      <c r="O2183" s="11" t="s">
        <v>1702</v>
      </c>
      <c r="P2183" s="16" t="str">
        <f>IF(LEN(G2183)=10,CONCATENATE("0",G2183),G2183)</f>
        <v>14-Feb-1921</v>
      </c>
      <c r="R2183" s="16" t="str">
        <f>IF($L2183&gt;0,"x","")</f>
        <v>x</v>
      </c>
      <c r="S2183" s="16" t="str">
        <f>IF($L2183&gt;0,"x","")</f>
        <v>x</v>
      </c>
      <c r="U2183" s="46" t="str">
        <f t="shared" si="968"/>
        <v/>
      </c>
      <c r="V2183" s="46">
        <f t="shared" si="968"/>
        <v>5</v>
      </c>
      <c r="W2183" s="46" t="str">
        <f t="shared" si="968"/>
        <v/>
      </c>
      <c r="X2183" s="46" t="str">
        <f t="shared" si="968"/>
        <v/>
      </c>
    </row>
    <row r="2184" spans="2:24" x14ac:dyDescent="0.25">
      <c r="N2184" s="8" t="str">
        <f>IF(R2184="x",1,"")</f>
        <v/>
      </c>
      <c r="U2184" s="46" t="str">
        <f t="shared" si="968"/>
        <v/>
      </c>
      <c r="V2184" s="46" t="str">
        <f t="shared" si="968"/>
        <v/>
      </c>
      <c r="W2184" s="46" t="str">
        <f t="shared" si="968"/>
        <v/>
      </c>
      <c r="X2184" s="46" t="str">
        <f t="shared" si="968"/>
        <v/>
      </c>
    </row>
    <row r="2185" spans="2:24" x14ac:dyDescent="0.25">
      <c r="B2185" s="18"/>
      <c r="C2185" s="18"/>
      <c r="D2185" s="18"/>
      <c r="E2185" s="40"/>
      <c r="F2185" s="18"/>
      <c r="G2185" s="40"/>
      <c r="H2185" s="7">
        <f t="shared" ref="H2185:N2185" si="969">SUM(H2183:H2184)</f>
        <v>0</v>
      </c>
      <c r="I2185" s="7">
        <f t="shared" si="969"/>
        <v>0</v>
      </c>
      <c r="J2185" s="7">
        <f>SUM(J2183:J2184)</f>
        <v>5</v>
      </c>
      <c r="K2185" s="7">
        <f t="shared" si="969"/>
        <v>0</v>
      </c>
      <c r="L2185" s="7">
        <f t="shared" si="969"/>
        <v>5</v>
      </c>
      <c r="M2185" s="7">
        <f t="shared" si="969"/>
        <v>1</v>
      </c>
      <c r="N2185" s="7">
        <f t="shared" si="969"/>
        <v>1</v>
      </c>
      <c r="O2185" s="18"/>
      <c r="P2185" s="13"/>
      <c r="Q2185" s="13"/>
      <c r="S2185" s="13"/>
      <c r="T2185" s="15"/>
      <c r="U2185" s="46" t="str">
        <f t="shared" si="968"/>
        <v/>
      </c>
      <c r="V2185" s="46" t="str">
        <f t="shared" si="968"/>
        <v/>
      </c>
      <c r="W2185" s="46" t="str">
        <f t="shared" si="968"/>
        <v/>
      </c>
      <c r="X2185" s="46" t="str">
        <f t="shared" si="968"/>
        <v/>
      </c>
    </row>
    <row r="2186" spans="2:24" x14ac:dyDescent="0.25">
      <c r="B2186" s="18"/>
      <c r="C2186" s="18"/>
      <c r="D2186" s="18"/>
      <c r="E2186" s="40"/>
      <c r="F2186" s="18"/>
      <c r="G2186" s="40"/>
      <c r="N2186" s="8" t="str">
        <f>IF(R2186="x",1,"")</f>
        <v/>
      </c>
      <c r="O2186" s="18"/>
      <c r="P2186" s="13"/>
      <c r="Q2186" s="13"/>
      <c r="R2186" s="13"/>
      <c r="S2186" s="13"/>
      <c r="T2186" s="15"/>
      <c r="U2186" s="46" t="str">
        <f t="shared" si="941"/>
        <v/>
      </c>
      <c r="V2186" s="46" t="str">
        <f t="shared" si="941"/>
        <v/>
      </c>
      <c r="W2186" s="46" t="str">
        <f t="shared" si="941"/>
        <v/>
      </c>
      <c r="X2186" s="46" t="str">
        <f t="shared" si="941"/>
        <v/>
      </c>
    </row>
    <row r="2187" spans="2:24" x14ac:dyDescent="0.25">
      <c r="B2187" s="18"/>
      <c r="C2187" s="18"/>
      <c r="D2187" s="18"/>
      <c r="E2187" s="40"/>
      <c r="F2187" s="18"/>
      <c r="G2187" s="40"/>
      <c r="N2187" s="8" t="str">
        <f>IF(R2187="x",1,"")</f>
        <v/>
      </c>
      <c r="O2187" s="18"/>
      <c r="P2187" s="13"/>
      <c r="Q2187" s="13"/>
      <c r="R2187" s="13"/>
      <c r="S2187" s="13"/>
      <c r="T2187" s="15"/>
      <c r="U2187" s="46" t="str">
        <f t="shared" si="941"/>
        <v/>
      </c>
      <c r="V2187" s="46" t="str">
        <f t="shared" si="941"/>
        <v/>
      </c>
      <c r="W2187" s="46" t="str">
        <f t="shared" si="941"/>
        <v/>
      </c>
      <c r="X2187" s="46" t="str">
        <f t="shared" si="941"/>
        <v/>
      </c>
    </row>
    <row r="2188" spans="2:24" x14ac:dyDescent="0.25">
      <c r="B2188" s="11" t="str">
        <f>CONCATENATE("KAMR","-",LEFT(P2188,2),UPPER(MID(P2188,4,3)),RIGHT(P2188,4))</f>
        <v>KAMR-07NOV1918</v>
      </c>
      <c r="C2188" s="11" t="s">
        <v>3749</v>
      </c>
      <c r="D2188" s="11" t="s">
        <v>2440</v>
      </c>
      <c r="E2188" s="39" t="s">
        <v>3750</v>
      </c>
      <c r="F2188" s="11" t="s">
        <v>3366</v>
      </c>
      <c r="G2188" s="39" t="s">
        <v>3751</v>
      </c>
      <c r="H2188" s="7">
        <v>0</v>
      </c>
      <c r="I2188" s="7">
        <v>0</v>
      </c>
      <c r="J2188" s="17">
        <v>5</v>
      </c>
      <c r="K2188" s="17"/>
      <c r="L2188" s="7">
        <f>SUM(H2188:K2188)</f>
        <v>5</v>
      </c>
      <c r="M2188" s="8">
        <v>1</v>
      </c>
      <c r="N2188" s="8">
        <f>IF(L2188&gt;0,1,"")</f>
        <v>1</v>
      </c>
      <c r="O2188" s="11" t="s">
        <v>1702</v>
      </c>
      <c r="P2188" s="16" t="str">
        <f>IF(LEN(G2188)=10,CONCATENATE("0",G2188),G2188)</f>
        <v>07-Nov-1918</v>
      </c>
      <c r="R2188" s="16" t="str">
        <f>IF($L2188&gt;0,"x","")</f>
        <v>x</v>
      </c>
      <c r="S2188" s="16" t="str">
        <f>IF($L2188&gt;0,"x","")</f>
        <v>x</v>
      </c>
      <c r="U2188" s="46" t="str">
        <f t="shared" si="941"/>
        <v/>
      </c>
      <c r="V2188" s="46">
        <f t="shared" si="941"/>
        <v>5</v>
      </c>
      <c r="W2188" s="46" t="str">
        <f t="shared" si="941"/>
        <v/>
      </c>
      <c r="X2188" s="46" t="str">
        <f t="shared" si="941"/>
        <v/>
      </c>
    </row>
    <row r="2189" spans="2:24" x14ac:dyDescent="0.25">
      <c r="N2189" s="8" t="str">
        <f>IF(R2189="x",1,"")</f>
        <v/>
      </c>
      <c r="U2189" s="46" t="str">
        <f t="shared" si="941"/>
        <v/>
      </c>
      <c r="V2189" s="46" t="str">
        <f t="shared" si="941"/>
        <v/>
      </c>
      <c r="W2189" s="46" t="str">
        <f t="shared" si="941"/>
        <v/>
      </c>
      <c r="X2189" s="46" t="str">
        <f t="shared" si="941"/>
        <v/>
      </c>
    </row>
    <row r="2190" spans="2:24" x14ac:dyDescent="0.25">
      <c r="B2190" s="18"/>
      <c r="C2190" s="18"/>
      <c r="D2190" s="18"/>
      <c r="E2190" s="40"/>
      <c r="F2190" s="18"/>
      <c r="G2190" s="40"/>
      <c r="H2190" s="7">
        <f t="shared" ref="H2190:N2190" si="970">SUM(H2188:H2189)</f>
        <v>0</v>
      </c>
      <c r="I2190" s="7">
        <f t="shared" si="970"/>
        <v>0</v>
      </c>
      <c r="J2190" s="7">
        <f>SUM(J2188:J2189)</f>
        <v>5</v>
      </c>
      <c r="K2190" s="7">
        <f t="shared" si="970"/>
        <v>0</v>
      </c>
      <c r="L2190" s="7">
        <f t="shared" si="970"/>
        <v>5</v>
      </c>
      <c r="M2190" s="7">
        <f t="shared" si="970"/>
        <v>1</v>
      </c>
      <c r="N2190" s="7">
        <f t="shared" si="970"/>
        <v>1</v>
      </c>
      <c r="O2190" s="18"/>
      <c r="P2190" s="13"/>
      <c r="Q2190" s="13"/>
      <c r="S2190" s="13"/>
      <c r="T2190" s="15"/>
      <c r="U2190" s="46" t="str">
        <f t="shared" si="941"/>
        <v/>
      </c>
      <c r="V2190" s="46" t="str">
        <f t="shared" si="941"/>
        <v/>
      </c>
      <c r="W2190" s="46" t="str">
        <f t="shared" si="941"/>
        <v/>
      </c>
      <c r="X2190" s="46" t="str">
        <f t="shared" si="941"/>
        <v/>
      </c>
    </row>
    <row r="2191" spans="2:24" x14ac:dyDescent="0.25">
      <c r="B2191" s="18"/>
      <c r="C2191" s="18"/>
      <c r="D2191" s="18"/>
      <c r="E2191" s="40"/>
      <c r="F2191" s="18"/>
      <c r="G2191" s="40"/>
      <c r="N2191" s="8" t="str">
        <f>IF(R2191="x",1,"")</f>
        <v/>
      </c>
      <c r="O2191" s="18"/>
      <c r="P2191" s="13"/>
      <c r="Q2191" s="13"/>
      <c r="R2191" s="13"/>
      <c r="S2191" s="13"/>
      <c r="T2191" s="15"/>
      <c r="U2191" s="46" t="str">
        <f t="shared" si="941"/>
        <v/>
      </c>
      <c r="V2191" s="46" t="str">
        <f t="shared" si="941"/>
        <v/>
      </c>
      <c r="W2191" s="46" t="str">
        <f t="shared" si="941"/>
        <v/>
      </c>
      <c r="X2191" s="46" t="str">
        <f t="shared" si="941"/>
        <v/>
      </c>
    </row>
    <row r="2192" spans="2:24" x14ac:dyDescent="0.25">
      <c r="B2192" s="18"/>
      <c r="C2192" s="18"/>
      <c r="D2192" s="18"/>
      <c r="E2192" s="40"/>
      <c r="F2192" s="18"/>
      <c r="G2192" s="40"/>
      <c r="N2192" s="8" t="str">
        <f>IF(R2192="x",1,"")</f>
        <v/>
      </c>
      <c r="O2192" s="18"/>
      <c r="P2192" s="13"/>
      <c r="Q2192" s="13"/>
      <c r="R2192" s="13"/>
      <c r="S2192" s="13"/>
      <c r="T2192" s="15"/>
      <c r="U2192" s="46" t="str">
        <f t="shared" si="941"/>
        <v/>
      </c>
      <c r="V2192" s="46" t="str">
        <f t="shared" si="941"/>
        <v/>
      </c>
      <c r="W2192" s="46" t="str">
        <f t="shared" si="941"/>
        <v/>
      </c>
      <c r="X2192" s="46" t="str">
        <f t="shared" si="941"/>
        <v/>
      </c>
    </row>
    <row r="2193" spans="2:24" x14ac:dyDescent="0.25">
      <c r="B2193" s="11" t="str">
        <f>CONCATENATE("KSMR","-",LEFT(P2193,2),UPPER(MID(P2193,4,3)),RIGHT(P2193,4))</f>
        <v>KSMR-26JAN1918</v>
      </c>
      <c r="C2193" s="11" t="s">
        <v>3815</v>
      </c>
      <c r="D2193" s="11" t="s">
        <v>2440</v>
      </c>
      <c r="E2193" s="39" t="s">
        <v>3816</v>
      </c>
      <c r="F2193" s="11" t="s">
        <v>3366</v>
      </c>
      <c r="G2193" s="39" t="s">
        <v>3817</v>
      </c>
      <c r="H2193" s="7">
        <v>0</v>
      </c>
      <c r="I2193" s="7">
        <v>0</v>
      </c>
      <c r="J2193" s="17">
        <f>5+1</f>
        <v>6</v>
      </c>
      <c r="K2193" s="17"/>
      <c r="L2193" s="7">
        <f>SUM(H2193:K2193)</f>
        <v>6</v>
      </c>
      <c r="M2193" s="8">
        <v>1</v>
      </c>
      <c r="N2193" s="8">
        <f>IF(L2193&gt;0,1,"")</f>
        <v>1</v>
      </c>
      <c r="O2193" s="11" t="s">
        <v>1702</v>
      </c>
      <c r="P2193" s="16" t="str">
        <f>IF(LEN(G2193)=10,CONCATENATE("0",G2193),G2193)</f>
        <v>26-Jan-1918</v>
      </c>
      <c r="R2193" s="16" t="str">
        <f t="shared" ref="R2193:S2195" si="971">IF($L2193&gt;0,"x","")</f>
        <v>x</v>
      </c>
      <c r="S2193" s="16" t="str">
        <f t="shared" si="971"/>
        <v>x</v>
      </c>
      <c r="U2193" s="46" t="str">
        <f t="shared" si="941"/>
        <v/>
      </c>
      <c r="V2193" s="46">
        <f t="shared" si="941"/>
        <v>6</v>
      </c>
      <c r="W2193" s="46" t="str">
        <f t="shared" si="941"/>
        <v/>
      </c>
      <c r="X2193" s="46" t="str">
        <f t="shared" si="941"/>
        <v/>
      </c>
    </row>
    <row r="2194" spans="2:24" x14ac:dyDescent="0.25">
      <c r="B2194" s="11" t="str">
        <f>CONCATENATE("KSMR","-",LEFT(P2194,2),UPPER(MID(P2194,4,3)),RIGHT(P2194,4))</f>
        <v>KSMR-01FEB1919</v>
      </c>
      <c r="C2194" s="11" t="s">
        <v>3815</v>
      </c>
      <c r="D2194" s="11" t="s">
        <v>2440</v>
      </c>
      <c r="E2194" s="39" t="s">
        <v>5995</v>
      </c>
      <c r="F2194" s="11" t="s">
        <v>3366</v>
      </c>
      <c r="G2194" s="39" t="s">
        <v>5996</v>
      </c>
      <c r="H2194" s="7">
        <v>0</v>
      </c>
      <c r="I2194" s="7">
        <v>6</v>
      </c>
      <c r="J2194" s="17">
        <v>0</v>
      </c>
      <c r="K2194" s="17"/>
      <c r="L2194" s="7">
        <f>SUM(H2194:K2194)</f>
        <v>6</v>
      </c>
      <c r="M2194" s="8">
        <v>1</v>
      </c>
      <c r="N2194" s="8">
        <f>IF(L2194&gt;0,1,"")</f>
        <v>1</v>
      </c>
      <c r="O2194" s="11" t="s">
        <v>1702</v>
      </c>
      <c r="P2194" s="16" t="str">
        <f>IF(LEN(G2194)=10,CONCATENATE("0",G2194),G2194)</f>
        <v>01-Feb-1919</v>
      </c>
      <c r="R2194" s="16" t="str">
        <f t="shared" si="971"/>
        <v>x</v>
      </c>
      <c r="S2194" s="16" t="str">
        <f t="shared" si="971"/>
        <v>x</v>
      </c>
      <c r="U2194" s="46" t="str">
        <f t="shared" ref="U2194:X2195" si="972">IF($O2194=U$5,$L2194,"")</f>
        <v/>
      </c>
      <c r="V2194" s="46">
        <f t="shared" si="972"/>
        <v>6</v>
      </c>
      <c r="W2194" s="46" t="str">
        <f t="shared" si="972"/>
        <v/>
      </c>
      <c r="X2194" s="46" t="str">
        <f t="shared" si="972"/>
        <v/>
      </c>
    </row>
    <row r="2195" spans="2:24" x14ac:dyDescent="0.25">
      <c r="B2195" s="11" t="str">
        <f>CONCATENATE("KSMR","-",LEFT(P2195,2),UPPER(MID(P2195,4,3)),RIGHT(P2195,4))</f>
        <v>KSMR-21SEP1920</v>
      </c>
      <c r="C2195" s="11" t="s">
        <v>3815</v>
      </c>
      <c r="D2195" s="11" t="s">
        <v>2440</v>
      </c>
      <c r="E2195" s="39" t="s">
        <v>5422</v>
      </c>
      <c r="F2195" s="11" t="s">
        <v>3366</v>
      </c>
      <c r="G2195" s="39" t="s">
        <v>2037</v>
      </c>
      <c r="J2195" s="17">
        <v>5</v>
      </c>
      <c r="K2195" s="17"/>
      <c r="L2195" s="7">
        <f>SUM(H2195:K2195)</f>
        <v>5</v>
      </c>
      <c r="M2195" s="8">
        <v>1</v>
      </c>
      <c r="N2195" s="8">
        <f>IF(L2195&gt;0,1,"")</f>
        <v>1</v>
      </c>
      <c r="O2195" s="11" t="s">
        <v>1702</v>
      </c>
      <c r="P2195" s="16" t="str">
        <f>IF(LEN(G2195)=10,CONCATENATE("0",G2195),G2195)</f>
        <v>21-Sep-1920</v>
      </c>
      <c r="R2195" s="16" t="str">
        <f t="shared" si="971"/>
        <v>x</v>
      </c>
      <c r="S2195" s="16" t="str">
        <f t="shared" si="971"/>
        <v>x</v>
      </c>
      <c r="U2195" s="46" t="str">
        <f t="shared" si="972"/>
        <v/>
      </c>
      <c r="V2195" s="46">
        <f t="shared" si="972"/>
        <v>5</v>
      </c>
      <c r="W2195" s="46" t="str">
        <f t="shared" si="972"/>
        <v/>
      </c>
      <c r="X2195" s="46" t="str">
        <f t="shared" si="972"/>
        <v/>
      </c>
    </row>
    <row r="2196" spans="2:24" x14ac:dyDescent="0.25">
      <c r="N2196" s="8" t="str">
        <f>IF(R2196="x",1,"")</f>
        <v/>
      </c>
      <c r="U2196" s="46" t="str">
        <f t="shared" si="941"/>
        <v/>
      </c>
      <c r="V2196" s="46" t="str">
        <f t="shared" si="941"/>
        <v/>
      </c>
      <c r="W2196" s="46" t="str">
        <f t="shared" si="941"/>
        <v/>
      </c>
      <c r="X2196" s="46" t="str">
        <f t="shared" si="941"/>
        <v/>
      </c>
    </row>
    <row r="2197" spans="2:24" x14ac:dyDescent="0.25">
      <c r="B2197" s="18"/>
      <c r="C2197" s="18"/>
      <c r="D2197" s="18"/>
      <c r="E2197" s="40"/>
      <c r="F2197" s="18"/>
      <c r="G2197" s="40"/>
      <c r="H2197" s="7">
        <f t="shared" ref="H2197:N2197" si="973">SUM(H2193:H2196)</f>
        <v>0</v>
      </c>
      <c r="I2197" s="7">
        <f t="shared" si="973"/>
        <v>6</v>
      </c>
      <c r="J2197" s="7">
        <f>SUM(J2193:J2196)</f>
        <v>11</v>
      </c>
      <c r="K2197" s="7">
        <f t="shared" si="973"/>
        <v>0</v>
      </c>
      <c r="L2197" s="7">
        <f t="shared" si="973"/>
        <v>17</v>
      </c>
      <c r="M2197" s="7">
        <f t="shared" si="973"/>
        <v>3</v>
      </c>
      <c r="N2197" s="7">
        <f t="shared" si="973"/>
        <v>3</v>
      </c>
      <c r="O2197" s="18"/>
      <c r="P2197" s="13"/>
      <c r="Q2197" s="13"/>
      <c r="S2197" s="13"/>
      <c r="T2197" s="15"/>
      <c r="U2197" s="46" t="str">
        <f t="shared" si="941"/>
        <v/>
      </c>
      <c r="V2197" s="46" t="str">
        <f t="shared" si="941"/>
        <v/>
      </c>
      <c r="W2197" s="46" t="str">
        <f t="shared" si="941"/>
        <v/>
      </c>
      <c r="X2197" s="46" t="str">
        <f t="shared" si="941"/>
        <v/>
      </c>
    </row>
    <row r="2198" spans="2:24" x14ac:dyDescent="0.25">
      <c r="B2198" s="18"/>
      <c r="C2198" s="18"/>
      <c r="D2198" s="18"/>
      <c r="E2198" s="40"/>
      <c r="F2198" s="18"/>
      <c r="G2198" s="40"/>
      <c r="N2198" s="8" t="str">
        <f>IF(R2198="x",1,"")</f>
        <v/>
      </c>
      <c r="O2198" s="18"/>
      <c r="P2198" s="13"/>
      <c r="Q2198" s="13"/>
      <c r="R2198" s="13"/>
      <c r="S2198" s="13"/>
      <c r="T2198" s="15"/>
      <c r="U2198" s="46" t="str">
        <f t="shared" ref="U2198:X2202" si="974">IF($O2198=U$5,$L2198,"")</f>
        <v/>
      </c>
      <c r="V2198" s="46" t="str">
        <f t="shared" si="974"/>
        <v/>
      </c>
      <c r="W2198" s="46" t="str">
        <f t="shared" si="974"/>
        <v/>
      </c>
      <c r="X2198" s="46" t="str">
        <f t="shared" si="974"/>
        <v/>
      </c>
    </row>
    <row r="2199" spans="2:24" x14ac:dyDescent="0.25">
      <c r="B2199" s="18"/>
      <c r="C2199" s="18"/>
      <c r="D2199" s="18"/>
      <c r="E2199" s="40"/>
      <c r="F2199" s="18"/>
      <c r="G2199" s="40"/>
      <c r="N2199" s="8" t="str">
        <f>IF(R2199="x",1,"")</f>
        <v/>
      </c>
      <c r="O2199" s="18"/>
      <c r="P2199" s="13"/>
      <c r="Q2199" s="13"/>
      <c r="R2199" s="13"/>
      <c r="S2199" s="13"/>
      <c r="T2199" s="15"/>
      <c r="U2199" s="46" t="str">
        <f t="shared" si="974"/>
        <v/>
      </c>
      <c r="V2199" s="46" t="str">
        <f t="shared" si="974"/>
        <v/>
      </c>
      <c r="W2199" s="46" t="str">
        <f t="shared" si="974"/>
        <v/>
      </c>
      <c r="X2199" s="46" t="str">
        <f t="shared" si="974"/>
        <v/>
      </c>
    </row>
    <row r="2200" spans="2:24" x14ac:dyDescent="0.25">
      <c r="B2200" s="11" t="str">
        <f>CONCATENATE("KTMR","-",LEFT(P2200,2),UPPER(MID(P2200,4,3)),RIGHT(P2200,4))</f>
        <v>KTMR-04NOV1920</v>
      </c>
      <c r="C2200" s="11" t="s">
        <v>5401</v>
      </c>
      <c r="D2200" s="11" t="s">
        <v>2440</v>
      </c>
      <c r="E2200" s="39" t="s">
        <v>4640</v>
      </c>
      <c r="F2200" s="11" t="s">
        <v>3366</v>
      </c>
      <c r="G2200" s="39" t="s">
        <v>5402</v>
      </c>
      <c r="H2200" s="7">
        <v>0</v>
      </c>
      <c r="I2200" s="7">
        <v>0</v>
      </c>
      <c r="J2200" s="17">
        <v>3</v>
      </c>
      <c r="K2200" s="17"/>
      <c r="L2200" s="7">
        <f>SUM(H2200:K2200)</f>
        <v>3</v>
      </c>
      <c r="M2200" s="8">
        <v>1</v>
      </c>
      <c r="N2200" s="8">
        <f>IF(L2200&gt;0,1,"")</f>
        <v>1</v>
      </c>
      <c r="O2200" s="11" t="s">
        <v>1702</v>
      </c>
      <c r="P2200" s="16" t="str">
        <f>IF(LEN(G2200)=10,CONCATENATE("0",G2200),G2200)</f>
        <v>04-Nov-1920</v>
      </c>
      <c r="R2200" s="16" t="str">
        <f>IF($L2200&gt;0,"x","")</f>
        <v>x</v>
      </c>
      <c r="S2200" s="16" t="str">
        <f>IF($L2200&gt;0,"x","")</f>
        <v>x</v>
      </c>
      <c r="U2200" s="46" t="str">
        <f t="shared" si="974"/>
        <v/>
      </c>
      <c r="V2200" s="46">
        <f t="shared" si="974"/>
        <v>3</v>
      </c>
      <c r="W2200" s="46" t="str">
        <f t="shared" si="974"/>
        <v/>
      </c>
      <c r="X2200" s="46" t="str">
        <f t="shared" si="974"/>
        <v/>
      </c>
    </row>
    <row r="2201" spans="2:24" x14ac:dyDescent="0.25">
      <c r="N2201" s="8" t="str">
        <f>IF(R2201="x",1,"")</f>
        <v/>
      </c>
      <c r="U2201" s="46" t="str">
        <f t="shared" si="974"/>
        <v/>
      </c>
      <c r="V2201" s="46" t="str">
        <f t="shared" si="974"/>
        <v/>
      </c>
      <c r="W2201" s="46" t="str">
        <f t="shared" si="974"/>
        <v/>
      </c>
      <c r="X2201" s="46" t="str">
        <f t="shared" si="974"/>
        <v/>
      </c>
    </row>
    <row r="2202" spans="2:24" x14ac:dyDescent="0.25">
      <c r="B2202" s="18"/>
      <c r="C2202" s="18"/>
      <c r="D2202" s="18"/>
      <c r="E2202" s="40"/>
      <c r="F2202" s="18"/>
      <c r="G2202" s="40"/>
      <c r="H2202" s="7">
        <f t="shared" ref="H2202:N2202" si="975">SUM(H2200:H2201)</f>
        <v>0</v>
      </c>
      <c r="I2202" s="7">
        <f t="shared" si="975"/>
        <v>0</v>
      </c>
      <c r="J2202" s="7">
        <f>SUM(J2200:J2201)</f>
        <v>3</v>
      </c>
      <c r="K2202" s="7">
        <f t="shared" si="975"/>
        <v>0</v>
      </c>
      <c r="L2202" s="7">
        <f t="shared" si="975"/>
        <v>3</v>
      </c>
      <c r="M2202" s="7">
        <f t="shared" si="975"/>
        <v>1</v>
      </c>
      <c r="N2202" s="7">
        <f t="shared" si="975"/>
        <v>1</v>
      </c>
      <c r="O2202" s="18"/>
      <c r="P2202" s="13"/>
      <c r="Q2202" s="13"/>
      <c r="S2202" s="13"/>
      <c r="T2202" s="15"/>
      <c r="U2202" s="46" t="str">
        <f t="shared" si="974"/>
        <v/>
      </c>
      <c r="V2202" s="46" t="str">
        <f t="shared" si="974"/>
        <v/>
      </c>
      <c r="W2202" s="46" t="str">
        <f t="shared" si="974"/>
        <v/>
      </c>
      <c r="X2202" s="46" t="str">
        <f t="shared" si="974"/>
        <v/>
      </c>
    </row>
    <row r="2203" spans="2:24" x14ac:dyDescent="0.25">
      <c r="B2203" s="18"/>
      <c r="C2203" s="18"/>
      <c r="D2203" s="18"/>
      <c r="E2203" s="40"/>
      <c r="F2203" s="18"/>
      <c r="G2203" s="40"/>
      <c r="N2203" s="8" t="str">
        <f>IF(R2203="x",1,"")</f>
        <v/>
      </c>
      <c r="O2203" s="18"/>
      <c r="P2203" s="13"/>
      <c r="Q2203" s="13"/>
      <c r="R2203" s="13"/>
      <c r="S2203" s="13"/>
      <c r="T2203" s="15"/>
      <c r="U2203" s="46" t="str">
        <f t="shared" si="941"/>
        <v/>
      </c>
      <c r="V2203" s="46" t="str">
        <f t="shared" si="941"/>
        <v/>
      </c>
      <c r="W2203" s="46" t="str">
        <f t="shared" si="941"/>
        <v/>
      </c>
      <c r="X2203" s="46" t="str">
        <f t="shared" si="941"/>
        <v/>
      </c>
    </row>
    <row r="2204" spans="2:24" x14ac:dyDescent="0.25">
      <c r="B2204" s="18"/>
      <c r="C2204" s="18"/>
      <c r="D2204" s="18"/>
      <c r="E2204" s="40"/>
      <c r="F2204" s="18"/>
      <c r="G2204" s="40"/>
      <c r="N2204" s="8" t="str">
        <f>IF(R2204="x",1,"")</f>
        <v/>
      </c>
      <c r="O2204" s="18"/>
      <c r="P2204" s="13"/>
      <c r="Q2204" s="13"/>
      <c r="R2204" s="13"/>
      <c r="S2204" s="13"/>
      <c r="T2204" s="15"/>
      <c r="U2204" s="46" t="str">
        <f t="shared" si="941"/>
        <v/>
      </c>
      <c r="V2204" s="46" t="str">
        <f t="shared" si="941"/>
        <v/>
      </c>
      <c r="W2204" s="46" t="str">
        <f t="shared" si="941"/>
        <v/>
      </c>
      <c r="X2204" s="46" t="str">
        <f t="shared" si="941"/>
        <v/>
      </c>
    </row>
    <row r="2205" spans="2:24" x14ac:dyDescent="0.25">
      <c r="B2205" s="11" t="str">
        <f>CONCATENATE("KENS","-",LEFT(P2205,2),UPPER(MID(P2205,4,3)),RIGHT(P2205,4))</f>
        <v>KENS-05SEP1903</v>
      </c>
      <c r="C2205" s="11" t="s">
        <v>3593</v>
      </c>
      <c r="D2205" s="11" t="s">
        <v>2097</v>
      </c>
      <c r="E2205" s="39" t="s">
        <v>3594</v>
      </c>
      <c r="F2205" s="11" t="s">
        <v>2813</v>
      </c>
      <c r="G2205" s="39" t="s">
        <v>1395</v>
      </c>
      <c r="H2205" s="7">
        <v>0</v>
      </c>
      <c r="J2205" s="17">
        <v>9</v>
      </c>
      <c r="K2205" s="17"/>
      <c r="L2205" s="7">
        <f>SUM(H2205:K2205)</f>
        <v>9</v>
      </c>
      <c r="M2205" s="8">
        <v>1</v>
      </c>
      <c r="N2205" s="8">
        <f>IF(L2205&gt;0,1,"")</f>
        <v>1</v>
      </c>
      <c r="O2205" s="11" t="s">
        <v>1702</v>
      </c>
      <c r="P2205" s="16" t="str">
        <f>IF(LEN(G2205)=10,CONCATENATE("0",G2205),G2205)</f>
        <v>05-Sep-1903</v>
      </c>
      <c r="R2205" s="16" t="str">
        <f t="shared" ref="R2205:S2207" si="976">IF($L2205&gt;0,"x","")</f>
        <v>x</v>
      </c>
      <c r="S2205" s="16" t="str">
        <f t="shared" si="976"/>
        <v>x</v>
      </c>
      <c r="U2205" s="46" t="str">
        <f t="shared" si="941"/>
        <v/>
      </c>
      <c r="V2205" s="46">
        <f t="shared" si="941"/>
        <v>9</v>
      </c>
      <c r="W2205" s="46" t="str">
        <f t="shared" si="941"/>
        <v/>
      </c>
      <c r="X2205" s="46" t="str">
        <f t="shared" si="941"/>
        <v/>
      </c>
    </row>
    <row r="2206" spans="2:24" x14ac:dyDescent="0.25">
      <c r="B2206" s="11" t="str">
        <f>CONCATENATE("KENS","-",LEFT(P2206,2),UPPER(MID(P2206,4,3)),RIGHT(P2206,4))</f>
        <v>KENS-16OCT1904</v>
      </c>
      <c r="C2206" s="11" t="s">
        <v>3593</v>
      </c>
      <c r="D2206" s="11" t="s">
        <v>2097</v>
      </c>
      <c r="E2206" s="39" t="s">
        <v>5668</v>
      </c>
      <c r="F2206" s="11" t="s">
        <v>2813</v>
      </c>
      <c r="G2206" s="39" t="s">
        <v>2693</v>
      </c>
      <c r="I2206" s="7">
        <v>0</v>
      </c>
      <c r="J2206" s="17">
        <v>7</v>
      </c>
      <c r="K2206" s="17"/>
      <c r="L2206" s="7">
        <f>SUM(H2206:K2206)</f>
        <v>7</v>
      </c>
      <c r="M2206" s="8">
        <v>1</v>
      </c>
      <c r="N2206" s="8">
        <f>IF(L2206&gt;0,1,"")</f>
        <v>1</v>
      </c>
      <c r="O2206" s="11" t="s">
        <v>1702</v>
      </c>
      <c r="P2206" s="16" t="str">
        <f>IF(LEN(G2206)=10,CONCATENATE("0",G2206),G2206)</f>
        <v>16-Oct-1904</v>
      </c>
      <c r="R2206" s="16" t="str">
        <f t="shared" si="976"/>
        <v>x</v>
      </c>
      <c r="S2206" s="16" t="str">
        <f t="shared" si="976"/>
        <v>x</v>
      </c>
      <c r="U2206" s="46" t="str">
        <f t="shared" ref="U2206:X2207" si="977">IF($O2206=U$5,$L2206,"")</f>
        <v/>
      </c>
      <c r="V2206" s="46">
        <f t="shared" si="977"/>
        <v>7</v>
      </c>
      <c r="W2206" s="46" t="str">
        <f t="shared" si="977"/>
        <v/>
      </c>
      <c r="X2206" s="46" t="str">
        <f t="shared" si="977"/>
        <v/>
      </c>
    </row>
    <row r="2207" spans="2:24" x14ac:dyDescent="0.25">
      <c r="B2207" s="11" t="str">
        <f>CONCATENATE("KENS","-",LEFT(P2207,2),UPPER(MID(P2207,4,3)),RIGHT(P2207,4))</f>
        <v>KENS-24AUG1907</v>
      </c>
      <c r="C2207" s="11" t="s">
        <v>3593</v>
      </c>
      <c r="D2207" s="11" t="s">
        <v>2097</v>
      </c>
      <c r="E2207" s="39" t="s">
        <v>2919</v>
      </c>
      <c r="F2207" s="11" t="s">
        <v>2813</v>
      </c>
      <c r="G2207" s="39" t="s">
        <v>1806</v>
      </c>
      <c r="I2207" s="7">
        <v>0</v>
      </c>
      <c r="J2207" s="17">
        <v>12</v>
      </c>
      <c r="K2207" s="17"/>
      <c r="L2207" s="7">
        <f>SUM(H2207:K2207)</f>
        <v>12</v>
      </c>
      <c r="M2207" s="8">
        <v>1</v>
      </c>
      <c r="N2207" s="8">
        <f>IF(L2207&gt;0,1,"")</f>
        <v>1</v>
      </c>
      <c r="O2207" s="11" t="s">
        <v>1702</v>
      </c>
      <c r="P2207" s="16" t="str">
        <f>IF(LEN(G2207)=10,CONCATENATE("0",G2207),G2207)</f>
        <v>24-Aug-1907</v>
      </c>
      <c r="R2207" s="16" t="str">
        <f t="shared" si="976"/>
        <v>x</v>
      </c>
      <c r="S2207" s="16" t="str">
        <f t="shared" si="976"/>
        <v>x</v>
      </c>
      <c r="U2207" s="46" t="str">
        <f t="shared" si="977"/>
        <v/>
      </c>
      <c r="V2207" s="46">
        <f t="shared" si="977"/>
        <v>12</v>
      </c>
      <c r="W2207" s="46" t="str">
        <f t="shared" si="977"/>
        <v/>
      </c>
      <c r="X2207" s="46" t="str">
        <f t="shared" si="977"/>
        <v/>
      </c>
    </row>
    <row r="2208" spans="2:24" x14ac:dyDescent="0.25">
      <c r="N2208" s="8" t="str">
        <f>IF(R2208="x",1,"")</f>
        <v/>
      </c>
      <c r="U2208" s="46" t="str">
        <f t="shared" si="941"/>
        <v/>
      </c>
      <c r="V2208" s="46" t="str">
        <f t="shared" si="941"/>
        <v/>
      </c>
      <c r="W2208" s="46" t="str">
        <f t="shared" si="941"/>
        <v/>
      </c>
      <c r="X2208" s="46" t="str">
        <f t="shared" si="941"/>
        <v/>
      </c>
    </row>
    <row r="2209" spans="2:24" x14ac:dyDescent="0.25">
      <c r="B2209" s="18"/>
      <c r="C2209" s="18"/>
      <c r="D2209" s="18"/>
      <c r="E2209" s="40"/>
      <c r="F2209" s="18"/>
      <c r="G2209" s="40"/>
      <c r="H2209" s="7">
        <f t="shared" ref="H2209:N2209" si="978">SUM(H2205:H2208)</f>
        <v>0</v>
      </c>
      <c r="I2209" s="7">
        <f t="shared" si="978"/>
        <v>0</v>
      </c>
      <c r="J2209" s="7">
        <f>SUM(J2205:J2208)</f>
        <v>28</v>
      </c>
      <c r="K2209" s="7">
        <f t="shared" si="978"/>
        <v>0</v>
      </c>
      <c r="L2209" s="7">
        <f t="shared" si="978"/>
        <v>28</v>
      </c>
      <c r="M2209" s="7">
        <f t="shared" si="978"/>
        <v>3</v>
      </c>
      <c r="N2209" s="7">
        <f t="shared" si="978"/>
        <v>3</v>
      </c>
      <c r="O2209" s="18"/>
      <c r="P2209" s="13"/>
      <c r="Q2209" s="13"/>
      <c r="S2209" s="13"/>
      <c r="T2209" s="15"/>
      <c r="U2209" s="46" t="str">
        <f t="shared" si="941"/>
        <v/>
      </c>
      <c r="V2209" s="46" t="str">
        <f t="shared" si="941"/>
        <v/>
      </c>
      <c r="W2209" s="46" t="str">
        <f t="shared" si="941"/>
        <v/>
      </c>
      <c r="X2209" s="46" t="str">
        <f t="shared" si="941"/>
        <v/>
      </c>
    </row>
    <row r="2210" spans="2:24" x14ac:dyDescent="0.25">
      <c r="B2210" s="18"/>
      <c r="C2210" s="18"/>
      <c r="D2210" s="18"/>
      <c r="E2210" s="40"/>
      <c r="F2210" s="18"/>
      <c r="G2210" s="40"/>
      <c r="N2210" s="8" t="str">
        <f>IF(R2210="x",1,"")</f>
        <v/>
      </c>
      <c r="O2210" s="18"/>
      <c r="P2210" s="13"/>
      <c r="Q2210" s="13"/>
      <c r="R2210" s="13"/>
      <c r="S2210" s="13"/>
      <c r="T2210" s="15"/>
      <c r="U2210" s="46" t="str">
        <f t="shared" si="941"/>
        <v/>
      </c>
      <c r="V2210" s="46" t="str">
        <f t="shared" si="941"/>
        <v/>
      </c>
      <c r="W2210" s="46" t="str">
        <f t="shared" si="941"/>
        <v/>
      </c>
      <c r="X2210" s="46" t="str">
        <f t="shared" si="941"/>
        <v/>
      </c>
    </row>
    <row r="2211" spans="2:24" x14ac:dyDescent="0.25">
      <c r="B2211" s="18"/>
      <c r="C2211" s="18"/>
      <c r="D2211" s="18"/>
      <c r="E2211" s="40"/>
      <c r="F2211" s="18"/>
      <c r="G2211" s="40"/>
      <c r="N2211" s="8" t="str">
        <f>IF(R2211="x",1,"")</f>
        <v/>
      </c>
      <c r="O2211" s="18"/>
      <c r="P2211" s="13"/>
      <c r="Q2211" s="13"/>
      <c r="R2211" s="13"/>
      <c r="S2211" s="13"/>
      <c r="T2211" s="15"/>
      <c r="U2211" s="46" t="str">
        <f t="shared" si="941"/>
        <v/>
      </c>
      <c r="V2211" s="46" t="str">
        <f t="shared" si="941"/>
        <v/>
      </c>
      <c r="W2211" s="46" t="str">
        <f t="shared" si="941"/>
        <v/>
      </c>
      <c r="X2211" s="46" t="str">
        <f t="shared" si="941"/>
        <v/>
      </c>
    </row>
    <row r="2212" spans="2:24" x14ac:dyDescent="0.25">
      <c r="B2212" s="11" t="str">
        <f t="shared" ref="B2212:B2225" si="979">CONCATENATE("KNGA","-",LEFT(P2212,2),UPPER(MID(P2212,4,3)),RIGHT(P2212,4))</f>
        <v>KNGA-05JAN1921</v>
      </c>
      <c r="C2212" s="11" t="s">
        <v>2990</v>
      </c>
      <c r="D2212" s="11" t="s">
        <v>847</v>
      </c>
      <c r="E2212" s="39" t="s">
        <v>3908</v>
      </c>
      <c r="F2212" s="11" t="s">
        <v>1700</v>
      </c>
      <c r="G2212" s="39" t="s">
        <v>3628</v>
      </c>
      <c r="H2212" s="7">
        <v>0</v>
      </c>
      <c r="I2212" s="7">
        <v>27</v>
      </c>
      <c r="J2212" s="17">
        <v>175</v>
      </c>
      <c r="K2212" s="17"/>
      <c r="L2212" s="7">
        <f t="shared" ref="L2212:L2225" si="980">SUM(H2212:K2212)</f>
        <v>202</v>
      </c>
      <c r="M2212" s="8">
        <v>1</v>
      </c>
      <c r="N2212" s="8">
        <f t="shared" ref="N2212:N2225" si="981">IF(L2212&gt;0,1,"")</f>
        <v>1</v>
      </c>
      <c r="O2212" s="11" t="s">
        <v>1702</v>
      </c>
      <c r="P2212" s="16" t="str">
        <f t="shared" ref="P2212:P2225" si="982">IF(LEN(G2212)=10,CONCATENATE("0",G2212),G2212)</f>
        <v>05-Jan-1921</v>
      </c>
      <c r="R2212" s="16" t="str">
        <f t="shared" ref="R2212:S2215" si="983">IF($L2212&gt;0,"x","")</f>
        <v>x</v>
      </c>
      <c r="S2212" s="16" t="str">
        <f t="shared" si="983"/>
        <v>x</v>
      </c>
      <c r="U2212" s="46" t="str">
        <f t="shared" si="941"/>
        <v/>
      </c>
      <c r="V2212" s="46">
        <f t="shared" si="941"/>
        <v>202</v>
      </c>
      <c r="W2212" s="46" t="str">
        <f t="shared" si="941"/>
        <v/>
      </c>
      <c r="X2212" s="46" t="str">
        <f t="shared" si="941"/>
        <v/>
      </c>
    </row>
    <row r="2213" spans="2:24" x14ac:dyDescent="0.25">
      <c r="B2213" s="11" t="str">
        <f>CONCATENATE("KNGA","-",LEFT(P2213,2),UPPER(MID(P2213,4,3)),RIGHT(P2213,4))</f>
        <v>KNGA-28FEB1921</v>
      </c>
      <c r="C2213" s="11" t="s">
        <v>2990</v>
      </c>
      <c r="D2213" s="11" t="s">
        <v>847</v>
      </c>
      <c r="E2213" s="39" t="s">
        <v>1597</v>
      </c>
      <c r="F2213" s="11" t="s">
        <v>1700</v>
      </c>
      <c r="G2213" s="39" t="s">
        <v>3165</v>
      </c>
      <c r="H2213" s="7">
        <v>2</v>
      </c>
      <c r="I2213" s="7">
        <v>76</v>
      </c>
      <c r="J2213" s="17">
        <v>287</v>
      </c>
      <c r="K2213" s="17"/>
      <c r="L2213" s="7">
        <f>SUM(H2213:K2213)</f>
        <v>365</v>
      </c>
      <c r="M2213" s="8">
        <v>1</v>
      </c>
      <c r="N2213" s="8">
        <f>IF(L2213&gt;0,1,"")</f>
        <v>1</v>
      </c>
      <c r="O2213" s="11" t="s">
        <v>1702</v>
      </c>
      <c r="P2213" s="16" t="str">
        <f>IF(LEN(G2213)=10,CONCATENATE("0",G2213),G2213)</f>
        <v>28-Feb-1921</v>
      </c>
      <c r="R2213" s="16" t="str">
        <f t="shared" si="983"/>
        <v>x</v>
      </c>
      <c r="S2213" s="16" t="str">
        <f t="shared" si="983"/>
        <v>x</v>
      </c>
      <c r="U2213" s="46" t="str">
        <f t="shared" si="941"/>
        <v/>
      </c>
      <c r="V2213" s="46">
        <f t="shared" si="941"/>
        <v>365</v>
      </c>
      <c r="W2213" s="46" t="str">
        <f t="shared" si="941"/>
        <v/>
      </c>
      <c r="X2213" s="46" t="str">
        <f t="shared" si="941"/>
        <v/>
      </c>
    </row>
    <row r="2214" spans="2:24" x14ac:dyDescent="0.25">
      <c r="B2214" s="11" t="str">
        <f>CONCATENATE("KNGA","-",LEFT(P2214,2),UPPER(MID(P2214,4,3)),RIGHT(P2214,4))</f>
        <v>KNGA-02MAY1921</v>
      </c>
      <c r="C2214" s="11" t="s">
        <v>2990</v>
      </c>
      <c r="D2214" s="11" t="s">
        <v>847</v>
      </c>
      <c r="E2214" s="39" t="s">
        <v>3044</v>
      </c>
      <c r="F2214" s="11" t="s">
        <v>1700</v>
      </c>
      <c r="G2214" s="39" t="s">
        <v>3043</v>
      </c>
      <c r="H2214" s="7">
        <v>5</v>
      </c>
      <c r="I2214" s="7">
        <v>44</v>
      </c>
      <c r="J2214" s="17">
        <v>252</v>
      </c>
      <c r="K2214" s="17"/>
      <c r="L2214" s="7">
        <f>SUM(H2214:K2214)</f>
        <v>301</v>
      </c>
      <c r="M2214" s="8">
        <v>1</v>
      </c>
      <c r="N2214" s="8">
        <f>IF(L2214&gt;0,1,"")</f>
        <v>1</v>
      </c>
      <c r="O2214" s="11" t="s">
        <v>1702</v>
      </c>
      <c r="P2214" s="16" t="str">
        <f>IF(LEN(G2214)=10,CONCATENATE("0",G2214),G2214)</f>
        <v>02-May-1921</v>
      </c>
      <c r="R2214" s="16" t="str">
        <f t="shared" si="983"/>
        <v>x</v>
      </c>
      <c r="S2214" s="16" t="str">
        <f t="shared" si="983"/>
        <v>x</v>
      </c>
      <c r="U2214" s="46" t="str">
        <f t="shared" si="941"/>
        <v/>
      </c>
      <c r="V2214" s="46">
        <f t="shared" si="941"/>
        <v>301</v>
      </c>
      <c r="W2214" s="46" t="str">
        <f t="shared" si="941"/>
        <v/>
      </c>
      <c r="X2214" s="46" t="str">
        <f t="shared" si="941"/>
        <v/>
      </c>
    </row>
    <row r="2215" spans="2:24" x14ac:dyDescent="0.25">
      <c r="B2215" s="11" t="str">
        <f>CONCATENATE("KNGA","-",LEFT(P2215,2),UPPER(MID(P2215,4,3)),RIGHT(P2215,4))</f>
        <v>KNGA-02JUL1921</v>
      </c>
      <c r="C2215" s="11" t="s">
        <v>2990</v>
      </c>
      <c r="D2215" s="11" t="s">
        <v>2808</v>
      </c>
      <c r="E2215" s="39" t="s">
        <v>3893</v>
      </c>
      <c r="F2215" s="11" t="s">
        <v>1700</v>
      </c>
      <c r="G2215" s="39" t="s">
        <v>4173</v>
      </c>
      <c r="H2215" s="7">
        <v>1</v>
      </c>
      <c r="I2215" s="7">
        <v>44</v>
      </c>
      <c r="J2215" s="17">
        <v>144</v>
      </c>
      <c r="K2215" s="17"/>
      <c r="L2215" s="7">
        <f>SUM(H2215:K2215)</f>
        <v>189</v>
      </c>
      <c r="M2215" s="8">
        <v>1</v>
      </c>
      <c r="N2215" s="8">
        <f>IF(L2215&gt;0,1,"")</f>
        <v>1</v>
      </c>
      <c r="O2215" s="11" t="s">
        <v>1702</v>
      </c>
      <c r="P2215" s="16" t="str">
        <f>IF(LEN(G2215)=10,CONCATENATE("0",G2215),G2215)</f>
        <v>02-Jul-1921</v>
      </c>
      <c r="R2215" s="16" t="str">
        <f t="shared" si="983"/>
        <v>x</v>
      </c>
      <c r="S2215" s="16" t="str">
        <f t="shared" si="983"/>
        <v>x</v>
      </c>
      <c r="U2215" s="46" t="str">
        <f t="shared" si="941"/>
        <v/>
      </c>
      <c r="V2215" s="46">
        <f t="shared" si="941"/>
        <v>189</v>
      </c>
      <c r="W2215" s="46" t="str">
        <f t="shared" si="941"/>
        <v/>
      </c>
      <c r="X2215" s="46" t="str">
        <f t="shared" si="941"/>
        <v/>
      </c>
    </row>
    <row r="2216" spans="2:24" x14ac:dyDescent="0.25">
      <c r="B2216" s="11" t="str">
        <f t="shared" si="979"/>
        <v>KNGA-01SEP1921</v>
      </c>
      <c r="C2216" s="11" t="s">
        <v>2990</v>
      </c>
      <c r="D2216" s="11" t="s">
        <v>2808</v>
      </c>
      <c r="E2216" s="39" t="s">
        <v>3013</v>
      </c>
      <c r="F2216" s="11" t="s">
        <v>1700</v>
      </c>
      <c r="G2216" s="39" t="s">
        <v>1134</v>
      </c>
      <c r="H2216" s="7">
        <v>3</v>
      </c>
      <c r="I2216" s="7">
        <v>38</v>
      </c>
      <c r="J2216" s="17">
        <f>126+4</f>
        <v>130</v>
      </c>
      <c r="K2216" s="17"/>
      <c r="L2216" s="7">
        <f t="shared" si="980"/>
        <v>171</v>
      </c>
      <c r="M2216" s="8">
        <v>1</v>
      </c>
      <c r="N2216" s="8">
        <f t="shared" si="981"/>
        <v>1</v>
      </c>
      <c r="O2216" s="11" t="s">
        <v>1702</v>
      </c>
      <c r="P2216" s="16" t="str">
        <f t="shared" si="982"/>
        <v>01-Sep-1921</v>
      </c>
      <c r="R2216" s="16" t="str">
        <f t="shared" ref="R2216:S2230" si="984">IF($L2216&gt;0,"x","")</f>
        <v>x</v>
      </c>
      <c r="S2216" s="16" t="str">
        <f t="shared" si="984"/>
        <v>x</v>
      </c>
      <c r="U2216" s="46" t="str">
        <f t="shared" si="941"/>
        <v/>
      </c>
      <c r="V2216" s="46">
        <f t="shared" si="941"/>
        <v>171</v>
      </c>
      <c r="W2216" s="46" t="str">
        <f t="shared" si="941"/>
        <v/>
      </c>
      <c r="X2216" s="46" t="str">
        <f t="shared" si="941"/>
        <v/>
      </c>
    </row>
    <row r="2217" spans="2:24" x14ac:dyDescent="0.25">
      <c r="B2217" s="11" t="str">
        <f>CONCATENATE("KNGA","-",LEFT(P2217,2),UPPER(MID(P2217,4,3)),RIGHT(P2217,4))</f>
        <v>KNGA-01SEP1921</v>
      </c>
      <c r="C2217" s="11" t="s">
        <v>2990</v>
      </c>
      <c r="D2217" s="11" t="s">
        <v>847</v>
      </c>
      <c r="E2217" s="39" t="s">
        <v>3014</v>
      </c>
      <c r="F2217" s="11" t="s">
        <v>1700</v>
      </c>
      <c r="G2217" s="39" t="s">
        <v>1134</v>
      </c>
      <c r="H2217" s="7">
        <v>0</v>
      </c>
      <c r="I2217" s="7">
        <v>23</v>
      </c>
      <c r="J2217" s="17">
        <v>21</v>
      </c>
      <c r="K2217" s="17"/>
      <c r="L2217" s="7">
        <f>SUM(H2217:K2217)</f>
        <v>44</v>
      </c>
      <c r="M2217" s="8">
        <v>1</v>
      </c>
      <c r="N2217" s="8">
        <f>IF(L2217&gt;0,1,"")</f>
        <v>1</v>
      </c>
      <c r="O2217" s="11" t="s">
        <v>1702</v>
      </c>
      <c r="P2217" s="16" t="str">
        <f>IF(LEN(G2217)=10,CONCATENATE("0",G2217),G2217)</f>
        <v>01-Sep-1921</v>
      </c>
      <c r="R2217" s="16" t="str">
        <f t="shared" si="984"/>
        <v>x</v>
      </c>
      <c r="S2217" s="16" t="str">
        <f t="shared" si="984"/>
        <v>x</v>
      </c>
      <c r="U2217" s="46" t="str">
        <f t="shared" si="941"/>
        <v/>
      </c>
      <c r="V2217" s="46">
        <f t="shared" si="941"/>
        <v>44</v>
      </c>
      <c r="W2217" s="46" t="str">
        <f t="shared" si="941"/>
        <v/>
      </c>
      <c r="X2217" s="46" t="str">
        <f t="shared" si="941"/>
        <v/>
      </c>
    </row>
    <row r="2218" spans="2:24" x14ac:dyDescent="0.25">
      <c r="B2218" s="11" t="str">
        <f>CONCATENATE("KNGA","-",LEFT(P2218,2),UPPER(MID(P2218,4,3)),RIGHT(P2218,4))</f>
        <v>KNGA-04NOV1921</v>
      </c>
      <c r="C2218" s="11" t="s">
        <v>2990</v>
      </c>
      <c r="D2218" s="11" t="s">
        <v>2808</v>
      </c>
      <c r="E2218" s="39" t="s">
        <v>4625</v>
      </c>
      <c r="F2218" s="11" t="s">
        <v>1700</v>
      </c>
      <c r="G2218" s="39" t="s">
        <v>4260</v>
      </c>
      <c r="H2218" s="7">
        <v>0</v>
      </c>
      <c r="I2218" s="7">
        <f>31+5</f>
        <v>36</v>
      </c>
      <c r="J2218" s="17">
        <v>42</v>
      </c>
      <c r="K2218" s="17"/>
      <c r="L2218" s="7">
        <f>SUM(H2218:K2218)</f>
        <v>78</v>
      </c>
      <c r="M2218" s="8">
        <v>1</v>
      </c>
      <c r="N2218" s="8">
        <f>IF(L2218&gt;0,1,"")</f>
        <v>1</v>
      </c>
      <c r="O2218" s="11" t="s">
        <v>1702</v>
      </c>
      <c r="P2218" s="16" t="str">
        <f>IF(LEN(G2218)=10,CONCATENATE("0",G2218),G2218)</f>
        <v>04-Nov-1921</v>
      </c>
      <c r="R2218" s="16" t="str">
        <f t="shared" si="984"/>
        <v>x</v>
      </c>
      <c r="S2218" s="16" t="str">
        <f t="shared" si="984"/>
        <v>x</v>
      </c>
      <c r="U2218" s="46" t="str">
        <f>IF($O2218=U$5,$L2218,"")</f>
        <v/>
      </c>
      <c r="V2218" s="46">
        <f>IF($O2218=V$5,$L2218,"")</f>
        <v>78</v>
      </c>
      <c r="W2218" s="46" t="str">
        <f>IF($O2218=W$5,$L2218,"")</f>
        <v/>
      </c>
      <c r="X2218" s="46" t="str">
        <f>IF($O2218=X$5,$L2218,"")</f>
        <v/>
      </c>
    </row>
    <row r="2219" spans="2:24" x14ac:dyDescent="0.25">
      <c r="B2219" s="11" t="str">
        <f t="shared" si="979"/>
        <v>KNGA-04NOV1921</v>
      </c>
      <c r="C2219" s="11" t="s">
        <v>2990</v>
      </c>
      <c r="D2219" s="11" t="s">
        <v>847</v>
      </c>
      <c r="E2219" s="39" t="s">
        <v>4459</v>
      </c>
      <c r="F2219" s="11" t="s">
        <v>1700</v>
      </c>
      <c r="G2219" s="39" t="s">
        <v>4260</v>
      </c>
      <c r="H2219" s="7">
        <v>4</v>
      </c>
      <c r="I2219" s="7">
        <v>8</v>
      </c>
      <c r="J2219" s="17">
        <v>0</v>
      </c>
      <c r="K2219" s="17"/>
      <c r="L2219" s="7">
        <f t="shared" si="980"/>
        <v>12</v>
      </c>
      <c r="M2219" s="8">
        <v>1</v>
      </c>
      <c r="N2219" s="8">
        <f t="shared" si="981"/>
        <v>1</v>
      </c>
      <c r="O2219" s="11" t="s">
        <v>1702</v>
      </c>
      <c r="P2219" s="16" t="str">
        <f t="shared" si="982"/>
        <v>04-Nov-1921</v>
      </c>
      <c r="R2219" s="16" t="str">
        <f t="shared" si="984"/>
        <v>x</v>
      </c>
      <c r="S2219" s="16" t="str">
        <f t="shared" si="984"/>
        <v>x</v>
      </c>
      <c r="U2219" s="46" t="str">
        <f t="shared" si="941"/>
        <v/>
      </c>
      <c r="V2219" s="46">
        <f t="shared" si="941"/>
        <v>12</v>
      </c>
      <c r="W2219" s="46" t="str">
        <f t="shared" si="941"/>
        <v/>
      </c>
      <c r="X2219" s="46" t="str">
        <f t="shared" si="941"/>
        <v/>
      </c>
    </row>
    <row r="2220" spans="2:24" x14ac:dyDescent="0.25">
      <c r="B2220" s="11" t="str">
        <f t="shared" si="979"/>
        <v>KNGA-20JAN1922</v>
      </c>
      <c r="C2220" s="11" t="s">
        <v>2990</v>
      </c>
      <c r="D2220" s="11" t="s">
        <v>2808</v>
      </c>
      <c r="E2220" s="39" t="s">
        <v>4213</v>
      </c>
      <c r="F2220" s="11" t="s">
        <v>1700</v>
      </c>
      <c r="G2220" s="39" t="s">
        <v>4214</v>
      </c>
      <c r="H2220" s="7">
        <v>0</v>
      </c>
      <c r="I2220" s="7">
        <v>0</v>
      </c>
      <c r="J2220" s="17">
        <f>4+1</f>
        <v>5</v>
      </c>
      <c r="K2220" s="17"/>
      <c r="L2220" s="7">
        <f t="shared" si="980"/>
        <v>5</v>
      </c>
      <c r="M2220" s="8">
        <v>1</v>
      </c>
      <c r="N2220" s="8">
        <f t="shared" si="981"/>
        <v>1</v>
      </c>
      <c r="O2220" s="11" t="s">
        <v>1702</v>
      </c>
      <c r="P2220" s="16" t="str">
        <f t="shared" si="982"/>
        <v>20-Jan-1922</v>
      </c>
      <c r="R2220" s="16" t="str">
        <f t="shared" si="984"/>
        <v>x</v>
      </c>
      <c r="S2220" s="16" t="str">
        <f t="shared" si="984"/>
        <v>x</v>
      </c>
      <c r="U2220" s="46" t="str">
        <f t="shared" si="941"/>
        <v/>
      </c>
      <c r="V2220" s="46">
        <f t="shared" si="941"/>
        <v>5</v>
      </c>
      <c r="W2220" s="46" t="str">
        <f t="shared" si="941"/>
        <v/>
      </c>
      <c r="X2220" s="46" t="str">
        <f t="shared" si="941"/>
        <v/>
      </c>
    </row>
    <row r="2221" spans="2:24" x14ac:dyDescent="0.25">
      <c r="B2221" s="11" t="str">
        <f>CONCATENATE("KNGA","-",LEFT(P2221,2),UPPER(MID(P2221,4,3)),RIGHT(P2221,4))</f>
        <v>KNGA-02JUL1922</v>
      </c>
      <c r="C2221" s="11" t="s">
        <v>2990</v>
      </c>
      <c r="D2221" s="11" t="s">
        <v>2808</v>
      </c>
      <c r="E2221" s="39" t="s">
        <v>3524</v>
      </c>
      <c r="F2221" s="11" t="s">
        <v>1700</v>
      </c>
      <c r="G2221" s="39" t="s">
        <v>3525</v>
      </c>
      <c r="H2221" s="7">
        <f>1+1</f>
        <v>2</v>
      </c>
      <c r="I2221" s="7">
        <f>38+6</f>
        <v>44</v>
      </c>
      <c r="J2221" s="17">
        <f>54+1</f>
        <v>55</v>
      </c>
      <c r="K2221" s="17"/>
      <c r="L2221" s="7">
        <f>SUM(H2221:K2221)</f>
        <v>101</v>
      </c>
      <c r="M2221" s="8">
        <v>1</v>
      </c>
      <c r="N2221" s="8">
        <f>IF(L2221&gt;0,1,"")</f>
        <v>1</v>
      </c>
      <c r="O2221" s="11" t="s">
        <v>1702</v>
      </c>
      <c r="P2221" s="16" t="str">
        <f>IF(LEN(G2221)=10,CONCATENATE("0",G2221),G2221)</f>
        <v>02-Jul-1922</v>
      </c>
      <c r="R2221" s="16" t="str">
        <f t="shared" si="984"/>
        <v>x</v>
      </c>
      <c r="S2221" s="16" t="str">
        <f t="shared" si="984"/>
        <v>x</v>
      </c>
      <c r="U2221" s="46" t="str">
        <f t="shared" si="941"/>
        <v/>
      </c>
      <c r="V2221" s="46">
        <f t="shared" si="941"/>
        <v>101</v>
      </c>
      <c r="W2221" s="46" t="str">
        <f t="shared" si="941"/>
        <v/>
      </c>
      <c r="X2221" s="46" t="str">
        <f t="shared" si="941"/>
        <v/>
      </c>
    </row>
    <row r="2222" spans="2:24" x14ac:dyDescent="0.25">
      <c r="B2222" s="11" t="str">
        <f>CONCATENATE("KNGA","-",LEFT(P2222,2),UPPER(MID(P2222,4,3)),RIGHT(P2222,4))</f>
        <v>KNGA-01SEP1922</v>
      </c>
      <c r="C2222" s="11" t="s">
        <v>2990</v>
      </c>
      <c r="D2222" s="11" t="s">
        <v>2808</v>
      </c>
      <c r="E2222" s="39" t="s">
        <v>4222</v>
      </c>
      <c r="F2222" s="11" t="s">
        <v>1700</v>
      </c>
      <c r="G2222" s="39" t="s">
        <v>2079</v>
      </c>
      <c r="H2222" s="7">
        <f>0+1</f>
        <v>1</v>
      </c>
      <c r="I2222" s="7">
        <f>75+4</f>
        <v>79</v>
      </c>
      <c r="J2222" s="17">
        <f>56+6</f>
        <v>62</v>
      </c>
      <c r="K2222" s="17"/>
      <c r="L2222" s="7">
        <f>SUM(H2222:K2222)</f>
        <v>142</v>
      </c>
      <c r="M2222" s="8">
        <v>1</v>
      </c>
      <c r="N2222" s="8">
        <f>IF(L2222&gt;0,1,"")</f>
        <v>1</v>
      </c>
      <c r="O2222" s="11" t="s">
        <v>1702</v>
      </c>
      <c r="P2222" s="16" t="str">
        <f>IF(LEN(G2222)=10,CONCATENATE("0",G2222),G2222)</f>
        <v>01-Sep-1922</v>
      </c>
      <c r="R2222" s="16" t="str">
        <f t="shared" si="984"/>
        <v>x</v>
      </c>
      <c r="S2222" s="16" t="str">
        <f t="shared" si="984"/>
        <v>x</v>
      </c>
      <c r="U2222" s="46" t="str">
        <f t="shared" si="941"/>
        <v/>
      </c>
      <c r="V2222" s="46">
        <f t="shared" si="941"/>
        <v>142</v>
      </c>
      <c r="W2222" s="46" t="str">
        <f t="shared" si="941"/>
        <v/>
      </c>
      <c r="X2222" s="46" t="str">
        <f t="shared" si="941"/>
        <v/>
      </c>
    </row>
    <row r="2223" spans="2:24" x14ac:dyDescent="0.25">
      <c r="B2223" s="11" t="str">
        <f t="shared" si="979"/>
        <v>KNGA-01NOV1922</v>
      </c>
      <c r="C2223" s="11" t="s">
        <v>2990</v>
      </c>
      <c r="D2223" s="11" t="s">
        <v>2808</v>
      </c>
      <c r="E2223" s="39" t="s">
        <v>3033</v>
      </c>
      <c r="F2223" s="11" t="s">
        <v>1700</v>
      </c>
      <c r="G2223" s="39" t="s">
        <v>3034</v>
      </c>
      <c r="H2223" s="7">
        <v>11</v>
      </c>
      <c r="I2223" s="7">
        <v>87</v>
      </c>
      <c r="J2223" s="17">
        <f>107+11</f>
        <v>118</v>
      </c>
      <c r="K2223" s="17"/>
      <c r="L2223" s="7">
        <f t="shared" si="980"/>
        <v>216</v>
      </c>
      <c r="M2223" s="8">
        <v>1</v>
      </c>
      <c r="N2223" s="8">
        <f t="shared" si="981"/>
        <v>1</v>
      </c>
      <c r="O2223" s="11" t="s">
        <v>1702</v>
      </c>
      <c r="P2223" s="16" t="str">
        <f t="shared" si="982"/>
        <v>01-Nov-1922</v>
      </c>
      <c r="R2223" s="16" t="str">
        <f t="shared" si="984"/>
        <v>x</v>
      </c>
      <c r="S2223" s="16" t="str">
        <f t="shared" si="984"/>
        <v>x</v>
      </c>
      <c r="U2223" s="46" t="str">
        <f t="shared" si="941"/>
        <v/>
      </c>
      <c r="V2223" s="46">
        <f t="shared" si="941"/>
        <v>216</v>
      </c>
      <c r="W2223" s="46" t="str">
        <f t="shared" si="941"/>
        <v/>
      </c>
      <c r="X2223" s="46" t="str">
        <f t="shared" si="941"/>
        <v/>
      </c>
    </row>
    <row r="2224" spans="2:24" x14ac:dyDescent="0.25">
      <c r="B2224" s="11" t="str">
        <f t="shared" si="979"/>
        <v>KNGA-01NOV1922</v>
      </c>
      <c r="C2224" s="11" t="s">
        <v>2990</v>
      </c>
      <c r="D2224" s="11" t="s">
        <v>847</v>
      </c>
      <c r="E2224" s="39" t="s">
        <v>3035</v>
      </c>
      <c r="F2224" s="11" t="s">
        <v>1700</v>
      </c>
      <c r="G2224" s="39" t="s">
        <v>3034</v>
      </c>
      <c r="H2224" s="7">
        <v>0</v>
      </c>
      <c r="I2224" s="7">
        <v>7</v>
      </c>
      <c r="J2224" s="17">
        <f>116+2</f>
        <v>118</v>
      </c>
      <c r="K2224" s="17"/>
      <c r="L2224" s="7">
        <f t="shared" si="980"/>
        <v>125</v>
      </c>
      <c r="M2224" s="8">
        <v>1</v>
      </c>
      <c r="N2224" s="8">
        <f t="shared" si="981"/>
        <v>1</v>
      </c>
      <c r="O2224" s="11" t="s">
        <v>1702</v>
      </c>
      <c r="P2224" s="16" t="str">
        <f t="shared" si="982"/>
        <v>01-Nov-1922</v>
      </c>
      <c r="R2224" s="16" t="str">
        <f t="shared" si="984"/>
        <v>x</v>
      </c>
      <c r="S2224" s="16" t="str">
        <f t="shared" si="984"/>
        <v>x</v>
      </c>
      <c r="U2224" s="46" t="str">
        <f t="shared" si="941"/>
        <v/>
      </c>
      <c r="V2224" s="46">
        <f t="shared" si="941"/>
        <v>125</v>
      </c>
      <c r="W2224" s="46" t="str">
        <f t="shared" si="941"/>
        <v/>
      </c>
      <c r="X2224" s="46" t="str">
        <f t="shared" si="941"/>
        <v/>
      </c>
    </row>
    <row r="2225" spans="2:24" x14ac:dyDescent="0.25">
      <c r="B2225" s="11" t="str">
        <f t="shared" si="979"/>
        <v>KNGA-08JAN1923</v>
      </c>
      <c r="C2225" s="11" t="s">
        <v>2990</v>
      </c>
      <c r="D2225" s="11" t="s">
        <v>2808</v>
      </c>
      <c r="E2225" s="39" t="s">
        <v>2838</v>
      </c>
      <c r="F2225" s="11" t="s">
        <v>1700</v>
      </c>
      <c r="G2225" s="39" t="s">
        <v>2974</v>
      </c>
      <c r="H2225" s="7">
        <v>0</v>
      </c>
      <c r="I2225" s="7">
        <v>28</v>
      </c>
      <c r="J2225" s="17">
        <v>41</v>
      </c>
      <c r="K2225" s="17"/>
      <c r="L2225" s="7">
        <f t="shared" si="980"/>
        <v>69</v>
      </c>
      <c r="M2225" s="8">
        <v>1</v>
      </c>
      <c r="N2225" s="8">
        <f t="shared" si="981"/>
        <v>1</v>
      </c>
      <c r="O2225" s="11" t="s">
        <v>1702</v>
      </c>
      <c r="P2225" s="16" t="str">
        <f t="shared" si="982"/>
        <v>08-Jan-1923</v>
      </c>
      <c r="R2225" s="16" t="str">
        <f t="shared" si="984"/>
        <v>x</v>
      </c>
      <c r="S2225" s="16" t="str">
        <f t="shared" si="984"/>
        <v>x</v>
      </c>
      <c r="U2225" s="46" t="str">
        <f t="shared" si="941"/>
        <v/>
      </c>
      <c r="V2225" s="46">
        <f t="shared" si="941"/>
        <v>69</v>
      </c>
      <c r="W2225" s="46" t="str">
        <f t="shared" si="941"/>
        <v/>
      </c>
      <c r="X2225" s="46" t="str">
        <f t="shared" si="941"/>
        <v/>
      </c>
    </row>
    <row r="2226" spans="2:24" x14ac:dyDescent="0.25">
      <c r="B2226" s="11" t="str">
        <f>CONCATENATE("KNGA","-",LEFT(P2226,2),UPPER(MID(P2226,4,3)),RIGHT(P2226,4))</f>
        <v>KNGA-08JAN1923</v>
      </c>
      <c r="C2226" s="11" t="s">
        <v>2990</v>
      </c>
      <c r="D2226" s="11" t="s">
        <v>847</v>
      </c>
      <c r="E2226" s="39" t="s">
        <v>2992</v>
      </c>
      <c r="F2226" s="11" t="s">
        <v>1700</v>
      </c>
      <c r="G2226" s="39" t="s">
        <v>2974</v>
      </c>
      <c r="H2226" s="7">
        <v>0</v>
      </c>
      <c r="I2226" s="7">
        <v>4</v>
      </c>
      <c r="J2226" s="17">
        <v>1</v>
      </c>
      <c r="K2226" s="17"/>
      <c r="L2226" s="7">
        <f>SUM(H2226:K2226)</f>
        <v>5</v>
      </c>
      <c r="M2226" s="8">
        <v>1</v>
      </c>
      <c r="N2226" s="8">
        <f>IF(L2226&gt;0,1,"")</f>
        <v>1</v>
      </c>
      <c r="O2226" s="11" t="s">
        <v>1702</v>
      </c>
      <c r="P2226" s="16" t="str">
        <f>IF(LEN(G2226)=10,CONCATENATE("0",G2226),G2226)</f>
        <v>08-Jan-1923</v>
      </c>
      <c r="R2226" s="16" t="str">
        <f t="shared" si="984"/>
        <v>x</v>
      </c>
      <c r="S2226" s="16" t="str">
        <f t="shared" si="984"/>
        <v>x</v>
      </c>
      <c r="U2226" s="46" t="str">
        <f t="shared" si="941"/>
        <v/>
      </c>
      <c r="V2226" s="46">
        <f t="shared" si="941"/>
        <v>5</v>
      </c>
      <c r="W2226" s="46" t="str">
        <f t="shared" si="941"/>
        <v/>
      </c>
      <c r="X2226" s="46" t="str">
        <f t="shared" si="941"/>
        <v/>
      </c>
    </row>
    <row r="2227" spans="2:24" x14ac:dyDescent="0.25">
      <c r="B2227" s="11" t="str">
        <f>CONCATENATE("KNGA","-",LEFT(P2227,2),UPPER(MID(P2227,4,3)),RIGHT(P2227,4))</f>
        <v>KNGA-08JAN1923</v>
      </c>
      <c r="C2227" s="11" t="s">
        <v>2990</v>
      </c>
      <c r="D2227" s="11" t="s">
        <v>1906</v>
      </c>
      <c r="E2227" s="39" t="s">
        <v>2991</v>
      </c>
      <c r="F2227" s="11" t="s">
        <v>1700</v>
      </c>
      <c r="G2227" s="39" t="s">
        <v>2974</v>
      </c>
      <c r="H2227" s="7">
        <v>0</v>
      </c>
      <c r="I2227" s="7">
        <v>0</v>
      </c>
      <c r="J2227" s="17">
        <v>0</v>
      </c>
      <c r="K2227" s="17"/>
      <c r="L2227" s="7">
        <f>SUM(H2227:K2227)</f>
        <v>0</v>
      </c>
      <c r="M2227" s="8">
        <v>1</v>
      </c>
      <c r="N2227" s="8" t="str">
        <f>IF(L2227&gt;0,1,"")</f>
        <v/>
      </c>
      <c r="O2227" s="11" t="s">
        <v>1702</v>
      </c>
      <c r="P2227" s="16" t="str">
        <f>IF(LEN(G2227)=10,CONCATENATE("0",G2227),G2227)</f>
        <v>08-Jan-1923</v>
      </c>
      <c r="R2227" s="16" t="str">
        <f t="shared" si="984"/>
        <v/>
      </c>
      <c r="S2227" s="16" t="str">
        <f t="shared" si="984"/>
        <v/>
      </c>
      <c r="U2227" s="46" t="str">
        <f t="shared" si="941"/>
        <v/>
      </c>
      <c r="V2227" s="46">
        <f t="shared" si="941"/>
        <v>0</v>
      </c>
      <c r="W2227" s="46" t="str">
        <f t="shared" si="941"/>
        <v/>
      </c>
      <c r="X2227" s="46" t="str">
        <f t="shared" si="941"/>
        <v/>
      </c>
    </row>
    <row r="2228" spans="2:24" x14ac:dyDescent="0.25">
      <c r="B2228" s="11" t="str">
        <f>CONCATENATE("KNGA","-",LEFT(P2228,2),UPPER(MID(P2228,4,3)),RIGHT(P2228,4))</f>
        <v>KNGA-01JUL1923</v>
      </c>
      <c r="C2228" s="11" t="s">
        <v>2990</v>
      </c>
      <c r="D2228" s="11" t="s">
        <v>2808</v>
      </c>
      <c r="E2228" s="39" t="s">
        <v>2885</v>
      </c>
      <c r="F2228" s="11" t="s">
        <v>1700</v>
      </c>
      <c r="G2228" s="39" t="s">
        <v>3130</v>
      </c>
      <c r="H2228" s="7">
        <v>1</v>
      </c>
      <c r="I2228" s="7">
        <f>15+3</f>
        <v>18</v>
      </c>
      <c r="J2228" s="17">
        <f>31+4</f>
        <v>35</v>
      </c>
      <c r="K2228" s="17"/>
      <c r="L2228" s="7">
        <f>SUM(H2228:K2228)</f>
        <v>54</v>
      </c>
      <c r="M2228" s="8">
        <v>1</v>
      </c>
      <c r="N2228" s="8">
        <f>IF(L2228&gt;0,1,"")</f>
        <v>1</v>
      </c>
      <c r="O2228" s="11" t="s">
        <v>1702</v>
      </c>
      <c r="P2228" s="16" t="str">
        <f>IF(LEN(G2228)=10,CONCATENATE("0",G2228),G2228)</f>
        <v>01-Jul-1923</v>
      </c>
      <c r="R2228" s="16" t="str">
        <f t="shared" si="984"/>
        <v>x</v>
      </c>
      <c r="S2228" s="16" t="str">
        <f t="shared" si="984"/>
        <v>x</v>
      </c>
      <c r="U2228" s="46" t="str">
        <f t="shared" si="941"/>
        <v/>
      </c>
      <c r="V2228" s="46">
        <f t="shared" si="941"/>
        <v>54</v>
      </c>
      <c r="W2228" s="46" t="str">
        <f t="shared" si="941"/>
        <v/>
      </c>
      <c r="X2228" s="46" t="str">
        <f t="shared" si="941"/>
        <v/>
      </c>
    </row>
    <row r="2229" spans="2:24" x14ac:dyDescent="0.25">
      <c r="B2229" s="11" t="str">
        <f>CONCATENATE("KNGA","-",LEFT(P2229,2),UPPER(MID(P2229,4,3)),RIGHT(P2229,4))</f>
        <v>KNGA-01JUL1923</v>
      </c>
      <c r="C2229" s="11" t="s">
        <v>2990</v>
      </c>
      <c r="D2229" s="11" t="s">
        <v>847</v>
      </c>
      <c r="E2229" s="39" t="s">
        <v>3129</v>
      </c>
      <c r="F2229" s="11" t="s">
        <v>1700</v>
      </c>
      <c r="G2229" s="39" t="s">
        <v>3130</v>
      </c>
      <c r="H2229" s="7">
        <v>6</v>
      </c>
      <c r="I2229" s="7">
        <f>10+1</f>
        <v>11</v>
      </c>
      <c r="J2229" s="17">
        <f>81+2</f>
        <v>83</v>
      </c>
      <c r="K2229" s="17"/>
      <c r="L2229" s="7">
        <f>SUM(H2229:K2229)</f>
        <v>100</v>
      </c>
      <c r="M2229" s="8">
        <v>1</v>
      </c>
      <c r="N2229" s="8">
        <f>IF(L2229&gt;0,1,"")</f>
        <v>1</v>
      </c>
      <c r="O2229" s="11" t="s">
        <v>1702</v>
      </c>
      <c r="P2229" s="16" t="str">
        <f>IF(LEN(G2229)=10,CONCATENATE("0",G2229),G2229)</f>
        <v>01-Jul-1923</v>
      </c>
      <c r="R2229" s="16" t="str">
        <f t="shared" si="984"/>
        <v>x</v>
      </c>
      <c r="S2229" s="16" t="str">
        <f t="shared" si="984"/>
        <v>x</v>
      </c>
      <c r="U2229" s="46" t="str">
        <f t="shared" si="941"/>
        <v/>
      </c>
      <c r="V2229" s="46">
        <f t="shared" si="941"/>
        <v>100</v>
      </c>
      <c r="W2229" s="46" t="str">
        <f t="shared" si="941"/>
        <v/>
      </c>
      <c r="X2229" s="46" t="str">
        <f t="shared" si="941"/>
        <v/>
      </c>
    </row>
    <row r="2230" spans="2:24" x14ac:dyDescent="0.25">
      <c r="B2230" s="11" t="str">
        <f>CONCATENATE("KNGA","-",LEFT(P2230,2),UPPER(MID(P2230,4,3)),RIGHT(P2230,4))</f>
        <v>KNGA-01JUL1923</v>
      </c>
      <c r="C2230" s="11" t="s">
        <v>2990</v>
      </c>
      <c r="D2230" s="11" t="s">
        <v>1906</v>
      </c>
      <c r="E2230" s="39" t="s">
        <v>3881</v>
      </c>
      <c r="F2230" s="11" t="s">
        <v>1700</v>
      </c>
      <c r="G2230" s="39" t="s">
        <v>3130</v>
      </c>
      <c r="H2230" s="7">
        <v>0</v>
      </c>
      <c r="I2230" s="7">
        <v>0</v>
      </c>
      <c r="J2230" s="17">
        <v>5</v>
      </c>
      <c r="K2230" s="17"/>
      <c r="L2230" s="7">
        <f>SUM(H2230:K2230)</f>
        <v>5</v>
      </c>
      <c r="M2230" s="8">
        <v>1</v>
      </c>
      <c r="N2230" s="8">
        <f>IF(L2230&gt;0,1,"")</f>
        <v>1</v>
      </c>
      <c r="O2230" s="11" t="s">
        <v>1702</v>
      </c>
      <c r="P2230" s="16" t="str">
        <f>IF(LEN(G2230)=10,CONCATENATE("0",G2230),G2230)</f>
        <v>01-Jul-1923</v>
      </c>
      <c r="R2230" s="16" t="str">
        <f t="shared" si="984"/>
        <v>x</v>
      </c>
      <c r="S2230" s="16" t="str">
        <f t="shared" si="984"/>
        <v>x</v>
      </c>
      <c r="U2230" s="46" t="str">
        <f t="shared" si="941"/>
        <v/>
      </c>
      <c r="V2230" s="46">
        <f t="shared" si="941"/>
        <v>5</v>
      </c>
      <c r="W2230" s="46" t="str">
        <f t="shared" si="941"/>
        <v/>
      </c>
      <c r="X2230" s="46" t="str">
        <f t="shared" si="941"/>
        <v/>
      </c>
    </row>
    <row r="2231" spans="2:24" x14ac:dyDescent="0.25">
      <c r="N2231" s="8" t="str">
        <f>IF(R2231="x",1,"")</f>
        <v/>
      </c>
      <c r="U2231" s="46" t="str">
        <f t="shared" si="941"/>
        <v/>
      </c>
      <c r="V2231" s="46" t="str">
        <f t="shared" si="941"/>
        <v/>
      </c>
      <c r="W2231" s="46" t="str">
        <f t="shared" si="941"/>
        <v/>
      </c>
      <c r="X2231" s="46" t="str">
        <f t="shared" si="941"/>
        <v/>
      </c>
    </row>
    <row r="2232" spans="2:24" x14ac:dyDescent="0.25">
      <c r="B2232" s="18"/>
      <c r="C2232" s="18"/>
      <c r="D2232" s="18"/>
      <c r="E2232" s="40"/>
      <c r="F2232" s="18"/>
      <c r="G2232" s="40"/>
      <c r="H2232" s="7">
        <f t="shared" ref="H2232:N2232" si="985">SUM(H2212:H2231)</f>
        <v>36</v>
      </c>
      <c r="I2232" s="7">
        <f t="shared" si="985"/>
        <v>574</v>
      </c>
      <c r="J2232" s="7">
        <f>SUM(J2212:J2231)</f>
        <v>1574</v>
      </c>
      <c r="K2232" s="7">
        <f t="shared" si="985"/>
        <v>0</v>
      </c>
      <c r="L2232" s="7">
        <f t="shared" si="985"/>
        <v>2184</v>
      </c>
      <c r="M2232" s="7">
        <f t="shared" si="985"/>
        <v>19</v>
      </c>
      <c r="N2232" s="7">
        <f t="shared" si="985"/>
        <v>18</v>
      </c>
      <c r="O2232" s="18"/>
      <c r="P2232" s="13"/>
      <c r="Q2232" s="13"/>
      <c r="S2232" s="13"/>
      <c r="T2232" s="15"/>
      <c r="U2232" s="46" t="str">
        <f t="shared" si="941"/>
        <v/>
      </c>
      <c r="V2232" s="46" t="str">
        <f t="shared" si="941"/>
        <v/>
      </c>
      <c r="W2232" s="46" t="str">
        <f t="shared" si="941"/>
        <v/>
      </c>
      <c r="X2232" s="46" t="str">
        <f>IF($O2232=X$5,$L2232,"")</f>
        <v/>
      </c>
    </row>
    <row r="2233" spans="2:24" x14ac:dyDescent="0.25">
      <c r="B2233" s="18"/>
      <c r="C2233" s="18"/>
      <c r="D2233" s="18"/>
      <c r="E2233" s="40"/>
      <c r="F2233" s="18"/>
      <c r="G2233" s="40"/>
      <c r="N2233" s="8" t="str">
        <f>IF(R2233="x",1,"")</f>
        <v/>
      </c>
      <c r="O2233" s="18"/>
      <c r="P2233" s="13"/>
      <c r="Q2233" s="13"/>
      <c r="R2233" s="13"/>
      <c r="S2233" s="13"/>
      <c r="T2233" s="15"/>
      <c r="U2233" s="46" t="str">
        <f t="shared" ref="U2233:X2337" si="986">IF($O2233=U$5,$L2233,"")</f>
        <v/>
      </c>
      <c r="V2233" s="46" t="str">
        <f t="shared" si="986"/>
        <v/>
      </c>
      <c r="W2233" s="46" t="str">
        <f t="shared" si="986"/>
        <v/>
      </c>
      <c r="X2233" s="46" t="str">
        <f t="shared" si="986"/>
        <v/>
      </c>
    </row>
    <row r="2234" spans="2:24" x14ac:dyDescent="0.25">
      <c r="B2234" s="18"/>
      <c r="C2234" s="18"/>
      <c r="D2234" s="18"/>
      <c r="E2234" s="40"/>
      <c r="F2234" s="18"/>
      <c r="G2234" s="40"/>
      <c r="N2234" s="8" t="str">
        <f>IF(R2234="x",1,"")</f>
        <v/>
      </c>
      <c r="O2234" s="18"/>
      <c r="P2234" s="13"/>
      <c r="Q2234" s="13"/>
      <c r="R2234" s="13"/>
      <c r="S2234" s="13"/>
      <c r="T2234" s="15"/>
      <c r="U2234" s="46" t="str">
        <f t="shared" si="986"/>
        <v/>
      </c>
      <c r="V2234" s="46" t="str">
        <f t="shared" si="986"/>
        <v/>
      </c>
      <c r="W2234" s="46" t="str">
        <f t="shared" si="986"/>
        <v/>
      </c>
      <c r="X2234" s="46" t="str">
        <f t="shared" si="986"/>
        <v/>
      </c>
    </row>
    <row r="2235" spans="2:24" x14ac:dyDescent="0.25">
      <c r="B2235" s="11" t="str">
        <f>CONCATENATE("KOLN","-",LEFT(P2235,2),UPPER(MID(P2235,4,3)),RIGHT(P2235,4))</f>
        <v>KOLN-05AUG1906</v>
      </c>
      <c r="C2235" s="11" t="s">
        <v>4062</v>
      </c>
      <c r="D2235" s="11" t="s">
        <v>3359</v>
      </c>
      <c r="E2235" s="39" t="s">
        <v>5908</v>
      </c>
      <c r="F2235" s="11" t="s">
        <v>4064</v>
      </c>
      <c r="G2235" s="39" t="s">
        <v>6030</v>
      </c>
      <c r="I2235" s="7">
        <v>0</v>
      </c>
      <c r="J2235" s="17">
        <v>3</v>
      </c>
      <c r="K2235" s="17"/>
      <c r="L2235" s="7">
        <f>SUM(H2235:K2235)</f>
        <v>3</v>
      </c>
      <c r="M2235" s="8">
        <v>1</v>
      </c>
      <c r="N2235" s="8">
        <f>IF(L2235&gt;0,1,"")</f>
        <v>1</v>
      </c>
      <c r="O2235" s="11" t="s">
        <v>1702</v>
      </c>
      <c r="P2235" s="16" t="str">
        <f>IF(LEN(G2235)=10,CONCATENATE("0",G2235),G2235)</f>
        <v>05-Aug-1906</v>
      </c>
      <c r="R2235" s="16" t="str">
        <f t="shared" ref="R2235:S2237" si="987">IF($L2235&gt;0,"x","")</f>
        <v>x</v>
      </c>
      <c r="S2235" s="16" t="str">
        <f t="shared" si="987"/>
        <v>x</v>
      </c>
      <c r="U2235" s="46" t="str">
        <f t="shared" si="986"/>
        <v/>
      </c>
      <c r="V2235" s="46">
        <f t="shared" si="986"/>
        <v>3</v>
      </c>
      <c r="W2235" s="46" t="str">
        <f t="shared" si="986"/>
        <v/>
      </c>
      <c r="X2235" s="46" t="str">
        <f t="shared" si="986"/>
        <v/>
      </c>
    </row>
    <row r="2236" spans="2:24" x14ac:dyDescent="0.25">
      <c r="B2236" s="11" t="str">
        <f>CONCATENATE("KOLN","-",LEFT(P2236,2),UPPER(MID(P2236,4,3)),RIGHT(P2236,4))</f>
        <v>KOLN-27OCT1906</v>
      </c>
      <c r="C2236" s="11" t="s">
        <v>4062</v>
      </c>
      <c r="D2236" s="11" t="s">
        <v>3359</v>
      </c>
      <c r="E2236" s="39" t="s">
        <v>4063</v>
      </c>
      <c r="F2236" s="11" t="s">
        <v>4064</v>
      </c>
      <c r="G2236" s="39" t="s">
        <v>2095</v>
      </c>
      <c r="I2236" s="7">
        <v>0</v>
      </c>
      <c r="J2236" s="17">
        <v>2</v>
      </c>
      <c r="K2236" s="17"/>
      <c r="L2236" s="7">
        <f>SUM(H2236:K2236)</f>
        <v>2</v>
      </c>
      <c r="M2236" s="8">
        <v>1</v>
      </c>
      <c r="N2236" s="8">
        <f>IF(L2236&gt;0,1,"")</f>
        <v>1</v>
      </c>
      <c r="O2236" s="11" t="s">
        <v>1702</v>
      </c>
      <c r="P2236" s="16" t="str">
        <f>IF(LEN(G2236)=10,CONCATENATE("0",G2236),G2236)</f>
        <v>27-Oct-1906</v>
      </c>
      <c r="R2236" s="16" t="str">
        <f t="shared" si="987"/>
        <v>x</v>
      </c>
      <c r="S2236" s="16" t="str">
        <f t="shared" si="987"/>
        <v>x</v>
      </c>
      <c r="U2236" s="46" t="str">
        <f t="shared" ref="U2236:X2237" si="988">IF($O2236=U$5,$L2236,"")</f>
        <v/>
      </c>
      <c r="V2236" s="46">
        <f t="shared" si="988"/>
        <v>2</v>
      </c>
      <c r="W2236" s="46" t="str">
        <f t="shared" si="988"/>
        <v/>
      </c>
      <c r="X2236" s="46" t="str">
        <f t="shared" si="988"/>
        <v/>
      </c>
    </row>
    <row r="2237" spans="2:24" x14ac:dyDescent="0.25">
      <c r="B2237" s="11" t="str">
        <f>CONCATENATE("KOLN","-",LEFT(P2237,2),UPPER(MID(P2237,4,3)),RIGHT(P2237,4))</f>
        <v>KOLN-28SEP1910</v>
      </c>
      <c r="C2237" s="11" t="s">
        <v>4062</v>
      </c>
      <c r="D2237" s="11" t="s">
        <v>3359</v>
      </c>
      <c r="E2237" s="39" t="s">
        <v>4803</v>
      </c>
      <c r="F2237" s="11" t="s">
        <v>4064</v>
      </c>
      <c r="G2237" s="39" t="s">
        <v>4804</v>
      </c>
      <c r="I2237" s="7">
        <v>0</v>
      </c>
      <c r="J2237" s="17">
        <v>4</v>
      </c>
      <c r="K2237" s="17"/>
      <c r="L2237" s="7">
        <f>SUM(H2237:K2237)</f>
        <v>4</v>
      </c>
      <c r="M2237" s="8">
        <v>1</v>
      </c>
      <c r="N2237" s="8">
        <f>IF(L2237&gt;0,1,"")</f>
        <v>1</v>
      </c>
      <c r="O2237" s="11" t="s">
        <v>1702</v>
      </c>
      <c r="P2237" s="16" t="str">
        <f>IF(LEN(G2237)=10,CONCATENATE("0",G2237),G2237)</f>
        <v>28-Sep-1910</v>
      </c>
      <c r="R2237" s="16" t="str">
        <f t="shared" si="987"/>
        <v>x</v>
      </c>
      <c r="S2237" s="16" t="str">
        <f t="shared" si="987"/>
        <v>x</v>
      </c>
      <c r="U2237" s="46" t="str">
        <f t="shared" si="988"/>
        <v/>
      </c>
      <c r="V2237" s="46">
        <f t="shared" si="988"/>
        <v>4</v>
      </c>
      <c r="W2237" s="46" t="str">
        <f t="shared" si="988"/>
        <v/>
      </c>
      <c r="X2237" s="46" t="str">
        <f t="shared" si="988"/>
        <v/>
      </c>
    </row>
    <row r="2238" spans="2:24" x14ac:dyDescent="0.25">
      <c r="N2238" s="8" t="str">
        <f>IF(R2238="x",1,"")</f>
        <v/>
      </c>
      <c r="U2238" s="46" t="str">
        <f t="shared" si="986"/>
        <v/>
      </c>
      <c r="V2238" s="46" t="str">
        <f t="shared" si="986"/>
        <v/>
      </c>
      <c r="W2238" s="46" t="str">
        <f t="shared" si="986"/>
        <v/>
      </c>
      <c r="X2238" s="46" t="str">
        <f t="shared" si="986"/>
        <v/>
      </c>
    </row>
    <row r="2239" spans="2:24" x14ac:dyDescent="0.25">
      <c r="B2239" s="18"/>
      <c r="C2239" s="18"/>
      <c r="D2239" s="18"/>
      <c r="E2239" s="40"/>
      <c r="F2239" s="18"/>
      <c r="G2239" s="40"/>
      <c r="H2239" s="7">
        <f t="shared" ref="H2239:N2239" si="989">SUM(H2235:H2238)</f>
        <v>0</v>
      </c>
      <c r="I2239" s="7">
        <f t="shared" si="989"/>
        <v>0</v>
      </c>
      <c r="J2239" s="7">
        <f>SUM(J2235:J2238)</f>
        <v>9</v>
      </c>
      <c r="K2239" s="7">
        <f t="shared" si="989"/>
        <v>0</v>
      </c>
      <c r="L2239" s="7">
        <f t="shared" si="989"/>
        <v>9</v>
      </c>
      <c r="M2239" s="7">
        <f t="shared" si="989"/>
        <v>3</v>
      </c>
      <c r="N2239" s="7">
        <f t="shared" si="989"/>
        <v>3</v>
      </c>
      <c r="O2239" s="18"/>
      <c r="P2239" s="13"/>
      <c r="Q2239" s="13"/>
      <c r="S2239" s="13"/>
      <c r="T2239" s="15"/>
      <c r="U2239" s="46" t="str">
        <f t="shared" si="986"/>
        <v/>
      </c>
      <c r="V2239" s="46" t="str">
        <f t="shared" si="986"/>
        <v/>
      </c>
      <c r="W2239" s="46" t="str">
        <f t="shared" si="986"/>
        <v/>
      </c>
      <c r="X2239" s="46" t="str">
        <f t="shared" si="986"/>
        <v/>
      </c>
    </row>
    <row r="2240" spans="2:24" x14ac:dyDescent="0.25">
      <c r="B2240" s="18"/>
      <c r="C2240" s="18"/>
      <c r="D2240" s="18"/>
      <c r="E2240" s="40"/>
      <c r="F2240" s="18"/>
      <c r="G2240" s="40"/>
      <c r="N2240" s="8" t="str">
        <f>IF(R2240="x",1,"")</f>
        <v/>
      </c>
      <c r="O2240" s="18"/>
      <c r="P2240" s="13"/>
      <c r="Q2240" s="13"/>
      <c r="R2240" s="13"/>
      <c r="S2240" s="13"/>
      <c r="T2240" s="15"/>
      <c r="U2240" s="46" t="str">
        <f t="shared" si="986"/>
        <v/>
      </c>
      <c r="V2240" s="46" t="str">
        <f t="shared" si="986"/>
        <v/>
      </c>
      <c r="W2240" s="46" t="str">
        <f t="shared" si="986"/>
        <v/>
      </c>
      <c r="X2240" s="46" t="str">
        <f t="shared" si="986"/>
        <v/>
      </c>
    </row>
    <row r="2241" spans="2:24" x14ac:dyDescent="0.25">
      <c r="B2241" s="18"/>
      <c r="C2241" s="18"/>
      <c r="D2241" s="18"/>
      <c r="E2241" s="40"/>
      <c r="F2241" s="18"/>
      <c r="G2241" s="40"/>
      <c r="N2241" s="8" t="str">
        <f>IF(R2241="x",1,"")</f>
        <v/>
      </c>
      <c r="O2241" s="18"/>
      <c r="P2241" s="13"/>
      <c r="Q2241" s="13"/>
      <c r="R2241" s="13"/>
      <c r="S2241" s="13"/>
      <c r="T2241" s="15"/>
      <c r="U2241" s="46" t="str">
        <f t="shared" si="986"/>
        <v/>
      </c>
      <c r="V2241" s="46" t="str">
        <f t="shared" si="986"/>
        <v/>
      </c>
      <c r="W2241" s="46" t="str">
        <f t="shared" si="986"/>
        <v/>
      </c>
      <c r="X2241" s="46" t="str">
        <f t="shared" si="986"/>
        <v/>
      </c>
    </row>
    <row r="2242" spans="2:24" x14ac:dyDescent="0.25">
      <c r="B2242" s="11" t="str">
        <f t="shared" ref="B2242:B2247" si="990">CONCATENATE("KONA","-",LEFT(P2242,2),UPPER(MID(P2242,4,3)),RIGHT(P2242,4))</f>
        <v>KONA-26MAR1903</v>
      </c>
      <c r="C2242" s="11" t="s">
        <v>3665</v>
      </c>
      <c r="D2242" s="11" t="s">
        <v>2224</v>
      </c>
      <c r="E2242" s="39" t="s">
        <v>1642</v>
      </c>
      <c r="F2242" s="11" t="s">
        <v>1700</v>
      </c>
      <c r="G2242" s="39" t="s">
        <v>3666</v>
      </c>
      <c r="J2242" s="17">
        <v>4</v>
      </c>
      <c r="K2242" s="17"/>
      <c r="L2242" s="7">
        <f t="shared" ref="L2242:L2247" si="991">SUM(H2242:K2242)</f>
        <v>4</v>
      </c>
      <c r="M2242" s="8">
        <v>1</v>
      </c>
      <c r="N2242" s="8">
        <f t="shared" ref="N2242:N2247" si="992">IF(L2242&gt;0,1,"")</f>
        <v>1</v>
      </c>
      <c r="O2242" s="11" t="s">
        <v>1702</v>
      </c>
      <c r="P2242" s="16" t="str">
        <f t="shared" ref="P2242:P2247" si="993">IF(LEN(G2242)=10,CONCATENATE("0",G2242),G2242)</f>
        <v>26-Mar-1903</v>
      </c>
      <c r="R2242" s="16" t="str">
        <f t="shared" ref="R2242:S2247" si="994">IF($L2242&gt;0,"x","")</f>
        <v>x</v>
      </c>
      <c r="S2242" s="16" t="str">
        <f t="shared" si="994"/>
        <v>x</v>
      </c>
      <c r="U2242" s="46" t="str">
        <f t="shared" si="986"/>
        <v/>
      </c>
      <c r="V2242" s="46">
        <f t="shared" si="986"/>
        <v>4</v>
      </c>
      <c r="W2242" s="46" t="str">
        <f t="shared" si="986"/>
        <v/>
      </c>
      <c r="X2242" s="46" t="str">
        <f t="shared" si="986"/>
        <v/>
      </c>
    </row>
    <row r="2243" spans="2:24" x14ac:dyDescent="0.25">
      <c r="B2243" s="11" t="str">
        <f t="shared" si="990"/>
        <v>KONA-14FEB1906</v>
      </c>
      <c r="C2243" s="11" t="s">
        <v>3665</v>
      </c>
      <c r="D2243" s="11" t="s">
        <v>3007</v>
      </c>
      <c r="E2243" s="39" t="s">
        <v>4415</v>
      </c>
      <c r="F2243" s="11" t="s">
        <v>1700</v>
      </c>
      <c r="G2243" s="39" t="s">
        <v>4416</v>
      </c>
      <c r="H2243" s="7">
        <v>0</v>
      </c>
      <c r="I2243" s="7">
        <v>4</v>
      </c>
      <c r="J2243" s="17">
        <v>0</v>
      </c>
      <c r="K2243" s="17"/>
      <c r="L2243" s="7">
        <f t="shared" si="991"/>
        <v>4</v>
      </c>
      <c r="M2243" s="8">
        <v>1</v>
      </c>
      <c r="N2243" s="8">
        <f t="shared" si="992"/>
        <v>1</v>
      </c>
      <c r="O2243" s="11" t="s">
        <v>1702</v>
      </c>
      <c r="P2243" s="16" t="str">
        <f t="shared" si="993"/>
        <v>14-Feb-1906</v>
      </c>
      <c r="R2243" s="16" t="str">
        <f t="shared" si="994"/>
        <v>x</v>
      </c>
      <c r="S2243" s="16" t="str">
        <f t="shared" si="994"/>
        <v>x</v>
      </c>
      <c r="U2243" s="46" t="str">
        <f t="shared" si="986"/>
        <v/>
      </c>
      <c r="V2243" s="46">
        <f t="shared" si="986"/>
        <v>4</v>
      </c>
      <c r="W2243" s="46" t="str">
        <f t="shared" si="986"/>
        <v/>
      </c>
      <c r="X2243" s="46" t="str">
        <f t="shared" si="986"/>
        <v/>
      </c>
    </row>
    <row r="2244" spans="2:24" x14ac:dyDescent="0.25">
      <c r="B2244" s="11" t="str">
        <f t="shared" si="990"/>
        <v>KONA-09JUL1908</v>
      </c>
      <c r="C2244" s="11" t="s">
        <v>3665</v>
      </c>
      <c r="D2244" s="11" t="s">
        <v>3007</v>
      </c>
      <c r="E2244" s="39" t="s">
        <v>5788</v>
      </c>
      <c r="F2244" s="11" t="s">
        <v>1700</v>
      </c>
      <c r="G2244" s="39" t="s">
        <v>4053</v>
      </c>
      <c r="H2244" s="7">
        <v>0</v>
      </c>
      <c r="I2244" s="7">
        <v>0</v>
      </c>
      <c r="J2244" s="17">
        <v>13</v>
      </c>
      <c r="K2244" s="17"/>
      <c r="L2244" s="7">
        <f t="shared" si="991"/>
        <v>13</v>
      </c>
      <c r="M2244" s="8">
        <v>1</v>
      </c>
      <c r="N2244" s="8">
        <f t="shared" si="992"/>
        <v>1</v>
      </c>
      <c r="O2244" s="11" t="s">
        <v>1702</v>
      </c>
      <c r="P2244" s="16" t="str">
        <f t="shared" si="993"/>
        <v>09-Jul-1908</v>
      </c>
      <c r="R2244" s="16" t="str">
        <f t="shared" si="994"/>
        <v>x</v>
      </c>
      <c r="S2244" s="16" t="str">
        <f t="shared" si="994"/>
        <v>x</v>
      </c>
      <c r="U2244" s="46" t="str">
        <f t="shared" ref="U2244:X2247" si="995">IF($O2244=U$5,$L2244,"")</f>
        <v/>
      </c>
      <c r="V2244" s="46">
        <f t="shared" si="995"/>
        <v>13</v>
      </c>
      <c r="W2244" s="46" t="str">
        <f t="shared" si="995"/>
        <v/>
      </c>
      <c r="X2244" s="46" t="str">
        <f t="shared" si="995"/>
        <v/>
      </c>
    </row>
    <row r="2245" spans="2:24" x14ac:dyDescent="0.25">
      <c r="B2245" s="11" t="str">
        <f t="shared" si="990"/>
        <v>KONA-17JUN1910</v>
      </c>
      <c r="C2245" s="11" t="s">
        <v>3665</v>
      </c>
      <c r="D2245" s="11" t="s">
        <v>3217</v>
      </c>
      <c r="E2245" s="39" t="s">
        <v>5614</v>
      </c>
      <c r="F2245" s="11" t="s">
        <v>1700</v>
      </c>
      <c r="G2245" s="39" t="s">
        <v>2323</v>
      </c>
      <c r="H2245" s="7">
        <v>0</v>
      </c>
      <c r="I2245" s="7">
        <v>1</v>
      </c>
      <c r="J2245" s="17">
        <v>0</v>
      </c>
      <c r="K2245" s="17"/>
      <c r="L2245" s="7">
        <f t="shared" si="991"/>
        <v>1</v>
      </c>
      <c r="M2245" s="8">
        <v>1</v>
      </c>
      <c r="N2245" s="8">
        <f t="shared" si="992"/>
        <v>1</v>
      </c>
      <c r="O2245" s="11" t="s">
        <v>1702</v>
      </c>
      <c r="P2245" s="16" t="str">
        <f t="shared" si="993"/>
        <v>17-Jun-1910</v>
      </c>
      <c r="R2245" s="16" t="str">
        <f t="shared" si="994"/>
        <v>x</v>
      </c>
      <c r="S2245" s="16" t="str">
        <f t="shared" si="994"/>
        <v>x</v>
      </c>
      <c r="U2245" s="46" t="str">
        <f t="shared" si="995"/>
        <v/>
      </c>
      <c r="V2245" s="46">
        <f t="shared" si="995"/>
        <v>1</v>
      </c>
      <c r="W2245" s="46" t="str">
        <f t="shared" si="995"/>
        <v/>
      </c>
      <c r="X2245" s="46" t="str">
        <f t="shared" si="995"/>
        <v/>
      </c>
    </row>
    <row r="2246" spans="2:24" x14ac:dyDescent="0.25">
      <c r="B2246" s="11" t="str">
        <f t="shared" si="990"/>
        <v>KONA-17JUN1910</v>
      </c>
      <c r="C2246" s="11" t="s">
        <v>3665</v>
      </c>
      <c r="D2246" s="11" t="s">
        <v>3007</v>
      </c>
      <c r="E2246" s="39" t="s">
        <v>1250</v>
      </c>
      <c r="F2246" s="11" t="s">
        <v>1700</v>
      </c>
      <c r="G2246" s="39" t="s">
        <v>2323</v>
      </c>
      <c r="H2246" s="7">
        <v>0</v>
      </c>
      <c r="I2246" s="7">
        <v>2</v>
      </c>
      <c r="J2246" s="17">
        <v>2</v>
      </c>
      <c r="K2246" s="17"/>
      <c r="L2246" s="7">
        <f t="shared" si="991"/>
        <v>4</v>
      </c>
      <c r="M2246" s="8">
        <v>1</v>
      </c>
      <c r="N2246" s="8">
        <f t="shared" si="992"/>
        <v>1</v>
      </c>
      <c r="O2246" s="11" t="s">
        <v>1702</v>
      </c>
      <c r="P2246" s="16" t="str">
        <f t="shared" si="993"/>
        <v>17-Jun-1910</v>
      </c>
      <c r="R2246" s="16" t="str">
        <f t="shared" si="994"/>
        <v>x</v>
      </c>
      <c r="S2246" s="16" t="str">
        <f t="shared" si="994"/>
        <v>x</v>
      </c>
      <c r="U2246" s="46" t="str">
        <f t="shared" si="995"/>
        <v/>
      </c>
      <c r="V2246" s="46">
        <f t="shared" si="995"/>
        <v>4</v>
      </c>
      <c r="W2246" s="46" t="str">
        <f t="shared" si="995"/>
        <v/>
      </c>
      <c r="X2246" s="46" t="str">
        <f t="shared" si="995"/>
        <v/>
      </c>
    </row>
    <row r="2247" spans="2:24" x14ac:dyDescent="0.25">
      <c r="B2247" s="11" t="str">
        <f t="shared" si="990"/>
        <v>KONA-26FEB1914</v>
      </c>
      <c r="C2247" s="11" t="s">
        <v>3665</v>
      </c>
      <c r="D2247" s="11" t="s">
        <v>3359</v>
      </c>
      <c r="E2247" s="39" t="s">
        <v>1351</v>
      </c>
      <c r="F2247" s="11" t="s">
        <v>1700</v>
      </c>
      <c r="G2247" s="39" t="s">
        <v>2544</v>
      </c>
      <c r="I2247" s="7">
        <v>0</v>
      </c>
      <c r="J2247" s="17">
        <v>3</v>
      </c>
      <c r="K2247" s="17"/>
      <c r="L2247" s="7">
        <f t="shared" si="991"/>
        <v>3</v>
      </c>
      <c r="M2247" s="8">
        <v>1</v>
      </c>
      <c r="N2247" s="8">
        <f t="shared" si="992"/>
        <v>1</v>
      </c>
      <c r="O2247" s="11" t="s">
        <v>1702</v>
      </c>
      <c r="P2247" s="16" t="str">
        <f t="shared" si="993"/>
        <v>26-Feb-1914</v>
      </c>
      <c r="R2247" s="16" t="str">
        <f t="shared" si="994"/>
        <v>x</v>
      </c>
      <c r="S2247" s="16" t="str">
        <f t="shared" si="994"/>
        <v>x</v>
      </c>
      <c r="U2247" s="46" t="str">
        <f t="shared" si="995"/>
        <v/>
      </c>
      <c r="V2247" s="46">
        <f t="shared" si="995"/>
        <v>3</v>
      </c>
      <c r="W2247" s="46" t="str">
        <f t="shared" si="995"/>
        <v/>
      </c>
      <c r="X2247" s="46" t="str">
        <f t="shared" si="995"/>
        <v/>
      </c>
    </row>
    <row r="2248" spans="2:24" x14ac:dyDescent="0.25">
      <c r="N2248" s="8" t="str">
        <f>IF(R2248="x",1,"")</f>
        <v/>
      </c>
      <c r="U2248" s="46" t="str">
        <f t="shared" si="986"/>
        <v/>
      </c>
      <c r="V2248" s="46" t="str">
        <f t="shared" si="986"/>
        <v/>
      </c>
      <c r="W2248" s="46" t="str">
        <f t="shared" si="986"/>
        <v/>
      </c>
      <c r="X2248" s="46" t="str">
        <f t="shared" si="986"/>
        <v/>
      </c>
    </row>
    <row r="2249" spans="2:24" x14ac:dyDescent="0.25">
      <c r="B2249" s="18"/>
      <c r="C2249" s="18"/>
      <c r="D2249" s="18"/>
      <c r="E2249" s="40"/>
      <c r="F2249" s="18"/>
      <c r="G2249" s="40"/>
      <c r="H2249" s="7">
        <f t="shared" ref="H2249:N2249" si="996">SUM(H2242:H2248)</f>
        <v>0</v>
      </c>
      <c r="I2249" s="7">
        <f t="shared" si="996"/>
        <v>7</v>
      </c>
      <c r="J2249" s="7">
        <f>SUM(J2242:J2248)</f>
        <v>22</v>
      </c>
      <c r="K2249" s="7">
        <f t="shared" si="996"/>
        <v>0</v>
      </c>
      <c r="L2249" s="7">
        <f t="shared" si="996"/>
        <v>29</v>
      </c>
      <c r="M2249" s="7">
        <f t="shared" si="996"/>
        <v>6</v>
      </c>
      <c r="N2249" s="7">
        <f t="shared" si="996"/>
        <v>6</v>
      </c>
      <c r="O2249" s="18"/>
      <c r="P2249" s="13"/>
      <c r="Q2249" s="13"/>
      <c r="S2249" s="13"/>
      <c r="T2249" s="15"/>
      <c r="U2249" s="46" t="str">
        <f t="shared" si="986"/>
        <v/>
      </c>
      <c r="V2249" s="46" t="str">
        <f t="shared" si="986"/>
        <v/>
      </c>
      <c r="W2249" s="46" t="str">
        <f t="shared" si="986"/>
        <v/>
      </c>
      <c r="X2249" s="46" t="str">
        <f t="shared" si="986"/>
        <v/>
      </c>
    </row>
    <row r="2250" spans="2:24" x14ac:dyDescent="0.25">
      <c r="B2250" s="18"/>
      <c r="C2250" s="18"/>
      <c r="D2250" s="18"/>
      <c r="E2250" s="40"/>
      <c r="F2250" s="18"/>
      <c r="G2250" s="40"/>
      <c r="N2250" s="8" t="str">
        <f>IF(R2250="x",1,"")</f>
        <v/>
      </c>
      <c r="O2250" s="18"/>
      <c r="P2250" s="13"/>
      <c r="Q2250" s="13"/>
      <c r="R2250" s="13"/>
      <c r="S2250" s="13"/>
      <c r="T2250" s="15"/>
      <c r="U2250" s="46" t="str">
        <f t="shared" si="986"/>
        <v/>
      </c>
      <c r="V2250" s="46" t="str">
        <f t="shared" si="986"/>
        <v/>
      </c>
      <c r="W2250" s="46" t="str">
        <f t="shared" si="986"/>
        <v/>
      </c>
      <c r="X2250" s="46" t="str">
        <f t="shared" si="986"/>
        <v/>
      </c>
    </row>
    <row r="2251" spans="2:24" x14ac:dyDescent="0.25">
      <c r="B2251" s="18"/>
      <c r="C2251" s="18"/>
      <c r="D2251" s="18"/>
      <c r="E2251" s="40"/>
      <c r="F2251" s="18"/>
      <c r="G2251" s="40"/>
      <c r="N2251" s="8" t="str">
        <f>IF(R2251="x",1,"")</f>
        <v/>
      </c>
      <c r="O2251" s="18"/>
      <c r="P2251" s="13"/>
      <c r="Q2251" s="13"/>
      <c r="R2251" s="13"/>
      <c r="S2251" s="13"/>
      <c r="T2251" s="15"/>
      <c r="U2251" s="46" t="str">
        <f t="shared" si="986"/>
        <v/>
      </c>
      <c r="V2251" s="46" t="str">
        <f t="shared" si="986"/>
        <v/>
      </c>
      <c r="W2251" s="46" t="str">
        <f t="shared" si="986"/>
        <v/>
      </c>
      <c r="X2251" s="46" t="str">
        <f t="shared" si="986"/>
        <v/>
      </c>
    </row>
    <row r="2252" spans="2:24" x14ac:dyDescent="0.25">
      <c r="B2252" s="11" t="str">
        <f>CONCATENATE("KONL","-",LEFT(P2252,2),UPPER(MID(P2252,4,3)),RIGHT(P2252,4))</f>
        <v>KONL-02JUL1908</v>
      </c>
      <c r="C2252" s="11" t="s">
        <v>4478</v>
      </c>
      <c r="D2252" s="11" t="s">
        <v>3007</v>
      </c>
      <c r="E2252" s="39" t="s">
        <v>1213</v>
      </c>
      <c r="F2252" s="11" t="s">
        <v>1700</v>
      </c>
      <c r="G2252" s="39" t="s">
        <v>5137</v>
      </c>
      <c r="H2252" s="7">
        <v>0</v>
      </c>
      <c r="I2252" s="7">
        <v>2</v>
      </c>
      <c r="J2252" s="17">
        <v>6</v>
      </c>
      <c r="K2252" s="17"/>
      <c r="L2252" s="7">
        <f>SUM(H2252:K2252)</f>
        <v>8</v>
      </c>
      <c r="M2252" s="8">
        <v>1</v>
      </c>
      <c r="N2252" s="8">
        <f>IF(L2252&gt;0,1,"")</f>
        <v>1</v>
      </c>
      <c r="O2252" s="11" t="s">
        <v>1702</v>
      </c>
      <c r="P2252" s="16" t="str">
        <f>IF(LEN(G2252)=10,CONCATENATE("0",G2252),G2252)</f>
        <v>02-Jul-1908</v>
      </c>
      <c r="R2252" s="16" t="str">
        <f>IF($L2252&gt;0,"x","")</f>
        <v>x</v>
      </c>
      <c r="S2252" s="16" t="str">
        <f>IF($L2252&gt;0,"x","")</f>
        <v>x</v>
      </c>
      <c r="U2252" s="46" t="str">
        <f t="shared" si="986"/>
        <v/>
      </c>
      <c r="V2252" s="46">
        <f t="shared" si="986"/>
        <v>8</v>
      </c>
      <c r="W2252" s="46" t="str">
        <f t="shared" si="986"/>
        <v/>
      </c>
      <c r="X2252" s="46" t="str">
        <f t="shared" si="986"/>
        <v/>
      </c>
    </row>
    <row r="2253" spans="2:24" x14ac:dyDescent="0.25">
      <c r="B2253" s="11" t="str">
        <f>CONCATENATE("KONL","-",LEFT(P2253,2),UPPER(MID(P2253,4,3)),RIGHT(P2253,4))</f>
        <v>KONL-16SEP1908</v>
      </c>
      <c r="C2253" s="11" t="s">
        <v>4478</v>
      </c>
      <c r="D2253" s="11" t="s">
        <v>3007</v>
      </c>
      <c r="E2253" s="39" t="s">
        <v>4479</v>
      </c>
      <c r="F2253" s="11" t="s">
        <v>1700</v>
      </c>
      <c r="G2253" s="39" t="s">
        <v>3487</v>
      </c>
      <c r="H2253" s="7">
        <v>0</v>
      </c>
      <c r="I2253" s="7">
        <v>1</v>
      </c>
      <c r="J2253" s="17">
        <v>9</v>
      </c>
      <c r="K2253" s="17"/>
      <c r="L2253" s="7">
        <f>SUM(H2253:K2253)</f>
        <v>10</v>
      </c>
      <c r="M2253" s="8">
        <v>1</v>
      </c>
      <c r="N2253" s="8">
        <f>IF(L2253&gt;0,1,"")</f>
        <v>1</v>
      </c>
      <c r="O2253" s="11" t="s">
        <v>1702</v>
      </c>
      <c r="P2253" s="16" t="str">
        <f>IF(LEN(G2253)=10,CONCATENATE("0",G2253),G2253)</f>
        <v>16-Sep-1908</v>
      </c>
      <c r="R2253" s="16" t="str">
        <f>IF($L2253&gt;0,"x","")</f>
        <v>x</v>
      </c>
      <c r="S2253" s="16" t="str">
        <f>IF($L2253&gt;0,"x","")</f>
        <v>x</v>
      </c>
      <c r="U2253" s="46" t="str">
        <f>IF($O2253=U$5,$L2253,"")</f>
        <v/>
      </c>
      <c r="V2253" s="46">
        <f>IF($O2253=V$5,$L2253,"")</f>
        <v>10</v>
      </c>
      <c r="W2253" s="46" t="str">
        <f>IF($O2253=W$5,$L2253,"")</f>
        <v/>
      </c>
      <c r="X2253" s="46" t="str">
        <f>IF($O2253=X$5,$L2253,"")</f>
        <v/>
      </c>
    </row>
    <row r="2254" spans="2:24" x14ac:dyDescent="0.25">
      <c r="N2254" s="8" t="str">
        <f>IF(R2254="x",1,"")</f>
        <v/>
      </c>
      <c r="U2254" s="46" t="str">
        <f t="shared" si="986"/>
        <v/>
      </c>
      <c r="V2254" s="46" t="str">
        <f t="shared" si="986"/>
        <v/>
      </c>
      <c r="W2254" s="46" t="str">
        <f t="shared" si="986"/>
        <v/>
      </c>
      <c r="X2254" s="46" t="str">
        <f t="shared" si="986"/>
        <v/>
      </c>
    </row>
    <row r="2255" spans="2:24" x14ac:dyDescent="0.25">
      <c r="B2255" s="18"/>
      <c r="C2255" s="18"/>
      <c r="D2255" s="18"/>
      <c r="E2255" s="40"/>
      <c r="F2255" s="18"/>
      <c r="G2255" s="40"/>
      <c r="H2255" s="7">
        <f t="shared" ref="H2255:N2255" si="997">SUM(H2252:H2254)</f>
        <v>0</v>
      </c>
      <c r="I2255" s="7">
        <f t="shared" si="997"/>
        <v>3</v>
      </c>
      <c r="J2255" s="7">
        <f>SUM(J2252:J2254)</f>
        <v>15</v>
      </c>
      <c r="K2255" s="7">
        <f t="shared" si="997"/>
        <v>0</v>
      </c>
      <c r="L2255" s="7">
        <f t="shared" si="997"/>
        <v>18</v>
      </c>
      <c r="M2255" s="7">
        <f t="shared" si="997"/>
        <v>2</v>
      </c>
      <c r="N2255" s="7">
        <f t="shared" si="997"/>
        <v>2</v>
      </c>
      <c r="O2255" s="18"/>
      <c r="P2255" s="13"/>
      <c r="Q2255" s="13"/>
      <c r="S2255" s="13"/>
      <c r="T2255" s="15"/>
      <c r="U2255" s="46" t="str">
        <f t="shared" si="986"/>
        <v/>
      </c>
      <c r="V2255" s="46" t="str">
        <f t="shared" si="986"/>
        <v/>
      </c>
      <c r="W2255" s="46" t="str">
        <f t="shared" si="986"/>
        <v/>
      </c>
      <c r="X2255" s="46" t="str">
        <f t="shared" si="986"/>
        <v/>
      </c>
    </row>
    <row r="2256" spans="2:24" x14ac:dyDescent="0.25">
      <c r="B2256" s="18"/>
      <c r="C2256" s="18"/>
      <c r="D2256" s="18"/>
      <c r="E2256" s="40"/>
      <c r="F2256" s="18"/>
      <c r="G2256" s="40"/>
      <c r="N2256" s="8" t="str">
        <f>IF(R2256="x",1,"")</f>
        <v/>
      </c>
      <c r="O2256" s="18"/>
      <c r="P2256" s="13"/>
      <c r="Q2256" s="13"/>
      <c r="R2256" s="13"/>
      <c r="S2256" s="13"/>
      <c r="T2256" s="15"/>
      <c r="U2256" s="46" t="str">
        <f t="shared" si="986"/>
        <v/>
      </c>
      <c r="V2256" s="46" t="str">
        <f t="shared" si="986"/>
        <v/>
      </c>
      <c r="W2256" s="46" t="str">
        <f t="shared" si="986"/>
        <v/>
      </c>
      <c r="X2256" s="46" t="str">
        <f t="shared" si="986"/>
        <v/>
      </c>
    </row>
    <row r="2257" spans="2:24" x14ac:dyDescent="0.25">
      <c r="B2257" s="18"/>
      <c r="C2257" s="18"/>
      <c r="D2257" s="18"/>
      <c r="E2257" s="40"/>
      <c r="F2257" s="18"/>
      <c r="G2257" s="40"/>
      <c r="N2257" s="8" t="str">
        <f>IF(R2257="x",1,"")</f>
        <v/>
      </c>
      <c r="O2257" s="18"/>
      <c r="P2257" s="13"/>
      <c r="Q2257" s="13"/>
      <c r="R2257" s="13"/>
      <c r="S2257" s="13"/>
      <c r="T2257" s="15"/>
      <c r="U2257" s="46" t="str">
        <f t="shared" si="986"/>
        <v/>
      </c>
      <c r="V2257" s="46" t="str">
        <f t="shared" si="986"/>
        <v/>
      </c>
      <c r="W2257" s="46" t="str">
        <f t="shared" si="986"/>
        <v/>
      </c>
      <c r="X2257" s="46" t="str">
        <f t="shared" si="986"/>
        <v/>
      </c>
    </row>
    <row r="2258" spans="2:24" x14ac:dyDescent="0.25">
      <c r="B2258" s="11" t="str">
        <f t="shared" ref="B2258:B2267" si="998">CONCATENATE("KRMR","-",LEFT(P2258,2),UPPER(MID(P2258,4,3)),RIGHT(P2258,4))</f>
        <v>KRMR-24DEC1916</v>
      </c>
      <c r="C2258" s="11" t="s">
        <v>3078</v>
      </c>
      <c r="D2258" s="11" t="s">
        <v>2440</v>
      </c>
      <c r="E2258" s="39" t="s">
        <v>5761</v>
      </c>
      <c r="F2258" s="11" t="s">
        <v>2441</v>
      </c>
      <c r="G2258" s="39" t="s">
        <v>5762</v>
      </c>
      <c r="H2258" s="7">
        <v>0</v>
      </c>
      <c r="I2258" s="7">
        <v>0</v>
      </c>
      <c r="J2258" s="17">
        <v>3</v>
      </c>
      <c r="K2258" s="17"/>
      <c r="L2258" s="7">
        <f t="shared" ref="L2258:L2267" si="999">SUM(H2258:K2258)</f>
        <v>3</v>
      </c>
      <c r="M2258" s="8">
        <v>1</v>
      </c>
      <c r="N2258" s="8">
        <f t="shared" ref="N2258:N2267" si="1000">IF(L2258&gt;0,1,"")</f>
        <v>1</v>
      </c>
      <c r="O2258" s="11" t="s">
        <v>1702</v>
      </c>
      <c r="P2258" s="16" t="str">
        <f t="shared" ref="P2258:P2267" si="1001">IF(LEN(G2258)=10,CONCATENATE("0",G2258),G2258)</f>
        <v>24-Dec-1916</v>
      </c>
      <c r="R2258" s="16" t="str">
        <f>IF($L2258&gt;0,"x","")</f>
        <v>x</v>
      </c>
      <c r="S2258" s="16" t="str">
        <f>IF($L2258&gt;0,"x","")</f>
        <v>x</v>
      </c>
      <c r="U2258" s="46" t="str">
        <f t="shared" si="986"/>
        <v/>
      </c>
      <c r="V2258" s="46">
        <f t="shared" si="986"/>
        <v>3</v>
      </c>
      <c r="W2258" s="46" t="str">
        <f t="shared" si="986"/>
        <v/>
      </c>
      <c r="X2258" s="46" t="str">
        <f t="shared" si="986"/>
        <v/>
      </c>
    </row>
    <row r="2259" spans="2:24" x14ac:dyDescent="0.25">
      <c r="B2259" s="11" t="str">
        <f t="shared" si="998"/>
        <v>KRMR-31OCT1917</v>
      </c>
      <c r="C2259" s="11" t="s">
        <v>3078</v>
      </c>
      <c r="D2259" s="11" t="s">
        <v>2440</v>
      </c>
      <c r="E2259" s="39" t="s">
        <v>1997</v>
      </c>
      <c r="F2259" s="11" t="s">
        <v>2441</v>
      </c>
      <c r="G2259" s="39" t="s">
        <v>3079</v>
      </c>
      <c r="H2259" s="7">
        <v>0</v>
      </c>
      <c r="I2259" s="7">
        <v>0</v>
      </c>
      <c r="J2259" s="17">
        <v>5</v>
      </c>
      <c r="K2259" s="17"/>
      <c r="L2259" s="7">
        <f t="shared" si="999"/>
        <v>5</v>
      </c>
      <c r="M2259" s="8">
        <v>1</v>
      </c>
      <c r="N2259" s="8">
        <f t="shared" si="1000"/>
        <v>1</v>
      </c>
      <c r="O2259" s="11" t="s">
        <v>1702</v>
      </c>
      <c r="P2259" s="16" t="str">
        <f t="shared" si="1001"/>
        <v>31-Oct-1917</v>
      </c>
      <c r="R2259" s="16" t="str">
        <f t="shared" ref="R2259:S2267" si="1002">IF($L2259&gt;0,"x","")</f>
        <v>x</v>
      </c>
      <c r="S2259" s="16" t="str">
        <f t="shared" si="1002"/>
        <v>x</v>
      </c>
      <c r="U2259" s="46" t="str">
        <f>IF($O2259=U$5,$L2259,"")</f>
        <v/>
      </c>
      <c r="V2259" s="46">
        <f>IF($O2259=V$5,$L2259,"")</f>
        <v>5</v>
      </c>
      <c r="W2259" s="46" t="str">
        <f>IF($O2259=W$5,$L2259,"")</f>
        <v/>
      </c>
      <c r="X2259" s="46" t="str">
        <f>IF($O2259=X$5,$L2259,"")</f>
        <v/>
      </c>
    </row>
    <row r="2260" spans="2:24" x14ac:dyDescent="0.25">
      <c r="B2260" s="11" t="str">
        <f t="shared" si="998"/>
        <v>KRMR-21MAR1919</v>
      </c>
      <c r="C2260" s="11" t="s">
        <v>3078</v>
      </c>
      <c r="D2260" s="11" t="s">
        <v>2440</v>
      </c>
      <c r="E2260" s="39" t="s">
        <v>5379</v>
      </c>
      <c r="F2260" s="11" t="s">
        <v>2441</v>
      </c>
      <c r="G2260" s="39" t="s">
        <v>5380</v>
      </c>
      <c r="H2260" s="7">
        <v>0</v>
      </c>
      <c r="I2260" s="7">
        <v>0</v>
      </c>
      <c r="J2260" s="17">
        <v>2</v>
      </c>
      <c r="K2260" s="17"/>
      <c r="L2260" s="7">
        <f t="shared" si="999"/>
        <v>2</v>
      </c>
      <c r="M2260" s="8">
        <v>1</v>
      </c>
      <c r="N2260" s="8">
        <f t="shared" si="1000"/>
        <v>1</v>
      </c>
      <c r="O2260" s="11" t="s">
        <v>1702</v>
      </c>
      <c r="P2260" s="16" t="str">
        <f t="shared" si="1001"/>
        <v>21-Mar-1919</v>
      </c>
      <c r="R2260" s="16" t="str">
        <f>IF($L2260&gt;0,"x","")</f>
        <v>x</v>
      </c>
      <c r="S2260" s="16" t="str">
        <f>IF($L2260&gt;0,"x","")</f>
        <v>x</v>
      </c>
      <c r="U2260" s="46" t="str">
        <f t="shared" si="986"/>
        <v/>
      </c>
      <c r="V2260" s="46">
        <f t="shared" si="986"/>
        <v>2</v>
      </c>
      <c r="W2260" s="46" t="str">
        <f t="shared" si="986"/>
        <v/>
      </c>
      <c r="X2260" s="46" t="str">
        <f t="shared" si="986"/>
        <v/>
      </c>
    </row>
    <row r="2261" spans="2:24" x14ac:dyDescent="0.25">
      <c r="B2261" s="11" t="str">
        <f t="shared" si="998"/>
        <v>KRMR-24JUL1919</v>
      </c>
      <c r="C2261" s="11" t="s">
        <v>3078</v>
      </c>
      <c r="D2261" s="11" t="s">
        <v>2440</v>
      </c>
      <c r="E2261" s="39" t="s">
        <v>1557</v>
      </c>
      <c r="F2261" s="11" t="s">
        <v>2441</v>
      </c>
      <c r="G2261" s="39" t="s">
        <v>2016</v>
      </c>
      <c r="H2261" s="7">
        <v>0</v>
      </c>
      <c r="I2261" s="7">
        <v>0</v>
      </c>
      <c r="J2261" s="17">
        <v>6</v>
      </c>
      <c r="K2261" s="17"/>
      <c r="L2261" s="7">
        <f t="shared" si="999"/>
        <v>6</v>
      </c>
      <c r="M2261" s="8">
        <v>1</v>
      </c>
      <c r="N2261" s="8">
        <f t="shared" si="1000"/>
        <v>1</v>
      </c>
      <c r="O2261" s="11" t="s">
        <v>1702</v>
      </c>
      <c r="P2261" s="16" t="str">
        <f t="shared" si="1001"/>
        <v>24-Jul-1919</v>
      </c>
      <c r="R2261" s="16" t="str">
        <f t="shared" si="1002"/>
        <v>x</v>
      </c>
      <c r="S2261" s="16" t="str">
        <f t="shared" si="1002"/>
        <v>x</v>
      </c>
      <c r="U2261" s="46" t="str">
        <f t="shared" si="986"/>
        <v/>
      </c>
      <c r="V2261" s="46">
        <f t="shared" si="986"/>
        <v>6</v>
      </c>
      <c r="W2261" s="46" t="str">
        <f t="shared" si="986"/>
        <v/>
      </c>
      <c r="X2261" s="46" t="str">
        <f t="shared" si="986"/>
        <v/>
      </c>
    </row>
    <row r="2262" spans="2:24" x14ac:dyDescent="0.25">
      <c r="B2262" s="11" t="str">
        <f>CONCATENATE("KRMR","-",LEFT(P2262,2),UPPER(MID(P2262,4,3)),RIGHT(P2262,4))</f>
        <v>KRMR-12OCT1919</v>
      </c>
      <c r="C2262" s="11" t="s">
        <v>3078</v>
      </c>
      <c r="D2262" s="11" t="s">
        <v>2440</v>
      </c>
      <c r="E2262" s="39" t="s">
        <v>5927</v>
      </c>
      <c r="F2262" s="11" t="s">
        <v>2441</v>
      </c>
      <c r="G2262" s="39" t="s">
        <v>1560</v>
      </c>
      <c r="H2262" s="7">
        <v>0</v>
      </c>
      <c r="I2262" s="7">
        <v>1</v>
      </c>
      <c r="J2262" s="17">
        <v>4</v>
      </c>
      <c r="K2262" s="17"/>
      <c r="L2262" s="7">
        <f>SUM(H2262:K2262)</f>
        <v>5</v>
      </c>
      <c r="M2262" s="8">
        <v>1</v>
      </c>
      <c r="N2262" s="8">
        <f>IF(L2262&gt;0,1,"")</f>
        <v>1</v>
      </c>
      <c r="O2262" s="11" t="s">
        <v>1702</v>
      </c>
      <c r="P2262" s="16" t="str">
        <f>IF(LEN(G2262)=10,CONCATENATE("0",G2262),G2262)</f>
        <v>12-Oct-1919</v>
      </c>
      <c r="R2262" s="16" t="str">
        <f t="shared" si="1002"/>
        <v>x</v>
      </c>
      <c r="S2262" s="16" t="str">
        <f t="shared" si="1002"/>
        <v>x</v>
      </c>
      <c r="U2262" s="46" t="str">
        <f t="shared" ref="U2262:X2267" si="1003">IF($O2262=U$5,$L2262,"")</f>
        <v/>
      </c>
      <c r="V2262" s="46">
        <f t="shared" si="1003"/>
        <v>5</v>
      </c>
      <c r="W2262" s="46" t="str">
        <f t="shared" si="1003"/>
        <v/>
      </c>
      <c r="X2262" s="46" t="str">
        <f t="shared" si="1003"/>
        <v/>
      </c>
    </row>
    <row r="2263" spans="2:24" x14ac:dyDescent="0.25">
      <c r="B2263" s="11" t="str">
        <f t="shared" si="998"/>
        <v>KRMR-30MAY1920</v>
      </c>
      <c r="C2263" s="11" t="s">
        <v>3078</v>
      </c>
      <c r="D2263" s="11" t="s">
        <v>2440</v>
      </c>
      <c r="E2263" s="39" t="s">
        <v>4144</v>
      </c>
      <c r="F2263" s="11" t="s">
        <v>2441</v>
      </c>
      <c r="G2263" s="39" t="s">
        <v>1573</v>
      </c>
      <c r="H2263" s="7">
        <v>0</v>
      </c>
      <c r="I2263" s="7">
        <v>0</v>
      </c>
      <c r="J2263" s="17">
        <v>1</v>
      </c>
      <c r="K2263" s="17"/>
      <c r="L2263" s="7">
        <f t="shared" si="999"/>
        <v>1</v>
      </c>
      <c r="M2263" s="8">
        <v>1</v>
      </c>
      <c r="N2263" s="8">
        <f t="shared" si="1000"/>
        <v>1</v>
      </c>
      <c r="O2263" s="11" t="s">
        <v>1702</v>
      </c>
      <c r="P2263" s="16" t="str">
        <f t="shared" si="1001"/>
        <v>30-May-1920</v>
      </c>
      <c r="R2263" s="16" t="str">
        <f t="shared" si="1002"/>
        <v>x</v>
      </c>
      <c r="S2263" s="16" t="str">
        <f t="shared" si="1002"/>
        <v>x</v>
      </c>
      <c r="U2263" s="46" t="str">
        <f t="shared" si="1003"/>
        <v/>
      </c>
      <c r="V2263" s="46">
        <f t="shared" si="1003"/>
        <v>1</v>
      </c>
      <c r="W2263" s="46" t="str">
        <f t="shared" si="1003"/>
        <v/>
      </c>
      <c r="X2263" s="46" t="str">
        <f t="shared" si="1003"/>
        <v/>
      </c>
    </row>
    <row r="2264" spans="2:24" x14ac:dyDescent="0.25">
      <c r="B2264" s="11" t="str">
        <f>CONCATENATE("KRMR","-",LEFT(P2264,2),UPPER(MID(P2264,4,3)),RIGHT(P2264,4))</f>
        <v>KRMR-12APR1921</v>
      </c>
      <c r="C2264" s="11" t="s">
        <v>3078</v>
      </c>
      <c r="D2264" s="11" t="s">
        <v>2440</v>
      </c>
      <c r="E2264" s="39" t="s">
        <v>6087</v>
      </c>
      <c r="F2264" s="11" t="s">
        <v>2441</v>
      </c>
      <c r="G2264" s="39" t="s">
        <v>6088</v>
      </c>
      <c r="H2264" s="7">
        <v>0</v>
      </c>
      <c r="I2264" s="7">
        <v>0</v>
      </c>
      <c r="J2264" s="17">
        <v>2</v>
      </c>
      <c r="K2264" s="17"/>
      <c r="L2264" s="7">
        <f>SUM(H2264:K2264)</f>
        <v>2</v>
      </c>
      <c r="M2264" s="8">
        <v>1</v>
      </c>
      <c r="N2264" s="8">
        <f>IF(L2264&gt;0,1,"")</f>
        <v>1</v>
      </c>
      <c r="O2264" s="11" t="s">
        <v>1702</v>
      </c>
      <c r="P2264" s="16" t="str">
        <f>IF(LEN(G2264)=10,CONCATENATE("0",G2264),G2264)</f>
        <v>12-Apr-1921</v>
      </c>
      <c r="R2264" s="16" t="str">
        <f t="shared" si="1002"/>
        <v>x</v>
      </c>
      <c r="S2264" s="16" t="str">
        <f t="shared" si="1002"/>
        <v>x</v>
      </c>
      <c r="U2264" s="46" t="str">
        <f t="shared" si="1003"/>
        <v/>
      </c>
      <c r="V2264" s="46">
        <f t="shared" si="1003"/>
        <v>2</v>
      </c>
      <c r="W2264" s="46" t="str">
        <f t="shared" si="1003"/>
        <v/>
      </c>
      <c r="X2264" s="46" t="str">
        <f t="shared" si="1003"/>
        <v/>
      </c>
    </row>
    <row r="2265" spans="2:24" x14ac:dyDescent="0.25">
      <c r="B2265" s="11" t="str">
        <f t="shared" si="998"/>
        <v>KRMR-03DEC1923</v>
      </c>
      <c r="C2265" s="11" t="s">
        <v>3078</v>
      </c>
      <c r="D2265" s="11" t="s">
        <v>3439</v>
      </c>
      <c r="E2265" s="39" t="s">
        <v>3773</v>
      </c>
      <c r="F2265" s="11" t="s">
        <v>2441</v>
      </c>
      <c r="G2265" s="39" t="s">
        <v>3774</v>
      </c>
      <c r="H2265" s="7">
        <v>0</v>
      </c>
      <c r="I2265" s="7">
        <v>0</v>
      </c>
      <c r="J2265" s="17">
        <v>1</v>
      </c>
      <c r="K2265" s="17"/>
      <c r="L2265" s="7">
        <f t="shared" si="999"/>
        <v>1</v>
      </c>
      <c r="M2265" s="8">
        <v>1</v>
      </c>
      <c r="N2265" s="8">
        <f t="shared" si="1000"/>
        <v>1</v>
      </c>
      <c r="O2265" s="11" t="s">
        <v>1702</v>
      </c>
      <c r="P2265" s="16" t="str">
        <f t="shared" si="1001"/>
        <v>03-Dec-1923</v>
      </c>
      <c r="R2265" s="16" t="str">
        <f t="shared" si="1002"/>
        <v>x</v>
      </c>
      <c r="S2265" s="16" t="str">
        <f t="shared" si="1002"/>
        <v>x</v>
      </c>
      <c r="U2265" s="46" t="str">
        <f t="shared" si="986"/>
        <v/>
      </c>
      <c r="V2265" s="46">
        <f t="shared" si="986"/>
        <v>1</v>
      </c>
      <c r="W2265" s="46" t="str">
        <f t="shared" si="986"/>
        <v/>
      </c>
      <c r="X2265" s="46" t="str">
        <f t="shared" si="986"/>
        <v/>
      </c>
    </row>
    <row r="2266" spans="2:24" x14ac:dyDescent="0.25">
      <c r="B2266" s="11" t="str">
        <f>CONCATENATE("KRMR","-",LEFT(P2266,2),UPPER(MID(P2266,4,3)),RIGHT(P2266,4))</f>
        <v>KRMR-21JUL1927</v>
      </c>
      <c r="C2266" s="11" t="s">
        <v>3078</v>
      </c>
      <c r="D2266" s="11" t="s">
        <v>2440</v>
      </c>
      <c r="E2266" s="39" t="s">
        <v>6133</v>
      </c>
      <c r="F2266" s="11" t="s">
        <v>2441</v>
      </c>
      <c r="G2266" s="39" t="s">
        <v>6134</v>
      </c>
      <c r="H2266" s="7">
        <v>0</v>
      </c>
      <c r="I2266" s="7">
        <v>0</v>
      </c>
      <c r="J2266" s="17">
        <v>5</v>
      </c>
      <c r="K2266" s="17"/>
      <c r="L2266" s="7">
        <f>SUM(H2266:K2266)</f>
        <v>5</v>
      </c>
      <c r="M2266" s="8">
        <v>1</v>
      </c>
      <c r="N2266" s="8">
        <f>IF(L2266&gt;0,1,"")</f>
        <v>1</v>
      </c>
      <c r="O2266" s="11" t="s">
        <v>1702</v>
      </c>
      <c r="P2266" s="16" t="str">
        <f>IF(LEN(G2266)=10,CONCATENATE("0",G2266),G2266)</f>
        <v>21-Jul-1927</v>
      </c>
      <c r="R2266" s="16" t="str">
        <f t="shared" si="1002"/>
        <v>x</v>
      </c>
      <c r="S2266" s="16" t="str">
        <f t="shared" si="1002"/>
        <v>x</v>
      </c>
      <c r="U2266" s="46" t="str">
        <f t="shared" si="1003"/>
        <v/>
      </c>
      <c r="V2266" s="46">
        <f t="shared" si="1003"/>
        <v>5</v>
      </c>
      <c r="W2266" s="46" t="str">
        <f t="shared" si="1003"/>
        <v/>
      </c>
      <c r="X2266" s="46" t="str">
        <f t="shared" si="1003"/>
        <v/>
      </c>
    </row>
    <row r="2267" spans="2:24" x14ac:dyDescent="0.25">
      <c r="B2267" s="11" t="str">
        <f t="shared" si="998"/>
        <v>KRMR-29SEP1927</v>
      </c>
      <c r="C2267" s="11" t="s">
        <v>3078</v>
      </c>
      <c r="D2267" s="11" t="s">
        <v>2440</v>
      </c>
      <c r="E2267" s="39" t="s">
        <v>6130</v>
      </c>
      <c r="F2267" s="11" t="s">
        <v>2441</v>
      </c>
      <c r="G2267" s="39" t="s">
        <v>6131</v>
      </c>
      <c r="H2267" s="7">
        <v>0</v>
      </c>
      <c r="I2267" s="7">
        <v>0</v>
      </c>
      <c r="J2267" s="17">
        <v>5</v>
      </c>
      <c r="K2267" s="17"/>
      <c r="L2267" s="7">
        <f t="shared" si="999"/>
        <v>5</v>
      </c>
      <c r="M2267" s="8">
        <v>1</v>
      </c>
      <c r="N2267" s="8">
        <f t="shared" si="1000"/>
        <v>1</v>
      </c>
      <c r="O2267" s="11" t="s">
        <v>1702</v>
      </c>
      <c r="P2267" s="16" t="str">
        <f t="shared" si="1001"/>
        <v>29-Sep-1927</v>
      </c>
      <c r="R2267" s="16" t="str">
        <f t="shared" si="1002"/>
        <v>x</v>
      </c>
      <c r="S2267" s="16" t="str">
        <f t="shared" si="1002"/>
        <v>x</v>
      </c>
      <c r="U2267" s="46" t="str">
        <f t="shared" si="1003"/>
        <v/>
      </c>
      <c r="V2267" s="46">
        <f t="shared" si="1003"/>
        <v>5</v>
      </c>
      <c r="W2267" s="46" t="str">
        <f t="shared" si="1003"/>
        <v/>
      </c>
      <c r="X2267" s="46" t="str">
        <f t="shared" si="1003"/>
        <v/>
      </c>
    </row>
    <row r="2268" spans="2:24" x14ac:dyDescent="0.25">
      <c r="N2268" s="8" t="str">
        <f>IF(R2268="x",1,"")</f>
        <v/>
      </c>
      <c r="U2268" s="46" t="str">
        <f t="shared" si="986"/>
        <v/>
      </c>
      <c r="V2268" s="46" t="str">
        <f t="shared" si="986"/>
        <v/>
      </c>
      <c r="W2268" s="46" t="str">
        <f t="shared" si="986"/>
        <v/>
      </c>
      <c r="X2268" s="46" t="str">
        <f t="shared" si="986"/>
        <v/>
      </c>
    </row>
    <row r="2269" spans="2:24" x14ac:dyDescent="0.25">
      <c r="B2269" s="18"/>
      <c r="C2269" s="18"/>
      <c r="D2269" s="18"/>
      <c r="E2269" s="40"/>
      <c r="F2269" s="18"/>
      <c r="G2269" s="40"/>
      <c r="H2269" s="7">
        <f t="shared" ref="H2269:N2269" si="1004">SUM(H2258:H2268)</f>
        <v>0</v>
      </c>
      <c r="I2269" s="7">
        <f t="shared" si="1004"/>
        <v>1</v>
      </c>
      <c r="J2269" s="7">
        <f>SUM(J2258:J2268)</f>
        <v>34</v>
      </c>
      <c r="K2269" s="7">
        <f t="shared" si="1004"/>
        <v>0</v>
      </c>
      <c r="L2269" s="7">
        <f t="shared" si="1004"/>
        <v>35</v>
      </c>
      <c r="M2269" s="7">
        <f t="shared" si="1004"/>
        <v>10</v>
      </c>
      <c r="N2269" s="7">
        <f t="shared" si="1004"/>
        <v>10</v>
      </c>
      <c r="O2269" s="18"/>
      <c r="P2269" s="13"/>
      <c r="Q2269" s="13"/>
      <c r="S2269" s="13"/>
      <c r="T2269" s="15"/>
      <c r="U2269" s="46" t="str">
        <f t="shared" si="986"/>
        <v/>
      </c>
      <c r="V2269" s="46" t="str">
        <f t="shared" si="986"/>
        <v/>
      </c>
      <c r="W2269" s="46" t="str">
        <f t="shared" si="986"/>
        <v/>
      </c>
      <c r="X2269" s="46" t="str">
        <f t="shared" si="986"/>
        <v/>
      </c>
    </row>
    <row r="2270" spans="2:24" x14ac:dyDescent="0.25">
      <c r="B2270" s="18"/>
      <c r="C2270" s="18"/>
      <c r="D2270" s="18"/>
      <c r="E2270" s="40"/>
      <c r="F2270" s="18"/>
      <c r="G2270" s="40"/>
      <c r="N2270" s="8" t="str">
        <f>IF(R2270="x",1,"")</f>
        <v/>
      </c>
      <c r="O2270" s="18"/>
      <c r="P2270" s="13"/>
      <c r="Q2270" s="13"/>
      <c r="R2270" s="13"/>
      <c r="S2270" s="13"/>
      <c r="T2270" s="15"/>
      <c r="U2270" s="46" t="str">
        <f t="shared" si="986"/>
        <v/>
      </c>
      <c r="V2270" s="46" t="str">
        <f t="shared" si="986"/>
        <v/>
      </c>
      <c r="W2270" s="46" t="str">
        <f t="shared" si="986"/>
        <v/>
      </c>
      <c r="X2270" s="46" t="str">
        <f t="shared" si="986"/>
        <v/>
      </c>
    </row>
    <row r="2271" spans="2:24" x14ac:dyDescent="0.25">
      <c r="B2271" s="18"/>
      <c r="C2271" s="18"/>
      <c r="D2271" s="18"/>
      <c r="E2271" s="40"/>
      <c r="F2271" s="18"/>
      <c r="G2271" s="40"/>
      <c r="N2271" s="8" t="str">
        <f>IF(R2271="x",1,"")</f>
        <v/>
      </c>
      <c r="O2271" s="18"/>
      <c r="P2271" s="13"/>
      <c r="Q2271" s="13"/>
      <c r="R2271" s="13"/>
      <c r="S2271" s="13"/>
      <c r="T2271" s="15"/>
      <c r="U2271" s="46" t="str">
        <f t="shared" si="986"/>
        <v/>
      </c>
      <c r="V2271" s="46" t="str">
        <f t="shared" si="986"/>
        <v/>
      </c>
      <c r="W2271" s="46" t="str">
        <f t="shared" si="986"/>
        <v/>
      </c>
      <c r="X2271" s="46" t="str">
        <f t="shared" si="986"/>
        <v/>
      </c>
    </row>
    <row r="2272" spans="2:24" x14ac:dyDescent="0.25">
      <c r="B2272" s="11" t="str">
        <f>CONCATENATE("KRIS","-",LEFT(P2272,2),UPPER(MID(P2272,4,3)),RIGHT(P2272,4))</f>
        <v>KRIS-23JAN1916</v>
      </c>
      <c r="C2272" s="11" t="s">
        <v>4622</v>
      </c>
      <c r="D2272" s="11" t="s">
        <v>4623</v>
      </c>
      <c r="E2272" s="39" t="s">
        <v>4624</v>
      </c>
      <c r="F2272" s="11" t="s">
        <v>1700</v>
      </c>
      <c r="G2272" s="39" t="s">
        <v>1072</v>
      </c>
      <c r="H2272" s="7">
        <v>0</v>
      </c>
      <c r="I2272" s="7">
        <v>0</v>
      </c>
      <c r="J2272" s="17">
        <v>6</v>
      </c>
      <c r="K2272" s="17"/>
      <c r="L2272" s="7">
        <f>SUM(H2272:K2272)</f>
        <v>6</v>
      </c>
      <c r="M2272" s="8">
        <v>1</v>
      </c>
      <c r="N2272" s="8">
        <f>IF(L2272&gt;0,1,"")</f>
        <v>1</v>
      </c>
      <c r="O2272" s="11" t="s">
        <v>1702</v>
      </c>
      <c r="P2272" s="16" t="str">
        <f>IF(LEN(G2272)=10,CONCATENATE("0",G2272),G2272)</f>
        <v>23-Jan-1916</v>
      </c>
      <c r="R2272" s="16" t="str">
        <f t="shared" ref="R2272:S2274" si="1005">IF($L2272&gt;0,"x","")</f>
        <v>x</v>
      </c>
      <c r="S2272" s="16" t="str">
        <f t="shared" si="1005"/>
        <v>x</v>
      </c>
      <c r="U2272" s="46" t="str">
        <f t="shared" si="986"/>
        <v/>
      </c>
      <c r="V2272" s="46">
        <f t="shared" si="986"/>
        <v>6</v>
      </c>
      <c r="W2272" s="46" t="str">
        <f t="shared" si="986"/>
        <v/>
      </c>
      <c r="X2272" s="46" t="str">
        <f t="shared" si="986"/>
        <v/>
      </c>
    </row>
    <row r="2273" spans="2:24" x14ac:dyDescent="0.25">
      <c r="B2273" s="11" t="str">
        <f>CONCATENATE("KRIS","-",LEFT(P2273,2),UPPER(MID(P2273,4,3)),RIGHT(P2273,4))</f>
        <v>KRIS-19AUG1916</v>
      </c>
      <c r="C2273" s="11" t="s">
        <v>4622</v>
      </c>
      <c r="D2273" s="11" t="s">
        <v>117</v>
      </c>
      <c r="E2273" s="39" t="s">
        <v>4193</v>
      </c>
      <c r="F2273" s="11" t="s">
        <v>1700</v>
      </c>
      <c r="G2273" s="39" t="s">
        <v>4644</v>
      </c>
      <c r="H2273" s="7">
        <v>0</v>
      </c>
      <c r="I2273" s="7">
        <v>1</v>
      </c>
      <c r="J2273" s="17">
        <v>27</v>
      </c>
      <c r="K2273" s="17"/>
      <c r="L2273" s="7">
        <f>SUM(H2273:K2273)</f>
        <v>28</v>
      </c>
      <c r="M2273" s="8">
        <v>1</v>
      </c>
      <c r="N2273" s="8">
        <f>IF(L2273&gt;0,1,"")</f>
        <v>1</v>
      </c>
      <c r="O2273" s="11" t="s">
        <v>1702</v>
      </c>
      <c r="P2273" s="16" t="str">
        <f>IF(LEN(G2273)=10,CONCATENATE("0",G2273),G2273)</f>
        <v>19-Aug-1916</v>
      </c>
      <c r="R2273" s="16" t="str">
        <f t="shared" si="1005"/>
        <v>x</v>
      </c>
      <c r="S2273" s="16" t="str">
        <f t="shared" si="1005"/>
        <v>x</v>
      </c>
      <c r="U2273" s="46" t="str">
        <f t="shared" ref="U2273:X2274" si="1006">IF($O2273=U$5,$L2273,"")</f>
        <v/>
      </c>
      <c r="V2273" s="46">
        <f t="shared" si="1006"/>
        <v>28</v>
      </c>
      <c r="W2273" s="46" t="str">
        <f t="shared" si="1006"/>
        <v/>
      </c>
      <c r="X2273" s="46" t="str">
        <f t="shared" si="1006"/>
        <v/>
      </c>
    </row>
    <row r="2274" spans="2:24" x14ac:dyDescent="0.25">
      <c r="B2274" s="11" t="str">
        <f>CONCATENATE("KRIS","-",LEFT(P2274,2),UPPER(MID(P2274,4,3)),RIGHT(P2274,4))</f>
        <v>KRIS-09MAY1917</v>
      </c>
      <c r="C2274" s="11" t="s">
        <v>4622</v>
      </c>
      <c r="D2274" s="11" t="s">
        <v>117</v>
      </c>
      <c r="E2274" s="39" t="s">
        <v>4205</v>
      </c>
      <c r="F2274" s="11" t="s">
        <v>1700</v>
      </c>
      <c r="G2274" s="39" t="s">
        <v>4206</v>
      </c>
      <c r="H2274" s="7">
        <f>0+2</f>
        <v>2</v>
      </c>
      <c r="I2274" s="7">
        <v>1</v>
      </c>
      <c r="J2274" s="17">
        <v>0</v>
      </c>
      <c r="K2274" s="17"/>
      <c r="L2274" s="7">
        <f>SUM(H2274:K2274)</f>
        <v>3</v>
      </c>
      <c r="M2274" s="8">
        <v>1</v>
      </c>
      <c r="N2274" s="8">
        <f>IF(L2274&gt;0,1,"")</f>
        <v>1</v>
      </c>
      <c r="O2274" s="11" t="s">
        <v>1702</v>
      </c>
      <c r="P2274" s="16" t="str">
        <f>IF(LEN(G2274)=10,CONCATENATE("0",G2274),G2274)</f>
        <v>09-May-1917</v>
      </c>
      <c r="R2274" s="16" t="str">
        <f t="shared" si="1005"/>
        <v>x</v>
      </c>
      <c r="S2274" s="16" t="str">
        <f t="shared" si="1005"/>
        <v>x</v>
      </c>
      <c r="U2274" s="46" t="str">
        <f t="shared" si="1006"/>
        <v/>
      </c>
      <c r="V2274" s="46">
        <f t="shared" si="1006"/>
        <v>3</v>
      </c>
      <c r="W2274" s="46" t="str">
        <f t="shared" si="1006"/>
        <v/>
      </c>
      <c r="X2274" s="46" t="str">
        <f t="shared" si="1006"/>
        <v/>
      </c>
    </row>
    <row r="2275" spans="2:24" x14ac:dyDescent="0.25">
      <c r="N2275" s="8" t="str">
        <f>IF(R2275="x",1,"")</f>
        <v/>
      </c>
      <c r="U2275" s="46" t="str">
        <f t="shared" si="986"/>
        <v/>
      </c>
      <c r="V2275" s="46" t="str">
        <f t="shared" si="986"/>
        <v/>
      </c>
      <c r="W2275" s="46" t="str">
        <f t="shared" si="986"/>
        <v/>
      </c>
      <c r="X2275" s="46" t="str">
        <f t="shared" si="986"/>
        <v/>
      </c>
    </row>
    <row r="2276" spans="2:24" x14ac:dyDescent="0.25">
      <c r="B2276" s="18"/>
      <c r="C2276" s="18"/>
      <c r="D2276" s="18"/>
      <c r="E2276" s="40"/>
      <c r="F2276" s="18"/>
      <c r="G2276" s="40"/>
      <c r="H2276" s="7">
        <f t="shared" ref="H2276:N2276" si="1007">SUM(H2272:H2275)</f>
        <v>2</v>
      </c>
      <c r="I2276" s="7">
        <f t="shared" si="1007"/>
        <v>2</v>
      </c>
      <c r="J2276" s="7">
        <f>SUM(J2272:J2275)</f>
        <v>33</v>
      </c>
      <c r="K2276" s="7">
        <f t="shared" si="1007"/>
        <v>0</v>
      </c>
      <c r="L2276" s="7">
        <f t="shared" si="1007"/>
        <v>37</v>
      </c>
      <c r="M2276" s="7">
        <f t="shared" si="1007"/>
        <v>3</v>
      </c>
      <c r="N2276" s="7">
        <f t="shared" si="1007"/>
        <v>3</v>
      </c>
      <c r="O2276" s="18"/>
      <c r="P2276" s="13"/>
      <c r="Q2276" s="13"/>
      <c r="S2276" s="13"/>
      <c r="T2276" s="15"/>
      <c r="U2276" s="46" t="str">
        <f t="shared" si="986"/>
        <v/>
      </c>
      <c r="V2276" s="46" t="str">
        <f t="shared" si="986"/>
        <v/>
      </c>
      <c r="W2276" s="46" t="str">
        <f t="shared" si="986"/>
        <v/>
      </c>
      <c r="X2276" s="46" t="str">
        <f t="shared" si="986"/>
        <v/>
      </c>
    </row>
    <row r="2277" spans="2:24" x14ac:dyDescent="0.25">
      <c r="B2277" s="18"/>
      <c r="C2277" s="18"/>
      <c r="D2277" s="18"/>
      <c r="E2277" s="40"/>
      <c r="F2277" s="18"/>
      <c r="G2277" s="40"/>
      <c r="N2277" s="8" t="str">
        <f>IF(R2277="x",1,"")</f>
        <v/>
      </c>
      <c r="O2277" s="18"/>
      <c r="P2277" s="13"/>
      <c r="Q2277" s="13"/>
      <c r="R2277" s="13"/>
      <c r="S2277" s="13"/>
      <c r="T2277" s="15"/>
      <c r="U2277" s="46" t="str">
        <f t="shared" si="986"/>
        <v/>
      </c>
      <c r="V2277" s="46" t="str">
        <f t="shared" si="986"/>
        <v/>
      </c>
      <c r="W2277" s="46" t="str">
        <f t="shared" si="986"/>
        <v/>
      </c>
      <c r="X2277" s="46" t="str">
        <f t="shared" si="986"/>
        <v/>
      </c>
    </row>
    <row r="2278" spans="2:24" x14ac:dyDescent="0.25">
      <c r="B2278" s="18"/>
      <c r="C2278" s="18"/>
      <c r="D2278" s="18"/>
      <c r="E2278" s="40"/>
      <c r="F2278" s="18"/>
      <c r="G2278" s="40"/>
      <c r="N2278" s="8" t="str">
        <f>IF(R2278="x",1,"")</f>
        <v/>
      </c>
      <c r="O2278" s="18"/>
      <c r="P2278" s="13"/>
      <c r="Q2278" s="13"/>
      <c r="R2278" s="13"/>
      <c r="S2278" s="13"/>
      <c r="T2278" s="15"/>
      <c r="U2278" s="46" t="str">
        <f t="shared" si="986"/>
        <v/>
      </c>
      <c r="V2278" s="46" t="str">
        <f t="shared" si="986"/>
        <v/>
      </c>
      <c r="W2278" s="46" t="str">
        <f t="shared" si="986"/>
        <v/>
      </c>
      <c r="X2278" s="46" t="str">
        <f t="shared" si="986"/>
        <v/>
      </c>
    </row>
    <row r="2279" spans="2:24" x14ac:dyDescent="0.25">
      <c r="B2279" s="11" t="str">
        <f t="shared" ref="B2279:B2284" si="1008">CONCATENATE("KROW","-",LEFT(P2279,2),UPPER(MID(P2279,4,3)),RIGHT(P2279,4))</f>
        <v>KROW-12NOV1902</v>
      </c>
      <c r="C2279" s="11" t="s">
        <v>3667</v>
      </c>
      <c r="D2279" s="11" t="s">
        <v>2224</v>
      </c>
      <c r="E2279" s="39" t="s">
        <v>3361</v>
      </c>
      <c r="F2279" s="11" t="s">
        <v>1700</v>
      </c>
      <c r="G2279" s="39" t="s">
        <v>3973</v>
      </c>
      <c r="J2279" s="17">
        <v>17</v>
      </c>
      <c r="K2279" s="17"/>
      <c r="L2279" s="7">
        <f t="shared" ref="L2279:L2284" si="1009">SUM(H2279:K2279)</f>
        <v>17</v>
      </c>
      <c r="M2279" s="8">
        <v>1</v>
      </c>
      <c r="N2279" s="8">
        <f t="shared" ref="N2279:N2284" si="1010">IF(L2279&gt;0,1,"")</f>
        <v>1</v>
      </c>
      <c r="O2279" s="11" t="s">
        <v>1702</v>
      </c>
      <c r="P2279" s="16" t="str">
        <f t="shared" ref="P2279:P2284" si="1011">IF(LEN(G2279)=10,CONCATENATE("0",G2279),G2279)</f>
        <v>12-Nov-1902</v>
      </c>
      <c r="R2279" s="16" t="str">
        <f t="shared" ref="R2279:S2284" si="1012">IF($L2279&gt;0,"x","")</f>
        <v>x</v>
      </c>
      <c r="S2279" s="16" t="str">
        <f t="shared" si="1012"/>
        <v>x</v>
      </c>
      <c r="U2279" s="46" t="str">
        <f t="shared" ref="U2279:X2288" si="1013">IF($O2279=U$5,$L2279,"")</f>
        <v/>
      </c>
      <c r="V2279" s="46">
        <f t="shared" si="1013"/>
        <v>17</v>
      </c>
      <c r="W2279" s="46" t="str">
        <f t="shared" si="1013"/>
        <v/>
      </c>
      <c r="X2279" s="46" t="str">
        <f t="shared" si="1013"/>
        <v/>
      </c>
    </row>
    <row r="2280" spans="2:24" x14ac:dyDescent="0.25">
      <c r="B2280" s="11" t="str">
        <f t="shared" si="1008"/>
        <v>KROW-03JUN1903</v>
      </c>
      <c r="C2280" s="11" t="s">
        <v>3667</v>
      </c>
      <c r="D2280" s="11" t="s">
        <v>2224</v>
      </c>
      <c r="E2280" s="39" t="s">
        <v>3668</v>
      </c>
      <c r="F2280" s="11" t="s">
        <v>1700</v>
      </c>
      <c r="G2280" s="39" t="s">
        <v>3669</v>
      </c>
      <c r="H2280" s="7">
        <v>0</v>
      </c>
      <c r="I2280" s="7">
        <v>15</v>
      </c>
      <c r="J2280" s="17"/>
      <c r="K2280" s="17"/>
      <c r="L2280" s="7">
        <f t="shared" si="1009"/>
        <v>15</v>
      </c>
      <c r="M2280" s="8">
        <v>1</v>
      </c>
      <c r="N2280" s="8">
        <f t="shared" si="1010"/>
        <v>1</v>
      </c>
      <c r="O2280" s="11" t="s">
        <v>1702</v>
      </c>
      <c r="P2280" s="16" t="str">
        <f t="shared" si="1011"/>
        <v>03-Jun-1903</v>
      </c>
      <c r="R2280" s="16" t="str">
        <f t="shared" si="1012"/>
        <v>x</v>
      </c>
      <c r="S2280" s="16" t="str">
        <f t="shared" si="1012"/>
        <v>x</v>
      </c>
      <c r="U2280" s="46" t="str">
        <f t="shared" si="1013"/>
        <v/>
      </c>
      <c r="V2280" s="46">
        <f t="shared" si="1013"/>
        <v>15</v>
      </c>
      <c r="W2280" s="46" t="str">
        <f t="shared" si="1013"/>
        <v/>
      </c>
      <c r="X2280" s="46" t="str">
        <f t="shared" si="1013"/>
        <v/>
      </c>
    </row>
    <row r="2281" spans="2:24" x14ac:dyDescent="0.25">
      <c r="B2281" s="11" t="str">
        <f t="shared" si="1008"/>
        <v>KROW-05AUG1903</v>
      </c>
      <c r="C2281" s="11" t="s">
        <v>3667</v>
      </c>
      <c r="D2281" s="11" t="s">
        <v>2224</v>
      </c>
      <c r="E2281" s="39" t="s">
        <v>5712</v>
      </c>
      <c r="F2281" s="11" t="s">
        <v>1700</v>
      </c>
      <c r="G2281" s="39" t="s">
        <v>5713</v>
      </c>
      <c r="J2281" s="17">
        <v>20</v>
      </c>
      <c r="K2281" s="17"/>
      <c r="L2281" s="7">
        <f t="shared" si="1009"/>
        <v>20</v>
      </c>
      <c r="M2281" s="8">
        <v>1</v>
      </c>
      <c r="N2281" s="8">
        <f t="shared" si="1010"/>
        <v>1</v>
      </c>
      <c r="O2281" s="11" t="s">
        <v>1702</v>
      </c>
      <c r="P2281" s="16" t="str">
        <f t="shared" si="1011"/>
        <v>05-Aug-1903</v>
      </c>
      <c r="R2281" s="16" t="str">
        <f>IF($L2281&gt;0,"x","")</f>
        <v>x</v>
      </c>
      <c r="S2281" s="16" t="str">
        <f>IF($L2281&gt;0,"x","")</f>
        <v>x</v>
      </c>
      <c r="U2281" s="46" t="str">
        <f t="shared" si="1013"/>
        <v/>
      </c>
      <c r="V2281" s="46">
        <f t="shared" si="1013"/>
        <v>20</v>
      </c>
      <c r="W2281" s="46" t="str">
        <f t="shared" si="1013"/>
        <v/>
      </c>
      <c r="X2281" s="46" t="str">
        <f t="shared" si="1013"/>
        <v/>
      </c>
    </row>
    <row r="2282" spans="2:24" x14ac:dyDescent="0.25">
      <c r="B2282" s="11" t="str">
        <f t="shared" si="1008"/>
        <v>KROW-28OCT1903</v>
      </c>
      <c r="C2282" s="11" t="s">
        <v>3667</v>
      </c>
      <c r="D2282" s="11" t="s">
        <v>2224</v>
      </c>
      <c r="E2282" s="39" t="s">
        <v>4047</v>
      </c>
      <c r="F2282" s="11" t="s">
        <v>1700</v>
      </c>
      <c r="G2282" s="39" t="s">
        <v>4048</v>
      </c>
      <c r="H2282" s="7">
        <v>0</v>
      </c>
      <c r="I2282" s="7">
        <v>0</v>
      </c>
      <c r="J2282" s="17">
        <v>9</v>
      </c>
      <c r="K2282" s="17"/>
      <c r="L2282" s="7">
        <f t="shared" si="1009"/>
        <v>9</v>
      </c>
      <c r="M2282" s="8">
        <v>1</v>
      </c>
      <c r="N2282" s="8">
        <f t="shared" si="1010"/>
        <v>1</v>
      </c>
      <c r="O2282" s="11" t="s">
        <v>1702</v>
      </c>
      <c r="P2282" s="16" t="str">
        <f t="shared" si="1011"/>
        <v>28-Oct-1903</v>
      </c>
      <c r="R2282" s="16" t="str">
        <f t="shared" si="1012"/>
        <v>x</v>
      </c>
      <c r="S2282" s="16" t="str">
        <f t="shared" si="1012"/>
        <v>x</v>
      </c>
      <c r="U2282" s="46" t="str">
        <f t="shared" si="1013"/>
        <v/>
      </c>
      <c r="V2282" s="46">
        <f t="shared" si="1013"/>
        <v>9</v>
      </c>
      <c r="W2282" s="46" t="str">
        <f t="shared" si="1013"/>
        <v/>
      </c>
      <c r="X2282" s="46" t="str">
        <f t="shared" si="1013"/>
        <v/>
      </c>
    </row>
    <row r="2283" spans="2:24" x14ac:dyDescent="0.25">
      <c r="B2283" s="11" t="str">
        <f t="shared" si="1008"/>
        <v>KROW-01JUL1914</v>
      </c>
      <c r="C2283" s="11" t="s">
        <v>3667</v>
      </c>
      <c r="D2283" s="11" t="s">
        <v>3359</v>
      </c>
      <c r="E2283" s="39" t="s">
        <v>6022</v>
      </c>
      <c r="F2283" s="11" t="s">
        <v>1700</v>
      </c>
      <c r="G2283" s="39" t="s">
        <v>2565</v>
      </c>
      <c r="H2283" s="7">
        <v>0</v>
      </c>
      <c r="I2283" s="7">
        <v>0</v>
      </c>
      <c r="J2283" s="17">
        <v>1</v>
      </c>
      <c r="K2283" s="17"/>
      <c r="L2283" s="7">
        <f t="shared" si="1009"/>
        <v>1</v>
      </c>
      <c r="M2283" s="8">
        <v>1</v>
      </c>
      <c r="N2283" s="8">
        <f t="shared" si="1010"/>
        <v>1</v>
      </c>
      <c r="O2283" s="11" t="s">
        <v>1702</v>
      </c>
      <c r="P2283" s="16" t="str">
        <f t="shared" si="1011"/>
        <v>01-Jul-1914</v>
      </c>
      <c r="R2283" s="16" t="str">
        <f t="shared" si="1012"/>
        <v>x</v>
      </c>
      <c r="S2283" s="16" t="str">
        <f t="shared" si="1012"/>
        <v>x</v>
      </c>
      <c r="U2283" s="46" t="str">
        <f t="shared" si="1013"/>
        <v/>
      </c>
      <c r="V2283" s="46">
        <f t="shared" si="1013"/>
        <v>1</v>
      </c>
      <c r="W2283" s="46" t="str">
        <f t="shared" si="1013"/>
        <v/>
      </c>
      <c r="X2283" s="46" t="str">
        <f t="shared" si="1013"/>
        <v/>
      </c>
    </row>
    <row r="2284" spans="2:24" x14ac:dyDescent="0.25">
      <c r="B2284" s="11" t="str">
        <f t="shared" si="1008"/>
        <v>KROW-01JUL1914</v>
      </c>
      <c r="C2284" s="11" t="s">
        <v>3667</v>
      </c>
      <c r="D2284" s="11" t="s">
        <v>2224</v>
      </c>
      <c r="E2284" s="39" t="s">
        <v>6023</v>
      </c>
      <c r="F2284" s="11" t="s">
        <v>1700</v>
      </c>
      <c r="G2284" s="39" t="s">
        <v>2565</v>
      </c>
      <c r="H2284" s="7">
        <v>0</v>
      </c>
      <c r="I2284" s="7">
        <v>0</v>
      </c>
      <c r="J2284" s="17">
        <v>0</v>
      </c>
      <c r="K2284" s="17"/>
      <c r="L2284" s="7">
        <f t="shared" si="1009"/>
        <v>0</v>
      </c>
      <c r="M2284" s="8">
        <v>1</v>
      </c>
      <c r="N2284" s="8" t="str">
        <f t="shared" si="1010"/>
        <v/>
      </c>
      <c r="O2284" s="11" t="s">
        <v>1702</v>
      </c>
      <c r="P2284" s="16" t="str">
        <f t="shared" si="1011"/>
        <v>01-Jul-1914</v>
      </c>
      <c r="R2284" s="16" t="str">
        <f t="shared" si="1012"/>
        <v/>
      </c>
      <c r="S2284" s="16" t="str">
        <f t="shared" si="1012"/>
        <v/>
      </c>
      <c r="U2284" s="46" t="str">
        <f t="shared" si="1013"/>
        <v/>
      </c>
      <c r="V2284" s="46">
        <f t="shared" si="1013"/>
        <v>0</v>
      </c>
      <c r="W2284" s="46" t="str">
        <f t="shared" si="1013"/>
        <v/>
      </c>
      <c r="X2284" s="46" t="str">
        <f t="shared" si="1013"/>
        <v/>
      </c>
    </row>
    <row r="2285" spans="2:24" x14ac:dyDescent="0.25">
      <c r="N2285" s="8" t="str">
        <f>IF(R2285="x",1,"")</f>
        <v/>
      </c>
      <c r="U2285" s="46" t="str">
        <f t="shared" si="1013"/>
        <v/>
      </c>
      <c r="V2285" s="46" t="str">
        <f t="shared" si="1013"/>
        <v/>
      </c>
      <c r="W2285" s="46" t="str">
        <f t="shared" si="1013"/>
        <v/>
      </c>
      <c r="X2285" s="46" t="str">
        <f t="shared" si="1013"/>
        <v/>
      </c>
    </row>
    <row r="2286" spans="2:24" x14ac:dyDescent="0.25">
      <c r="B2286" s="18"/>
      <c r="C2286" s="18"/>
      <c r="D2286" s="18"/>
      <c r="E2286" s="40"/>
      <c r="F2286" s="18"/>
      <c r="G2286" s="40"/>
      <c r="H2286" s="7">
        <f t="shared" ref="H2286:N2286" si="1014">SUM(H2279:H2285)</f>
        <v>0</v>
      </c>
      <c r="I2286" s="7">
        <f t="shared" si="1014"/>
        <v>15</v>
      </c>
      <c r="J2286" s="7">
        <f>SUM(J2279:J2285)</f>
        <v>47</v>
      </c>
      <c r="K2286" s="7">
        <f t="shared" si="1014"/>
        <v>0</v>
      </c>
      <c r="L2286" s="7">
        <f t="shared" si="1014"/>
        <v>62</v>
      </c>
      <c r="M2286" s="7">
        <f t="shared" si="1014"/>
        <v>6</v>
      </c>
      <c r="N2286" s="7">
        <f t="shared" si="1014"/>
        <v>5</v>
      </c>
      <c r="O2286" s="18"/>
      <c r="P2286" s="13"/>
      <c r="Q2286" s="13"/>
      <c r="S2286" s="13"/>
      <c r="T2286" s="15"/>
      <c r="U2286" s="46" t="str">
        <f t="shared" si="1013"/>
        <v/>
      </c>
      <c r="V2286" s="46" t="str">
        <f t="shared" si="1013"/>
        <v/>
      </c>
      <c r="W2286" s="46" t="str">
        <f t="shared" si="1013"/>
        <v/>
      </c>
      <c r="X2286" s="46" t="str">
        <f t="shared" si="1013"/>
        <v/>
      </c>
    </row>
    <row r="2287" spans="2:24" x14ac:dyDescent="0.25">
      <c r="B2287" s="18"/>
      <c r="C2287" s="18"/>
      <c r="D2287" s="18"/>
      <c r="E2287" s="40"/>
      <c r="F2287" s="18"/>
      <c r="G2287" s="40"/>
      <c r="N2287" s="8" t="str">
        <f>IF(R2287="x",1,"")</f>
        <v/>
      </c>
      <c r="O2287" s="18"/>
      <c r="P2287" s="13"/>
      <c r="Q2287" s="13"/>
      <c r="R2287" s="13"/>
      <c r="S2287" s="13"/>
      <c r="T2287" s="15"/>
      <c r="U2287" s="46" t="str">
        <f t="shared" si="1013"/>
        <v/>
      </c>
      <c r="V2287" s="46" t="str">
        <f t="shared" si="1013"/>
        <v/>
      </c>
      <c r="W2287" s="46" t="str">
        <f t="shared" si="1013"/>
        <v/>
      </c>
      <c r="X2287" s="46" t="str">
        <f t="shared" si="1013"/>
        <v/>
      </c>
    </row>
    <row r="2288" spans="2:24" x14ac:dyDescent="0.25">
      <c r="B2288" s="18"/>
      <c r="C2288" s="18"/>
      <c r="D2288" s="18"/>
      <c r="E2288" s="40"/>
      <c r="F2288" s="18"/>
      <c r="G2288" s="40"/>
      <c r="N2288" s="8" t="str">
        <f>IF(R2288="x",1,"")</f>
        <v/>
      </c>
      <c r="O2288" s="18"/>
      <c r="P2288" s="13"/>
      <c r="Q2288" s="13"/>
      <c r="R2288" s="13"/>
      <c r="S2288" s="13"/>
      <c r="T2288" s="15"/>
      <c r="U2288" s="46" t="str">
        <f t="shared" si="1013"/>
        <v/>
      </c>
      <c r="V2288" s="46" t="str">
        <f t="shared" si="1013"/>
        <v/>
      </c>
      <c r="W2288" s="46" t="str">
        <f t="shared" si="1013"/>
        <v/>
      </c>
      <c r="X2288" s="46" t="str">
        <f t="shared" si="1013"/>
        <v/>
      </c>
    </row>
    <row r="2289" spans="2:24" x14ac:dyDescent="0.25">
      <c r="B2289" s="11" t="str">
        <f>CONCATENATE("KROC","-",LEFT(P2289,2),UPPER(MID(P2289,4,3)),RIGHT(P2289,4))</f>
        <v>KROC-18MAR1914</v>
      </c>
      <c r="C2289" s="11" t="s">
        <v>5298</v>
      </c>
      <c r="D2289" s="11" t="s">
        <v>3359</v>
      </c>
      <c r="E2289" s="39" t="s">
        <v>5299</v>
      </c>
      <c r="F2289" s="11" t="s">
        <v>1700</v>
      </c>
      <c r="G2289" s="39" t="s">
        <v>2560</v>
      </c>
      <c r="H2289" s="7">
        <v>0</v>
      </c>
      <c r="I2289" s="7">
        <v>0</v>
      </c>
      <c r="J2289" s="17">
        <v>15</v>
      </c>
      <c r="K2289" s="17"/>
      <c r="L2289" s="7">
        <f>SUM(H2289:K2289)</f>
        <v>15</v>
      </c>
      <c r="M2289" s="8">
        <v>1</v>
      </c>
      <c r="N2289" s="8">
        <f>IF(L2289&gt;0,1,"")</f>
        <v>1</v>
      </c>
      <c r="O2289" s="11" t="s">
        <v>1702</v>
      </c>
      <c r="P2289" s="16" t="str">
        <f>IF(LEN(G2289)=10,CONCATENATE("0",G2289),G2289)</f>
        <v>18-Mar-1914</v>
      </c>
      <c r="R2289" s="16" t="str">
        <f>IF($L2289&gt;0,"x","")</f>
        <v>x</v>
      </c>
      <c r="S2289" s="16" t="str">
        <f>IF($L2289&gt;0,"x","")</f>
        <v>x</v>
      </c>
      <c r="U2289" s="46" t="str">
        <f t="shared" si="986"/>
        <v/>
      </c>
      <c r="V2289" s="46">
        <f t="shared" si="986"/>
        <v>15</v>
      </c>
      <c r="W2289" s="46" t="str">
        <f t="shared" si="986"/>
        <v/>
      </c>
      <c r="X2289" s="46" t="str">
        <f t="shared" si="986"/>
        <v/>
      </c>
    </row>
    <row r="2290" spans="2:24" x14ac:dyDescent="0.25">
      <c r="N2290" s="8" t="str">
        <f>IF(R2290="x",1,"")</f>
        <v/>
      </c>
      <c r="U2290" s="46" t="str">
        <f t="shared" si="986"/>
        <v/>
      </c>
      <c r="V2290" s="46" t="str">
        <f t="shared" si="986"/>
        <v/>
      </c>
      <c r="W2290" s="46" t="str">
        <f t="shared" si="986"/>
        <v/>
      </c>
      <c r="X2290" s="46" t="str">
        <f t="shared" si="986"/>
        <v/>
      </c>
    </row>
    <row r="2291" spans="2:24" x14ac:dyDescent="0.25">
      <c r="B2291" s="18"/>
      <c r="C2291" s="18"/>
      <c r="D2291" s="18"/>
      <c r="E2291" s="40"/>
      <c r="F2291" s="18"/>
      <c r="G2291" s="40"/>
      <c r="H2291" s="7">
        <f t="shared" ref="H2291:N2291" si="1015">SUM(H2289:H2290)</f>
        <v>0</v>
      </c>
      <c r="I2291" s="7">
        <f t="shared" si="1015"/>
        <v>0</v>
      </c>
      <c r="J2291" s="7">
        <f>SUM(J2289:J2290)</f>
        <v>15</v>
      </c>
      <c r="K2291" s="7">
        <f t="shared" si="1015"/>
        <v>0</v>
      </c>
      <c r="L2291" s="7">
        <f t="shared" si="1015"/>
        <v>15</v>
      </c>
      <c r="M2291" s="7">
        <f t="shared" si="1015"/>
        <v>1</v>
      </c>
      <c r="N2291" s="7">
        <f t="shared" si="1015"/>
        <v>1</v>
      </c>
      <c r="O2291" s="18"/>
      <c r="P2291" s="13"/>
      <c r="Q2291" s="13"/>
      <c r="S2291" s="13"/>
      <c r="T2291" s="15"/>
      <c r="U2291" s="46" t="str">
        <f t="shared" si="986"/>
        <v/>
      </c>
      <c r="V2291" s="46" t="str">
        <f t="shared" si="986"/>
        <v/>
      </c>
      <c r="W2291" s="46" t="str">
        <f t="shared" si="986"/>
        <v/>
      </c>
      <c r="X2291" s="46" t="str">
        <f t="shared" si="986"/>
        <v/>
      </c>
    </row>
    <row r="2292" spans="2:24" x14ac:dyDescent="0.25">
      <c r="B2292" s="18"/>
      <c r="C2292" s="18"/>
      <c r="D2292" s="18"/>
      <c r="E2292" s="40"/>
      <c r="F2292" s="18"/>
      <c r="G2292" s="40"/>
      <c r="N2292" s="8" t="str">
        <f>IF(R2292="x",1,"")</f>
        <v/>
      </c>
      <c r="O2292" s="18"/>
      <c r="P2292" s="13"/>
      <c r="Q2292" s="13"/>
      <c r="R2292" s="13"/>
      <c r="S2292" s="13"/>
      <c r="T2292" s="15"/>
      <c r="U2292" s="46" t="str">
        <f t="shared" si="986"/>
        <v/>
      </c>
      <c r="V2292" s="46" t="str">
        <f t="shared" si="986"/>
        <v/>
      </c>
      <c r="W2292" s="46" t="str">
        <f t="shared" si="986"/>
        <v/>
      </c>
      <c r="X2292" s="46" t="str">
        <f t="shared" si="986"/>
        <v/>
      </c>
    </row>
    <row r="2293" spans="2:24" x14ac:dyDescent="0.25">
      <c r="B2293" s="18"/>
      <c r="C2293" s="18"/>
      <c r="D2293" s="18"/>
      <c r="E2293" s="40"/>
      <c r="F2293" s="18"/>
      <c r="G2293" s="40"/>
      <c r="N2293" s="8" t="str">
        <f>IF(R2293="x",1,"")</f>
        <v/>
      </c>
      <c r="O2293" s="18"/>
      <c r="P2293" s="13"/>
      <c r="Q2293" s="13"/>
      <c r="R2293" s="13"/>
      <c r="S2293" s="13"/>
      <c r="T2293" s="15"/>
      <c r="U2293" s="46" t="str">
        <f t="shared" si="986"/>
        <v/>
      </c>
      <c r="V2293" s="46" t="str">
        <f t="shared" si="986"/>
        <v/>
      </c>
      <c r="W2293" s="46" t="str">
        <f t="shared" si="986"/>
        <v/>
      </c>
      <c r="X2293" s="46" t="str">
        <f t="shared" si="986"/>
        <v/>
      </c>
    </row>
    <row r="2294" spans="2:24" x14ac:dyDescent="0.25">
      <c r="B2294" s="11" t="str">
        <f t="shared" ref="B2294:B2299" si="1016">CONCATENATE("KROO","-",LEFT(P2294,2),UPPER(MID(P2294,4,3)),RIGHT(P2294,4))</f>
        <v>KROO-14OCT1902</v>
      </c>
      <c r="C2294" s="11" t="s">
        <v>3024</v>
      </c>
      <c r="D2294" s="11" t="s">
        <v>2814</v>
      </c>
      <c r="E2294" s="39" t="s">
        <v>1637</v>
      </c>
      <c r="F2294" s="11" t="s">
        <v>1700</v>
      </c>
      <c r="G2294" s="39" t="s">
        <v>3451</v>
      </c>
      <c r="J2294" s="17">
        <v>1</v>
      </c>
      <c r="K2294" s="17"/>
      <c r="L2294" s="7">
        <f t="shared" ref="L2294:L2299" si="1017">SUM(H2294:K2294)</f>
        <v>1</v>
      </c>
      <c r="M2294" s="8">
        <v>1</v>
      </c>
      <c r="N2294" s="8">
        <f t="shared" ref="N2294:N2299" si="1018">IF(L2294&gt;0,1,"")</f>
        <v>1</v>
      </c>
      <c r="O2294" s="11" t="s">
        <v>1702</v>
      </c>
      <c r="P2294" s="16" t="str">
        <f t="shared" ref="P2294:P2299" si="1019">IF(LEN(G2294)=10,CONCATENATE("0",G2294),G2294)</f>
        <v>14-Oct-1902</v>
      </c>
      <c r="R2294" s="16" t="str">
        <f>IF($L2294&gt;0,"x","")</f>
        <v>x</v>
      </c>
      <c r="S2294" s="16" t="str">
        <f>IF($L2294&gt;0,"x","")</f>
        <v>x</v>
      </c>
      <c r="U2294" s="46" t="str">
        <f t="shared" si="986"/>
        <v/>
      </c>
      <c r="V2294" s="46">
        <f t="shared" si="986"/>
        <v>1</v>
      </c>
      <c r="W2294" s="46" t="str">
        <f t="shared" si="986"/>
        <v/>
      </c>
      <c r="X2294" s="46" t="str">
        <f t="shared" si="986"/>
        <v/>
      </c>
    </row>
    <row r="2295" spans="2:24" x14ac:dyDescent="0.25">
      <c r="B2295" s="11" t="str">
        <f t="shared" si="1016"/>
        <v>KROO-06DEC1914</v>
      </c>
      <c r="C2295" s="11" t="s">
        <v>3024</v>
      </c>
      <c r="D2295" s="11" t="s">
        <v>847</v>
      </c>
      <c r="E2295" s="39" t="s">
        <v>1046</v>
      </c>
      <c r="F2295" s="11" t="s">
        <v>1700</v>
      </c>
      <c r="G2295" s="39" t="s">
        <v>3025</v>
      </c>
      <c r="H2295" s="7">
        <v>0</v>
      </c>
      <c r="I2295" s="7">
        <f>3+5</f>
        <v>8</v>
      </c>
      <c r="J2295" s="17">
        <v>16</v>
      </c>
      <c r="K2295" s="17"/>
      <c r="L2295" s="7">
        <f t="shared" si="1017"/>
        <v>24</v>
      </c>
      <c r="M2295" s="8">
        <v>1</v>
      </c>
      <c r="N2295" s="8">
        <f t="shared" si="1018"/>
        <v>1</v>
      </c>
      <c r="O2295" s="11" t="s">
        <v>1702</v>
      </c>
      <c r="P2295" s="16" t="str">
        <f t="shared" si="1019"/>
        <v>06-Dec-1914</v>
      </c>
      <c r="R2295" s="16" t="str">
        <f t="shared" ref="R2295:S2298" si="1020">IF($L2295&gt;0,"x","")</f>
        <v>x</v>
      </c>
      <c r="S2295" s="16" t="str">
        <f t="shared" si="1020"/>
        <v>x</v>
      </c>
      <c r="U2295" s="46" t="str">
        <f t="shared" si="986"/>
        <v/>
      </c>
      <c r="V2295" s="46">
        <f t="shared" si="986"/>
        <v>24</v>
      </c>
      <c r="W2295" s="46" t="str">
        <f t="shared" si="986"/>
        <v/>
      </c>
      <c r="X2295" s="46" t="str">
        <f t="shared" si="986"/>
        <v/>
      </c>
    </row>
    <row r="2296" spans="2:24" x14ac:dyDescent="0.25">
      <c r="B2296" s="11" t="str">
        <f t="shared" si="1016"/>
        <v>KROO-08AUG1920</v>
      </c>
      <c r="C2296" s="11" t="s">
        <v>3024</v>
      </c>
      <c r="D2296" s="11" t="s">
        <v>2814</v>
      </c>
      <c r="E2296" s="39" t="s">
        <v>2550</v>
      </c>
      <c r="F2296" s="11" t="s">
        <v>1700</v>
      </c>
      <c r="G2296" s="39" t="s">
        <v>3784</v>
      </c>
      <c r="H2296" s="7">
        <v>0</v>
      </c>
      <c r="I2296" s="7">
        <v>0</v>
      </c>
      <c r="J2296" s="17">
        <v>47</v>
      </c>
      <c r="K2296" s="17"/>
      <c r="L2296" s="7">
        <f t="shared" si="1017"/>
        <v>47</v>
      </c>
      <c r="M2296" s="8">
        <v>1</v>
      </c>
      <c r="N2296" s="8">
        <f t="shared" si="1018"/>
        <v>1</v>
      </c>
      <c r="O2296" s="11" t="s">
        <v>1702</v>
      </c>
      <c r="P2296" s="16" t="str">
        <f t="shared" si="1019"/>
        <v>08-Aug-1920</v>
      </c>
      <c r="R2296" s="16" t="str">
        <f t="shared" si="1020"/>
        <v>x</v>
      </c>
      <c r="S2296" s="16" t="str">
        <f t="shared" si="1020"/>
        <v>x</v>
      </c>
      <c r="U2296" s="46" t="str">
        <f t="shared" si="986"/>
        <v/>
      </c>
      <c r="V2296" s="46">
        <f t="shared" si="986"/>
        <v>47</v>
      </c>
      <c r="W2296" s="46" t="str">
        <f t="shared" si="986"/>
        <v/>
      </c>
      <c r="X2296" s="46" t="str">
        <f t="shared" si="986"/>
        <v/>
      </c>
    </row>
    <row r="2297" spans="2:24" x14ac:dyDescent="0.25">
      <c r="B2297" s="11" t="str">
        <f t="shared" si="1016"/>
        <v>KROO-11SEP1920</v>
      </c>
      <c r="C2297" s="11" t="s">
        <v>3024</v>
      </c>
      <c r="D2297" s="11" t="s">
        <v>2814</v>
      </c>
      <c r="E2297" s="39" t="s">
        <v>3969</v>
      </c>
      <c r="F2297" s="11" t="s">
        <v>1700</v>
      </c>
      <c r="G2297" s="39" t="s">
        <v>3970</v>
      </c>
      <c r="H2297" s="7">
        <v>0</v>
      </c>
      <c r="I2297" s="7">
        <v>0</v>
      </c>
      <c r="J2297" s="17">
        <v>11</v>
      </c>
      <c r="K2297" s="17"/>
      <c r="L2297" s="7">
        <f t="shared" si="1017"/>
        <v>11</v>
      </c>
      <c r="M2297" s="8">
        <v>1</v>
      </c>
      <c r="N2297" s="8">
        <f t="shared" si="1018"/>
        <v>1</v>
      </c>
      <c r="O2297" s="11" t="s">
        <v>1702</v>
      </c>
      <c r="P2297" s="16" t="str">
        <f t="shared" si="1019"/>
        <v>11-Sep-1920</v>
      </c>
      <c r="R2297" s="16" t="str">
        <f t="shared" si="1020"/>
        <v>x</v>
      </c>
      <c r="S2297" s="16" t="str">
        <f t="shared" si="1020"/>
        <v>x</v>
      </c>
      <c r="U2297" s="46" t="str">
        <f t="shared" si="986"/>
        <v/>
      </c>
      <c r="V2297" s="46">
        <f t="shared" si="986"/>
        <v>11</v>
      </c>
      <c r="W2297" s="46" t="str">
        <f t="shared" si="986"/>
        <v/>
      </c>
      <c r="X2297" s="46" t="str">
        <f t="shared" si="986"/>
        <v/>
      </c>
    </row>
    <row r="2298" spans="2:24" x14ac:dyDescent="0.25">
      <c r="B2298" s="11" t="str">
        <f t="shared" si="1016"/>
        <v>KROO-12SEP1921</v>
      </c>
      <c r="C2298" s="11" t="s">
        <v>3024</v>
      </c>
      <c r="D2298" s="11" t="s">
        <v>2224</v>
      </c>
      <c r="E2298" s="39" t="s">
        <v>3188</v>
      </c>
      <c r="F2298" s="11" t="s">
        <v>1700</v>
      </c>
      <c r="G2298" s="39" t="s">
        <v>2065</v>
      </c>
      <c r="H2298" s="7">
        <v>0</v>
      </c>
      <c r="I2298" s="7">
        <v>0</v>
      </c>
      <c r="J2298" s="17">
        <v>4</v>
      </c>
      <c r="K2298" s="17"/>
      <c r="L2298" s="7">
        <f t="shared" si="1017"/>
        <v>4</v>
      </c>
      <c r="M2298" s="8">
        <v>1</v>
      </c>
      <c r="N2298" s="8">
        <f t="shared" si="1018"/>
        <v>1</v>
      </c>
      <c r="O2298" s="11" t="s">
        <v>1702</v>
      </c>
      <c r="P2298" s="16" t="str">
        <f t="shared" si="1019"/>
        <v>12-Sep-1921</v>
      </c>
      <c r="R2298" s="16" t="str">
        <f t="shared" si="1020"/>
        <v>x</v>
      </c>
      <c r="S2298" s="16" t="str">
        <f t="shared" si="1020"/>
        <v>x</v>
      </c>
      <c r="U2298" s="46" t="str">
        <f t="shared" si="986"/>
        <v/>
      </c>
      <c r="V2298" s="46">
        <f t="shared" si="986"/>
        <v>4</v>
      </c>
      <c r="W2298" s="46" t="str">
        <f t="shared" si="986"/>
        <v/>
      </c>
      <c r="X2298" s="46" t="str">
        <f t="shared" si="986"/>
        <v/>
      </c>
    </row>
    <row r="2299" spans="2:24" x14ac:dyDescent="0.25">
      <c r="B2299" s="11" t="str">
        <f t="shared" si="1016"/>
        <v>KROO-17OCT1921</v>
      </c>
      <c r="C2299" s="11" t="s">
        <v>3024</v>
      </c>
      <c r="D2299" s="11" t="s">
        <v>2224</v>
      </c>
      <c r="E2299" s="39" t="s">
        <v>4382</v>
      </c>
      <c r="F2299" s="11" t="s">
        <v>1700</v>
      </c>
      <c r="G2299" s="39" t="s">
        <v>3734</v>
      </c>
      <c r="H2299" s="7">
        <v>4</v>
      </c>
      <c r="I2299" s="7">
        <v>0</v>
      </c>
      <c r="J2299" s="17">
        <f>4+1</f>
        <v>5</v>
      </c>
      <c r="K2299" s="17"/>
      <c r="L2299" s="7">
        <f t="shared" si="1017"/>
        <v>9</v>
      </c>
      <c r="M2299" s="8">
        <v>1</v>
      </c>
      <c r="N2299" s="8">
        <f t="shared" si="1018"/>
        <v>1</v>
      </c>
      <c r="O2299" s="11" t="s">
        <v>1702</v>
      </c>
      <c r="P2299" s="16" t="str">
        <f t="shared" si="1019"/>
        <v>17-Oct-1921</v>
      </c>
      <c r="R2299" s="16" t="str">
        <f>IF($L2299&gt;0,"x","")</f>
        <v>x</v>
      </c>
      <c r="S2299" s="16" t="str">
        <f>IF($L2299&gt;0,"x","")</f>
        <v>x</v>
      </c>
      <c r="U2299" s="46" t="str">
        <f t="shared" si="986"/>
        <v/>
      </c>
      <c r="V2299" s="46">
        <f t="shared" si="986"/>
        <v>9</v>
      </c>
      <c r="W2299" s="46" t="str">
        <f t="shared" si="986"/>
        <v/>
      </c>
      <c r="X2299" s="46" t="str">
        <f t="shared" si="986"/>
        <v/>
      </c>
    </row>
    <row r="2300" spans="2:24" x14ac:dyDescent="0.25">
      <c r="N2300" s="8" t="str">
        <f>IF(R2300="x",1,"")</f>
        <v/>
      </c>
      <c r="U2300" s="46" t="str">
        <f t="shared" si="986"/>
        <v/>
      </c>
      <c r="V2300" s="46" t="str">
        <f t="shared" si="986"/>
        <v/>
      </c>
      <c r="W2300" s="46" t="str">
        <f t="shared" si="986"/>
        <v/>
      </c>
      <c r="X2300" s="46" t="str">
        <f t="shared" si="986"/>
        <v/>
      </c>
    </row>
    <row r="2301" spans="2:24" x14ac:dyDescent="0.25">
      <c r="B2301" s="18"/>
      <c r="C2301" s="18"/>
      <c r="D2301" s="18"/>
      <c r="E2301" s="40"/>
      <c r="F2301" s="18"/>
      <c r="G2301" s="40"/>
      <c r="H2301" s="7">
        <f t="shared" ref="H2301:N2301" si="1021">SUM(H2294:H2300)</f>
        <v>4</v>
      </c>
      <c r="I2301" s="7">
        <f t="shared" si="1021"/>
        <v>8</v>
      </c>
      <c r="J2301" s="7">
        <f>SUM(J2294:J2300)</f>
        <v>84</v>
      </c>
      <c r="K2301" s="7">
        <f t="shared" si="1021"/>
        <v>0</v>
      </c>
      <c r="L2301" s="7">
        <f t="shared" si="1021"/>
        <v>96</v>
      </c>
      <c r="M2301" s="7">
        <f t="shared" si="1021"/>
        <v>6</v>
      </c>
      <c r="N2301" s="7">
        <f t="shared" si="1021"/>
        <v>6</v>
      </c>
      <c r="O2301" s="18"/>
      <c r="P2301" s="13"/>
      <c r="Q2301" s="13"/>
      <c r="S2301" s="13"/>
      <c r="T2301" s="15"/>
      <c r="U2301" s="46" t="str">
        <f t="shared" si="986"/>
        <v/>
      </c>
      <c r="V2301" s="46" t="str">
        <f t="shared" si="986"/>
        <v/>
      </c>
      <c r="W2301" s="46" t="str">
        <f t="shared" si="986"/>
        <v/>
      </c>
      <c r="X2301" s="46" t="str">
        <f t="shared" si="986"/>
        <v/>
      </c>
    </row>
    <row r="2302" spans="2:24" x14ac:dyDescent="0.25">
      <c r="B2302" s="18"/>
      <c r="C2302" s="18"/>
      <c r="D2302" s="18"/>
      <c r="E2302" s="40"/>
      <c r="F2302" s="18"/>
      <c r="G2302" s="40"/>
      <c r="N2302" s="8" t="str">
        <f>IF(R2302="x",1,"")</f>
        <v/>
      </c>
      <c r="O2302" s="18"/>
      <c r="P2302" s="13"/>
      <c r="Q2302" s="13"/>
      <c r="R2302" s="13"/>
      <c r="S2302" s="13"/>
      <c r="T2302" s="15"/>
      <c r="U2302" s="46" t="str">
        <f t="shared" si="986"/>
        <v/>
      </c>
      <c r="V2302" s="46" t="str">
        <f t="shared" si="986"/>
        <v/>
      </c>
      <c r="W2302" s="46" t="str">
        <f t="shared" si="986"/>
        <v/>
      </c>
      <c r="X2302" s="46" t="str">
        <f t="shared" si="986"/>
        <v/>
      </c>
    </row>
    <row r="2303" spans="2:24" x14ac:dyDescent="0.25">
      <c r="B2303" s="18"/>
      <c r="C2303" s="18"/>
      <c r="D2303" s="18"/>
      <c r="E2303" s="40"/>
      <c r="F2303" s="18"/>
      <c r="G2303" s="40"/>
      <c r="N2303" s="8" t="str">
        <f>IF(R2303="x",1,"")</f>
        <v/>
      </c>
      <c r="O2303" s="18"/>
      <c r="P2303" s="13"/>
      <c r="Q2303" s="13"/>
      <c r="R2303" s="13"/>
      <c r="S2303" s="13"/>
      <c r="T2303" s="15"/>
      <c r="U2303" s="46" t="str">
        <f t="shared" si="986"/>
        <v/>
      </c>
      <c r="V2303" s="46" t="str">
        <f t="shared" si="986"/>
        <v/>
      </c>
      <c r="W2303" s="46" t="str">
        <f t="shared" si="986"/>
        <v/>
      </c>
      <c r="X2303" s="46" t="str">
        <f t="shared" si="986"/>
        <v/>
      </c>
    </row>
    <row r="2304" spans="2:24" x14ac:dyDescent="0.25">
      <c r="B2304" s="11" t="str">
        <f>CONCATENATE("KRSK","-",LEFT(P2304,2),UPPER(MID(P2304,4,3)),RIGHT(P2304,4))</f>
        <v>KRSK-28APR1913</v>
      </c>
      <c r="C2304" s="11" t="s">
        <v>4042</v>
      </c>
      <c r="D2304" s="11" t="s">
        <v>5100</v>
      </c>
      <c r="E2304" s="39" t="s">
        <v>5905</v>
      </c>
      <c r="F2304" s="11" t="s">
        <v>1700</v>
      </c>
      <c r="G2304" s="39" t="s">
        <v>1022</v>
      </c>
      <c r="H2304" s="7">
        <v>0</v>
      </c>
      <c r="I2304" s="7">
        <v>51</v>
      </c>
      <c r="J2304" s="17">
        <v>27</v>
      </c>
      <c r="K2304" s="17"/>
      <c r="L2304" s="7">
        <f>SUM(H2304:K2304)</f>
        <v>78</v>
      </c>
      <c r="M2304" s="8">
        <v>1</v>
      </c>
      <c r="N2304" s="8">
        <f>IF(L2304&gt;0,1,"")</f>
        <v>1</v>
      </c>
      <c r="O2304" s="11" t="s">
        <v>1702</v>
      </c>
      <c r="P2304" s="16" t="str">
        <f>IF(LEN(G2304)=10,CONCATENATE("0",G2304),G2304)</f>
        <v>28-Apr-1913</v>
      </c>
      <c r="R2304" s="16" t="str">
        <f>IF($L2304&gt;0,"x","")</f>
        <v>x</v>
      </c>
      <c r="S2304" s="16" t="str">
        <f>IF($L2304&gt;0,"x","")</f>
        <v>x</v>
      </c>
      <c r="U2304" s="46" t="str">
        <f t="shared" si="986"/>
        <v/>
      </c>
      <c r="V2304" s="46">
        <f t="shared" si="986"/>
        <v>78</v>
      </c>
      <c r="W2304" s="46" t="str">
        <f t="shared" si="986"/>
        <v/>
      </c>
      <c r="X2304" s="46" t="str">
        <f t="shared" si="986"/>
        <v/>
      </c>
    </row>
    <row r="2305" spans="2:24" x14ac:dyDescent="0.25">
      <c r="B2305" s="11" t="str">
        <f>CONCATENATE("KRSK","-",LEFT(P2305,2),UPPER(MID(P2305,4,3)),RIGHT(P2305,4))</f>
        <v>KRSK-04JAN1916</v>
      </c>
      <c r="C2305" s="11" t="s">
        <v>4042</v>
      </c>
      <c r="D2305" s="11" t="s">
        <v>4043</v>
      </c>
      <c r="E2305" s="39" t="s">
        <v>4044</v>
      </c>
      <c r="F2305" s="11" t="s">
        <v>1700</v>
      </c>
      <c r="G2305" s="39" t="s">
        <v>4045</v>
      </c>
      <c r="H2305" s="7">
        <v>0</v>
      </c>
      <c r="I2305" s="7">
        <f>11+1</f>
        <v>12</v>
      </c>
      <c r="J2305" s="17">
        <v>36</v>
      </c>
      <c r="K2305" s="17"/>
      <c r="L2305" s="7">
        <f>SUM(H2305:K2305)</f>
        <v>48</v>
      </c>
      <c r="M2305" s="8">
        <v>1</v>
      </c>
      <c r="N2305" s="8">
        <f>IF(L2305&gt;0,1,"")</f>
        <v>1</v>
      </c>
      <c r="O2305" s="11" t="s">
        <v>1702</v>
      </c>
      <c r="P2305" s="16" t="str">
        <f>IF(LEN(G2305)=10,CONCATENATE("0",G2305),G2305)</f>
        <v>04-Jan-1916</v>
      </c>
      <c r="R2305" s="16" t="str">
        <f>IF($L2305&gt;0,"x","")</f>
        <v>x</v>
      </c>
      <c r="S2305" s="16" t="str">
        <f>IF($L2305&gt;0,"x","")</f>
        <v>x</v>
      </c>
      <c r="U2305" s="46" t="str">
        <f>IF($O2305=U$5,$L2305,"")</f>
        <v/>
      </c>
      <c r="V2305" s="46">
        <f>IF($O2305=V$5,$L2305,"")</f>
        <v>48</v>
      </c>
      <c r="W2305" s="46" t="str">
        <f>IF($O2305=W$5,$L2305,"")</f>
        <v/>
      </c>
      <c r="X2305" s="46" t="str">
        <f>IF($O2305=X$5,$L2305,"")</f>
        <v/>
      </c>
    </row>
    <row r="2306" spans="2:24" x14ac:dyDescent="0.25">
      <c r="N2306" s="8" t="str">
        <f>IF(R2306="x",1,"")</f>
        <v/>
      </c>
      <c r="U2306" s="46" t="str">
        <f t="shared" si="986"/>
        <v/>
      </c>
      <c r="V2306" s="46" t="str">
        <f t="shared" si="986"/>
        <v/>
      </c>
      <c r="W2306" s="46" t="str">
        <f t="shared" si="986"/>
        <v/>
      </c>
      <c r="X2306" s="46" t="str">
        <f t="shared" si="986"/>
        <v/>
      </c>
    </row>
    <row r="2307" spans="2:24" x14ac:dyDescent="0.25">
      <c r="B2307" s="18"/>
      <c r="C2307" s="18"/>
      <c r="D2307" s="18"/>
      <c r="E2307" s="40"/>
      <c r="F2307" s="18"/>
      <c r="G2307" s="40"/>
      <c r="H2307" s="7">
        <f t="shared" ref="H2307:N2307" si="1022">SUM(H2304:H2306)</f>
        <v>0</v>
      </c>
      <c r="I2307" s="7">
        <f t="shared" si="1022"/>
        <v>63</v>
      </c>
      <c r="J2307" s="7">
        <f>SUM(J2304:J2306)</f>
        <v>63</v>
      </c>
      <c r="K2307" s="7">
        <f t="shared" si="1022"/>
        <v>0</v>
      </c>
      <c r="L2307" s="7">
        <f t="shared" si="1022"/>
        <v>126</v>
      </c>
      <c r="M2307" s="7">
        <f t="shared" si="1022"/>
        <v>2</v>
      </c>
      <c r="N2307" s="7">
        <f t="shared" si="1022"/>
        <v>2</v>
      </c>
      <c r="O2307" s="18"/>
      <c r="P2307" s="13"/>
      <c r="Q2307" s="13"/>
      <c r="S2307" s="13"/>
      <c r="T2307" s="15"/>
      <c r="U2307" s="46" t="str">
        <f t="shared" si="986"/>
        <v/>
      </c>
      <c r="V2307" s="46" t="str">
        <f t="shared" si="986"/>
        <v/>
      </c>
      <c r="W2307" s="46" t="str">
        <f t="shared" si="986"/>
        <v/>
      </c>
      <c r="X2307" s="46" t="str">
        <f t="shared" si="986"/>
        <v/>
      </c>
    </row>
    <row r="2308" spans="2:24" x14ac:dyDescent="0.25">
      <c r="B2308" s="18"/>
      <c r="C2308" s="18"/>
      <c r="D2308" s="18"/>
      <c r="E2308" s="40"/>
      <c r="F2308" s="18"/>
      <c r="G2308" s="40"/>
      <c r="N2308" s="8" t="str">
        <f>IF(R2308="x",1,"")</f>
        <v/>
      </c>
      <c r="O2308" s="18"/>
      <c r="P2308" s="13"/>
      <c r="Q2308" s="13"/>
      <c r="R2308" s="13"/>
      <c r="S2308" s="13"/>
      <c r="T2308" s="15"/>
      <c r="U2308" s="46" t="str">
        <f t="shared" si="986"/>
        <v/>
      </c>
      <c r="V2308" s="46" t="str">
        <f t="shared" si="986"/>
        <v/>
      </c>
      <c r="W2308" s="46" t="str">
        <f t="shared" si="986"/>
        <v/>
      </c>
      <c r="X2308" s="46" t="str">
        <f t="shared" si="986"/>
        <v/>
      </c>
    </row>
    <row r="2309" spans="2:24" x14ac:dyDescent="0.25">
      <c r="B2309" s="18"/>
      <c r="C2309" s="18"/>
      <c r="D2309" s="18"/>
      <c r="E2309" s="40"/>
      <c r="F2309" s="18"/>
      <c r="G2309" s="40"/>
      <c r="N2309" s="8" t="str">
        <f>IF(R2309="x",1,"")</f>
        <v/>
      </c>
      <c r="O2309" s="18"/>
      <c r="P2309" s="13"/>
      <c r="Q2309" s="13"/>
      <c r="R2309" s="13"/>
      <c r="S2309" s="13"/>
      <c r="T2309" s="15"/>
      <c r="U2309" s="46" t="str">
        <f t="shared" si="986"/>
        <v/>
      </c>
      <c r="V2309" s="46" t="str">
        <f t="shared" si="986"/>
        <v/>
      </c>
      <c r="W2309" s="46" t="str">
        <f t="shared" si="986"/>
        <v/>
      </c>
      <c r="X2309" s="46" t="str">
        <f t="shared" si="986"/>
        <v/>
      </c>
    </row>
    <row r="2310" spans="2:24" x14ac:dyDescent="0.25">
      <c r="B2310" s="11" t="str">
        <f t="shared" ref="B2310:B2322" si="1023">CONCATENATE("LAQT","-",LEFT(P2310,2),UPPER(MID(P2310,4,3)),RIGHT(P2310,4))</f>
        <v>LAQT-18DEC1899</v>
      </c>
      <c r="C2310" s="11" t="s">
        <v>3423</v>
      </c>
      <c r="D2310" s="11" t="s">
        <v>1699</v>
      </c>
      <c r="E2310" s="39" t="s">
        <v>6078</v>
      </c>
      <c r="F2310" s="11" t="s">
        <v>1700</v>
      </c>
      <c r="G2310" s="39" t="s">
        <v>6105</v>
      </c>
      <c r="J2310" s="17">
        <v>13</v>
      </c>
      <c r="K2310" s="17"/>
      <c r="L2310" s="7">
        <f t="shared" ref="L2310:L2322" si="1024">SUM(H2310:K2310)</f>
        <v>13</v>
      </c>
      <c r="M2310" s="8">
        <v>1</v>
      </c>
      <c r="N2310" s="8">
        <f t="shared" ref="N2310:N2322" si="1025">IF(L2310&gt;0,1,"")</f>
        <v>1</v>
      </c>
      <c r="O2310" s="11" t="s">
        <v>1702</v>
      </c>
      <c r="P2310" s="16" t="str">
        <f t="shared" ref="P2310:P2322" si="1026">IF(LEN(G2310)=10,CONCATENATE("0",G2310),G2310)</f>
        <v>18-Dec-1899</v>
      </c>
      <c r="R2310" s="16" t="str">
        <f>IF($L2310&gt;0,"x","")</f>
        <v>x</v>
      </c>
      <c r="S2310" s="16" t="str">
        <f>IF($L2310&gt;0,"x","")</f>
        <v>x</v>
      </c>
      <c r="U2310" s="46" t="str">
        <f t="shared" si="986"/>
        <v/>
      </c>
      <c r="V2310" s="46">
        <f t="shared" si="986"/>
        <v>13</v>
      </c>
      <c r="W2310" s="46" t="str">
        <f t="shared" si="986"/>
        <v/>
      </c>
      <c r="X2310" s="46" t="str">
        <f t="shared" si="986"/>
        <v/>
      </c>
    </row>
    <row r="2311" spans="2:24" x14ac:dyDescent="0.25">
      <c r="B2311" s="11" t="str">
        <f>CONCATENATE("LAQT","-",LEFT(P2311,2),UPPER(MID(P2311,4,3)),RIGHT(P2311,4))</f>
        <v>LAQT-08APR1900</v>
      </c>
      <c r="C2311" s="11" t="s">
        <v>3423</v>
      </c>
      <c r="D2311" s="11" t="s">
        <v>1699</v>
      </c>
      <c r="E2311" s="39" t="s">
        <v>5691</v>
      </c>
      <c r="F2311" s="11" t="s">
        <v>1700</v>
      </c>
      <c r="G2311" s="39" t="s">
        <v>5692</v>
      </c>
      <c r="J2311" s="17">
        <v>14</v>
      </c>
      <c r="K2311" s="17"/>
      <c r="L2311" s="7">
        <f>SUM(H2311:K2311)</f>
        <v>14</v>
      </c>
      <c r="M2311" s="8">
        <v>1</v>
      </c>
      <c r="N2311" s="8">
        <f>IF(L2311&gt;0,1,"")</f>
        <v>1</v>
      </c>
      <c r="O2311" s="11" t="s">
        <v>1702</v>
      </c>
      <c r="P2311" s="16" t="str">
        <f>IF(LEN(G2311)=10,CONCATENATE("0",G2311),G2311)</f>
        <v>08-Apr-1900</v>
      </c>
      <c r="R2311" s="16" t="str">
        <f>IF($L2311&gt;0,"x","")</f>
        <v>x</v>
      </c>
      <c r="S2311" s="16" t="str">
        <f>IF($L2311&gt;0,"x","")</f>
        <v>x</v>
      </c>
      <c r="U2311" s="46" t="str">
        <f t="shared" ref="U2311:X2313" si="1027">IF($O2311=U$5,$L2311,"")</f>
        <v/>
      </c>
      <c r="V2311" s="46">
        <f t="shared" si="1027"/>
        <v>14</v>
      </c>
      <c r="W2311" s="46" t="str">
        <f t="shared" si="1027"/>
        <v/>
      </c>
      <c r="X2311" s="46" t="str">
        <f t="shared" si="1027"/>
        <v/>
      </c>
    </row>
    <row r="2312" spans="2:24" x14ac:dyDescent="0.25">
      <c r="B2312" s="11" t="str">
        <f>CONCATENATE("LAQT","-",LEFT(P2312,2),UPPER(MID(P2312,4,3)),RIGHT(P2312,4))</f>
        <v>LAQT-26AUG1900</v>
      </c>
      <c r="C2312" s="11" t="s">
        <v>3423</v>
      </c>
      <c r="D2312" s="11" t="s">
        <v>1699</v>
      </c>
      <c r="E2312" s="39" t="s">
        <v>3425</v>
      </c>
      <c r="F2312" s="11" t="s">
        <v>1700</v>
      </c>
      <c r="G2312" s="39" t="s">
        <v>3424</v>
      </c>
      <c r="J2312" s="17">
        <v>42</v>
      </c>
      <c r="K2312" s="17"/>
      <c r="L2312" s="7">
        <f>SUM(H2312:K2312)</f>
        <v>42</v>
      </c>
      <c r="M2312" s="8">
        <v>1</v>
      </c>
      <c r="N2312" s="8">
        <f>IF(L2312&gt;0,1,"")</f>
        <v>1</v>
      </c>
      <c r="O2312" s="11" t="s">
        <v>1702</v>
      </c>
      <c r="P2312" s="16" t="str">
        <f>IF(LEN(G2312)=10,CONCATENATE("0",G2312),G2312)</f>
        <v>26-Aug-1900</v>
      </c>
      <c r="R2312" s="16" t="str">
        <f t="shared" ref="R2312:S2322" si="1028">IF($L2312&gt;0,"x","")</f>
        <v>x</v>
      </c>
      <c r="S2312" s="16" t="str">
        <f t="shared" si="1028"/>
        <v>x</v>
      </c>
      <c r="U2312" s="46" t="str">
        <f t="shared" si="1027"/>
        <v/>
      </c>
      <c r="V2312" s="46">
        <f t="shared" si="1027"/>
        <v>42</v>
      </c>
      <c r="W2312" s="46" t="str">
        <f t="shared" si="1027"/>
        <v/>
      </c>
      <c r="X2312" s="46" t="str">
        <f t="shared" si="1027"/>
        <v/>
      </c>
    </row>
    <row r="2313" spans="2:24" x14ac:dyDescent="0.25">
      <c r="B2313" s="11" t="str">
        <f>CONCATENATE("LAQT","-",LEFT(P2313,2),UPPER(MID(P2313,4,3)),RIGHT(P2313,4))</f>
        <v>LAQT-29JUL1900</v>
      </c>
      <c r="C2313" s="11" t="s">
        <v>3423</v>
      </c>
      <c r="D2313" s="11" t="s">
        <v>1699</v>
      </c>
      <c r="E2313" s="39" t="s">
        <v>325</v>
      </c>
      <c r="F2313" s="11" t="s">
        <v>1700</v>
      </c>
      <c r="G2313" s="39" t="s">
        <v>6298</v>
      </c>
      <c r="J2313" s="17">
        <v>44</v>
      </c>
      <c r="K2313" s="17"/>
      <c r="L2313" s="7">
        <f>SUM(H2313:K2313)</f>
        <v>44</v>
      </c>
      <c r="M2313" s="8">
        <v>1</v>
      </c>
      <c r="N2313" s="8">
        <f>IF(L2313&gt;0,1,"")</f>
        <v>1</v>
      </c>
      <c r="O2313" s="11" t="s">
        <v>1702</v>
      </c>
      <c r="P2313" s="16" t="str">
        <f>IF(LEN(G2313)=10,CONCATENATE("0",G2313),G2313)</f>
        <v>29-Jul-1900</v>
      </c>
      <c r="R2313" s="16" t="str">
        <f t="shared" si="1028"/>
        <v>x</v>
      </c>
      <c r="S2313" s="16" t="str">
        <f t="shared" si="1028"/>
        <v>x</v>
      </c>
      <c r="U2313" s="46" t="str">
        <f t="shared" si="1027"/>
        <v/>
      </c>
      <c r="V2313" s="46">
        <f t="shared" si="1027"/>
        <v>44</v>
      </c>
      <c r="W2313" s="46" t="str">
        <f t="shared" si="1027"/>
        <v/>
      </c>
      <c r="X2313" s="46" t="str">
        <f t="shared" si="1027"/>
        <v/>
      </c>
    </row>
    <row r="2314" spans="2:24" x14ac:dyDescent="0.25">
      <c r="B2314" s="11" t="str">
        <f t="shared" si="1023"/>
        <v>LAQT-27OCT1900</v>
      </c>
      <c r="C2314" s="11" t="s">
        <v>3423</v>
      </c>
      <c r="D2314" s="11" t="s">
        <v>1699</v>
      </c>
      <c r="E2314" s="39" t="s">
        <v>3865</v>
      </c>
      <c r="F2314" s="11" t="s">
        <v>1700</v>
      </c>
      <c r="G2314" s="39" t="s">
        <v>3864</v>
      </c>
      <c r="J2314" s="17">
        <v>21</v>
      </c>
      <c r="K2314" s="17"/>
      <c r="L2314" s="7">
        <f t="shared" si="1024"/>
        <v>21</v>
      </c>
      <c r="M2314" s="8">
        <v>1</v>
      </c>
      <c r="N2314" s="8">
        <f t="shared" si="1025"/>
        <v>1</v>
      </c>
      <c r="O2314" s="11" t="s">
        <v>1702</v>
      </c>
      <c r="P2314" s="16" t="str">
        <f t="shared" si="1026"/>
        <v>27-Oct-1900</v>
      </c>
      <c r="R2314" s="16" t="str">
        <f t="shared" si="1028"/>
        <v>x</v>
      </c>
      <c r="S2314" s="16" t="str">
        <f t="shared" si="1028"/>
        <v>x</v>
      </c>
      <c r="U2314" s="46" t="str">
        <f t="shared" si="986"/>
        <v/>
      </c>
      <c r="V2314" s="46">
        <f t="shared" si="986"/>
        <v>21</v>
      </c>
      <c r="W2314" s="46" t="str">
        <f t="shared" si="986"/>
        <v/>
      </c>
      <c r="X2314" s="46" t="str">
        <f t="shared" si="986"/>
        <v/>
      </c>
    </row>
    <row r="2315" spans="2:24" x14ac:dyDescent="0.25">
      <c r="B2315" s="11" t="str">
        <f t="shared" si="1023"/>
        <v>LAQT-18FEB1901</v>
      </c>
      <c r="C2315" s="11" t="s">
        <v>3423</v>
      </c>
      <c r="D2315" s="11" t="s">
        <v>1699</v>
      </c>
      <c r="E2315" s="39" t="s">
        <v>3570</v>
      </c>
      <c r="F2315" s="11" t="s">
        <v>1700</v>
      </c>
      <c r="G2315" s="39" t="s">
        <v>3571</v>
      </c>
      <c r="J2315" s="17">
        <v>44</v>
      </c>
      <c r="K2315" s="17"/>
      <c r="L2315" s="7">
        <f t="shared" si="1024"/>
        <v>44</v>
      </c>
      <c r="M2315" s="8">
        <v>1</v>
      </c>
      <c r="N2315" s="8">
        <f t="shared" si="1025"/>
        <v>1</v>
      </c>
      <c r="O2315" s="11" t="s">
        <v>1702</v>
      </c>
      <c r="P2315" s="16" t="str">
        <f t="shared" si="1026"/>
        <v>18-Feb-1901</v>
      </c>
      <c r="R2315" s="16" t="str">
        <f t="shared" si="1028"/>
        <v>x</v>
      </c>
      <c r="S2315" s="16" t="str">
        <f t="shared" si="1028"/>
        <v>x</v>
      </c>
      <c r="U2315" s="46" t="str">
        <f t="shared" si="986"/>
        <v/>
      </c>
      <c r="V2315" s="46">
        <f t="shared" si="986"/>
        <v>44</v>
      </c>
      <c r="W2315" s="46" t="str">
        <f t="shared" si="986"/>
        <v/>
      </c>
      <c r="X2315" s="46" t="str">
        <f t="shared" si="986"/>
        <v/>
      </c>
    </row>
    <row r="2316" spans="2:24" x14ac:dyDescent="0.25">
      <c r="B2316" s="11" t="str">
        <f>CONCATENATE("LAQT","-",LEFT(P2316,2),UPPER(MID(P2316,4,3)),RIGHT(P2316,4))</f>
        <v>LAQT-14JUL1901</v>
      </c>
      <c r="C2316" s="11" t="s">
        <v>3423</v>
      </c>
      <c r="D2316" s="11" t="s">
        <v>1699</v>
      </c>
      <c r="E2316" s="39" t="s">
        <v>4764</v>
      </c>
      <c r="F2316" s="11" t="s">
        <v>1700</v>
      </c>
      <c r="G2316" s="39" t="s">
        <v>4765</v>
      </c>
      <c r="J2316" s="17">
        <v>12</v>
      </c>
      <c r="K2316" s="17"/>
      <c r="L2316" s="7">
        <f>SUM(H2316:K2316)</f>
        <v>12</v>
      </c>
      <c r="M2316" s="8">
        <v>1</v>
      </c>
      <c r="N2316" s="8">
        <f>IF(L2316&gt;0,1,"")</f>
        <v>1</v>
      </c>
      <c r="O2316" s="11" t="s">
        <v>1702</v>
      </c>
      <c r="P2316" s="16" t="str">
        <f>IF(LEN(G2316)=10,CONCATENATE("0",G2316),G2316)</f>
        <v>14-Jul-1901</v>
      </c>
      <c r="R2316" s="16" t="str">
        <f t="shared" si="1028"/>
        <v>x</v>
      </c>
      <c r="S2316" s="16" t="str">
        <f t="shared" si="1028"/>
        <v>x</v>
      </c>
      <c r="U2316" s="46" t="str">
        <f t="shared" ref="U2316:X2319" si="1029">IF($O2316=U$5,$L2316,"")</f>
        <v/>
      </c>
      <c r="V2316" s="46">
        <f t="shared" si="1029"/>
        <v>12</v>
      </c>
      <c r="W2316" s="46" t="str">
        <f t="shared" si="1029"/>
        <v/>
      </c>
      <c r="X2316" s="46" t="str">
        <f t="shared" si="1029"/>
        <v/>
      </c>
    </row>
    <row r="2317" spans="2:24" x14ac:dyDescent="0.25">
      <c r="B2317" s="11" t="str">
        <f>CONCATENATE("LAQT","-",LEFT(P2317,2),UPPER(MID(P2317,4,3)),RIGHT(P2317,4))</f>
        <v>LAQT-24AUG1901</v>
      </c>
      <c r="C2317" s="11" t="s">
        <v>3423</v>
      </c>
      <c r="D2317" s="11" t="s">
        <v>1699</v>
      </c>
      <c r="E2317" s="39" t="s">
        <v>5430</v>
      </c>
      <c r="F2317" s="11" t="s">
        <v>1700</v>
      </c>
      <c r="G2317" s="39" t="s">
        <v>5431</v>
      </c>
      <c r="J2317" s="17">
        <v>14</v>
      </c>
      <c r="K2317" s="17"/>
      <c r="L2317" s="7">
        <f>SUM(H2317:K2317)</f>
        <v>14</v>
      </c>
      <c r="M2317" s="8">
        <v>1</v>
      </c>
      <c r="N2317" s="8">
        <f>IF(L2317&gt;0,1,"")</f>
        <v>1</v>
      </c>
      <c r="O2317" s="11" t="s">
        <v>1702</v>
      </c>
      <c r="P2317" s="16" t="str">
        <f>IF(LEN(G2317)=10,CONCATENATE("0",G2317),G2317)</f>
        <v>24-Aug-1901</v>
      </c>
      <c r="R2317" s="16" t="str">
        <f t="shared" si="1028"/>
        <v>x</v>
      </c>
      <c r="S2317" s="16" t="str">
        <f t="shared" si="1028"/>
        <v>x</v>
      </c>
      <c r="U2317" s="46" t="str">
        <f t="shared" si="1029"/>
        <v/>
      </c>
      <c r="V2317" s="46">
        <f t="shared" si="1029"/>
        <v>14</v>
      </c>
      <c r="W2317" s="46" t="str">
        <f t="shared" si="1029"/>
        <v/>
      </c>
      <c r="X2317" s="46" t="str">
        <f t="shared" si="1029"/>
        <v/>
      </c>
    </row>
    <row r="2318" spans="2:24" x14ac:dyDescent="0.25">
      <c r="B2318" s="11" t="str">
        <f>CONCATENATE("LAQT","-",LEFT(P2318,2),UPPER(MID(P2318,4,3)),RIGHT(P2318,4))</f>
        <v>LAQT-17FEB1903</v>
      </c>
      <c r="C2318" s="11" t="s">
        <v>3423</v>
      </c>
      <c r="D2318" s="11" t="s">
        <v>1699</v>
      </c>
      <c r="E2318" s="39" t="s">
        <v>11362</v>
      </c>
      <c r="F2318" s="11" t="s">
        <v>1700</v>
      </c>
      <c r="G2318" s="39" t="s">
        <v>11363</v>
      </c>
      <c r="H2318" s="7">
        <v>0</v>
      </c>
      <c r="I2318" s="7">
        <v>0</v>
      </c>
      <c r="J2318" s="17">
        <v>18</v>
      </c>
      <c r="K2318" s="17"/>
      <c r="L2318" s="7">
        <f>SUM(H2318:K2318)</f>
        <v>18</v>
      </c>
      <c r="M2318" s="8">
        <v>1</v>
      </c>
      <c r="N2318" s="8">
        <f>IF(L2318&gt;0,1,"")</f>
        <v>1</v>
      </c>
      <c r="O2318" s="11" t="s">
        <v>1702</v>
      </c>
      <c r="P2318" s="16" t="str">
        <f>IF(LEN(G2318)=10,CONCATENATE("0",G2318),G2318)</f>
        <v>17-Feb-1903</v>
      </c>
      <c r="R2318" s="16" t="str">
        <f>IF($L2318&gt;0,"x","")</f>
        <v>x</v>
      </c>
      <c r="S2318" s="16" t="str">
        <f>IF($L2318&gt;0,"x","")</f>
        <v>x</v>
      </c>
      <c r="U2318" s="46" t="str">
        <f t="shared" si="1029"/>
        <v/>
      </c>
      <c r="V2318" s="46">
        <f t="shared" si="1029"/>
        <v>18</v>
      </c>
      <c r="W2318" s="46" t="str">
        <f t="shared" si="1029"/>
        <v/>
      </c>
      <c r="X2318" s="46" t="str">
        <f t="shared" si="1029"/>
        <v/>
      </c>
    </row>
    <row r="2319" spans="2:24" x14ac:dyDescent="0.25">
      <c r="B2319" s="11" t="str">
        <f t="shared" si="1023"/>
        <v>LAQT-06APR1904</v>
      </c>
      <c r="C2319" s="11" t="s">
        <v>3423</v>
      </c>
      <c r="D2319" s="11" t="s">
        <v>1699</v>
      </c>
      <c r="E2319" s="39" t="s">
        <v>1759</v>
      </c>
      <c r="F2319" s="11" t="s">
        <v>1700</v>
      </c>
      <c r="G2319" s="39" t="s">
        <v>4668</v>
      </c>
      <c r="J2319" s="17">
        <v>11</v>
      </c>
      <c r="K2319" s="17"/>
      <c r="L2319" s="7">
        <f t="shared" si="1024"/>
        <v>11</v>
      </c>
      <c r="M2319" s="8">
        <v>1</v>
      </c>
      <c r="N2319" s="8">
        <f t="shared" si="1025"/>
        <v>1</v>
      </c>
      <c r="O2319" s="11" t="s">
        <v>1702</v>
      </c>
      <c r="P2319" s="16" t="str">
        <f t="shared" si="1026"/>
        <v>06-Apr-1904</v>
      </c>
      <c r="R2319" s="16" t="str">
        <f t="shared" si="1028"/>
        <v>x</v>
      </c>
      <c r="S2319" s="16" t="str">
        <f t="shared" si="1028"/>
        <v>x</v>
      </c>
      <c r="U2319" s="46" t="str">
        <f t="shared" si="1029"/>
        <v/>
      </c>
      <c r="V2319" s="46">
        <f t="shared" si="1029"/>
        <v>11</v>
      </c>
      <c r="W2319" s="46" t="str">
        <f t="shared" si="1029"/>
        <v/>
      </c>
      <c r="X2319" s="46" t="str">
        <f t="shared" si="1029"/>
        <v/>
      </c>
    </row>
    <row r="2320" spans="2:24" x14ac:dyDescent="0.25">
      <c r="B2320" s="11" t="str">
        <f t="shared" si="1023"/>
        <v>LAQT-04APR1905</v>
      </c>
      <c r="C2320" s="11" t="s">
        <v>3423</v>
      </c>
      <c r="D2320" s="11" t="s">
        <v>1699</v>
      </c>
      <c r="E2320" s="39" t="s">
        <v>3680</v>
      </c>
      <c r="F2320" s="11" t="s">
        <v>1700</v>
      </c>
      <c r="G2320" s="39" t="s">
        <v>3679</v>
      </c>
      <c r="H2320" s="7">
        <v>0</v>
      </c>
      <c r="I2320" s="7">
        <v>0</v>
      </c>
      <c r="J2320" s="17">
        <v>20</v>
      </c>
      <c r="K2320" s="17"/>
      <c r="L2320" s="7">
        <f t="shared" si="1024"/>
        <v>20</v>
      </c>
      <c r="M2320" s="8">
        <v>1</v>
      </c>
      <c r="N2320" s="8">
        <f t="shared" si="1025"/>
        <v>1</v>
      </c>
      <c r="O2320" s="11" t="s">
        <v>1702</v>
      </c>
      <c r="P2320" s="16" t="str">
        <f t="shared" si="1026"/>
        <v>04-Apr-1905</v>
      </c>
      <c r="R2320" s="16" t="str">
        <f t="shared" si="1028"/>
        <v>x</v>
      </c>
      <c r="S2320" s="16" t="str">
        <f t="shared" si="1028"/>
        <v>x</v>
      </c>
      <c r="U2320" s="46" t="str">
        <f t="shared" si="986"/>
        <v/>
      </c>
      <c r="V2320" s="46">
        <f t="shared" si="986"/>
        <v>20</v>
      </c>
      <c r="W2320" s="46" t="str">
        <f t="shared" si="986"/>
        <v/>
      </c>
      <c r="X2320" s="46" t="str">
        <f t="shared" si="986"/>
        <v/>
      </c>
    </row>
    <row r="2321" spans="2:26" x14ac:dyDescent="0.25">
      <c r="B2321" s="11" t="str">
        <f>CONCATENATE("LAQT","-",LEFT(P2321,2),UPPER(MID(P2321,4,3)),RIGHT(P2321,4))</f>
        <v>LAQT-09MAY1905</v>
      </c>
      <c r="C2321" s="11" t="s">
        <v>3423</v>
      </c>
      <c r="D2321" s="11" t="s">
        <v>1699</v>
      </c>
      <c r="E2321" s="39" t="s">
        <v>2703</v>
      </c>
      <c r="F2321" s="11" t="s">
        <v>1700</v>
      </c>
      <c r="G2321" s="39" t="s">
        <v>2699</v>
      </c>
      <c r="J2321" s="17">
        <v>23</v>
      </c>
      <c r="K2321" s="17"/>
      <c r="L2321" s="7">
        <f>SUM(H2321:K2321)</f>
        <v>23</v>
      </c>
      <c r="M2321" s="8">
        <v>1</v>
      </c>
      <c r="N2321" s="8">
        <f>IF(L2321&gt;0,1,"")</f>
        <v>1</v>
      </c>
      <c r="O2321" s="11" t="s">
        <v>1702</v>
      </c>
      <c r="P2321" s="16" t="str">
        <f>IF(LEN(G2321)=10,CONCATENATE("0",G2321),G2321)</f>
        <v>09-May-1905</v>
      </c>
      <c r="R2321" s="16" t="str">
        <f t="shared" si="1028"/>
        <v>x</v>
      </c>
      <c r="S2321" s="16" t="str">
        <f t="shared" si="1028"/>
        <v>x</v>
      </c>
      <c r="U2321" s="46" t="str">
        <f t="shared" ref="U2321:X2322" si="1030">IF($O2321=U$5,$L2321,"")</f>
        <v/>
      </c>
      <c r="V2321" s="46">
        <f t="shared" si="1030"/>
        <v>23</v>
      </c>
      <c r="W2321" s="46" t="str">
        <f t="shared" si="1030"/>
        <v/>
      </c>
      <c r="X2321" s="46" t="str">
        <f t="shared" si="1030"/>
        <v/>
      </c>
    </row>
    <row r="2322" spans="2:26" x14ac:dyDescent="0.25">
      <c r="B2322" s="11" t="str">
        <f t="shared" si="1023"/>
        <v>LAQT-19SEP1905</v>
      </c>
      <c r="C2322" s="11" t="s">
        <v>3423</v>
      </c>
      <c r="D2322" s="11" t="s">
        <v>1699</v>
      </c>
      <c r="E2322" s="39" t="s">
        <v>4678</v>
      </c>
      <c r="F2322" s="11" t="s">
        <v>1700</v>
      </c>
      <c r="G2322" s="39" t="s">
        <v>4679</v>
      </c>
      <c r="H2322" s="7">
        <v>0</v>
      </c>
      <c r="I2322" s="7">
        <v>0</v>
      </c>
      <c r="J2322" s="17">
        <v>6</v>
      </c>
      <c r="K2322" s="17"/>
      <c r="L2322" s="7">
        <f t="shared" si="1024"/>
        <v>6</v>
      </c>
      <c r="M2322" s="8">
        <v>1</v>
      </c>
      <c r="N2322" s="8">
        <f t="shared" si="1025"/>
        <v>1</v>
      </c>
      <c r="O2322" s="11" t="s">
        <v>1702</v>
      </c>
      <c r="P2322" s="16" t="str">
        <f t="shared" si="1026"/>
        <v>19-Sep-1905</v>
      </c>
      <c r="R2322" s="16" t="str">
        <f t="shared" si="1028"/>
        <v>x</v>
      </c>
      <c r="S2322" s="16" t="str">
        <f t="shared" si="1028"/>
        <v>x</v>
      </c>
      <c r="U2322" s="46" t="str">
        <f t="shared" si="1030"/>
        <v/>
      </c>
      <c r="V2322" s="46">
        <f t="shared" si="1030"/>
        <v>6</v>
      </c>
      <c r="W2322" s="46" t="str">
        <f t="shared" si="1030"/>
        <v/>
      </c>
      <c r="X2322" s="46" t="str">
        <f t="shared" si="1030"/>
        <v/>
      </c>
    </row>
    <row r="2323" spans="2:26" x14ac:dyDescent="0.25">
      <c r="N2323" s="8" t="str">
        <f>IF(R2323="x",1,"")</f>
        <v/>
      </c>
      <c r="U2323" s="46" t="str">
        <f t="shared" si="986"/>
        <v/>
      </c>
      <c r="V2323" s="46" t="str">
        <f t="shared" si="986"/>
        <v/>
      </c>
      <c r="W2323" s="46" t="str">
        <f t="shared" si="986"/>
        <v/>
      </c>
      <c r="X2323" s="46" t="str">
        <f t="shared" si="986"/>
        <v/>
      </c>
    </row>
    <row r="2324" spans="2:26" x14ac:dyDescent="0.25">
      <c r="B2324" s="18"/>
      <c r="C2324" s="18"/>
      <c r="D2324" s="18"/>
      <c r="E2324" s="40"/>
      <c r="F2324" s="18"/>
      <c r="G2324" s="40"/>
      <c r="H2324" s="7">
        <f t="shared" ref="H2324:N2324" si="1031">SUM(H2310:H2323)</f>
        <v>0</v>
      </c>
      <c r="I2324" s="7">
        <f t="shared" si="1031"/>
        <v>0</v>
      </c>
      <c r="J2324" s="7">
        <f>SUM(J2310:J2323)</f>
        <v>282</v>
      </c>
      <c r="K2324" s="7">
        <f t="shared" si="1031"/>
        <v>0</v>
      </c>
      <c r="L2324" s="7">
        <f t="shared" si="1031"/>
        <v>282</v>
      </c>
      <c r="M2324" s="7">
        <f t="shared" si="1031"/>
        <v>13</v>
      </c>
      <c r="N2324" s="7">
        <f t="shared" si="1031"/>
        <v>13</v>
      </c>
      <c r="O2324" s="18"/>
      <c r="P2324" s="13"/>
      <c r="Q2324" s="13"/>
      <c r="S2324" s="13"/>
      <c r="T2324" s="15"/>
      <c r="U2324" s="46" t="str">
        <f t="shared" si="986"/>
        <v/>
      </c>
      <c r="V2324" s="46" t="str">
        <f t="shared" si="986"/>
        <v/>
      </c>
      <c r="W2324" s="46" t="str">
        <f t="shared" si="986"/>
        <v/>
      </c>
      <c r="X2324" s="46" t="str">
        <f t="shared" si="986"/>
        <v/>
      </c>
    </row>
    <row r="2325" spans="2:26" x14ac:dyDescent="0.25">
      <c r="B2325" s="18"/>
      <c r="C2325" s="18"/>
      <c r="D2325" s="18"/>
      <c r="E2325" s="40"/>
      <c r="F2325" s="18"/>
      <c r="G2325" s="40"/>
      <c r="N2325" s="8" t="str">
        <f>IF(R2325="x",1,"")</f>
        <v/>
      </c>
      <c r="O2325" s="18"/>
      <c r="P2325" s="13"/>
      <c r="Q2325" s="13"/>
      <c r="R2325" s="13"/>
      <c r="S2325" s="13"/>
      <c r="T2325" s="15"/>
      <c r="U2325" s="46" t="str">
        <f t="shared" ref="U2325:X2330" si="1032">IF($O2325=U$5,$L2325,"")</f>
        <v/>
      </c>
      <c r="V2325" s="46" t="str">
        <f t="shared" si="1032"/>
        <v/>
      </c>
      <c r="W2325" s="46" t="str">
        <f t="shared" si="1032"/>
        <v/>
      </c>
      <c r="X2325" s="46" t="str">
        <f t="shared" si="1032"/>
        <v/>
      </c>
    </row>
    <row r="2326" spans="2:26" x14ac:dyDescent="0.25">
      <c r="B2326" s="18"/>
      <c r="C2326" s="18"/>
      <c r="D2326" s="18"/>
      <c r="E2326" s="40"/>
      <c r="F2326" s="18"/>
      <c r="G2326" s="40"/>
      <c r="N2326" s="8" t="str">
        <f>IF(R2326="x",1,"")</f>
        <v/>
      </c>
      <c r="O2326" s="18"/>
      <c r="P2326" s="13"/>
      <c r="Q2326" s="13"/>
      <c r="R2326" s="13"/>
      <c r="S2326" s="13"/>
      <c r="T2326" s="15"/>
      <c r="U2326" s="46" t="str">
        <f t="shared" si="1032"/>
        <v/>
      </c>
      <c r="V2326" s="46" t="str">
        <f t="shared" si="1032"/>
        <v/>
      </c>
      <c r="W2326" s="46" t="str">
        <f t="shared" si="1032"/>
        <v/>
      </c>
      <c r="X2326" s="46" t="str">
        <f t="shared" si="1032"/>
        <v/>
      </c>
    </row>
    <row r="2327" spans="2:26" x14ac:dyDescent="0.25">
      <c r="B2327" s="11" t="str">
        <f>CONCATENATE("LBRD","-",LEFT(P2327,2),UPPER(MID(P2327,4,3)),RIGHT(P2327,4))</f>
        <v>LBRD-26APR1925</v>
      </c>
      <c r="C2327" s="11" t="s">
        <v>11338</v>
      </c>
      <c r="D2327" s="11" t="s">
        <v>1956</v>
      </c>
      <c r="E2327" s="39" t="s">
        <v>11414</v>
      </c>
      <c r="F2327" s="11" t="s">
        <v>2904</v>
      </c>
      <c r="G2327" s="39" t="s">
        <v>11415</v>
      </c>
      <c r="J2327" s="17">
        <v>5</v>
      </c>
      <c r="K2327" s="17"/>
      <c r="L2327" s="7">
        <f>SUM(H2327:K2327)</f>
        <v>5</v>
      </c>
      <c r="M2327" s="8">
        <v>1</v>
      </c>
      <c r="N2327" s="8">
        <f>IF(L2327&gt;0,1,"")</f>
        <v>1</v>
      </c>
      <c r="O2327" s="11" t="s">
        <v>1702</v>
      </c>
      <c r="P2327" s="16" t="str">
        <f>IF(LEN(G2327)=10,CONCATENATE("0",G2327),G2327)</f>
        <v>26-Apr-1925</v>
      </c>
      <c r="Q2327" s="80"/>
      <c r="S2327" s="16" t="str">
        <f>IF($L2327&gt;0,"x","")</f>
        <v>x</v>
      </c>
      <c r="U2327" s="46" t="str">
        <f t="shared" si="1032"/>
        <v/>
      </c>
      <c r="V2327" s="46">
        <f t="shared" si="1032"/>
        <v>5</v>
      </c>
      <c r="W2327" s="46" t="str">
        <f t="shared" si="1032"/>
        <v/>
      </c>
      <c r="X2327" s="46" t="str">
        <f t="shared" si="1032"/>
        <v/>
      </c>
    </row>
    <row r="2328" spans="2:26" x14ac:dyDescent="0.25">
      <c r="B2328" s="11" t="str">
        <f>CONCATENATE("LBRD","-",LEFT(P2328,2),UPPER(MID(P2328,4,3)),RIGHT(P2328,4))</f>
        <v>LBRD-10NOV1927</v>
      </c>
      <c r="C2328" s="11" t="s">
        <v>11338</v>
      </c>
      <c r="D2328" s="11" t="s">
        <v>1956</v>
      </c>
      <c r="E2328" s="39" t="s">
        <v>11339</v>
      </c>
      <c r="F2328" s="11" t="s">
        <v>1700</v>
      </c>
      <c r="G2328" s="39" t="s">
        <v>11340</v>
      </c>
      <c r="I2328" s="7">
        <v>0</v>
      </c>
      <c r="J2328" s="17">
        <v>2</v>
      </c>
      <c r="K2328" s="17"/>
      <c r="L2328" s="7">
        <f>SUM(H2328:K2328)</f>
        <v>2</v>
      </c>
      <c r="M2328" s="8">
        <v>1</v>
      </c>
      <c r="N2328" s="8">
        <f>IF(L2328&gt;0,1,"")</f>
        <v>1</v>
      </c>
      <c r="O2328" s="11" t="s">
        <v>1702</v>
      </c>
      <c r="P2328" s="16" t="str">
        <f>IF(LEN(G2328)=10,CONCATENATE("0",G2328),G2328)</f>
        <v>10-Nov-1927</v>
      </c>
      <c r="R2328" s="16" t="str">
        <f>IF($L2328&gt;0,"x","")</f>
        <v>x</v>
      </c>
      <c r="S2328" s="16" t="str">
        <f>IF($L2328&gt;0,"x","")</f>
        <v>x</v>
      </c>
      <c r="U2328" s="46" t="str">
        <f t="shared" si="1032"/>
        <v/>
      </c>
      <c r="V2328" s="46">
        <f t="shared" si="1032"/>
        <v>2</v>
      </c>
      <c r="W2328" s="46" t="str">
        <f t="shared" si="1032"/>
        <v/>
      </c>
      <c r="X2328" s="46" t="str">
        <f t="shared" si="1032"/>
        <v/>
      </c>
    </row>
    <row r="2329" spans="2:26" x14ac:dyDescent="0.25">
      <c r="N2329" s="8" t="str">
        <f>IF(R2329="x",1,"")</f>
        <v/>
      </c>
      <c r="U2329" s="46" t="str">
        <f t="shared" si="1032"/>
        <v/>
      </c>
      <c r="V2329" s="46" t="str">
        <f t="shared" si="1032"/>
        <v/>
      </c>
      <c r="W2329" s="46" t="str">
        <f t="shared" si="1032"/>
        <v/>
      </c>
      <c r="X2329" s="46" t="str">
        <f t="shared" si="1032"/>
        <v/>
      </c>
    </row>
    <row r="2330" spans="2:26" x14ac:dyDescent="0.25">
      <c r="B2330" s="18"/>
      <c r="C2330" s="18"/>
      <c r="D2330" s="18"/>
      <c r="E2330" s="40"/>
      <c r="F2330" s="18"/>
      <c r="G2330" s="40"/>
      <c r="H2330" s="7">
        <f t="shared" ref="H2330:N2330" si="1033">SUM(H2327:H2329)</f>
        <v>0</v>
      </c>
      <c r="I2330" s="7">
        <f t="shared" si="1033"/>
        <v>0</v>
      </c>
      <c r="J2330" s="7">
        <f t="shared" si="1033"/>
        <v>7</v>
      </c>
      <c r="K2330" s="7">
        <f t="shared" si="1033"/>
        <v>0</v>
      </c>
      <c r="L2330" s="7">
        <f t="shared" si="1033"/>
        <v>7</v>
      </c>
      <c r="M2330" s="7">
        <f t="shared" si="1033"/>
        <v>2</v>
      </c>
      <c r="N2330" s="7">
        <f t="shared" si="1033"/>
        <v>2</v>
      </c>
      <c r="O2330" s="18"/>
      <c r="P2330" s="13"/>
      <c r="Q2330" s="13"/>
      <c r="S2330" s="13"/>
      <c r="T2330" s="15"/>
      <c r="U2330" s="46" t="str">
        <f t="shared" si="1032"/>
        <v/>
      </c>
      <c r="V2330" s="46" t="str">
        <f t="shared" si="1032"/>
        <v/>
      </c>
      <c r="W2330" s="46" t="str">
        <f t="shared" si="1032"/>
        <v/>
      </c>
      <c r="X2330" s="46" t="str">
        <f t="shared" si="1032"/>
        <v/>
      </c>
    </row>
    <row r="2331" spans="2:26" s="18" customFormat="1" x14ac:dyDescent="0.25">
      <c r="E2331" s="40"/>
      <c r="G2331" s="40"/>
      <c r="H2331" s="7"/>
      <c r="I2331" s="7"/>
      <c r="J2331" s="7"/>
      <c r="K2331" s="7"/>
      <c r="L2331" s="7"/>
      <c r="M2331" s="8"/>
      <c r="N2331" s="8" t="str">
        <f>IF(R2331="x",1,"")</f>
        <v/>
      </c>
      <c r="P2331" s="13"/>
      <c r="Q2331" s="13"/>
      <c r="R2331" s="13"/>
      <c r="S2331" s="13"/>
      <c r="T2331" s="15"/>
      <c r="U2331" s="46" t="str">
        <f t="shared" si="986"/>
        <v/>
      </c>
      <c r="V2331" s="46" t="str">
        <f t="shared" si="986"/>
        <v/>
      </c>
      <c r="W2331" s="46" t="str">
        <f t="shared" si="986"/>
        <v/>
      </c>
      <c r="X2331" s="46" t="str">
        <f t="shared" si="986"/>
        <v/>
      </c>
      <c r="Z2331" s="11"/>
    </row>
    <row r="2332" spans="2:26" s="18" customFormat="1" x14ac:dyDescent="0.25">
      <c r="E2332" s="40"/>
      <c r="G2332" s="40"/>
      <c r="H2332" s="7"/>
      <c r="I2332" s="7"/>
      <c r="J2332" s="7"/>
      <c r="K2332" s="7"/>
      <c r="L2332" s="7"/>
      <c r="M2332" s="8"/>
      <c r="N2332" s="8" t="str">
        <f>IF(R2332="x",1,"")</f>
        <v/>
      </c>
      <c r="P2332" s="13"/>
      <c r="Q2332" s="13"/>
      <c r="R2332" s="13"/>
      <c r="S2332" s="13"/>
      <c r="T2332" s="15"/>
      <c r="U2332" s="46" t="str">
        <f t="shared" si="986"/>
        <v/>
      </c>
      <c r="V2332" s="46" t="str">
        <f t="shared" si="986"/>
        <v/>
      </c>
      <c r="W2332" s="46" t="str">
        <f t="shared" si="986"/>
        <v/>
      </c>
      <c r="X2332" s="46" t="str">
        <f t="shared" si="986"/>
        <v/>
      </c>
      <c r="Z2332" s="11"/>
    </row>
    <row r="2333" spans="2:26" x14ac:dyDescent="0.25">
      <c r="B2333" s="11" t="str">
        <f>CONCATENATE("LBRG","-",LEFT(P2333,2),UPPER(MID(P2333,4,3)),RIGHT(P2333,4))</f>
        <v>LBRG-11JAN1892</v>
      </c>
      <c r="C2333" s="11" t="s">
        <v>120</v>
      </c>
      <c r="D2333" s="11" t="s">
        <v>1699</v>
      </c>
      <c r="F2333" s="11" t="s">
        <v>1700</v>
      </c>
      <c r="G2333" s="39" t="s">
        <v>346</v>
      </c>
      <c r="H2333" s="7">
        <v>0</v>
      </c>
      <c r="I2333" s="7">
        <v>0</v>
      </c>
      <c r="J2333" s="17">
        <v>0</v>
      </c>
      <c r="K2333" s="17"/>
      <c r="L2333" s="7">
        <f>SUM(H2333:K2333)</f>
        <v>0</v>
      </c>
      <c r="M2333" s="8">
        <v>1</v>
      </c>
      <c r="N2333" s="8" t="str">
        <f t="shared" ref="N2333:N2393" si="1034">IF(L2333&gt;0,1,"")</f>
        <v/>
      </c>
      <c r="O2333" s="11" t="s">
        <v>1702</v>
      </c>
      <c r="P2333" s="16" t="str">
        <f>IF(LEN(G2333)=10,CONCATENATE("0",G2333),G2333)</f>
        <v>11-Jan-1892</v>
      </c>
      <c r="R2333" s="16" t="str">
        <f t="shared" ref="R2333:S2393" si="1035">IF($L2333&gt;0,"x","")</f>
        <v/>
      </c>
      <c r="S2333" s="16" t="str">
        <f t="shared" si="1035"/>
        <v/>
      </c>
      <c r="U2333" s="46" t="str">
        <f t="shared" si="986"/>
        <v/>
      </c>
      <c r="V2333" s="46">
        <f t="shared" si="986"/>
        <v>0</v>
      </c>
      <c r="W2333" s="46" t="str">
        <f t="shared" si="986"/>
        <v/>
      </c>
      <c r="X2333" s="46" t="str">
        <f t="shared" si="986"/>
        <v/>
      </c>
      <c r="Z2333" s="11" t="s">
        <v>404</v>
      </c>
    </row>
    <row r="2334" spans="2:26" x14ac:dyDescent="0.25">
      <c r="B2334" s="11" t="str">
        <f t="shared" ref="B2334:B2352" si="1036">CONCATENATE("LBRG","-",LEFT(P2334,2),UPPER(MID(P2334,4,3)),RIGHT(P2334,4))</f>
        <v>LBRG-04FEB1892</v>
      </c>
      <c r="C2334" s="11" t="s">
        <v>120</v>
      </c>
      <c r="D2334" s="11" t="s">
        <v>1699</v>
      </c>
      <c r="F2334" s="11" t="s">
        <v>1700</v>
      </c>
      <c r="G2334" s="39" t="s">
        <v>347</v>
      </c>
      <c r="H2334" s="7">
        <v>0</v>
      </c>
      <c r="I2334" s="7">
        <v>0</v>
      </c>
      <c r="J2334" s="17">
        <v>0</v>
      </c>
      <c r="K2334" s="17"/>
      <c r="L2334" s="7">
        <f t="shared" ref="L2334:L2352" si="1037">SUM(H2334:K2334)</f>
        <v>0</v>
      </c>
      <c r="M2334" s="8">
        <v>1</v>
      </c>
      <c r="N2334" s="8" t="str">
        <f t="shared" si="1034"/>
        <v/>
      </c>
      <c r="O2334" s="11" t="s">
        <v>1702</v>
      </c>
      <c r="P2334" s="16" t="str">
        <f t="shared" ref="P2334:P2352" si="1038">IF(LEN(G2334)=10,CONCATENATE("0",G2334),G2334)</f>
        <v>04-Feb-1892</v>
      </c>
      <c r="R2334" s="16" t="str">
        <f t="shared" si="1035"/>
        <v/>
      </c>
      <c r="S2334" s="16" t="str">
        <f t="shared" si="1035"/>
        <v/>
      </c>
      <c r="U2334" s="46" t="str">
        <f t="shared" si="986"/>
        <v/>
      </c>
      <c r="V2334" s="46">
        <f t="shared" si="986"/>
        <v>0</v>
      </c>
      <c r="W2334" s="46" t="str">
        <f t="shared" si="986"/>
        <v/>
      </c>
      <c r="X2334" s="46" t="str">
        <f t="shared" si="986"/>
        <v/>
      </c>
    </row>
    <row r="2335" spans="2:26" x14ac:dyDescent="0.25">
      <c r="B2335" s="11" t="str">
        <f t="shared" si="1036"/>
        <v>LBRG-07MAR1892</v>
      </c>
      <c r="C2335" s="11" t="s">
        <v>120</v>
      </c>
      <c r="D2335" s="11" t="s">
        <v>1699</v>
      </c>
      <c r="F2335" s="11" t="s">
        <v>1700</v>
      </c>
      <c r="G2335" s="39" t="s">
        <v>348</v>
      </c>
      <c r="H2335" s="7">
        <v>0</v>
      </c>
      <c r="I2335" s="7">
        <v>0</v>
      </c>
      <c r="J2335" s="17">
        <v>0</v>
      </c>
      <c r="K2335" s="17"/>
      <c r="L2335" s="7">
        <f t="shared" si="1037"/>
        <v>0</v>
      </c>
      <c r="M2335" s="8">
        <v>1</v>
      </c>
      <c r="N2335" s="8" t="str">
        <f t="shared" si="1034"/>
        <v/>
      </c>
      <c r="O2335" s="11" t="s">
        <v>1702</v>
      </c>
      <c r="P2335" s="16" t="str">
        <f t="shared" si="1038"/>
        <v>07-Mar-1892</v>
      </c>
      <c r="R2335" s="16" t="str">
        <f t="shared" si="1035"/>
        <v/>
      </c>
      <c r="S2335" s="16" t="str">
        <f t="shared" si="1035"/>
        <v/>
      </c>
      <c r="U2335" s="46" t="str">
        <f t="shared" si="986"/>
        <v/>
      </c>
      <c r="V2335" s="46">
        <f t="shared" si="986"/>
        <v>0</v>
      </c>
      <c r="W2335" s="46" t="str">
        <f t="shared" si="986"/>
        <v/>
      </c>
      <c r="X2335" s="46" t="str">
        <f t="shared" si="986"/>
        <v/>
      </c>
    </row>
    <row r="2336" spans="2:26" x14ac:dyDescent="0.25">
      <c r="B2336" s="11" t="str">
        <f t="shared" si="1036"/>
        <v>LBRG-09MAY1892</v>
      </c>
      <c r="C2336" s="11" t="s">
        <v>120</v>
      </c>
      <c r="D2336" s="11" t="s">
        <v>1699</v>
      </c>
      <c r="F2336" s="11" t="s">
        <v>1700</v>
      </c>
      <c r="G2336" s="39" t="s">
        <v>349</v>
      </c>
      <c r="H2336" s="7">
        <v>0</v>
      </c>
      <c r="I2336" s="7">
        <v>0</v>
      </c>
      <c r="J2336" s="17">
        <v>0</v>
      </c>
      <c r="K2336" s="17"/>
      <c r="L2336" s="7">
        <f t="shared" si="1037"/>
        <v>0</v>
      </c>
      <c r="M2336" s="8">
        <v>1</v>
      </c>
      <c r="N2336" s="8" t="str">
        <f t="shared" si="1034"/>
        <v/>
      </c>
      <c r="O2336" s="11" t="s">
        <v>1702</v>
      </c>
      <c r="P2336" s="16" t="str">
        <f t="shared" si="1038"/>
        <v>09-May-1892</v>
      </c>
      <c r="R2336" s="16" t="str">
        <f t="shared" si="1035"/>
        <v/>
      </c>
      <c r="S2336" s="16" t="str">
        <f t="shared" si="1035"/>
        <v/>
      </c>
      <c r="T2336" s="11"/>
      <c r="U2336" s="46" t="str">
        <f t="shared" si="986"/>
        <v/>
      </c>
      <c r="V2336" s="46">
        <f t="shared" si="986"/>
        <v>0</v>
      </c>
      <c r="W2336" s="46" t="str">
        <f t="shared" si="986"/>
        <v/>
      </c>
      <c r="X2336" s="46" t="str">
        <f t="shared" si="986"/>
        <v/>
      </c>
    </row>
    <row r="2337" spans="2:24" x14ac:dyDescent="0.25">
      <c r="B2337" s="11" t="str">
        <f t="shared" si="1036"/>
        <v>LBRG-06JUN1892</v>
      </c>
      <c r="C2337" s="11" t="s">
        <v>120</v>
      </c>
      <c r="D2337" s="11" t="s">
        <v>1699</v>
      </c>
      <c r="F2337" s="11" t="s">
        <v>1700</v>
      </c>
      <c r="G2337" s="39" t="s">
        <v>350</v>
      </c>
      <c r="H2337" s="7">
        <v>0</v>
      </c>
      <c r="I2337" s="7">
        <v>0</v>
      </c>
      <c r="J2337" s="17">
        <v>0</v>
      </c>
      <c r="K2337" s="17"/>
      <c r="L2337" s="7">
        <f t="shared" si="1037"/>
        <v>0</v>
      </c>
      <c r="M2337" s="8">
        <v>1</v>
      </c>
      <c r="N2337" s="8" t="str">
        <f t="shared" si="1034"/>
        <v/>
      </c>
      <c r="O2337" s="11" t="s">
        <v>1702</v>
      </c>
      <c r="P2337" s="16" t="str">
        <f t="shared" si="1038"/>
        <v>06-Jun-1892</v>
      </c>
      <c r="R2337" s="16" t="str">
        <f t="shared" si="1035"/>
        <v/>
      </c>
      <c r="S2337" s="16" t="str">
        <f t="shared" si="1035"/>
        <v/>
      </c>
      <c r="T2337" s="11"/>
      <c r="U2337" s="46" t="str">
        <f t="shared" si="986"/>
        <v/>
      </c>
      <c r="V2337" s="46">
        <f t="shared" si="986"/>
        <v>0</v>
      </c>
      <c r="W2337" s="46" t="str">
        <f t="shared" si="986"/>
        <v/>
      </c>
      <c r="X2337" s="46" t="str">
        <f>IF($O2337=X$5,$L2337,"")</f>
        <v/>
      </c>
    </row>
    <row r="2338" spans="2:24" x14ac:dyDescent="0.25">
      <c r="B2338" s="11" t="str">
        <f t="shared" si="1036"/>
        <v>LBRG-05JUL1892</v>
      </c>
      <c r="C2338" s="11" t="s">
        <v>120</v>
      </c>
      <c r="D2338" s="11" t="s">
        <v>1699</v>
      </c>
      <c r="F2338" s="11" t="s">
        <v>1700</v>
      </c>
      <c r="G2338" s="39" t="s">
        <v>215</v>
      </c>
      <c r="H2338" s="7">
        <v>0</v>
      </c>
      <c r="I2338" s="7">
        <v>0</v>
      </c>
      <c r="J2338" s="17">
        <v>0</v>
      </c>
      <c r="K2338" s="17"/>
      <c r="L2338" s="7">
        <f t="shared" si="1037"/>
        <v>0</v>
      </c>
      <c r="M2338" s="8">
        <v>1</v>
      </c>
      <c r="N2338" s="8" t="str">
        <f t="shared" si="1034"/>
        <v/>
      </c>
      <c r="O2338" s="11" t="s">
        <v>1702</v>
      </c>
      <c r="P2338" s="16" t="str">
        <f t="shared" si="1038"/>
        <v>05-Jul-1892</v>
      </c>
      <c r="R2338" s="16" t="str">
        <f t="shared" si="1035"/>
        <v/>
      </c>
      <c r="S2338" s="16" t="str">
        <f t="shared" si="1035"/>
        <v/>
      </c>
      <c r="T2338" s="11"/>
      <c r="U2338" s="46" t="str">
        <f t="shared" ref="U2338:X2403" si="1039">IF($O2338=U$5,$L2338,"")</f>
        <v/>
      </c>
      <c r="V2338" s="46">
        <f t="shared" si="1039"/>
        <v>0</v>
      </c>
      <c r="W2338" s="46" t="str">
        <f t="shared" si="1039"/>
        <v/>
      </c>
      <c r="X2338" s="46" t="str">
        <f t="shared" si="1039"/>
        <v/>
      </c>
    </row>
    <row r="2339" spans="2:24" x14ac:dyDescent="0.25">
      <c r="B2339" s="11" t="str">
        <f t="shared" si="1036"/>
        <v>LBRG-08AUG1892</v>
      </c>
      <c r="C2339" s="11" t="s">
        <v>120</v>
      </c>
      <c r="D2339" s="11" t="s">
        <v>1699</v>
      </c>
      <c r="F2339" s="11" t="s">
        <v>1700</v>
      </c>
      <c r="G2339" s="39" t="s">
        <v>351</v>
      </c>
      <c r="H2339" s="7">
        <v>0</v>
      </c>
      <c r="I2339" s="7">
        <v>0</v>
      </c>
      <c r="J2339" s="17">
        <v>0</v>
      </c>
      <c r="K2339" s="17"/>
      <c r="L2339" s="7">
        <f t="shared" si="1037"/>
        <v>0</v>
      </c>
      <c r="M2339" s="8">
        <v>1</v>
      </c>
      <c r="N2339" s="8" t="str">
        <f t="shared" si="1034"/>
        <v/>
      </c>
      <c r="O2339" s="11" t="s">
        <v>1702</v>
      </c>
      <c r="P2339" s="16" t="str">
        <f t="shared" si="1038"/>
        <v>08-Aug-1892</v>
      </c>
      <c r="R2339" s="16" t="str">
        <f t="shared" si="1035"/>
        <v/>
      </c>
      <c r="S2339" s="16" t="str">
        <f t="shared" si="1035"/>
        <v/>
      </c>
      <c r="T2339" s="11"/>
      <c r="U2339" s="46" t="str">
        <f t="shared" si="1039"/>
        <v/>
      </c>
      <c r="V2339" s="46">
        <f t="shared" si="1039"/>
        <v>0</v>
      </c>
      <c r="W2339" s="46" t="str">
        <f t="shared" si="1039"/>
        <v/>
      </c>
      <c r="X2339" s="46" t="str">
        <f t="shared" si="1039"/>
        <v/>
      </c>
    </row>
    <row r="2340" spans="2:24" x14ac:dyDescent="0.25">
      <c r="B2340" s="11" t="str">
        <f t="shared" si="1036"/>
        <v>LBRG-08SEP1892</v>
      </c>
      <c r="C2340" s="11" t="s">
        <v>120</v>
      </c>
      <c r="D2340" s="11" t="s">
        <v>1699</v>
      </c>
      <c r="F2340" s="11" t="s">
        <v>1700</v>
      </c>
      <c r="G2340" s="39" t="s">
        <v>353</v>
      </c>
      <c r="H2340" s="7">
        <v>0</v>
      </c>
      <c r="I2340" s="7">
        <v>0</v>
      </c>
      <c r="J2340" s="17">
        <v>0</v>
      </c>
      <c r="K2340" s="17"/>
      <c r="L2340" s="7">
        <f t="shared" si="1037"/>
        <v>0</v>
      </c>
      <c r="M2340" s="8">
        <v>1</v>
      </c>
      <c r="N2340" s="8" t="str">
        <f t="shared" si="1034"/>
        <v/>
      </c>
      <c r="O2340" s="11" t="s">
        <v>1702</v>
      </c>
      <c r="P2340" s="16" t="str">
        <f t="shared" si="1038"/>
        <v>08-Sep-1892</v>
      </c>
      <c r="R2340" s="16" t="str">
        <f t="shared" si="1035"/>
        <v/>
      </c>
      <c r="S2340" s="16" t="str">
        <f t="shared" si="1035"/>
        <v/>
      </c>
      <c r="T2340" s="11"/>
      <c r="U2340" s="46" t="str">
        <f t="shared" si="1039"/>
        <v/>
      </c>
      <c r="V2340" s="46">
        <f t="shared" si="1039"/>
        <v>0</v>
      </c>
      <c r="W2340" s="46" t="str">
        <f t="shared" si="1039"/>
        <v/>
      </c>
      <c r="X2340" s="46" t="str">
        <f t="shared" si="1039"/>
        <v/>
      </c>
    </row>
    <row r="2341" spans="2:24" x14ac:dyDescent="0.25">
      <c r="B2341" s="11" t="str">
        <f t="shared" si="1036"/>
        <v>LBRG-17OCT1892</v>
      </c>
      <c r="C2341" s="11" t="s">
        <v>120</v>
      </c>
      <c r="D2341" s="11" t="s">
        <v>354</v>
      </c>
      <c r="F2341" s="11" t="s">
        <v>1700</v>
      </c>
      <c r="G2341" s="39" t="s">
        <v>355</v>
      </c>
      <c r="H2341" s="7">
        <v>0</v>
      </c>
      <c r="I2341" s="7">
        <v>0</v>
      </c>
      <c r="J2341" s="17">
        <v>0</v>
      </c>
      <c r="K2341" s="17"/>
      <c r="L2341" s="7">
        <f t="shared" si="1037"/>
        <v>0</v>
      </c>
      <c r="M2341" s="8">
        <v>1</v>
      </c>
      <c r="N2341" s="8" t="str">
        <f t="shared" si="1034"/>
        <v/>
      </c>
      <c r="O2341" s="11" t="s">
        <v>1702</v>
      </c>
      <c r="P2341" s="16" t="str">
        <f t="shared" si="1038"/>
        <v>17-Oct-1892</v>
      </c>
      <c r="R2341" s="16" t="str">
        <f t="shared" si="1035"/>
        <v/>
      </c>
      <c r="S2341" s="16" t="str">
        <f t="shared" si="1035"/>
        <v/>
      </c>
      <c r="T2341" s="11"/>
      <c r="U2341" s="46" t="str">
        <f t="shared" si="1039"/>
        <v/>
      </c>
      <c r="V2341" s="46">
        <f t="shared" si="1039"/>
        <v>0</v>
      </c>
      <c r="W2341" s="46" t="str">
        <f t="shared" si="1039"/>
        <v/>
      </c>
      <c r="X2341" s="46" t="str">
        <f t="shared" si="1039"/>
        <v/>
      </c>
    </row>
    <row r="2342" spans="2:24" x14ac:dyDescent="0.25">
      <c r="B2342" s="11" t="str">
        <f t="shared" si="1036"/>
        <v>LBRG-14NOV1892</v>
      </c>
      <c r="C2342" s="11" t="s">
        <v>120</v>
      </c>
      <c r="D2342" s="11" t="s">
        <v>1699</v>
      </c>
      <c r="F2342" s="11" t="s">
        <v>1700</v>
      </c>
      <c r="G2342" s="39" t="s">
        <v>356</v>
      </c>
      <c r="H2342" s="7">
        <v>0</v>
      </c>
      <c r="I2342" s="7">
        <v>0</v>
      </c>
      <c r="J2342" s="17">
        <v>0</v>
      </c>
      <c r="K2342" s="17"/>
      <c r="L2342" s="7">
        <f t="shared" si="1037"/>
        <v>0</v>
      </c>
      <c r="M2342" s="8">
        <v>1</v>
      </c>
      <c r="N2342" s="8" t="str">
        <f t="shared" si="1034"/>
        <v/>
      </c>
      <c r="O2342" s="11" t="s">
        <v>1702</v>
      </c>
      <c r="P2342" s="16" t="str">
        <f t="shared" si="1038"/>
        <v>14-Nov-1892</v>
      </c>
      <c r="R2342" s="16" t="str">
        <f t="shared" si="1035"/>
        <v/>
      </c>
      <c r="S2342" s="16" t="str">
        <f t="shared" si="1035"/>
        <v/>
      </c>
      <c r="T2342" s="11"/>
      <c r="U2342" s="46" t="str">
        <f t="shared" si="1039"/>
        <v/>
      </c>
      <c r="V2342" s="46">
        <f t="shared" si="1039"/>
        <v>0</v>
      </c>
      <c r="W2342" s="46" t="str">
        <f t="shared" si="1039"/>
        <v/>
      </c>
      <c r="X2342" s="46" t="str">
        <f t="shared" si="1039"/>
        <v/>
      </c>
    </row>
    <row r="2343" spans="2:24" x14ac:dyDescent="0.25">
      <c r="B2343" s="11" t="str">
        <f t="shared" si="1036"/>
        <v>LBRG-11DEC1892</v>
      </c>
      <c r="C2343" s="11" t="s">
        <v>120</v>
      </c>
      <c r="D2343" s="11" t="s">
        <v>1699</v>
      </c>
      <c r="F2343" s="11" t="s">
        <v>1700</v>
      </c>
      <c r="G2343" s="39" t="s">
        <v>357</v>
      </c>
      <c r="H2343" s="7">
        <v>0</v>
      </c>
      <c r="I2343" s="7">
        <v>0</v>
      </c>
      <c r="J2343" s="17">
        <v>0</v>
      </c>
      <c r="K2343" s="17"/>
      <c r="L2343" s="7">
        <f t="shared" si="1037"/>
        <v>0</v>
      </c>
      <c r="M2343" s="8">
        <v>1</v>
      </c>
      <c r="N2343" s="8" t="str">
        <f t="shared" si="1034"/>
        <v/>
      </c>
      <c r="O2343" s="11" t="s">
        <v>1702</v>
      </c>
      <c r="P2343" s="16" t="str">
        <f t="shared" si="1038"/>
        <v>11-Dec-1892</v>
      </c>
      <c r="R2343" s="16" t="str">
        <f t="shared" si="1035"/>
        <v/>
      </c>
      <c r="S2343" s="16" t="str">
        <f t="shared" si="1035"/>
        <v/>
      </c>
      <c r="T2343" s="11"/>
      <c r="U2343" s="46" t="str">
        <f t="shared" si="1039"/>
        <v/>
      </c>
      <c r="V2343" s="46">
        <f t="shared" si="1039"/>
        <v>0</v>
      </c>
      <c r="W2343" s="46" t="str">
        <f t="shared" si="1039"/>
        <v/>
      </c>
      <c r="X2343" s="46" t="str">
        <f t="shared" si="1039"/>
        <v/>
      </c>
    </row>
    <row r="2344" spans="2:24" x14ac:dyDescent="0.25">
      <c r="B2344" s="11" t="str">
        <f t="shared" si="1036"/>
        <v>LBRG-09JAN1893</v>
      </c>
      <c r="C2344" s="11" t="s">
        <v>120</v>
      </c>
      <c r="D2344" s="11" t="s">
        <v>1699</v>
      </c>
      <c r="F2344" s="11" t="s">
        <v>1700</v>
      </c>
      <c r="G2344" s="39" t="s">
        <v>358</v>
      </c>
      <c r="H2344" s="7">
        <v>0</v>
      </c>
      <c r="I2344" s="7">
        <v>2</v>
      </c>
      <c r="J2344" s="17">
        <v>0</v>
      </c>
      <c r="K2344" s="17"/>
      <c r="L2344" s="7">
        <f t="shared" si="1037"/>
        <v>2</v>
      </c>
      <c r="M2344" s="8">
        <v>1</v>
      </c>
      <c r="N2344" s="8">
        <f t="shared" si="1034"/>
        <v>1</v>
      </c>
      <c r="O2344" s="11" t="s">
        <v>1702</v>
      </c>
      <c r="P2344" s="16" t="str">
        <f t="shared" si="1038"/>
        <v>09-Jan-1893</v>
      </c>
      <c r="R2344" s="16" t="str">
        <f t="shared" si="1035"/>
        <v>x</v>
      </c>
      <c r="S2344" s="16" t="str">
        <f t="shared" si="1035"/>
        <v>x</v>
      </c>
      <c r="T2344" s="11"/>
      <c r="U2344" s="46" t="str">
        <f t="shared" si="1039"/>
        <v/>
      </c>
      <c r="V2344" s="46">
        <f t="shared" si="1039"/>
        <v>2</v>
      </c>
      <c r="W2344" s="46" t="str">
        <f t="shared" si="1039"/>
        <v/>
      </c>
      <c r="X2344" s="46" t="str">
        <f t="shared" si="1039"/>
        <v/>
      </c>
    </row>
    <row r="2345" spans="2:24" x14ac:dyDescent="0.25">
      <c r="B2345" s="11" t="str">
        <f t="shared" si="1036"/>
        <v>LBRG-13FEB1893</v>
      </c>
      <c r="C2345" s="11" t="s">
        <v>120</v>
      </c>
      <c r="D2345" s="11" t="s">
        <v>1699</v>
      </c>
      <c r="F2345" s="11" t="s">
        <v>1700</v>
      </c>
      <c r="G2345" s="39" t="s">
        <v>359</v>
      </c>
      <c r="H2345" s="7">
        <v>0</v>
      </c>
      <c r="I2345" s="7">
        <v>0</v>
      </c>
      <c r="J2345" s="17">
        <v>0</v>
      </c>
      <c r="K2345" s="17"/>
      <c r="L2345" s="7">
        <f t="shared" si="1037"/>
        <v>0</v>
      </c>
      <c r="M2345" s="8">
        <v>1</v>
      </c>
      <c r="N2345" s="8" t="str">
        <f t="shared" si="1034"/>
        <v/>
      </c>
      <c r="O2345" s="11" t="s">
        <v>1702</v>
      </c>
      <c r="P2345" s="16" t="str">
        <f t="shared" si="1038"/>
        <v>13-Feb-1893</v>
      </c>
      <c r="R2345" s="16" t="str">
        <f t="shared" si="1035"/>
        <v/>
      </c>
      <c r="S2345" s="16" t="str">
        <f t="shared" si="1035"/>
        <v/>
      </c>
      <c r="T2345" s="11"/>
      <c r="U2345" s="46" t="str">
        <f t="shared" si="1039"/>
        <v/>
      </c>
      <c r="V2345" s="46">
        <f t="shared" si="1039"/>
        <v>0</v>
      </c>
      <c r="W2345" s="46" t="str">
        <f t="shared" si="1039"/>
        <v/>
      </c>
      <c r="X2345" s="46" t="str">
        <f t="shared" si="1039"/>
        <v/>
      </c>
    </row>
    <row r="2346" spans="2:24" x14ac:dyDescent="0.25">
      <c r="B2346" s="11" t="str">
        <f t="shared" si="1036"/>
        <v>LBRG-13MAR1893</v>
      </c>
      <c r="C2346" s="11" t="s">
        <v>120</v>
      </c>
      <c r="D2346" s="11" t="s">
        <v>1699</v>
      </c>
      <c r="F2346" s="11" t="s">
        <v>1700</v>
      </c>
      <c r="G2346" s="39" t="s">
        <v>360</v>
      </c>
      <c r="H2346" s="7">
        <v>0</v>
      </c>
      <c r="I2346" s="7">
        <v>0</v>
      </c>
      <c r="J2346" s="17">
        <v>0</v>
      </c>
      <c r="K2346" s="17"/>
      <c r="L2346" s="7">
        <f t="shared" si="1037"/>
        <v>0</v>
      </c>
      <c r="M2346" s="8">
        <v>1</v>
      </c>
      <c r="N2346" s="8" t="str">
        <f t="shared" si="1034"/>
        <v/>
      </c>
      <c r="O2346" s="11" t="s">
        <v>1702</v>
      </c>
      <c r="P2346" s="16" t="str">
        <f t="shared" si="1038"/>
        <v>13-Mar-1893</v>
      </c>
      <c r="R2346" s="16" t="str">
        <f t="shared" si="1035"/>
        <v/>
      </c>
      <c r="S2346" s="16" t="str">
        <f t="shared" si="1035"/>
        <v/>
      </c>
      <c r="T2346" s="11"/>
      <c r="U2346" s="46" t="str">
        <f t="shared" si="1039"/>
        <v/>
      </c>
      <c r="V2346" s="46">
        <f t="shared" si="1039"/>
        <v>0</v>
      </c>
      <c r="W2346" s="46" t="str">
        <f t="shared" si="1039"/>
        <v/>
      </c>
      <c r="X2346" s="46" t="str">
        <f t="shared" si="1039"/>
        <v/>
      </c>
    </row>
    <row r="2347" spans="2:24" x14ac:dyDescent="0.25">
      <c r="B2347" s="11" t="str">
        <f t="shared" si="1036"/>
        <v>LBRG-05JUN1893</v>
      </c>
      <c r="C2347" s="11" t="s">
        <v>120</v>
      </c>
      <c r="D2347" s="11" t="s">
        <v>1699</v>
      </c>
      <c r="F2347" s="11" t="s">
        <v>1700</v>
      </c>
      <c r="G2347" s="39" t="s">
        <v>361</v>
      </c>
      <c r="H2347" s="7">
        <v>0</v>
      </c>
      <c r="I2347" s="7">
        <v>0</v>
      </c>
      <c r="J2347" s="17">
        <v>0</v>
      </c>
      <c r="K2347" s="17"/>
      <c r="L2347" s="7">
        <f t="shared" si="1037"/>
        <v>0</v>
      </c>
      <c r="M2347" s="8">
        <v>1</v>
      </c>
      <c r="N2347" s="8" t="str">
        <f t="shared" si="1034"/>
        <v/>
      </c>
      <c r="O2347" s="11" t="s">
        <v>1702</v>
      </c>
      <c r="P2347" s="16" t="str">
        <f t="shared" si="1038"/>
        <v>05-Jun-1893</v>
      </c>
      <c r="R2347" s="16" t="str">
        <f t="shared" si="1035"/>
        <v/>
      </c>
      <c r="S2347" s="16" t="str">
        <f t="shared" si="1035"/>
        <v/>
      </c>
      <c r="T2347" s="11"/>
      <c r="U2347" s="46" t="str">
        <f t="shared" si="1039"/>
        <v/>
      </c>
      <c r="V2347" s="46">
        <f t="shared" si="1039"/>
        <v>0</v>
      </c>
      <c r="W2347" s="46" t="str">
        <f t="shared" si="1039"/>
        <v/>
      </c>
      <c r="X2347" s="46" t="str">
        <f t="shared" si="1039"/>
        <v/>
      </c>
    </row>
    <row r="2348" spans="2:24" x14ac:dyDescent="0.25">
      <c r="B2348" s="11" t="str">
        <f t="shared" si="1036"/>
        <v>LBRG-03JUL1893</v>
      </c>
      <c r="C2348" s="11" t="s">
        <v>120</v>
      </c>
      <c r="D2348" s="11" t="s">
        <v>1699</v>
      </c>
      <c r="F2348" s="11" t="s">
        <v>1700</v>
      </c>
      <c r="G2348" s="39" t="s">
        <v>362</v>
      </c>
      <c r="H2348" s="7">
        <v>0</v>
      </c>
      <c r="I2348" s="7">
        <v>0</v>
      </c>
      <c r="J2348" s="17">
        <v>0</v>
      </c>
      <c r="K2348" s="17"/>
      <c r="L2348" s="7">
        <f t="shared" si="1037"/>
        <v>0</v>
      </c>
      <c r="M2348" s="8">
        <v>1</v>
      </c>
      <c r="N2348" s="8" t="str">
        <f t="shared" si="1034"/>
        <v/>
      </c>
      <c r="O2348" s="11" t="s">
        <v>1702</v>
      </c>
      <c r="P2348" s="16" t="str">
        <f t="shared" si="1038"/>
        <v>03-Jul-1893</v>
      </c>
      <c r="R2348" s="16" t="str">
        <f t="shared" si="1035"/>
        <v/>
      </c>
      <c r="S2348" s="16" t="str">
        <f t="shared" si="1035"/>
        <v/>
      </c>
      <c r="T2348" s="11"/>
      <c r="U2348" s="46" t="str">
        <f t="shared" si="1039"/>
        <v/>
      </c>
      <c r="V2348" s="46">
        <f t="shared" si="1039"/>
        <v>0</v>
      </c>
      <c r="W2348" s="46" t="str">
        <f t="shared" si="1039"/>
        <v/>
      </c>
      <c r="X2348" s="46" t="str">
        <f t="shared" si="1039"/>
        <v/>
      </c>
    </row>
    <row r="2349" spans="2:24" x14ac:dyDescent="0.25">
      <c r="B2349" s="11" t="str">
        <f t="shared" si="1036"/>
        <v>LBRG-31JUL1893</v>
      </c>
      <c r="C2349" s="11" t="s">
        <v>120</v>
      </c>
      <c r="D2349" s="11" t="s">
        <v>1699</v>
      </c>
      <c r="F2349" s="11" t="s">
        <v>1700</v>
      </c>
      <c r="G2349" s="39" t="s">
        <v>363</v>
      </c>
      <c r="H2349" s="7">
        <v>0</v>
      </c>
      <c r="I2349" s="7">
        <v>0</v>
      </c>
      <c r="J2349" s="17">
        <v>0</v>
      </c>
      <c r="K2349" s="17"/>
      <c r="L2349" s="7">
        <f t="shared" si="1037"/>
        <v>0</v>
      </c>
      <c r="M2349" s="8">
        <v>1</v>
      </c>
      <c r="N2349" s="8" t="str">
        <f t="shared" si="1034"/>
        <v/>
      </c>
      <c r="O2349" s="11" t="s">
        <v>1702</v>
      </c>
      <c r="P2349" s="16" t="str">
        <f t="shared" si="1038"/>
        <v>31-Jul-1893</v>
      </c>
      <c r="R2349" s="16" t="str">
        <f t="shared" si="1035"/>
        <v/>
      </c>
      <c r="S2349" s="16" t="str">
        <f t="shared" si="1035"/>
        <v/>
      </c>
      <c r="T2349" s="11"/>
      <c r="U2349" s="46" t="str">
        <f t="shared" si="1039"/>
        <v/>
      </c>
      <c r="V2349" s="46">
        <f t="shared" si="1039"/>
        <v>0</v>
      </c>
      <c r="W2349" s="46" t="str">
        <f t="shared" si="1039"/>
        <v/>
      </c>
      <c r="X2349" s="46" t="str">
        <f t="shared" si="1039"/>
        <v/>
      </c>
    </row>
    <row r="2350" spans="2:24" x14ac:dyDescent="0.25">
      <c r="B2350" s="11" t="str">
        <f t="shared" si="1036"/>
        <v>LBRG-28AUG1893</v>
      </c>
      <c r="C2350" s="11" t="s">
        <v>120</v>
      </c>
      <c r="D2350" s="11" t="s">
        <v>1699</v>
      </c>
      <c r="F2350" s="11" t="s">
        <v>1700</v>
      </c>
      <c r="G2350" s="39" t="s">
        <v>364</v>
      </c>
      <c r="H2350" s="7">
        <v>0</v>
      </c>
      <c r="I2350" s="7">
        <v>0</v>
      </c>
      <c r="J2350" s="17">
        <v>0</v>
      </c>
      <c r="K2350" s="17"/>
      <c r="L2350" s="7">
        <f t="shared" si="1037"/>
        <v>0</v>
      </c>
      <c r="M2350" s="8">
        <v>1</v>
      </c>
      <c r="N2350" s="8" t="str">
        <f t="shared" si="1034"/>
        <v/>
      </c>
      <c r="O2350" s="11" t="s">
        <v>1702</v>
      </c>
      <c r="P2350" s="16" t="str">
        <f t="shared" si="1038"/>
        <v>28-Aug-1893</v>
      </c>
      <c r="R2350" s="16" t="str">
        <f t="shared" si="1035"/>
        <v/>
      </c>
      <c r="S2350" s="16" t="str">
        <f t="shared" si="1035"/>
        <v/>
      </c>
      <c r="T2350" s="11"/>
      <c r="U2350" s="46" t="str">
        <f t="shared" si="1039"/>
        <v/>
      </c>
      <c r="V2350" s="46">
        <f t="shared" si="1039"/>
        <v>0</v>
      </c>
      <c r="W2350" s="46" t="str">
        <f t="shared" si="1039"/>
        <v/>
      </c>
      <c r="X2350" s="46" t="str">
        <f t="shared" si="1039"/>
        <v/>
      </c>
    </row>
    <row r="2351" spans="2:24" x14ac:dyDescent="0.25">
      <c r="B2351" s="11" t="str">
        <f t="shared" si="1036"/>
        <v>LBRG-25SEP1893</v>
      </c>
      <c r="C2351" s="11" t="s">
        <v>120</v>
      </c>
      <c r="D2351" s="11" t="s">
        <v>1699</v>
      </c>
      <c r="F2351" s="11" t="s">
        <v>1700</v>
      </c>
      <c r="G2351" s="39" t="s">
        <v>2120</v>
      </c>
      <c r="H2351" s="7">
        <v>0</v>
      </c>
      <c r="I2351" s="7">
        <v>0</v>
      </c>
      <c r="J2351" s="17">
        <v>0</v>
      </c>
      <c r="K2351" s="17"/>
      <c r="L2351" s="7">
        <f t="shared" si="1037"/>
        <v>0</v>
      </c>
      <c r="M2351" s="8">
        <v>1</v>
      </c>
      <c r="N2351" s="8" t="str">
        <f t="shared" si="1034"/>
        <v/>
      </c>
      <c r="O2351" s="11" t="s">
        <v>1702</v>
      </c>
      <c r="P2351" s="16" t="str">
        <f t="shared" si="1038"/>
        <v>25-Sep-1893</v>
      </c>
      <c r="R2351" s="16" t="str">
        <f t="shared" si="1035"/>
        <v/>
      </c>
      <c r="S2351" s="16" t="str">
        <f t="shared" si="1035"/>
        <v/>
      </c>
      <c r="T2351" s="11"/>
      <c r="U2351" s="46" t="str">
        <f t="shared" si="1039"/>
        <v/>
      </c>
      <c r="V2351" s="46">
        <f t="shared" si="1039"/>
        <v>0</v>
      </c>
      <c r="W2351" s="46" t="str">
        <f t="shared" si="1039"/>
        <v/>
      </c>
      <c r="X2351" s="46" t="str">
        <f t="shared" si="1039"/>
        <v/>
      </c>
    </row>
    <row r="2352" spans="2:24" x14ac:dyDescent="0.25">
      <c r="B2352" s="11" t="str">
        <f t="shared" si="1036"/>
        <v>LBRG-04DEC1893</v>
      </c>
      <c r="C2352" s="11" t="s">
        <v>120</v>
      </c>
      <c r="D2352" s="11" t="s">
        <v>1699</v>
      </c>
      <c r="F2352" s="11" t="s">
        <v>1700</v>
      </c>
      <c r="G2352" s="39" t="s">
        <v>230</v>
      </c>
      <c r="H2352" s="7">
        <v>0</v>
      </c>
      <c r="I2352" s="7">
        <v>0</v>
      </c>
      <c r="J2352" s="17">
        <v>0</v>
      </c>
      <c r="K2352" s="17"/>
      <c r="L2352" s="7">
        <f t="shared" si="1037"/>
        <v>0</v>
      </c>
      <c r="M2352" s="8">
        <v>1</v>
      </c>
      <c r="N2352" s="8" t="str">
        <f t="shared" si="1034"/>
        <v/>
      </c>
      <c r="O2352" s="11" t="s">
        <v>1702</v>
      </c>
      <c r="P2352" s="16" t="str">
        <f t="shared" si="1038"/>
        <v>04-Dec-1893</v>
      </c>
      <c r="R2352" s="16" t="str">
        <f t="shared" si="1035"/>
        <v/>
      </c>
      <c r="S2352" s="16" t="str">
        <f t="shared" si="1035"/>
        <v/>
      </c>
      <c r="T2352" s="11"/>
      <c r="U2352" s="46" t="str">
        <f t="shared" si="1039"/>
        <v/>
      </c>
      <c r="V2352" s="46">
        <f t="shared" si="1039"/>
        <v>0</v>
      </c>
      <c r="W2352" s="46" t="str">
        <f t="shared" si="1039"/>
        <v/>
      </c>
      <c r="X2352" s="46" t="str">
        <f t="shared" si="1039"/>
        <v/>
      </c>
    </row>
    <row r="2353" spans="2:24" x14ac:dyDescent="0.25">
      <c r="B2353" s="11" t="str">
        <f t="shared" ref="B2353:B2360" si="1040">CONCATENATE("LBRG","-",LEFT(P2353,2),UPPER(MID(P2353,4,3)),RIGHT(P2353,4))</f>
        <v>LBRG-29JAN1894</v>
      </c>
      <c r="C2353" s="11" t="s">
        <v>120</v>
      </c>
      <c r="D2353" s="11" t="s">
        <v>1699</v>
      </c>
      <c r="F2353" s="11" t="s">
        <v>1700</v>
      </c>
      <c r="G2353" s="39" t="s">
        <v>365</v>
      </c>
      <c r="H2353" s="7">
        <v>0</v>
      </c>
      <c r="I2353" s="7">
        <v>0</v>
      </c>
      <c r="J2353" s="17">
        <v>0</v>
      </c>
      <c r="K2353" s="17"/>
      <c r="L2353" s="7">
        <f t="shared" ref="L2353:L2360" si="1041">SUM(H2353:K2353)</f>
        <v>0</v>
      </c>
      <c r="M2353" s="8">
        <v>1</v>
      </c>
      <c r="N2353" s="8" t="str">
        <f t="shared" si="1034"/>
        <v/>
      </c>
      <c r="O2353" s="11" t="s">
        <v>1702</v>
      </c>
      <c r="P2353" s="16" t="str">
        <f t="shared" ref="P2353:P2360" si="1042">IF(LEN(G2353)=10,CONCATENATE("0",G2353),G2353)</f>
        <v>29-Jan-1894</v>
      </c>
      <c r="R2353" s="16" t="str">
        <f t="shared" si="1035"/>
        <v/>
      </c>
      <c r="S2353" s="16" t="str">
        <f t="shared" si="1035"/>
        <v/>
      </c>
      <c r="T2353" s="11"/>
      <c r="U2353" s="46" t="str">
        <f t="shared" si="1039"/>
        <v/>
      </c>
      <c r="V2353" s="46">
        <f t="shared" si="1039"/>
        <v>0</v>
      </c>
      <c r="W2353" s="46" t="str">
        <f t="shared" si="1039"/>
        <v/>
      </c>
      <c r="X2353" s="46" t="str">
        <f t="shared" si="1039"/>
        <v/>
      </c>
    </row>
    <row r="2354" spans="2:24" x14ac:dyDescent="0.25">
      <c r="B2354" s="11" t="str">
        <f t="shared" si="1040"/>
        <v>LBRG-26FEB1894</v>
      </c>
      <c r="C2354" s="11" t="s">
        <v>120</v>
      </c>
      <c r="D2354" s="11" t="s">
        <v>1699</v>
      </c>
      <c r="F2354" s="11" t="s">
        <v>1700</v>
      </c>
      <c r="G2354" s="39" t="s">
        <v>2124</v>
      </c>
      <c r="H2354" s="7">
        <v>0</v>
      </c>
      <c r="I2354" s="7">
        <v>0</v>
      </c>
      <c r="J2354" s="17">
        <v>0</v>
      </c>
      <c r="K2354" s="17"/>
      <c r="L2354" s="7">
        <f t="shared" si="1041"/>
        <v>0</v>
      </c>
      <c r="M2354" s="8">
        <v>1</v>
      </c>
      <c r="N2354" s="8" t="str">
        <f t="shared" si="1034"/>
        <v/>
      </c>
      <c r="O2354" s="11" t="s">
        <v>1702</v>
      </c>
      <c r="P2354" s="16" t="str">
        <f t="shared" si="1042"/>
        <v>26-Feb-1894</v>
      </c>
      <c r="R2354" s="16" t="str">
        <f t="shared" si="1035"/>
        <v/>
      </c>
      <c r="S2354" s="16" t="str">
        <f t="shared" si="1035"/>
        <v/>
      </c>
      <c r="T2354" s="11"/>
      <c r="U2354" s="46" t="str">
        <f t="shared" si="1039"/>
        <v/>
      </c>
      <c r="V2354" s="46">
        <f t="shared" si="1039"/>
        <v>0</v>
      </c>
      <c r="W2354" s="46" t="str">
        <f t="shared" si="1039"/>
        <v/>
      </c>
      <c r="X2354" s="46" t="str">
        <f t="shared" si="1039"/>
        <v/>
      </c>
    </row>
    <row r="2355" spans="2:24" x14ac:dyDescent="0.25">
      <c r="B2355" s="11" t="str">
        <f t="shared" si="1040"/>
        <v>LBRG-02APR1894</v>
      </c>
      <c r="C2355" s="11" t="s">
        <v>120</v>
      </c>
      <c r="D2355" s="11" t="s">
        <v>1699</v>
      </c>
      <c r="F2355" s="11" t="s">
        <v>1700</v>
      </c>
      <c r="G2355" s="39" t="s">
        <v>366</v>
      </c>
      <c r="H2355" s="7">
        <v>0</v>
      </c>
      <c r="I2355" s="7">
        <v>0</v>
      </c>
      <c r="J2355" s="17">
        <v>0</v>
      </c>
      <c r="K2355" s="17"/>
      <c r="L2355" s="7">
        <f t="shared" si="1041"/>
        <v>0</v>
      </c>
      <c r="M2355" s="8">
        <v>1</v>
      </c>
      <c r="N2355" s="8" t="str">
        <f t="shared" si="1034"/>
        <v/>
      </c>
      <c r="O2355" s="11" t="s">
        <v>1702</v>
      </c>
      <c r="P2355" s="16" t="str">
        <f t="shared" si="1042"/>
        <v>02-Apr-1894</v>
      </c>
      <c r="R2355" s="16" t="str">
        <f t="shared" si="1035"/>
        <v/>
      </c>
      <c r="S2355" s="16" t="str">
        <f t="shared" si="1035"/>
        <v/>
      </c>
      <c r="T2355" s="11"/>
      <c r="U2355" s="46" t="str">
        <f t="shared" si="1039"/>
        <v/>
      </c>
      <c r="V2355" s="46">
        <f t="shared" si="1039"/>
        <v>0</v>
      </c>
      <c r="W2355" s="46" t="str">
        <f t="shared" si="1039"/>
        <v/>
      </c>
      <c r="X2355" s="46" t="str">
        <f t="shared" si="1039"/>
        <v/>
      </c>
    </row>
    <row r="2356" spans="2:24" x14ac:dyDescent="0.25">
      <c r="B2356" s="11" t="str">
        <f t="shared" si="1040"/>
        <v>LBRG-30APR1894</v>
      </c>
      <c r="C2356" s="11" t="s">
        <v>120</v>
      </c>
      <c r="D2356" s="11" t="s">
        <v>1699</v>
      </c>
      <c r="F2356" s="11" t="s">
        <v>1700</v>
      </c>
      <c r="G2356" s="39" t="s">
        <v>367</v>
      </c>
      <c r="H2356" s="7">
        <v>0</v>
      </c>
      <c r="I2356" s="7">
        <v>0</v>
      </c>
      <c r="J2356" s="17">
        <v>0</v>
      </c>
      <c r="K2356" s="17"/>
      <c r="L2356" s="7">
        <f t="shared" si="1041"/>
        <v>0</v>
      </c>
      <c r="M2356" s="8">
        <v>1</v>
      </c>
      <c r="N2356" s="8" t="str">
        <f t="shared" si="1034"/>
        <v/>
      </c>
      <c r="O2356" s="11" t="s">
        <v>1702</v>
      </c>
      <c r="P2356" s="16" t="str">
        <f t="shared" si="1042"/>
        <v>30-Apr-1894</v>
      </c>
      <c r="R2356" s="16" t="str">
        <f t="shared" si="1035"/>
        <v/>
      </c>
      <c r="S2356" s="16" t="str">
        <f t="shared" si="1035"/>
        <v/>
      </c>
      <c r="T2356" s="11"/>
      <c r="U2356" s="46" t="str">
        <f t="shared" si="1039"/>
        <v/>
      </c>
      <c r="V2356" s="46">
        <f t="shared" si="1039"/>
        <v>0</v>
      </c>
      <c r="W2356" s="46" t="str">
        <f t="shared" si="1039"/>
        <v/>
      </c>
      <c r="X2356" s="46" t="str">
        <f t="shared" si="1039"/>
        <v/>
      </c>
    </row>
    <row r="2357" spans="2:24" x14ac:dyDescent="0.25">
      <c r="B2357" s="11" t="str">
        <f t="shared" si="1040"/>
        <v>LBRG-28MAY1894</v>
      </c>
      <c r="C2357" s="11" t="s">
        <v>120</v>
      </c>
      <c r="D2357" s="11" t="s">
        <v>1699</v>
      </c>
      <c r="F2357" s="11" t="s">
        <v>1700</v>
      </c>
      <c r="G2357" s="39" t="s">
        <v>368</v>
      </c>
      <c r="H2357" s="7">
        <v>0</v>
      </c>
      <c r="I2357" s="7">
        <v>0</v>
      </c>
      <c r="J2357" s="17">
        <v>0</v>
      </c>
      <c r="K2357" s="17"/>
      <c r="L2357" s="7">
        <f t="shared" si="1041"/>
        <v>0</v>
      </c>
      <c r="M2357" s="8">
        <v>1</v>
      </c>
      <c r="N2357" s="8" t="str">
        <f t="shared" si="1034"/>
        <v/>
      </c>
      <c r="O2357" s="11" t="s">
        <v>1702</v>
      </c>
      <c r="P2357" s="16" t="str">
        <f t="shared" si="1042"/>
        <v>28-May-1894</v>
      </c>
      <c r="R2357" s="16" t="str">
        <f t="shared" si="1035"/>
        <v/>
      </c>
      <c r="S2357" s="16" t="str">
        <f t="shared" si="1035"/>
        <v/>
      </c>
      <c r="T2357" s="11"/>
      <c r="U2357" s="46" t="str">
        <f t="shared" si="1039"/>
        <v/>
      </c>
      <c r="V2357" s="46">
        <f t="shared" si="1039"/>
        <v>0</v>
      </c>
      <c r="W2357" s="46" t="str">
        <f t="shared" si="1039"/>
        <v/>
      </c>
      <c r="X2357" s="46" t="str">
        <f t="shared" si="1039"/>
        <v/>
      </c>
    </row>
    <row r="2358" spans="2:24" x14ac:dyDescent="0.25">
      <c r="B2358" s="11" t="str">
        <f t="shared" si="1040"/>
        <v>LBRG-25JUN1894</v>
      </c>
      <c r="C2358" s="11" t="s">
        <v>120</v>
      </c>
      <c r="D2358" s="11" t="s">
        <v>1699</v>
      </c>
      <c r="F2358" s="11" t="s">
        <v>1700</v>
      </c>
      <c r="G2358" s="39" t="s">
        <v>369</v>
      </c>
      <c r="H2358" s="7">
        <v>0</v>
      </c>
      <c r="I2358" s="7">
        <v>0</v>
      </c>
      <c r="J2358" s="17">
        <v>0</v>
      </c>
      <c r="K2358" s="17"/>
      <c r="L2358" s="7">
        <f t="shared" si="1041"/>
        <v>0</v>
      </c>
      <c r="M2358" s="8">
        <v>1</v>
      </c>
      <c r="N2358" s="8" t="str">
        <f t="shared" si="1034"/>
        <v/>
      </c>
      <c r="O2358" s="11" t="s">
        <v>1702</v>
      </c>
      <c r="P2358" s="16" t="str">
        <f t="shared" si="1042"/>
        <v>25-Jun-1894</v>
      </c>
      <c r="R2358" s="16" t="str">
        <f t="shared" si="1035"/>
        <v/>
      </c>
      <c r="S2358" s="16" t="str">
        <f t="shared" si="1035"/>
        <v/>
      </c>
      <c r="T2358" s="11"/>
      <c r="U2358" s="46" t="str">
        <f t="shared" si="1039"/>
        <v/>
      </c>
      <c r="V2358" s="46">
        <f t="shared" si="1039"/>
        <v>0</v>
      </c>
      <c r="W2358" s="46" t="str">
        <f t="shared" si="1039"/>
        <v/>
      </c>
      <c r="X2358" s="46" t="str">
        <f t="shared" si="1039"/>
        <v/>
      </c>
    </row>
    <row r="2359" spans="2:24" x14ac:dyDescent="0.25">
      <c r="B2359" s="11" t="str">
        <f t="shared" si="1040"/>
        <v>LBRG-23JUL1894</v>
      </c>
      <c r="C2359" s="11" t="s">
        <v>120</v>
      </c>
      <c r="D2359" s="11" t="s">
        <v>1699</v>
      </c>
      <c r="F2359" s="11" t="s">
        <v>1700</v>
      </c>
      <c r="G2359" s="39" t="s">
        <v>370</v>
      </c>
      <c r="H2359" s="7">
        <v>0</v>
      </c>
      <c r="I2359" s="7">
        <v>0</v>
      </c>
      <c r="J2359" s="17">
        <v>0</v>
      </c>
      <c r="K2359" s="17"/>
      <c r="L2359" s="7">
        <f t="shared" si="1041"/>
        <v>0</v>
      </c>
      <c r="M2359" s="8">
        <v>1</v>
      </c>
      <c r="N2359" s="8" t="str">
        <f t="shared" si="1034"/>
        <v/>
      </c>
      <c r="O2359" s="11" t="s">
        <v>1702</v>
      </c>
      <c r="P2359" s="16" t="str">
        <f t="shared" si="1042"/>
        <v>23-Jul-1894</v>
      </c>
      <c r="R2359" s="16" t="str">
        <f t="shared" si="1035"/>
        <v/>
      </c>
      <c r="S2359" s="16" t="str">
        <f t="shared" si="1035"/>
        <v/>
      </c>
      <c r="T2359" s="11"/>
      <c r="U2359" s="46" t="str">
        <f t="shared" si="1039"/>
        <v/>
      </c>
      <c r="V2359" s="46">
        <f t="shared" si="1039"/>
        <v>0</v>
      </c>
      <c r="W2359" s="46" t="str">
        <f t="shared" si="1039"/>
        <v/>
      </c>
      <c r="X2359" s="46" t="str">
        <f t="shared" si="1039"/>
        <v/>
      </c>
    </row>
    <row r="2360" spans="2:24" x14ac:dyDescent="0.25">
      <c r="B2360" s="11" t="str">
        <f t="shared" si="1040"/>
        <v>LBRG-10SEP1894</v>
      </c>
      <c r="C2360" s="11" t="s">
        <v>120</v>
      </c>
      <c r="D2360" s="11" t="s">
        <v>1699</v>
      </c>
      <c r="F2360" s="11" t="s">
        <v>1700</v>
      </c>
      <c r="G2360" s="39" t="s">
        <v>371</v>
      </c>
      <c r="H2360" s="7">
        <v>0</v>
      </c>
      <c r="I2360" s="7">
        <v>0</v>
      </c>
      <c r="J2360" s="17">
        <v>0</v>
      </c>
      <c r="K2360" s="17"/>
      <c r="L2360" s="7">
        <f t="shared" si="1041"/>
        <v>0</v>
      </c>
      <c r="M2360" s="8">
        <v>1</v>
      </c>
      <c r="N2360" s="8" t="str">
        <f t="shared" si="1034"/>
        <v/>
      </c>
      <c r="O2360" s="11" t="s">
        <v>1702</v>
      </c>
      <c r="P2360" s="16" t="str">
        <f t="shared" si="1042"/>
        <v>10-Sep-1894</v>
      </c>
      <c r="R2360" s="16" t="str">
        <f t="shared" si="1035"/>
        <v/>
      </c>
      <c r="S2360" s="16" t="str">
        <f t="shared" si="1035"/>
        <v/>
      </c>
      <c r="T2360" s="11"/>
      <c r="U2360" s="46" t="str">
        <f t="shared" si="1039"/>
        <v/>
      </c>
      <c r="V2360" s="46">
        <f t="shared" si="1039"/>
        <v>0</v>
      </c>
      <c r="W2360" s="46" t="str">
        <f t="shared" si="1039"/>
        <v/>
      </c>
      <c r="X2360" s="46" t="str">
        <f t="shared" si="1039"/>
        <v/>
      </c>
    </row>
    <row r="2361" spans="2:24" x14ac:dyDescent="0.25">
      <c r="B2361" s="11" t="str">
        <f t="shared" ref="B2361:B2368" si="1043">CONCATENATE("LBRG","-",LEFT(P2361,2),UPPER(MID(P2361,4,3)),RIGHT(P2361,4))</f>
        <v>LBRG-08OCT1894</v>
      </c>
      <c r="C2361" s="11" t="s">
        <v>120</v>
      </c>
      <c r="D2361" s="11" t="s">
        <v>1699</v>
      </c>
      <c r="F2361" s="11" t="s">
        <v>1700</v>
      </c>
      <c r="G2361" s="39" t="s">
        <v>372</v>
      </c>
      <c r="H2361" s="7">
        <v>0</v>
      </c>
      <c r="I2361" s="7">
        <v>0</v>
      </c>
      <c r="J2361" s="17">
        <v>0</v>
      </c>
      <c r="K2361" s="17"/>
      <c r="L2361" s="7">
        <f t="shared" ref="L2361:L2368" si="1044">SUM(H2361:K2361)</f>
        <v>0</v>
      </c>
      <c r="M2361" s="8">
        <v>1</v>
      </c>
      <c r="N2361" s="8" t="str">
        <f t="shared" si="1034"/>
        <v/>
      </c>
      <c r="O2361" s="11" t="s">
        <v>1702</v>
      </c>
      <c r="P2361" s="16" t="str">
        <f t="shared" ref="P2361:P2368" si="1045">IF(LEN(G2361)=10,CONCATENATE("0",G2361),G2361)</f>
        <v>08-Oct-1894</v>
      </c>
      <c r="R2361" s="16" t="str">
        <f t="shared" si="1035"/>
        <v/>
      </c>
      <c r="S2361" s="16" t="str">
        <f t="shared" si="1035"/>
        <v/>
      </c>
      <c r="T2361" s="11"/>
      <c r="U2361" s="46" t="str">
        <f t="shared" si="1039"/>
        <v/>
      </c>
      <c r="V2361" s="46">
        <f t="shared" si="1039"/>
        <v>0</v>
      </c>
      <c r="W2361" s="46" t="str">
        <f t="shared" si="1039"/>
        <v/>
      </c>
      <c r="X2361" s="46" t="str">
        <f t="shared" si="1039"/>
        <v/>
      </c>
    </row>
    <row r="2362" spans="2:24" x14ac:dyDescent="0.25">
      <c r="B2362" s="11" t="str">
        <f t="shared" si="1043"/>
        <v>LBRG-05NOV1894</v>
      </c>
      <c r="C2362" s="11" t="s">
        <v>120</v>
      </c>
      <c r="D2362" s="11" t="s">
        <v>1699</v>
      </c>
      <c r="F2362" s="11" t="s">
        <v>1700</v>
      </c>
      <c r="G2362" s="39" t="s">
        <v>150</v>
      </c>
      <c r="H2362" s="7">
        <v>2</v>
      </c>
      <c r="I2362" s="7">
        <v>0</v>
      </c>
      <c r="J2362" s="17">
        <v>0</v>
      </c>
      <c r="K2362" s="17"/>
      <c r="L2362" s="7">
        <f t="shared" si="1044"/>
        <v>2</v>
      </c>
      <c r="M2362" s="8">
        <v>1</v>
      </c>
      <c r="N2362" s="8">
        <f t="shared" si="1034"/>
        <v>1</v>
      </c>
      <c r="O2362" s="11" t="s">
        <v>1702</v>
      </c>
      <c r="P2362" s="16" t="str">
        <f t="shared" si="1045"/>
        <v>05-Nov-1894</v>
      </c>
      <c r="R2362" s="16" t="str">
        <f t="shared" si="1035"/>
        <v>x</v>
      </c>
      <c r="S2362" s="16" t="str">
        <f t="shared" si="1035"/>
        <v>x</v>
      </c>
      <c r="T2362" s="11"/>
      <c r="U2362" s="46" t="str">
        <f t="shared" si="1039"/>
        <v/>
      </c>
      <c r="V2362" s="46">
        <f t="shared" si="1039"/>
        <v>2</v>
      </c>
      <c r="W2362" s="46" t="str">
        <f t="shared" si="1039"/>
        <v/>
      </c>
      <c r="X2362" s="46" t="str">
        <f t="shared" si="1039"/>
        <v/>
      </c>
    </row>
    <row r="2363" spans="2:24" x14ac:dyDescent="0.25">
      <c r="B2363" s="11" t="str">
        <f t="shared" si="1043"/>
        <v>LBRG-03DEC1894</v>
      </c>
      <c r="C2363" s="11" t="s">
        <v>120</v>
      </c>
      <c r="D2363" s="11" t="s">
        <v>1699</v>
      </c>
      <c r="F2363" s="11" t="s">
        <v>1700</v>
      </c>
      <c r="G2363" s="39" t="s">
        <v>373</v>
      </c>
      <c r="H2363" s="7">
        <v>0</v>
      </c>
      <c r="I2363" s="7">
        <v>0</v>
      </c>
      <c r="J2363" s="17">
        <v>0</v>
      </c>
      <c r="K2363" s="17"/>
      <c r="L2363" s="7">
        <f t="shared" si="1044"/>
        <v>0</v>
      </c>
      <c r="M2363" s="8">
        <v>1</v>
      </c>
      <c r="N2363" s="8" t="str">
        <f t="shared" si="1034"/>
        <v/>
      </c>
      <c r="O2363" s="11" t="s">
        <v>1702</v>
      </c>
      <c r="P2363" s="16" t="str">
        <f t="shared" si="1045"/>
        <v>03-Dec-1894</v>
      </c>
      <c r="R2363" s="16" t="str">
        <f t="shared" si="1035"/>
        <v/>
      </c>
      <c r="S2363" s="16" t="str">
        <f t="shared" si="1035"/>
        <v/>
      </c>
      <c r="T2363" s="11"/>
      <c r="U2363" s="46" t="str">
        <f t="shared" si="1039"/>
        <v/>
      </c>
      <c r="V2363" s="46">
        <f t="shared" si="1039"/>
        <v>0</v>
      </c>
      <c r="W2363" s="46" t="str">
        <f t="shared" si="1039"/>
        <v/>
      </c>
      <c r="X2363" s="46" t="str">
        <f t="shared" si="1039"/>
        <v/>
      </c>
    </row>
    <row r="2364" spans="2:24" x14ac:dyDescent="0.25">
      <c r="B2364" s="11" t="str">
        <f t="shared" si="1043"/>
        <v>LBRG-21JAN1895</v>
      </c>
      <c r="C2364" s="11" t="s">
        <v>120</v>
      </c>
      <c r="D2364" s="11" t="s">
        <v>1699</v>
      </c>
      <c r="F2364" s="11" t="s">
        <v>1700</v>
      </c>
      <c r="G2364" s="39" t="s">
        <v>374</v>
      </c>
      <c r="H2364" s="7">
        <v>0</v>
      </c>
      <c r="I2364" s="7">
        <v>0</v>
      </c>
      <c r="J2364" s="17">
        <v>0</v>
      </c>
      <c r="K2364" s="17"/>
      <c r="L2364" s="7">
        <f t="shared" si="1044"/>
        <v>0</v>
      </c>
      <c r="M2364" s="8">
        <v>1</v>
      </c>
      <c r="N2364" s="8" t="str">
        <f t="shared" si="1034"/>
        <v/>
      </c>
      <c r="O2364" s="11" t="s">
        <v>1702</v>
      </c>
      <c r="P2364" s="16" t="str">
        <f t="shared" si="1045"/>
        <v>21-Jan-1895</v>
      </c>
      <c r="R2364" s="16" t="str">
        <f t="shared" si="1035"/>
        <v/>
      </c>
      <c r="S2364" s="16" t="str">
        <f t="shared" si="1035"/>
        <v/>
      </c>
      <c r="T2364" s="11"/>
      <c r="U2364" s="46" t="str">
        <f t="shared" si="1039"/>
        <v/>
      </c>
      <c r="V2364" s="46">
        <f t="shared" si="1039"/>
        <v>0</v>
      </c>
      <c r="W2364" s="46" t="str">
        <f t="shared" si="1039"/>
        <v/>
      </c>
      <c r="X2364" s="46" t="str">
        <f t="shared" si="1039"/>
        <v/>
      </c>
    </row>
    <row r="2365" spans="2:24" x14ac:dyDescent="0.25">
      <c r="B2365" s="11" t="str">
        <f t="shared" si="1043"/>
        <v>LBRG-19FEB1895</v>
      </c>
      <c r="C2365" s="11" t="s">
        <v>120</v>
      </c>
      <c r="D2365" s="11" t="s">
        <v>1699</v>
      </c>
      <c r="F2365" s="11" t="s">
        <v>1700</v>
      </c>
      <c r="G2365" s="39" t="s">
        <v>375</v>
      </c>
      <c r="H2365" s="7">
        <v>0</v>
      </c>
      <c r="I2365" s="7">
        <v>0</v>
      </c>
      <c r="J2365" s="17">
        <v>0</v>
      </c>
      <c r="K2365" s="17"/>
      <c r="L2365" s="7">
        <f t="shared" si="1044"/>
        <v>0</v>
      </c>
      <c r="M2365" s="8">
        <v>1</v>
      </c>
      <c r="N2365" s="8" t="str">
        <f t="shared" si="1034"/>
        <v/>
      </c>
      <c r="O2365" s="11" t="s">
        <v>1702</v>
      </c>
      <c r="P2365" s="16" t="str">
        <f t="shared" si="1045"/>
        <v>19-Feb-1895</v>
      </c>
      <c r="R2365" s="16" t="str">
        <f t="shared" si="1035"/>
        <v/>
      </c>
      <c r="S2365" s="16" t="str">
        <f t="shared" si="1035"/>
        <v/>
      </c>
      <c r="T2365" s="11"/>
      <c r="U2365" s="46" t="str">
        <f t="shared" si="1039"/>
        <v/>
      </c>
      <c r="V2365" s="46">
        <f t="shared" si="1039"/>
        <v>0</v>
      </c>
      <c r="W2365" s="46" t="str">
        <f t="shared" si="1039"/>
        <v/>
      </c>
      <c r="X2365" s="46" t="str">
        <f t="shared" si="1039"/>
        <v/>
      </c>
    </row>
    <row r="2366" spans="2:24" x14ac:dyDescent="0.25">
      <c r="B2366" s="11" t="str">
        <f t="shared" si="1043"/>
        <v>LBRG-01APR1895</v>
      </c>
      <c r="C2366" s="11" t="s">
        <v>120</v>
      </c>
      <c r="D2366" s="11" t="s">
        <v>1699</v>
      </c>
      <c r="F2366" s="11" t="s">
        <v>1700</v>
      </c>
      <c r="G2366" s="39" t="s">
        <v>376</v>
      </c>
      <c r="H2366" s="7">
        <v>0</v>
      </c>
      <c r="I2366" s="7">
        <v>0</v>
      </c>
      <c r="J2366" s="17">
        <v>2</v>
      </c>
      <c r="K2366" s="17"/>
      <c r="L2366" s="7">
        <f t="shared" si="1044"/>
        <v>2</v>
      </c>
      <c r="M2366" s="8">
        <v>1</v>
      </c>
      <c r="N2366" s="8">
        <f t="shared" si="1034"/>
        <v>1</v>
      </c>
      <c r="O2366" s="11" t="s">
        <v>1702</v>
      </c>
      <c r="P2366" s="16" t="str">
        <f t="shared" si="1045"/>
        <v>01-Apr-1895</v>
      </c>
      <c r="R2366" s="16" t="str">
        <f t="shared" si="1035"/>
        <v>x</v>
      </c>
      <c r="S2366" s="16" t="str">
        <f t="shared" si="1035"/>
        <v>x</v>
      </c>
      <c r="T2366" s="11"/>
      <c r="U2366" s="46" t="str">
        <f t="shared" si="1039"/>
        <v/>
      </c>
      <c r="V2366" s="46">
        <f t="shared" si="1039"/>
        <v>2</v>
      </c>
      <c r="W2366" s="46" t="str">
        <f t="shared" si="1039"/>
        <v/>
      </c>
      <c r="X2366" s="46" t="str">
        <f t="shared" si="1039"/>
        <v/>
      </c>
    </row>
    <row r="2367" spans="2:24" x14ac:dyDescent="0.25">
      <c r="B2367" s="11" t="str">
        <f t="shared" si="1043"/>
        <v>LBRG-29APR1895</v>
      </c>
      <c r="C2367" s="11" t="s">
        <v>120</v>
      </c>
      <c r="D2367" s="11" t="s">
        <v>1699</v>
      </c>
      <c r="F2367" s="11" t="s">
        <v>1700</v>
      </c>
      <c r="G2367" s="39" t="s">
        <v>377</v>
      </c>
      <c r="H2367" s="7">
        <v>0</v>
      </c>
      <c r="I2367" s="7">
        <v>0</v>
      </c>
      <c r="J2367" s="17">
        <v>7</v>
      </c>
      <c r="K2367" s="17"/>
      <c r="L2367" s="7">
        <f t="shared" si="1044"/>
        <v>7</v>
      </c>
      <c r="M2367" s="8">
        <v>1</v>
      </c>
      <c r="N2367" s="8">
        <f t="shared" si="1034"/>
        <v>1</v>
      </c>
      <c r="O2367" s="11" t="s">
        <v>1702</v>
      </c>
      <c r="P2367" s="16" t="str">
        <f t="shared" si="1045"/>
        <v>29-Apr-1895</v>
      </c>
      <c r="R2367" s="16" t="str">
        <f t="shared" si="1035"/>
        <v>x</v>
      </c>
      <c r="S2367" s="16" t="str">
        <f t="shared" si="1035"/>
        <v>x</v>
      </c>
      <c r="T2367" s="11"/>
      <c r="U2367" s="46" t="str">
        <f t="shared" si="1039"/>
        <v/>
      </c>
      <c r="V2367" s="46">
        <f t="shared" si="1039"/>
        <v>7</v>
      </c>
      <c r="W2367" s="46" t="str">
        <f t="shared" si="1039"/>
        <v/>
      </c>
      <c r="X2367" s="46" t="str">
        <f t="shared" si="1039"/>
        <v/>
      </c>
    </row>
    <row r="2368" spans="2:24" x14ac:dyDescent="0.25">
      <c r="B2368" s="11" t="str">
        <f t="shared" si="1043"/>
        <v>LBRG-03JUN1895</v>
      </c>
      <c r="C2368" s="11" t="s">
        <v>120</v>
      </c>
      <c r="D2368" s="11" t="s">
        <v>1699</v>
      </c>
      <c r="F2368" s="11" t="s">
        <v>1700</v>
      </c>
      <c r="G2368" s="39" t="s">
        <v>378</v>
      </c>
      <c r="H2368" s="7">
        <v>0</v>
      </c>
      <c r="I2368" s="7">
        <v>0</v>
      </c>
      <c r="J2368" s="17">
        <v>1</v>
      </c>
      <c r="K2368" s="17"/>
      <c r="L2368" s="7">
        <f t="shared" si="1044"/>
        <v>1</v>
      </c>
      <c r="M2368" s="8">
        <v>1</v>
      </c>
      <c r="N2368" s="8">
        <f t="shared" si="1034"/>
        <v>1</v>
      </c>
      <c r="O2368" s="11" t="s">
        <v>1702</v>
      </c>
      <c r="P2368" s="16" t="str">
        <f t="shared" si="1045"/>
        <v>03-Jun-1895</v>
      </c>
      <c r="R2368" s="16" t="str">
        <f t="shared" si="1035"/>
        <v>x</v>
      </c>
      <c r="S2368" s="16" t="str">
        <f t="shared" si="1035"/>
        <v>x</v>
      </c>
      <c r="T2368" s="11"/>
      <c r="U2368" s="46" t="str">
        <f t="shared" si="1039"/>
        <v/>
      </c>
      <c r="V2368" s="46">
        <f t="shared" si="1039"/>
        <v>1</v>
      </c>
      <c r="W2368" s="46" t="str">
        <f t="shared" si="1039"/>
        <v/>
      </c>
      <c r="X2368" s="46" t="str">
        <f t="shared" si="1039"/>
        <v/>
      </c>
    </row>
    <row r="2369" spans="2:24" x14ac:dyDescent="0.25">
      <c r="B2369" s="11" t="str">
        <f t="shared" ref="B2369:B2380" si="1046">CONCATENATE("LBRG","-",LEFT(P2369,2),UPPER(MID(P2369,4,3)),RIGHT(P2369,4))</f>
        <v>LBRG-01JUL1895</v>
      </c>
      <c r="C2369" s="11" t="s">
        <v>120</v>
      </c>
      <c r="D2369" s="11" t="s">
        <v>1699</v>
      </c>
      <c r="F2369" s="11" t="s">
        <v>1700</v>
      </c>
      <c r="G2369" s="39" t="s">
        <v>2137</v>
      </c>
      <c r="H2369" s="7">
        <v>0</v>
      </c>
      <c r="I2369" s="7">
        <v>0</v>
      </c>
      <c r="J2369" s="17">
        <v>0</v>
      </c>
      <c r="K2369" s="17"/>
      <c r="L2369" s="7">
        <f t="shared" ref="L2369:L2380" si="1047">SUM(H2369:K2369)</f>
        <v>0</v>
      </c>
      <c r="M2369" s="8">
        <v>1</v>
      </c>
      <c r="N2369" s="8" t="str">
        <f t="shared" si="1034"/>
        <v/>
      </c>
      <c r="O2369" s="11" t="s">
        <v>1702</v>
      </c>
      <c r="P2369" s="16" t="str">
        <f t="shared" ref="P2369:P2380" si="1048">IF(LEN(G2369)=10,CONCATENATE("0",G2369),G2369)</f>
        <v>01-Jul-1895</v>
      </c>
      <c r="R2369" s="16" t="str">
        <f t="shared" si="1035"/>
        <v/>
      </c>
      <c r="S2369" s="16" t="str">
        <f t="shared" si="1035"/>
        <v/>
      </c>
      <c r="T2369" s="11"/>
      <c r="U2369" s="46" t="str">
        <f t="shared" si="1039"/>
        <v/>
      </c>
      <c r="V2369" s="46">
        <f t="shared" si="1039"/>
        <v>0</v>
      </c>
      <c r="W2369" s="46" t="str">
        <f t="shared" si="1039"/>
        <v/>
      </c>
      <c r="X2369" s="46" t="str">
        <f t="shared" si="1039"/>
        <v/>
      </c>
    </row>
    <row r="2370" spans="2:24" x14ac:dyDescent="0.25">
      <c r="B2370" s="11" t="str">
        <f t="shared" si="1046"/>
        <v>LBRG-29JUL1895</v>
      </c>
      <c r="C2370" s="11" t="s">
        <v>120</v>
      </c>
      <c r="D2370" s="11" t="s">
        <v>1699</v>
      </c>
      <c r="F2370" s="11" t="s">
        <v>1700</v>
      </c>
      <c r="G2370" s="39" t="s">
        <v>379</v>
      </c>
      <c r="H2370" s="7">
        <v>0</v>
      </c>
      <c r="I2370" s="7">
        <v>0</v>
      </c>
      <c r="J2370" s="17">
        <v>0</v>
      </c>
      <c r="K2370" s="17"/>
      <c r="L2370" s="7">
        <f t="shared" si="1047"/>
        <v>0</v>
      </c>
      <c r="M2370" s="8">
        <v>1</v>
      </c>
      <c r="N2370" s="8" t="str">
        <f t="shared" si="1034"/>
        <v/>
      </c>
      <c r="O2370" s="11" t="s">
        <v>1702</v>
      </c>
      <c r="P2370" s="16" t="str">
        <f t="shared" si="1048"/>
        <v>29-Jul-1895</v>
      </c>
      <c r="R2370" s="16" t="str">
        <f t="shared" si="1035"/>
        <v/>
      </c>
      <c r="S2370" s="16" t="str">
        <f t="shared" si="1035"/>
        <v/>
      </c>
      <c r="T2370" s="11"/>
      <c r="U2370" s="46" t="str">
        <f t="shared" si="1039"/>
        <v/>
      </c>
      <c r="V2370" s="46">
        <f t="shared" si="1039"/>
        <v>0</v>
      </c>
      <c r="W2370" s="46" t="str">
        <f t="shared" si="1039"/>
        <v/>
      </c>
      <c r="X2370" s="46" t="str">
        <f t="shared" si="1039"/>
        <v/>
      </c>
    </row>
    <row r="2371" spans="2:24" x14ac:dyDescent="0.25">
      <c r="B2371" s="11" t="str">
        <f t="shared" si="1046"/>
        <v>LBRG-02SEP1895</v>
      </c>
      <c r="C2371" s="11" t="s">
        <v>120</v>
      </c>
      <c r="D2371" s="11" t="s">
        <v>1699</v>
      </c>
      <c r="F2371" s="11" t="s">
        <v>1700</v>
      </c>
      <c r="G2371" s="39" t="s">
        <v>380</v>
      </c>
      <c r="H2371" s="7">
        <v>0</v>
      </c>
      <c r="I2371" s="7">
        <v>0</v>
      </c>
      <c r="J2371" s="17">
        <v>1</v>
      </c>
      <c r="K2371" s="17"/>
      <c r="L2371" s="7">
        <f t="shared" si="1047"/>
        <v>1</v>
      </c>
      <c r="M2371" s="8">
        <v>1</v>
      </c>
      <c r="N2371" s="8">
        <f t="shared" si="1034"/>
        <v>1</v>
      </c>
      <c r="O2371" s="11" t="s">
        <v>1702</v>
      </c>
      <c r="P2371" s="16" t="str">
        <f t="shared" si="1048"/>
        <v>02-Sep-1895</v>
      </c>
      <c r="R2371" s="16" t="str">
        <f t="shared" si="1035"/>
        <v>x</v>
      </c>
      <c r="S2371" s="16" t="str">
        <f t="shared" si="1035"/>
        <v>x</v>
      </c>
      <c r="T2371" s="11"/>
      <c r="U2371" s="46" t="str">
        <f t="shared" si="1039"/>
        <v/>
      </c>
      <c r="V2371" s="46">
        <f t="shared" si="1039"/>
        <v>1</v>
      </c>
      <c r="W2371" s="46" t="str">
        <f t="shared" si="1039"/>
        <v/>
      </c>
      <c r="X2371" s="46" t="str">
        <f t="shared" si="1039"/>
        <v/>
      </c>
    </row>
    <row r="2372" spans="2:24" x14ac:dyDescent="0.25">
      <c r="B2372" s="11" t="str">
        <f t="shared" si="1046"/>
        <v>LBRG-30SEP1895</v>
      </c>
      <c r="C2372" s="11" t="s">
        <v>120</v>
      </c>
      <c r="D2372" s="11" t="s">
        <v>1699</v>
      </c>
      <c r="F2372" s="11" t="s">
        <v>1700</v>
      </c>
      <c r="G2372" s="39" t="s">
        <v>381</v>
      </c>
      <c r="H2372" s="7">
        <v>0</v>
      </c>
      <c r="I2372" s="7">
        <v>0</v>
      </c>
      <c r="J2372" s="17">
        <v>3</v>
      </c>
      <c r="K2372" s="17"/>
      <c r="L2372" s="7">
        <f t="shared" si="1047"/>
        <v>3</v>
      </c>
      <c r="M2372" s="8">
        <v>1</v>
      </c>
      <c r="N2372" s="8">
        <f t="shared" si="1034"/>
        <v>1</v>
      </c>
      <c r="O2372" s="11" t="s">
        <v>1702</v>
      </c>
      <c r="P2372" s="16" t="str">
        <f t="shared" si="1048"/>
        <v>30-Sep-1895</v>
      </c>
      <c r="R2372" s="16" t="str">
        <f t="shared" si="1035"/>
        <v>x</v>
      </c>
      <c r="S2372" s="16" t="str">
        <f t="shared" si="1035"/>
        <v>x</v>
      </c>
      <c r="T2372" s="11"/>
      <c r="U2372" s="46" t="str">
        <f t="shared" si="1039"/>
        <v/>
      </c>
      <c r="V2372" s="46">
        <f t="shared" si="1039"/>
        <v>3</v>
      </c>
      <c r="W2372" s="46" t="str">
        <f t="shared" si="1039"/>
        <v/>
      </c>
      <c r="X2372" s="46" t="str">
        <f t="shared" si="1039"/>
        <v/>
      </c>
    </row>
    <row r="2373" spans="2:24" x14ac:dyDescent="0.25">
      <c r="B2373" s="11" t="str">
        <f t="shared" si="1046"/>
        <v>LBRG-28OCT1895</v>
      </c>
      <c r="C2373" s="11" t="s">
        <v>120</v>
      </c>
      <c r="D2373" s="11" t="s">
        <v>1699</v>
      </c>
      <c r="F2373" s="11" t="s">
        <v>1700</v>
      </c>
      <c r="G2373" s="39" t="s">
        <v>382</v>
      </c>
      <c r="H2373" s="7">
        <v>0</v>
      </c>
      <c r="I2373" s="7">
        <v>0</v>
      </c>
      <c r="J2373" s="17">
        <v>12</v>
      </c>
      <c r="K2373" s="17"/>
      <c r="L2373" s="7">
        <f t="shared" si="1047"/>
        <v>12</v>
      </c>
      <c r="M2373" s="8">
        <v>1</v>
      </c>
      <c r="N2373" s="8">
        <f t="shared" si="1034"/>
        <v>1</v>
      </c>
      <c r="O2373" s="11" t="s">
        <v>1702</v>
      </c>
      <c r="P2373" s="16" t="str">
        <f t="shared" si="1048"/>
        <v>28-Oct-1895</v>
      </c>
      <c r="R2373" s="16" t="str">
        <f t="shared" si="1035"/>
        <v>x</v>
      </c>
      <c r="S2373" s="16" t="str">
        <f t="shared" si="1035"/>
        <v>x</v>
      </c>
      <c r="T2373" s="11"/>
      <c r="U2373" s="46" t="str">
        <f t="shared" si="1039"/>
        <v/>
      </c>
      <c r="V2373" s="46">
        <f t="shared" si="1039"/>
        <v>12</v>
      </c>
      <c r="W2373" s="46" t="str">
        <f t="shared" si="1039"/>
        <v/>
      </c>
      <c r="X2373" s="46" t="str">
        <f t="shared" si="1039"/>
        <v/>
      </c>
    </row>
    <row r="2374" spans="2:24" x14ac:dyDescent="0.25">
      <c r="B2374" s="11" t="str">
        <f t="shared" si="1046"/>
        <v>LBRG-25NOV1895</v>
      </c>
      <c r="C2374" s="11" t="s">
        <v>120</v>
      </c>
      <c r="D2374" s="11" t="s">
        <v>1699</v>
      </c>
      <c r="F2374" s="11" t="s">
        <v>1700</v>
      </c>
      <c r="G2374" s="39" t="s">
        <v>383</v>
      </c>
      <c r="H2374" s="7">
        <v>0</v>
      </c>
      <c r="I2374" s="7">
        <v>0</v>
      </c>
      <c r="J2374" s="17">
        <v>10</v>
      </c>
      <c r="K2374" s="17"/>
      <c r="L2374" s="7">
        <f t="shared" si="1047"/>
        <v>10</v>
      </c>
      <c r="M2374" s="8">
        <v>1</v>
      </c>
      <c r="N2374" s="8">
        <f t="shared" si="1034"/>
        <v>1</v>
      </c>
      <c r="O2374" s="11" t="s">
        <v>1702</v>
      </c>
      <c r="P2374" s="16" t="str">
        <f t="shared" si="1048"/>
        <v>25-Nov-1895</v>
      </c>
      <c r="R2374" s="16" t="str">
        <f t="shared" si="1035"/>
        <v>x</v>
      </c>
      <c r="S2374" s="16" t="str">
        <f t="shared" si="1035"/>
        <v>x</v>
      </c>
      <c r="T2374" s="11"/>
      <c r="U2374" s="46" t="str">
        <f t="shared" si="1039"/>
        <v/>
      </c>
      <c r="V2374" s="46">
        <f t="shared" si="1039"/>
        <v>10</v>
      </c>
      <c r="W2374" s="46" t="str">
        <f t="shared" si="1039"/>
        <v/>
      </c>
      <c r="X2374" s="46" t="str">
        <f t="shared" si="1039"/>
        <v/>
      </c>
    </row>
    <row r="2375" spans="2:24" x14ac:dyDescent="0.25">
      <c r="B2375" s="11" t="str">
        <f t="shared" si="1046"/>
        <v>LBRG-23DEC1895</v>
      </c>
      <c r="C2375" s="11" t="s">
        <v>120</v>
      </c>
      <c r="D2375" s="11" t="s">
        <v>1699</v>
      </c>
      <c r="F2375" s="11" t="s">
        <v>1700</v>
      </c>
      <c r="G2375" s="39" t="s">
        <v>384</v>
      </c>
      <c r="H2375" s="7">
        <v>0</v>
      </c>
      <c r="I2375" s="7">
        <v>0</v>
      </c>
      <c r="J2375" s="17">
        <v>5</v>
      </c>
      <c r="K2375" s="17"/>
      <c r="L2375" s="7">
        <f t="shared" si="1047"/>
        <v>5</v>
      </c>
      <c r="M2375" s="8">
        <v>1</v>
      </c>
      <c r="N2375" s="8">
        <f t="shared" si="1034"/>
        <v>1</v>
      </c>
      <c r="O2375" s="11" t="s">
        <v>1702</v>
      </c>
      <c r="P2375" s="16" t="str">
        <f t="shared" si="1048"/>
        <v>23-Dec-1895</v>
      </c>
      <c r="R2375" s="16" t="str">
        <f t="shared" si="1035"/>
        <v>x</v>
      </c>
      <c r="S2375" s="16" t="str">
        <f t="shared" si="1035"/>
        <v>x</v>
      </c>
      <c r="T2375" s="11"/>
      <c r="U2375" s="46" t="str">
        <f t="shared" si="1039"/>
        <v/>
      </c>
      <c r="V2375" s="46">
        <f t="shared" si="1039"/>
        <v>5</v>
      </c>
      <c r="W2375" s="46" t="str">
        <f t="shared" si="1039"/>
        <v/>
      </c>
      <c r="X2375" s="46" t="str">
        <f t="shared" si="1039"/>
        <v/>
      </c>
    </row>
    <row r="2376" spans="2:24" x14ac:dyDescent="0.25">
      <c r="B2376" s="11" t="str">
        <f t="shared" si="1046"/>
        <v>LBRG-27JAN1896</v>
      </c>
      <c r="C2376" s="11" t="s">
        <v>120</v>
      </c>
      <c r="D2376" s="11" t="s">
        <v>1699</v>
      </c>
      <c r="F2376" s="11" t="s">
        <v>1700</v>
      </c>
      <c r="G2376" s="39" t="s">
        <v>385</v>
      </c>
      <c r="H2376" s="7">
        <v>0</v>
      </c>
      <c r="I2376" s="7">
        <v>0</v>
      </c>
      <c r="J2376" s="17">
        <v>2</v>
      </c>
      <c r="K2376" s="17"/>
      <c r="L2376" s="7">
        <f t="shared" si="1047"/>
        <v>2</v>
      </c>
      <c r="M2376" s="8">
        <v>1</v>
      </c>
      <c r="N2376" s="8">
        <f t="shared" si="1034"/>
        <v>1</v>
      </c>
      <c r="O2376" s="11" t="s">
        <v>1702</v>
      </c>
      <c r="P2376" s="16" t="str">
        <f t="shared" si="1048"/>
        <v>27-Jan-1896</v>
      </c>
      <c r="R2376" s="16" t="str">
        <f t="shared" si="1035"/>
        <v>x</v>
      </c>
      <c r="S2376" s="16" t="str">
        <f t="shared" si="1035"/>
        <v>x</v>
      </c>
      <c r="T2376" s="11"/>
      <c r="U2376" s="46" t="str">
        <f t="shared" si="1039"/>
        <v/>
      </c>
      <c r="V2376" s="46">
        <f t="shared" si="1039"/>
        <v>2</v>
      </c>
      <c r="W2376" s="46" t="str">
        <f t="shared" si="1039"/>
        <v/>
      </c>
      <c r="X2376" s="46" t="str">
        <f t="shared" si="1039"/>
        <v/>
      </c>
    </row>
    <row r="2377" spans="2:24" x14ac:dyDescent="0.25">
      <c r="B2377" s="11" t="str">
        <f t="shared" si="1046"/>
        <v>LBRG-24FEB1896</v>
      </c>
      <c r="C2377" s="11" t="s">
        <v>120</v>
      </c>
      <c r="D2377" s="11" t="s">
        <v>1699</v>
      </c>
      <c r="F2377" s="11" t="s">
        <v>1700</v>
      </c>
      <c r="G2377" s="39" t="s">
        <v>386</v>
      </c>
      <c r="H2377" s="7">
        <v>0</v>
      </c>
      <c r="I2377" s="7">
        <v>0</v>
      </c>
      <c r="J2377" s="17">
        <v>2</v>
      </c>
      <c r="K2377" s="17"/>
      <c r="L2377" s="7">
        <f t="shared" si="1047"/>
        <v>2</v>
      </c>
      <c r="M2377" s="8">
        <v>1</v>
      </c>
      <c r="N2377" s="8">
        <f t="shared" si="1034"/>
        <v>1</v>
      </c>
      <c r="O2377" s="11" t="s">
        <v>1702</v>
      </c>
      <c r="P2377" s="16" t="str">
        <f t="shared" si="1048"/>
        <v>24-Feb-1896</v>
      </c>
      <c r="R2377" s="16" t="str">
        <f t="shared" si="1035"/>
        <v>x</v>
      </c>
      <c r="S2377" s="16" t="str">
        <f t="shared" si="1035"/>
        <v>x</v>
      </c>
      <c r="T2377" s="11"/>
      <c r="U2377" s="46" t="str">
        <f t="shared" si="1039"/>
        <v/>
      </c>
      <c r="V2377" s="46">
        <f t="shared" si="1039"/>
        <v>2</v>
      </c>
      <c r="W2377" s="46" t="str">
        <f t="shared" si="1039"/>
        <v/>
      </c>
      <c r="X2377" s="46" t="str">
        <f t="shared" si="1039"/>
        <v/>
      </c>
    </row>
    <row r="2378" spans="2:24" x14ac:dyDescent="0.25">
      <c r="B2378" s="11" t="str">
        <f t="shared" si="1046"/>
        <v>LBRG-06APR1896</v>
      </c>
      <c r="C2378" s="11" t="s">
        <v>120</v>
      </c>
      <c r="D2378" s="11" t="s">
        <v>1699</v>
      </c>
      <c r="F2378" s="11" t="s">
        <v>1700</v>
      </c>
      <c r="G2378" s="39" t="s">
        <v>387</v>
      </c>
      <c r="H2378" s="7">
        <v>0</v>
      </c>
      <c r="I2378" s="7">
        <v>0</v>
      </c>
      <c r="J2378" s="17">
        <v>0</v>
      </c>
      <c r="K2378" s="17"/>
      <c r="L2378" s="7">
        <f t="shared" si="1047"/>
        <v>0</v>
      </c>
      <c r="M2378" s="8">
        <v>1</v>
      </c>
      <c r="N2378" s="8" t="str">
        <f t="shared" si="1034"/>
        <v/>
      </c>
      <c r="O2378" s="11" t="s">
        <v>1702</v>
      </c>
      <c r="P2378" s="16" t="str">
        <f t="shared" si="1048"/>
        <v>06-Apr-1896</v>
      </c>
      <c r="R2378" s="16" t="str">
        <f t="shared" si="1035"/>
        <v/>
      </c>
      <c r="S2378" s="16" t="str">
        <f t="shared" si="1035"/>
        <v/>
      </c>
      <c r="T2378" s="11"/>
      <c r="U2378" s="46" t="str">
        <f t="shared" si="1039"/>
        <v/>
      </c>
      <c r="V2378" s="46">
        <f t="shared" si="1039"/>
        <v>0</v>
      </c>
      <c r="W2378" s="46" t="str">
        <f t="shared" si="1039"/>
        <v/>
      </c>
      <c r="X2378" s="46" t="str">
        <f t="shared" si="1039"/>
        <v/>
      </c>
    </row>
    <row r="2379" spans="2:24" x14ac:dyDescent="0.25">
      <c r="B2379" s="11" t="str">
        <f t="shared" si="1046"/>
        <v>LBRG-04MAY1896</v>
      </c>
      <c r="C2379" s="11" t="s">
        <v>120</v>
      </c>
      <c r="D2379" s="11" t="s">
        <v>1699</v>
      </c>
      <c r="F2379" s="11" t="s">
        <v>1700</v>
      </c>
      <c r="G2379" s="39" t="s">
        <v>388</v>
      </c>
      <c r="H2379" s="7">
        <v>0</v>
      </c>
      <c r="I2379" s="7">
        <v>0</v>
      </c>
      <c r="J2379" s="17">
        <v>0</v>
      </c>
      <c r="K2379" s="17"/>
      <c r="L2379" s="7">
        <f t="shared" si="1047"/>
        <v>0</v>
      </c>
      <c r="M2379" s="8">
        <v>1</v>
      </c>
      <c r="N2379" s="8" t="str">
        <f t="shared" si="1034"/>
        <v/>
      </c>
      <c r="O2379" s="11" t="s">
        <v>1702</v>
      </c>
      <c r="P2379" s="16" t="str">
        <f t="shared" si="1048"/>
        <v>04-May-1896</v>
      </c>
      <c r="R2379" s="16" t="str">
        <f t="shared" si="1035"/>
        <v/>
      </c>
      <c r="S2379" s="16" t="str">
        <f t="shared" si="1035"/>
        <v/>
      </c>
      <c r="T2379" s="11"/>
      <c r="U2379" s="46" t="str">
        <f t="shared" si="1039"/>
        <v/>
      </c>
      <c r="V2379" s="46">
        <f t="shared" si="1039"/>
        <v>0</v>
      </c>
      <c r="W2379" s="46" t="str">
        <f t="shared" si="1039"/>
        <v/>
      </c>
      <c r="X2379" s="46" t="str">
        <f t="shared" si="1039"/>
        <v/>
      </c>
    </row>
    <row r="2380" spans="2:24" x14ac:dyDescent="0.25">
      <c r="B2380" s="11" t="str">
        <f t="shared" si="1046"/>
        <v>LBRG-01JUN1896</v>
      </c>
      <c r="C2380" s="11" t="s">
        <v>120</v>
      </c>
      <c r="D2380" s="11" t="s">
        <v>1699</v>
      </c>
      <c r="F2380" s="11" t="s">
        <v>1700</v>
      </c>
      <c r="G2380" s="39" t="s">
        <v>389</v>
      </c>
      <c r="H2380" s="7">
        <v>0</v>
      </c>
      <c r="I2380" s="7">
        <v>0</v>
      </c>
      <c r="J2380" s="17">
        <v>0</v>
      </c>
      <c r="K2380" s="17"/>
      <c r="L2380" s="7">
        <f t="shared" si="1047"/>
        <v>0</v>
      </c>
      <c r="M2380" s="8">
        <v>1</v>
      </c>
      <c r="N2380" s="8" t="str">
        <f t="shared" si="1034"/>
        <v/>
      </c>
      <c r="O2380" s="11" t="s">
        <v>1702</v>
      </c>
      <c r="P2380" s="16" t="str">
        <f t="shared" si="1048"/>
        <v>01-Jun-1896</v>
      </c>
      <c r="R2380" s="16" t="str">
        <f t="shared" si="1035"/>
        <v/>
      </c>
      <c r="S2380" s="16" t="str">
        <f t="shared" si="1035"/>
        <v/>
      </c>
      <c r="T2380" s="11"/>
      <c r="U2380" s="46" t="str">
        <f t="shared" si="1039"/>
        <v/>
      </c>
      <c r="V2380" s="46">
        <f t="shared" si="1039"/>
        <v>0</v>
      </c>
      <c r="W2380" s="46" t="str">
        <f t="shared" si="1039"/>
        <v/>
      </c>
      <c r="X2380" s="46" t="str">
        <f t="shared" si="1039"/>
        <v/>
      </c>
    </row>
    <row r="2381" spans="2:24" x14ac:dyDescent="0.25">
      <c r="B2381" s="11" t="str">
        <f t="shared" ref="B2381:B2389" si="1049">CONCATENATE("LBRG","-",LEFT(P2381,2),UPPER(MID(P2381,4,3)),RIGHT(P2381,4))</f>
        <v>LBRG-29JUN1896</v>
      </c>
      <c r="C2381" s="11" t="s">
        <v>120</v>
      </c>
      <c r="D2381" s="11" t="s">
        <v>1699</v>
      </c>
      <c r="F2381" s="11" t="s">
        <v>1700</v>
      </c>
      <c r="G2381" s="39" t="s">
        <v>390</v>
      </c>
      <c r="H2381" s="7">
        <v>0</v>
      </c>
      <c r="I2381" s="7">
        <v>3</v>
      </c>
      <c r="J2381" s="17">
        <v>8</v>
      </c>
      <c r="K2381" s="17"/>
      <c r="L2381" s="7">
        <f t="shared" ref="L2381:L2389" si="1050">SUM(H2381:K2381)</f>
        <v>11</v>
      </c>
      <c r="M2381" s="8">
        <v>1</v>
      </c>
      <c r="N2381" s="8">
        <f t="shared" si="1034"/>
        <v>1</v>
      </c>
      <c r="O2381" s="11" t="s">
        <v>1702</v>
      </c>
      <c r="P2381" s="16" t="str">
        <f t="shared" ref="P2381:P2389" si="1051">IF(LEN(G2381)=10,CONCATENATE("0",G2381),G2381)</f>
        <v>29-Jun-1896</v>
      </c>
      <c r="R2381" s="16" t="str">
        <f t="shared" si="1035"/>
        <v>x</v>
      </c>
      <c r="S2381" s="16" t="str">
        <f t="shared" si="1035"/>
        <v>x</v>
      </c>
      <c r="T2381" s="11"/>
      <c r="U2381" s="46" t="str">
        <f t="shared" si="1039"/>
        <v/>
      </c>
      <c r="V2381" s="46">
        <f t="shared" si="1039"/>
        <v>11</v>
      </c>
      <c r="W2381" s="46" t="str">
        <f t="shared" si="1039"/>
        <v/>
      </c>
      <c r="X2381" s="46" t="str">
        <f t="shared" si="1039"/>
        <v/>
      </c>
    </row>
    <row r="2382" spans="2:24" x14ac:dyDescent="0.25">
      <c r="B2382" s="11" t="str">
        <f t="shared" si="1049"/>
        <v>LBRG-03AUG1896</v>
      </c>
      <c r="C2382" s="11" t="s">
        <v>120</v>
      </c>
      <c r="D2382" s="11" t="s">
        <v>1699</v>
      </c>
      <c r="F2382" s="11" t="s">
        <v>1700</v>
      </c>
      <c r="G2382" s="39" t="s">
        <v>391</v>
      </c>
      <c r="H2382" s="7">
        <v>0</v>
      </c>
      <c r="I2382" s="7">
        <v>0</v>
      </c>
      <c r="J2382" s="17">
        <v>6</v>
      </c>
      <c r="K2382" s="17"/>
      <c r="L2382" s="7">
        <f t="shared" si="1050"/>
        <v>6</v>
      </c>
      <c r="M2382" s="8">
        <v>1</v>
      </c>
      <c r="N2382" s="8">
        <f t="shared" si="1034"/>
        <v>1</v>
      </c>
      <c r="O2382" s="11" t="s">
        <v>1702</v>
      </c>
      <c r="P2382" s="16" t="str">
        <f t="shared" si="1051"/>
        <v>03-Aug-1896</v>
      </c>
      <c r="R2382" s="16" t="str">
        <f t="shared" si="1035"/>
        <v>x</v>
      </c>
      <c r="S2382" s="16" t="str">
        <f t="shared" si="1035"/>
        <v>x</v>
      </c>
      <c r="T2382" s="11"/>
      <c r="U2382" s="46" t="str">
        <f t="shared" si="1039"/>
        <v/>
      </c>
      <c r="V2382" s="46">
        <f t="shared" si="1039"/>
        <v>6</v>
      </c>
      <c r="W2382" s="46" t="str">
        <f t="shared" si="1039"/>
        <v/>
      </c>
      <c r="X2382" s="46" t="str">
        <f t="shared" si="1039"/>
        <v/>
      </c>
    </row>
    <row r="2383" spans="2:24" x14ac:dyDescent="0.25">
      <c r="B2383" s="11" t="str">
        <f t="shared" si="1049"/>
        <v>LBRG-31AUG1896</v>
      </c>
      <c r="C2383" s="11" t="s">
        <v>120</v>
      </c>
      <c r="D2383" s="11" t="s">
        <v>1699</v>
      </c>
      <c r="F2383" s="11" t="s">
        <v>1700</v>
      </c>
      <c r="G2383" s="39" t="s">
        <v>2149</v>
      </c>
      <c r="H2383" s="7">
        <v>0</v>
      </c>
      <c r="I2383" s="7">
        <v>0</v>
      </c>
      <c r="J2383" s="17">
        <v>6</v>
      </c>
      <c r="K2383" s="17"/>
      <c r="L2383" s="7">
        <f t="shared" si="1050"/>
        <v>6</v>
      </c>
      <c r="M2383" s="8">
        <v>1</v>
      </c>
      <c r="N2383" s="8">
        <f t="shared" si="1034"/>
        <v>1</v>
      </c>
      <c r="O2383" s="11" t="s">
        <v>1702</v>
      </c>
      <c r="P2383" s="16" t="str">
        <f t="shared" si="1051"/>
        <v>31-Aug-1896</v>
      </c>
      <c r="R2383" s="16" t="str">
        <f t="shared" si="1035"/>
        <v>x</v>
      </c>
      <c r="S2383" s="16" t="str">
        <f t="shared" si="1035"/>
        <v>x</v>
      </c>
      <c r="T2383" s="11"/>
      <c r="U2383" s="46" t="str">
        <f t="shared" si="1039"/>
        <v/>
      </c>
      <c r="V2383" s="46">
        <f t="shared" si="1039"/>
        <v>6</v>
      </c>
      <c r="W2383" s="46" t="str">
        <f t="shared" si="1039"/>
        <v/>
      </c>
      <c r="X2383" s="46" t="str">
        <f t="shared" si="1039"/>
        <v/>
      </c>
    </row>
    <row r="2384" spans="2:24" x14ac:dyDescent="0.25">
      <c r="B2384" s="11" t="str">
        <f t="shared" si="1049"/>
        <v>LBRG-05OCT1896</v>
      </c>
      <c r="C2384" s="11" t="s">
        <v>120</v>
      </c>
      <c r="D2384" s="11" t="s">
        <v>1699</v>
      </c>
      <c r="F2384" s="11" t="s">
        <v>1700</v>
      </c>
      <c r="G2384" s="39" t="s">
        <v>392</v>
      </c>
      <c r="H2384" s="7">
        <v>0</v>
      </c>
      <c r="I2384" s="7">
        <v>0</v>
      </c>
      <c r="J2384" s="17">
        <v>17</v>
      </c>
      <c r="K2384" s="17"/>
      <c r="L2384" s="7">
        <f t="shared" si="1050"/>
        <v>17</v>
      </c>
      <c r="M2384" s="8">
        <v>1</v>
      </c>
      <c r="N2384" s="8">
        <f t="shared" si="1034"/>
        <v>1</v>
      </c>
      <c r="O2384" s="11" t="s">
        <v>1702</v>
      </c>
      <c r="P2384" s="16" t="str">
        <f t="shared" si="1051"/>
        <v>05-Oct-1896</v>
      </c>
      <c r="R2384" s="16" t="str">
        <f t="shared" si="1035"/>
        <v>x</v>
      </c>
      <c r="S2384" s="16" t="str">
        <f t="shared" si="1035"/>
        <v>x</v>
      </c>
      <c r="U2384" s="46" t="str">
        <f t="shared" si="1039"/>
        <v/>
      </c>
      <c r="V2384" s="46">
        <f t="shared" si="1039"/>
        <v>17</v>
      </c>
      <c r="W2384" s="46" t="str">
        <f t="shared" si="1039"/>
        <v/>
      </c>
      <c r="X2384" s="46" t="str">
        <f t="shared" si="1039"/>
        <v/>
      </c>
    </row>
    <row r="2385" spans="2:26" x14ac:dyDescent="0.25">
      <c r="B2385" s="11" t="str">
        <f t="shared" si="1049"/>
        <v>LBRG-02NOV1896</v>
      </c>
      <c r="C2385" s="11" t="s">
        <v>120</v>
      </c>
      <c r="D2385" s="11" t="s">
        <v>1699</v>
      </c>
      <c r="F2385" s="11" t="s">
        <v>1700</v>
      </c>
      <c r="G2385" s="39" t="s">
        <v>393</v>
      </c>
      <c r="H2385" s="7">
        <v>0</v>
      </c>
      <c r="I2385" s="7">
        <v>0</v>
      </c>
      <c r="J2385" s="17">
        <v>10</v>
      </c>
      <c r="K2385" s="17"/>
      <c r="L2385" s="7">
        <f t="shared" si="1050"/>
        <v>10</v>
      </c>
      <c r="M2385" s="8">
        <v>1</v>
      </c>
      <c r="N2385" s="8">
        <f t="shared" si="1034"/>
        <v>1</v>
      </c>
      <c r="O2385" s="11" t="s">
        <v>1702</v>
      </c>
      <c r="P2385" s="16" t="str">
        <f t="shared" si="1051"/>
        <v>02-Nov-1896</v>
      </c>
      <c r="R2385" s="16" t="str">
        <f t="shared" si="1035"/>
        <v>x</v>
      </c>
      <c r="S2385" s="16" t="str">
        <f t="shared" si="1035"/>
        <v>x</v>
      </c>
      <c r="U2385" s="46" t="str">
        <f t="shared" si="1039"/>
        <v/>
      </c>
      <c r="V2385" s="46">
        <f t="shared" si="1039"/>
        <v>10</v>
      </c>
      <c r="W2385" s="46" t="str">
        <f t="shared" si="1039"/>
        <v/>
      </c>
      <c r="X2385" s="46" t="str">
        <f t="shared" si="1039"/>
        <v/>
      </c>
    </row>
    <row r="2386" spans="2:26" x14ac:dyDescent="0.25">
      <c r="B2386" s="11" t="str">
        <f t="shared" si="1049"/>
        <v>LBRG-14DEC1896</v>
      </c>
      <c r="C2386" s="11" t="s">
        <v>120</v>
      </c>
      <c r="D2386" s="11" t="s">
        <v>1699</v>
      </c>
      <c r="F2386" s="11" t="s">
        <v>1700</v>
      </c>
      <c r="G2386" s="39" t="s">
        <v>394</v>
      </c>
      <c r="H2386" s="7">
        <v>0</v>
      </c>
      <c r="I2386" s="7">
        <v>0</v>
      </c>
      <c r="J2386" s="17">
        <v>23</v>
      </c>
      <c r="K2386" s="17"/>
      <c r="L2386" s="7">
        <f t="shared" si="1050"/>
        <v>23</v>
      </c>
      <c r="M2386" s="8">
        <v>1</v>
      </c>
      <c r="N2386" s="8">
        <f t="shared" si="1034"/>
        <v>1</v>
      </c>
      <c r="O2386" s="11" t="s">
        <v>1702</v>
      </c>
      <c r="P2386" s="16" t="str">
        <f t="shared" si="1051"/>
        <v>14-Dec-1896</v>
      </c>
      <c r="R2386" s="16" t="str">
        <f t="shared" si="1035"/>
        <v>x</v>
      </c>
      <c r="S2386" s="16" t="str">
        <f t="shared" si="1035"/>
        <v>x</v>
      </c>
      <c r="U2386" s="46" t="str">
        <f t="shared" si="1039"/>
        <v/>
      </c>
      <c r="V2386" s="46">
        <f t="shared" si="1039"/>
        <v>23</v>
      </c>
      <c r="W2386" s="46" t="str">
        <f t="shared" si="1039"/>
        <v/>
      </c>
      <c r="X2386" s="46" t="str">
        <f t="shared" si="1039"/>
        <v/>
      </c>
    </row>
    <row r="2387" spans="2:26" x14ac:dyDescent="0.25">
      <c r="B2387" s="11" t="str">
        <f t="shared" si="1049"/>
        <v>LBRG-18JAN1897</v>
      </c>
      <c r="C2387" s="11" t="s">
        <v>120</v>
      </c>
      <c r="D2387" s="11" t="s">
        <v>1699</v>
      </c>
      <c r="F2387" s="11" t="s">
        <v>1700</v>
      </c>
      <c r="G2387" s="39" t="s">
        <v>395</v>
      </c>
      <c r="H2387" s="7">
        <v>0</v>
      </c>
      <c r="I2387" s="7">
        <v>2</v>
      </c>
      <c r="J2387" s="17">
        <v>44</v>
      </c>
      <c r="K2387" s="17"/>
      <c r="L2387" s="7">
        <f t="shared" si="1050"/>
        <v>46</v>
      </c>
      <c r="M2387" s="8">
        <v>1</v>
      </c>
      <c r="N2387" s="8">
        <f t="shared" si="1034"/>
        <v>1</v>
      </c>
      <c r="O2387" s="11" t="s">
        <v>1702</v>
      </c>
      <c r="P2387" s="16" t="str">
        <f t="shared" si="1051"/>
        <v>18-Jan-1897</v>
      </c>
      <c r="R2387" s="16" t="str">
        <f t="shared" si="1035"/>
        <v>x</v>
      </c>
      <c r="S2387" s="16" t="str">
        <f t="shared" si="1035"/>
        <v>x</v>
      </c>
      <c r="U2387" s="46" t="str">
        <f t="shared" si="1039"/>
        <v/>
      </c>
      <c r="V2387" s="46">
        <f t="shared" si="1039"/>
        <v>46</v>
      </c>
      <c r="W2387" s="46" t="str">
        <f t="shared" si="1039"/>
        <v/>
      </c>
      <c r="X2387" s="46" t="str">
        <f t="shared" si="1039"/>
        <v/>
      </c>
    </row>
    <row r="2388" spans="2:26" x14ac:dyDescent="0.25">
      <c r="B2388" s="11" t="str">
        <f t="shared" si="1049"/>
        <v>LBRG-15FEB1897</v>
      </c>
      <c r="C2388" s="11" t="s">
        <v>120</v>
      </c>
      <c r="D2388" s="11" t="s">
        <v>1699</v>
      </c>
      <c r="F2388" s="11" t="s">
        <v>1700</v>
      </c>
      <c r="G2388" s="39" t="s">
        <v>396</v>
      </c>
      <c r="H2388" s="7">
        <v>0</v>
      </c>
      <c r="I2388" s="7">
        <v>0</v>
      </c>
      <c r="J2388" s="17">
        <v>9</v>
      </c>
      <c r="K2388" s="17"/>
      <c r="L2388" s="7">
        <f t="shared" si="1050"/>
        <v>9</v>
      </c>
      <c r="M2388" s="8">
        <v>1</v>
      </c>
      <c r="N2388" s="8">
        <f t="shared" si="1034"/>
        <v>1</v>
      </c>
      <c r="O2388" s="11" t="s">
        <v>1702</v>
      </c>
      <c r="P2388" s="16" t="str">
        <f t="shared" si="1051"/>
        <v>15-Feb-1897</v>
      </c>
      <c r="R2388" s="16" t="str">
        <f t="shared" si="1035"/>
        <v>x</v>
      </c>
      <c r="S2388" s="16" t="str">
        <f t="shared" si="1035"/>
        <v>x</v>
      </c>
      <c r="U2388" s="46" t="str">
        <f t="shared" si="1039"/>
        <v/>
      </c>
      <c r="V2388" s="46">
        <f t="shared" si="1039"/>
        <v>9</v>
      </c>
      <c r="W2388" s="46" t="str">
        <f t="shared" si="1039"/>
        <v/>
      </c>
      <c r="X2388" s="46" t="str">
        <f t="shared" si="1039"/>
        <v/>
      </c>
    </row>
    <row r="2389" spans="2:26" x14ac:dyDescent="0.25">
      <c r="B2389" s="11" t="str">
        <f t="shared" si="1049"/>
        <v>LBRG-10MAY1897</v>
      </c>
      <c r="C2389" s="11" t="s">
        <v>120</v>
      </c>
      <c r="D2389" s="11" t="s">
        <v>1699</v>
      </c>
      <c r="F2389" s="11" t="s">
        <v>1700</v>
      </c>
      <c r="G2389" s="39" t="s">
        <v>2155</v>
      </c>
      <c r="H2389" s="7">
        <v>0</v>
      </c>
      <c r="I2389" s="7">
        <v>0</v>
      </c>
      <c r="J2389" s="17">
        <v>13</v>
      </c>
      <c r="K2389" s="17"/>
      <c r="L2389" s="7">
        <f t="shared" si="1050"/>
        <v>13</v>
      </c>
      <c r="M2389" s="8">
        <v>1</v>
      </c>
      <c r="N2389" s="8">
        <f t="shared" si="1034"/>
        <v>1</v>
      </c>
      <c r="O2389" s="11" t="s">
        <v>1702</v>
      </c>
      <c r="P2389" s="16" t="str">
        <f t="shared" si="1051"/>
        <v>10-May-1897</v>
      </c>
      <c r="R2389" s="16" t="str">
        <f t="shared" si="1035"/>
        <v>x</v>
      </c>
      <c r="S2389" s="16" t="str">
        <f t="shared" si="1035"/>
        <v>x</v>
      </c>
      <c r="U2389" s="46" t="str">
        <f t="shared" si="1039"/>
        <v/>
      </c>
      <c r="V2389" s="46">
        <f t="shared" si="1039"/>
        <v>13</v>
      </c>
      <c r="W2389" s="46" t="str">
        <f t="shared" si="1039"/>
        <v/>
      </c>
      <c r="X2389" s="46" t="str">
        <f t="shared" si="1039"/>
        <v/>
      </c>
    </row>
    <row r="2390" spans="2:26" x14ac:dyDescent="0.25">
      <c r="B2390" s="11" t="str">
        <f>CONCATENATE("LBRG","-",LEFT(P2390,2),UPPER(MID(P2390,4,3)),RIGHT(P2390,4))</f>
        <v>LBRG-27MAR1898</v>
      </c>
      <c r="C2390" s="11" t="s">
        <v>120</v>
      </c>
      <c r="D2390" s="11" t="s">
        <v>1699</v>
      </c>
      <c r="F2390" s="11" t="s">
        <v>1700</v>
      </c>
      <c r="G2390" s="39" t="s">
        <v>397</v>
      </c>
      <c r="J2390" s="17">
        <v>0</v>
      </c>
      <c r="K2390" s="17"/>
      <c r="L2390" s="7">
        <f>SUM(H2390:K2390)</f>
        <v>0</v>
      </c>
      <c r="M2390" s="8">
        <v>1</v>
      </c>
      <c r="N2390" s="8" t="str">
        <f t="shared" si="1034"/>
        <v/>
      </c>
      <c r="O2390" s="11" t="s">
        <v>1702</v>
      </c>
      <c r="P2390" s="16" t="str">
        <f>IF(LEN(G2390)=10,CONCATENATE("0",G2390),G2390)</f>
        <v>27-Mar-1898</v>
      </c>
      <c r="R2390" s="16" t="str">
        <f t="shared" si="1035"/>
        <v/>
      </c>
      <c r="S2390" s="16" t="str">
        <f t="shared" si="1035"/>
        <v/>
      </c>
      <c r="U2390" s="46" t="str">
        <f t="shared" si="1039"/>
        <v/>
      </c>
      <c r="V2390" s="46">
        <f t="shared" si="1039"/>
        <v>0</v>
      </c>
      <c r="W2390" s="46" t="str">
        <f t="shared" si="1039"/>
        <v/>
      </c>
      <c r="X2390" s="46" t="str">
        <f t="shared" si="1039"/>
        <v/>
      </c>
    </row>
    <row r="2391" spans="2:26" x14ac:dyDescent="0.25">
      <c r="B2391" s="11" t="str">
        <f>CONCATENATE("LBRG","-",LEFT(P2391,2),UPPER(MID(P2391,4,3)),RIGHT(P2391,4))</f>
        <v>LBRG-01MAY1898</v>
      </c>
      <c r="C2391" s="11" t="s">
        <v>120</v>
      </c>
      <c r="D2391" s="11" t="s">
        <v>1699</v>
      </c>
      <c r="E2391" s="39" t="s">
        <v>401</v>
      </c>
      <c r="F2391" s="11" t="s">
        <v>1700</v>
      </c>
      <c r="G2391" s="39" t="s">
        <v>398</v>
      </c>
      <c r="J2391" s="17">
        <v>35</v>
      </c>
      <c r="K2391" s="17"/>
      <c r="L2391" s="7">
        <f>SUM(H2391:K2391)</f>
        <v>35</v>
      </c>
      <c r="M2391" s="8">
        <v>1</v>
      </c>
      <c r="N2391" s="8">
        <f t="shared" si="1034"/>
        <v>1</v>
      </c>
      <c r="O2391" s="11" t="s">
        <v>1702</v>
      </c>
      <c r="P2391" s="16" t="str">
        <f>IF(LEN(G2391)=10,CONCATENATE("0",G2391),G2391)</f>
        <v>01-May-1898</v>
      </c>
      <c r="R2391" s="16" t="str">
        <f t="shared" si="1035"/>
        <v>x</v>
      </c>
      <c r="S2391" s="16" t="str">
        <f t="shared" si="1035"/>
        <v>x</v>
      </c>
      <c r="U2391" s="46" t="str">
        <f t="shared" si="1039"/>
        <v/>
      </c>
      <c r="V2391" s="46">
        <f t="shared" si="1039"/>
        <v>35</v>
      </c>
      <c r="W2391" s="46" t="str">
        <f t="shared" si="1039"/>
        <v/>
      </c>
      <c r="X2391" s="46" t="str">
        <f t="shared" si="1039"/>
        <v/>
      </c>
    </row>
    <row r="2392" spans="2:26" x14ac:dyDescent="0.25">
      <c r="B2392" s="11" t="str">
        <f>CONCATENATE("LBRG","-",LEFT(P2392,2),UPPER(MID(P2392,4,3)),RIGHT(P2392,4))</f>
        <v>LBRG-29MAY1898</v>
      </c>
      <c r="C2392" s="11" t="s">
        <v>120</v>
      </c>
      <c r="D2392" s="11" t="s">
        <v>1699</v>
      </c>
      <c r="E2392" s="39" t="s">
        <v>402</v>
      </c>
      <c r="F2392" s="11" t="s">
        <v>1700</v>
      </c>
      <c r="G2392" s="39" t="s">
        <v>399</v>
      </c>
      <c r="J2392" s="17">
        <v>5</v>
      </c>
      <c r="K2392" s="17"/>
      <c r="L2392" s="7">
        <f>SUM(H2392:K2392)</f>
        <v>5</v>
      </c>
      <c r="M2392" s="8">
        <v>1</v>
      </c>
      <c r="N2392" s="8">
        <f t="shared" si="1034"/>
        <v>1</v>
      </c>
      <c r="O2392" s="11" t="s">
        <v>1702</v>
      </c>
      <c r="P2392" s="16" t="str">
        <f>IF(LEN(G2392)=10,CONCATENATE("0",G2392),G2392)</f>
        <v>29-May-1898</v>
      </c>
      <c r="R2392" s="16" t="str">
        <f t="shared" si="1035"/>
        <v>x</v>
      </c>
      <c r="S2392" s="16" t="str">
        <f t="shared" si="1035"/>
        <v>x</v>
      </c>
      <c r="U2392" s="46" t="str">
        <f t="shared" si="1039"/>
        <v/>
      </c>
      <c r="V2392" s="46">
        <f t="shared" si="1039"/>
        <v>5</v>
      </c>
      <c r="W2392" s="46" t="str">
        <f t="shared" si="1039"/>
        <v/>
      </c>
      <c r="X2392" s="46" t="str">
        <f t="shared" si="1039"/>
        <v/>
      </c>
    </row>
    <row r="2393" spans="2:26" x14ac:dyDescent="0.25">
      <c r="B2393" s="11" t="str">
        <f>CONCATENATE("LBRG","-",LEFT(P2393,2),UPPER(MID(P2393,4,3)),RIGHT(P2393,4))</f>
        <v>LBRG-26JUN1898</v>
      </c>
      <c r="C2393" s="11" t="s">
        <v>120</v>
      </c>
      <c r="D2393" s="11" t="s">
        <v>1699</v>
      </c>
      <c r="E2393" s="39" t="s">
        <v>403</v>
      </c>
      <c r="F2393" s="11" t="s">
        <v>1700</v>
      </c>
      <c r="G2393" s="39" t="s">
        <v>400</v>
      </c>
      <c r="J2393" s="17">
        <v>4</v>
      </c>
      <c r="K2393" s="17"/>
      <c r="L2393" s="7">
        <f>SUM(H2393:K2393)</f>
        <v>4</v>
      </c>
      <c r="M2393" s="8">
        <v>1</v>
      </c>
      <c r="N2393" s="8">
        <f t="shared" si="1034"/>
        <v>1</v>
      </c>
      <c r="O2393" s="11" t="s">
        <v>1702</v>
      </c>
      <c r="P2393" s="16" t="str">
        <f>IF(LEN(G2393)=10,CONCATENATE("0",G2393),G2393)</f>
        <v>26-Jun-1898</v>
      </c>
      <c r="R2393" s="16" t="str">
        <f t="shared" si="1035"/>
        <v>x</v>
      </c>
      <c r="S2393" s="16" t="str">
        <f t="shared" si="1035"/>
        <v>x</v>
      </c>
      <c r="U2393" s="46" t="str">
        <f t="shared" si="1039"/>
        <v/>
      </c>
      <c r="V2393" s="46">
        <f t="shared" si="1039"/>
        <v>4</v>
      </c>
      <c r="W2393" s="46" t="str">
        <f t="shared" si="1039"/>
        <v/>
      </c>
      <c r="X2393" s="46" t="str">
        <f t="shared" si="1039"/>
        <v/>
      </c>
    </row>
    <row r="2394" spans="2:26" x14ac:dyDescent="0.25">
      <c r="N2394" s="8" t="str">
        <f>IF(R2394="x",1,"")</f>
        <v/>
      </c>
      <c r="U2394" s="46" t="str">
        <f t="shared" si="1039"/>
        <v/>
      </c>
      <c r="V2394" s="46" t="str">
        <f t="shared" si="1039"/>
        <v/>
      </c>
      <c r="W2394" s="46" t="str">
        <f t="shared" si="1039"/>
        <v/>
      </c>
      <c r="X2394" s="46" t="str">
        <f t="shared" si="1039"/>
        <v/>
      </c>
    </row>
    <row r="2395" spans="2:26" s="18" customFormat="1" x14ac:dyDescent="0.25">
      <c r="E2395" s="40"/>
      <c r="G2395" s="40"/>
      <c r="H2395" s="7">
        <f t="shared" ref="H2395:N2395" si="1052">SUM(H2333:H2394)</f>
        <v>2</v>
      </c>
      <c r="I2395" s="7">
        <f t="shared" si="1052"/>
        <v>7</v>
      </c>
      <c r="J2395" s="7">
        <f>SUM(J2333:J2394)</f>
        <v>225</v>
      </c>
      <c r="K2395" s="7">
        <f t="shared" si="1052"/>
        <v>0</v>
      </c>
      <c r="L2395" s="7">
        <f t="shared" si="1052"/>
        <v>234</v>
      </c>
      <c r="M2395" s="7">
        <f t="shared" si="1052"/>
        <v>61</v>
      </c>
      <c r="N2395" s="7">
        <f t="shared" si="1052"/>
        <v>24</v>
      </c>
      <c r="P2395" s="13"/>
      <c r="Q2395" s="13"/>
      <c r="R2395" s="16"/>
      <c r="S2395" s="13"/>
      <c r="T2395" s="15"/>
      <c r="U2395" s="46" t="str">
        <f t="shared" si="1039"/>
        <v/>
      </c>
      <c r="V2395" s="46" t="str">
        <f t="shared" si="1039"/>
        <v/>
      </c>
      <c r="W2395" s="46" t="str">
        <f t="shared" si="1039"/>
        <v/>
      </c>
      <c r="X2395" s="46" t="str">
        <f t="shared" si="1039"/>
        <v/>
      </c>
      <c r="Z2395" s="11"/>
    </row>
    <row r="2396" spans="2:26" s="18" customFormat="1" x14ac:dyDescent="0.25">
      <c r="E2396" s="40"/>
      <c r="G2396" s="40"/>
      <c r="H2396" s="7"/>
      <c r="I2396" s="7"/>
      <c r="J2396" s="7"/>
      <c r="K2396" s="7"/>
      <c r="L2396" s="7"/>
      <c r="M2396" s="8"/>
      <c r="N2396" s="8" t="str">
        <f>IF(R2396="x",1,"")</f>
        <v/>
      </c>
      <c r="P2396" s="13"/>
      <c r="Q2396" s="13"/>
      <c r="R2396" s="16"/>
      <c r="S2396" s="13"/>
      <c r="T2396" s="15"/>
      <c r="U2396" s="46" t="str">
        <f t="shared" si="1039"/>
        <v/>
      </c>
      <c r="V2396" s="46" t="str">
        <f t="shared" si="1039"/>
        <v/>
      </c>
      <c r="W2396" s="46" t="str">
        <f t="shared" si="1039"/>
        <v/>
      </c>
      <c r="X2396" s="46" t="str">
        <f t="shared" si="1039"/>
        <v/>
      </c>
      <c r="Z2396" s="11"/>
    </row>
    <row r="2397" spans="2:26" s="18" customFormat="1" x14ac:dyDescent="0.25">
      <c r="E2397" s="40"/>
      <c r="G2397" s="40"/>
      <c r="H2397" s="7"/>
      <c r="I2397" s="7"/>
      <c r="J2397" s="7"/>
      <c r="K2397" s="7"/>
      <c r="L2397" s="7"/>
      <c r="M2397" s="8"/>
      <c r="N2397" s="8" t="str">
        <f>IF(R2397="x",1,"")</f>
        <v/>
      </c>
      <c r="P2397" s="13"/>
      <c r="Q2397" s="13"/>
      <c r="R2397" s="16"/>
      <c r="S2397" s="13"/>
      <c r="T2397" s="15"/>
      <c r="U2397" s="46" t="str">
        <f t="shared" si="1039"/>
        <v/>
      </c>
      <c r="V2397" s="46" t="str">
        <f t="shared" si="1039"/>
        <v/>
      </c>
      <c r="W2397" s="46" t="str">
        <f t="shared" si="1039"/>
        <v/>
      </c>
      <c r="X2397" s="46" t="str">
        <f t="shared" si="1039"/>
        <v/>
      </c>
      <c r="Z2397" s="11"/>
    </row>
    <row r="2398" spans="2:26" x14ac:dyDescent="0.25">
      <c r="B2398" s="11" t="str">
        <f>CONCATENATE("LBRT","-",LEFT(P2398,2),UPPER(MID(P2398,4,3)),RIGHT(P2398,4))</f>
        <v>LBRT-20SEP1886</v>
      </c>
      <c r="C2398" s="11" t="s">
        <v>2249</v>
      </c>
      <c r="D2398" s="11" t="s">
        <v>1699</v>
      </c>
      <c r="F2398" s="11" t="s">
        <v>1700</v>
      </c>
      <c r="G2398" s="39" t="s">
        <v>6264</v>
      </c>
      <c r="H2398" s="7">
        <v>0</v>
      </c>
      <c r="I2398" s="7">
        <v>1</v>
      </c>
      <c r="J2398" s="17">
        <v>0</v>
      </c>
      <c r="K2398" s="17"/>
      <c r="L2398" s="7">
        <f t="shared" ref="L2398:L2412" si="1053">SUM(H2398:K2398)</f>
        <v>1</v>
      </c>
      <c r="M2398" s="8">
        <v>1</v>
      </c>
      <c r="N2398" s="8">
        <f t="shared" ref="N2398:N2463" si="1054">IF(L2398&gt;0,1,"")</f>
        <v>1</v>
      </c>
      <c r="O2398" s="11" t="s">
        <v>1702</v>
      </c>
      <c r="P2398" s="16" t="str">
        <f t="shared" ref="P2398:P2412" si="1055">IF(LEN(G2398)=10,CONCATENATE("0",G2398),G2398)</f>
        <v>20-Sep-1886</v>
      </c>
      <c r="R2398" s="16" t="str">
        <f>IF($L2398&gt;0,"x","")</f>
        <v>x</v>
      </c>
      <c r="S2398" s="16" t="str">
        <f>IF($L2398&gt;0,"x","")</f>
        <v>x</v>
      </c>
      <c r="U2398" s="46" t="str">
        <f t="shared" si="1039"/>
        <v/>
      </c>
      <c r="V2398" s="46">
        <f t="shared" si="1039"/>
        <v>1</v>
      </c>
      <c r="W2398" s="46" t="str">
        <f t="shared" si="1039"/>
        <v/>
      </c>
      <c r="X2398" s="46" t="str">
        <f t="shared" si="1039"/>
        <v/>
      </c>
    </row>
    <row r="2399" spans="2:26" x14ac:dyDescent="0.25">
      <c r="B2399" s="11" t="str">
        <f>CONCATENATE("LBRT","-",LEFT(P2399,2),UPPER(MID(P2399,4,3)),RIGHT(P2399,4))</f>
        <v>LBRT-09JUN1890</v>
      </c>
      <c r="C2399" s="11" t="s">
        <v>2249</v>
      </c>
      <c r="D2399" s="11" t="s">
        <v>1699</v>
      </c>
      <c r="F2399" s="11" t="s">
        <v>1700</v>
      </c>
      <c r="G2399" s="39" t="s">
        <v>6218</v>
      </c>
      <c r="H2399" s="7">
        <v>0</v>
      </c>
      <c r="I2399" s="7">
        <v>1</v>
      </c>
      <c r="J2399" s="17">
        <v>0</v>
      </c>
      <c r="K2399" s="17"/>
      <c r="L2399" s="7">
        <f>SUM(H2399:K2399)</f>
        <v>1</v>
      </c>
      <c r="M2399" s="8">
        <v>1</v>
      </c>
      <c r="N2399" s="8">
        <f>IF(L2399&gt;0,1,"")</f>
        <v>1</v>
      </c>
      <c r="O2399" s="11" t="s">
        <v>1702</v>
      </c>
      <c r="P2399" s="16" t="str">
        <f>IF(LEN(G2399)=10,CONCATENATE("0",G2399),G2399)</f>
        <v>09-Jun-1890</v>
      </c>
      <c r="R2399" s="16" t="str">
        <f>IF($L2399&gt;0,"x","")</f>
        <v>x</v>
      </c>
      <c r="S2399" s="16" t="str">
        <f>IF($L2399&gt;0,"x","")</f>
        <v>x</v>
      </c>
      <c r="U2399" s="46" t="str">
        <f t="shared" ref="U2399:X2400" si="1056">IF($O2399=U$5,$L2399,"")</f>
        <v/>
      </c>
      <c r="V2399" s="46">
        <f t="shared" si="1056"/>
        <v>1</v>
      </c>
      <c r="W2399" s="46" t="str">
        <f t="shared" si="1056"/>
        <v/>
      </c>
      <c r="X2399" s="46" t="str">
        <f t="shared" si="1056"/>
        <v/>
      </c>
    </row>
    <row r="2400" spans="2:26" x14ac:dyDescent="0.25">
      <c r="B2400" s="11" t="str">
        <f>CONCATENATE("LBRT","-",LEFT(P2400,2),UPPER(MID(P2400,4,3)),RIGHT(P2400,4))</f>
        <v>LBRT-25JAN1892</v>
      </c>
      <c r="C2400" s="11" t="s">
        <v>2249</v>
      </c>
      <c r="D2400" s="11" t="s">
        <v>1699</v>
      </c>
      <c r="F2400" s="11" t="s">
        <v>1700</v>
      </c>
      <c r="G2400" s="39" t="s">
        <v>2254</v>
      </c>
      <c r="H2400" s="7">
        <v>0</v>
      </c>
      <c r="I2400" s="7">
        <v>0</v>
      </c>
      <c r="J2400" s="17">
        <v>0</v>
      </c>
      <c r="K2400" s="17"/>
      <c r="L2400" s="7">
        <f>SUM(H2400:K2400)</f>
        <v>0</v>
      </c>
      <c r="M2400" s="8">
        <v>1</v>
      </c>
      <c r="N2400" s="8" t="str">
        <f>IF(L2400&gt;0,1,"")</f>
        <v/>
      </c>
      <c r="O2400" s="11" t="s">
        <v>1702</v>
      </c>
      <c r="P2400" s="16" t="str">
        <f>IF(LEN(G2400)=10,CONCATENATE("0",G2400),G2400)</f>
        <v>25-Jan-1892</v>
      </c>
      <c r="R2400" s="16" t="str">
        <f t="shared" ref="R2400:S2463" si="1057">IF($L2400&gt;0,"x","")</f>
        <v/>
      </c>
      <c r="S2400" s="16" t="str">
        <f t="shared" si="1057"/>
        <v/>
      </c>
      <c r="U2400" s="46" t="str">
        <f t="shared" si="1056"/>
        <v/>
      </c>
      <c r="V2400" s="46">
        <f t="shared" si="1056"/>
        <v>0</v>
      </c>
      <c r="W2400" s="46" t="str">
        <f t="shared" si="1056"/>
        <v/>
      </c>
      <c r="X2400" s="46" t="str">
        <f t="shared" si="1056"/>
        <v/>
      </c>
      <c r="Z2400" s="11" t="s">
        <v>915</v>
      </c>
    </row>
    <row r="2401" spans="2:26" x14ac:dyDescent="0.25">
      <c r="B2401" s="11" t="str">
        <f t="shared" ref="B2401:B2464" si="1058">CONCATENATE("LBRT","-",LEFT(P2401,2),UPPER(MID(P2401,4,3)),RIGHT(P2401,4))</f>
        <v>LBRT-22FEB1892</v>
      </c>
      <c r="C2401" s="11" t="s">
        <v>2249</v>
      </c>
      <c r="D2401" s="11" t="s">
        <v>1699</v>
      </c>
      <c r="F2401" s="11" t="s">
        <v>1700</v>
      </c>
      <c r="G2401" s="39" t="s">
        <v>2255</v>
      </c>
      <c r="H2401" s="7">
        <v>0</v>
      </c>
      <c r="I2401" s="7">
        <v>0</v>
      </c>
      <c r="J2401" s="17">
        <v>0</v>
      </c>
      <c r="K2401" s="17"/>
      <c r="L2401" s="7">
        <f t="shared" si="1053"/>
        <v>0</v>
      </c>
      <c r="M2401" s="8">
        <v>1</v>
      </c>
      <c r="N2401" s="8" t="str">
        <f t="shared" si="1054"/>
        <v/>
      </c>
      <c r="O2401" s="11" t="s">
        <v>1702</v>
      </c>
      <c r="P2401" s="16" t="str">
        <f t="shared" si="1055"/>
        <v>22-Feb-1892</v>
      </c>
      <c r="R2401" s="16" t="str">
        <f t="shared" si="1057"/>
        <v/>
      </c>
      <c r="S2401" s="16" t="str">
        <f t="shared" si="1057"/>
        <v/>
      </c>
      <c r="U2401" s="46" t="str">
        <f t="shared" si="1039"/>
        <v/>
      </c>
      <c r="V2401" s="46">
        <f t="shared" si="1039"/>
        <v>0</v>
      </c>
      <c r="W2401" s="46" t="str">
        <f t="shared" si="1039"/>
        <v/>
      </c>
      <c r="X2401" s="46" t="str">
        <f t="shared" si="1039"/>
        <v/>
      </c>
    </row>
    <row r="2402" spans="2:26" x14ac:dyDescent="0.25">
      <c r="B2402" s="11" t="str">
        <f t="shared" si="1058"/>
        <v>LBRT-21MAR1892</v>
      </c>
      <c r="C2402" s="11" t="s">
        <v>2249</v>
      </c>
      <c r="D2402" s="11" t="s">
        <v>1699</v>
      </c>
      <c r="F2402" s="11" t="s">
        <v>1700</v>
      </c>
      <c r="G2402" s="39" t="s">
        <v>2256</v>
      </c>
      <c r="H2402" s="7">
        <v>0</v>
      </c>
      <c r="I2402" s="7">
        <v>0</v>
      </c>
      <c r="J2402" s="17">
        <v>0</v>
      </c>
      <c r="K2402" s="17"/>
      <c r="L2402" s="7">
        <f t="shared" si="1053"/>
        <v>0</v>
      </c>
      <c r="M2402" s="8">
        <v>1</v>
      </c>
      <c r="N2402" s="8" t="str">
        <f t="shared" si="1054"/>
        <v/>
      </c>
      <c r="O2402" s="11" t="s">
        <v>1702</v>
      </c>
      <c r="P2402" s="16" t="str">
        <f t="shared" si="1055"/>
        <v>21-Mar-1892</v>
      </c>
      <c r="R2402" s="16" t="str">
        <f t="shared" si="1057"/>
        <v/>
      </c>
      <c r="S2402" s="16" t="str">
        <f t="shared" si="1057"/>
        <v/>
      </c>
      <c r="U2402" s="46" t="str">
        <f t="shared" si="1039"/>
        <v/>
      </c>
      <c r="V2402" s="46">
        <f t="shared" si="1039"/>
        <v>0</v>
      </c>
      <c r="W2402" s="46" t="str">
        <f t="shared" si="1039"/>
        <v/>
      </c>
      <c r="X2402" s="46" t="str">
        <f t="shared" si="1039"/>
        <v/>
      </c>
    </row>
    <row r="2403" spans="2:26" x14ac:dyDescent="0.25">
      <c r="B2403" s="11" t="str">
        <f t="shared" si="1058"/>
        <v>LBRT-18APR1892</v>
      </c>
      <c r="C2403" s="11" t="s">
        <v>2249</v>
      </c>
      <c r="D2403" s="11" t="s">
        <v>1699</v>
      </c>
      <c r="F2403" s="11" t="s">
        <v>1700</v>
      </c>
      <c r="G2403" s="39" t="s">
        <v>2110</v>
      </c>
      <c r="H2403" s="7">
        <v>0</v>
      </c>
      <c r="I2403" s="7">
        <v>0</v>
      </c>
      <c r="J2403" s="17">
        <v>0</v>
      </c>
      <c r="K2403" s="17"/>
      <c r="L2403" s="7">
        <f t="shared" si="1053"/>
        <v>0</v>
      </c>
      <c r="M2403" s="8">
        <v>1</v>
      </c>
      <c r="N2403" s="8" t="str">
        <f t="shared" si="1054"/>
        <v/>
      </c>
      <c r="O2403" s="11" t="s">
        <v>1702</v>
      </c>
      <c r="P2403" s="16" t="str">
        <f t="shared" si="1055"/>
        <v>18-Apr-1892</v>
      </c>
      <c r="R2403" s="16" t="str">
        <f t="shared" si="1057"/>
        <v/>
      </c>
      <c r="S2403" s="16" t="str">
        <f t="shared" si="1057"/>
        <v/>
      </c>
      <c r="U2403" s="46" t="str">
        <f t="shared" si="1039"/>
        <v/>
      </c>
      <c r="V2403" s="46">
        <f t="shared" si="1039"/>
        <v>0</v>
      </c>
      <c r="W2403" s="46" t="str">
        <f t="shared" si="1039"/>
        <v/>
      </c>
      <c r="X2403" s="46" t="str">
        <f>IF($O2403=X$5,$L2403,"")</f>
        <v/>
      </c>
    </row>
    <row r="2404" spans="2:26" x14ac:dyDescent="0.25">
      <c r="B2404" s="11" t="str">
        <f t="shared" si="1058"/>
        <v>LBRT-13JUN1892</v>
      </c>
      <c r="C2404" s="11" t="s">
        <v>2249</v>
      </c>
      <c r="D2404" s="11" t="s">
        <v>1699</v>
      </c>
      <c r="F2404" s="11" t="s">
        <v>1700</v>
      </c>
      <c r="G2404" s="39" t="s">
        <v>2257</v>
      </c>
      <c r="H2404" s="7">
        <v>0</v>
      </c>
      <c r="I2404" s="7">
        <v>0</v>
      </c>
      <c r="J2404" s="17">
        <v>0</v>
      </c>
      <c r="K2404" s="17"/>
      <c r="L2404" s="7">
        <f t="shared" si="1053"/>
        <v>0</v>
      </c>
      <c r="M2404" s="8">
        <v>1</v>
      </c>
      <c r="N2404" s="8" t="str">
        <f t="shared" si="1054"/>
        <v/>
      </c>
      <c r="O2404" s="11" t="s">
        <v>1702</v>
      </c>
      <c r="P2404" s="16" t="str">
        <f t="shared" si="1055"/>
        <v>13-Jun-1892</v>
      </c>
      <c r="R2404" s="16" t="str">
        <f t="shared" si="1057"/>
        <v/>
      </c>
      <c r="S2404" s="16" t="str">
        <f t="shared" si="1057"/>
        <v/>
      </c>
      <c r="U2404" s="46" t="str">
        <f t="shared" ref="U2404:X2467" si="1059">IF($O2404=U$5,$L2404,"")</f>
        <v/>
      </c>
      <c r="V2404" s="46">
        <f t="shared" si="1059"/>
        <v>0</v>
      </c>
      <c r="W2404" s="46" t="str">
        <f t="shared" si="1059"/>
        <v/>
      </c>
      <c r="X2404" s="46" t="str">
        <f t="shared" si="1059"/>
        <v/>
      </c>
    </row>
    <row r="2405" spans="2:26" x14ac:dyDescent="0.25">
      <c r="B2405" s="11" t="str">
        <f t="shared" si="1058"/>
        <v>LBRT-11JUL1892</v>
      </c>
      <c r="C2405" s="11" t="s">
        <v>2249</v>
      </c>
      <c r="D2405" s="11" t="s">
        <v>1699</v>
      </c>
      <c r="F2405" s="11" t="s">
        <v>1700</v>
      </c>
      <c r="G2405" s="39" t="s">
        <v>2258</v>
      </c>
      <c r="H2405" s="7">
        <v>0</v>
      </c>
      <c r="I2405" s="7">
        <v>0</v>
      </c>
      <c r="J2405" s="17">
        <v>0</v>
      </c>
      <c r="K2405" s="17"/>
      <c r="L2405" s="7">
        <f t="shared" si="1053"/>
        <v>0</v>
      </c>
      <c r="M2405" s="8">
        <v>1</v>
      </c>
      <c r="N2405" s="8" t="str">
        <f t="shared" si="1054"/>
        <v/>
      </c>
      <c r="O2405" s="11" t="s">
        <v>1702</v>
      </c>
      <c r="P2405" s="16" t="str">
        <f t="shared" si="1055"/>
        <v>11-Jul-1892</v>
      </c>
      <c r="R2405" s="16" t="str">
        <f t="shared" si="1057"/>
        <v/>
      </c>
      <c r="S2405" s="16" t="str">
        <f t="shared" si="1057"/>
        <v/>
      </c>
      <c r="U2405" s="46" t="str">
        <f t="shared" si="1059"/>
        <v/>
      </c>
      <c r="V2405" s="46">
        <f t="shared" si="1059"/>
        <v>0</v>
      </c>
      <c r="W2405" s="46" t="str">
        <f t="shared" si="1059"/>
        <v/>
      </c>
      <c r="X2405" s="46" t="str">
        <f t="shared" si="1059"/>
        <v/>
      </c>
    </row>
    <row r="2406" spans="2:26" x14ac:dyDescent="0.25">
      <c r="B2406" s="11" t="str">
        <f t="shared" si="1058"/>
        <v>LBRT-22AUG1892</v>
      </c>
      <c r="C2406" s="11" t="s">
        <v>2249</v>
      </c>
      <c r="D2406" s="11" t="s">
        <v>1699</v>
      </c>
      <c r="F2406" s="11" t="s">
        <v>1700</v>
      </c>
      <c r="G2406" s="39" t="s">
        <v>2113</v>
      </c>
      <c r="H2406" s="7">
        <v>0</v>
      </c>
      <c r="I2406" s="7">
        <v>0</v>
      </c>
      <c r="J2406" s="17">
        <v>0</v>
      </c>
      <c r="K2406" s="17"/>
      <c r="L2406" s="7">
        <f t="shared" si="1053"/>
        <v>0</v>
      </c>
      <c r="M2406" s="8">
        <v>1</v>
      </c>
      <c r="N2406" s="8" t="str">
        <f t="shared" si="1054"/>
        <v/>
      </c>
      <c r="O2406" s="11" t="s">
        <v>1702</v>
      </c>
      <c r="P2406" s="16" t="str">
        <f t="shared" si="1055"/>
        <v>22-Aug-1892</v>
      </c>
      <c r="R2406" s="16" t="str">
        <f t="shared" si="1057"/>
        <v/>
      </c>
      <c r="S2406" s="16" t="str">
        <f t="shared" si="1057"/>
        <v/>
      </c>
      <c r="U2406" s="46" t="str">
        <f t="shared" si="1059"/>
        <v/>
      </c>
      <c r="V2406" s="46">
        <f t="shared" si="1059"/>
        <v>0</v>
      </c>
      <c r="W2406" s="46" t="str">
        <f t="shared" si="1059"/>
        <v/>
      </c>
      <c r="X2406" s="46" t="str">
        <f t="shared" si="1059"/>
        <v/>
      </c>
    </row>
    <row r="2407" spans="2:26" x14ac:dyDescent="0.25">
      <c r="B2407" s="11" t="str">
        <f t="shared" si="1058"/>
        <v>LBRT-20SEP1892</v>
      </c>
      <c r="C2407" s="11" t="s">
        <v>2249</v>
      </c>
      <c r="D2407" s="11" t="s">
        <v>2224</v>
      </c>
      <c r="F2407" s="11" t="s">
        <v>1700</v>
      </c>
      <c r="G2407" s="39" t="s">
        <v>2259</v>
      </c>
      <c r="H2407" s="7">
        <v>0</v>
      </c>
      <c r="I2407" s="7">
        <v>0</v>
      </c>
      <c r="J2407" s="17">
        <v>0</v>
      </c>
      <c r="K2407" s="17"/>
      <c r="L2407" s="7">
        <f t="shared" si="1053"/>
        <v>0</v>
      </c>
      <c r="M2407" s="8">
        <v>1</v>
      </c>
      <c r="N2407" s="8" t="str">
        <f t="shared" si="1054"/>
        <v/>
      </c>
      <c r="O2407" s="11" t="s">
        <v>1702</v>
      </c>
      <c r="P2407" s="16" t="str">
        <f t="shared" si="1055"/>
        <v>20-Sep-1892</v>
      </c>
      <c r="R2407" s="16" t="str">
        <f t="shared" si="1057"/>
        <v/>
      </c>
      <c r="S2407" s="16" t="str">
        <f t="shared" si="1057"/>
        <v/>
      </c>
      <c r="U2407" s="46" t="str">
        <f t="shared" si="1059"/>
        <v/>
      </c>
      <c r="V2407" s="46">
        <f t="shared" si="1059"/>
        <v>0</v>
      </c>
      <c r="W2407" s="46" t="str">
        <f t="shared" si="1059"/>
        <v/>
      </c>
      <c r="X2407" s="46" t="str">
        <f t="shared" si="1059"/>
        <v/>
      </c>
    </row>
    <row r="2408" spans="2:26" x14ac:dyDescent="0.25">
      <c r="B2408" s="11" t="str">
        <f t="shared" si="1058"/>
        <v>LBRT-08NOV1892</v>
      </c>
      <c r="C2408" s="11" t="s">
        <v>2249</v>
      </c>
      <c r="D2408" s="11" t="s">
        <v>1699</v>
      </c>
      <c r="F2408" s="11" t="s">
        <v>1700</v>
      </c>
      <c r="G2408" s="39" t="s">
        <v>2260</v>
      </c>
      <c r="H2408" s="7">
        <v>0</v>
      </c>
      <c r="I2408" s="7">
        <v>0</v>
      </c>
      <c r="J2408" s="17">
        <v>0</v>
      </c>
      <c r="K2408" s="17"/>
      <c r="L2408" s="7">
        <f t="shared" si="1053"/>
        <v>0</v>
      </c>
      <c r="M2408" s="8">
        <v>1</v>
      </c>
      <c r="N2408" s="8" t="str">
        <f t="shared" si="1054"/>
        <v/>
      </c>
      <c r="O2408" s="11" t="s">
        <v>1702</v>
      </c>
      <c r="P2408" s="16" t="str">
        <f t="shared" si="1055"/>
        <v>08-Nov-1892</v>
      </c>
      <c r="R2408" s="16" t="str">
        <f t="shared" si="1057"/>
        <v/>
      </c>
      <c r="S2408" s="16" t="str">
        <f t="shared" si="1057"/>
        <v/>
      </c>
      <c r="U2408" s="46" t="str">
        <f t="shared" si="1059"/>
        <v/>
      </c>
      <c r="V2408" s="46">
        <f t="shared" si="1059"/>
        <v>0</v>
      </c>
      <c r="W2408" s="46" t="str">
        <f t="shared" si="1059"/>
        <v/>
      </c>
      <c r="X2408" s="46" t="str">
        <f t="shared" si="1059"/>
        <v/>
      </c>
    </row>
    <row r="2409" spans="2:26" x14ac:dyDescent="0.25">
      <c r="B2409" s="11" t="str">
        <f t="shared" si="1058"/>
        <v>LBRT-07DEC1892</v>
      </c>
      <c r="C2409" s="11" t="s">
        <v>2249</v>
      </c>
      <c r="D2409" s="11" t="s">
        <v>1699</v>
      </c>
      <c r="F2409" s="11" t="s">
        <v>1700</v>
      </c>
      <c r="G2409" s="39" t="s">
        <v>2261</v>
      </c>
      <c r="H2409" s="7">
        <v>0</v>
      </c>
      <c r="I2409" s="7">
        <v>0</v>
      </c>
      <c r="J2409" s="17">
        <v>0</v>
      </c>
      <c r="K2409" s="17"/>
      <c r="L2409" s="7">
        <f t="shared" si="1053"/>
        <v>0</v>
      </c>
      <c r="M2409" s="8">
        <v>1</v>
      </c>
      <c r="N2409" s="8" t="str">
        <f t="shared" si="1054"/>
        <v/>
      </c>
      <c r="O2409" s="11" t="s">
        <v>1702</v>
      </c>
      <c r="P2409" s="16" t="str">
        <f t="shared" si="1055"/>
        <v>07-Dec-1892</v>
      </c>
      <c r="R2409" s="16" t="str">
        <f t="shared" si="1057"/>
        <v/>
      </c>
      <c r="S2409" s="16" t="str">
        <f t="shared" si="1057"/>
        <v/>
      </c>
      <c r="U2409" s="46" t="str">
        <f t="shared" si="1059"/>
        <v/>
      </c>
      <c r="V2409" s="46">
        <f t="shared" si="1059"/>
        <v>0</v>
      </c>
      <c r="W2409" s="46" t="str">
        <f t="shared" si="1059"/>
        <v/>
      </c>
      <c r="X2409" s="46" t="str">
        <f t="shared" si="1059"/>
        <v/>
      </c>
    </row>
    <row r="2410" spans="2:26" x14ac:dyDescent="0.25">
      <c r="B2410" s="11" t="str">
        <f t="shared" si="1058"/>
        <v>LBRT-06FEB1893</v>
      </c>
      <c r="C2410" s="11" t="s">
        <v>2249</v>
      </c>
      <c r="D2410" s="11" t="s">
        <v>1699</v>
      </c>
      <c r="F2410" s="11" t="s">
        <v>1700</v>
      </c>
      <c r="G2410" s="39" t="s">
        <v>2262</v>
      </c>
      <c r="H2410" s="7">
        <v>0</v>
      </c>
      <c r="I2410" s="7">
        <v>0</v>
      </c>
      <c r="J2410" s="17">
        <v>0</v>
      </c>
      <c r="K2410" s="17"/>
      <c r="L2410" s="7">
        <f t="shared" si="1053"/>
        <v>0</v>
      </c>
      <c r="M2410" s="8">
        <v>1</v>
      </c>
      <c r="N2410" s="8" t="str">
        <f t="shared" si="1054"/>
        <v/>
      </c>
      <c r="O2410" s="11" t="s">
        <v>1702</v>
      </c>
      <c r="P2410" s="16" t="str">
        <f t="shared" si="1055"/>
        <v>06-Feb-1893</v>
      </c>
      <c r="R2410" s="16" t="str">
        <f t="shared" si="1057"/>
        <v/>
      </c>
      <c r="S2410" s="16" t="str">
        <f t="shared" si="1057"/>
        <v/>
      </c>
      <c r="U2410" s="46" t="str">
        <f t="shared" si="1059"/>
        <v/>
      </c>
      <c r="V2410" s="46">
        <f t="shared" si="1059"/>
        <v>0</v>
      </c>
      <c r="W2410" s="46" t="str">
        <f t="shared" si="1059"/>
        <v/>
      </c>
      <c r="X2410" s="46" t="str">
        <f t="shared" si="1059"/>
        <v/>
      </c>
    </row>
    <row r="2411" spans="2:26" x14ac:dyDescent="0.25">
      <c r="B2411" s="11" t="str">
        <f t="shared" si="1058"/>
        <v>LBRT-06MAR1893</v>
      </c>
      <c r="C2411" s="11" t="s">
        <v>2249</v>
      </c>
      <c r="D2411" s="11" t="s">
        <v>1699</v>
      </c>
      <c r="F2411" s="11" t="s">
        <v>1700</v>
      </c>
      <c r="G2411" s="39" t="s">
        <v>2263</v>
      </c>
      <c r="H2411" s="7">
        <v>0</v>
      </c>
      <c r="I2411" s="7">
        <v>0</v>
      </c>
      <c r="J2411" s="17">
        <v>0</v>
      </c>
      <c r="K2411" s="17"/>
      <c r="L2411" s="7">
        <f t="shared" si="1053"/>
        <v>0</v>
      </c>
      <c r="M2411" s="8">
        <v>1</v>
      </c>
      <c r="N2411" s="8" t="str">
        <f t="shared" si="1054"/>
        <v/>
      </c>
      <c r="O2411" s="11" t="s">
        <v>1702</v>
      </c>
      <c r="P2411" s="16" t="str">
        <f t="shared" si="1055"/>
        <v>06-Mar-1893</v>
      </c>
      <c r="R2411" s="16" t="str">
        <f t="shared" si="1057"/>
        <v/>
      </c>
      <c r="S2411" s="16" t="str">
        <f t="shared" si="1057"/>
        <v/>
      </c>
      <c r="U2411" s="46" t="str">
        <f t="shared" si="1059"/>
        <v/>
      </c>
      <c r="V2411" s="46">
        <f t="shared" si="1059"/>
        <v>0</v>
      </c>
      <c r="W2411" s="46" t="str">
        <f t="shared" si="1059"/>
        <v/>
      </c>
      <c r="X2411" s="46" t="str">
        <f t="shared" si="1059"/>
        <v/>
      </c>
    </row>
    <row r="2412" spans="2:26" x14ac:dyDescent="0.25">
      <c r="B2412" s="11" t="str">
        <f t="shared" si="1058"/>
        <v>LBRT-03APR1893</v>
      </c>
      <c r="C2412" s="11" t="s">
        <v>2249</v>
      </c>
      <c r="D2412" s="11" t="s">
        <v>1699</v>
      </c>
      <c r="F2412" s="11" t="s">
        <v>1700</v>
      </c>
      <c r="G2412" s="39" t="s">
        <v>2264</v>
      </c>
      <c r="H2412" s="7">
        <v>0</v>
      </c>
      <c r="I2412" s="7">
        <v>6</v>
      </c>
      <c r="J2412" s="17">
        <v>0</v>
      </c>
      <c r="K2412" s="17"/>
      <c r="L2412" s="7">
        <f t="shared" si="1053"/>
        <v>6</v>
      </c>
      <c r="M2412" s="8">
        <v>1</v>
      </c>
      <c r="N2412" s="8">
        <f t="shared" si="1054"/>
        <v>1</v>
      </c>
      <c r="O2412" s="11" t="s">
        <v>1702</v>
      </c>
      <c r="P2412" s="16" t="str">
        <f t="shared" si="1055"/>
        <v>03-Apr-1893</v>
      </c>
      <c r="R2412" s="16" t="str">
        <f t="shared" si="1057"/>
        <v>x</v>
      </c>
      <c r="S2412" s="16" t="str">
        <f t="shared" si="1057"/>
        <v>x</v>
      </c>
      <c r="U2412" s="46" t="str">
        <f t="shared" si="1059"/>
        <v/>
      </c>
      <c r="V2412" s="46">
        <f t="shared" si="1059"/>
        <v>6</v>
      </c>
      <c r="W2412" s="46" t="str">
        <f t="shared" si="1059"/>
        <v/>
      </c>
      <c r="X2412" s="46" t="str">
        <f t="shared" si="1059"/>
        <v/>
      </c>
    </row>
    <row r="2413" spans="2:26" x14ac:dyDescent="0.25">
      <c r="B2413" s="11" t="str">
        <f t="shared" si="1058"/>
        <v>LBRT-01MAY1893</v>
      </c>
      <c r="C2413" s="11" t="s">
        <v>2249</v>
      </c>
      <c r="D2413" s="11" t="s">
        <v>1699</v>
      </c>
      <c r="F2413" s="11" t="s">
        <v>1700</v>
      </c>
      <c r="G2413" s="39" t="s">
        <v>2265</v>
      </c>
      <c r="H2413" s="7">
        <v>0</v>
      </c>
      <c r="I2413" s="7">
        <v>0</v>
      </c>
      <c r="J2413" s="17">
        <v>0</v>
      </c>
      <c r="K2413" s="17"/>
      <c r="L2413" s="7">
        <f t="shared" ref="L2413:L2446" si="1060">SUM(H2413:K2413)</f>
        <v>0</v>
      </c>
      <c r="M2413" s="8">
        <v>1</v>
      </c>
      <c r="N2413" s="8" t="str">
        <f t="shared" si="1054"/>
        <v/>
      </c>
      <c r="O2413" s="11" t="s">
        <v>1702</v>
      </c>
      <c r="P2413" s="16" t="str">
        <f t="shared" ref="P2413:P2446" si="1061">IF(LEN(G2413)=10,CONCATENATE("0",G2413),G2413)</f>
        <v>01-May-1893</v>
      </c>
      <c r="R2413" s="16" t="str">
        <f t="shared" si="1057"/>
        <v/>
      </c>
      <c r="S2413" s="16" t="str">
        <f t="shared" si="1057"/>
        <v/>
      </c>
      <c r="U2413" s="46" t="str">
        <f t="shared" si="1059"/>
        <v/>
      </c>
      <c r="V2413" s="46">
        <f t="shared" si="1059"/>
        <v>0</v>
      </c>
      <c r="W2413" s="46" t="str">
        <f t="shared" si="1059"/>
        <v/>
      </c>
      <c r="X2413" s="46" t="str">
        <f t="shared" si="1059"/>
        <v/>
      </c>
    </row>
    <row r="2414" spans="2:26" x14ac:dyDescent="0.25">
      <c r="B2414" s="11" t="str">
        <f t="shared" si="1058"/>
        <v>LBRT-29MAY1893</v>
      </c>
      <c r="C2414" s="11" t="s">
        <v>2249</v>
      </c>
      <c r="D2414" s="11" t="s">
        <v>1699</v>
      </c>
      <c r="F2414" s="11" t="s">
        <v>1700</v>
      </c>
      <c r="G2414" s="39" t="s">
        <v>2266</v>
      </c>
      <c r="H2414" s="7">
        <v>0</v>
      </c>
      <c r="I2414" s="7">
        <v>1</v>
      </c>
      <c r="J2414" s="17">
        <v>0</v>
      </c>
      <c r="K2414" s="17"/>
      <c r="L2414" s="7">
        <f t="shared" si="1060"/>
        <v>1</v>
      </c>
      <c r="M2414" s="8">
        <v>1</v>
      </c>
      <c r="N2414" s="8">
        <f t="shared" si="1054"/>
        <v>1</v>
      </c>
      <c r="O2414" s="11" t="s">
        <v>1702</v>
      </c>
      <c r="P2414" s="16" t="str">
        <f t="shared" si="1061"/>
        <v>29-May-1893</v>
      </c>
      <c r="R2414" s="16" t="str">
        <f t="shared" si="1057"/>
        <v>x</v>
      </c>
      <c r="S2414" s="16" t="str">
        <f t="shared" si="1057"/>
        <v>x</v>
      </c>
      <c r="U2414" s="46" t="str">
        <f t="shared" si="1059"/>
        <v/>
      </c>
      <c r="V2414" s="46">
        <f t="shared" si="1059"/>
        <v>1</v>
      </c>
      <c r="W2414" s="46" t="str">
        <f t="shared" si="1059"/>
        <v/>
      </c>
      <c r="X2414" s="46" t="str">
        <f t="shared" si="1059"/>
        <v/>
      </c>
    </row>
    <row r="2415" spans="2:26" x14ac:dyDescent="0.25">
      <c r="B2415" s="11" t="str">
        <f t="shared" si="1058"/>
        <v>LBRT-26JUN1893</v>
      </c>
      <c r="C2415" s="11" t="s">
        <v>2249</v>
      </c>
      <c r="D2415" s="11" t="s">
        <v>1699</v>
      </c>
      <c r="F2415" s="11" t="s">
        <v>1700</v>
      </c>
      <c r="G2415" s="39" t="s">
        <v>2267</v>
      </c>
      <c r="J2415" s="17"/>
      <c r="K2415" s="17"/>
      <c r="L2415" s="7">
        <f t="shared" si="1060"/>
        <v>0</v>
      </c>
      <c r="N2415" s="8" t="str">
        <f t="shared" si="1054"/>
        <v/>
      </c>
      <c r="O2415" s="11" t="s">
        <v>1702</v>
      </c>
      <c r="P2415" s="16" t="str">
        <f t="shared" si="1061"/>
        <v>26-Jun-1893</v>
      </c>
      <c r="R2415" s="16" t="str">
        <f t="shared" si="1057"/>
        <v/>
      </c>
      <c r="S2415" s="16" t="str">
        <f t="shared" si="1057"/>
        <v/>
      </c>
      <c r="U2415" s="46" t="str">
        <f t="shared" si="1059"/>
        <v/>
      </c>
      <c r="V2415" s="46">
        <f t="shared" si="1059"/>
        <v>0</v>
      </c>
      <c r="W2415" s="46" t="str">
        <f t="shared" si="1059"/>
        <v/>
      </c>
      <c r="X2415" s="46" t="str">
        <f t="shared" si="1059"/>
        <v/>
      </c>
      <c r="Z2415" s="11" t="s">
        <v>2272</v>
      </c>
    </row>
    <row r="2416" spans="2:26" x14ac:dyDescent="0.25">
      <c r="B2416" s="11" t="str">
        <f t="shared" si="1058"/>
        <v>LBRT-24JUL1893</v>
      </c>
      <c r="C2416" s="11" t="s">
        <v>2249</v>
      </c>
      <c r="D2416" s="11" t="s">
        <v>1699</v>
      </c>
      <c r="F2416" s="11" t="s">
        <v>1700</v>
      </c>
      <c r="G2416" s="39" t="s">
        <v>2268</v>
      </c>
      <c r="H2416" s="7">
        <v>0</v>
      </c>
      <c r="I2416" s="7">
        <v>0</v>
      </c>
      <c r="J2416" s="17">
        <v>0</v>
      </c>
      <c r="K2416" s="17"/>
      <c r="L2416" s="7">
        <f t="shared" si="1060"/>
        <v>0</v>
      </c>
      <c r="M2416" s="8">
        <v>1</v>
      </c>
      <c r="N2416" s="8" t="str">
        <f t="shared" si="1054"/>
        <v/>
      </c>
      <c r="O2416" s="11" t="s">
        <v>1702</v>
      </c>
      <c r="P2416" s="16" t="str">
        <f t="shared" si="1061"/>
        <v>24-Jul-1893</v>
      </c>
      <c r="R2416" s="16" t="str">
        <f t="shared" si="1057"/>
        <v/>
      </c>
      <c r="S2416" s="16" t="str">
        <f t="shared" si="1057"/>
        <v/>
      </c>
      <c r="U2416" s="46" t="str">
        <f t="shared" si="1059"/>
        <v/>
      </c>
      <c r="V2416" s="46">
        <f t="shared" si="1059"/>
        <v>0</v>
      </c>
      <c r="W2416" s="46" t="str">
        <f t="shared" si="1059"/>
        <v/>
      </c>
      <c r="X2416" s="46" t="str">
        <f t="shared" si="1059"/>
        <v/>
      </c>
    </row>
    <row r="2417" spans="2:26" x14ac:dyDescent="0.25">
      <c r="B2417" s="11" t="str">
        <f t="shared" si="1058"/>
        <v>LBRT-02OCT1893</v>
      </c>
      <c r="C2417" s="11" t="s">
        <v>2249</v>
      </c>
      <c r="D2417" s="11" t="s">
        <v>1699</v>
      </c>
      <c r="F2417" s="11" t="s">
        <v>1700</v>
      </c>
      <c r="G2417" s="39" t="s">
        <v>2269</v>
      </c>
      <c r="H2417" s="7">
        <v>0</v>
      </c>
      <c r="I2417" s="7">
        <v>0</v>
      </c>
      <c r="J2417" s="17">
        <v>0</v>
      </c>
      <c r="K2417" s="17"/>
      <c r="L2417" s="7">
        <f t="shared" si="1060"/>
        <v>0</v>
      </c>
      <c r="M2417" s="8">
        <v>1</v>
      </c>
      <c r="N2417" s="8" t="str">
        <f t="shared" si="1054"/>
        <v/>
      </c>
      <c r="O2417" s="11" t="s">
        <v>1702</v>
      </c>
      <c r="P2417" s="16" t="str">
        <f t="shared" si="1061"/>
        <v>02-Oct-1893</v>
      </c>
      <c r="R2417" s="16" t="str">
        <f t="shared" si="1057"/>
        <v/>
      </c>
      <c r="S2417" s="16" t="str">
        <f t="shared" si="1057"/>
        <v/>
      </c>
      <c r="U2417" s="46" t="str">
        <f t="shared" si="1059"/>
        <v/>
      </c>
      <c r="V2417" s="46">
        <f t="shared" si="1059"/>
        <v>0</v>
      </c>
      <c r="W2417" s="46" t="str">
        <f t="shared" si="1059"/>
        <v/>
      </c>
      <c r="X2417" s="46" t="str">
        <f t="shared" si="1059"/>
        <v/>
      </c>
    </row>
    <row r="2418" spans="2:26" x14ac:dyDescent="0.25">
      <c r="B2418" s="11" t="str">
        <f t="shared" si="1058"/>
        <v>LBRT-30OCT1893</v>
      </c>
      <c r="C2418" s="11" t="s">
        <v>2249</v>
      </c>
      <c r="D2418" s="11" t="s">
        <v>1699</v>
      </c>
      <c r="F2418" s="11" t="s">
        <v>1700</v>
      </c>
      <c r="G2418" s="39" t="s">
        <v>2121</v>
      </c>
      <c r="H2418" s="7">
        <v>0</v>
      </c>
      <c r="I2418" s="7">
        <v>0</v>
      </c>
      <c r="J2418" s="17">
        <v>0</v>
      </c>
      <c r="K2418" s="17"/>
      <c r="L2418" s="7">
        <f t="shared" si="1060"/>
        <v>0</v>
      </c>
      <c r="M2418" s="8">
        <v>1</v>
      </c>
      <c r="N2418" s="8" t="str">
        <f t="shared" si="1054"/>
        <v/>
      </c>
      <c r="O2418" s="11" t="s">
        <v>1702</v>
      </c>
      <c r="P2418" s="16" t="str">
        <f t="shared" si="1061"/>
        <v>30-Oct-1893</v>
      </c>
      <c r="R2418" s="16" t="str">
        <f t="shared" si="1057"/>
        <v/>
      </c>
      <c r="S2418" s="16" t="str">
        <f t="shared" si="1057"/>
        <v/>
      </c>
      <c r="U2418" s="46" t="str">
        <f t="shared" si="1059"/>
        <v/>
      </c>
      <c r="V2418" s="46">
        <f t="shared" si="1059"/>
        <v>0</v>
      </c>
      <c r="W2418" s="46" t="str">
        <f t="shared" si="1059"/>
        <v/>
      </c>
      <c r="X2418" s="46" t="str">
        <f t="shared" si="1059"/>
        <v/>
      </c>
    </row>
    <row r="2419" spans="2:26" x14ac:dyDescent="0.25">
      <c r="B2419" s="11" t="str">
        <f t="shared" si="1058"/>
        <v>LBRT-27NOV1893</v>
      </c>
      <c r="C2419" s="11" t="s">
        <v>2249</v>
      </c>
      <c r="D2419" s="11" t="s">
        <v>1699</v>
      </c>
      <c r="F2419" s="11" t="s">
        <v>1700</v>
      </c>
      <c r="G2419" s="39" t="s">
        <v>2270</v>
      </c>
      <c r="H2419" s="7">
        <v>0</v>
      </c>
      <c r="I2419" s="7">
        <v>0</v>
      </c>
      <c r="J2419" s="17">
        <v>0</v>
      </c>
      <c r="K2419" s="17"/>
      <c r="L2419" s="7">
        <f t="shared" si="1060"/>
        <v>0</v>
      </c>
      <c r="M2419" s="8">
        <v>1</v>
      </c>
      <c r="N2419" s="8" t="str">
        <f t="shared" si="1054"/>
        <v/>
      </c>
      <c r="O2419" s="11" t="s">
        <v>1702</v>
      </c>
      <c r="P2419" s="16" t="str">
        <f t="shared" si="1061"/>
        <v>27-Nov-1893</v>
      </c>
      <c r="R2419" s="16" t="str">
        <f t="shared" si="1057"/>
        <v/>
      </c>
      <c r="S2419" s="16" t="str">
        <f t="shared" si="1057"/>
        <v/>
      </c>
      <c r="U2419" s="46" t="str">
        <f t="shared" si="1059"/>
        <v/>
      </c>
      <c r="V2419" s="46">
        <f t="shared" si="1059"/>
        <v>0</v>
      </c>
      <c r="W2419" s="46" t="str">
        <f t="shared" si="1059"/>
        <v/>
      </c>
      <c r="X2419" s="46" t="str">
        <f t="shared" si="1059"/>
        <v/>
      </c>
    </row>
    <row r="2420" spans="2:26" x14ac:dyDescent="0.25">
      <c r="B2420" s="11" t="str">
        <f t="shared" si="1058"/>
        <v>LBRT-26DEC1893</v>
      </c>
      <c r="C2420" s="11" t="s">
        <v>2249</v>
      </c>
      <c r="D2420" s="11" t="s">
        <v>1699</v>
      </c>
      <c r="F2420" s="11" t="s">
        <v>1700</v>
      </c>
      <c r="G2420" s="39" t="s">
        <v>2271</v>
      </c>
      <c r="H2420" s="7">
        <v>0</v>
      </c>
      <c r="I2420" s="7">
        <v>0</v>
      </c>
      <c r="J2420" s="17">
        <v>0</v>
      </c>
      <c r="K2420" s="17"/>
      <c r="L2420" s="7">
        <f t="shared" si="1060"/>
        <v>0</v>
      </c>
      <c r="M2420" s="8">
        <v>1</v>
      </c>
      <c r="N2420" s="8" t="str">
        <f t="shared" si="1054"/>
        <v/>
      </c>
      <c r="O2420" s="11" t="s">
        <v>1702</v>
      </c>
      <c r="P2420" s="16" t="str">
        <f t="shared" si="1061"/>
        <v>26-Dec-1893</v>
      </c>
      <c r="R2420" s="16" t="str">
        <f t="shared" si="1057"/>
        <v/>
      </c>
      <c r="S2420" s="16" t="str">
        <f t="shared" si="1057"/>
        <v/>
      </c>
      <c r="U2420" s="46" t="str">
        <f t="shared" si="1059"/>
        <v/>
      </c>
      <c r="V2420" s="46">
        <f t="shared" si="1059"/>
        <v>0</v>
      </c>
      <c r="W2420" s="46" t="str">
        <f t="shared" si="1059"/>
        <v/>
      </c>
      <c r="X2420" s="46" t="str">
        <f t="shared" si="1059"/>
        <v/>
      </c>
    </row>
    <row r="2421" spans="2:26" x14ac:dyDescent="0.25">
      <c r="B2421" s="11" t="str">
        <f t="shared" si="1058"/>
        <v>LBRT-22JAN1894</v>
      </c>
      <c r="C2421" s="11" t="s">
        <v>2249</v>
      </c>
      <c r="D2421" s="11" t="s">
        <v>1699</v>
      </c>
      <c r="F2421" s="11" t="s">
        <v>1700</v>
      </c>
      <c r="G2421" s="39" t="s">
        <v>2273</v>
      </c>
      <c r="H2421" s="7">
        <v>0</v>
      </c>
      <c r="I2421" s="7">
        <v>0</v>
      </c>
      <c r="J2421" s="17">
        <v>0</v>
      </c>
      <c r="K2421" s="17"/>
      <c r="L2421" s="7">
        <f t="shared" si="1060"/>
        <v>0</v>
      </c>
      <c r="M2421" s="8">
        <v>1</v>
      </c>
      <c r="N2421" s="8" t="str">
        <f t="shared" si="1054"/>
        <v/>
      </c>
      <c r="O2421" s="11" t="s">
        <v>1702</v>
      </c>
      <c r="P2421" s="16" t="str">
        <f t="shared" si="1061"/>
        <v>22-Jan-1894</v>
      </c>
      <c r="R2421" s="16" t="str">
        <f t="shared" si="1057"/>
        <v/>
      </c>
      <c r="S2421" s="16" t="str">
        <f t="shared" si="1057"/>
        <v/>
      </c>
      <c r="U2421" s="46" t="str">
        <f t="shared" si="1059"/>
        <v/>
      </c>
      <c r="V2421" s="46">
        <f t="shared" si="1059"/>
        <v>0</v>
      </c>
      <c r="W2421" s="46" t="str">
        <f t="shared" si="1059"/>
        <v/>
      </c>
      <c r="X2421" s="46" t="str">
        <f t="shared" si="1059"/>
        <v/>
      </c>
    </row>
    <row r="2422" spans="2:26" x14ac:dyDescent="0.25">
      <c r="B2422" s="11" t="str">
        <f t="shared" si="1058"/>
        <v>LBRT-19FEB1894</v>
      </c>
      <c r="C2422" s="11" t="s">
        <v>2249</v>
      </c>
      <c r="D2422" s="11" t="s">
        <v>1699</v>
      </c>
      <c r="F2422" s="11" t="s">
        <v>1700</v>
      </c>
      <c r="G2422" s="39" t="s">
        <v>2274</v>
      </c>
      <c r="H2422" s="7">
        <v>0</v>
      </c>
      <c r="I2422" s="7">
        <v>0</v>
      </c>
      <c r="J2422" s="17">
        <v>0</v>
      </c>
      <c r="K2422" s="17"/>
      <c r="L2422" s="7">
        <f t="shared" si="1060"/>
        <v>0</v>
      </c>
      <c r="M2422" s="8">
        <v>1</v>
      </c>
      <c r="N2422" s="8" t="str">
        <f t="shared" si="1054"/>
        <v/>
      </c>
      <c r="O2422" s="11" t="s">
        <v>1702</v>
      </c>
      <c r="P2422" s="16" t="str">
        <f t="shared" si="1061"/>
        <v>19-Feb-1894</v>
      </c>
      <c r="R2422" s="16" t="str">
        <f t="shared" si="1057"/>
        <v/>
      </c>
      <c r="S2422" s="16" t="str">
        <f t="shared" si="1057"/>
        <v/>
      </c>
      <c r="U2422" s="46" t="str">
        <f t="shared" si="1059"/>
        <v/>
      </c>
      <c r="V2422" s="46">
        <f t="shared" si="1059"/>
        <v>0</v>
      </c>
      <c r="W2422" s="46" t="str">
        <f t="shared" si="1059"/>
        <v/>
      </c>
      <c r="X2422" s="46" t="str">
        <f t="shared" si="1059"/>
        <v/>
      </c>
    </row>
    <row r="2423" spans="2:26" x14ac:dyDescent="0.25">
      <c r="B2423" s="11" t="str">
        <f t="shared" si="1058"/>
        <v>LBRT-17MAR1894</v>
      </c>
      <c r="C2423" s="11" t="s">
        <v>2249</v>
      </c>
      <c r="D2423" s="11" t="s">
        <v>1699</v>
      </c>
      <c r="F2423" s="11" t="s">
        <v>1700</v>
      </c>
      <c r="G2423" s="39" t="s">
        <v>2275</v>
      </c>
      <c r="H2423" s="7">
        <v>0</v>
      </c>
      <c r="I2423" s="7">
        <v>0</v>
      </c>
      <c r="J2423" s="17">
        <v>0</v>
      </c>
      <c r="K2423" s="17"/>
      <c r="L2423" s="7">
        <f t="shared" si="1060"/>
        <v>0</v>
      </c>
      <c r="M2423" s="8">
        <v>1</v>
      </c>
      <c r="N2423" s="8" t="str">
        <f t="shared" si="1054"/>
        <v/>
      </c>
      <c r="O2423" s="11" t="s">
        <v>1702</v>
      </c>
      <c r="P2423" s="16" t="str">
        <f t="shared" si="1061"/>
        <v>17-Mar-1894</v>
      </c>
      <c r="R2423" s="16" t="str">
        <f t="shared" si="1057"/>
        <v/>
      </c>
      <c r="S2423" s="16" t="str">
        <f t="shared" si="1057"/>
        <v/>
      </c>
      <c r="U2423" s="46" t="str">
        <f t="shared" si="1059"/>
        <v/>
      </c>
      <c r="V2423" s="46">
        <f t="shared" si="1059"/>
        <v>0</v>
      </c>
      <c r="W2423" s="46" t="str">
        <f t="shared" si="1059"/>
        <v/>
      </c>
      <c r="X2423" s="46" t="str">
        <f t="shared" si="1059"/>
        <v/>
      </c>
    </row>
    <row r="2424" spans="2:26" x14ac:dyDescent="0.25">
      <c r="B2424" s="11" t="str">
        <f t="shared" si="1058"/>
        <v>LBRT-16APR1894</v>
      </c>
      <c r="C2424" s="11" t="s">
        <v>2249</v>
      </c>
      <c r="D2424" s="11" t="s">
        <v>1699</v>
      </c>
      <c r="F2424" s="11" t="s">
        <v>1700</v>
      </c>
      <c r="G2424" s="39" t="s">
        <v>2276</v>
      </c>
      <c r="H2424" s="7">
        <v>0</v>
      </c>
      <c r="I2424" s="7">
        <v>0</v>
      </c>
      <c r="J2424" s="17">
        <v>0</v>
      </c>
      <c r="K2424" s="17"/>
      <c r="L2424" s="7">
        <f t="shared" si="1060"/>
        <v>0</v>
      </c>
      <c r="M2424" s="8">
        <v>1</v>
      </c>
      <c r="N2424" s="8" t="str">
        <f t="shared" si="1054"/>
        <v/>
      </c>
      <c r="O2424" s="11" t="s">
        <v>1702</v>
      </c>
      <c r="P2424" s="16" t="str">
        <f t="shared" si="1061"/>
        <v>16-Apr-1894</v>
      </c>
      <c r="R2424" s="16" t="str">
        <f t="shared" si="1057"/>
        <v/>
      </c>
      <c r="S2424" s="16" t="str">
        <f t="shared" si="1057"/>
        <v/>
      </c>
      <c r="U2424" s="46" t="str">
        <f t="shared" si="1059"/>
        <v/>
      </c>
      <c r="V2424" s="46">
        <f t="shared" si="1059"/>
        <v>0</v>
      </c>
      <c r="W2424" s="46" t="str">
        <f t="shared" si="1059"/>
        <v/>
      </c>
      <c r="X2424" s="46" t="str">
        <f t="shared" si="1059"/>
        <v/>
      </c>
    </row>
    <row r="2425" spans="2:26" x14ac:dyDescent="0.25">
      <c r="B2425" s="11" t="str">
        <f t="shared" si="1058"/>
        <v>LBRT-14MAY1894</v>
      </c>
      <c r="C2425" s="11" t="s">
        <v>2249</v>
      </c>
      <c r="D2425" s="11" t="s">
        <v>1699</v>
      </c>
      <c r="F2425" s="11" t="s">
        <v>1700</v>
      </c>
      <c r="G2425" s="39" t="s">
        <v>0</v>
      </c>
      <c r="H2425" s="7">
        <v>0</v>
      </c>
      <c r="I2425" s="7">
        <v>0</v>
      </c>
      <c r="J2425" s="17">
        <v>0</v>
      </c>
      <c r="K2425" s="17"/>
      <c r="L2425" s="7">
        <f t="shared" si="1060"/>
        <v>0</v>
      </c>
      <c r="M2425" s="8">
        <v>1</v>
      </c>
      <c r="N2425" s="8" t="str">
        <f t="shared" si="1054"/>
        <v/>
      </c>
      <c r="O2425" s="11" t="s">
        <v>1702</v>
      </c>
      <c r="P2425" s="16" t="str">
        <f t="shared" si="1061"/>
        <v>14-May-1894</v>
      </c>
      <c r="R2425" s="16" t="str">
        <f t="shared" si="1057"/>
        <v/>
      </c>
      <c r="S2425" s="16" t="str">
        <f t="shared" si="1057"/>
        <v/>
      </c>
      <c r="U2425" s="46" t="str">
        <f t="shared" si="1059"/>
        <v/>
      </c>
      <c r="V2425" s="46">
        <f t="shared" si="1059"/>
        <v>0</v>
      </c>
      <c r="W2425" s="46" t="str">
        <f t="shared" si="1059"/>
        <v/>
      </c>
      <c r="X2425" s="46" t="str">
        <f t="shared" si="1059"/>
        <v/>
      </c>
    </row>
    <row r="2426" spans="2:26" x14ac:dyDescent="0.25">
      <c r="B2426" s="11" t="str">
        <f t="shared" si="1058"/>
        <v>LBRT-11JUN1894</v>
      </c>
      <c r="C2426" s="11" t="s">
        <v>2249</v>
      </c>
      <c r="D2426" s="11" t="s">
        <v>1699</v>
      </c>
      <c r="F2426" s="11" t="s">
        <v>1700</v>
      </c>
      <c r="G2426" s="39" t="s">
        <v>2127</v>
      </c>
      <c r="J2426" s="17"/>
      <c r="K2426" s="17"/>
      <c r="L2426" s="7">
        <f t="shared" si="1060"/>
        <v>0</v>
      </c>
      <c r="N2426" s="8" t="str">
        <f t="shared" si="1054"/>
        <v/>
      </c>
      <c r="O2426" s="11" t="s">
        <v>1702</v>
      </c>
      <c r="P2426" s="16" t="str">
        <f t="shared" si="1061"/>
        <v>11-Jun-1894</v>
      </c>
      <c r="R2426" s="16" t="str">
        <f t="shared" si="1057"/>
        <v/>
      </c>
      <c r="S2426" s="16" t="str">
        <f t="shared" si="1057"/>
        <v/>
      </c>
      <c r="U2426" s="46" t="str">
        <f t="shared" si="1059"/>
        <v/>
      </c>
      <c r="V2426" s="46">
        <f t="shared" si="1059"/>
        <v>0</v>
      </c>
      <c r="W2426" s="46" t="str">
        <f t="shared" si="1059"/>
        <v/>
      </c>
      <c r="X2426" s="46" t="str">
        <f t="shared" si="1059"/>
        <v/>
      </c>
      <c r="Z2426" s="11" t="s">
        <v>2272</v>
      </c>
    </row>
    <row r="2427" spans="2:26" x14ac:dyDescent="0.25">
      <c r="B2427" s="11" t="str">
        <f t="shared" si="1058"/>
        <v>LBRT-03SEP1894</v>
      </c>
      <c r="C2427" s="11" t="s">
        <v>2249</v>
      </c>
      <c r="D2427" s="11" t="s">
        <v>1699</v>
      </c>
      <c r="F2427" s="11" t="s">
        <v>1700</v>
      </c>
      <c r="G2427" s="39" t="s">
        <v>1</v>
      </c>
      <c r="H2427" s="7">
        <v>0</v>
      </c>
      <c r="I2427" s="7">
        <v>0</v>
      </c>
      <c r="J2427" s="17">
        <v>0</v>
      </c>
      <c r="K2427" s="17"/>
      <c r="L2427" s="7">
        <f t="shared" si="1060"/>
        <v>0</v>
      </c>
      <c r="M2427" s="8">
        <v>1</v>
      </c>
      <c r="N2427" s="8" t="str">
        <f t="shared" si="1054"/>
        <v/>
      </c>
      <c r="O2427" s="11" t="s">
        <v>1702</v>
      </c>
      <c r="P2427" s="16" t="str">
        <f t="shared" si="1061"/>
        <v>03-Sep-1894</v>
      </c>
      <c r="R2427" s="16" t="str">
        <f t="shared" si="1057"/>
        <v/>
      </c>
      <c r="S2427" s="16" t="str">
        <f t="shared" si="1057"/>
        <v/>
      </c>
      <c r="U2427" s="46" t="str">
        <f t="shared" si="1059"/>
        <v/>
      </c>
      <c r="V2427" s="46">
        <f t="shared" si="1059"/>
        <v>0</v>
      </c>
      <c r="W2427" s="46" t="str">
        <f t="shared" si="1059"/>
        <v/>
      </c>
      <c r="X2427" s="46" t="str">
        <f t="shared" si="1059"/>
        <v/>
      </c>
    </row>
    <row r="2428" spans="2:26" x14ac:dyDescent="0.25">
      <c r="B2428" s="11" t="str">
        <f t="shared" si="1058"/>
        <v>LBRT-01OCT1894</v>
      </c>
      <c r="C2428" s="11" t="s">
        <v>2249</v>
      </c>
      <c r="D2428" s="11" t="s">
        <v>1699</v>
      </c>
      <c r="F2428" s="11" t="s">
        <v>1700</v>
      </c>
      <c r="G2428" s="39" t="s">
        <v>2</v>
      </c>
      <c r="H2428" s="7">
        <v>0</v>
      </c>
      <c r="I2428" s="7">
        <v>0</v>
      </c>
      <c r="J2428" s="17">
        <v>0</v>
      </c>
      <c r="K2428" s="17"/>
      <c r="L2428" s="7">
        <f t="shared" si="1060"/>
        <v>0</v>
      </c>
      <c r="M2428" s="8">
        <v>1</v>
      </c>
      <c r="N2428" s="8" t="str">
        <f t="shared" si="1054"/>
        <v/>
      </c>
      <c r="O2428" s="11" t="s">
        <v>1702</v>
      </c>
      <c r="P2428" s="16" t="str">
        <f t="shared" si="1061"/>
        <v>01-Oct-1894</v>
      </c>
      <c r="R2428" s="16" t="str">
        <f t="shared" si="1057"/>
        <v/>
      </c>
      <c r="S2428" s="16" t="str">
        <f t="shared" si="1057"/>
        <v/>
      </c>
      <c r="U2428" s="46" t="str">
        <f t="shared" si="1059"/>
        <v/>
      </c>
      <c r="V2428" s="46">
        <f t="shared" si="1059"/>
        <v>0</v>
      </c>
      <c r="W2428" s="46" t="str">
        <f t="shared" si="1059"/>
        <v/>
      </c>
      <c r="X2428" s="46" t="str">
        <f t="shared" si="1059"/>
        <v/>
      </c>
    </row>
    <row r="2429" spans="2:26" x14ac:dyDescent="0.25">
      <c r="B2429" s="11" t="str">
        <f t="shared" si="1058"/>
        <v>LBRT-29OCT1894</v>
      </c>
      <c r="C2429" s="11" t="s">
        <v>2249</v>
      </c>
      <c r="D2429" s="11" t="s">
        <v>1699</v>
      </c>
      <c r="F2429" s="11" t="s">
        <v>1700</v>
      </c>
      <c r="G2429" s="39" t="s">
        <v>3</v>
      </c>
      <c r="H2429" s="7">
        <v>0</v>
      </c>
      <c r="I2429" s="7">
        <v>0</v>
      </c>
      <c r="J2429" s="17">
        <v>0</v>
      </c>
      <c r="K2429" s="17"/>
      <c r="L2429" s="7">
        <f t="shared" si="1060"/>
        <v>0</v>
      </c>
      <c r="M2429" s="8">
        <v>1</v>
      </c>
      <c r="N2429" s="8" t="str">
        <f t="shared" si="1054"/>
        <v/>
      </c>
      <c r="O2429" s="11" t="s">
        <v>1702</v>
      </c>
      <c r="P2429" s="16" t="str">
        <f t="shared" si="1061"/>
        <v>29-Oct-1894</v>
      </c>
      <c r="R2429" s="16" t="str">
        <f t="shared" si="1057"/>
        <v/>
      </c>
      <c r="S2429" s="16" t="str">
        <f t="shared" si="1057"/>
        <v/>
      </c>
      <c r="U2429" s="46" t="str">
        <f t="shared" si="1059"/>
        <v/>
      </c>
      <c r="V2429" s="46">
        <f t="shared" si="1059"/>
        <v>0</v>
      </c>
      <c r="W2429" s="46" t="str">
        <f t="shared" si="1059"/>
        <v/>
      </c>
      <c r="X2429" s="46" t="str">
        <f t="shared" si="1059"/>
        <v/>
      </c>
    </row>
    <row r="2430" spans="2:26" x14ac:dyDescent="0.25">
      <c r="B2430" s="11" t="str">
        <f t="shared" si="1058"/>
        <v>LBRT-30NOV1894</v>
      </c>
      <c r="C2430" s="11" t="s">
        <v>2249</v>
      </c>
      <c r="D2430" s="11" t="s">
        <v>1699</v>
      </c>
      <c r="F2430" s="11" t="s">
        <v>1700</v>
      </c>
      <c r="G2430" s="39" t="s">
        <v>4</v>
      </c>
      <c r="H2430" s="7">
        <v>0</v>
      </c>
      <c r="I2430" s="7">
        <v>1</v>
      </c>
      <c r="J2430" s="17">
        <v>2</v>
      </c>
      <c r="K2430" s="17"/>
      <c r="L2430" s="7">
        <f t="shared" si="1060"/>
        <v>3</v>
      </c>
      <c r="M2430" s="8">
        <v>1</v>
      </c>
      <c r="N2430" s="8">
        <f t="shared" si="1054"/>
        <v>1</v>
      </c>
      <c r="O2430" s="11" t="s">
        <v>1702</v>
      </c>
      <c r="P2430" s="16" t="str">
        <f t="shared" si="1061"/>
        <v>30-Nov-1894</v>
      </c>
      <c r="R2430" s="16" t="str">
        <f t="shared" si="1057"/>
        <v>x</v>
      </c>
      <c r="S2430" s="16" t="str">
        <f t="shared" si="1057"/>
        <v>x</v>
      </c>
      <c r="U2430" s="46" t="str">
        <f t="shared" si="1059"/>
        <v/>
      </c>
      <c r="V2430" s="46">
        <f t="shared" si="1059"/>
        <v>3</v>
      </c>
      <c r="W2430" s="46" t="str">
        <f t="shared" si="1059"/>
        <v/>
      </c>
      <c r="X2430" s="46" t="str">
        <f t="shared" si="1059"/>
        <v/>
      </c>
    </row>
    <row r="2431" spans="2:26" x14ac:dyDescent="0.25">
      <c r="B2431" s="11" t="str">
        <f t="shared" si="1058"/>
        <v>LBRT-24DEC1894</v>
      </c>
      <c r="C2431" s="11" t="s">
        <v>2249</v>
      </c>
      <c r="D2431" s="11" t="s">
        <v>1699</v>
      </c>
      <c r="F2431" s="11" t="s">
        <v>1700</v>
      </c>
      <c r="G2431" s="39" t="s">
        <v>5</v>
      </c>
      <c r="H2431" s="7">
        <v>0</v>
      </c>
      <c r="I2431" s="7">
        <v>0</v>
      </c>
      <c r="J2431" s="17">
        <v>0</v>
      </c>
      <c r="K2431" s="17"/>
      <c r="L2431" s="7">
        <f t="shared" si="1060"/>
        <v>0</v>
      </c>
      <c r="M2431" s="8">
        <v>1</v>
      </c>
      <c r="N2431" s="8" t="str">
        <f t="shared" si="1054"/>
        <v/>
      </c>
      <c r="O2431" s="11" t="s">
        <v>1702</v>
      </c>
      <c r="P2431" s="16" t="str">
        <f t="shared" si="1061"/>
        <v>24-Dec-1894</v>
      </c>
      <c r="R2431" s="16" t="str">
        <f t="shared" si="1057"/>
        <v/>
      </c>
      <c r="S2431" s="16" t="str">
        <f t="shared" si="1057"/>
        <v/>
      </c>
      <c r="U2431" s="46" t="str">
        <f t="shared" si="1059"/>
        <v/>
      </c>
      <c r="V2431" s="46">
        <f t="shared" si="1059"/>
        <v>0</v>
      </c>
      <c r="W2431" s="46" t="str">
        <f t="shared" si="1059"/>
        <v/>
      </c>
      <c r="X2431" s="46" t="str">
        <f t="shared" si="1059"/>
        <v/>
      </c>
    </row>
    <row r="2432" spans="2:26" x14ac:dyDescent="0.25">
      <c r="B2432" s="11" t="str">
        <f t="shared" si="1058"/>
        <v>LBRT-28JAN1895</v>
      </c>
      <c r="C2432" s="11" t="s">
        <v>2249</v>
      </c>
      <c r="D2432" s="11" t="s">
        <v>1699</v>
      </c>
      <c r="F2432" s="11" t="s">
        <v>1700</v>
      </c>
      <c r="G2432" s="39" t="s">
        <v>6</v>
      </c>
      <c r="H2432" s="7">
        <v>0</v>
      </c>
      <c r="I2432" s="7">
        <v>1</v>
      </c>
      <c r="J2432" s="17">
        <v>0</v>
      </c>
      <c r="K2432" s="17"/>
      <c r="L2432" s="7">
        <f t="shared" si="1060"/>
        <v>1</v>
      </c>
      <c r="M2432" s="8">
        <v>1</v>
      </c>
      <c r="N2432" s="8">
        <f t="shared" si="1054"/>
        <v>1</v>
      </c>
      <c r="O2432" s="11" t="s">
        <v>1702</v>
      </c>
      <c r="P2432" s="16" t="str">
        <f t="shared" si="1061"/>
        <v>28-Jan-1895</v>
      </c>
      <c r="R2432" s="16" t="str">
        <f t="shared" si="1057"/>
        <v>x</v>
      </c>
      <c r="S2432" s="16" t="str">
        <f t="shared" si="1057"/>
        <v>x</v>
      </c>
      <c r="U2432" s="46" t="str">
        <f t="shared" si="1059"/>
        <v/>
      </c>
      <c r="V2432" s="46">
        <f t="shared" si="1059"/>
        <v>1</v>
      </c>
      <c r="W2432" s="46" t="str">
        <f t="shared" si="1059"/>
        <v/>
      </c>
      <c r="X2432" s="46" t="str">
        <f t="shared" si="1059"/>
        <v/>
      </c>
    </row>
    <row r="2433" spans="2:24" x14ac:dyDescent="0.25">
      <c r="B2433" s="11" t="str">
        <f t="shared" si="1058"/>
        <v>LBRT-04MAR1895</v>
      </c>
      <c r="C2433" s="11" t="s">
        <v>2249</v>
      </c>
      <c r="D2433" s="11" t="s">
        <v>1699</v>
      </c>
      <c r="F2433" s="11" t="s">
        <v>1700</v>
      </c>
      <c r="G2433" s="39" t="s">
        <v>7</v>
      </c>
      <c r="H2433" s="7">
        <v>0</v>
      </c>
      <c r="I2433" s="7">
        <v>0</v>
      </c>
      <c r="J2433" s="17">
        <v>0</v>
      </c>
      <c r="K2433" s="17"/>
      <c r="L2433" s="7">
        <f t="shared" ref="L2433:L2443" si="1062">SUM(H2433:K2433)</f>
        <v>0</v>
      </c>
      <c r="M2433" s="8">
        <v>1</v>
      </c>
      <c r="N2433" s="8" t="str">
        <f t="shared" si="1054"/>
        <v/>
      </c>
      <c r="O2433" s="11" t="s">
        <v>1702</v>
      </c>
      <c r="P2433" s="16" t="str">
        <f t="shared" ref="P2433:P2443" si="1063">IF(LEN(G2433)=10,CONCATENATE("0",G2433),G2433)</f>
        <v>04-Mar-1895</v>
      </c>
      <c r="R2433" s="16" t="str">
        <f t="shared" si="1057"/>
        <v/>
      </c>
      <c r="S2433" s="16" t="str">
        <f t="shared" si="1057"/>
        <v/>
      </c>
      <c r="U2433" s="46" t="str">
        <f t="shared" si="1059"/>
        <v/>
      </c>
      <c r="V2433" s="46">
        <f t="shared" si="1059"/>
        <v>0</v>
      </c>
      <c r="W2433" s="46" t="str">
        <f t="shared" si="1059"/>
        <v/>
      </c>
      <c r="X2433" s="46" t="str">
        <f t="shared" si="1059"/>
        <v/>
      </c>
    </row>
    <row r="2434" spans="2:24" x14ac:dyDescent="0.25">
      <c r="B2434" s="11" t="str">
        <f t="shared" si="1058"/>
        <v>LBRT-20JAN1896</v>
      </c>
      <c r="C2434" s="11" t="s">
        <v>2249</v>
      </c>
      <c r="D2434" s="11" t="s">
        <v>1699</v>
      </c>
      <c r="F2434" s="11" t="s">
        <v>1700</v>
      </c>
      <c r="G2434" s="39" t="s">
        <v>8</v>
      </c>
      <c r="H2434" s="7">
        <v>0</v>
      </c>
      <c r="I2434" s="7">
        <v>0</v>
      </c>
      <c r="J2434" s="17">
        <v>0</v>
      </c>
      <c r="K2434" s="17"/>
      <c r="L2434" s="7">
        <f t="shared" si="1062"/>
        <v>0</v>
      </c>
      <c r="M2434" s="8">
        <v>1</v>
      </c>
      <c r="N2434" s="8" t="str">
        <f t="shared" si="1054"/>
        <v/>
      </c>
      <c r="O2434" s="11" t="s">
        <v>1702</v>
      </c>
      <c r="P2434" s="16" t="str">
        <f t="shared" si="1063"/>
        <v>20-Jan-1896</v>
      </c>
      <c r="R2434" s="16" t="str">
        <f t="shared" si="1057"/>
        <v/>
      </c>
      <c r="S2434" s="16" t="str">
        <f t="shared" si="1057"/>
        <v/>
      </c>
      <c r="T2434" s="11"/>
      <c r="U2434" s="46" t="str">
        <f t="shared" si="1059"/>
        <v/>
      </c>
      <c r="V2434" s="46">
        <f t="shared" si="1059"/>
        <v>0</v>
      </c>
      <c r="W2434" s="46" t="str">
        <f t="shared" si="1059"/>
        <v/>
      </c>
      <c r="X2434" s="46" t="str">
        <f t="shared" si="1059"/>
        <v/>
      </c>
    </row>
    <row r="2435" spans="2:24" x14ac:dyDescent="0.25">
      <c r="B2435" s="11" t="str">
        <f t="shared" si="1058"/>
        <v>LBRT-02MAR1896</v>
      </c>
      <c r="C2435" s="11" t="s">
        <v>2249</v>
      </c>
      <c r="D2435" s="11" t="s">
        <v>1699</v>
      </c>
      <c r="F2435" s="11" t="s">
        <v>1700</v>
      </c>
      <c r="G2435" s="39" t="s">
        <v>9</v>
      </c>
      <c r="H2435" s="7">
        <v>0</v>
      </c>
      <c r="I2435" s="7">
        <v>4</v>
      </c>
      <c r="J2435" s="17">
        <v>0</v>
      </c>
      <c r="K2435" s="17"/>
      <c r="L2435" s="7">
        <f t="shared" si="1062"/>
        <v>4</v>
      </c>
      <c r="M2435" s="8">
        <v>1</v>
      </c>
      <c r="N2435" s="8">
        <f t="shared" si="1054"/>
        <v>1</v>
      </c>
      <c r="O2435" s="11" t="s">
        <v>1702</v>
      </c>
      <c r="P2435" s="16" t="str">
        <f t="shared" si="1063"/>
        <v>02-Mar-1896</v>
      </c>
      <c r="R2435" s="16" t="str">
        <f t="shared" si="1057"/>
        <v>x</v>
      </c>
      <c r="S2435" s="16" t="str">
        <f t="shared" si="1057"/>
        <v>x</v>
      </c>
      <c r="T2435" s="11"/>
      <c r="U2435" s="46" t="str">
        <f t="shared" si="1059"/>
        <v/>
      </c>
      <c r="V2435" s="46">
        <f t="shared" si="1059"/>
        <v>4</v>
      </c>
      <c r="W2435" s="46" t="str">
        <f t="shared" si="1059"/>
        <v/>
      </c>
      <c r="X2435" s="46" t="str">
        <f t="shared" si="1059"/>
        <v/>
      </c>
    </row>
    <row r="2436" spans="2:24" x14ac:dyDescent="0.25">
      <c r="B2436" s="11" t="str">
        <f t="shared" si="1058"/>
        <v>LBRT-30MAR1896</v>
      </c>
      <c r="C2436" s="11" t="s">
        <v>2249</v>
      </c>
      <c r="D2436" s="11" t="s">
        <v>1699</v>
      </c>
      <c r="F2436" s="11" t="s">
        <v>1700</v>
      </c>
      <c r="G2436" s="39" t="s">
        <v>10</v>
      </c>
      <c r="H2436" s="7">
        <v>0</v>
      </c>
      <c r="I2436" s="7">
        <v>0</v>
      </c>
      <c r="J2436" s="17">
        <v>7</v>
      </c>
      <c r="K2436" s="17"/>
      <c r="L2436" s="7">
        <f t="shared" si="1062"/>
        <v>7</v>
      </c>
      <c r="M2436" s="8">
        <v>1</v>
      </c>
      <c r="N2436" s="8">
        <f t="shared" si="1054"/>
        <v>1</v>
      </c>
      <c r="O2436" s="11" t="s">
        <v>1702</v>
      </c>
      <c r="P2436" s="16" t="str">
        <f t="shared" si="1063"/>
        <v>30-Mar-1896</v>
      </c>
      <c r="R2436" s="16" t="str">
        <f t="shared" si="1057"/>
        <v>x</v>
      </c>
      <c r="S2436" s="16" t="str">
        <f t="shared" si="1057"/>
        <v>x</v>
      </c>
      <c r="T2436" s="11"/>
      <c r="U2436" s="46" t="str">
        <f t="shared" si="1059"/>
        <v/>
      </c>
      <c r="V2436" s="46">
        <f t="shared" si="1059"/>
        <v>7</v>
      </c>
      <c r="W2436" s="46" t="str">
        <f t="shared" si="1059"/>
        <v/>
      </c>
      <c r="X2436" s="46" t="str">
        <f t="shared" si="1059"/>
        <v/>
      </c>
    </row>
    <row r="2437" spans="2:24" x14ac:dyDescent="0.25">
      <c r="B2437" s="11" t="str">
        <f t="shared" si="1058"/>
        <v>LBRT-27APR1896</v>
      </c>
      <c r="C2437" s="11" t="s">
        <v>2249</v>
      </c>
      <c r="D2437" s="11" t="s">
        <v>1699</v>
      </c>
      <c r="F2437" s="11" t="s">
        <v>1700</v>
      </c>
      <c r="G2437" s="39" t="s">
        <v>11</v>
      </c>
      <c r="H2437" s="7">
        <v>0</v>
      </c>
      <c r="I2437" s="7">
        <v>2</v>
      </c>
      <c r="J2437" s="17">
        <v>0</v>
      </c>
      <c r="K2437" s="17"/>
      <c r="L2437" s="7">
        <f t="shared" si="1062"/>
        <v>2</v>
      </c>
      <c r="M2437" s="8">
        <v>1</v>
      </c>
      <c r="N2437" s="8">
        <f t="shared" si="1054"/>
        <v>1</v>
      </c>
      <c r="O2437" s="11" t="s">
        <v>1702</v>
      </c>
      <c r="P2437" s="16" t="str">
        <f t="shared" si="1063"/>
        <v>27-Apr-1896</v>
      </c>
      <c r="R2437" s="16" t="str">
        <f t="shared" si="1057"/>
        <v>x</v>
      </c>
      <c r="S2437" s="16" t="str">
        <f t="shared" si="1057"/>
        <v>x</v>
      </c>
      <c r="T2437" s="11"/>
      <c r="U2437" s="46" t="str">
        <f t="shared" si="1059"/>
        <v/>
      </c>
      <c r="V2437" s="46">
        <f t="shared" si="1059"/>
        <v>2</v>
      </c>
      <c r="W2437" s="46" t="str">
        <f t="shared" si="1059"/>
        <v/>
      </c>
      <c r="X2437" s="46" t="str">
        <f t="shared" si="1059"/>
        <v/>
      </c>
    </row>
    <row r="2438" spans="2:24" x14ac:dyDescent="0.25">
      <c r="B2438" s="11" t="str">
        <f t="shared" si="1058"/>
        <v>LBRT-25MAY1896</v>
      </c>
      <c r="C2438" s="11" t="s">
        <v>2249</v>
      </c>
      <c r="D2438" s="11" t="s">
        <v>1699</v>
      </c>
      <c r="F2438" s="11" t="s">
        <v>1700</v>
      </c>
      <c r="G2438" s="39" t="s">
        <v>12</v>
      </c>
      <c r="H2438" s="7">
        <v>0</v>
      </c>
      <c r="I2438" s="7">
        <v>0</v>
      </c>
      <c r="J2438" s="17">
        <v>0</v>
      </c>
      <c r="K2438" s="17"/>
      <c r="L2438" s="7">
        <f t="shared" si="1062"/>
        <v>0</v>
      </c>
      <c r="M2438" s="8">
        <v>1</v>
      </c>
      <c r="N2438" s="8" t="str">
        <f t="shared" si="1054"/>
        <v/>
      </c>
      <c r="O2438" s="11" t="s">
        <v>1702</v>
      </c>
      <c r="P2438" s="16" t="str">
        <f t="shared" si="1063"/>
        <v>25-May-1896</v>
      </c>
      <c r="R2438" s="16" t="str">
        <f t="shared" si="1057"/>
        <v/>
      </c>
      <c r="S2438" s="16" t="str">
        <f t="shared" si="1057"/>
        <v/>
      </c>
      <c r="T2438" s="11"/>
      <c r="U2438" s="46" t="str">
        <f t="shared" si="1059"/>
        <v/>
      </c>
      <c r="V2438" s="46">
        <f t="shared" si="1059"/>
        <v>0</v>
      </c>
      <c r="W2438" s="46" t="str">
        <f t="shared" si="1059"/>
        <v/>
      </c>
      <c r="X2438" s="46" t="str">
        <f t="shared" si="1059"/>
        <v/>
      </c>
    </row>
    <row r="2439" spans="2:24" x14ac:dyDescent="0.25">
      <c r="B2439" s="11" t="str">
        <f t="shared" si="1058"/>
        <v>LBRT-22JUN1896</v>
      </c>
      <c r="C2439" s="11" t="s">
        <v>2249</v>
      </c>
      <c r="D2439" s="11" t="s">
        <v>1699</v>
      </c>
      <c r="F2439" s="11" t="s">
        <v>1700</v>
      </c>
      <c r="G2439" s="39" t="s">
        <v>13</v>
      </c>
      <c r="H2439" s="7">
        <v>0</v>
      </c>
      <c r="I2439" s="7">
        <v>0</v>
      </c>
      <c r="J2439" s="17">
        <v>1</v>
      </c>
      <c r="K2439" s="17"/>
      <c r="L2439" s="7">
        <f t="shared" si="1062"/>
        <v>1</v>
      </c>
      <c r="M2439" s="8">
        <v>1</v>
      </c>
      <c r="N2439" s="8">
        <f t="shared" si="1054"/>
        <v>1</v>
      </c>
      <c r="O2439" s="11" t="s">
        <v>1702</v>
      </c>
      <c r="P2439" s="16" t="str">
        <f t="shared" si="1063"/>
        <v>22-Jun-1896</v>
      </c>
      <c r="R2439" s="16" t="str">
        <f t="shared" si="1057"/>
        <v>x</v>
      </c>
      <c r="S2439" s="16" t="str">
        <f t="shared" si="1057"/>
        <v>x</v>
      </c>
      <c r="T2439" s="11"/>
      <c r="U2439" s="46" t="str">
        <f t="shared" si="1059"/>
        <v/>
      </c>
      <c r="V2439" s="46">
        <f t="shared" si="1059"/>
        <v>1</v>
      </c>
      <c r="W2439" s="46" t="str">
        <f t="shared" si="1059"/>
        <v/>
      </c>
      <c r="X2439" s="46" t="str">
        <f t="shared" si="1059"/>
        <v/>
      </c>
    </row>
    <row r="2440" spans="2:24" x14ac:dyDescent="0.25">
      <c r="B2440" s="11" t="str">
        <f t="shared" si="1058"/>
        <v>LBRT-27JUL1896</v>
      </c>
      <c r="C2440" s="11" t="s">
        <v>2249</v>
      </c>
      <c r="D2440" s="11" t="s">
        <v>1699</v>
      </c>
      <c r="F2440" s="11" t="s">
        <v>1700</v>
      </c>
      <c r="G2440" s="39" t="s">
        <v>2148</v>
      </c>
      <c r="H2440" s="7">
        <v>0</v>
      </c>
      <c r="I2440" s="7">
        <v>0</v>
      </c>
      <c r="J2440" s="17">
        <v>6</v>
      </c>
      <c r="K2440" s="17"/>
      <c r="L2440" s="7">
        <f t="shared" si="1062"/>
        <v>6</v>
      </c>
      <c r="M2440" s="8">
        <v>1</v>
      </c>
      <c r="N2440" s="8">
        <f t="shared" si="1054"/>
        <v>1</v>
      </c>
      <c r="O2440" s="11" t="s">
        <v>1702</v>
      </c>
      <c r="P2440" s="16" t="str">
        <f t="shared" si="1063"/>
        <v>27-Jul-1896</v>
      </c>
      <c r="R2440" s="16" t="str">
        <f t="shared" si="1057"/>
        <v>x</v>
      </c>
      <c r="S2440" s="16" t="str">
        <f t="shared" si="1057"/>
        <v>x</v>
      </c>
      <c r="T2440" s="11"/>
      <c r="U2440" s="46" t="str">
        <f t="shared" si="1059"/>
        <v/>
      </c>
      <c r="V2440" s="46">
        <f t="shared" si="1059"/>
        <v>6</v>
      </c>
      <c r="W2440" s="46" t="str">
        <f t="shared" si="1059"/>
        <v/>
      </c>
      <c r="X2440" s="46" t="str">
        <f t="shared" si="1059"/>
        <v/>
      </c>
    </row>
    <row r="2441" spans="2:24" x14ac:dyDescent="0.25">
      <c r="B2441" s="11" t="str">
        <f t="shared" si="1058"/>
        <v>LBRT-24AUG1896</v>
      </c>
      <c r="C2441" s="11" t="s">
        <v>2249</v>
      </c>
      <c r="D2441" s="11" t="s">
        <v>1699</v>
      </c>
      <c r="F2441" s="11" t="s">
        <v>1700</v>
      </c>
      <c r="G2441" s="39" t="s">
        <v>14</v>
      </c>
      <c r="H2441" s="7">
        <v>0</v>
      </c>
      <c r="I2441" s="7">
        <v>0</v>
      </c>
      <c r="J2441" s="17">
        <v>0</v>
      </c>
      <c r="K2441" s="17"/>
      <c r="L2441" s="7">
        <f t="shared" si="1062"/>
        <v>0</v>
      </c>
      <c r="M2441" s="8">
        <v>1</v>
      </c>
      <c r="N2441" s="8" t="str">
        <f t="shared" si="1054"/>
        <v/>
      </c>
      <c r="O2441" s="11" t="s">
        <v>1702</v>
      </c>
      <c r="P2441" s="16" t="str">
        <f t="shared" si="1063"/>
        <v>24-Aug-1896</v>
      </c>
      <c r="R2441" s="16" t="str">
        <f t="shared" si="1057"/>
        <v/>
      </c>
      <c r="S2441" s="16" t="str">
        <f t="shared" si="1057"/>
        <v/>
      </c>
      <c r="T2441" s="11"/>
      <c r="U2441" s="46" t="str">
        <f t="shared" si="1059"/>
        <v/>
      </c>
      <c r="V2441" s="46">
        <f t="shared" si="1059"/>
        <v>0</v>
      </c>
      <c r="W2441" s="46" t="str">
        <f t="shared" si="1059"/>
        <v/>
      </c>
      <c r="X2441" s="46" t="str">
        <f t="shared" si="1059"/>
        <v/>
      </c>
    </row>
    <row r="2442" spans="2:24" x14ac:dyDescent="0.25">
      <c r="B2442" s="11" t="str">
        <f t="shared" si="1058"/>
        <v>LBRT-28SEP1896</v>
      </c>
      <c r="C2442" s="11" t="s">
        <v>2249</v>
      </c>
      <c r="D2442" s="11" t="s">
        <v>1699</v>
      </c>
      <c r="F2442" s="11" t="s">
        <v>1700</v>
      </c>
      <c r="G2442" s="39" t="s">
        <v>15</v>
      </c>
      <c r="H2442" s="7">
        <v>0</v>
      </c>
      <c r="I2442" s="7">
        <v>0</v>
      </c>
      <c r="J2442" s="17">
        <v>25</v>
      </c>
      <c r="K2442" s="17"/>
      <c r="L2442" s="7">
        <f t="shared" si="1062"/>
        <v>25</v>
      </c>
      <c r="M2442" s="8">
        <v>1</v>
      </c>
      <c r="N2442" s="8">
        <f t="shared" si="1054"/>
        <v>1</v>
      </c>
      <c r="O2442" s="11" t="s">
        <v>1702</v>
      </c>
      <c r="P2442" s="16" t="str">
        <f t="shared" si="1063"/>
        <v>28-Sep-1896</v>
      </c>
      <c r="R2442" s="16" t="str">
        <f t="shared" si="1057"/>
        <v>x</v>
      </c>
      <c r="S2442" s="16" t="str">
        <f t="shared" si="1057"/>
        <v>x</v>
      </c>
      <c r="T2442" s="11"/>
      <c r="U2442" s="46" t="str">
        <f t="shared" si="1059"/>
        <v/>
      </c>
      <c r="V2442" s="46">
        <f t="shared" si="1059"/>
        <v>25</v>
      </c>
      <c r="W2442" s="46" t="str">
        <f t="shared" si="1059"/>
        <v/>
      </c>
      <c r="X2442" s="46" t="str">
        <f t="shared" si="1059"/>
        <v/>
      </c>
    </row>
    <row r="2443" spans="2:24" x14ac:dyDescent="0.25">
      <c r="B2443" s="11" t="str">
        <f t="shared" si="1058"/>
        <v>LBRT-26OCT1896</v>
      </c>
      <c r="C2443" s="11" t="s">
        <v>2249</v>
      </c>
      <c r="D2443" s="11" t="s">
        <v>1699</v>
      </c>
      <c r="F2443" s="11" t="s">
        <v>1700</v>
      </c>
      <c r="G2443" s="39" t="s">
        <v>16</v>
      </c>
      <c r="H2443" s="7">
        <v>0</v>
      </c>
      <c r="I2443" s="7">
        <v>1</v>
      </c>
      <c r="J2443" s="17">
        <v>6</v>
      </c>
      <c r="K2443" s="17"/>
      <c r="L2443" s="7">
        <f t="shared" si="1062"/>
        <v>7</v>
      </c>
      <c r="M2443" s="8">
        <v>1</v>
      </c>
      <c r="N2443" s="8">
        <f t="shared" si="1054"/>
        <v>1</v>
      </c>
      <c r="O2443" s="11" t="s">
        <v>1702</v>
      </c>
      <c r="P2443" s="16" t="str">
        <f t="shared" si="1063"/>
        <v>26-Oct-1896</v>
      </c>
      <c r="R2443" s="16" t="str">
        <f t="shared" si="1057"/>
        <v>x</v>
      </c>
      <c r="S2443" s="16" t="str">
        <f t="shared" si="1057"/>
        <v>x</v>
      </c>
      <c r="T2443" s="11"/>
      <c r="U2443" s="46" t="str">
        <f t="shared" si="1059"/>
        <v/>
      </c>
      <c r="V2443" s="46">
        <f t="shared" si="1059"/>
        <v>7</v>
      </c>
      <c r="W2443" s="46" t="str">
        <f t="shared" si="1059"/>
        <v/>
      </c>
      <c r="X2443" s="46" t="str">
        <f t="shared" si="1059"/>
        <v/>
      </c>
    </row>
    <row r="2444" spans="2:24" x14ac:dyDescent="0.25">
      <c r="B2444" s="11" t="str">
        <f t="shared" si="1058"/>
        <v>LBRT-30NOV1896</v>
      </c>
      <c r="C2444" s="11" t="s">
        <v>2249</v>
      </c>
      <c r="D2444" s="11" t="s">
        <v>1699</v>
      </c>
      <c r="F2444" s="11" t="s">
        <v>1700</v>
      </c>
      <c r="G2444" s="39" t="s">
        <v>17</v>
      </c>
      <c r="H2444" s="7">
        <v>0</v>
      </c>
      <c r="I2444" s="7">
        <v>0</v>
      </c>
      <c r="J2444" s="17">
        <v>5</v>
      </c>
      <c r="K2444" s="17"/>
      <c r="L2444" s="7">
        <f t="shared" si="1060"/>
        <v>5</v>
      </c>
      <c r="M2444" s="8">
        <v>1</v>
      </c>
      <c r="N2444" s="8">
        <f t="shared" si="1054"/>
        <v>1</v>
      </c>
      <c r="O2444" s="11" t="s">
        <v>1702</v>
      </c>
      <c r="P2444" s="16" t="str">
        <f t="shared" si="1061"/>
        <v>30-Nov-1896</v>
      </c>
      <c r="R2444" s="16" t="str">
        <f t="shared" si="1057"/>
        <v>x</v>
      </c>
      <c r="S2444" s="16" t="str">
        <f t="shared" si="1057"/>
        <v>x</v>
      </c>
      <c r="T2444" s="11"/>
      <c r="U2444" s="46" t="str">
        <f t="shared" si="1059"/>
        <v/>
      </c>
      <c r="V2444" s="46">
        <f t="shared" si="1059"/>
        <v>5</v>
      </c>
      <c r="W2444" s="46" t="str">
        <f t="shared" si="1059"/>
        <v/>
      </c>
      <c r="X2444" s="46" t="str">
        <f t="shared" si="1059"/>
        <v/>
      </c>
    </row>
    <row r="2445" spans="2:24" x14ac:dyDescent="0.25">
      <c r="B2445" s="11" t="str">
        <f t="shared" si="1058"/>
        <v>LBRT-28DEC1896</v>
      </c>
      <c r="C2445" s="11" t="s">
        <v>2249</v>
      </c>
      <c r="D2445" s="11" t="s">
        <v>1699</v>
      </c>
      <c r="F2445" s="11" t="s">
        <v>1700</v>
      </c>
      <c r="G2445" s="39" t="s">
        <v>18</v>
      </c>
      <c r="H2445" s="7">
        <v>0</v>
      </c>
      <c r="I2445" s="7">
        <v>0</v>
      </c>
      <c r="J2445" s="17">
        <v>23</v>
      </c>
      <c r="K2445" s="17"/>
      <c r="L2445" s="7">
        <f t="shared" si="1060"/>
        <v>23</v>
      </c>
      <c r="M2445" s="8">
        <v>1</v>
      </c>
      <c r="N2445" s="8">
        <f t="shared" si="1054"/>
        <v>1</v>
      </c>
      <c r="O2445" s="11" t="s">
        <v>1702</v>
      </c>
      <c r="P2445" s="16" t="str">
        <f t="shared" si="1061"/>
        <v>28-Dec-1896</v>
      </c>
      <c r="R2445" s="16" t="str">
        <f t="shared" si="1057"/>
        <v>x</v>
      </c>
      <c r="S2445" s="16" t="str">
        <f t="shared" si="1057"/>
        <v>x</v>
      </c>
      <c r="T2445" s="11"/>
      <c r="U2445" s="46" t="str">
        <f t="shared" si="1059"/>
        <v/>
      </c>
      <c r="V2445" s="46">
        <f t="shared" si="1059"/>
        <v>23</v>
      </c>
      <c r="W2445" s="46" t="str">
        <f t="shared" si="1059"/>
        <v/>
      </c>
      <c r="X2445" s="46" t="str">
        <f t="shared" si="1059"/>
        <v/>
      </c>
    </row>
    <row r="2446" spans="2:24" x14ac:dyDescent="0.25">
      <c r="B2446" s="11" t="str">
        <f t="shared" si="1058"/>
        <v>LBRT-01FEB1897</v>
      </c>
      <c r="C2446" s="11" t="s">
        <v>2249</v>
      </c>
      <c r="D2446" s="11" t="s">
        <v>1699</v>
      </c>
      <c r="F2446" s="11" t="s">
        <v>1700</v>
      </c>
      <c r="G2446" s="39" t="s">
        <v>19</v>
      </c>
      <c r="H2446" s="7">
        <v>0</v>
      </c>
      <c r="I2446" s="7">
        <v>1</v>
      </c>
      <c r="J2446" s="17">
        <v>19</v>
      </c>
      <c r="K2446" s="17"/>
      <c r="L2446" s="7">
        <f t="shared" si="1060"/>
        <v>20</v>
      </c>
      <c r="M2446" s="8">
        <v>1</v>
      </c>
      <c r="N2446" s="8">
        <f t="shared" si="1054"/>
        <v>1</v>
      </c>
      <c r="O2446" s="11" t="s">
        <v>1702</v>
      </c>
      <c r="P2446" s="16" t="str">
        <f t="shared" si="1061"/>
        <v>01-Feb-1897</v>
      </c>
      <c r="R2446" s="16" t="str">
        <f t="shared" si="1057"/>
        <v>x</v>
      </c>
      <c r="S2446" s="16" t="str">
        <f t="shared" si="1057"/>
        <v>x</v>
      </c>
      <c r="T2446" s="11"/>
      <c r="U2446" s="46" t="str">
        <f t="shared" si="1059"/>
        <v/>
      </c>
      <c r="V2446" s="46">
        <f t="shared" si="1059"/>
        <v>20</v>
      </c>
      <c r="W2446" s="46" t="str">
        <f t="shared" si="1059"/>
        <v/>
      </c>
      <c r="X2446" s="46" t="str">
        <f t="shared" si="1059"/>
        <v/>
      </c>
    </row>
    <row r="2447" spans="2:24" x14ac:dyDescent="0.25">
      <c r="B2447" s="11" t="str">
        <f t="shared" si="1058"/>
        <v>LBRT-09MAR1897</v>
      </c>
      <c r="C2447" s="11" t="s">
        <v>2249</v>
      </c>
      <c r="D2447" s="11" t="s">
        <v>1699</v>
      </c>
      <c r="F2447" s="11" t="s">
        <v>1700</v>
      </c>
      <c r="G2447" s="39" t="s">
        <v>20</v>
      </c>
      <c r="H2447" s="7">
        <v>0</v>
      </c>
      <c r="I2447" s="7">
        <v>0</v>
      </c>
      <c r="J2447" s="17">
        <v>1</v>
      </c>
      <c r="K2447" s="17"/>
      <c r="L2447" s="7">
        <f t="shared" ref="L2447:L2457" si="1064">SUM(H2447:K2447)</f>
        <v>1</v>
      </c>
      <c r="M2447" s="8">
        <v>1</v>
      </c>
      <c r="N2447" s="8">
        <f t="shared" si="1054"/>
        <v>1</v>
      </c>
      <c r="O2447" s="11" t="s">
        <v>1702</v>
      </c>
      <c r="P2447" s="16" t="str">
        <f t="shared" ref="P2447:P2457" si="1065">IF(LEN(G2447)=10,CONCATENATE("0",G2447),G2447)</f>
        <v>09-Mar-1897</v>
      </c>
      <c r="R2447" s="16" t="str">
        <f t="shared" si="1057"/>
        <v>x</v>
      </c>
      <c r="S2447" s="16" t="str">
        <f t="shared" si="1057"/>
        <v>x</v>
      </c>
      <c r="T2447" s="11"/>
      <c r="U2447" s="46" t="str">
        <f t="shared" si="1059"/>
        <v/>
      </c>
      <c r="V2447" s="46">
        <f t="shared" si="1059"/>
        <v>1</v>
      </c>
      <c r="W2447" s="46" t="str">
        <f t="shared" si="1059"/>
        <v/>
      </c>
      <c r="X2447" s="46" t="str">
        <f t="shared" si="1059"/>
        <v/>
      </c>
    </row>
    <row r="2448" spans="2:24" x14ac:dyDescent="0.25">
      <c r="B2448" s="11" t="str">
        <f t="shared" si="1058"/>
        <v>LBRT-05APR1897</v>
      </c>
      <c r="C2448" s="11" t="s">
        <v>2249</v>
      </c>
      <c r="D2448" s="11" t="s">
        <v>1699</v>
      </c>
      <c r="F2448" s="11" t="s">
        <v>1700</v>
      </c>
      <c r="G2448" s="39" t="s">
        <v>21</v>
      </c>
      <c r="H2448" s="7">
        <v>0</v>
      </c>
      <c r="I2448" s="7">
        <v>0</v>
      </c>
      <c r="J2448" s="17">
        <v>30</v>
      </c>
      <c r="K2448" s="17"/>
      <c r="L2448" s="7">
        <f t="shared" si="1064"/>
        <v>30</v>
      </c>
      <c r="M2448" s="8">
        <v>1</v>
      </c>
      <c r="N2448" s="8">
        <f t="shared" si="1054"/>
        <v>1</v>
      </c>
      <c r="O2448" s="11" t="s">
        <v>1702</v>
      </c>
      <c r="P2448" s="16" t="str">
        <f t="shared" si="1065"/>
        <v>05-Apr-1897</v>
      </c>
      <c r="R2448" s="16" t="str">
        <f t="shared" si="1057"/>
        <v>x</v>
      </c>
      <c r="S2448" s="16" t="str">
        <f t="shared" si="1057"/>
        <v>x</v>
      </c>
      <c r="T2448" s="11"/>
      <c r="U2448" s="46" t="str">
        <f t="shared" si="1059"/>
        <v/>
      </c>
      <c r="V2448" s="46">
        <f t="shared" si="1059"/>
        <v>30</v>
      </c>
      <c r="W2448" s="46" t="str">
        <f t="shared" si="1059"/>
        <v/>
      </c>
      <c r="X2448" s="46" t="str">
        <f t="shared" si="1059"/>
        <v/>
      </c>
    </row>
    <row r="2449" spans="2:26" x14ac:dyDescent="0.25">
      <c r="B2449" s="11" t="str">
        <f t="shared" si="1058"/>
        <v>LBRT-07JUN1897</v>
      </c>
      <c r="C2449" s="11" t="s">
        <v>2249</v>
      </c>
      <c r="D2449" s="11" t="s">
        <v>1699</v>
      </c>
      <c r="F2449" s="11" t="s">
        <v>1700</v>
      </c>
      <c r="G2449" s="39" t="s">
        <v>22</v>
      </c>
      <c r="H2449" s="7">
        <v>0</v>
      </c>
      <c r="I2449" s="7">
        <v>0</v>
      </c>
      <c r="J2449" s="17">
        <v>16</v>
      </c>
      <c r="K2449" s="17"/>
      <c r="L2449" s="7">
        <f t="shared" si="1064"/>
        <v>16</v>
      </c>
      <c r="M2449" s="8">
        <v>1</v>
      </c>
      <c r="N2449" s="8">
        <f t="shared" si="1054"/>
        <v>1</v>
      </c>
      <c r="O2449" s="11" t="s">
        <v>1702</v>
      </c>
      <c r="P2449" s="16" t="str">
        <f t="shared" si="1065"/>
        <v>07-Jun-1897</v>
      </c>
      <c r="R2449" s="16" t="str">
        <f t="shared" si="1057"/>
        <v>x</v>
      </c>
      <c r="S2449" s="16" t="str">
        <f t="shared" si="1057"/>
        <v>x</v>
      </c>
      <c r="T2449" s="11"/>
      <c r="U2449" s="46" t="str">
        <f t="shared" si="1059"/>
        <v/>
      </c>
      <c r="V2449" s="46">
        <f t="shared" si="1059"/>
        <v>16</v>
      </c>
      <c r="W2449" s="46" t="str">
        <f t="shared" si="1059"/>
        <v/>
      </c>
      <c r="X2449" s="46" t="str">
        <f t="shared" si="1059"/>
        <v/>
      </c>
    </row>
    <row r="2450" spans="2:26" x14ac:dyDescent="0.25">
      <c r="B2450" s="11" t="str">
        <f t="shared" si="1058"/>
        <v>LBRT-04JUL1897</v>
      </c>
      <c r="C2450" s="11" t="s">
        <v>2249</v>
      </c>
      <c r="D2450" s="11" t="s">
        <v>1699</v>
      </c>
      <c r="F2450" s="11" t="s">
        <v>1700</v>
      </c>
      <c r="G2450" s="39" t="s">
        <v>23</v>
      </c>
      <c r="J2450" s="17">
        <v>0</v>
      </c>
      <c r="K2450" s="17"/>
      <c r="L2450" s="7">
        <f t="shared" si="1064"/>
        <v>0</v>
      </c>
      <c r="M2450" s="8">
        <v>1</v>
      </c>
      <c r="N2450" s="8" t="str">
        <f t="shared" si="1054"/>
        <v/>
      </c>
      <c r="O2450" s="11" t="s">
        <v>1702</v>
      </c>
      <c r="P2450" s="16" t="str">
        <f t="shared" si="1065"/>
        <v>04-Jul-1897</v>
      </c>
      <c r="R2450" s="16" t="str">
        <f t="shared" si="1057"/>
        <v/>
      </c>
      <c r="S2450" s="16" t="str">
        <f t="shared" si="1057"/>
        <v/>
      </c>
      <c r="T2450" s="11"/>
      <c r="U2450" s="46" t="str">
        <f t="shared" si="1059"/>
        <v/>
      </c>
      <c r="V2450" s="46">
        <f t="shared" si="1059"/>
        <v>0</v>
      </c>
      <c r="W2450" s="46" t="str">
        <f t="shared" si="1059"/>
        <v/>
      </c>
      <c r="X2450" s="46" t="str">
        <f t="shared" si="1059"/>
        <v/>
      </c>
    </row>
    <row r="2451" spans="2:26" x14ac:dyDescent="0.25">
      <c r="B2451" s="11" t="str">
        <f t="shared" si="1058"/>
        <v>LBRT-15AUG1897</v>
      </c>
      <c r="C2451" s="11" t="s">
        <v>2249</v>
      </c>
      <c r="D2451" s="11" t="s">
        <v>1699</v>
      </c>
      <c r="E2451" s="39" t="s">
        <v>29</v>
      </c>
      <c r="F2451" s="11" t="s">
        <v>1700</v>
      </c>
      <c r="G2451" s="39" t="s">
        <v>24</v>
      </c>
      <c r="J2451" s="17">
        <v>7</v>
      </c>
      <c r="K2451" s="17"/>
      <c r="L2451" s="7">
        <f t="shared" si="1064"/>
        <v>7</v>
      </c>
      <c r="M2451" s="8">
        <v>1</v>
      </c>
      <c r="N2451" s="8">
        <f t="shared" si="1054"/>
        <v>1</v>
      </c>
      <c r="O2451" s="11" t="s">
        <v>1702</v>
      </c>
      <c r="P2451" s="16" t="str">
        <f t="shared" si="1065"/>
        <v>15-Aug-1897</v>
      </c>
      <c r="R2451" s="16" t="str">
        <f t="shared" si="1057"/>
        <v>x</v>
      </c>
      <c r="S2451" s="16" t="str">
        <f t="shared" si="1057"/>
        <v>x</v>
      </c>
      <c r="T2451" s="11"/>
      <c r="U2451" s="46" t="str">
        <f t="shared" si="1059"/>
        <v/>
      </c>
      <c r="V2451" s="46">
        <f t="shared" si="1059"/>
        <v>7</v>
      </c>
      <c r="W2451" s="46" t="str">
        <f t="shared" si="1059"/>
        <v/>
      </c>
      <c r="X2451" s="46" t="str">
        <f t="shared" si="1059"/>
        <v/>
      </c>
    </row>
    <row r="2452" spans="2:26" x14ac:dyDescent="0.25">
      <c r="B2452" s="11" t="str">
        <f t="shared" si="1058"/>
        <v>LBRT-12SEP1897</v>
      </c>
      <c r="C2452" s="11" t="s">
        <v>2249</v>
      </c>
      <c r="D2452" s="11" t="s">
        <v>1699</v>
      </c>
      <c r="E2452" s="39" t="s">
        <v>1712</v>
      </c>
      <c r="F2452" s="11" t="s">
        <v>1700</v>
      </c>
      <c r="G2452" s="39" t="s">
        <v>25</v>
      </c>
      <c r="J2452" s="17">
        <f>1+6</f>
        <v>7</v>
      </c>
      <c r="K2452" s="17"/>
      <c r="L2452" s="7">
        <f t="shared" si="1064"/>
        <v>7</v>
      </c>
      <c r="M2452" s="8">
        <v>1</v>
      </c>
      <c r="N2452" s="8">
        <f t="shared" si="1054"/>
        <v>1</v>
      </c>
      <c r="O2452" s="11" t="s">
        <v>1702</v>
      </c>
      <c r="P2452" s="16" t="str">
        <f t="shared" si="1065"/>
        <v>12-Sep-1897</v>
      </c>
      <c r="R2452" s="16" t="str">
        <f t="shared" si="1057"/>
        <v>x</v>
      </c>
      <c r="S2452" s="16" t="str">
        <f t="shared" si="1057"/>
        <v>x</v>
      </c>
      <c r="T2452" s="11"/>
      <c r="U2452" s="46" t="str">
        <f t="shared" si="1059"/>
        <v/>
      </c>
      <c r="V2452" s="46">
        <f t="shared" si="1059"/>
        <v>7</v>
      </c>
      <c r="W2452" s="46" t="str">
        <f t="shared" si="1059"/>
        <v/>
      </c>
      <c r="X2452" s="46" t="str">
        <f t="shared" si="1059"/>
        <v/>
      </c>
    </row>
    <row r="2453" spans="2:26" x14ac:dyDescent="0.25">
      <c r="B2453" s="11" t="str">
        <f t="shared" si="1058"/>
        <v>LBRT-10OCT1897</v>
      </c>
      <c r="C2453" s="11" t="s">
        <v>2249</v>
      </c>
      <c r="D2453" s="11" t="s">
        <v>1699</v>
      </c>
      <c r="E2453" s="39" t="s">
        <v>1714</v>
      </c>
      <c r="F2453" s="11" t="s">
        <v>1700</v>
      </c>
      <c r="G2453" s="39" t="s">
        <v>26</v>
      </c>
      <c r="J2453" s="17">
        <v>0</v>
      </c>
      <c r="K2453" s="17"/>
      <c r="L2453" s="7">
        <f t="shared" si="1064"/>
        <v>0</v>
      </c>
      <c r="M2453" s="8">
        <v>1</v>
      </c>
      <c r="N2453" s="8" t="str">
        <f t="shared" si="1054"/>
        <v/>
      </c>
      <c r="O2453" s="11" t="s">
        <v>1702</v>
      </c>
      <c r="P2453" s="16" t="str">
        <f t="shared" si="1065"/>
        <v>10-Oct-1897</v>
      </c>
      <c r="R2453" s="16" t="str">
        <f t="shared" si="1057"/>
        <v/>
      </c>
      <c r="S2453" s="16" t="str">
        <f t="shared" si="1057"/>
        <v/>
      </c>
      <c r="T2453" s="11"/>
      <c r="U2453" s="46" t="str">
        <f t="shared" si="1059"/>
        <v/>
      </c>
      <c r="V2453" s="46">
        <f t="shared" si="1059"/>
        <v>0</v>
      </c>
      <c r="W2453" s="46" t="str">
        <f t="shared" si="1059"/>
        <v/>
      </c>
      <c r="X2453" s="46" t="str">
        <f t="shared" si="1059"/>
        <v/>
      </c>
    </row>
    <row r="2454" spans="2:26" x14ac:dyDescent="0.25">
      <c r="B2454" s="11" t="str">
        <f t="shared" si="1058"/>
        <v>LBRT-07NOV1897</v>
      </c>
      <c r="C2454" s="11" t="s">
        <v>2249</v>
      </c>
      <c r="D2454" s="11" t="s">
        <v>1699</v>
      </c>
      <c r="E2454" s="39" t="s">
        <v>30</v>
      </c>
      <c r="F2454" s="11" t="s">
        <v>1700</v>
      </c>
      <c r="G2454" s="39" t="s">
        <v>27</v>
      </c>
      <c r="J2454" s="17">
        <v>0</v>
      </c>
      <c r="K2454" s="17"/>
      <c r="L2454" s="7">
        <f t="shared" si="1064"/>
        <v>0</v>
      </c>
      <c r="M2454" s="8">
        <v>1</v>
      </c>
      <c r="N2454" s="8" t="str">
        <f t="shared" si="1054"/>
        <v/>
      </c>
      <c r="O2454" s="11" t="s">
        <v>1702</v>
      </c>
      <c r="P2454" s="16" t="str">
        <f t="shared" si="1065"/>
        <v>07-Nov-1897</v>
      </c>
      <c r="R2454" s="16" t="str">
        <f t="shared" si="1057"/>
        <v/>
      </c>
      <c r="S2454" s="16" t="str">
        <f t="shared" si="1057"/>
        <v/>
      </c>
      <c r="T2454" s="11"/>
      <c r="U2454" s="46" t="str">
        <f t="shared" si="1059"/>
        <v/>
      </c>
      <c r="V2454" s="46">
        <f t="shared" si="1059"/>
        <v>0</v>
      </c>
      <c r="W2454" s="46" t="str">
        <f t="shared" si="1059"/>
        <v/>
      </c>
      <c r="X2454" s="46" t="str">
        <f t="shared" si="1059"/>
        <v/>
      </c>
    </row>
    <row r="2455" spans="2:26" x14ac:dyDescent="0.25">
      <c r="B2455" s="11" t="str">
        <f t="shared" si="1058"/>
        <v>LBRT-05DEC1897</v>
      </c>
      <c r="C2455" s="11" t="s">
        <v>2249</v>
      </c>
      <c r="D2455" s="11" t="s">
        <v>1699</v>
      </c>
      <c r="E2455" s="39" t="s">
        <v>31</v>
      </c>
      <c r="F2455" s="11" t="s">
        <v>1700</v>
      </c>
      <c r="G2455" s="39" t="s">
        <v>28</v>
      </c>
      <c r="J2455" s="17">
        <v>8</v>
      </c>
      <c r="K2455" s="17"/>
      <c r="L2455" s="7">
        <f t="shared" si="1064"/>
        <v>8</v>
      </c>
      <c r="M2455" s="8">
        <v>1</v>
      </c>
      <c r="N2455" s="8">
        <f t="shared" si="1054"/>
        <v>1</v>
      </c>
      <c r="O2455" s="11" t="s">
        <v>1702</v>
      </c>
      <c r="P2455" s="16" t="str">
        <f t="shared" si="1065"/>
        <v>05-Dec-1897</v>
      </c>
      <c r="R2455" s="16" t="str">
        <f t="shared" si="1057"/>
        <v>x</v>
      </c>
      <c r="S2455" s="16" t="str">
        <f t="shared" si="1057"/>
        <v>x</v>
      </c>
      <c r="T2455" s="11"/>
      <c r="U2455" s="46" t="str">
        <f t="shared" si="1059"/>
        <v/>
      </c>
      <c r="V2455" s="46">
        <f t="shared" si="1059"/>
        <v>8</v>
      </c>
      <c r="W2455" s="46" t="str">
        <f t="shared" si="1059"/>
        <v/>
      </c>
      <c r="X2455" s="46" t="str">
        <f t="shared" si="1059"/>
        <v/>
      </c>
    </row>
    <row r="2456" spans="2:26" x14ac:dyDescent="0.25">
      <c r="B2456" s="11" t="str">
        <f t="shared" si="1058"/>
        <v>LBRT-03JAN1898</v>
      </c>
      <c r="C2456" s="11" t="s">
        <v>2249</v>
      </c>
      <c r="D2456" s="11" t="s">
        <v>1699</v>
      </c>
      <c r="E2456" s="39" t="s">
        <v>39</v>
      </c>
      <c r="F2456" s="11" t="s">
        <v>1700</v>
      </c>
      <c r="G2456" s="39" t="s">
        <v>32</v>
      </c>
      <c r="J2456" s="17">
        <v>0</v>
      </c>
      <c r="K2456" s="17"/>
      <c r="L2456" s="7">
        <f t="shared" si="1064"/>
        <v>0</v>
      </c>
      <c r="M2456" s="8">
        <v>1</v>
      </c>
      <c r="N2456" s="8" t="str">
        <f t="shared" si="1054"/>
        <v/>
      </c>
      <c r="O2456" s="11" t="s">
        <v>1702</v>
      </c>
      <c r="P2456" s="16" t="str">
        <f t="shared" si="1065"/>
        <v>03-Jan-1898</v>
      </c>
      <c r="R2456" s="16" t="str">
        <f t="shared" si="1057"/>
        <v/>
      </c>
      <c r="S2456" s="16" t="str">
        <f t="shared" si="1057"/>
        <v/>
      </c>
      <c r="T2456" s="11"/>
      <c r="U2456" s="46" t="str">
        <f t="shared" si="1059"/>
        <v/>
      </c>
      <c r="V2456" s="46">
        <f t="shared" si="1059"/>
        <v>0</v>
      </c>
      <c r="W2456" s="46" t="str">
        <f t="shared" si="1059"/>
        <v/>
      </c>
      <c r="X2456" s="46" t="str">
        <f t="shared" si="1059"/>
        <v/>
      </c>
      <c r="Z2456" s="11" t="s">
        <v>6031</v>
      </c>
    </row>
    <row r="2457" spans="2:26" x14ac:dyDescent="0.25">
      <c r="B2457" s="11" t="str">
        <f t="shared" si="1058"/>
        <v>LBRT-30JAN1898</v>
      </c>
      <c r="C2457" s="11" t="s">
        <v>2249</v>
      </c>
      <c r="D2457" s="11" t="s">
        <v>1699</v>
      </c>
      <c r="E2457" s="39" t="s">
        <v>2165</v>
      </c>
      <c r="F2457" s="11" t="s">
        <v>1700</v>
      </c>
      <c r="G2457" s="39" t="s">
        <v>40</v>
      </c>
      <c r="J2457" s="17">
        <v>0</v>
      </c>
      <c r="K2457" s="17"/>
      <c r="L2457" s="7">
        <f t="shared" si="1064"/>
        <v>0</v>
      </c>
      <c r="M2457" s="8">
        <v>1</v>
      </c>
      <c r="N2457" s="8" t="str">
        <f t="shared" si="1054"/>
        <v/>
      </c>
      <c r="O2457" s="11" t="s">
        <v>1702</v>
      </c>
      <c r="P2457" s="16" t="str">
        <f t="shared" si="1065"/>
        <v>30-Jan-1898</v>
      </c>
      <c r="R2457" s="16" t="str">
        <f t="shared" si="1057"/>
        <v/>
      </c>
      <c r="S2457" s="16" t="str">
        <f t="shared" si="1057"/>
        <v/>
      </c>
      <c r="T2457" s="11"/>
      <c r="U2457" s="46" t="str">
        <f t="shared" si="1059"/>
        <v/>
      </c>
      <c r="V2457" s="46">
        <f t="shared" si="1059"/>
        <v>0</v>
      </c>
      <c r="W2457" s="46" t="str">
        <f t="shared" si="1059"/>
        <v/>
      </c>
      <c r="X2457" s="46" t="str">
        <f t="shared" si="1059"/>
        <v/>
      </c>
    </row>
    <row r="2458" spans="2:26" x14ac:dyDescent="0.25">
      <c r="B2458" s="11" t="str">
        <f t="shared" si="1058"/>
        <v>LBRT-27FEB1898</v>
      </c>
      <c r="C2458" s="11" t="s">
        <v>2249</v>
      </c>
      <c r="D2458" s="11" t="s">
        <v>1699</v>
      </c>
      <c r="E2458" s="39" t="s">
        <v>41</v>
      </c>
      <c r="F2458" s="11" t="s">
        <v>1700</v>
      </c>
      <c r="G2458" s="39" t="s">
        <v>33</v>
      </c>
      <c r="J2458" s="17">
        <v>8</v>
      </c>
      <c r="K2458" s="17"/>
      <c r="L2458" s="7">
        <f t="shared" ref="L2458:L2480" si="1066">SUM(H2458:K2458)</f>
        <v>8</v>
      </c>
      <c r="M2458" s="8">
        <v>1</v>
      </c>
      <c r="N2458" s="8">
        <f t="shared" si="1054"/>
        <v>1</v>
      </c>
      <c r="O2458" s="11" t="s">
        <v>1702</v>
      </c>
      <c r="P2458" s="16" t="str">
        <f t="shared" ref="P2458:P2480" si="1067">IF(LEN(G2458)=10,CONCATENATE("0",G2458),G2458)</f>
        <v>27-Feb-1898</v>
      </c>
      <c r="R2458" s="16" t="str">
        <f t="shared" si="1057"/>
        <v>x</v>
      </c>
      <c r="S2458" s="16" t="str">
        <f t="shared" si="1057"/>
        <v>x</v>
      </c>
      <c r="T2458" s="11"/>
      <c r="U2458" s="46" t="str">
        <f t="shared" si="1059"/>
        <v/>
      </c>
      <c r="V2458" s="46">
        <f t="shared" si="1059"/>
        <v>8</v>
      </c>
      <c r="W2458" s="46" t="str">
        <f t="shared" si="1059"/>
        <v/>
      </c>
      <c r="X2458" s="46" t="str">
        <f t="shared" si="1059"/>
        <v/>
      </c>
    </row>
    <row r="2459" spans="2:26" x14ac:dyDescent="0.25">
      <c r="B2459" s="11" t="str">
        <f t="shared" si="1058"/>
        <v>LBRT-04APR1898</v>
      </c>
      <c r="C2459" s="11" t="s">
        <v>2249</v>
      </c>
      <c r="D2459" s="11" t="s">
        <v>1699</v>
      </c>
      <c r="E2459" s="39" t="s">
        <v>42</v>
      </c>
      <c r="F2459" s="11" t="s">
        <v>1700</v>
      </c>
      <c r="G2459" s="39" t="s">
        <v>34</v>
      </c>
      <c r="J2459" s="17">
        <v>0</v>
      </c>
      <c r="K2459" s="17"/>
      <c r="L2459" s="7">
        <f t="shared" si="1066"/>
        <v>0</v>
      </c>
      <c r="M2459" s="8">
        <v>1</v>
      </c>
      <c r="N2459" s="8" t="str">
        <f t="shared" si="1054"/>
        <v/>
      </c>
      <c r="O2459" s="11" t="s">
        <v>1702</v>
      </c>
      <c r="P2459" s="16" t="str">
        <f t="shared" si="1067"/>
        <v>04-Apr-1898</v>
      </c>
      <c r="R2459" s="16" t="str">
        <f t="shared" si="1057"/>
        <v/>
      </c>
      <c r="S2459" s="16" t="str">
        <f t="shared" si="1057"/>
        <v/>
      </c>
      <c r="T2459" s="11"/>
      <c r="U2459" s="46" t="str">
        <f t="shared" si="1059"/>
        <v/>
      </c>
      <c r="V2459" s="46">
        <f t="shared" si="1059"/>
        <v>0</v>
      </c>
      <c r="W2459" s="46" t="str">
        <f t="shared" si="1059"/>
        <v/>
      </c>
      <c r="X2459" s="46" t="str">
        <f t="shared" si="1059"/>
        <v/>
      </c>
    </row>
    <row r="2460" spans="2:26" x14ac:dyDescent="0.25">
      <c r="B2460" s="11" t="str">
        <f t="shared" si="1058"/>
        <v>LBRT-12JUN1898</v>
      </c>
      <c r="C2460" s="11" t="s">
        <v>2249</v>
      </c>
      <c r="D2460" s="11" t="s">
        <v>1699</v>
      </c>
      <c r="E2460" s="39" t="s">
        <v>43</v>
      </c>
      <c r="F2460" s="11" t="s">
        <v>1700</v>
      </c>
      <c r="G2460" s="39" t="s">
        <v>35</v>
      </c>
      <c r="J2460" s="17">
        <v>2</v>
      </c>
      <c r="K2460" s="17"/>
      <c r="L2460" s="7">
        <f t="shared" si="1066"/>
        <v>2</v>
      </c>
      <c r="M2460" s="8">
        <v>1</v>
      </c>
      <c r="N2460" s="8">
        <f t="shared" si="1054"/>
        <v>1</v>
      </c>
      <c r="O2460" s="11" t="s">
        <v>1702</v>
      </c>
      <c r="P2460" s="16" t="str">
        <f t="shared" si="1067"/>
        <v>12-Jun-1898</v>
      </c>
      <c r="R2460" s="16" t="str">
        <f t="shared" si="1057"/>
        <v>x</v>
      </c>
      <c r="S2460" s="16" t="str">
        <f t="shared" si="1057"/>
        <v>x</v>
      </c>
      <c r="T2460" s="11"/>
      <c r="U2460" s="46" t="str">
        <f t="shared" si="1059"/>
        <v/>
      </c>
      <c r="V2460" s="46">
        <f t="shared" si="1059"/>
        <v>2</v>
      </c>
      <c r="W2460" s="46" t="str">
        <f t="shared" si="1059"/>
        <v/>
      </c>
      <c r="X2460" s="46" t="str">
        <f t="shared" si="1059"/>
        <v/>
      </c>
    </row>
    <row r="2461" spans="2:26" x14ac:dyDescent="0.25">
      <c r="B2461" s="11" t="str">
        <f t="shared" si="1058"/>
        <v>LBRT-10JUL1898</v>
      </c>
      <c r="C2461" s="11" t="s">
        <v>2249</v>
      </c>
      <c r="D2461" s="11" t="s">
        <v>1699</v>
      </c>
      <c r="E2461" s="39" t="s">
        <v>44</v>
      </c>
      <c r="F2461" s="11" t="s">
        <v>1700</v>
      </c>
      <c r="G2461" s="39" t="s">
        <v>36</v>
      </c>
      <c r="J2461" s="17">
        <v>3</v>
      </c>
      <c r="K2461" s="17"/>
      <c r="L2461" s="7">
        <f t="shared" si="1066"/>
        <v>3</v>
      </c>
      <c r="M2461" s="8">
        <v>1</v>
      </c>
      <c r="N2461" s="8">
        <f t="shared" si="1054"/>
        <v>1</v>
      </c>
      <c r="O2461" s="11" t="s">
        <v>1702</v>
      </c>
      <c r="P2461" s="16" t="str">
        <f t="shared" si="1067"/>
        <v>10-Jul-1898</v>
      </c>
      <c r="R2461" s="16" t="str">
        <f t="shared" si="1057"/>
        <v>x</v>
      </c>
      <c r="S2461" s="16" t="str">
        <f t="shared" si="1057"/>
        <v>x</v>
      </c>
      <c r="T2461" s="11"/>
      <c r="U2461" s="46" t="str">
        <f t="shared" si="1059"/>
        <v/>
      </c>
      <c r="V2461" s="46">
        <f t="shared" si="1059"/>
        <v>3</v>
      </c>
      <c r="W2461" s="46" t="str">
        <f t="shared" si="1059"/>
        <v/>
      </c>
      <c r="X2461" s="46" t="str">
        <f t="shared" si="1059"/>
        <v/>
      </c>
    </row>
    <row r="2462" spans="2:26" x14ac:dyDescent="0.25">
      <c r="B2462" s="11" t="str">
        <f t="shared" si="1058"/>
        <v>LBRT-07AUG1898</v>
      </c>
      <c r="C2462" s="11" t="s">
        <v>2249</v>
      </c>
      <c r="D2462" s="11" t="s">
        <v>1699</v>
      </c>
      <c r="E2462" s="39" t="s">
        <v>45</v>
      </c>
      <c r="F2462" s="11" t="s">
        <v>1700</v>
      </c>
      <c r="G2462" s="39" t="s">
        <v>37</v>
      </c>
      <c r="J2462" s="17">
        <v>0</v>
      </c>
      <c r="K2462" s="17"/>
      <c r="L2462" s="7">
        <f t="shared" si="1066"/>
        <v>0</v>
      </c>
      <c r="M2462" s="8">
        <v>1</v>
      </c>
      <c r="N2462" s="8" t="str">
        <f t="shared" si="1054"/>
        <v/>
      </c>
      <c r="O2462" s="11" t="s">
        <v>1702</v>
      </c>
      <c r="P2462" s="16" t="str">
        <f t="shared" si="1067"/>
        <v>07-Aug-1898</v>
      </c>
      <c r="R2462" s="16" t="str">
        <f t="shared" si="1057"/>
        <v/>
      </c>
      <c r="S2462" s="16" t="str">
        <f t="shared" si="1057"/>
        <v/>
      </c>
      <c r="T2462" s="11"/>
      <c r="U2462" s="46" t="str">
        <f t="shared" si="1059"/>
        <v/>
      </c>
      <c r="V2462" s="46">
        <f t="shared" si="1059"/>
        <v>0</v>
      </c>
      <c r="W2462" s="46" t="str">
        <f t="shared" si="1059"/>
        <v/>
      </c>
      <c r="X2462" s="46" t="str">
        <f t="shared" si="1059"/>
        <v/>
      </c>
    </row>
    <row r="2463" spans="2:26" x14ac:dyDescent="0.25">
      <c r="B2463" s="11" t="str">
        <f t="shared" si="1058"/>
        <v>LBRT-18DEC1898</v>
      </c>
      <c r="C2463" s="11" t="s">
        <v>2249</v>
      </c>
      <c r="D2463" s="11" t="s">
        <v>1699</v>
      </c>
      <c r="E2463" s="39" t="s">
        <v>46</v>
      </c>
      <c r="F2463" s="11" t="s">
        <v>1700</v>
      </c>
      <c r="G2463" s="39" t="s">
        <v>38</v>
      </c>
      <c r="J2463" s="17">
        <v>9</v>
      </c>
      <c r="K2463" s="17"/>
      <c r="L2463" s="7">
        <f t="shared" si="1066"/>
        <v>9</v>
      </c>
      <c r="M2463" s="8">
        <v>1</v>
      </c>
      <c r="N2463" s="8">
        <f t="shared" si="1054"/>
        <v>1</v>
      </c>
      <c r="O2463" s="11" t="s">
        <v>1702</v>
      </c>
      <c r="P2463" s="16" t="str">
        <f t="shared" si="1067"/>
        <v>18-Dec-1898</v>
      </c>
      <c r="R2463" s="16" t="str">
        <f t="shared" si="1057"/>
        <v>x</v>
      </c>
      <c r="S2463" s="16" t="str">
        <f t="shared" si="1057"/>
        <v>x</v>
      </c>
      <c r="T2463" s="11"/>
      <c r="U2463" s="46" t="str">
        <f t="shared" si="1059"/>
        <v/>
      </c>
      <c r="V2463" s="46">
        <f t="shared" si="1059"/>
        <v>9</v>
      </c>
      <c r="W2463" s="46" t="str">
        <f t="shared" si="1059"/>
        <v/>
      </c>
      <c r="X2463" s="46" t="str">
        <f t="shared" si="1059"/>
        <v/>
      </c>
    </row>
    <row r="2464" spans="2:26" x14ac:dyDescent="0.25">
      <c r="B2464" s="11" t="str">
        <f t="shared" si="1058"/>
        <v>LBRT-16JAN1899</v>
      </c>
      <c r="C2464" s="11" t="s">
        <v>2249</v>
      </c>
      <c r="D2464" s="11" t="s">
        <v>1699</v>
      </c>
      <c r="E2464" s="39" t="s">
        <v>57</v>
      </c>
      <c r="F2464" s="11" t="s">
        <v>1700</v>
      </c>
      <c r="G2464" s="39" t="s">
        <v>58</v>
      </c>
      <c r="J2464" s="17">
        <v>2</v>
      </c>
      <c r="K2464" s="17"/>
      <c r="L2464" s="7">
        <f t="shared" si="1066"/>
        <v>2</v>
      </c>
      <c r="M2464" s="8">
        <v>1</v>
      </c>
      <c r="N2464" s="8">
        <f t="shared" ref="N2464:N2497" si="1068">IF(L2464&gt;0,1,"")</f>
        <v>1</v>
      </c>
      <c r="O2464" s="11" t="s">
        <v>1702</v>
      </c>
      <c r="P2464" s="16" t="str">
        <f t="shared" si="1067"/>
        <v>16-Jan-1899</v>
      </c>
      <c r="R2464" s="16" t="str">
        <f t="shared" ref="R2464:S2485" si="1069">IF($L2464&gt;0,"x","")</f>
        <v>x</v>
      </c>
      <c r="S2464" s="16" t="str">
        <f t="shared" si="1069"/>
        <v>x</v>
      </c>
      <c r="T2464" s="11"/>
      <c r="U2464" s="46" t="str">
        <f t="shared" si="1059"/>
        <v/>
      </c>
      <c r="V2464" s="46">
        <f t="shared" si="1059"/>
        <v>2</v>
      </c>
      <c r="W2464" s="46" t="str">
        <f t="shared" si="1059"/>
        <v/>
      </c>
      <c r="X2464" s="46" t="str">
        <f t="shared" si="1059"/>
        <v/>
      </c>
    </row>
    <row r="2465" spans="2:24" x14ac:dyDescent="0.25">
      <c r="B2465" s="11" t="str">
        <f t="shared" ref="B2465:B2554" si="1070">CONCATENATE("LBRT","-",LEFT(P2465,2),UPPER(MID(P2465,4,3)),RIGHT(P2465,4))</f>
        <v>LBRT-14FEB1899</v>
      </c>
      <c r="C2465" s="11" t="s">
        <v>2249</v>
      </c>
      <c r="D2465" s="11" t="s">
        <v>1699</v>
      </c>
      <c r="E2465" s="39" t="s">
        <v>59</v>
      </c>
      <c r="F2465" s="11" t="s">
        <v>1700</v>
      </c>
      <c r="G2465" s="39" t="s">
        <v>60</v>
      </c>
      <c r="J2465" s="17">
        <v>0</v>
      </c>
      <c r="K2465" s="17"/>
      <c r="L2465" s="7">
        <f t="shared" si="1066"/>
        <v>0</v>
      </c>
      <c r="M2465" s="8">
        <v>1</v>
      </c>
      <c r="N2465" s="8" t="str">
        <f t="shared" si="1068"/>
        <v/>
      </c>
      <c r="O2465" s="11" t="s">
        <v>1702</v>
      </c>
      <c r="P2465" s="16" t="str">
        <f t="shared" si="1067"/>
        <v>14-Feb-1899</v>
      </c>
      <c r="R2465" s="16" t="str">
        <f t="shared" si="1069"/>
        <v/>
      </c>
      <c r="S2465" s="16" t="str">
        <f t="shared" si="1069"/>
        <v/>
      </c>
      <c r="T2465" s="11"/>
      <c r="U2465" s="46" t="str">
        <f t="shared" si="1059"/>
        <v/>
      </c>
      <c r="V2465" s="46">
        <f t="shared" si="1059"/>
        <v>0</v>
      </c>
      <c r="W2465" s="46" t="str">
        <f t="shared" si="1059"/>
        <v/>
      </c>
      <c r="X2465" s="46" t="str">
        <f t="shared" si="1059"/>
        <v/>
      </c>
    </row>
    <row r="2466" spans="2:24" x14ac:dyDescent="0.25">
      <c r="B2466" s="11" t="str">
        <f t="shared" si="1070"/>
        <v>LBRT-12MAR1899</v>
      </c>
      <c r="C2466" s="11" t="s">
        <v>2249</v>
      </c>
      <c r="D2466" s="11" t="s">
        <v>1699</v>
      </c>
      <c r="E2466" s="39" t="s">
        <v>61</v>
      </c>
      <c r="F2466" s="11" t="s">
        <v>1700</v>
      </c>
      <c r="G2466" s="39" t="s">
        <v>47</v>
      </c>
      <c r="J2466" s="17">
        <v>8</v>
      </c>
      <c r="K2466" s="17"/>
      <c r="L2466" s="7">
        <f t="shared" si="1066"/>
        <v>8</v>
      </c>
      <c r="M2466" s="8">
        <v>1</v>
      </c>
      <c r="N2466" s="8">
        <f t="shared" si="1068"/>
        <v>1</v>
      </c>
      <c r="O2466" s="11" t="s">
        <v>1702</v>
      </c>
      <c r="P2466" s="16" t="str">
        <f t="shared" si="1067"/>
        <v>12-Mar-1899</v>
      </c>
      <c r="R2466" s="16" t="str">
        <f t="shared" si="1069"/>
        <v>x</v>
      </c>
      <c r="S2466" s="16" t="str">
        <f t="shared" si="1069"/>
        <v>x</v>
      </c>
      <c r="T2466" s="11"/>
      <c r="U2466" s="46" t="str">
        <f t="shared" si="1059"/>
        <v/>
      </c>
      <c r="V2466" s="46">
        <f t="shared" si="1059"/>
        <v>8</v>
      </c>
      <c r="W2466" s="46" t="str">
        <f t="shared" si="1059"/>
        <v/>
      </c>
      <c r="X2466" s="46" t="str">
        <f t="shared" si="1059"/>
        <v/>
      </c>
    </row>
    <row r="2467" spans="2:24" x14ac:dyDescent="0.25">
      <c r="B2467" s="11" t="str">
        <f t="shared" si="1070"/>
        <v>LBRT-10APR1899</v>
      </c>
      <c r="C2467" s="11" t="s">
        <v>2249</v>
      </c>
      <c r="D2467" s="11" t="s">
        <v>1699</v>
      </c>
      <c r="E2467" s="39" t="s">
        <v>62</v>
      </c>
      <c r="F2467" s="11" t="s">
        <v>1700</v>
      </c>
      <c r="G2467" s="39" t="s">
        <v>48</v>
      </c>
      <c r="J2467" s="17">
        <v>8</v>
      </c>
      <c r="K2467" s="17"/>
      <c r="L2467" s="7">
        <f t="shared" si="1066"/>
        <v>8</v>
      </c>
      <c r="M2467" s="8">
        <v>1</v>
      </c>
      <c r="N2467" s="8">
        <f t="shared" si="1068"/>
        <v>1</v>
      </c>
      <c r="O2467" s="11" t="s">
        <v>1702</v>
      </c>
      <c r="P2467" s="16" t="str">
        <f t="shared" si="1067"/>
        <v>10-Apr-1899</v>
      </c>
      <c r="R2467" s="16" t="str">
        <f t="shared" si="1069"/>
        <v>x</v>
      </c>
      <c r="S2467" s="16" t="str">
        <f t="shared" si="1069"/>
        <v>x</v>
      </c>
      <c r="T2467" s="11"/>
      <c r="U2467" s="46" t="str">
        <f t="shared" si="1059"/>
        <v/>
      </c>
      <c r="V2467" s="46">
        <f t="shared" si="1059"/>
        <v>8</v>
      </c>
      <c r="W2467" s="46" t="str">
        <f t="shared" si="1059"/>
        <v/>
      </c>
      <c r="X2467" s="46" t="str">
        <f>IF($O2467=X$5,$L2467,"")</f>
        <v/>
      </c>
    </row>
    <row r="2468" spans="2:24" x14ac:dyDescent="0.25">
      <c r="B2468" s="11" t="str">
        <f t="shared" si="1070"/>
        <v>LBRT-14MAY1899</v>
      </c>
      <c r="C2468" s="11" t="s">
        <v>2249</v>
      </c>
      <c r="D2468" s="11" t="s">
        <v>1699</v>
      </c>
      <c r="E2468" s="39" t="s">
        <v>63</v>
      </c>
      <c r="F2468" s="11" t="s">
        <v>1700</v>
      </c>
      <c r="G2468" s="39" t="s">
        <v>49</v>
      </c>
      <c r="J2468" s="17">
        <v>8</v>
      </c>
      <c r="K2468" s="17"/>
      <c r="L2468" s="7">
        <f t="shared" si="1066"/>
        <v>8</v>
      </c>
      <c r="M2468" s="8">
        <v>1</v>
      </c>
      <c r="N2468" s="8">
        <f t="shared" si="1068"/>
        <v>1</v>
      </c>
      <c r="O2468" s="11" t="s">
        <v>1702</v>
      </c>
      <c r="P2468" s="16" t="str">
        <f t="shared" si="1067"/>
        <v>14-May-1899</v>
      </c>
      <c r="R2468" s="16" t="str">
        <f t="shared" si="1069"/>
        <v>x</v>
      </c>
      <c r="S2468" s="16" t="str">
        <f t="shared" si="1069"/>
        <v>x</v>
      </c>
      <c r="T2468" s="11"/>
      <c r="U2468" s="46" t="str">
        <f t="shared" ref="U2468:X2531" si="1071">IF($O2468=U$5,$L2468,"")</f>
        <v/>
      </c>
      <c r="V2468" s="46">
        <f t="shared" si="1071"/>
        <v>8</v>
      </c>
      <c r="W2468" s="46" t="str">
        <f t="shared" si="1071"/>
        <v/>
      </c>
      <c r="X2468" s="46" t="str">
        <f t="shared" si="1071"/>
        <v/>
      </c>
    </row>
    <row r="2469" spans="2:24" x14ac:dyDescent="0.25">
      <c r="B2469" s="11" t="str">
        <f t="shared" si="1070"/>
        <v>LBRT-19JUN1899</v>
      </c>
      <c r="C2469" s="11" t="s">
        <v>2249</v>
      </c>
      <c r="D2469" s="11" t="s">
        <v>1699</v>
      </c>
      <c r="E2469" s="39" t="s">
        <v>64</v>
      </c>
      <c r="F2469" s="11" t="s">
        <v>1700</v>
      </c>
      <c r="G2469" s="39" t="s">
        <v>50</v>
      </c>
      <c r="J2469" s="17">
        <v>7</v>
      </c>
      <c r="K2469" s="17"/>
      <c r="L2469" s="7">
        <f t="shared" si="1066"/>
        <v>7</v>
      </c>
      <c r="M2469" s="8">
        <v>1</v>
      </c>
      <c r="N2469" s="8">
        <f t="shared" si="1068"/>
        <v>1</v>
      </c>
      <c r="O2469" s="11" t="s">
        <v>1702</v>
      </c>
      <c r="P2469" s="16" t="str">
        <f t="shared" si="1067"/>
        <v>19-Jun-1899</v>
      </c>
      <c r="R2469" s="16" t="str">
        <f t="shared" si="1069"/>
        <v>x</v>
      </c>
      <c r="S2469" s="16" t="str">
        <f t="shared" si="1069"/>
        <v>x</v>
      </c>
      <c r="T2469" s="11"/>
      <c r="U2469" s="46" t="str">
        <f t="shared" si="1071"/>
        <v/>
      </c>
      <c r="V2469" s="46">
        <f t="shared" si="1071"/>
        <v>7</v>
      </c>
      <c r="W2469" s="46" t="str">
        <f t="shared" si="1071"/>
        <v/>
      </c>
      <c r="X2469" s="46" t="str">
        <f t="shared" si="1071"/>
        <v/>
      </c>
    </row>
    <row r="2470" spans="2:24" x14ac:dyDescent="0.25">
      <c r="B2470" s="11" t="str">
        <f t="shared" si="1070"/>
        <v>LBRT-16JUL1899</v>
      </c>
      <c r="C2470" s="11" t="s">
        <v>2249</v>
      </c>
      <c r="D2470" s="11" t="s">
        <v>1699</v>
      </c>
      <c r="E2470" s="39" t="s">
        <v>65</v>
      </c>
      <c r="F2470" s="11" t="s">
        <v>1700</v>
      </c>
      <c r="G2470" s="39" t="s">
        <v>51</v>
      </c>
      <c r="J2470" s="17">
        <v>2</v>
      </c>
      <c r="K2470" s="17"/>
      <c r="L2470" s="7">
        <f t="shared" ref="L2470:L2479" si="1072">SUM(H2470:K2470)</f>
        <v>2</v>
      </c>
      <c r="M2470" s="8">
        <v>1</v>
      </c>
      <c r="N2470" s="8">
        <f t="shared" si="1068"/>
        <v>1</v>
      </c>
      <c r="O2470" s="11" t="s">
        <v>1702</v>
      </c>
      <c r="P2470" s="16" t="str">
        <f t="shared" ref="P2470:P2479" si="1073">IF(LEN(G2470)=10,CONCATENATE("0",G2470),G2470)</f>
        <v>16-Jul-1899</v>
      </c>
      <c r="R2470" s="16" t="str">
        <f t="shared" si="1069"/>
        <v>x</v>
      </c>
      <c r="S2470" s="16" t="str">
        <f t="shared" si="1069"/>
        <v>x</v>
      </c>
      <c r="T2470" s="11"/>
      <c r="U2470" s="46" t="str">
        <f t="shared" si="1071"/>
        <v/>
      </c>
      <c r="V2470" s="46">
        <f t="shared" si="1071"/>
        <v>2</v>
      </c>
      <c r="W2470" s="46" t="str">
        <f t="shared" si="1071"/>
        <v/>
      </c>
      <c r="X2470" s="46" t="str">
        <f t="shared" si="1071"/>
        <v/>
      </c>
    </row>
    <row r="2471" spans="2:24" x14ac:dyDescent="0.25">
      <c r="B2471" s="11" t="str">
        <f t="shared" si="1070"/>
        <v>LBRT-13AUG1899</v>
      </c>
      <c r="C2471" s="11" t="s">
        <v>2249</v>
      </c>
      <c r="D2471" s="11" t="s">
        <v>1699</v>
      </c>
      <c r="E2471" s="39" t="s">
        <v>66</v>
      </c>
      <c r="F2471" s="11" t="s">
        <v>1700</v>
      </c>
      <c r="G2471" s="39" t="s">
        <v>52</v>
      </c>
      <c r="J2471" s="17">
        <v>1</v>
      </c>
      <c r="K2471" s="17"/>
      <c r="L2471" s="7">
        <f t="shared" si="1072"/>
        <v>1</v>
      </c>
      <c r="M2471" s="8">
        <v>1</v>
      </c>
      <c r="N2471" s="8">
        <f t="shared" si="1068"/>
        <v>1</v>
      </c>
      <c r="O2471" s="11" t="s">
        <v>1702</v>
      </c>
      <c r="P2471" s="16" t="str">
        <f t="shared" si="1073"/>
        <v>13-Aug-1899</v>
      </c>
      <c r="R2471" s="16" t="str">
        <f t="shared" si="1069"/>
        <v>x</v>
      </c>
      <c r="S2471" s="16" t="str">
        <f t="shared" si="1069"/>
        <v>x</v>
      </c>
      <c r="T2471" s="11"/>
      <c r="U2471" s="46" t="str">
        <f t="shared" si="1071"/>
        <v/>
      </c>
      <c r="V2471" s="46">
        <f t="shared" si="1071"/>
        <v>1</v>
      </c>
      <c r="W2471" s="46" t="str">
        <f t="shared" si="1071"/>
        <v/>
      </c>
      <c r="X2471" s="46" t="str">
        <f t="shared" si="1071"/>
        <v/>
      </c>
    </row>
    <row r="2472" spans="2:24" x14ac:dyDescent="0.25">
      <c r="B2472" s="11" t="str">
        <f t="shared" si="1070"/>
        <v>LBRT-17SEP1899</v>
      </c>
      <c r="C2472" s="11" t="s">
        <v>2249</v>
      </c>
      <c r="D2472" s="11" t="s">
        <v>1699</v>
      </c>
      <c r="E2472" s="39" t="s">
        <v>67</v>
      </c>
      <c r="F2472" s="11" t="s">
        <v>1700</v>
      </c>
      <c r="G2472" s="39" t="s">
        <v>53</v>
      </c>
      <c r="J2472" s="17">
        <v>0</v>
      </c>
      <c r="K2472" s="17"/>
      <c r="L2472" s="7">
        <f t="shared" si="1072"/>
        <v>0</v>
      </c>
      <c r="M2472" s="8">
        <v>1</v>
      </c>
      <c r="N2472" s="8" t="str">
        <f t="shared" si="1068"/>
        <v/>
      </c>
      <c r="O2472" s="11" t="s">
        <v>1702</v>
      </c>
      <c r="P2472" s="16" t="str">
        <f t="shared" si="1073"/>
        <v>17-Sep-1899</v>
      </c>
      <c r="R2472" s="16" t="str">
        <f t="shared" si="1069"/>
        <v/>
      </c>
      <c r="S2472" s="16" t="str">
        <f t="shared" si="1069"/>
        <v/>
      </c>
      <c r="T2472" s="11"/>
      <c r="U2472" s="46" t="str">
        <f t="shared" si="1071"/>
        <v/>
      </c>
      <c r="V2472" s="46">
        <f t="shared" si="1071"/>
        <v>0</v>
      </c>
      <c r="W2472" s="46" t="str">
        <f t="shared" si="1071"/>
        <v/>
      </c>
      <c r="X2472" s="46" t="str">
        <f t="shared" si="1071"/>
        <v/>
      </c>
    </row>
    <row r="2473" spans="2:24" x14ac:dyDescent="0.25">
      <c r="B2473" s="11" t="str">
        <f t="shared" si="1070"/>
        <v>LBRT-22OCT1899</v>
      </c>
      <c r="C2473" s="11" t="s">
        <v>2249</v>
      </c>
      <c r="D2473" s="11" t="s">
        <v>1699</v>
      </c>
      <c r="E2473" s="39" t="s">
        <v>68</v>
      </c>
      <c r="F2473" s="11" t="s">
        <v>1700</v>
      </c>
      <c r="G2473" s="39" t="s">
        <v>54</v>
      </c>
      <c r="J2473" s="17">
        <v>6</v>
      </c>
      <c r="K2473" s="17"/>
      <c r="L2473" s="7">
        <f t="shared" si="1072"/>
        <v>6</v>
      </c>
      <c r="M2473" s="8">
        <v>1</v>
      </c>
      <c r="N2473" s="8">
        <f t="shared" si="1068"/>
        <v>1</v>
      </c>
      <c r="O2473" s="11" t="s">
        <v>1702</v>
      </c>
      <c r="P2473" s="16" t="str">
        <f t="shared" si="1073"/>
        <v>22-Oct-1899</v>
      </c>
      <c r="R2473" s="16" t="str">
        <f t="shared" si="1069"/>
        <v>x</v>
      </c>
      <c r="S2473" s="16" t="str">
        <f t="shared" si="1069"/>
        <v>x</v>
      </c>
      <c r="T2473" s="11"/>
      <c r="U2473" s="46" t="str">
        <f t="shared" si="1071"/>
        <v/>
      </c>
      <c r="V2473" s="46">
        <f t="shared" si="1071"/>
        <v>6</v>
      </c>
      <c r="W2473" s="46" t="str">
        <f t="shared" si="1071"/>
        <v/>
      </c>
      <c r="X2473" s="46" t="str">
        <f t="shared" si="1071"/>
        <v/>
      </c>
    </row>
    <row r="2474" spans="2:24" x14ac:dyDescent="0.25">
      <c r="B2474" s="11" t="str">
        <f t="shared" si="1070"/>
        <v>LBRT-19NOV1899</v>
      </c>
      <c r="C2474" s="11" t="s">
        <v>2249</v>
      </c>
      <c r="D2474" s="11" t="s">
        <v>1699</v>
      </c>
      <c r="E2474" s="39" t="s">
        <v>69</v>
      </c>
      <c r="F2474" s="11" t="s">
        <v>1700</v>
      </c>
      <c r="G2474" s="39" t="s">
        <v>55</v>
      </c>
      <c r="J2474" s="17">
        <v>13</v>
      </c>
      <c r="K2474" s="17"/>
      <c r="L2474" s="7">
        <f t="shared" si="1072"/>
        <v>13</v>
      </c>
      <c r="M2474" s="8">
        <v>1</v>
      </c>
      <c r="N2474" s="8">
        <f t="shared" si="1068"/>
        <v>1</v>
      </c>
      <c r="O2474" s="11" t="s">
        <v>1702</v>
      </c>
      <c r="P2474" s="16" t="str">
        <f t="shared" si="1073"/>
        <v>19-Nov-1899</v>
      </c>
      <c r="R2474" s="16" t="str">
        <f t="shared" si="1069"/>
        <v>x</v>
      </c>
      <c r="S2474" s="16" t="str">
        <f t="shared" si="1069"/>
        <v>x</v>
      </c>
      <c r="T2474" s="11"/>
      <c r="U2474" s="46" t="str">
        <f t="shared" si="1071"/>
        <v/>
      </c>
      <c r="V2474" s="46">
        <f t="shared" si="1071"/>
        <v>13</v>
      </c>
      <c r="W2474" s="46" t="str">
        <f t="shared" si="1071"/>
        <v/>
      </c>
      <c r="X2474" s="46" t="str">
        <f t="shared" si="1071"/>
        <v/>
      </c>
    </row>
    <row r="2475" spans="2:24" x14ac:dyDescent="0.25">
      <c r="B2475" s="11" t="str">
        <f t="shared" si="1070"/>
        <v>LBRT-24DEC1899</v>
      </c>
      <c r="C2475" s="11" t="s">
        <v>2249</v>
      </c>
      <c r="D2475" s="11" t="s">
        <v>1699</v>
      </c>
      <c r="E2475" s="39" t="s">
        <v>70</v>
      </c>
      <c r="F2475" s="11" t="s">
        <v>1700</v>
      </c>
      <c r="G2475" s="39" t="s">
        <v>56</v>
      </c>
      <c r="J2475" s="17">
        <v>5</v>
      </c>
      <c r="K2475" s="17"/>
      <c r="L2475" s="7">
        <f t="shared" si="1072"/>
        <v>5</v>
      </c>
      <c r="M2475" s="8">
        <v>1</v>
      </c>
      <c r="N2475" s="8">
        <f t="shared" si="1068"/>
        <v>1</v>
      </c>
      <c r="O2475" s="11" t="s">
        <v>1702</v>
      </c>
      <c r="P2475" s="16" t="str">
        <f t="shared" si="1073"/>
        <v>24-Dec-1899</v>
      </c>
      <c r="R2475" s="16" t="str">
        <f t="shared" si="1069"/>
        <v>x</v>
      </c>
      <c r="S2475" s="16" t="str">
        <f t="shared" si="1069"/>
        <v>x</v>
      </c>
      <c r="T2475" s="11"/>
      <c r="U2475" s="46" t="str">
        <f t="shared" si="1071"/>
        <v/>
      </c>
      <c r="V2475" s="46">
        <f t="shared" si="1071"/>
        <v>5</v>
      </c>
      <c r="W2475" s="46" t="str">
        <f t="shared" si="1071"/>
        <v/>
      </c>
      <c r="X2475" s="46" t="str">
        <f t="shared" si="1071"/>
        <v/>
      </c>
    </row>
    <row r="2476" spans="2:24" x14ac:dyDescent="0.25">
      <c r="B2476" s="11" t="str">
        <f t="shared" si="1070"/>
        <v>LBRT-22JAN1900</v>
      </c>
      <c r="C2476" s="11" t="s">
        <v>2249</v>
      </c>
      <c r="D2476" s="11" t="s">
        <v>1699</v>
      </c>
      <c r="E2476" s="39" t="s">
        <v>75</v>
      </c>
      <c r="F2476" s="11" t="s">
        <v>1700</v>
      </c>
      <c r="G2476" s="39" t="s">
        <v>74</v>
      </c>
      <c r="J2476" s="17">
        <v>16</v>
      </c>
      <c r="K2476" s="17"/>
      <c r="L2476" s="7">
        <f t="shared" si="1072"/>
        <v>16</v>
      </c>
      <c r="M2476" s="8">
        <v>1</v>
      </c>
      <c r="N2476" s="8">
        <f t="shared" si="1068"/>
        <v>1</v>
      </c>
      <c r="O2476" s="11" t="s">
        <v>1702</v>
      </c>
      <c r="P2476" s="16" t="str">
        <f t="shared" si="1073"/>
        <v>22-Jan-1900</v>
      </c>
      <c r="R2476" s="16" t="str">
        <f t="shared" si="1069"/>
        <v>x</v>
      </c>
      <c r="S2476" s="16" t="str">
        <f t="shared" si="1069"/>
        <v>x</v>
      </c>
      <c r="T2476" s="11"/>
      <c r="U2476" s="46" t="str">
        <f t="shared" si="1071"/>
        <v/>
      </c>
      <c r="V2476" s="46">
        <f t="shared" si="1071"/>
        <v>16</v>
      </c>
      <c r="W2476" s="46" t="str">
        <f t="shared" si="1071"/>
        <v/>
      </c>
      <c r="X2476" s="46" t="str">
        <f t="shared" si="1071"/>
        <v/>
      </c>
    </row>
    <row r="2477" spans="2:24" x14ac:dyDescent="0.25">
      <c r="B2477" s="11" t="str">
        <f t="shared" si="1070"/>
        <v>LBRT-01APR1900</v>
      </c>
      <c r="C2477" s="11" t="s">
        <v>2249</v>
      </c>
      <c r="D2477" s="11" t="s">
        <v>1699</v>
      </c>
      <c r="E2477" s="39" t="s">
        <v>76</v>
      </c>
      <c r="F2477" s="11" t="s">
        <v>1700</v>
      </c>
      <c r="G2477" s="39" t="s">
        <v>77</v>
      </c>
      <c r="J2477" s="17">
        <v>6</v>
      </c>
      <c r="K2477" s="17"/>
      <c r="L2477" s="7">
        <f t="shared" si="1072"/>
        <v>6</v>
      </c>
      <c r="M2477" s="8">
        <v>1</v>
      </c>
      <c r="N2477" s="8">
        <f t="shared" si="1068"/>
        <v>1</v>
      </c>
      <c r="O2477" s="11" t="s">
        <v>1702</v>
      </c>
      <c r="P2477" s="16" t="str">
        <f t="shared" si="1073"/>
        <v>01-Apr-1900</v>
      </c>
      <c r="R2477" s="16" t="str">
        <f t="shared" si="1069"/>
        <v>x</v>
      </c>
      <c r="S2477" s="16" t="str">
        <f t="shared" si="1069"/>
        <v>x</v>
      </c>
      <c r="T2477" s="11"/>
      <c r="U2477" s="46" t="str">
        <f t="shared" si="1071"/>
        <v/>
      </c>
      <c r="V2477" s="46">
        <f t="shared" si="1071"/>
        <v>6</v>
      </c>
      <c r="W2477" s="46" t="str">
        <f t="shared" si="1071"/>
        <v/>
      </c>
      <c r="X2477" s="46" t="str">
        <f t="shared" si="1071"/>
        <v/>
      </c>
    </row>
    <row r="2478" spans="2:24" x14ac:dyDescent="0.25">
      <c r="B2478" s="11" t="str">
        <f t="shared" si="1070"/>
        <v>LBRT-29APR1900</v>
      </c>
      <c r="C2478" s="11" t="s">
        <v>2249</v>
      </c>
      <c r="D2478" s="11" t="s">
        <v>1699</v>
      </c>
      <c r="E2478" s="39" t="s">
        <v>78</v>
      </c>
      <c r="F2478" s="11" t="s">
        <v>1700</v>
      </c>
      <c r="G2478" s="39" t="s">
        <v>79</v>
      </c>
      <c r="J2478" s="17">
        <v>18</v>
      </c>
      <c r="K2478" s="17"/>
      <c r="L2478" s="7">
        <f t="shared" si="1072"/>
        <v>18</v>
      </c>
      <c r="M2478" s="8">
        <v>1</v>
      </c>
      <c r="N2478" s="8">
        <f t="shared" si="1068"/>
        <v>1</v>
      </c>
      <c r="O2478" s="11" t="s">
        <v>1702</v>
      </c>
      <c r="P2478" s="16" t="str">
        <f t="shared" si="1073"/>
        <v>29-Apr-1900</v>
      </c>
      <c r="R2478" s="16" t="str">
        <f t="shared" si="1069"/>
        <v>x</v>
      </c>
      <c r="S2478" s="16" t="str">
        <f t="shared" si="1069"/>
        <v>x</v>
      </c>
      <c r="T2478" s="11"/>
      <c r="U2478" s="46" t="str">
        <f t="shared" si="1071"/>
        <v/>
      </c>
      <c r="V2478" s="46">
        <f t="shared" si="1071"/>
        <v>18</v>
      </c>
      <c r="W2478" s="46" t="str">
        <f t="shared" si="1071"/>
        <v/>
      </c>
      <c r="X2478" s="46" t="str">
        <f t="shared" si="1071"/>
        <v/>
      </c>
    </row>
    <row r="2479" spans="2:24" x14ac:dyDescent="0.25">
      <c r="B2479" s="11" t="str">
        <f t="shared" si="1070"/>
        <v>LBRT-03JUN1900</v>
      </c>
      <c r="C2479" s="11" t="s">
        <v>2249</v>
      </c>
      <c r="D2479" s="11" t="s">
        <v>1699</v>
      </c>
      <c r="E2479" s="39" t="s">
        <v>1734</v>
      </c>
      <c r="F2479" s="11" t="s">
        <v>1700</v>
      </c>
      <c r="G2479" s="39" t="s">
        <v>71</v>
      </c>
      <c r="J2479" s="17">
        <v>14</v>
      </c>
      <c r="K2479" s="17"/>
      <c r="L2479" s="7">
        <f t="shared" si="1072"/>
        <v>14</v>
      </c>
      <c r="M2479" s="8">
        <v>1</v>
      </c>
      <c r="N2479" s="8">
        <f t="shared" si="1068"/>
        <v>1</v>
      </c>
      <c r="O2479" s="11" t="s">
        <v>1702</v>
      </c>
      <c r="P2479" s="16" t="str">
        <f t="shared" si="1073"/>
        <v>03-Jun-1900</v>
      </c>
      <c r="R2479" s="16" t="str">
        <f t="shared" si="1069"/>
        <v>x</v>
      </c>
      <c r="S2479" s="16" t="str">
        <f t="shared" si="1069"/>
        <v>x</v>
      </c>
      <c r="T2479" s="11"/>
      <c r="U2479" s="46" t="str">
        <f t="shared" si="1071"/>
        <v/>
      </c>
      <c r="V2479" s="46">
        <f t="shared" si="1071"/>
        <v>14</v>
      </c>
      <c r="W2479" s="46" t="str">
        <f t="shared" si="1071"/>
        <v/>
      </c>
      <c r="X2479" s="46" t="str">
        <f t="shared" si="1071"/>
        <v/>
      </c>
    </row>
    <row r="2480" spans="2:24" x14ac:dyDescent="0.25">
      <c r="B2480" s="11" t="str">
        <f t="shared" si="1070"/>
        <v>LBRT-15JUL1900</v>
      </c>
      <c r="C2480" s="11" t="s">
        <v>2249</v>
      </c>
      <c r="D2480" s="11" t="s">
        <v>1699</v>
      </c>
      <c r="E2480" s="39" t="s">
        <v>80</v>
      </c>
      <c r="F2480" s="11" t="s">
        <v>1700</v>
      </c>
      <c r="G2480" s="39" t="s">
        <v>81</v>
      </c>
      <c r="J2480" s="17">
        <v>32</v>
      </c>
      <c r="K2480" s="17"/>
      <c r="L2480" s="7">
        <f t="shared" si="1066"/>
        <v>32</v>
      </c>
      <c r="M2480" s="8">
        <v>1</v>
      </c>
      <c r="N2480" s="8">
        <f t="shared" si="1068"/>
        <v>1</v>
      </c>
      <c r="O2480" s="11" t="s">
        <v>1702</v>
      </c>
      <c r="P2480" s="16" t="str">
        <f t="shared" si="1067"/>
        <v>15-Jul-1900</v>
      </c>
      <c r="R2480" s="16" t="str">
        <f t="shared" si="1069"/>
        <v>x</v>
      </c>
      <c r="S2480" s="16" t="str">
        <f t="shared" si="1069"/>
        <v>x</v>
      </c>
      <c r="T2480" s="11"/>
      <c r="U2480" s="46" t="str">
        <f t="shared" si="1071"/>
        <v/>
      </c>
      <c r="V2480" s="46">
        <f t="shared" si="1071"/>
        <v>32</v>
      </c>
      <c r="W2480" s="46" t="str">
        <f t="shared" si="1071"/>
        <v/>
      </c>
      <c r="X2480" s="46" t="str">
        <f t="shared" si="1071"/>
        <v/>
      </c>
    </row>
    <row r="2481" spans="2:24" x14ac:dyDescent="0.25">
      <c r="B2481" s="11" t="str">
        <f t="shared" si="1070"/>
        <v>LBRT-16AUG1900</v>
      </c>
      <c r="C2481" s="11" t="s">
        <v>2249</v>
      </c>
      <c r="D2481" s="11" t="s">
        <v>1699</v>
      </c>
      <c r="E2481" s="39" t="s">
        <v>2203</v>
      </c>
      <c r="F2481" s="11" t="s">
        <v>1700</v>
      </c>
      <c r="G2481" s="39" t="s">
        <v>82</v>
      </c>
      <c r="J2481" s="17">
        <v>39</v>
      </c>
      <c r="K2481" s="17"/>
      <c r="L2481" s="7">
        <f t="shared" ref="L2481:L2497" si="1074">SUM(H2481:K2481)</f>
        <v>39</v>
      </c>
      <c r="M2481" s="8">
        <v>1</v>
      </c>
      <c r="N2481" s="8">
        <f t="shared" si="1068"/>
        <v>1</v>
      </c>
      <c r="O2481" s="11" t="s">
        <v>1702</v>
      </c>
      <c r="P2481" s="16" t="str">
        <f t="shared" ref="P2481:P2497" si="1075">IF(LEN(G2481)=10,CONCATENATE("0",G2481),G2481)</f>
        <v>16-Aug-1900</v>
      </c>
      <c r="R2481" s="16" t="str">
        <f t="shared" si="1069"/>
        <v>x</v>
      </c>
      <c r="S2481" s="16" t="str">
        <f t="shared" si="1069"/>
        <v>x</v>
      </c>
      <c r="T2481" s="11"/>
      <c r="U2481" s="46" t="str">
        <f t="shared" si="1071"/>
        <v/>
      </c>
      <c r="V2481" s="46">
        <f t="shared" si="1071"/>
        <v>39</v>
      </c>
      <c r="W2481" s="46" t="str">
        <f t="shared" si="1071"/>
        <v/>
      </c>
      <c r="X2481" s="46" t="str">
        <f t="shared" si="1071"/>
        <v/>
      </c>
    </row>
    <row r="2482" spans="2:24" x14ac:dyDescent="0.25">
      <c r="B2482" s="11" t="str">
        <f t="shared" si="1070"/>
        <v>LBRT-09SEP1900</v>
      </c>
      <c r="C2482" s="11" t="s">
        <v>2249</v>
      </c>
      <c r="D2482" s="11" t="s">
        <v>1699</v>
      </c>
      <c r="E2482" s="39" t="s">
        <v>83</v>
      </c>
      <c r="F2482" s="11" t="s">
        <v>1700</v>
      </c>
      <c r="G2482" s="39" t="s">
        <v>72</v>
      </c>
      <c r="J2482" s="17">
        <v>5</v>
      </c>
      <c r="K2482" s="17"/>
      <c r="L2482" s="7">
        <f t="shared" si="1074"/>
        <v>5</v>
      </c>
      <c r="M2482" s="8">
        <v>1</v>
      </c>
      <c r="N2482" s="8">
        <f t="shared" si="1068"/>
        <v>1</v>
      </c>
      <c r="O2482" s="11" t="s">
        <v>1702</v>
      </c>
      <c r="P2482" s="16" t="str">
        <f t="shared" si="1075"/>
        <v>09-Sep-1900</v>
      </c>
      <c r="R2482" s="16" t="str">
        <f t="shared" si="1069"/>
        <v>x</v>
      </c>
      <c r="S2482" s="16" t="str">
        <f t="shared" si="1069"/>
        <v>x</v>
      </c>
      <c r="T2482" s="11"/>
      <c r="U2482" s="46" t="str">
        <f t="shared" si="1071"/>
        <v/>
      </c>
      <c r="V2482" s="46">
        <f t="shared" si="1071"/>
        <v>5</v>
      </c>
      <c r="W2482" s="46" t="str">
        <f t="shared" si="1071"/>
        <v/>
      </c>
      <c r="X2482" s="46" t="str">
        <f t="shared" si="1071"/>
        <v/>
      </c>
    </row>
    <row r="2483" spans="2:24" x14ac:dyDescent="0.25">
      <c r="B2483" s="11" t="str">
        <f t="shared" si="1070"/>
        <v>LBRT-21OCT1900</v>
      </c>
      <c r="C2483" s="11" t="s">
        <v>2249</v>
      </c>
      <c r="D2483" s="11" t="s">
        <v>1699</v>
      </c>
      <c r="F2483" s="11" t="s">
        <v>1700</v>
      </c>
      <c r="G2483" s="39" t="s">
        <v>84</v>
      </c>
      <c r="J2483" s="17">
        <v>0</v>
      </c>
      <c r="K2483" s="17"/>
      <c r="L2483" s="7">
        <f t="shared" si="1074"/>
        <v>0</v>
      </c>
      <c r="M2483" s="8">
        <v>1</v>
      </c>
      <c r="N2483" s="8" t="str">
        <f t="shared" si="1068"/>
        <v/>
      </c>
      <c r="O2483" s="11" t="s">
        <v>1702</v>
      </c>
      <c r="P2483" s="16" t="str">
        <f t="shared" si="1075"/>
        <v>21-Oct-1900</v>
      </c>
      <c r="R2483" s="16" t="str">
        <f t="shared" si="1069"/>
        <v/>
      </c>
      <c r="S2483" s="16" t="str">
        <f t="shared" si="1069"/>
        <v/>
      </c>
      <c r="T2483" s="11"/>
      <c r="U2483" s="46" t="str">
        <f t="shared" si="1071"/>
        <v/>
      </c>
      <c r="V2483" s="46">
        <f t="shared" si="1071"/>
        <v>0</v>
      </c>
      <c r="W2483" s="46" t="str">
        <f t="shared" si="1071"/>
        <v/>
      </c>
      <c r="X2483" s="46" t="str">
        <f t="shared" si="1071"/>
        <v/>
      </c>
    </row>
    <row r="2484" spans="2:24" x14ac:dyDescent="0.25">
      <c r="B2484" s="11" t="str">
        <f t="shared" si="1070"/>
        <v>LBRT-09DEC1900</v>
      </c>
      <c r="C2484" s="11" t="s">
        <v>2249</v>
      </c>
      <c r="D2484" s="11" t="s">
        <v>1699</v>
      </c>
      <c r="E2484" s="39" t="s">
        <v>85</v>
      </c>
      <c r="F2484" s="11" t="s">
        <v>1700</v>
      </c>
      <c r="G2484" s="39" t="s">
        <v>73</v>
      </c>
      <c r="J2484" s="17">
        <v>30</v>
      </c>
      <c r="K2484" s="17"/>
      <c r="L2484" s="7">
        <f t="shared" si="1074"/>
        <v>30</v>
      </c>
      <c r="M2484" s="8">
        <v>1</v>
      </c>
      <c r="N2484" s="8">
        <f t="shared" si="1068"/>
        <v>1</v>
      </c>
      <c r="O2484" s="11" t="s">
        <v>1702</v>
      </c>
      <c r="P2484" s="16" t="str">
        <f t="shared" si="1075"/>
        <v>09-Dec-1900</v>
      </c>
      <c r="R2484" s="16" t="str">
        <f t="shared" si="1069"/>
        <v>x</v>
      </c>
      <c r="S2484" s="16" t="str">
        <f t="shared" si="1069"/>
        <v>x</v>
      </c>
      <c r="T2484" s="11"/>
      <c r="U2484" s="46" t="str">
        <f t="shared" si="1071"/>
        <v/>
      </c>
      <c r="V2484" s="46">
        <f t="shared" si="1071"/>
        <v>30</v>
      </c>
      <c r="W2484" s="46" t="str">
        <f t="shared" si="1071"/>
        <v/>
      </c>
      <c r="X2484" s="46" t="str">
        <f t="shared" si="1071"/>
        <v/>
      </c>
    </row>
    <row r="2485" spans="2:24" x14ac:dyDescent="0.25">
      <c r="B2485" s="11" t="str">
        <f t="shared" si="1070"/>
        <v>LBRT-07JAN1901</v>
      </c>
      <c r="C2485" s="11" t="s">
        <v>2249</v>
      </c>
      <c r="D2485" s="11" t="s">
        <v>1699</v>
      </c>
      <c r="E2485" s="39" t="s">
        <v>754</v>
      </c>
      <c r="F2485" s="11" t="s">
        <v>1700</v>
      </c>
      <c r="G2485" s="39" t="s">
        <v>704</v>
      </c>
      <c r="J2485" s="17">
        <v>21</v>
      </c>
      <c r="K2485" s="17"/>
      <c r="L2485" s="7">
        <f t="shared" si="1074"/>
        <v>21</v>
      </c>
      <c r="M2485" s="8">
        <v>1</v>
      </c>
      <c r="N2485" s="8">
        <f t="shared" si="1068"/>
        <v>1</v>
      </c>
      <c r="O2485" s="11" t="s">
        <v>1702</v>
      </c>
      <c r="P2485" s="16" t="str">
        <f t="shared" si="1075"/>
        <v>07-Jan-1901</v>
      </c>
      <c r="R2485" s="16" t="str">
        <f t="shared" si="1069"/>
        <v>x</v>
      </c>
      <c r="S2485" s="16" t="str">
        <f t="shared" si="1069"/>
        <v>x</v>
      </c>
      <c r="T2485" s="11"/>
      <c r="U2485" s="46" t="str">
        <f t="shared" si="1071"/>
        <v/>
      </c>
      <c r="V2485" s="46">
        <f t="shared" si="1071"/>
        <v>21</v>
      </c>
      <c r="W2485" s="46" t="str">
        <f t="shared" si="1071"/>
        <v/>
      </c>
      <c r="X2485" s="46" t="str">
        <f t="shared" si="1071"/>
        <v/>
      </c>
    </row>
    <row r="2486" spans="2:24" x14ac:dyDescent="0.25">
      <c r="B2486" s="11" t="str">
        <f t="shared" si="1070"/>
        <v>LBRT-04FEB1901</v>
      </c>
      <c r="C2486" s="11" t="s">
        <v>2249</v>
      </c>
      <c r="D2486" s="11" t="s">
        <v>1699</v>
      </c>
      <c r="E2486" s="39" t="s">
        <v>706</v>
      </c>
      <c r="F2486" s="11" t="s">
        <v>1700</v>
      </c>
      <c r="G2486" s="39" t="s">
        <v>705</v>
      </c>
      <c r="J2486" s="17">
        <v>26</v>
      </c>
      <c r="K2486" s="17"/>
      <c r="L2486" s="7">
        <f t="shared" si="1074"/>
        <v>26</v>
      </c>
      <c r="M2486" s="8">
        <v>1</v>
      </c>
      <c r="N2486" s="8">
        <f t="shared" si="1068"/>
        <v>1</v>
      </c>
      <c r="O2486" s="11" t="s">
        <v>1702</v>
      </c>
      <c r="P2486" s="16" t="str">
        <f t="shared" si="1075"/>
        <v>04-Feb-1901</v>
      </c>
      <c r="R2486" s="16" t="str">
        <f t="shared" ref="R2486:S2515" si="1076">IF($L2486&gt;0,"x","")</f>
        <v>x</v>
      </c>
      <c r="S2486" s="16" t="str">
        <f t="shared" si="1076"/>
        <v>x</v>
      </c>
      <c r="T2486" s="11"/>
      <c r="U2486" s="46" t="str">
        <f t="shared" si="1071"/>
        <v/>
      </c>
      <c r="V2486" s="46">
        <f t="shared" si="1071"/>
        <v>26</v>
      </c>
      <c r="W2486" s="46" t="str">
        <f t="shared" si="1071"/>
        <v/>
      </c>
      <c r="X2486" s="46" t="str">
        <f t="shared" si="1071"/>
        <v/>
      </c>
    </row>
    <row r="2487" spans="2:24" x14ac:dyDescent="0.25">
      <c r="B2487" s="11" t="str">
        <f t="shared" si="1070"/>
        <v>LBRT-04MAR1901</v>
      </c>
      <c r="C2487" s="11" t="s">
        <v>2249</v>
      </c>
      <c r="D2487" s="11" t="s">
        <v>1699</v>
      </c>
      <c r="E2487" s="39" t="s">
        <v>707</v>
      </c>
      <c r="F2487" s="11" t="s">
        <v>1700</v>
      </c>
      <c r="G2487" s="39" t="s">
        <v>699</v>
      </c>
      <c r="J2487" s="17">
        <v>20</v>
      </c>
      <c r="K2487" s="17"/>
      <c r="L2487" s="7">
        <f t="shared" si="1074"/>
        <v>20</v>
      </c>
      <c r="M2487" s="8">
        <v>1</v>
      </c>
      <c r="N2487" s="8">
        <f t="shared" si="1068"/>
        <v>1</v>
      </c>
      <c r="O2487" s="11" t="s">
        <v>1702</v>
      </c>
      <c r="P2487" s="16" t="str">
        <f t="shared" si="1075"/>
        <v>04-Mar-1901</v>
      </c>
      <c r="R2487" s="16" t="str">
        <f t="shared" si="1076"/>
        <v>x</v>
      </c>
      <c r="S2487" s="16" t="str">
        <f t="shared" si="1076"/>
        <v>x</v>
      </c>
      <c r="T2487" s="11"/>
      <c r="U2487" s="46" t="str">
        <f t="shared" si="1071"/>
        <v/>
      </c>
      <c r="V2487" s="46">
        <f t="shared" si="1071"/>
        <v>20</v>
      </c>
      <c r="W2487" s="46" t="str">
        <f t="shared" si="1071"/>
        <v/>
      </c>
      <c r="X2487" s="46" t="str">
        <f t="shared" si="1071"/>
        <v/>
      </c>
    </row>
    <row r="2488" spans="2:24" x14ac:dyDescent="0.25">
      <c r="B2488" s="11" t="str">
        <f t="shared" si="1070"/>
        <v>LBRT-31MAR1901</v>
      </c>
      <c r="C2488" s="11" t="s">
        <v>2249</v>
      </c>
      <c r="D2488" s="11" t="s">
        <v>1699</v>
      </c>
      <c r="E2488" s="39" t="s">
        <v>709</v>
      </c>
      <c r="F2488" s="11" t="s">
        <v>1700</v>
      </c>
      <c r="G2488" s="39" t="s">
        <v>708</v>
      </c>
      <c r="J2488" s="17">
        <v>0</v>
      </c>
      <c r="K2488" s="17"/>
      <c r="L2488" s="7">
        <f t="shared" si="1074"/>
        <v>0</v>
      </c>
      <c r="M2488" s="8">
        <v>1</v>
      </c>
      <c r="N2488" s="8" t="str">
        <f t="shared" si="1068"/>
        <v/>
      </c>
      <c r="O2488" s="11" t="s">
        <v>1702</v>
      </c>
      <c r="P2488" s="16" t="str">
        <f t="shared" si="1075"/>
        <v>31-Mar-1901</v>
      </c>
      <c r="R2488" s="16" t="str">
        <f t="shared" si="1076"/>
        <v/>
      </c>
      <c r="S2488" s="16" t="str">
        <f t="shared" si="1076"/>
        <v/>
      </c>
      <c r="T2488" s="11"/>
      <c r="U2488" s="46" t="str">
        <f t="shared" si="1071"/>
        <v/>
      </c>
      <c r="V2488" s="46">
        <f t="shared" si="1071"/>
        <v>0</v>
      </c>
      <c r="W2488" s="46" t="str">
        <f t="shared" si="1071"/>
        <v/>
      </c>
      <c r="X2488" s="46" t="str">
        <f t="shared" si="1071"/>
        <v/>
      </c>
    </row>
    <row r="2489" spans="2:24" x14ac:dyDescent="0.25">
      <c r="B2489" s="11" t="str">
        <f t="shared" si="1070"/>
        <v>LBRT-28APR1901</v>
      </c>
      <c r="C2489" s="11" t="s">
        <v>2249</v>
      </c>
      <c r="D2489" s="11" t="s">
        <v>1699</v>
      </c>
      <c r="E2489" s="39" t="s">
        <v>710</v>
      </c>
      <c r="F2489" s="11" t="s">
        <v>1700</v>
      </c>
      <c r="G2489" s="39" t="s">
        <v>700</v>
      </c>
      <c r="J2489" s="17">
        <v>8</v>
      </c>
      <c r="K2489" s="17"/>
      <c r="L2489" s="7">
        <f t="shared" si="1074"/>
        <v>8</v>
      </c>
      <c r="M2489" s="8">
        <v>1</v>
      </c>
      <c r="N2489" s="8">
        <f t="shared" si="1068"/>
        <v>1</v>
      </c>
      <c r="O2489" s="11" t="s">
        <v>1702</v>
      </c>
      <c r="P2489" s="16" t="str">
        <f t="shared" si="1075"/>
        <v>28-Apr-1901</v>
      </c>
      <c r="R2489" s="16" t="str">
        <f t="shared" si="1076"/>
        <v>x</v>
      </c>
      <c r="S2489" s="16" t="str">
        <f t="shared" si="1076"/>
        <v>x</v>
      </c>
      <c r="T2489" s="11"/>
      <c r="U2489" s="46" t="str">
        <f t="shared" si="1071"/>
        <v/>
      </c>
      <c r="V2489" s="46">
        <f t="shared" si="1071"/>
        <v>8</v>
      </c>
      <c r="W2489" s="46" t="str">
        <f t="shared" si="1071"/>
        <v/>
      </c>
      <c r="X2489" s="46" t="str">
        <f t="shared" si="1071"/>
        <v/>
      </c>
    </row>
    <row r="2490" spans="2:24" x14ac:dyDescent="0.25">
      <c r="B2490" s="11" t="str">
        <f t="shared" si="1070"/>
        <v>LBRT-26MAY1901</v>
      </c>
      <c r="C2490" s="11" t="s">
        <v>2249</v>
      </c>
      <c r="D2490" s="11" t="s">
        <v>1699</v>
      </c>
      <c r="E2490" s="39" t="s">
        <v>712</v>
      </c>
      <c r="F2490" s="11" t="s">
        <v>1700</v>
      </c>
      <c r="G2490" s="39" t="s">
        <v>711</v>
      </c>
      <c r="J2490" s="17">
        <v>6</v>
      </c>
      <c r="K2490" s="17"/>
      <c r="L2490" s="7">
        <f t="shared" si="1074"/>
        <v>6</v>
      </c>
      <c r="M2490" s="8">
        <v>1</v>
      </c>
      <c r="N2490" s="8">
        <f t="shared" si="1068"/>
        <v>1</v>
      </c>
      <c r="O2490" s="11" t="s">
        <v>1702</v>
      </c>
      <c r="P2490" s="16" t="str">
        <f t="shared" si="1075"/>
        <v>26-May-1901</v>
      </c>
      <c r="R2490" s="16" t="str">
        <f t="shared" si="1076"/>
        <v>x</v>
      </c>
      <c r="S2490" s="16" t="str">
        <f t="shared" si="1076"/>
        <v>x</v>
      </c>
      <c r="T2490" s="11"/>
      <c r="U2490" s="46" t="str">
        <f t="shared" si="1071"/>
        <v/>
      </c>
      <c r="V2490" s="46">
        <f t="shared" si="1071"/>
        <v>6</v>
      </c>
      <c r="W2490" s="46" t="str">
        <f t="shared" si="1071"/>
        <v/>
      </c>
      <c r="X2490" s="46" t="str">
        <f t="shared" si="1071"/>
        <v/>
      </c>
    </row>
    <row r="2491" spans="2:24" x14ac:dyDescent="0.25">
      <c r="B2491" s="11" t="str">
        <f t="shared" si="1070"/>
        <v>LBRT-23JUN1901</v>
      </c>
      <c r="C2491" s="11" t="s">
        <v>2249</v>
      </c>
      <c r="D2491" s="11" t="s">
        <v>1699</v>
      </c>
      <c r="E2491" s="39" t="s">
        <v>713</v>
      </c>
      <c r="F2491" s="11" t="s">
        <v>1700</v>
      </c>
      <c r="G2491" s="39" t="s">
        <v>701</v>
      </c>
      <c r="J2491" s="17">
        <v>19</v>
      </c>
      <c r="K2491" s="17"/>
      <c r="L2491" s="7">
        <f t="shared" si="1074"/>
        <v>19</v>
      </c>
      <c r="M2491" s="8">
        <v>1</v>
      </c>
      <c r="N2491" s="8">
        <f t="shared" si="1068"/>
        <v>1</v>
      </c>
      <c r="O2491" s="11" t="s">
        <v>1702</v>
      </c>
      <c r="P2491" s="16" t="str">
        <f t="shared" si="1075"/>
        <v>23-Jun-1901</v>
      </c>
      <c r="R2491" s="16" t="str">
        <f t="shared" si="1076"/>
        <v>x</v>
      </c>
      <c r="S2491" s="16" t="str">
        <f t="shared" si="1076"/>
        <v>x</v>
      </c>
      <c r="T2491" s="11"/>
      <c r="U2491" s="46" t="str">
        <f t="shared" si="1071"/>
        <v/>
      </c>
      <c r="V2491" s="46">
        <f t="shared" si="1071"/>
        <v>19</v>
      </c>
      <c r="W2491" s="46" t="str">
        <f t="shared" si="1071"/>
        <v/>
      </c>
      <c r="X2491" s="46" t="str">
        <f t="shared" si="1071"/>
        <v/>
      </c>
    </row>
    <row r="2492" spans="2:24" x14ac:dyDescent="0.25">
      <c r="B2492" s="11" t="str">
        <f t="shared" si="1070"/>
        <v>LBRT-11AUG1901</v>
      </c>
      <c r="C2492" s="11" t="s">
        <v>2249</v>
      </c>
      <c r="D2492" s="11" t="s">
        <v>1699</v>
      </c>
      <c r="E2492" s="39" t="s">
        <v>715</v>
      </c>
      <c r="F2492" s="11" t="s">
        <v>1700</v>
      </c>
      <c r="G2492" s="39" t="s">
        <v>714</v>
      </c>
      <c r="J2492" s="17">
        <v>20</v>
      </c>
      <c r="K2492" s="17"/>
      <c r="L2492" s="7">
        <f t="shared" si="1074"/>
        <v>20</v>
      </c>
      <c r="M2492" s="8">
        <v>1</v>
      </c>
      <c r="N2492" s="8">
        <f t="shared" si="1068"/>
        <v>1</v>
      </c>
      <c r="O2492" s="11" t="s">
        <v>1702</v>
      </c>
      <c r="P2492" s="16" t="str">
        <f t="shared" si="1075"/>
        <v>11-Aug-1901</v>
      </c>
      <c r="R2492" s="16" t="str">
        <f t="shared" si="1076"/>
        <v>x</v>
      </c>
      <c r="S2492" s="16" t="str">
        <f t="shared" si="1076"/>
        <v>x</v>
      </c>
      <c r="T2492" s="11"/>
      <c r="U2492" s="46" t="str">
        <f t="shared" si="1071"/>
        <v/>
      </c>
      <c r="V2492" s="46">
        <f t="shared" si="1071"/>
        <v>20</v>
      </c>
      <c r="W2492" s="46" t="str">
        <f t="shared" si="1071"/>
        <v/>
      </c>
      <c r="X2492" s="46" t="str">
        <f t="shared" si="1071"/>
        <v/>
      </c>
    </row>
    <row r="2493" spans="2:24" x14ac:dyDescent="0.25">
      <c r="B2493" s="11" t="str">
        <f t="shared" si="1070"/>
        <v>LBRT-16SEP1901</v>
      </c>
      <c r="C2493" s="11" t="s">
        <v>2249</v>
      </c>
      <c r="D2493" s="11" t="s">
        <v>1699</v>
      </c>
      <c r="E2493" s="39" t="s">
        <v>716</v>
      </c>
      <c r="F2493" s="11" t="s">
        <v>1700</v>
      </c>
      <c r="G2493" s="39" t="s">
        <v>702</v>
      </c>
      <c r="J2493" s="17">
        <v>32</v>
      </c>
      <c r="K2493" s="17"/>
      <c r="L2493" s="7">
        <f t="shared" si="1074"/>
        <v>32</v>
      </c>
      <c r="M2493" s="8">
        <v>1</v>
      </c>
      <c r="N2493" s="8">
        <f t="shared" si="1068"/>
        <v>1</v>
      </c>
      <c r="O2493" s="11" t="s">
        <v>1702</v>
      </c>
      <c r="P2493" s="16" t="str">
        <f t="shared" si="1075"/>
        <v>16-Sep-1901</v>
      </c>
      <c r="R2493" s="16" t="str">
        <f t="shared" si="1076"/>
        <v>x</v>
      </c>
      <c r="S2493" s="16" t="str">
        <f t="shared" si="1076"/>
        <v>x</v>
      </c>
      <c r="T2493" s="11"/>
      <c r="U2493" s="46" t="str">
        <f t="shared" si="1071"/>
        <v/>
      </c>
      <c r="V2493" s="46">
        <f t="shared" si="1071"/>
        <v>32</v>
      </c>
      <c r="W2493" s="46" t="str">
        <f t="shared" si="1071"/>
        <v/>
      </c>
      <c r="X2493" s="46" t="str">
        <f t="shared" si="1071"/>
        <v/>
      </c>
    </row>
    <row r="2494" spans="2:24" x14ac:dyDescent="0.25">
      <c r="B2494" s="11" t="str">
        <f t="shared" si="1070"/>
        <v>LBRT-13OCT1901</v>
      </c>
      <c r="C2494" s="11" t="s">
        <v>2249</v>
      </c>
      <c r="D2494" s="11" t="s">
        <v>1699</v>
      </c>
      <c r="E2494" s="39" t="s">
        <v>718</v>
      </c>
      <c r="F2494" s="11" t="s">
        <v>1700</v>
      </c>
      <c r="G2494" s="39" t="s">
        <v>717</v>
      </c>
      <c r="J2494" s="17">
        <v>3</v>
      </c>
      <c r="K2494" s="17"/>
      <c r="L2494" s="7">
        <f t="shared" si="1074"/>
        <v>3</v>
      </c>
      <c r="M2494" s="8">
        <v>1</v>
      </c>
      <c r="N2494" s="8">
        <f t="shared" si="1068"/>
        <v>1</v>
      </c>
      <c r="O2494" s="11" t="s">
        <v>1702</v>
      </c>
      <c r="P2494" s="16" t="str">
        <f t="shared" si="1075"/>
        <v>13-Oct-1901</v>
      </c>
      <c r="R2494" s="16" t="str">
        <f t="shared" si="1076"/>
        <v>x</v>
      </c>
      <c r="S2494" s="16" t="str">
        <f t="shared" si="1076"/>
        <v>x</v>
      </c>
      <c r="T2494" s="11"/>
      <c r="U2494" s="46" t="str">
        <f t="shared" si="1071"/>
        <v/>
      </c>
      <c r="V2494" s="46">
        <f t="shared" si="1071"/>
        <v>3</v>
      </c>
      <c r="W2494" s="46" t="str">
        <f t="shared" si="1071"/>
        <v/>
      </c>
      <c r="X2494" s="46" t="str">
        <f t="shared" si="1071"/>
        <v/>
      </c>
    </row>
    <row r="2495" spans="2:24" x14ac:dyDescent="0.25">
      <c r="B2495" s="11" t="str">
        <f t="shared" si="1070"/>
        <v>LBRT-17NOV1901</v>
      </c>
      <c r="C2495" s="11" t="s">
        <v>2249</v>
      </c>
      <c r="D2495" s="11" t="s">
        <v>1699</v>
      </c>
      <c r="E2495" s="39" t="s">
        <v>719</v>
      </c>
      <c r="F2495" s="11" t="s">
        <v>1700</v>
      </c>
      <c r="G2495" s="39" t="s">
        <v>703</v>
      </c>
      <c r="J2495" s="17">
        <v>21</v>
      </c>
      <c r="K2495" s="17"/>
      <c r="L2495" s="7">
        <f t="shared" si="1074"/>
        <v>21</v>
      </c>
      <c r="M2495" s="8">
        <v>1</v>
      </c>
      <c r="N2495" s="8">
        <f t="shared" si="1068"/>
        <v>1</v>
      </c>
      <c r="O2495" s="11" t="s">
        <v>1702</v>
      </c>
      <c r="P2495" s="16" t="str">
        <f t="shared" si="1075"/>
        <v>17-Nov-1901</v>
      </c>
      <c r="R2495" s="16" t="str">
        <f t="shared" si="1076"/>
        <v>x</v>
      </c>
      <c r="S2495" s="16" t="str">
        <f t="shared" si="1076"/>
        <v>x</v>
      </c>
      <c r="T2495" s="11"/>
      <c r="U2495" s="46" t="str">
        <f t="shared" si="1071"/>
        <v/>
      </c>
      <c r="V2495" s="46">
        <f t="shared" si="1071"/>
        <v>21</v>
      </c>
      <c r="W2495" s="46" t="str">
        <f t="shared" si="1071"/>
        <v/>
      </c>
      <c r="X2495" s="46" t="str">
        <f t="shared" si="1071"/>
        <v/>
      </c>
    </row>
    <row r="2496" spans="2:24" x14ac:dyDescent="0.25">
      <c r="B2496" s="11" t="str">
        <f t="shared" si="1070"/>
        <v>LBRT-15DEC1901</v>
      </c>
      <c r="C2496" s="11" t="s">
        <v>2249</v>
      </c>
      <c r="D2496" s="11" t="s">
        <v>1699</v>
      </c>
      <c r="E2496" s="39" t="s">
        <v>720</v>
      </c>
      <c r="F2496" s="11" t="s">
        <v>1700</v>
      </c>
      <c r="G2496" s="39" t="s">
        <v>721</v>
      </c>
      <c r="J2496" s="17">
        <v>4</v>
      </c>
      <c r="K2496" s="17"/>
      <c r="L2496" s="7">
        <f t="shared" si="1074"/>
        <v>4</v>
      </c>
      <c r="M2496" s="8">
        <v>1</v>
      </c>
      <c r="N2496" s="8">
        <f t="shared" si="1068"/>
        <v>1</v>
      </c>
      <c r="O2496" s="11" t="s">
        <v>1702</v>
      </c>
      <c r="P2496" s="16" t="str">
        <f t="shared" si="1075"/>
        <v>15-Dec-1901</v>
      </c>
      <c r="R2496" s="16" t="str">
        <f t="shared" si="1076"/>
        <v>x</v>
      </c>
      <c r="S2496" s="16" t="str">
        <f t="shared" si="1076"/>
        <v>x</v>
      </c>
      <c r="T2496" s="11"/>
      <c r="U2496" s="46" t="str">
        <f t="shared" si="1071"/>
        <v/>
      </c>
      <c r="V2496" s="46">
        <f t="shared" si="1071"/>
        <v>4</v>
      </c>
      <c r="W2496" s="46" t="str">
        <f t="shared" si="1071"/>
        <v/>
      </c>
      <c r="X2496" s="46" t="str">
        <f t="shared" si="1071"/>
        <v/>
      </c>
    </row>
    <row r="2497" spans="2:24" x14ac:dyDescent="0.25">
      <c r="B2497" s="11" t="str">
        <f t="shared" si="1070"/>
        <v>LBRT-02MAR1902</v>
      </c>
      <c r="C2497" s="11" t="s">
        <v>2249</v>
      </c>
      <c r="D2497" s="11" t="s">
        <v>1699</v>
      </c>
      <c r="E2497" s="39" t="s">
        <v>724</v>
      </c>
      <c r="F2497" s="11" t="s">
        <v>1700</v>
      </c>
      <c r="G2497" s="39" t="s">
        <v>725</v>
      </c>
      <c r="J2497" s="17">
        <v>13</v>
      </c>
      <c r="K2497" s="17"/>
      <c r="L2497" s="7">
        <f t="shared" si="1074"/>
        <v>13</v>
      </c>
      <c r="M2497" s="8">
        <v>1</v>
      </c>
      <c r="N2497" s="8">
        <f t="shared" si="1068"/>
        <v>1</v>
      </c>
      <c r="O2497" s="11" t="s">
        <v>1702</v>
      </c>
      <c r="P2497" s="16" t="str">
        <f t="shared" si="1075"/>
        <v>02-Mar-1902</v>
      </c>
      <c r="R2497" s="16" t="str">
        <f t="shared" si="1076"/>
        <v>x</v>
      </c>
      <c r="S2497" s="16" t="str">
        <f t="shared" si="1076"/>
        <v>x</v>
      </c>
      <c r="T2497" s="11"/>
      <c r="U2497" s="46" t="str">
        <f t="shared" si="1071"/>
        <v/>
      </c>
      <c r="V2497" s="46">
        <f t="shared" si="1071"/>
        <v>13</v>
      </c>
      <c r="W2497" s="46" t="str">
        <f t="shared" si="1071"/>
        <v/>
      </c>
      <c r="X2497" s="46" t="str">
        <f t="shared" si="1071"/>
        <v/>
      </c>
    </row>
    <row r="2498" spans="2:24" x14ac:dyDescent="0.25">
      <c r="B2498" s="11" t="str">
        <f t="shared" si="1070"/>
        <v>LBRT-01APR1902</v>
      </c>
      <c r="C2498" s="11" t="s">
        <v>2249</v>
      </c>
      <c r="D2498" s="11" t="s">
        <v>1699</v>
      </c>
      <c r="E2498" s="39" t="s">
        <v>726</v>
      </c>
      <c r="F2498" s="11" t="s">
        <v>1700</v>
      </c>
      <c r="G2498" s="39" t="s">
        <v>722</v>
      </c>
      <c r="J2498" s="17">
        <v>2</v>
      </c>
      <c r="K2498" s="17"/>
      <c r="L2498" s="7">
        <f t="shared" ref="L2498:L2514" si="1077">SUM(H2498:K2498)</f>
        <v>2</v>
      </c>
      <c r="M2498" s="8">
        <v>1</v>
      </c>
      <c r="N2498" s="8">
        <f t="shared" ref="N2498:N2514" si="1078">IF(L2498&gt;0,1,"")</f>
        <v>1</v>
      </c>
      <c r="O2498" s="11" t="s">
        <v>1702</v>
      </c>
      <c r="P2498" s="16" t="str">
        <f t="shared" ref="P2498:P2514" si="1079">IF(LEN(G2498)=10,CONCATENATE("0",G2498),G2498)</f>
        <v>01-Apr-1902</v>
      </c>
      <c r="R2498" s="16" t="str">
        <f t="shared" si="1076"/>
        <v>x</v>
      </c>
      <c r="S2498" s="16" t="str">
        <f t="shared" si="1076"/>
        <v>x</v>
      </c>
      <c r="T2498" s="11"/>
      <c r="U2498" s="46" t="str">
        <f t="shared" si="1071"/>
        <v/>
      </c>
      <c r="V2498" s="46">
        <f t="shared" si="1071"/>
        <v>2</v>
      </c>
      <c r="W2498" s="46" t="str">
        <f t="shared" si="1071"/>
        <v/>
      </c>
      <c r="X2498" s="46" t="str">
        <f t="shared" si="1071"/>
        <v/>
      </c>
    </row>
    <row r="2499" spans="2:24" x14ac:dyDescent="0.25">
      <c r="B2499" s="11" t="str">
        <f t="shared" si="1070"/>
        <v>LBRT-04MAY1902</v>
      </c>
      <c r="C2499" s="11" t="s">
        <v>2249</v>
      </c>
      <c r="D2499" s="11" t="s">
        <v>1699</v>
      </c>
      <c r="E2499" s="39" t="s">
        <v>727</v>
      </c>
      <c r="F2499" s="11" t="s">
        <v>1700</v>
      </c>
      <c r="G2499" s="39" t="s">
        <v>728</v>
      </c>
      <c r="J2499" s="17">
        <v>0</v>
      </c>
      <c r="K2499" s="17"/>
      <c r="L2499" s="7">
        <f t="shared" si="1077"/>
        <v>0</v>
      </c>
      <c r="M2499" s="8">
        <v>1</v>
      </c>
      <c r="N2499" s="8" t="str">
        <f t="shared" si="1078"/>
        <v/>
      </c>
      <c r="O2499" s="11" t="s">
        <v>1702</v>
      </c>
      <c r="P2499" s="16" t="str">
        <f t="shared" si="1079"/>
        <v>04-May-1902</v>
      </c>
      <c r="R2499" s="16" t="str">
        <f t="shared" si="1076"/>
        <v/>
      </c>
      <c r="S2499" s="16" t="str">
        <f t="shared" si="1076"/>
        <v/>
      </c>
      <c r="T2499" s="11"/>
      <c r="U2499" s="46" t="str">
        <f t="shared" si="1071"/>
        <v/>
      </c>
      <c r="V2499" s="46">
        <f t="shared" si="1071"/>
        <v>0</v>
      </c>
      <c r="W2499" s="46" t="str">
        <f t="shared" si="1071"/>
        <v/>
      </c>
      <c r="X2499" s="46" t="str">
        <f t="shared" si="1071"/>
        <v/>
      </c>
    </row>
    <row r="2500" spans="2:24" x14ac:dyDescent="0.25">
      <c r="B2500" s="11" t="str">
        <f t="shared" si="1070"/>
        <v>LBRT-29JUN1902</v>
      </c>
      <c r="C2500" s="11" t="s">
        <v>2249</v>
      </c>
      <c r="D2500" s="11" t="s">
        <v>1699</v>
      </c>
      <c r="E2500" s="39" t="s">
        <v>730</v>
      </c>
      <c r="F2500" s="11" t="s">
        <v>1700</v>
      </c>
      <c r="G2500" s="39" t="s">
        <v>729</v>
      </c>
      <c r="J2500" s="17">
        <v>7</v>
      </c>
      <c r="K2500" s="17"/>
      <c r="L2500" s="7">
        <f t="shared" si="1077"/>
        <v>7</v>
      </c>
      <c r="M2500" s="8">
        <v>1</v>
      </c>
      <c r="N2500" s="8">
        <f t="shared" si="1078"/>
        <v>1</v>
      </c>
      <c r="O2500" s="11" t="s">
        <v>1702</v>
      </c>
      <c r="P2500" s="16" t="str">
        <f t="shared" si="1079"/>
        <v>29-Jun-1902</v>
      </c>
      <c r="R2500" s="16" t="str">
        <f t="shared" si="1076"/>
        <v>x</v>
      </c>
      <c r="S2500" s="16" t="str">
        <f t="shared" si="1076"/>
        <v>x</v>
      </c>
      <c r="T2500" s="11"/>
      <c r="U2500" s="46" t="str">
        <f t="shared" si="1071"/>
        <v/>
      </c>
      <c r="V2500" s="46">
        <f t="shared" si="1071"/>
        <v>7</v>
      </c>
      <c r="W2500" s="46" t="str">
        <f t="shared" si="1071"/>
        <v/>
      </c>
      <c r="X2500" s="46" t="str">
        <f t="shared" si="1071"/>
        <v/>
      </c>
    </row>
    <row r="2501" spans="2:24" x14ac:dyDescent="0.25">
      <c r="B2501" s="11" t="str">
        <f t="shared" si="1070"/>
        <v>LBRT-03AUG1902</v>
      </c>
      <c r="C2501" s="11" t="s">
        <v>2249</v>
      </c>
      <c r="D2501" s="11" t="s">
        <v>1699</v>
      </c>
      <c r="E2501" s="39" t="s">
        <v>731</v>
      </c>
      <c r="F2501" s="11" t="s">
        <v>1700</v>
      </c>
      <c r="G2501" s="39" t="s">
        <v>732</v>
      </c>
      <c r="J2501" s="17">
        <v>11</v>
      </c>
      <c r="K2501" s="17"/>
      <c r="L2501" s="7">
        <f t="shared" si="1077"/>
        <v>11</v>
      </c>
      <c r="M2501" s="8">
        <v>1</v>
      </c>
      <c r="N2501" s="8">
        <f t="shared" si="1078"/>
        <v>1</v>
      </c>
      <c r="O2501" s="11" t="s">
        <v>1702</v>
      </c>
      <c r="P2501" s="16" t="str">
        <f t="shared" si="1079"/>
        <v>03-Aug-1902</v>
      </c>
      <c r="R2501" s="16" t="str">
        <f t="shared" si="1076"/>
        <v>x</v>
      </c>
      <c r="S2501" s="16" t="str">
        <f t="shared" si="1076"/>
        <v>x</v>
      </c>
      <c r="T2501" s="11"/>
      <c r="U2501" s="46" t="str">
        <f t="shared" si="1071"/>
        <v/>
      </c>
      <c r="V2501" s="46">
        <f t="shared" si="1071"/>
        <v>11</v>
      </c>
      <c r="W2501" s="46" t="str">
        <f t="shared" si="1071"/>
        <v/>
      </c>
      <c r="X2501" s="46" t="str">
        <f t="shared" si="1071"/>
        <v/>
      </c>
    </row>
    <row r="2502" spans="2:24" x14ac:dyDescent="0.25">
      <c r="B2502" s="11" t="str">
        <f t="shared" si="1070"/>
        <v>LBRT-07SEP1902</v>
      </c>
      <c r="C2502" s="11" t="s">
        <v>2249</v>
      </c>
      <c r="D2502" s="11" t="s">
        <v>1699</v>
      </c>
      <c r="E2502" s="39" t="s">
        <v>733</v>
      </c>
      <c r="F2502" s="11" t="s">
        <v>1700</v>
      </c>
      <c r="G2502" s="39" t="s">
        <v>723</v>
      </c>
      <c r="J2502" s="17">
        <v>6</v>
      </c>
      <c r="K2502" s="17"/>
      <c r="L2502" s="7">
        <f t="shared" si="1077"/>
        <v>6</v>
      </c>
      <c r="M2502" s="8">
        <v>1</v>
      </c>
      <c r="N2502" s="8">
        <f t="shared" si="1078"/>
        <v>1</v>
      </c>
      <c r="O2502" s="11" t="s">
        <v>1702</v>
      </c>
      <c r="P2502" s="16" t="str">
        <f t="shared" si="1079"/>
        <v>07-Sep-1902</v>
      </c>
      <c r="R2502" s="16" t="str">
        <f t="shared" si="1076"/>
        <v>x</v>
      </c>
      <c r="S2502" s="16" t="str">
        <f t="shared" si="1076"/>
        <v>x</v>
      </c>
      <c r="T2502" s="11"/>
      <c r="U2502" s="46" t="str">
        <f t="shared" si="1071"/>
        <v/>
      </c>
      <c r="V2502" s="46">
        <f t="shared" si="1071"/>
        <v>6</v>
      </c>
      <c r="W2502" s="46" t="str">
        <f t="shared" si="1071"/>
        <v/>
      </c>
      <c r="X2502" s="46" t="str">
        <f t="shared" si="1071"/>
        <v/>
      </c>
    </row>
    <row r="2503" spans="2:24" x14ac:dyDescent="0.25">
      <c r="B2503" s="11" t="str">
        <f t="shared" si="1070"/>
        <v>LBRT-12JAN1903</v>
      </c>
      <c r="C2503" s="11" t="s">
        <v>2249</v>
      </c>
      <c r="D2503" s="11" t="s">
        <v>1699</v>
      </c>
      <c r="E2503" s="39" t="s">
        <v>743</v>
      </c>
      <c r="F2503" s="11" t="s">
        <v>1700</v>
      </c>
      <c r="G2503" s="39" t="s">
        <v>734</v>
      </c>
      <c r="J2503" s="17">
        <v>17</v>
      </c>
      <c r="K2503" s="17"/>
      <c r="L2503" s="7">
        <f t="shared" si="1077"/>
        <v>17</v>
      </c>
      <c r="M2503" s="8">
        <v>1</v>
      </c>
      <c r="N2503" s="8">
        <f t="shared" si="1078"/>
        <v>1</v>
      </c>
      <c r="O2503" s="11" t="s">
        <v>1702</v>
      </c>
      <c r="P2503" s="16" t="str">
        <f t="shared" si="1079"/>
        <v>12-Jan-1903</v>
      </c>
      <c r="R2503" s="16" t="str">
        <f t="shared" si="1076"/>
        <v>x</v>
      </c>
      <c r="S2503" s="16" t="str">
        <f t="shared" si="1076"/>
        <v>x</v>
      </c>
      <c r="T2503" s="11"/>
      <c r="U2503" s="46" t="str">
        <f t="shared" si="1071"/>
        <v/>
      </c>
      <c r="V2503" s="46">
        <f t="shared" si="1071"/>
        <v>17</v>
      </c>
      <c r="W2503" s="46" t="str">
        <f t="shared" si="1071"/>
        <v/>
      </c>
      <c r="X2503" s="46" t="str">
        <f t="shared" si="1071"/>
        <v/>
      </c>
    </row>
    <row r="2504" spans="2:24" x14ac:dyDescent="0.25">
      <c r="B2504" s="11" t="str">
        <f t="shared" si="1070"/>
        <v>LBRT-09FEB1903</v>
      </c>
      <c r="C2504" s="11" t="s">
        <v>2249</v>
      </c>
      <c r="D2504" s="11" t="s">
        <v>1699</v>
      </c>
      <c r="E2504" s="39" t="s">
        <v>745</v>
      </c>
      <c r="F2504" s="11" t="s">
        <v>1700</v>
      </c>
      <c r="G2504" s="39" t="s">
        <v>744</v>
      </c>
      <c r="J2504" s="17">
        <v>1</v>
      </c>
      <c r="K2504" s="17"/>
      <c r="L2504" s="7">
        <f t="shared" si="1077"/>
        <v>1</v>
      </c>
      <c r="M2504" s="8">
        <v>1</v>
      </c>
      <c r="N2504" s="8">
        <f t="shared" si="1078"/>
        <v>1</v>
      </c>
      <c r="O2504" s="11" t="s">
        <v>1702</v>
      </c>
      <c r="P2504" s="16" t="str">
        <f t="shared" si="1079"/>
        <v>09-Feb-1903</v>
      </c>
      <c r="R2504" s="16" t="str">
        <f t="shared" si="1076"/>
        <v>x</v>
      </c>
      <c r="S2504" s="16" t="str">
        <f t="shared" si="1076"/>
        <v>x</v>
      </c>
      <c r="T2504" s="11"/>
      <c r="U2504" s="46" t="str">
        <f t="shared" si="1071"/>
        <v/>
      </c>
      <c r="V2504" s="46">
        <f t="shared" si="1071"/>
        <v>1</v>
      </c>
      <c r="W2504" s="46" t="str">
        <f t="shared" si="1071"/>
        <v/>
      </c>
      <c r="X2504" s="46" t="str">
        <f t="shared" si="1071"/>
        <v/>
      </c>
    </row>
    <row r="2505" spans="2:24" x14ac:dyDescent="0.25">
      <c r="B2505" s="11" t="str">
        <f t="shared" si="1070"/>
        <v>LBRT-10MAR1903</v>
      </c>
      <c r="C2505" s="11" t="s">
        <v>2249</v>
      </c>
      <c r="D2505" s="11" t="s">
        <v>1699</v>
      </c>
      <c r="E2505" s="39" t="s">
        <v>746</v>
      </c>
      <c r="F2505" s="11" t="s">
        <v>1700</v>
      </c>
      <c r="G2505" s="39" t="s">
        <v>747</v>
      </c>
      <c r="J2505" s="17">
        <v>4</v>
      </c>
      <c r="K2505" s="17"/>
      <c r="L2505" s="7">
        <f t="shared" si="1077"/>
        <v>4</v>
      </c>
      <c r="M2505" s="8">
        <v>1</v>
      </c>
      <c r="N2505" s="8">
        <f t="shared" si="1078"/>
        <v>1</v>
      </c>
      <c r="O2505" s="11" t="s">
        <v>1702</v>
      </c>
      <c r="P2505" s="16" t="str">
        <f t="shared" si="1079"/>
        <v>10-Mar-1903</v>
      </c>
      <c r="R2505" s="16" t="str">
        <f t="shared" si="1076"/>
        <v>x</v>
      </c>
      <c r="S2505" s="16" t="str">
        <f t="shared" si="1076"/>
        <v>x</v>
      </c>
      <c r="T2505" s="11"/>
      <c r="U2505" s="46" t="str">
        <f t="shared" si="1071"/>
        <v/>
      </c>
      <c r="V2505" s="46">
        <f t="shared" si="1071"/>
        <v>4</v>
      </c>
      <c r="W2505" s="46" t="str">
        <f t="shared" si="1071"/>
        <v/>
      </c>
      <c r="X2505" s="46" t="str">
        <f t="shared" si="1071"/>
        <v/>
      </c>
    </row>
    <row r="2506" spans="2:24" x14ac:dyDescent="0.25">
      <c r="B2506" s="11" t="str">
        <f t="shared" si="1070"/>
        <v>LBRT-04APR1903</v>
      </c>
      <c r="C2506" s="11" t="s">
        <v>2249</v>
      </c>
      <c r="D2506" s="11" t="s">
        <v>1699</v>
      </c>
      <c r="E2506" s="39" t="s">
        <v>748</v>
      </c>
      <c r="F2506" s="11" t="s">
        <v>1700</v>
      </c>
      <c r="G2506" s="39" t="s">
        <v>735</v>
      </c>
      <c r="J2506" s="17">
        <v>3</v>
      </c>
      <c r="K2506" s="17"/>
      <c r="L2506" s="7">
        <f t="shared" ref="L2506:L2511" si="1080">SUM(H2506:K2506)</f>
        <v>3</v>
      </c>
      <c r="M2506" s="8">
        <v>1</v>
      </c>
      <c r="N2506" s="8">
        <f t="shared" ref="N2506:N2511" si="1081">IF(L2506&gt;0,1,"")</f>
        <v>1</v>
      </c>
      <c r="O2506" s="11" t="s">
        <v>1702</v>
      </c>
      <c r="P2506" s="16" t="str">
        <f t="shared" ref="P2506:P2511" si="1082">IF(LEN(G2506)=10,CONCATENATE("0",G2506),G2506)</f>
        <v>04-Apr-1903</v>
      </c>
      <c r="R2506" s="16" t="str">
        <f t="shared" si="1076"/>
        <v>x</v>
      </c>
      <c r="S2506" s="16" t="str">
        <f t="shared" si="1076"/>
        <v>x</v>
      </c>
      <c r="T2506" s="11"/>
      <c r="U2506" s="46" t="str">
        <f t="shared" si="1071"/>
        <v/>
      </c>
      <c r="V2506" s="46">
        <f t="shared" si="1071"/>
        <v>3</v>
      </c>
      <c r="W2506" s="46" t="str">
        <f t="shared" si="1071"/>
        <v/>
      </c>
      <c r="X2506" s="46" t="str">
        <f t="shared" si="1071"/>
        <v/>
      </c>
    </row>
    <row r="2507" spans="2:24" x14ac:dyDescent="0.25">
      <c r="B2507" s="11" t="str">
        <f t="shared" si="1070"/>
        <v>LBRT-10MAY1903</v>
      </c>
      <c r="C2507" s="11" t="s">
        <v>2249</v>
      </c>
      <c r="D2507" s="11" t="s">
        <v>1699</v>
      </c>
      <c r="E2507" s="39" t="s">
        <v>750</v>
      </c>
      <c r="F2507" s="11" t="s">
        <v>1700</v>
      </c>
      <c r="G2507" s="39" t="s">
        <v>749</v>
      </c>
      <c r="J2507" s="17">
        <v>0</v>
      </c>
      <c r="K2507" s="17"/>
      <c r="L2507" s="7">
        <f t="shared" si="1080"/>
        <v>0</v>
      </c>
      <c r="M2507" s="8">
        <v>1</v>
      </c>
      <c r="N2507" s="8" t="str">
        <f t="shared" si="1081"/>
        <v/>
      </c>
      <c r="O2507" s="11" t="s">
        <v>1702</v>
      </c>
      <c r="P2507" s="16" t="str">
        <f t="shared" si="1082"/>
        <v>10-May-1903</v>
      </c>
      <c r="R2507" s="16" t="str">
        <f t="shared" si="1076"/>
        <v/>
      </c>
      <c r="S2507" s="16" t="str">
        <f t="shared" si="1076"/>
        <v/>
      </c>
      <c r="T2507" s="11"/>
      <c r="U2507" s="46" t="str">
        <f t="shared" si="1071"/>
        <v/>
      </c>
      <c r="V2507" s="46">
        <f t="shared" si="1071"/>
        <v>0</v>
      </c>
      <c r="W2507" s="46" t="str">
        <f t="shared" si="1071"/>
        <v/>
      </c>
      <c r="X2507" s="46" t="str">
        <f t="shared" si="1071"/>
        <v/>
      </c>
    </row>
    <row r="2508" spans="2:24" x14ac:dyDescent="0.25">
      <c r="B2508" s="11" t="str">
        <f t="shared" si="1070"/>
        <v>LBRT-07JUN1903</v>
      </c>
      <c r="C2508" s="11" t="s">
        <v>2249</v>
      </c>
      <c r="D2508" s="11" t="s">
        <v>1699</v>
      </c>
      <c r="E2508" s="39" t="s">
        <v>751</v>
      </c>
      <c r="F2508" s="11" t="s">
        <v>1700</v>
      </c>
      <c r="G2508" s="39" t="s">
        <v>736</v>
      </c>
      <c r="H2508" s="7">
        <v>0</v>
      </c>
      <c r="I2508" s="7">
        <v>1</v>
      </c>
      <c r="J2508" s="17">
        <v>23</v>
      </c>
      <c r="K2508" s="17"/>
      <c r="L2508" s="7">
        <f t="shared" si="1080"/>
        <v>24</v>
      </c>
      <c r="M2508" s="8">
        <v>1</v>
      </c>
      <c r="N2508" s="8">
        <f t="shared" si="1081"/>
        <v>1</v>
      </c>
      <c r="O2508" s="11" t="s">
        <v>1702</v>
      </c>
      <c r="P2508" s="16" t="str">
        <f t="shared" si="1082"/>
        <v>07-Jun-1903</v>
      </c>
      <c r="R2508" s="16" t="str">
        <f t="shared" si="1076"/>
        <v>x</v>
      </c>
      <c r="S2508" s="16" t="str">
        <f t="shared" si="1076"/>
        <v>x</v>
      </c>
      <c r="T2508" s="11"/>
      <c r="U2508" s="46" t="str">
        <f t="shared" si="1071"/>
        <v/>
      </c>
      <c r="V2508" s="46">
        <f t="shared" si="1071"/>
        <v>24</v>
      </c>
      <c r="W2508" s="46" t="str">
        <f t="shared" si="1071"/>
        <v/>
      </c>
      <c r="X2508" s="46" t="str">
        <f t="shared" si="1071"/>
        <v/>
      </c>
    </row>
    <row r="2509" spans="2:24" x14ac:dyDescent="0.25">
      <c r="B2509" s="11" t="str">
        <f t="shared" si="1070"/>
        <v>LBRT-27JUL1903</v>
      </c>
      <c r="C2509" s="11" t="s">
        <v>2249</v>
      </c>
      <c r="D2509" s="11" t="s">
        <v>1699</v>
      </c>
      <c r="E2509" s="39" t="s">
        <v>752</v>
      </c>
      <c r="F2509" s="11" t="s">
        <v>1700</v>
      </c>
      <c r="G2509" s="39" t="s">
        <v>737</v>
      </c>
      <c r="H2509" s="7">
        <v>0</v>
      </c>
      <c r="I2509" s="7">
        <v>3</v>
      </c>
      <c r="J2509" s="17">
        <f>31+3</f>
        <v>34</v>
      </c>
      <c r="K2509" s="17"/>
      <c r="L2509" s="7">
        <f t="shared" si="1080"/>
        <v>37</v>
      </c>
      <c r="M2509" s="8">
        <v>1</v>
      </c>
      <c r="N2509" s="8">
        <f t="shared" si="1081"/>
        <v>1</v>
      </c>
      <c r="O2509" s="11" t="s">
        <v>1702</v>
      </c>
      <c r="P2509" s="16" t="str">
        <f t="shared" si="1082"/>
        <v>27-Jul-1903</v>
      </c>
      <c r="R2509" s="16" t="str">
        <f t="shared" si="1076"/>
        <v>x</v>
      </c>
      <c r="S2509" s="16" t="str">
        <f t="shared" si="1076"/>
        <v>x</v>
      </c>
      <c r="T2509" s="11"/>
      <c r="U2509" s="46" t="str">
        <f t="shared" si="1071"/>
        <v/>
      </c>
      <c r="V2509" s="46">
        <f t="shared" si="1071"/>
        <v>37</v>
      </c>
      <c r="W2509" s="46" t="str">
        <f t="shared" si="1071"/>
        <v/>
      </c>
      <c r="X2509" s="46" t="str">
        <f t="shared" si="1071"/>
        <v/>
      </c>
    </row>
    <row r="2510" spans="2:24" x14ac:dyDescent="0.25">
      <c r="B2510" s="11" t="str">
        <f t="shared" si="1070"/>
        <v>LBRT-24AUG1903</v>
      </c>
      <c r="C2510" s="11" t="s">
        <v>2249</v>
      </c>
      <c r="D2510" s="11" t="s">
        <v>1699</v>
      </c>
      <c r="E2510" s="39" t="s">
        <v>753</v>
      </c>
      <c r="F2510" s="11" t="s">
        <v>1700</v>
      </c>
      <c r="G2510" s="39" t="s">
        <v>738</v>
      </c>
      <c r="H2510" s="7">
        <v>0</v>
      </c>
      <c r="I2510" s="7">
        <v>2</v>
      </c>
      <c r="J2510" s="17">
        <v>12</v>
      </c>
      <c r="K2510" s="17"/>
      <c r="L2510" s="7">
        <f t="shared" si="1080"/>
        <v>14</v>
      </c>
      <c r="M2510" s="8">
        <v>1</v>
      </c>
      <c r="N2510" s="8">
        <f t="shared" si="1081"/>
        <v>1</v>
      </c>
      <c r="O2510" s="11" t="s">
        <v>1702</v>
      </c>
      <c r="P2510" s="16" t="str">
        <f t="shared" si="1082"/>
        <v>24-Aug-1903</v>
      </c>
      <c r="R2510" s="16" t="str">
        <f t="shared" si="1076"/>
        <v>x</v>
      </c>
      <c r="S2510" s="16" t="str">
        <f t="shared" si="1076"/>
        <v>x</v>
      </c>
      <c r="T2510" s="11"/>
      <c r="U2510" s="46" t="str">
        <f t="shared" si="1071"/>
        <v/>
      </c>
      <c r="V2510" s="46">
        <f t="shared" si="1071"/>
        <v>14</v>
      </c>
      <c r="W2510" s="46" t="str">
        <f t="shared" si="1071"/>
        <v/>
      </c>
      <c r="X2510" s="46" t="str">
        <f t="shared" si="1071"/>
        <v/>
      </c>
    </row>
    <row r="2511" spans="2:24" x14ac:dyDescent="0.25">
      <c r="B2511" s="11" t="str">
        <f t="shared" si="1070"/>
        <v>LBRT-21SEP1903</v>
      </c>
      <c r="C2511" s="11" t="s">
        <v>2249</v>
      </c>
      <c r="D2511" s="11" t="s">
        <v>1699</v>
      </c>
      <c r="E2511" s="39" t="s">
        <v>755</v>
      </c>
      <c r="F2511" s="11" t="s">
        <v>1700</v>
      </c>
      <c r="G2511" s="39" t="s">
        <v>739</v>
      </c>
      <c r="H2511" s="7">
        <v>0</v>
      </c>
      <c r="I2511" s="7">
        <v>0</v>
      </c>
      <c r="J2511" s="17">
        <v>19</v>
      </c>
      <c r="K2511" s="17"/>
      <c r="L2511" s="7">
        <f t="shared" si="1080"/>
        <v>19</v>
      </c>
      <c r="M2511" s="8">
        <v>1</v>
      </c>
      <c r="N2511" s="8">
        <f t="shared" si="1081"/>
        <v>1</v>
      </c>
      <c r="O2511" s="11" t="s">
        <v>1702</v>
      </c>
      <c r="P2511" s="16" t="str">
        <f t="shared" si="1082"/>
        <v>21-Sep-1903</v>
      </c>
      <c r="R2511" s="16" t="str">
        <f t="shared" si="1076"/>
        <v>x</v>
      </c>
      <c r="S2511" s="16" t="str">
        <f t="shared" si="1076"/>
        <v>x</v>
      </c>
      <c r="T2511" s="11"/>
      <c r="U2511" s="46" t="str">
        <f t="shared" si="1071"/>
        <v/>
      </c>
      <c r="V2511" s="46">
        <f t="shared" si="1071"/>
        <v>19</v>
      </c>
      <c r="W2511" s="46" t="str">
        <f t="shared" si="1071"/>
        <v/>
      </c>
      <c r="X2511" s="46" t="str">
        <f t="shared" si="1071"/>
        <v/>
      </c>
    </row>
    <row r="2512" spans="2:24" x14ac:dyDescent="0.25">
      <c r="B2512" s="11" t="str">
        <f t="shared" si="1070"/>
        <v>LBRT-19OCT1903</v>
      </c>
      <c r="C2512" s="11" t="s">
        <v>2249</v>
      </c>
      <c r="D2512" s="11" t="s">
        <v>1699</v>
      </c>
      <c r="E2512" s="39" t="s">
        <v>756</v>
      </c>
      <c r="F2512" s="11" t="s">
        <v>1700</v>
      </c>
      <c r="G2512" s="39" t="s">
        <v>740</v>
      </c>
      <c r="H2512" s="7">
        <v>0</v>
      </c>
      <c r="I2512" s="7">
        <v>0</v>
      </c>
      <c r="J2512" s="17">
        <v>8</v>
      </c>
      <c r="K2512" s="17"/>
      <c r="L2512" s="7">
        <f t="shared" si="1077"/>
        <v>8</v>
      </c>
      <c r="M2512" s="8">
        <v>1</v>
      </c>
      <c r="N2512" s="8">
        <f t="shared" si="1078"/>
        <v>1</v>
      </c>
      <c r="O2512" s="11" t="s">
        <v>1702</v>
      </c>
      <c r="P2512" s="16" t="str">
        <f t="shared" si="1079"/>
        <v>19-Oct-1903</v>
      </c>
      <c r="R2512" s="16" t="str">
        <f t="shared" si="1076"/>
        <v>x</v>
      </c>
      <c r="S2512" s="16" t="str">
        <f t="shared" si="1076"/>
        <v>x</v>
      </c>
      <c r="T2512" s="11"/>
      <c r="U2512" s="46" t="str">
        <f t="shared" si="1071"/>
        <v/>
      </c>
      <c r="V2512" s="46">
        <f t="shared" si="1071"/>
        <v>8</v>
      </c>
      <c r="W2512" s="46" t="str">
        <f t="shared" si="1071"/>
        <v/>
      </c>
      <c r="X2512" s="46" t="str">
        <f t="shared" si="1071"/>
        <v/>
      </c>
    </row>
    <row r="2513" spans="2:24" x14ac:dyDescent="0.25">
      <c r="B2513" s="11" t="str">
        <f t="shared" si="1070"/>
        <v>LBRT-23NOV1903</v>
      </c>
      <c r="C2513" s="11" t="s">
        <v>2249</v>
      </c>
      <c r="D2513" s="11" t="s">
        <v>1699</v>
      </c>
      <c r="E2513" s="39" t="s">
        <v>757</v>
      </c>
      <c r="F2513" s="11" t="s">
        <v>1700</v>
      </c>
      <c r="G2513" s="39" t="s">
        <v>741</v>
      </c>
      <c r="H2513" s="7">
        <v>0</v>
      </c>
      <c r="I2513" s="7">
        <v>0</v>
      </c>
      <c r="J2513" s="17">
        <v>4</v>
      </c>
      <c r="K2513" s="17"/>
      <c r="L2513" s="7">
        <f t="shared" si="1077"/>
        <v>4</v>
      </c>
      <c r="M2513" s="8">
        <v>1</v>
      </c>
      <c r="N2513" s="8">
        <f t="shared" si="1078"/>
        <v>1</v>
      </c>
      <c r="O2513" s="11" t="s">
        <v>1702</v>
      </c>
      <c r="P2513" s="16" t="str">
        <f t="shared" si="1079"/>
        <v>23-Nov-1903</v>
      </c>
      <c r="R2513" s="16" t="str">
        <f t="shared" si="1076"/>
        <v>x</v>
      </c>
      <c r="S2513" s="16" t="str">
        <f t="shared" si="1076"/>
        <v>x</v>
      </c>
      <c r="T2513" s="11"/>
      <c r="U2513" s="46" t="str">
        <f t="shared" si="1071"/>
        <v/>
      </c>
      <c r="V2513" s="46">
        <f t="shared" si="1071"/>
        <v>4</v>
      </c>
      <c r="W2513" s="46" t="str">
        <f t="shared" si="1071"/>
        <v/>
      </c>
      <c r="X2513" s="46" t="str">
        <f t="shared" si="1071"/>
        <v/>
      </c>
    </row>
    <row r="2514" spans="2:24" x14ac:dyDescent="0.25">
      <c r="B2514" s="11" t="str">
        <f t="shared" si="1070"/>
        <v>LBRT-21DEC1903</v>
      </c>
      <c r="C2514" s="11" t="s">
        <v>2249</v>
      </c>
      <c r="D2514" s="11" t="s">
        <v>1699</v>
      </c>
      <c r="E2514" s="39" t="s">
        <v>758</v>
      </c>
      <c r="F2514" s="11" t="s">
        <v>1700</v>
      </c>
      <c r="G2514" s="39" t="s">
        <v>742</v>
      </c>
      <c r="H2514" s="7">
        <v>0</v>
      </c>
      <c r="I2514" s="7">
        <v>3</v>
      </c>
      <c r="J2514" s="17">
        <v>8</v>
      </c>
      <c r="K2514" s="17"/>
      <c r="L2514" s="7">
        <f t="shared" si="1077"/>
        <v>11</v>
      </c>
      <c r="M2514" s="8">
        <v>1</v>
      </c>
      <c r="N2514" s="8">
        <f t="shared" si="1078"/>
        <v>1</v>
      </c>
      <c r="O2514" s="11" t="s">
        <v>1702</v>
      </c>
      <c r="P2514" s="16" t="str">
        <f t="shared" si="1079"/>
        <v>21-Dec-1903</v>
      </c>
      <c r="R2514" s="16" t="str">
        <f t="shared" si="1076"/>
        <v>x</v>
      </c>
      <c r="S2514" s="16" t="str">
        <f t="shared" si="1076"/>
        <v>x</v>
      </c>
      <c r="T2514" s="11"/>
      <c r="U2514" s="46" t="str">
        <f t="shared" si="1071"/>
        <v/>
      </c>
      <c r="V2514" s="46">
        <f t="shared" si="1071"/>
        <v>11</v>
      </c>
      <c r="W2514" s="46" t="str">
        <f t="shared" si="1071"/>
        <v/>
      </c>
      <c r="X2514" s="46" t="str">
        <f t="shared" si="1071"/>
        <v/>
      </c>
    </row>
    <row r="2515" spans="2:24" x14ac:dyDescent="0.25">
      <c r="B2515" s="11" t="str">
        <f t="shared" ref="B2515:B2537" si="1083">CONCATENATE("LBRT","-",LEFT(P2515,2),UPPER(MID(P2515,4,3)),RIGHT(P2515,4))</f>
        <v>LBRT-18JAN1904</v>
      </c>
      <c r="C2515" s="11" t="s">
        <v>2249</v>
      </c>
      <c r="D2515" s="11" t="s">
        <v>1699</v>
      </c>
      <c r="E2515" s="39" t="s">
        <v>765</v>
      </c>
      <c r="F2515" s="11" t="s">
        <v>1700</v>
      </c>
      <c r="G2515" s="39" t="s">
        <v>759</v>
      </c>
      <c r="H2515" s="7">
        <v>0</v>
      </c>
      <c r="I2515" s="7">
        <v>1</v>
      </c>
      <c r="J2515" s="17">
        <v>19</v>
      </c>
      <c r="K2515" s="17"/>
      <c r="L2515" s="7">
        <f t="shared" ref="L2515:L2537" si="1084">SUM(H2515:K2515)</f>
        <v>20</v>
      </c>
      <c r="M2515" s="8">
        <v>1</v>
      </c>
      <c r="N2515" s="8">
        <f t="shared" ref="N2515:N2537" si="1085">IF(L2515&gt;0,1,"")</f>
        <v>1</v>
      </c>
      <c r="O2515" s="11" t="s">
        <v>1702</v>
      </c>
      <c r="P2515" s="16" t="str">
        <f t="shared" ref="P2515:P2537" si="1086">IF(LEN(G2515)=10,CONCATENATE("0",G2515),G2515)</f>
        <v>18-Jan-1904</v>
      </c>
      <c r="R2515" s="16" t="str">
        <f t="shared" si="1076"/>
        <v>x</v>
      </c>
      <c r="S2515" s="16" t="str">
        <f t="shared" si="1076"/>
        <v>x</v>
      </c>
      <c r="T2515" s="11"/>
      <c r="U2515" s="46" t="str">
        <f t="shared" si="1071"/>
        <v/>
      </c>
      <c r="V2515" s="46">
        <f t="shared" si="1071"/>
        <v>20</v>
      </c>
      <c r="W2515" s="46" t="str">
        <f t="shared" si="1071"/>
        <v/>
      </c>
      <c r="X2515" s="46" t="str">
        <f t="shared" si="1071"/>
        <v/>
      </c>
    </row>
    <row r="2516" spans="2:24" x14ac:dyDescent="0.25">
      <c r="B2516" s="11" t="str">
        <f t="shared" si="1083"/>
        <v>LBRT-15FEB1904</v>
      </c>
      <c r="C2516" s="11" t="s">
        <v>2249</v>
      </c>
      <c r="D2516" s="11" t="s">
        <v>1699</v>
      </c>
      <c r="E2516" s="39" t="s">
        <v>766</v>
      </c>
      <c r="F2516" s="11" t="s">
        <v>1700</v>
      </c>
      <c r="G2516" s="39" t="s">
        <v>760</v>
      </c>
      <c r="H2516" s="7">
        <v>0</v>
      </c>
      <c r="I2516" s="7">
        <v>0</v>
      </c>
      <c r="J2516" s="17">
        <v>1</v>
      </c>
      <c r="K2516" s="17"/>
      <c r="L2516" s="7">
        <f t="shared" si="1084"/>
        <v>1</v>
      </c>
      <c r="M2516" s="8">
        <v>1</v>
      </c>
      <c r="N2516" s="8">
        <f t="shared" si="1085"/>
        <v>1</v>
      </c>
      <c r="O2516" s="11" t="s">
        <v>1702</v>
      </c>
      <c r="P2516" s="16" t="str">
        <f t="shared" si="1086"/>
        <v>15-Feb-1904</v>
      </c>
      <c r="R2516" s="16" t="str">
        <f t="shared" ref="R2516:S2544" si="1087">IF($L2516&gt;0,"x","")</f>
        <v>x</v>
      </c>
      <c r="S2516" s="16" t="str">
        <f t="shared" si="1087"/>
        <v>x</v>
      </c>
      <c r="T2516" s="11"/>
      <c r="U2516" s="46" t="str">
        <f t="shared" si="1071"/>
        <v/>
      </c>
      <c r="V2516" s="46">
        <f t="shared" si="1071"/>
        <v>1</v>
      </c>
      <c r="W2516" s="46" t="str">
        <f t="shared" si="1071"/>
        <v/>
      </c>
      <c r="X2516" s="46" t="str">
        <f t="shared" si="1071"/>
        <v/>
      </c>
    </row>
    <row r="2517" spans="2:24" x14ac:dyDescent="0.25">
      <c r="B2517" s="11" t="str">
        <f t="shared" si="1083"/>
        <v>LBRT-14MAR1904</v>
      </c>
      <c r="C2517" s="11" t="s">
        <v>2249</v>
      </c>
      <c r="D2517" s="11" t="s">
        <v>1699</v>
      </c>
      <c r="E2517" s="39" t="s">
        <v>767</v>
      </c>
      <c r="F2517" s="11" t="s">
        <v>1700</v>
      </c>
      <c r="G2517" s="39" t="s">
        <v>768</v>
      </c>
      <c r="H2517" s="7">
        <v>0</v>
      </c>
      <c r="I2517" s="7">
        <v>0</v>
      </c>
      <c r="J2517" s="17">
        <v>6</v>
      </c>
      <c r="K2517" s="17"/>
      <c r="L2517" s="7">
        <f t="shared" si="1084"/>
        <v>6</v>
      </c>
      <c r="M2517" s="8">
        <v>1</v>
      </c>
      <c r="N2517" s="8">
        <f t="shared" si="1085"/>
        <v>1</v>
      </c>
      <c r="O2517" s="11" t="s">
        <v>1702</v>
      </c>
      <c r="P2517" s="16" t="str">
        <f t="shared" si="1086"/>
        <v>14-Mar-1904</v>
      </c>
      <c r="R2517" s="16" t="str">
        <f t="shared" si="1087"/>
        <v>x</v>
      </c>
      <c r="S2517" s="16" t="str">
        <f t="shared" si="1087"/>
        <v>x</v>
      </c>
      <c r="T2517" s="11"/>
      <c r="U2517" s="46" t="str">
        <f t="shared" si="1071"/>
        <v/>
      </c>
      <c r="V2517" s="46">
        <f t="shared" si="1071"/>
        <v>6</v>
      </c>
      <c r="W2517" s="46" t="str">
        <f t="shared" si="1071"/>
        <v/>
      </c>
      <c r="X2517" s="46" t="str">
        <f t="shared" si="1071"/>
        <v/>
      </c>
    </row>
    <row r="2518" spans="2:24" x14ac:dyDescent="0.25">
      <c r="B2518" s="11" t="str">
        <f t="shared" si="1083"/>
        <v>LBRT-18APR1904</v>
      </c>
      <c r="C2518" s="11" t="s">
        <v>2249</v>
      </c>
      <c r="D2518" s="11" t="s">
        <v>1699</v>
      </c>
      <c r="E2518" s="39" t="s">
        <v>769</v>
      </c>
      <c r="F2518" s="11" t="s">
        <v>1700</v>
      </c>
      <c r="G2518" s="39" t="s">
        <v>761</v>
      </c>
      <c r="H2518" s="7">
        <v>0</v>
      </c>
      <c r="I2518" s="7">
        <v>0</v>
      </c>
      <c r="J2518" s="17">
        <v>14</v>
      </c>
      <c r="K2518" s="17"/>
      <c r="L2518" s="7">
        <f t="shared" si="1084"/>
        <v>14</v>
      </c>
      <c r="M2518" s="8">
        <v>1</v>
      </c>
      <c r="N2518" s="8">
        <f t="shared" si="1085"/>
        <v>1</v>
      </c>
      <c r="O2518" s="11" t="s">
        <v>1702</v>
      </c>
      <c r="P2518" s="16" t="str">
        <f t="shared" si="1086"/>
        <v>18-Apr-1904</v>
      </c>
      <c r="R2518" s="16" t="str">
        <f t="shared" si="1087"/>
        <v>x</v>
      </c>
      <c r="S2518" s="16" t="str">
        <f t="shared" si="1087"/>
        <v>x</v>
      </c>
      <c r="T2518" s="11"/>
      <c r="U2518" s="46" t="str">
        <f t="shared" si="1071"/>
        <v/>
      </c>
      <c r="V2518" s="46">
        <f t="shared" si="1071"/>
        <v>14</v>
      </c>
      <c r="W2518" s="46" t="str">
        <f t="shared" si="1071"/>
        <v/>
      </c>
      <c r="X2518" s="46" t="str">
        <f t="shared" si="1071"/>
        <v/>
      </c>
    </row>
    <row r="2519" spans="2:24" x14ac:dyDescent="0.25">
      <c r="B2519" s="11" t="str">
        <f t="shared" si="1083"/>
        <v>LBRT-15MAY1904</v>
      </c>
      <c r="C2519" s="11" t="s">
        <v>2249</v>
      </c>
      <c r="D2519" s="11" t="s">
        <v>1699</v>
      </c>
      <c r="E2519" s="39" t="s">
        <v>770</v>
      </c>
      <c r="F2519" s="11" t="s">
        <v>1700</v>
      </c>
      <c r="G2519" s="39" t="s">
        <v>771</v>
      </c>
      <c r="H2519" s="7">
        <v>0</v>
      </c>
      <c r="I2519" s="7">
        <v>0</v>
      </c>
      <c r="J2519" s="17">
        <v>4</v>
      </c>
      <c r="K2519" s="17"/>
      <c r="L2519" s="7">
        <f t="shared" si="1084"/>
        <v>4</v>
      </c>
      <c r="M2519" s="8">
        <v>1</v>
      </c>
      <c r="N2519" s="8">
        <f t="shared" si="1085"/>
        <v>1</v>
      </c>
      <c r="O2519" s="11" t="s">
        <v>1702</v>
      </c>
      <c r="P2519" s="16" t="str">
        <f t="shared" si="1086"/>
        <v>15-May-1904</v>
      </c>
      <c r="R2519" s="16" t="str">
        <f t="shared" si="1087"/>
        <v>x</v>
      </c>
      <c r="S2519" s="16" t="str">
        <f t="shared" si="1087"/>
        <v>x</v>
      </c>
      <c r="T2519" s="11"/>
      <c r="U2519" s="46" t="str">
        <f t="shared" si="1071"/>
        <v/>
      </c>
      <c r="V2519" s="46">
        <f t="shared" si="1071"/>
        <v>4</v>
      </c>
      <c r="W2519" s="46" t="str">
        <f t="shared" si="1071"/>
        <v/>
      </c>
      <c r="X2519" s="46" t="str">
        <f t="shared" si="1071"/>
        <v/>
      </c>
    </row>
    <row r="2520" spans="2:24" x14ac:dyDescent="0.25">
      <c r="B2520" s="11" t="str">
        <f t="shared" si="1083"/>
        <v>LBRT-24JUL1904</v>
      </c>
      <c r="C2520" s="11" t="s">
        <v>2249</v>
      </c>
      <c r="D2520" s="11" t="s">
        <v>1699</v>
      </c>
      <c r="E2520" s="39" t="s">
        <v>772</v>
      </c>
      <c r="F2520" s="11" t="s">
        <v>1700</v>
      </c>
      <c r="G2520" s="39" t="s">
        <v>762</v>
      </c>
      <c r="H2520" s="7">
        <v>0</v>
      </c>
      <c r="I2520" s="7">
        <v>0</v>
      </c>
      <c r="J2520" s="17">
        <v>6</v>
      </c>
      <c r="K2520" s="17"/>
      <c r="L2520" s="7">
        <f t="shared" si="1084"/>
        <v>6</v>
      </c>
      <c r="M2520" s="8">
        <v>1</v>
      </c>
      <c r="N2520" s="8">
        <f t="shared" si="1085"/>
        <v>1</v>
      </c>
      <c r="O2520" s="11" t="s">
        <v>1702</v>
      </c>
      <c r="P2520" s="16" t="str">
        <f t="shared" si="1086"/>
        <v>24-Jul-1904</v>
      </c>
      <c r="R2520" s="16" t="str">
        <f t="shared" si="1087"/>
        <v>x</v>
      </c>
      <c r="S2520" s="16" t="str">
        <f t="shared" si="1087"/>
        <v>x</v>
      </c>
      <c r="T2520" s="11"/>
      <c r="U2520" s="46" t="str">
        <f t="shared" si="1071"/>
        <v/>
      </c>
      <c r="V2520" s="46">
        <f t="shared" si="1071"/>
        <v>6</v>
      </c>
      <c r="W2520" s="46" t="str">
        <f t="shared" si="1071"/>
        <v/>
      </c>
      <c r="X2520" s="46" t="str">
        <f t="shared" si="1071"/>
        <v/>
      </c>
    </row>
    <row r="2521" spans="2:24" x14ac:dyDescent="0.25">
      <c r="B2521" s="11" t="str">
        <f t="shared" si="1083"/>
        <v>LBRT-29AUG1904</v>
      </c>
      <c r="C2521" s="11" t="s">
        <v>2249</v>
      </c>
      <c r="D2521" s="11" t="s">
        <v>1699</v>
      </c>
      <c r="E2521" s="39" t="s">
        <v>773</v>
      </c>
      <c r="F2521" s="11" t="s">
        <v>1700</v>
      </c>
      <c r="G2521" s="39" t="s">
        <v>763</v>
      </c>
      <c r="H2521" s="7">
        <v>0</v>
      </c>
      <c r="I2521" s="7">
        <v>0</v>
      </c>
      <c r="J2521" s="17">
        <v>2</v>
      </c>
      <c r="K2521" s="17"/>
      <c r="L2521" s="7">
        <f t="shared" si="1084"/>
        <v>2</v>
      </c>
      <c r="M2521" s="8">
        <v>1</v>
      </c>
      <c r="N2521" s="8">
        <f t="shared" si="1085"/>
        <v>1</v>
      </c>
      <c r="O2521" s="11" t="s">
        <v>1702</v>
      </c>
      <c r="P2521" s="16" t="str">
        <f t="shared" si="1086"/>
        <v>29-Aug-1904</v>
      </c>
      <c r="R2521" s="16" t="str">
        <f t="shared" si="1087"/>
        <v>x</v>
      </c>
      <c r="S2521" s="16" t="str">
        <f t="shared" si="1087"/>
        <v>x</v>
      </c>
      <c r="T2521" s="11"/>
      <c r="U2521" s="46" t="str">
        <f t="shared" si="1071"/>
        <v/>
      </c>
      <c r="V2521" s="46">
        <f t="shared" si="1071"/>
        <v>2</v>
      </c>
      <c r="W2521" s="46" t="str">
        <f t="shared" si="1071"/>
        <v/>
      </c>
      <c r="X2521" s="46" t="str">
        <f t="shared" si="1071"/>
        <v/>
      </c>
    </row>
    <row r="2522" spans="2:24" x14ac:dyDescent="0.25">
      <c r="B2522" s="11" t="str">
        <f t="shared" si="1083"/>
        <v>LBRT-25SEP1904</v>
      </c>
      <c r="C2522" s="11" t="s">
        <v>2249</v>
      </c>
      <c r="D2522" s="11" t="s">
        <v>1699</v>
      </c>
      <c r="E2522" s="39" t="s">
        <v>774</v>
      </c>
      <c r="F2522" s="11" t="s">
        <v>1700</v>
      </c>
      <c r="G2522" s="39" t="s">
        <v>764</v>
      </c>
      <c r="H2522" s="7">
        <v>0</v>
      </c>
      <c r="I2522" s="7">
        <v>0</v>
      </c>
      <c r="J2522" s="17">
        <v>0</v>
      </c>
      <c r="K2522" s="17"/>
      <c r="L2522" s="7">
        <f t="shared" si="1084"/>
        <v>0</v>
      </c>
      <c r="M2522" s="8">
        <v>1</v>
      </c>
      <c r="N2522" s="8" t="str">
        <f t="shared" si="1085"/>
        <v/>
      </c>
      <c r="O2522" s="11" t="s">
        <v>1702</v>
      </c>
      <c r="P2522" s="16" t="str">
        <f t="shared" si="1086"/>
        <v>25-Sep-1904</v>
      </c>
      <c r="R2522" s="16" t="str">
        <f t="shared" si="1087"/>
        <v/>
      </c>
      <c r="S2522" s="16" t="str">
        <f t="shared" si="1087"/>
        <v/>
      </c>
      <c r="T2522" s="11"/>
      <c r="U2522" s="46" t="str">
        <f t="shared" si="1071"/>
        <v/>
      </c>
      <c r="V2522" s="46">
        <f t="shared" si="1071"/>
        <v>0</v>
      </c>
      <c r="W2522" s="46" t="str">
        <f t="shared" si="1071"/>
        <v/>
      </c>
      <c r="X2522" s="46" t="str">
        <f t="shared" si="1071"/>
        <v/>
      </c>
    </row>
    <row r="2523" spans="2:24" x14ac:dyDescent="0.25">
      <c r="B2523" s="11" t="str">
        <f t="shared" si="1083"/>
        <v>LBRT-27FEB1905</v>
      </c>
      <c r="C2523" s="11" t="s">
        <v>2249</v>
      </c>
      <c r="D2523" s="11" t="s">
        <v>1699</v>
      </c>
      <c r="E2523" s="39" t="s">
        <v>786</v>
      </c>
      <c r="F2523" s="11" t="s">
        <v>1700</v>
      </c>
      <c r="G2523" s="39" t="s">
        <v>775</v>
      </c>
      <c r="H2523" s="7">
        <v>0</v>
      </c>
      <c r="I2523" s="7">
        <v>2</v>
      </c>
      <c r="J2523" s="17">
        <v>4</v>
      </c>
      <c r="K2523" s="17"/>
      <c r="L2523" s="7">
        <f t="shared" si="1084"/>
        <v>6</v>
      </c>
      <c r="M2523" s="8">
        <v>1</v>
      </c>
      <c r="N2523" s="8">
        <f t="shared" si="1085"/>
        <v>1</v>
      </c>
      <c r="O2523" s="11" t="s">
        <v>1702</v>
      </c>
      <c r="P2523" s="16" t="str">
        <f t="shared" si="1086"/>
        <v>27-Feb-1905</v>
      </c>
      <c r="R2523" s="16" t="str">
        <f t="shared" si="1087"/>
        <v>x</v>
      </c>
      <c r="S2523" s="16" t="str">
        <f t="shared" si="1087"/>
        <v>x</v>
      </c>
      <c r="T2523" s="11"/>
      <c r="U2523" s="46" t="str">
        <f t="shared" si="1071"/>
        <v/>
      </c>
      <c r="V2523" s="46">
        <f t="shared" si="1071"/>
        <v>6</v>
      </c>
      <c r="W2523" s="46" t="str">
        <f t="shared" si="1071"/>
        <v/>
      </c>
      <c r="X2523" s="46" t="str">
        <f t="shared" si="1071"/>
        <v/>
      </c>
    </row>
    <row r="2524" spans="2:24" x14ac:dyDescent="0.25">
      <c r="B2524" s="11" t="str">
        <f t="shared" si="1083"/>
        <v>LBRT-27MAR1905</v>
      </c>
      <c r="C2524" s="11" t="s">
        <v>2249</v>
      </c>
      <c r="D2524" s="11" t="s">
        <v>1699</v>
      </c>
      <c r="E2524" s="39" t="s">
        <v>787</v>
      </c>
      <c r="F2524" s="11" t="s">
        <v>1700</v>
      </c>
      <c r="G2524" s="39" t="s">
        <v>776</v>
      </c>
      <c r="H2524" s="7">
        <v>0</v>
      </c>
      <c r="I2524" s="7">
        <v>0</v>
      </c>
      <c r="J2524" s="17">
        <v>0</v>
      </c>
      <c r="K2524" s="17"/>
      <c r="L2524" s="7">
        <f t="shared" si="1084"/>
        <v>0</v>
      </c>
      <c r="M2524" s="8">
        <v>1</v>
      </c>
      <c r="N2524" s="8" t="str">
        <f t="shared" si="1085"/>
        <v/>
      </c>
      <c r="O2524" s="11" t="s">
        <v>1702</v>
      </c>
      <c r="P2524" s="16" t="str">
        <f t="shared" si="1086"/>
        <v>27-Mar-1905</v>
      </c>
      <c r="R2524" s="16" t="str">
        <f t="shared" si="1087"/>
        <v/>
      </c>
      <c r="S2524" s="16" t="str">
        <f t="shared" si="1087"/>
        <v/>
      </c>
      <c r="T2524" s="11"/>
      <c r="U2524" s="46" t="str">
        <f t="shared" si="1071"/>
        <v/>
      </c>
      <c r="V2524" s="46">
        <f t="shared" si="1071"/>
        <v>0</v>
      </c>
      <c r="W2524" s="46" t="str">
        <f t="shared" si="1071"/>
        <v/>
      </c>
      <c r="X2524" s="46" t="str">
        <f t="shared" si="1071"/>
        <v/>
      </c>
    </row>
    <row r="2525" spans="2:24" x14ac:dyDescent="0.25">
      <c r="B2525" s="11" t="str">
        <f t="shared" si="1083"/>
        <v>LBRT-24APR1905</v>
      </c>
      <c r="C2525" s="11" t="s">
        <v>2249</v>
      </c>
      <c r="D2525" s="11" t="s">
        <v>1699</v>
      </c>
      <c r="E2525" s="39" t="s">
        <v>788</v>
      </c>
      <c r="F2525" s="11" t="s">
        <v>1700</v>
      </c>
      <c r="G2525" s="39" t="s">
        <v>777</v>
      </c>
      <c r="H2525" s="7">
        <v>0</v>
      </c>
      <c r="I2525" s="7">
        <v>0</v>
      </c>
      <c r="J2525" s="17">
        <v>0</v>
      </c>
      <c r="K2525" s="17"/>
      <c r="L2525" s="7">
        <f t="shared" si="1084"/>
        <v>0</v>
      </c>
      <c r="M2525" s="8">
        <v>1</v>
      </c>
      <c r="N2525" s="8" t="str">
        <f t="shared" si="1085"/>
        <v/>
      </c>
      <c r="O2525" s="11" t="s">
        <v>1702</v>
      </c>
      <c r="P2525" s="16" t="str">
        <f t="shared" si="1086"/>
        <v>24-Apr-1905</v>
      </c>
      <c r="R2525" s="16" t="str">
        <f t="shared" si="1087"/>
        <v/>
      </c>
      <c r="S2525" s="16" t="str">
        <f t="shared" si="1087"/>
        <v/>
      </c>
      <c r="T2525" s="11"/>
      <c r="U2525" s="46" t="str">
        <f t="shared" si="1071"/>
        <v/>
      </c>
      <c r="V2525" s="46">
        <f t="shared" si="1071"/>
        <v>0</v>
      </c>
      <c r="W2525" s="46" t="str">
        <f t="shared" si="1071"/>
        <v/>
      </c>
      <c r="X2525" s="46" t="str">
        <f t="shared" si="1071"/>
        <v/>
      </c>
    </row>
    <row r="2526" spans="2:24" x14ac:dyDescent="0.25">
      <c r="B2526" s="11" t="str">
        <f t="shared" si="1083"/>
        <v>LBRT-22MAY1905</v>
      </c>
      <c r="C2526" s="11" t="s">
        <v>2249</v>
      </c>
      <c r="D2526" s="11" t="s">
        <v>1699</v>
      </c>
      <c r="E2526" s="39" t="s">
        <v>789</v>
      </c>
      <c r="F2526" s="11" t="s">
        <v>1700</v>
      </c>
      <c r="G2526" s="39" t="s">
        <v>778</v>
      </c>
      <c r="H2526" s="7">
        <v>0</v>
      </c>
      <c r="I2526" s="7">
        <v>0</v>
      </c>
      <c r="J2526" s="17">
        <v>20</v>
      </c>
      <c r="K2526" s="17"/>
      <c r="L2526" s="7">
        <f t="shared" si="1084"/>
        <v>20</v>
      </c>
      <c r="M2526" s="8">
        <v>1</v>
      </c>
      <c r="N2526" s="8">
        <f t="shared" si="1085"/>
        <v>1</v>
      </c>
      <c r="O2526" s="11" t="s">
        <v>1702</v>
      </c>
      <c r="P2526" s="16" t="str">
        <f t="shared" si="1086"/>
        <v>22-May-1905</v>
      </c>
      <c r="R2526" s="16" t="str">
        <f t="shared" si="1087"/>
        <v>x</v>
      </c>
      <c r="S2526" s="16" t="str">
        <f t="shared" si="1087"/>
        <v>x</v>
      </c>
      <c r="T2526" s="11"/>
      <c r="U2526" s="46" t="str">
        <f t="shared" si="1071"/>
        <v/>
      </c>
      <c r="V2526" s="46">
        <f t="shared" si="1071"/>
        <v>20</v>
      </c>
      <c r="W2526" s="46" t="str">
        <f t="shared" si="1071"/>
        <v/>
      </c>
      <c r="X2526" s="46" t="str">
        <f t="shared" si="1071"/>
        <v/>
      </c>
    </row>
    <row r="2527" spans="2:24" x14ac:dyDescent="0.25">
      <c r="B2527" s="11" t="str">
        <f t="shared" si="1083"/>
        <v>LBRT-19JUN1905</v>
      </c>
      <c r="C2527" s="11" t="s">
        <v>2249</v>
      </c>
      <c r="D2527" s="11" t="s">
        <v>1699</v>
      </c>
      <c r="E2527" s="39" t="s">
        <v>790</v>
      </c>
      <c r="F2527" s="11" t="s">
        <v>1700</v>
      </c>
      <c r="G2527" s="39" t="s">
        <v>779</v>
      </c>
      <c r="H2527" s="7">
        <v>0</v>
      </c>
      <c r="I2527" s="7">
        <v>0</v>
      </c>
      <c r="J2527" s="17">
        <v>10</v>
      </c>
      <c r="K2527" s="17"/>
      <c r="L2527" s="7">
        <f t="shared" si="1084"/>
        <v>10</v>
      </c>
      <c r="M2527" s="8">
        <v>1</v>
      </c>
      <c r="N2527" s="8">
        <f t="shared" si="1085"/>
        <v>1</v>
      </c>
      <c r="O2527" s="11" t="s">
        <v>1702</v>
      </c>
      <c r="P2527" s="16" t="str">
        <f t="shared" si="1086"/>
        <v>19-Jun-1905</v>
      </c>
      <c r="R2527" s="16" t="str">
        <f t="shared" si="1087"/>
        <v>x</v>
      </c>
      <c r="S2527" s="16" t="str">
        <f t="shared" si="1087"/>
        <v>x</v>
      </c>
      <c r="T2527" s="11"/>
      <c r="U2527" s="46" t="str">
        <f t="shared" si="1071"/>
        <v/>
      </c>
      <c r="V2527" s="46">
        <f t="shared" si="1071"/>
        <v>10</v>
      </c>
      <c r="W2527" s="46" t="str">
        <f t="shared" si="1071"/>
        <v/>
      </c>
      <c r="X2527" s="46" t="str">
        <f t="shared" si="1071"/>
        <v/>
      </c>
    </row>
    <row r="2528" spans="2:24" x14ac:dyDescent="0.25">
      <c r="B2528" s="11" t="str">
        <f t="shared" si="1083"/>
        <v>LBRT-16JUL1905</v>
      </c>
      <c r="C2528" s="11" t="s">
        <v>2249</v>
      </c>
      <c r="D2528" s="11" t="s">
        <v>1699</v>
      </c>
      <c r="E2528" s="39" t="s">
        <v>791</v>
      </c>
      <c r="F2528" s="11" t="s">
        <v>1700</v>
      </c>
      <c r="G2528" s="39" t="s">
        <v>780</v>
      </c>
      <c r="H2528" s="7">
        <v>0</v>
      </c>
      <c r="I2528" s="7">
        <v>0</v>
      </c>
      <c r="J2528" s="17">
        <v>24</v>
      </c>
      <c r="K2528" s="17"/>
      <c r="L2528" s="7">
        <f t="shared" si="1084"/>
        <v>24</v>
      </c>
      <c r="M2528" s="8">
        <v>1</v>
      </c>
      <c r="N2528" s="8">
        <f t="shared" si="1085"/>
        <v>1</v>
      </c>
      <c r="O2528" s="11" t="s">
        <v>1702</v>
      </c>
      <c r="P2528" s="16" t="str">
        <f t="shared" si="1086"/>
        <v>16-Jul-1905</v>
      </c>
      <c r="R2528" s="16" t="str">
        <f t="shared" si="1087"/>
        <v>x</v>
      </c>
      <c r="S2528" s="16" t="str">
        <f t="shared" si="1087"/>
        <v>x</v>
      </c>
      <c r="T2528" s="11"/>
      <c r="U2528" s="46" t="str">
        <f t="shared" si="1071"/>
        <v/>
      </c>
      <c r="V2528" s="46">
        <f t="shared" si="1071"/>
        <v>24</v>
      </c>
      <c r="W2528" s="46" t="str">
        <f t="shared" si="1071"/>
        <v/>
      </c>
      <c r="X2528" s="46" t="str">
        <f t="shared" si="1071"/>
        <v/>
      </c>
    </row>
    <row r="2529" spans="2:26" x14ac:dyDescent="0.25">
      <c r="B2529" s="11" t="str">
        <f>CONCATENATE("LBRT","-",LEFT(P2529,2),UPPER(MID(P2529,4,3)),RIGHT(P2529,4))</f>
        <v>LBRT-13AUG1905</v>
      </c>
      <c r="C2529" s="11" t="s">
        <v>2249</v>
      </c>
      <c r="D2529" s="11" t="s">
        <v>1699</v>
      </c>
      <c r="E2529" s="39" t="s">
        <v>792</v>
      </c>
      <c r="F2529" s="11" t="s">
        <v>1700</v>
      </c>
      <c r="G2529" s="39" t="s">
        <v>781</v>
      </c>
      <c r="H2529" s="7">
        <v>0</v>
      </c>
      <c r="I2529" s="7">
        <v>1</v>
      </c>
      <c r="J2529" s="17">
        <v>8</v>
      </c>
      <c r="K2529" s="17"/>
      <c r="L2529" s="7">
        <f>SUM(H2529:K2529)</f>
        <v>9</v>
      </c>
      <c r="M2529" s="8">
        <v>1</v>
      </c>
      <c r="N2529" s="8">
        <f>IF(L2529&gt;0,1,"")</f>
        <v>1</v>
      </c>
      <c r="O2529" s="11" t="s">
        <v>1702</v>
      </c>
      <c r="P2529" s="16" t="str">
        <f>IF(LEN(G2529)=10,CONCATENATE("0",G2529),G2529)</f>
        <v>13-Aug-1905</v>
      </c>
      <c r="R2529" s="16" t="str">
        <f t="shared" si="1087"/>
        <v>x</v>
      </c>
      <c r="S2529" s="16" t="str">
        <f t="shared" si="1087"/>
        <v>x</v>
      </c>
      <c r="T2529" s="11"/>
      <c r="U2529" s="46" t="str">
        <f t="shared" si="1071"/>
        <v/>
      </c>
      <c r="V2529" s="46">
        <f t="shared" si="1071"/>
        <v>9</v>
      </c>
      <c r="W2529" s="46" t="str">
        <f t="shared" si="1071"/>
        <v/>
      </c>
      <c r="X2529" s="46" t="str">
        <f t="shared" si="1071"/>
        <v/>
      </c>
    </row>
    <row r="2530" spans="2:26" x14ac:dyDescent="0.25">
      <c r="B2530" s="11" t="str">
        <f t="shared" ref="B2530:B2536" si="1088">CONCATENATE("LBRT","-",LEFT(P2530,2),UPPER(MID(P2530,4,3)),RIGHT(P2530,4))</f>
        <v>LBRT-10SEP1905</v>
      </c>
      <c r="C2530" s="11" t="s">
        <v>2249</v>
      </c>
      <c r="D2530" s="11" t="s">
        <v>1699</v>
      </c>
      <c r="E2530" s="39" t="s">
        <v>793</v>
      </c>
      <c r="F2530" s="11" t="s">
        <v>1700</v>
      </c>
      <c r="G2530" s="39" t="s">
        <v>782</v>
      </c>
      <c r="H2530" s="7">
        <f>2+2</f>
        <v>4</v>
      </c>
      <c r="I2530" s="7">
        <v>0</v>
      </c>
      <c r="J2530" s="17">
        <v>7</v>
      </c>
      <c r="K2530" s="17"/>
      <c r="L2530" s="7">
        <f t="shared" ref="L2530:L2536" si="1089">SUM(H2530:K2530)</f>
        <v>11</v>
      </c>
      <c r="M2530" s="8">
        <v>1</v>
      </c>
      <c r="N2530" s="8">
        <f t="shared" ref="N2530:N2536" si="1090">IF(L2530&gt;0,1,"")</f>
        <v>1</v>
      </c>
      <c r="O2530" s="11" t="s">
        <v>1702</v>
      </c>
      <c r="P2530" s="16" t="str">
        <f t="shared" ref="P2530:P2536" si="1091">IF(LEN(G2530)=10,CONCATENATE("0",G2530),G2530)</f>
        <v>10-Sep-1905</v>
      </c>
      <c r="R2530" s="16" t="str">
        <f t="shared" si="1087"/>
        <v>x</v>
      </c>
      <c r="S2530" s="16" t="str">
        <f t="shared" si="1087"/>
        <v>x</v>
      </c>
      <c r="U2530" s="46" t="str">
        <f t="shared" si="1071"/>
        <v/>
      </c>
      <c r="V2530" s="46">
        <f t="shared" si="1071"/>
        <v>11</v>
      </c>
      <c r="W2530" s="46" t="str">
        <f t="shared" si="1071"/>
        <v/>
      </c>
      <c r="X2530" s="46" t="str">
        <f t="shared" si="1071"/>
        <v/>
      </c>
    </row>
    <row r="2531" spans="2:26" x14ac:dyDescent="0.25">
      <c r="B2531" s="11" t="str">
        <f t="shared" si="1088"/>
        <v>LBRT-08OCT1905</v>
      </c>
      <c r="C2531" s="11" t="s">
        <v>2249</v>
      </c>
      <c r="D2531" s="11" t="s">
        <v>1699</v>
      </c>
      <c r="E2531" s="39" t="s">
        <v>794</v>
      </c>
      <c r="F2531" s="11" t="s">
        <v>1700</v>
      </c>
      <c r="G2531" s="39" t="s">
        <v>783</v>
      </c>
      <c r="H2531" s="7">
        <v>0</v>
      </c>
      <c r="I2531" s="7">
        <v>0</v>
      </c>
      <c r="J2531" s="17">
        <v>7</v>
      </c>
      <c r="K2531" s="17"/>
      <c r="L2531" s="7">
        <f t="shared" si="1089"/>
        <v>7</v>
      </c>
      <c r="M2531" s="8">
        <v>1</v>
      </c>
      <c r="N2531" s="8">
        <f t="shared" si="1090"/>
        <v>1</v>
      </c>
      <c r="O2531" s="11" t="s">
        <v>1702</v>
      </c>
      <c r="P2531" s="16" t="str">
        <f t="shared" si="1091"/>
        <v>08-Oct-1905</v>
      </c>
      <c r="R2531" s="16" t="str">
        <f t="shared" si="1087"/>
        <v>x</v>
      </c>
      <c r="S2531" s="16" t="str">
        <f t="shared" si="1087"/>
        <v>x</v>
      </c>
      <c r="U2531" s="46" t="str">
        <f t="shared" si="1071"/>
        <v/>
      </c>
      <c r="V2531" s="46">
        <f t="shared" si="1071"/>
        <v>7</v>
      </c>
      <c r="W2531" s="46" t="str">
        <f t="shared" si="1071"/>
        <v/>
      </c>
      <c r="X2531" s="46" t="str">
        <f>IF($O2531=X$5,$L2531,"")</f>
        <v/>
      </c>
    </row>
    <row r="2532" spans="2:26" x14ac:dyDescent="0.25">
      <c r="B2532" s="11" t="str">
        <f t="shared" si="1088"/>
        <v>LBRT-06NOV1905</v>
      </c>
      <c r="C2532" s="11" t="s">
        <v>2249</v>
      </c>
      <c r="D2532" s="11" t="s">
        <v>1699</v>
      </c>
      <c r="E2532" s="39" t="s">
        <v>795</v>
      </c>
      <c r="F2532" s="11" t="s">
        <v>1700</v>
      </c>
      <c r="G2532" s="39" t="s">
        <v>784</v>
      </c>
      <c r="H2532" s="7">
        <v>0</v>
      </c>
      <c r="I2532" s="7">
        <v>0</v>
      </c>
      <c r="J2532" s="17">
        <v>29</v>
      </c>
      <c r="K2532" s="17"/>
      <c r="L2532" s="7">
        <f t="shared" si="1089"/>
        <v>29</v>
      </c>
      <c r="M2532" s="8">
        <v>1</v>
      </c>
      <c r="N2532" s="8">
        <f t="shared" si="1090"/>
        <v>1</v>
      </c>
      <c r="O2532" s="11" t="s">
        <v>1702</v>
      </c>
      <c r="P2532" s="16" t="str">
        <f t="shared" si="1091"/>
        <v>06-Nov-1905</v>
      </c>
      <c r="R2532" s="16" t="str">
        <f t="shared" si="1087"/>
        <v>x</v>
      </c>
      <c r="S2532" s="16" t="str">
        <f t="shared" si="1087"/>
        <v>x</v>
      </c>
      <c r="U2532" s="46" t="str">
        <f t="shared" ref="U2532:X2595" si="1092">IF($O2532=U$5,$L2532,"")</f>
        <v/>
      </c>
      <c r="V2532" s="46">
        <f t="shared" si="1092"/>
        <v>29</v>
      </c>
      <c r="W2532" s="46" t="str">
        <f t="shared" si="1092"/>
        <v/>
      </c>
      <c r="X2532" s="46" t="str">
        <f t="shared" si="1092"/>
        <v/>
      </c>
    </row>
    <row r="2533" spans="2:26" x14ac:dyDescent="0.25">
      <c r="B2533" s="11" t="str">
        <f t="shared" si="1088"/>
        <v>LBRT-18DEC1905</v>
      </c>
      <c r="C2533" s="11" t="s">
        <v>2249</v>
      </c>
      <c r="D2533" s="11" t="s">
        <v>1699</v>
      </c>
      <c r="E2533" s="39" t="s">
        <v>796</v>
      </c>
      <c r="F2533" s="11" t="s">
        <v>1700</v>
      </c>
      <c r="G2533" s="39" t="s">
        <v>785</v>
      </c>
      <c r="H2533" s="7">
        <v>0</v>
      </c>
      <c r="I2533" s="7">
        <v>1</v>
      </c>
      <c r="J2533" s="17">
        <v>59</v>
      </c>
      <c r="K2533" s="17"/>
      <c r="L2533" s="7">
        <f t="shared" si="1089"/>
        <v>60</v>
      </c>
      <c r="M2533" s="8">
        <v>1</v>
      </c>
      <c r="N2533" s="8">
        <f t="shared" si="1090"/>
        <v>1</v>
      </c>
      <c r="O2533" s="11" t="s">
        <v>1702</v>
      </c>
      <c r="P2533" s="16" t="str">
        <f t="shared" si="1091"/>
        <v>18-Dec-1905</v>
      </c>
      <c r="R2533" s="16" t="str">
        <f t="shared" si="1087"/>
        <v>x</v>
      </c>
      <c r="S2533" s="16" t="str">
        <f t="shared" si="1087"/>
        <v>x</v>
      </c>
      <c r="U2533" s="46" t="str">
        <f t="shared" si="1092"/>
        <v/>
      </c>
      <c r="V2533" s="46">
        <f t="shared" si="1092"/>
        <v>60</v>
      </c>
      <c r="W2533" s="46" t="str">
        <f t="shared" si="1092"/>
        <v/>
      </c>
      <c r="X2533" s="46" t="str">
        <f t="shared" si="1092"/>
        <v/>
      </c>
    </row>
    <row r="2534" spans="2:26" x14ac:dyDescent="0.25">
      <c r="B2534" s="11" t="str">
        <f t="shared" si="1088"/>
        <v>LBRT-23JAN1906</v>
      </c>
      <c r="C2534" s="11" t="s">
        <v>2249</v>
      </c>
      <c r="D2534" s="11" t="s">
        <v>1699</v>
      </c>
      <c r="E2534" s="39" t="s">
        <v>804</v>
      </c>
      <c r="F2534" s="11" t="s">
        <v>1700</v>
      </c>
      <c r="G2534" s="39" t="s">
        <v>797</v>
      </c>
      <c r="H2534" s="7">
        <v>0</v>
      </c>
      <c r="I2534" s="7">
        <v>0</v>
      </c>
      <c r="J2534" s="17">
        <v>6</v>
      </c>
      <c r="K2534" s="17"/>
      <c r="L2534" s="7">
        <f t="shared" si="1089"/>
        <v>6</v>
      </c>
      <c r="M2534" s="8">
        <v>1</v>
      </c>
      <c r="N2534" s="8">
        <f t="shared" si="1090"/>
        <v>1</v>
      </c>
      <c r="O2534" s="11" t="s">
        <v>1702</v>
      </c>
      <c r="P2534" s="16" t="str">
        <f t="shared" si="1091"/>
        <v>23-Jan-1906</v>
      </c>
      <c r="R2534" s="16" t="str">
        <f t="shared" si="1087"/>
        <v>x</v>
      </c>
      <c r="S2534" s="16" t="str">
        <f t="shared" si="1087"/>
        <v>x</v>
      </c>
      <c r="U2534" s="46" t="str">
        <f t="shared" si="1092"/>
        <v/>
      </c>
      <c r="V2534" s="46">
        <f t="shared" si="1092"/>
        <v>6</v>
      </c>
      <c r="W2534" s="46" t="str">
        <f t="shared" si="1092"/>
        <v/>
      </c>
      <c r="X2534" s="46" t="str">
        <f t="shared" si="1092"/>
        <v/>
      </c>
    </row>
    <row r="2535" spans="2:26" x14ac:dyDescent="0.25">
      <c r="B2535" s="11" t="str">
        <f t="shared" si="1088"/>
        <v>LBRT-19FEB1906</v>
      </c>
      <c r="C2535" s="11" t="s">
        <v>2249</v>
      </c>
      <c r="D2535" s="11" t="s">
        <v>1699</v>
      </c>
      <c r="E2535" s="39" t="s">
        <v>805</v>
      </c>
      <c r="F2535" s="11" t="s">
        <v>1700</v>
      </c>
      <c r="G2535" s="39" t="s">
        <v>798</v>
      </c>
      <c r="H2535" s="7">
        <v>0</v>
      </c>
      <c r="I2535" s="7">
        <v>0</v>
      </c>
      <c r="J2535" s="17">
        <v>12</v>
      </c>
      <c r="K2535" s="17"/>
      <c r="L2535" s="7">
        <f t="shared" si="1089"/>
        <v>12</v>
      </c>
      <c r="M2535" s="8">
        <v>1</v>
      </c>
      <c r="N2535" s="8">
        <f t="shared" si="1090"/>
        <v>1</v>
      </c>
      <c r="O2535" s="11" t="s">
        <v>1702</v>
      </c>
      <c r="P2535" s="16" t="str">
        <f t="shared" si="1091"/>
        <v>19-Feb-1906</v>
      </c>
      <c r="R2535" s="16" t="str">
        <f t="shared" si="1087"/>
        <v>x</v>
      </c>
      <c r="S2535" s="16" t="str">
        <f t="shared" si="1087"/>
        <v>x</v>
      </c>
      <c r="U2535" s="46" t="str">
        <f t="shared" si="1092"/>
        <v/>
      </c>
      <c r="V2535" s="46">
        <f t="shared" si="1092"/>
        <v>12</v>
      </c>
      <c r="W2535" s="46" t="str">
        <f t="shared" si="1092"/>
        <v/>
      </c>
      <c r="X2535" s="46" t="str">
        <f t="shared" si="1092"/>
        <v/>
      </c>
    </row>
    <row r="2536" spans="2:26" x14ac:dyDescent="0.25">
      <c r="B2536" s="11" t="str">
        <f t="shared" si="1088"/>
        <v>LBRT-18APR1906</v>
      </c>
      <c r="C2536" s="11" t="s">
        <v>2249</v>
      </c>
      <c r="D2536" s="11" t="s">
        <v>1699</v>
      </c>
      <c r="E2536" s="39" t="s">
        <v>343</v>
      </c>
      <c r="F2536" s="11" t="s">
        <v>1700</v>
      </c>
      <c r="G2536" s="39" t="s">
        <v>806</v>
      </c>
      <c r="H2536" s="7">
        <v>0</v>
      </c>
      <c r="I2536" s="7">
        <v>0</v>
      </c>
      <c r="J2536" s="17">
        <v>26</v>
      </c>
      <c r="K2536" s="17"/>
      <c r="L2536" s="7">
        <f t="shared" si="1089"/>
        <v>26</v>
      </c>
      <c r="M2536" s="8">
        <v>1</v>
      </c>
      <c r="N2536" s="8">
        <f t="shared" si="1090"/>
        <v>1</v>
      </c>
      <c r="O2536" s="11" t="s">
        <v>1702</v>
      </c>
      <c r="P2536" s="16" t="str">
        <f t="shared" si="1091"/>
        <v>18-Apr-1906</v>
      </c>
      <c r="R2536" s="16" t="str">
        <f t="shared" si="1087"/>
        <v>x</v>
      </c>
      <c r="S2536" s="16" t="str">
        <f t="shared" si="1087"/>
        <v>x</v>
      </c>
      <c r="U2536" s="46" t="str">
        <f t="shared" si="1092"/>
        <v/>
      </c>
      <c r="V2536" s="46">
        <f t="shared" si="1092"/>
        <v>26</v>
      </c>
      <c r="W2536" s="46" t="str">
        <f t="shared" si="1092"/>
        <v/>
      </c>
      <c r="X2536" s="46" t="str">
        <f t="shared" si="1092"/>
        <v/>
      </c>
      <c r="Z2536" s="11" t="s">
        <v>807</v>
      </c>
    </row>
    <row r="2537" spans="2:26" x14ac:dyDescent="0.25">
      <c r="B2537" s="11" t="str">
        <f t="shared" si="1083"/>
        <v>LBRT-14MAY1906</v>
      </c>
      <c r="C2537" s="11" t="s">
        <v>2249</v>
      </c>
      <c r="D2537" s="11" t="s">
        <v>1699</v>
      </c>
      <c r="E2537" s="39" t="s">
        <v>808</v>
      </c>
      <c r="F2537" s="11" t="s">
        <v>1700</v>
      </c>
      <c r="G2537" s="39" t="s">
        <v>799</v>
      </c>
      <c r="H2537" s="7">
        <v>0</v>
      </c>
      <c r="I2537" s="7">
        <v>0</v>
      </c>
      <c r="J2537" s="17">
        <v>16</v>
      </c>
      <c r="K2537" s="17"/>
      <c r="L2537" s="7">
        <f t="shared" si="1084"/>
        <v>16</v>
      </c>
      <c r="M2537" s="8">
        <v>1</v>
      </c>
      <c r="N2537" s="8">
        <f t="shared" si="1085"/>
        <v>1</v>
      </c>
      <c r="O2537" s="11" t="s">
        <v>1702</v>
      </c>
      <c r="P2537" s="16" t="str">
        <f t="shared" si="1086"/>
        <v>14-May-1906</v>
      </c>
      <c r="R2537" s="16" t="str">
        <f t="shared" si="1087"/>
        <v>x</v>
      </c>
      <c r="S2537" s="16" t="str">
        <f t="shared" si="1087"/>
        <v>x</v>
      </c>
      <c r="U2537" s="46" t="str">
        <f t="shared" si="1092"/>
        <v/>
      </c>
      <c r="V2537" s="46">
        <f t="shared" si="1092"/>
        <v>16</v>
      </c>
      <c r="W2537" s="46" t="str">
        <f t="shared" si="1092"/>
        <v/>
      </c>
      <c r="X2537" s="46" t="str">
        <f t="shared" si="1092"/>
        <v/>
      </c>
    </row>
    <row r="2538" spans="2:26" x14ac:dyDescent="0.25">
      <c r="B2538" s="11" t="str">
        <f t="shared" ref="B2538:B2545" si="1093">CONCATENATE("LBRT","-",LEFT(P2538,2),UPPER(MID(P2538,4,3)),RIGHT(P2538,4))</f>
        <v>LBRT-16JUL1906</v>
      </c>
      <c r="C2538" s="11" t="s">
        <v>2249</v>
      </c>
      <c r="D2538" s="11" t="s">
        <v>1699</v>
      </c>
      <c r="E2538" s="39" t="s">
        <v>809</v>
      </c>
      <c r="F2538" s="11" t="s">
        <v>1700</v>
      </c>
      <c r="G2538" s="39" t="s">
        <v>800</v>
      </c>
      <c r="H2538" s="7">
        <v>0</v>
      </c>
      <c r="I2538" s="7">
        <v>0</v>
      </c>
      <c r="J2538" s="17">
        <v>24</v>
      </c>
      <c r="K2538" s="17"/>
      <c r="L2538" s="7">
        <f t="shared" ref="L2538:L2545" si="1094">SUM(H2538:K2538)</f>
        <v>24</v>
      </c>
      <c r="M2538" s="8">
        <v>1</v>
      </c>
      <c r="N2538" s="8">
        <f t="shared" ref="N2538:N2545" si="1095">IF(L2538&gt;0,1,"")</f>
        <v>1</v>
      </c>
      <c r="O2538" s="11" t="s">
        <v>1702</v>
      </c>
      <c r="P2538" s="16" t="str">
        <f t="shared" ref="P2538:P2545" si="1096">IF(LEN(G2538)=10,CONCATENATE("0",G2538),G2538)</f>
        <v>16-Jul-1906</v>
      </c>
      <c r="R2538" s="16" t="str">
        <f t="shared" si="1087"/>
        <v>x</v>
      </c>
      <c r="S2538" s="16" t="str">
        <f t="shared" si="1087"/>
        <v>x</v>
      </c>
      <c r="U2538" s="46" t="str">
        <f t="shared" si="1092"/>
        <v/>
      </c>
      <c r="V2538" s="46">
        <f t="shared" si="1092"/>
        <v>24</v>
      </c>
      <c r="W2538" s="46" t="str">
        <f t="shared" si="1092"/>
        <v/>
      </c>
      <c r="X2538" s="46" t="str">
        <f t="shared" si="1092"/>
        <v/>
      </c>
    </row>
    <row r="2539" spans="2:26" x14ac:dyDescent="0.25">
      <c r="B2539" s="11" t="str">
        <f t="shared" si="1093"/>
        <v>LBRT-12AUG1906</v>
      </c>
      <c r="C2539" s="11" t="s">
        <v>2249</v>
      </c>
      <c r="D2539" s="11" t="s">
        <v>1699</v>
      </c>
      <c r="E2539" s="39" t="s">
        <v>810</v>
      </c>
      <c r="F2539" s="11" t="s">
        <v>1700</v>
      </c>
      <c r="G2539" s="39" t="s">
        <v>811</v>
      </c>
      <c r="H2539" s="7">
        <v>0</v>
      </c>
      <c r="I2539" s="7">
        <v>0</v>
      </c>
      <c r="J2539" s="17">
        <v>52</v>
      </c>
      <c r="K2539" s="17"/>
      <c r="L2539" s="7">
        <f t="shared" si="1094"/>
        <v>52</v>
      </c>
      <c r="M2539" s="8">
        <v>1</v>
      </c>
      <c r="N2539" s="8">
        <f t="shared" si="1095"/>
        <v>1</v>
      </c>
      <c r="O2539" s="11" t="s">
        <v>1702</v>
      </c>
      <c r="P2539" s="16" t="str">
        <f t="shared" si="1096"/>
        <v>12-Aug-1906</v>
      </c>
      <c r="R2539" s="16" t="str">
        <f t="shared" si="1087"/>
        <v>x</v>
      </c>
      <c r="S2539" s="16" t="str">
        <f t="shared" si="1087"/>
        <v>x</v>
      </c>
      <c r="U2539" s="46" t="str">
        <f t="shared" si="1092"/>
        <v/>
      </c>
      <c r="V2539" s="46">
        <f t="shared" si="1092"/>
        <v>52</v>
      </c>
      <c r="W2539" s="46" t="str">
        <f t="shared" si="1092"/>
        <v/>
      </c>
      <c r="X2539" s="46" t="str">
        <f t="shared" si="1092"/>
        <v/>
      </c>
    </row>
    <row r="2540" spans="2:26" x14ac:dyDescent="0.25">
      <c r="B2540" s="11" t="str">
        <f t="shared" si="1093"/>
        <v>LBRT-10SEP1906</v>
      </c>
      <c r="C2540" s="11" t="s">
        <v>2249</v>
      </c>
      <c r="D2540" s="11" t="s">
        <v>1699</v>
      </c>
      <c r="E2540" s="39" t="s">
        <v>2091</v>
      </c>
      <c r="F2540" s="11" t="s">
        <v>1700</v>
      </c>
      <c r="G2540" s="39" t="s">
        <v>801</v>
      </c>
      <c r="H2540" s="7">
        <v>0</v>
      </c>
      <c r="I2540" s="7">
        <v>0</v>
      </c>
      <c r="J2540" s="17">
        <v>35</v>
      </c>
      <c r="K2540" s="17"/>
      <c r="L2540" s="7">
        <f t="shared" si="1094"/>
        <v>35</v>
      </c>
      <c r="M2540" s="8">
        <v>1</v>
      </c>
      <c r="N2540" s="8">
        <f t="shared" si="1095"/>
        <v>1</v>
      </c>
      <c r="O2540" s="11" t="s">
        <v>1702</v>
      </c>
      <c r="P2540" s="16" t="str">
        <f t="shared" si="1096"/>
        <v>10-Sep-1906</v>
      </c>
      <c r="R2540" s="16" t="str">
        <f t="shared" si="1087"/>
        <v>x</v>
      </c>
      <c r="S2540" s="16" t="str">
        <f t="shared" si="1087"/>
        <v>x</v>
      </c>
      <c r="U2540" s="46" t="str">
        <f t="shared" si="1092"/>
        <v/>
      </c>
      <c r="V2540" s="46">
        <f t="shared" si="1092"/>
        <v>35</v>
      </c>
      <c r="W2540" s="46" t="str">
        <f t="shared" si="1092"/>
        <v/>
      </c>
      <c r="X2540" s="46" t="str">
        <f t="shared" si="1092"/>
        <v/>
      </c>
    </row>
    <row r="2541" spans="2:26" x14ac:dyDescent="0.25">
      <c r="B2541" s="11" t="str">
        <f t="shared" si="1093"/>
        <v>LBRT-08OCT1906</v>
      </c>
      <c r="C2541" s="11" t="s">
        <v>2249</v>
      </c>
      <c r="D2541" s="11" t="s">
        <v>1699</v>
      </c>
      <c r="E2541" s="39" t="s">
        <v>2093</v>
      </c>
      <c r="F2541" s="11" t="s">
        <v>1700</v>
      </c>
      <c r="G2541" s="39" t="s">
        <v>802</v>
      </c>
      <c r="H2541" s="7">
        <v>0</v>
      </c>
      <c r="I2541" s="7">
        <v>3</v>
      </c>
      <c r="J2541" s="17">
        <v>24</v>
      </c>
      <c r="K2541" s="17"/>
      <c r="L2541" s="7">
        <f t="shared" si="1094"/>
        <v>27</v>
      </c>
      <c r="M2541" s="8">
        <v>1</v>
      </c>
      <c r="N2541" s="8">
        <f t="shared" si="1095"/>
        <v>1</v>
      </c>
      <c r="O2541" s="11" t="s">
        <v>1702</v>
      </c>
      <c r="P2541" s="16" t="str">
        <f t="shared" si="1096"/>
        <v>08-Oct-1906</v>
      </c>
      <c r="R2541" s="16" t="str">
        <f t="shared" si="1087"/>
        <v>x</v>
      </c>
      <c r="S2541" s="16" t="str">
        <f t="shared" si="1087"/>
        <v>x</v>
      </c>
      <c r="U2541" s="46" t="str">
        <f t="shared" si="1092"/>
        <v/>
      </c>
      <c r="V2541" s="46">
        <f t="shared" si="1092"/>
        <v>27</v>
      </c>
      <c r="W2541" s="46" t="str">
        <f t="shared" si="1092"/>
        <v/>
      </c>
      <c r="X2541" s="46" t="str">
        <f t="shared" si="1092"/>
        <v/>
      </c>
    </row>
    <row r="2542" spans="2:26" x14ac:dyDescent="0.25">
      <c r="B2542" s="11" t="str">
        <f t="shared" si="1093"/>
        <v>LBRT-07NOV1906</v>
      </c>
      <c r="C2542" s="11" t="s">
        <v>2249</v>
      </c>
      <c r="D2542" s="11" t="s">
        <v>1699</v>
      </c>
      <c r="E2542" s="39" t="s">
        <v>2095</v>
      </c>
      <c r="F2542" s="11" t="s">
        <v>1700</v>
      </c>
      <c r="G2542" s="39" t="s">
        <v>803</v>
      </c>
      <c r="H2542" s="7">
        <v>0</v>
      </c>
      <c r="I2542" s="7">
        <v>0</v>
      </c>
      <c r="J2542" s="17">
        <v>47</v>
      </c>
      <c r="K2542" s="17"/>
      <c r="L2542" s="7">
        <f t="shared" si="1094"/>
        <v>47</v>
      </c>
      <c r="M2542" s="8">
        <v>1</v>
      </c>
      <c r="N2542" s="8">
        <f t="shared" si="1095"/>
        <v>1</v>
      </c>
      <c r="O2542" s="11" t="s">
        <v>1702</v>
      </c>
      <c r="P2542" s="16" t="str">
        <f t="shared" si="1096"/>
        <v>07-Nov-1906</v>
      </c>
      <c r="R2542" s="16" t="str">
        <f t="shared" si="1087"/>
        <v>x</v>
      </c>
      <c r="S2542" s="16" t="str">
        <f t="shared" si="1087"/>
        <v>x</v>
      </c>
      <c r="U2542" s="46" t="str">
        <f t="shared" si="1092"/>
        <v/>
      </c>
      <c r="V2542" s="46">
        <f t="shared" si="1092"/>
        <v>47</v>
      </c>
      <c r="W2542" s="46" t="str">
        <f t="shared" si="1092"/>
        <v/>
      </c>
      <c r="X2542" s="46" t="str">
        <f t="shared" si="1092"/>
        <v/>
      </c>
    </row>
    <row r="2543" spans="2:26" x14ac:dyDescent="0.25">
      <c r="B2543" s="11" t="str">
        <f t="shared" si="1093"/>
        <v>LBRT-11DEC1906</v>
      </c>
      <c r="C2543" s="11" t="s">
        <v>2249</v>
      </c>
      <c r="D2543" s="11" t="s">
        <v>1699</v>
      </c>
      <c r="E2543" s="39" t="s">
        <v>812</v>
      </c>
      <c r="F2543" s="11" t="s">
        <v>1700</v>
      </c>
      <c r="G2543" s="39" t="s">
        <v>813</v>
      </c>
      <c r="H2543" s="7">
        <v>0</v>
      </c>
      <c r="I2543" s="7">
        <v>1</v>
      </c>
      <c r="J2543" s="17">
        <v>32</v>
      </c>
      <c r="K2543" s="17"/>
      <c r="L2543" s="7">
        <f t="shared" si="1094"/>
        <v>33</v>
      </c>
      <c r="M2543" s="8">
        <v>1</v>
      </c>
      <c r="N2543" s="8">
        <f t="shared" si="1095"/>
        <v>1</v>
      </c>
      <c r="O2543" s="11" t="s">
        <v>1702</v>
      </c>
      <c r="P2543" s="16" t="str">
        <f t="shared" si="1096"/>
        <v>11-Dec-1906</v>
      </c>
      <c r="R2543" s="16" t="str">
        <f t="shared" si="1087"/>
        <v>x</v>
      </c>
      <c r="S2543" s="16" t="str">
        <f t="shared" si="1087"/>
        <v>x</v>
      </c>
      <c r="U2543" s="46" t="str">
        <f t="shared" si="1092"/>
        <v/>
      </c>
      <c r="V2543" s="46">
        <f t="shared" si="1092"/>
        <v>33</v>
      </c>
      <c r="W2543" s="46" t="str">
        <f t="shared" si="1092"/>
        <v/>
      </c>
      <c r="X2543" s="46" t="str">
        <f t="shared" si="1092"/>
        <v/>
      </c>
    </row>
    <row r="2544" spans="2:26" x14ac:dyDescent="0.25">
      <c r="B2544" s="11" t="str">
        <f t="shared" si="1093"/>
        <v>LBRT-07JAN1907</v>
      </c>
      <c r="C2544" s="11" t="s">
        <v>2249</v>
      </c>
      <c r="D2544" s="11" t="s">
        <v>1699</v>
      </c>
      <c r="E2544" s="39" t="s">
        <v>823</v>
      </c>
      <c r="F2544" s="11" t="s">
        <v>1700</v>
      </c>
      <c r="G2544" s="39" t="s">
        <v>814</v>
      </c>
      <c r="H2544" s="7">
        <v>0</v>
      </c>
      <c r="I2544" s="7">
        <v>0</v>
      </c>
      <c r="J2544" s="17">
        <v>29</v>
      </c>
      <c r="K2544" s="17"/>
      <c r="L2544" s="7">
        <f t="shared" si="1094"/>
        <v>29</v>
      </c>
      <c r="M2544" s="8">
        <v>1</v>
      </c>
      <c r="N2544" s="8">
        <f t="shared" si="1095"/>
        <v>1</v>
      </c>
      <c r="O2544" s="11" t="s">
        <v>1702</v>
      </c>
      <c r="P2544" s="16" t="str">
        <f t="shared" si="1096"/>
        <v>07-Jan-1907</v>
      </c>
      <c r="R2544" s="16" t="str">
        <f t="shared" si="1087"/>
        <v>x</v>
      </c>
      <c r="S2544" s="16" t="str">
        <f t="shared" si="1087"/>
        <v>x</v>
      </c>
      <c r="U2544" s="46" t="str">
        <f t="shared" si="1092"/>
        <v/>
      </c>
      <c r="V2544" s="46">
        <f t="shared" si="1092"/>
        <v>29</v>
      </c>
      <c r="W2544" s="46" t="str">
        <f t="shared" si="1092"/>
        <v/>
      </c>
      <c r="X2544" s="46" t="str">
        <f t="shared" si="1092"/>
        <v/>
      </c>
    </row>
    <row r="2545" spans="2:26" x14ac:dyDescent="0.25">
      <c r="B2545" s="11" t="str">
        <f t="shared" si="1093"/>
        <v>LBRT-04FEB1907</v>
      </c>
      <c r="C2545" s="11" t="s">
        <v>2249</v>
      </c>
      <c r="D2545" s="11" t="s">
        <v>1699</v>
      </c>
      <c r="E2545" s="39" t="s">
        <v>824</v>
      </c>
      <c r="F2545" s="11" t="s">
        <v>1700</v>
      </c>
      <c r="G2545" s="39" t="s">
        <v>815</v>
      </c>
      <c r="H2545" s="7">
        <v>0</v>
      </c>
      <c r="I2545" s="7">
        <v>0</v>
      </c>
      <c r="J2545" s="17">
        <v>20</v>
      </c>
      <c r="K2545" s="17"/>
      <c r="L2545" s="7">
        <f t="shared" si="1094"/>
        <v>20</v>
      </c>
      <c r="M2545" s="8">
        <v>1</v>
      </c>
      <c r="N2545" s="8">
        <f t="shared" si="1095"/>
        <v>1</v>
      </c>
      <c r="O2545" s="11" t="s">
        <v>1702</v>
      </c>
      <c r="P2545" s="16" t="str">
        <f t="shared" si="1096"/>
        <v>04-Feb-1907</v>
      </c>
      <c r="R2545" s="16" t="str">
        <f t="shared" ref="R2545:S2571" si="1097">IF($L2545&gt;0,"x","")</f>
        <v>x</v>
      </c>
      <c r="S2545" s="16" t="str">
        <f t="shared" si="1097"/>
        <v>x</v>
      </c>
      <c r="U2545" s="46" t="str">
        <f t="shared" si="1092"/>
        <v/>
      </c>
      <c r="V2545" s="46">
        <f t="shared" si="1092"/>
        <v>20</v>
      </c>
      <c r="W2545" s="46" t="str">
        <f t="shared" si="1092"/>
        <v/>
      </c>
      <c r="X2545" s="46" t="str">
        <f t="shared" si="1092"/>
        <v/>
      </c>
    </row>
    <row r="2546" spans="2:26" x14ac:dyDescent="0.25">
      <c r="B2546" s="11" t="str">
        <f t="shared" ref="B2546:B2553" si="1098">CONCATENATE("LBRT","-",LEFT(P2546,2),UPPER(MID(P2546,4,3)),RIGHT(P2546,4))</f>
        <v>LBRT-05MAR1907</v>
      </c>
      <c r="C2546" s="11" t="s">
        <v>2249</v>
      </c>
      <c r="D2546" s="11" t="s">
        <v>1699</v>
      </c>
      <c r="E2546" s="39" t="s">
        <v>825</v>
      </c>
      <c r="F2546" s="11" t="s">
        <v>1700</v>
      </c>
      <c r="G2546" s="39" t="s">
        <v>826</v>
      </c>
      <c r="H2546" s="7">
        <v>0</v>
      </c>
      <c r="I2546" s="7">
        <v>4</v>
      </c>
      <c r="J2546" s="17">
        <v>22</v>
      </c>
      <c r="K2546" s="17"/>
      <c r="L2546" s="7">
        <f t="shared" ref="L2546:L2553" si="1099">SUM(H2546:K2546)</f>
        <v>26</v>
      </c>
      <c r="M2546" s="8">
        <v>1</v>
      </c>
      <c r="N2546" s="8">
        <f t="shared" ref="N2546:N2553" si="1100">IF(L2546&gt;0,1,"")</f>
        <v>1</v>
      </c>
      <c r="O2546" s="11" t="s">
        <v>1702</v>
      </c>
      <c r="P2546" s="16" t="str">
        <f t="shared" ref="P2546:P2553" si="1101">IF(LEN(G2546)=10,CONCATENATE("0",G2546),G2546)</f>
        <v>05-Mar-1907</v>
      </c>
      <c r="R2546" s="16" t="str">
        <f t="shared" si="1097"/>
        <v>x</v>
      </c>
      <c r="S2546" s="16" t="str">
        <f t="shared" si="1097"/>
        <v>x</v>
      </c>
      <c r="U2546" s="46" t="str">
        <f t="shared" si="1092"/>
        <v/>
      </c>
      <c r="V2546" s="46">
        <f t="shared" si="1092"/>
        <v>26</v>
      </c>
      <c r="W2546" s="46" t="str">
        <f t="shared" si="1092"/>
        <v/>
      </c>
      <c r="X2546" s="46" t="str">
        <f t="shared" si="1092"/>
        <v/>
      </c>
    </row>
    <row r="2547" spans="2:26" x14ac:dyDescent="0.25">
      <c r="B2547" s="11" t="str">
        <f t="shared" si="1098"/>
        <v>LBRT-03APR1907</v>
      </c>
      <c r="C2547" s="11" t="s">
        <v>2249</v>
      </c>
      <c r="D2547" s="11" t="s">
        <v>1699</v>
      </c>
      <c r="E2547" s="39" t="s">
        <v>827</v>
      </c>
      <c r="F2547" s="11" t="s">
        <v>1700</v>
      </c>
      <c r="G2547" s="39" t="s">
        <v>816</v>
      </c>
      <c r="J2547" s="17">
        <v>22</v>
      </c>
      <c r="K2547" s="17"/>
      <c r="L2547" s="7">
        <f t="shared" si="1099"/>
        <v>22</v>
      </c>
      <c r="M2547" s="8">
        <v>1</v>
      </c>
      <c r="N2547" s="8">
        <f t="shared" si="1100"/>
        <v>1</v>
      </c>
      <c r="O2547" s="11" t="s">
        <v>1702</v>
      </c>
      <c r="P2547" s="16" t="str">
        <f t="shared" si="1101"/>
        <v>03-Apr-1907</v>
      </c>
      <c r="R2547" s="16" t="str">
        <f t="shared" si="1097"/>
        <v>x</v>
      </c>
      <c r="S2547" s="16" t="str">
        <f t="shared" si="1097"/>
        <v>x</v>
      </c>
      <c r="U2547" s="46" t="str">
        <f t="shared" si="1092"/>
        <v/>
      </c>
      <c r="V2547" s="46">
        <f t="shared" si="1092"/>
        <v>22</v>
      </c>
      <c r="W2547" s="46" t="str">
        <f t="shared" si="1092"/>
        <v/>
      </c>
      <c r="X2547" s="46" t="str">
        <f t="shared" si="1092"/>
        <v/>
      </c>
      <c r="Z2547" s="11" t="s">
        <v>828</v>
      </c>
    </row>
    <row r="2548" spans="2:26" x14ac:dyDescent="0.25">
      <c r="B2548" s="11" t="str">
        <f t="shared" si="1098"/>
        <v>LBRT-01MAY1907</v>
      </c>
      <c r="C2548" s="11" t="s">
        <v>2249</v>
      </c>
      <c r="D2548" s="11" t="s">
        <v>1699</v>
      </c>
      <c r="E2548" s="39" t="s">
        <v>829</v>
      </c>
      <c r="F2548" s="11" t="s">
        <v>1700</v>
      </c>
      <c r="G2548" s="39" t="s">
        <v>817</v>
      </c>
      <c r="I2548" s="7">
        <v>0</v>
      </c>
      <c r="J2548" s="17">
        <v>7</v>
      </c>
      <c r="K2548" s="17"/>
      <c r="L2548" s="7">
        <f t="shared" si="1099"/>
        <v>7</v>
      </c>
      <c r="M2548" s="8">
        <v>1</v>
      </c>
      <c r="N2548" s="8">
        <f t="shared" si="1100"/>
        <v>1</v>
      </c>
      <c r="O2548" s="11" t="s">
        <v>1702</v>
      </c>
      <c r="P2548" s="16" t="str">
        <f t="shared" si="1101"/>
        <v>01-May-1907</v>
      </c>
      <c r="R2548" s="16" t="str">
        <f t="shared" si="1097"/>
        <v>x</v>
      </c>
      <c r="S2548" s="16" t="str">
        <f t="shared" si="1097"/>
        <v>x</v>
      </c>
      <c r="U2548" s="46" t="str">
        <f t="shared" si="1092"/>
        <v/>
      </c>
      <c r="V2548" s="46">
        <f t="shared" si="1092"/>
        <v>7</v>
      </c>
      <c r="W2548" s="46" t="str">
        <f t="shared" si="1092"/>
        <v/>
      </c>
      <c r="X2548" s="46" t="str">
        <f t="shared" si="1092"/>
        <v/>
      </c>
      <c r="Z2548" s="11" t="s">
        <v>830</v>
      </c>
    </row>
    <row r="2549" spans="2:26" x14ac:dyDescent="0.25">
      <c r="B2549" s="11" t="str">
        <f t="shared" si="1098"/>
        <v>LBRT-28MAY1907</v>
      </c>
      <c r="C2549" s="11" t="s">
        <v>2249</v>
      </c>
      <c r="D2549" s="11" t="s">
        <v>1699</v>
      </c>
      <c r="E2549" s="39" t="s">
        <v>831</v>
      </c>
      <c r="F2549" s="11" t="s">
        <v>1700</v>
      </c>
      <c r="G2549" s="39" t="s">
        <v>818</v>
      </c>
      <c r="J2549" s="17">
        <v>30</v>
      </c>
      <c r="K2549" s="17"/>
      <c r="L2549" s="7">
        <f t="shared" si="1099"/>
        <v>30</v>
      </c>
      <c r="M2549" s="8">
        <v>1</v>
      </c>
      <c r="N2549" s="8">
        <f t="shared" si="1100"/>
        <v>1</v>
      </c>
      <c r="O2549" s="11" t="s">
        <v>1702</v>
      </c>
      <c r="P2549" s="16" t="str">
        <f t="shared" si="1101"/>
        <v>28-May-1907</v>
      </c>
      <c r="R2549" s="16" t="str">
        <f t="shared" si="1097"/>
        <v>x</v>
      </c>
      <c r="S2549" s="16" t="str">
        <f t="shared" si="1097"/>
        <v>x</v>
      </c>
      <c r="U2549" s="46" t="str">
        <f t="shared" si="1092"/>
        <v/>
      </c>
      <c r="V2549" s="46">
        <f t="shared" si="1092"/>
        <v>30</v>
      </c>
      <c r="W2549" s="46" t="str">
        <f t="shared" si="1092"/>
        <v/>
      </c>
      <c r="X2549" s="46" t="str">
        <f t="shared" si="1092"/>
        <v/>
      </c>
      <c r="Z2549" s="11" t="s">
        <v>828</v>
      </c>
    </row>
    <row r="2550" spans="2:26" x14ac:dyDescent="0.25">
      <c r="B2550" s="11" t="str">
        <f t="shared" si="1098"/>
        <v>LBRT-15JUL1907</v>
      </c>
      <c r="C2550" s="11" t="s">
        <v>2249</v>
      </c>
      <c r="D2550" s="11" t="s">
        <v>1699</v>
      </c>
      <c r="E2550" s="39" t="s">
        <v>832</v>
      </c>
      <c r="F2550" s="11" t="s">
        <v>1700</v>
      </c>
      <c r="G2550" s="39" t="s">
        <v>819</v>
      </c>
      <c r="H2550" s="7">
        <v>0</v>
      </c>
      <c r="I2550" s="7">
        <v>0</v>
      </c>
      <c r="J2550" s="17">
        <v>56</v>
      </c>
      <c r="K2550" s="17"/>
      <c r="L2550" s="7">
        <f t="shared" si="1099"/>
        <v>56</v>
      </c>
      <c r="M2550" s="8">
        <v>1</v>
      </c>
      <c r="N2550" s="8">
        <f t="shared" si="1100"/>
        <v>1</v>
      </c>
      <c r="O2550" s="11" t="s">
        <v>1702</v>
      </c>
      <c r="P2550" s="16" t="str">
        <f t="shared" si="1101"/>
        <v>15-Jul-1907</v>
      </c>
      <c r="R2550" s="16" t="str">
        <f t="shared" si="1097"/>
        <v>x</v>
      </c>
      <c r="S2550" s="16" t="str">
        <f t="shared" si="1097"/>
        <v>x</v>
      </c>
      <c r="U2550" s="46" t="str">
        <f t="shared" si="1092"/>
        <v/>
      </c>
      <c r="V2550" s="46">
        <f t="shared" si="1092"/>
        <v>56</v>
      </c>
      <c r="W2550" s="46" t="str">
        <f t="shared" si="1092"/>
        <v/>
      </c>
      <c r="X2550" s="46" t="str">
        <f t="shared" si="1092"/>
        <v/>
      </c>
    </row>
    <row r="2551" spans="2:26" x14ac:dyDescent="0.25">
      <c r="B2551" s="11" t="str">
        <f t="shared" si="1098"/>
        <v>LBRT-12AUG1907</v>
      </c>
      <c r="C2551" s="11" t="s">
        <v>2249</v>
      </c>
      <c r="D2551" s="11" t="s">
        <v>1699</v>
      </c>
      <c r="E2551" s="39" t="s">
        <v>833</v>
      </c>
      <c r="F2551" s="11" t="s">
        <v>1700</v>
      </c>
      <c r="G2551" s="39" t="s">
        <v>820</v>
      </c>
      <c r="H2551" s="7">
        <v>0</v>
      </c>
      <c r="I2551" s="7">
        <v>0</v>
      </c>
      <c r="J2551" s="17">
        <v>23</v>
      </c>
      <c r="K2551" s="17"/>
      <c r="L2551" s="7">
        <f t="shared" si="1099"/>
        <v>23</v>
      </c>
      <c r="M2551" s="8">
        <v>1</v>
      </c>
      <c r="N2551" s="8">
        <f t="shared" si="1100"/>
        <v>1</v>
      </c>
      <c r="O2551" s="11" t="s">
        <v>1702</v>
      </c>
      <c r="P2551" s="16" t="str">
        <f t="shared" si="1101"/>
        <v>12-Aug-1907</v>
      </c>
      <c r="R2551" s="16" t="str">
        <f t="shared" si="1097"/>
        <v>x</v>
      </c>
      <c r="S2551" s="16" t="str">
        <f t="shared" si="1097"/>
        <v>x</v>
      </c>
      <c r="U2551" s="46" t="str">
        <f t="shared" si="1092"/>
        <v/>
      </c>
      <c r="V2551" s="46">
        <f t="shared" si="1092"/>
        <v>23</v>
      </c>
      <c r="W2551" s="46" t="str">
        <f t="shared" si="1092"/>
        <v/>
      </c>
      <c r="X2551" s="46" t="str">
        <f t="shared" si="1092"/>
        <v/>
      </c>
    </row>
    <row r="2552" spans="2:26" x14ac:dyDescent="0.25">
      <c r="B2552" s="11" t="str">
        <f t="shared" si="1098"/>
        <v>LBRT-23SEP1907</v>
      </c>
      <c r="C2552" s="11" t="s">
        <v>2249</v>
      </c>
      <c r="D2552" s="11" t="s">
        <v>1699</v>
      </c>
      <c r="E2552" s="39" t="s">
        <v>834</v>
      </c>
      <c r="F2552" s="11" t="s">
        <v>1700</v>
      </c>
      <c r="G2552" s="39" t="s">
        <v>821</v>
      </c>
      <c r="I2552" s="7">
        <v>1</v>
      </c>
      <c r="J2552" s="17">
        <v>40</v>
      </c>
      <c r="K2552" s="17"/>
      <c r="L2552" s="7">
        <f t="shared" si="1099"/>
        <v>41</v>
      </c>
      <c r="M2552" s="8">
        <v>1</v>
      </c>
      <c r="N2552" s="8">
        <f t="shared" si="1100"/>
        <v>1</v>
      </c>
      <c r="O2552" s="11" t="s">
        <v>1702</v>
      </c>
      <c r="P2552" s="16" t="str">
        <f t="shared" si="1101"/>
        <v>23-Sep-1907</v>
      </c>
      <c r="R2552" s="16" t="str">
        <f t="shared" si="1097"/>
        <v>x</v>
      </c>
      <c r="S2552" s="16" t="str">
        <f t="shared" si="1097"/>
        <v>x</v>
      </c>
      <c r="U2552" s="46" t="str">
        <f t="shared" si="1092"/>
        <v/>
      </c>
      <c r="V2552" s="46">
        <f t="shared" si="1092"/>
        <v>41</v>
      </c>
      <c r="W2552" s="46" t="str">
        <f t="shared" si="1092"/>
        <v/>
      </c>
      <c r="X2552" s="46" t="str">
        <f t="shared" si="1092"/>
        <v/>
      </c>
    </row>
    <row r="2553" spans="2:26" x14ac:dyDescent="0.25">
      <c r="B2553" s="11" t="str">
        <f t="shared" si="1098"/>
        <v>LBRT-21OCT1907</v>
      </c>
      <c r="C2553" s="11" t="s">
        <v>2249</v>
      </c>
      <c r="D2553" s="11" t="s">
        <v>1699</v>
      </c>
      <c r="E2553" s="39" t="s">
        <v>1808</v>
      </c>
      <c r="F2553" s="11" t="s">
        <v>1700</v>
      </c>
      <c r="G2553" s="39" t="s">
        <v>822</v>
      </c>
      <c r="I2553" s="7">
        <v>0</v>
      </c>
      <c r="J2553" s="17">
        <v>45</v>
      </c>
      <c r="K2553" s="17"/>
      <c r="L2553" s="7">
        <f t="shared" si="1099"/>
        <v>45</v>
      </c>
      <c r="M2553" s="8">
        <v>1</v>
      </c>
      <c r="N2553" s="8">
        <f t="shared" si="1100"/>
        <v>1</v>
      </c>
      <c r="O2553" s="11" t="s">
        <v>1702</v>
      </c>
      <c r="P2553" s="16" t="str">
        <f t="shared" si="1101"/>
        <v>21-Oct-1907</v>
      </c>
      <c r="R2553" s="16" t="str">
        <f t="shared" si="1097"/>
        <v>x</v>
      </c>
      <c r="S2553" s="16" t="str">
        <f t="shared" si="1097"/>
        <v>x</v>
      </c>
      <c r="U2553" s="46" t="str">
        <f t="shared" si="1092"/>
        <v/>
      </c>
      <c r="V2553" s="46">
        <f t="shared" si="1092"/>
        <v>45</v>
      </c>
      <c r="W2553" s="46" t="str">
        <f t="shared" si="1092"/>
        <v/>
      </c>
      <c r="X2553" s="46" t="str">
        <f t="shared" si="1092"/>
        <v/>
      </c>
    </row>
    <row r="2554" spans="2:26" x14ac:dyDescent="0.25">
      <c r="B2554" s="11" t="str">
        <f t="shared" si="1070"/>
        <v>LBRT-24DEC1907</v>
      </c>
      <c r="C2554" s="11" t="s">
        <v>2249</v>
      </c>
      <c r="D2554" s="11" t="s">
        <v>1699</v>
      </c>
      <c r="E2554" s="39" t="s">
        <v>2252</v>
      </c>
      <c r="F2554" s="11" t="s">
        <v>1700</v>
      </c>
      <c r="G2554" s="39" t="s">
        <v>2253</v>
      </c>
      <c r="H2554" s="7">
        <v>0</v>
      </c>
      <c r="I2554" s="7">
        <v>0</v>
      </c>
      <c r="J2554" s="17">
        <v>49</v>
      </c>
      <c r="K2554" s="17"/>
      <c r="L2554" s="7">
        <f t="shared" ref="L2554:L2564" si="1102">SUM(H2554:K2554)</f>
        <v>49</v>
      </c>
      <c r="M2554" s="8">
        <v>1</v>
      </c>
      <c r="N2554" s="8">
        <f t="shared" ref="N2554:N2564" si="1103">IF(L2554&gt;0,1,"")</f>
        <v>1</v>
      </c>
      <c r="O2554" s="11" t="s">
        <v>1702</v>
      </c>
      <c r="P2554" s="16" t="str">
        <f t="shared" ref="P2554:P2564" si="1104">IF(LEN(G2554)=10,CONCATENATE("0",G2554),G2554)</f>
        <v>24-Dec-1907</v>
      </c>
      <c r="R2554" s="16" t="str">
        <f t="shared" si="1097"/>
        <v>x</v>
      </c>
      <c r="S2554" s="16" t="str">
        <f t="shared" si="1097"/>
        <v>x</v>
      </c>
      <c r="U2554" s="46" t="str">
        <f t="shared" si="1092"/>
        <v/>
      </c>
      <c r="V2554" s="46">
        <f t="shared" si="1092"/>
        <v>49</v>
      </c>
      <c r="W2554" s="46" t="str">
        <f t="shared" si="1092"/>
        <v/>
      </c>
      <c r="X2554" s="46" t="str">
        <f t="shared" si="1092"/>
        <v/>
      </c>
    </row>
    <row r="2555" spans="2:26" x14ac:dyDescent="0.25">
      <c r="B2555" s="11" t="str">
        <f t="shared" ref="B2555:B2564" si="1105">CONCATENATE("LBRT","-",LEFT(P2555,2),UPPER(MID(P2555,4,3)),RIGHT(P2555,4))</f>
        <v>LBRT-21JAN1908</v>
      </c>
      <c r="C2555" s="11" t="s">
        <v>2249</v>
      </c>
      <c r="D2555" s="11" t="s">
        <v>1699</v>
      </c>
      <c r="E2555" s="39" t="s">
        <v>840</v>
      </c>
      <c r="F2555" s="11" t="s">
        <v>1700</v>
      </c>
      <c r="G2555" s="39" t="s">
        <v>841</v>
      </c>
      <c r="H2555" s="7">
        <v>0</v>
      </c>
      <c r="I2555" s="7">
        <v>0</v>
      </c>
      <c r="J2555" s="17">
        <v>29</v>
      </c>
      <c r="K2555" s="17"/>
      <c r="L2555" s="7">
        <f t="shared" si="1102"/>
        <v>29</v>
      </c>
      <c r="M2555" s="8">
        <v>1</v>
      </c>
      <c r="N2555" s="8">
        <f t="shared" si="1103"/>
        <v>1</v>
      </c>
      <c r="O2555" s="11" t="s">
        <v>1702</v>
      </c>
      <c r="P2555" s="16" t="str">
        <f t="shared" si="1104"/>
        <v>21-Jan-1908</v>
      </c>
      <c r="R2555" s="16" t="str">
        <f t="shared" si="1097"/>
        <v>x</v>
      </c>
      <c r="S2555" s="16" t="str">
        <f t="shared" si="1097"/>
        <v>x</v>
      </c>
      <c r="U2555" s="46" t="str">
        <f t="shared" si="1092"/>
        <v/>
      </c>
      <c r="V2555" s="46">
        <f t="shared" si="1092"/>
        <v>29</v>
      </c>
      <c r="W2555" s="46" t="str">
        <f t="shared" si="1092"/>
        <v/>
      </c>
      <c r="X2555" s="46" t="str">
        <f t="shared" si="1092"/>
        <v/>
      </c>
    </row>
    <row r="2556" spans="2:26" x14ac:dyDescent="0.25">
      <c r="B2556" s="11" t="str">
        <f t="shared" si="1105"/>
        <v>LBRT-17FEB1908</v>
      </c>
      <c r="C2556" s="11" t="s">
        <v>2249</v>
      </c>
      <c r="D2556" s="11" t="s">
        <v>1699</v>
      </c>
      <c r="E2556" s="39" t="s">
        <v>842</v>
      </c>
      <c r="F2556" s="11" t="s">
        <v>1700</v>
      </c>
      <c r="G2556" s="39" t="s">
        <v>835</v>
      </c>
      <c r="H2556" s="7">
        <v>0</v>
      </c>
      <c r="I2556" s="7">
        <v>0</v>
      </c>
      <c r="J2556" s="17">
        <v>40</v>
      </c>
      <c r="K2556" s="17"/>
      <c r="L2556" s="7">
        <f t="shared" si="1102"/>
        <v>40</v>
      </c>
      <c r="M2556" s="8">
        <v>1</v>
      </c>
      <c r="N2556" s="8">
        <f t="shared" si="1103"/>
        <v>1</v>
      </c>
      <c r="O2556" s="11" t="s">
        <v>1702</v>
      </c>
      <c r="P2556" s="16" t="str">
        <f t="shared" si="1104"/>
        <v>17-Feb-1908</v>
      </c>
      <c r="R2556" s="16" t="str">
        <f t="shared" si="1097"/>
        <v>x</v>
      </c>
      <c r="S2556" s="16" t="str">
        <f t="shared" si="1097"/>
        <v>x</v>
      </c>
      <c r="U2556" s="46" t="str">
        <f t="shared" si="1092"/>
        <v/>
      </c>
      <c r="V2556" s="46">
        <f t="shared" si="1092"/>
        <v>40</v>
      </c>
      <c r="W2556" s="46" t="str">
        <f t="shared" si="1092"/>
        <v/>
      </c>
      <c r="X2556" s="46" t="str">
        <f t="shared" si="1092"/>
        <v/>
      </c>
    </row>
    <row r="2557" spans="2:26" x14ac:dyDescent="0.25">
      <c r="B2557" s="11" t="str">
        <f t="shared" si="1105"/>
        <v>LBRT-15MAR1908</v>
      </c>
      <c r="C2557" s="11" t="s">
        <v>2249</v>
      </c>
      <c r="D2557" s="11" t="s">
        <v>1699</v>
      </c>
      <c r="E2557" s="39" t="s">
        <v>843</v>
      </c>
      <c r="F2557" s="11" t="s">
        <v>1700</v>
      </c>
      <c r="G2557" s="39" t="s">
        <v>836</v>
      </c>
      <c r="H2557" s="7">
        <v>0</v>
      </c>
      <c r="I2557" s="7">
        <v>2</v>
      </c>
      <c r="J2557" s="17">
        <v>30</v>
      </c>
      <c r="K2557" s="17"/>
      <c r="L2557" s="7">
        <f t="shared" si="1102"/>
        <v>32</v>
      </c>
      <c r="M2557" s="8">
        <v>1</v>
      </c>
      <c r="N2557" s="8">
        <f t="shared" si="1103"/>
        <v>1</v>
      </c>
      <c r="O2557" s="11" t="s">
        <v>1702</v>
      </c>
      <c r="P2557" s="16" t="str">
        <f t="shared" si="1104"/>
        <v>15-Mar-1908</v>
      </c>
      <c r="R2557" s="16" t="str">
        <f t="shared" si="1097"/>
        <v>x</v>
      </c>
      <c r="S2557" s="16" t="str">
        <f t="shared" si="1097"/>
        <v>x</v>
      </c>
      <c r="U2557" s="46" t="str">
        <f t="shared" si="1092"/>
        <v/>
      </c>
      <c r="V2557" s="46">
        <f t="shared" si="1092"/>
        <v>32</v>
      </c>
      <c r="W2557" s="46" t="str">
        <f t="shared" si="1092"/>
        <v/>
      </c>
      <c r="X2557" s="46" t="str">
        <f t="shared" si="1092"/>
        <v/>
      </c>
    </row>
    <row r="2558" spans="2:26" x14ac:dyDescent="0.25">
      <c r="B2558" s="11" t="str">
        <f t="shared" si="1105"/>
        <v>LBRT-13JUL1908</v>
      </c>
      <c r="C2558" s="11" t="s">
        <v>2249</v>
      </c>
      <c r="D2558" s="11" t="s">
        <v>1699</v>
      </c>
      <c r="E2558" s="39" t="s">
        <v>1824</v>
      </c>
      <c r="F2558" s="11" t="s">
        <v>1700</v>
      </c>
      <c r="G2558" s="39" t="s">
        <v>837</v>
      </c>
      <c r="H2558" s="7">
        <v>0</v>
      </c>
      <c r="I2558" s="7">
        <v>0</v>
      </c>
      <c r="J2558" s="17">
        <v>22</v>
      </c>
      <c r="K2558" s="17"/>
      <c r="L2558" s="7">
        <f t="shared" si="1102"/>
        <v>22</v>
      </c>
      <c r="M2558" s="8">
        <v>1</v>
      </c>
      <c r="N2558" s="8">
        <f t="shared" si="1103"/>
        <v>1</v>
      </c>
      <c r="O2558" s="11" t="s">
        <v>1702</v>
      </c>
      <c r="P2558" s="16" t="str">
        <f t="shared" si="1104"/>
        <v>13-Jul-1908</v>
      </c>
      <c r="R2558" s="16" t="str">
        <f t="shared" si="1097"/>
        <v>x</v>
      </c>
      <c r="S2558" s="16" t="str">
        <f t="shared" si="1097"/>
        <v>x</v>
      </c>
      <c r="U2558" s="46" t="str">
        <f t="shared" si="1092"/>
        <v/>
      </c>
      <c r="V2558" s="46">
        <f t="shared" si="1092"/>
        <v>22</v>
      </c>
      <c r="W2558" s="46" t="str">
        <f t="shared" si="1092"/>
        <v/>
      </c>
      <c r="X2558" s="46" t="str">
        <f t="shared" si="1092"/>
        <v/>
      </c>
    </row>
    <row r="2559" spans="2:26" x14ac:dyDescent="0.25">
      <c r="B2559" s="11" t="str">
        <f t="shared" si="1105"/>
        <v>LBRT-09AUG1908</v>
      </c>
      <c r="C2559" s="11" t="s">
        <v>2249</v>
      </c>
      <c r="D2559" s="11" t="s">
        <v>1699</v>
      </c>
      <c r="E2559" s="39" t="s">
        <v>844</v>
      </c>
      <c r="F2559" s="11" t="s">
        <v>1700</v>
      </c>
      <c r="G2559" s="39" t="s">
        <v>838</v>
      </c>
      <c r="H2559" s="7">
        <v>0</v>
      </c>
      <c r="I2559" s="7">
        <v>0</v>
      </c>
      <c r="J2559" s="17">
        <v>17</v>
      </c>
      <c r="K2559" s="17"/>
      <c r="L2559" s="7">
        <f t="shared" si="1102"/>
        <v>17</v>
      </c>
      <c r="M2559" s="8">
        <v>1</v>
      </c>
      <c r="N2559" s="8">
        <f t="shared" si="1103"/>
        <v>1</v>
      </c>
      <c r="O2559" s="11" t="s">
        <v>1702</v>
      </c>
      <c r="P2559" s="16" t="str">
        <f t="shared" si="1104"/>
        <v>09-Aug-1908</v>
      </c>
      <c r="R2559" s="16" t="str">
        <f t="shared" si="1097"/>
        <v>x</v>
      </c>
      <c r="S2559" s="16" t="str">
        <f t="shared" si="1097"/>
        <v>x</v>
      </c>
      <c r="U2559" s="46" t="str">
        <f t="shared" si="1092"/>
        <v/>
      </c>
      <c r="V2559" s="46">
        <f t="shared" si="1092"/>
        <v>17</v>
      </c>
      <c r="W2559" s="46" t="str">
        <f t="shared" si="1092"/>
        <v/>
      </c>
      <c r="X2559" s="46" t="str">
        <f t="shared" si="1092"/>
        <v/>
      </c>
    </row>
    <row r="2560" spans="2:26" x14ac:dyDescent="0.25">
      <c r="B2560" s="11" t="str">
        <f t="shared" si="1105"/>
        <v>LBRT-15DEC1908</v>
      </c>
      <c r="C2560" s="11" t="s">
        <v>2249</v>
      </c>
      <c r="D2560" s="11" t="s">
        <v>1699</v>
      </c>
      <c r="E2560" s="39" t="s">
        <v>845</v>
      </c>
      <c r="F2560" s="11" t="s">
        <v>1700</v>
      </c>
      <c r="G2560" s="39" t="s">
        <v>839</v>
      </c>
      <c r="H2560" s="7">
        <v>0</v>
      </c>
      <c r="I2560" s="7">
        <v>2</v>
      </c>
      <c r="J2560" s="17">
        <v>37</v>
      </c>
      <c r="K2560" s="17"/>
      <c r="L2560" s="7">
        <f t="shared" si="1102"/>
        <v>39</v>
      </c>
      <c r="M2560" s="8">
        <v>1</v>
      </c>
      <c r="N2560" s="8">
        <f t="shared" si="1103"/>
        <v>1</v>
      </c>
      <c r="O2560" s="11" t="s">
        <v>1702</v>
      </c>
      <c r="P2560" s="16" t="str">
        <f t="shared" si="1104"/>
        <v>15-Dec-1908</v>
      </c>
      <c r="R2560" s="16" t="str">
        <f t="shared" si="1097"/>
        <v>x</v>
      </c>
      <c r="S2560" s="16" t="str">
        <f t="shared" si="1097"/>
        <v>x</v>
      </c>
      <c r="U2560" s="46" t="str">
        <f t="shared" si="1092"/>
        <v/>
      </c>
      <c r="V2560" s="46">
        <f t="shared" si="1092"/>
        <v>39</v>
      </c>
      <c r="W2560" s="46" t="str">
        <f t="shared" si="1092"/>
        <v/>
      </c>
      <c r="X2560" s="46" t="str">
        <f t="shared" si="1092"/>
        <v/>
      </c>
    </row>
    <row r="2561" spans="2:24" x14ac:dyDescent="0.25">
      <c r="B2561" s="11" t="str">
        <f t="shared" si="1105"/>
        <v>LBRT-11JAN1909</v>
      </c>
      <c r="C2561" s="11" t="s">
        <v>2249</v>
      </c>
      <c r="D2561" s="11" t="s">
        <v>1699</v>
      </c>
      <c r="E2561" s="39" t="s">
        <v>858</v>
      </c>
      <c r="F2561" s="11" t="s">
        <v>1700</v>
      </c>
      <c r="G2561" s="39" t="s">
        <v>850</v>
      </c>
      <c r="H2561" s="7">
        <v>0</v>
      </c>
      <c r="I2561" s="7">
        <v>1</v>
      </c>
      <c r="J2561" s="17">
        <v>58</v>
      </c>
      <c r="K2561" s="17"/>
      <c r="L2561" s="7">
        <f t="shared" si="1102"/>
        <v>59</v>
      </c>
      <c r="M2561" s="8">
        <v>1</v>
      </c>
      <c r="N2561" s="8">
        <f t="shared" si="1103"/>
        <v>1</v>
      </c>
      <c r="O2561" s="11" t="s">
        <v>1702</v>
      </c>
      <c r="P2561" s="16" t="str">
        <f t="shared" si="1104"/>
        <v>11-Jan-1909</v>
      </c>
      <c r="R2561" s="16" t="str">
        <f t="shared" si="1097"/>
        <v>x</v>
      </c>
      <c r="S2561" s="16" t="str">
        <f t="shared" si="1097"/>
        <v>x</v>
      </c>
      <c r="U2561" s="46" t="str">
        <f t="shared" si="1092"/>
        <v/>
      </c>
      <c r="V2561" s="46">
        <f t="shared" si="1092"/>
        <v>59</v>
      </c>
      <c r="W2561" s="46" t="str">
        <f t="shared" si="1092"/>
        <v/>
      </c>
      <c r="X2561" s="46" t="str">
        <f t="shared" si="1092"/>
        <v/>
      </c>
    </row>
    <row r="2562" spans="2:24" x14ac:dyDescent="0.25">
      <c r="B2562" s="11" t="str">
        <f t="shared" si="1105"/>
        <v>LBRT-08FEB1909</v>
      </c>
      <c r="C2562" s="11" t="s">
        <v>2249</v>
      </c>
      <c r="D2562" s="11" t="s">
        <v>1699</v>
      </c>
      <c r="E2562" s="39" t="s">
        <v>859</v>
      </c>
      <c r="F2562" s="11" t="s">
        <v>1700</v>
      </c>
      <c r="G2562" s="39" t="s">
        <v>851</v>
      </c>
      <c r="H2562" s="7">
        <v>0</v>
      </c>
      <c r="I2562" s="7">
        <v>0</v>
      </c>
      <c r="J2562" s="17">
        <v>19</v>
      </c>
      <c r="K2562" s="17"/>
      <c r="L2562" s="7">
        <f t="shared" si="1102"/>
        <v>19</v>
      </c>
      <c r="M2562" s="8">
        <v>1</v>
      </c>
      <c r="N2562" s="8">
        <f t="shared" si="1103"/>
        <v>1</v>
      </c>
      <c r="O2562" s="11" t="s">
        <v>1702</v>
      </c>
      <c r="P2562" s="16" t="str">
        <f t="shared" si="1104"/>
        <v>08-Feb-1909</v>
      </c>
      <c r="R2562" s="16" t="str">
        <f t="shared" si="1097"/>
        <v>x</v>
      </c>
      <c r="S2562" s="16" t="str">
        <f t="shared" si="1097"/>
        <v>x</v>
      </c>
      <c r="T2562" s="11"/>
      <c r="U2562" s="46" t="str">
        <f t="shared" si="1092"/>
        <v/>
      </c>
      <c r="V2562" s="46">
        <f t="shared" si="1092"/>
        <v>19</v>
      </c>
      <c r="W2562" s="46" t="str">
        <f t="shared" si="1092"/>
        <v/>
      </c>
      <c r="X2562" s="46" t="str">
        <f t="shared" si="1092"/>
        <v/>
      </c>
    </row>
    <row r="2563" spans="2:24" x14ac:dyDescent="0.25">
      <c r="B2563" s="11" t="str">
        <f t="shared" si="1105"/>
        <v>LBRT-08MAR1909</v>
      </c>
      <c r="C2563" s="11" t="s">
        <v>2249</v>
      </c>
      <c r="D2563" s="11" t="s">
        <v>1699</v>
      </c>
      <c r="E2563" s="39" t="s">
        <v>860</v>
      </c>
      <c r="F2563" s="11" t="s">
        <v>1700</v>
      </c>
      <c r="G2563" s="39" t="s">
        <v>852</v>
      </c>
      <c r="H2563" s="7">
        <v>0</v>
      </c>
      <c r="I2563" s="7">
        <v>0</v>
      </c>
      <c r="J2563" s="17">
        <v>0</v>
      </c>
      <c r="K2563" s="17"/>
      <c r="L2563" s="7">
        <f t="shared" si="1102"/>
        <v>0</v>
      </c>
      <c r="M2563" s="8">
        <v>1</v>
      </c>
      <c r="N2563" s="8" t="str">
        <f t="shared" si="1103"/>
        <v/>
      </c>
      <c r="O2563" s="11" t="s">
        <v>1702</v>
      </c>
      <c r="P2563" s="16" t="str">
        <f t="shared" si="1104"/>
        <v>08-Mar-1909</v>
      </c>
      <c r="R2563" s="16" t="str">
        <f t="shared" si="1097"/>
        <v/>
      </c>
      <c r="S2563" s="16" t="str">
        <f t="shared" si="1097"/>
        <v/>
      </c>
      <c r="T2563" s="11"/>
      <c r="U2563" s="46" t="str">
        <f t="shared" si="1092"/>
        <v/>
      </c>
      <c r="V2563" s="46">
        <f t="shared" si="1092"/>
        <v>0</v>
      </c>
      <c r="W2563" s="46" t="str">
        <f t="shared" si="1092"/>
        <v/>
      </c>
      <c r="X2563" s="46" t="str">
        <f t="shared" si="1092"/>
        <v/>
      </c>
    </row>
    <row r="2564" spans="2:24" x14ac:dyDescent="0.25">
      <c r="B2564" s="11" t="str">
        <f t="shared" si="1105"/>
        <v>LBRT-01APR1909</v>
      </c>
      <c r="C2564" s="11" t="s">
        <v>2249</v>
      </c>
      <c r="D2564" s="11" t="s">
        <v>1699</v>
      </c>
      <c r="E2564" s="39" t="s">
        <v>861</v>
      </c>
      <c r="F2564" s="11" t="s">
        <v>1700</v>
      </c>
      <c r="G2564" s="39" t="s">
        <v>853</v>
      </c>
      <c r="H2564" s="7">
        <v>0</v>
      </c>
      <c r="I2564" s="7">
        <v>0</v>
      </c>
      <c r="J2564" s="17">
        <v>2</v>
      </c>
      <c r="K2564" s="17"/>
      <c r="L2564" s="7">
        <f t="shared" si="1102"/>
        <v>2</v>
      </c>
      <c r="M2564" s="8">
        <v>1</v>
      </c>
      <c r="N2564" s="8">
        <f t="shared" si="1103"/>
        <v>1</v>
      </c>
      <c r="O2564" s="11" t="s">
        <v>1702</v>
      </c>
      <c r="P2564" s="16" t="str">
        <f t="shared" si="1104"/>
        <v>01-Apr-1909</v>
      </c>
      <c r="R2564" s="16" t="str">
        <f t="shared" si="1097"/>
        <v>x</v>
      </c>
      <c r="S2564" s="16" t="str">
        <f t="shared" si="1097"/>
        <v>x</v>
      </c>
      <c r="T2564" s="11"/>
      <c r="U2564" s="46" t="str">
        <f t="shared" si="1092"/>
        <v/>
      </c>
      <c r="V2564" s="46">
        <f t="shared" si="1092"/>
        <v>2</v>
      </c>
      <c r="W2564" s="46" t="str">
        <f t="shared" si="1092"/>
        <v/>
      </c>
      <c r="X2564" s="46" t="str">
        <f t="shared" si="1092"/>
        <v/>
      </c>
    </row>
    <row r="2565" spans="2:24" x14ac:dyDescent="0.25">
      <c r="B2565" s="11" t="str">
        <f t="shared" ref="B2565:B2570" si="1106">CONCATENATE("LBRT","-",LEFT(P2565,2),UPPER(MID(P2565,4,3)),RIGHT(P2565,4))</f>
        <v>LBRT-25APR1909</v>
      </c>
      <c r="C2565" s="11" t="s">
        <v>2249</v>
      </c>
      <c r="D2565" s="11" t="s">
        <v>1699</v>
      </c>
      <c r="E2565" s="39" t="s">
        <v>862</v>
      </c>
      <c r="F2565" s="11" t="s">
        <v>1700</v>
      </c>
      <c r="G2565" s="39" t="s">
        <v>854</v>
      </c>
      <c r="H2565" s="7">
        <v>0</v>
      </c>
      <c r="I2565" s="7">
        <v>0</v>
      </c>
      <c r="J2565" s="17">
        <v>3</v>
      </c>
      <c r="K2565" s="17"/>
      <c r="L2565" s="7">
        <f t="shared" ref="L2565:L2570" si="1107">SUM(H2565:K2565)</f>
        <v>3</v>
      </c>
      <c r="M2565" s="8">
        <v>1</v>
      </c>
      <c r="N2565" s="8">
        <f t="shared" ref="N2565:N2570" si="1108">IF(L2565&gt;0,1,"")</f>
        <v>1</v>
      </c>
      <c r="O2565" s="11" t="s">
        <v>1702</v>
      </c>
      <c r="P2565" s="16" t="str">
        <f t="shared" ref="P2565:P2570" si="1109">IF(LEN(G2565)=10,CONCATENATE("0",G2565),G2565)</f>
        <v>25-Apr-1909</v>
      </c>
      <c r="R2565" s="16" t="str">
        <f t="shared" si="1097"/>
        <v>x</v>
      </c>
      <c r="S2565" s="16" t="str">
        <f t="shared" si="1097"/>
        <v>x</v>
      </c>
      <c r="T2565" s="11"/>
      <c r="U2565" s="46" t="str">
        <f t="shared" si="1092"/>
        <v/>
      </c>
      <c r="V2565" s="46">
        <f t="shared" si="1092"/>
        <v>3</v>
      </c>
      <c r="W2565" s="46" t="str">
        <f t="shared" si="1092"/>
        <v/>
      </c>
      <c r="X2565" s="46" t="str">
        <f t="shared" si="1092"/>
        <v/>
      </c>
    </row>
    <row r="2566" spans="2:24" x14ac:dyDescent="0.25">
      <c r="B2566" s="11" t="str">
        <f t="shared" si="1106"/>
        <v>LBRT-24MAY1909</v>
      </c>
      <c r="C2566" s="11" t="s">
        <v>2249</v>
      </c>
      <c r="D2566" s="11" t="s">
        <v>1699</v>
      </c>
      <c r="E2566" s="39" t="s">
        <v>864</v>
      </c>
      <c r="F2566" s="11" t="s">
        <v>1700</v>
      </c>
      <c r="G2566" s="39" t="s">
        <v>863</v>
      </c>
      <c r="H2566" s="7">
        <v>0</v>
      </c>
      <c r="I2566" s="7">
        <v>1</v>
      </c>
      <c r="J2566" s="17">
        <v>65</v>
      </c>
      <c r="K2566" s="17"/>
      <c r="L2566" s="7">
        <f t="shared" si="1107"/>
        <v>66</v>
      </c>
      <c r="M2566" s="8">
        <v>1</v>
      </c>
      <c r="N2566" s="8">
        <f t="shared" si="1108"/>
        <v>1</v>
      </c>
      <c r="O2566" s="11" t="s">
        <v>1702</v>
      </c>
      <c r="P2566" s="16" t="str">
        <f t="shared" si="1109"/>
        <v>24-May-1909</v>
      </c>
      <c r="R2566" s="16" t="str">
        <f t="shared" si="1097"/>
        <v>x</v>
      </c>
      <c r="S2566" s="16" t="str">
        <f t="shared" si="1097"/>
        <v>x</v>
      </c>
      <c r="T2566" s="11"/>
      <c r="U2566" s="46" t="str">
        <f t="shared" si="1092"/>
        <v/>
      </c>
      <c r="V2566" s="46">
        <f t="shared" si="1092"/>
        <v>66</v>
      </c>
      <c r="W2566" s="46" t="str">
        <f t="shared" si="1092"/>
        <v/>
      </c>
      <c r="X2566" s="46" t="str">
        <f t="shared" si="1092"/>
        <v/>
      </c>
    </row>
    <row r="2567" spans="2:24" x14ac:dyDescent="0.25">
      <c r="B2567" s="11" t="str">
        <f t="shared" si="1106"/>
        <v>LBRT-19JUL1909</v>
      </c>
      <c r="C2567" s="11" t="s">
        <v>2249</v>
      </c>
      <c r="D2567" s="11" t="s">
        <v>1699</v>
      </c>
      <c r="E2567" s="39" t="s">
        <v>2047</v>
      </c>
      <c r="F2567" s="11" t="s">
        <v>1700</v>
      </c>
      <c r="G2567" s="39" t="s">
        <v>855</v>
      </c>
      <c r="H2567" s="7">
        <v>0</v>
      </c>
      <c r="I2567" s="7">
        <v>0</v>
      </c>
      <c r="J2567" s="17">
        <v>22</v>
      </c>
      <c r="K2567" s="17"/>
      <c r="L2567" s="7">
        <f t="shared" si="1107"/>
        <v>22</v>
      </c>
      <c r="M2567" s="8">
        <v>1</v>
      </c>
      <c r="N2567" s="8">
        <f t="shared" si="1108"/>
        <v>1</v>
      </c>
      <c r="O2567" s="11" t="s">
        <v>1702</v>
      </c>
      <c r="P2567" s="16" t="str">
        <f t="shared" si="1109"/>
        <v>19-Jul-1909</v>
      </c>
      <c r="R2567" s="16" t="str">
        <f t="shared" si="1097"/>
        <v>x</v>
      </c>
      <c r="S2567" s="16" t="str">
        <f t="shared" si="1097"/>
        <v>x</v>
      </c>
      <c r="T2567" s="11"/>
      <c r="U2567" s="46" t="str">
        <f t="shared" si="1092"/>
        <v/>
      </c>
      <c r="V2567" s="46">
        <f t="shared" si="1092"/>
        <v>22</v>
      </c>
      <c r="W2567" s="46" t="str">
        <f t="shared" si="1092"/>
        <v/>
      </c>
      <c r="X2567" s="46" t="str">
        <f t="shared" si="1092"/>
        <v/>
      </c>
    </row>
    <row r="2568" spans="2:24" x14ac:dyDescent="0.25">
      <c r="B2568" s="11" t="str">
        <f t="shared" si="1106"/>
        <v>LBRT-15AUG1909</v>
      </c>
      <c r="C2568" s="11" t="s">
        <v>2249</v>
      </c>
      <c r="D2568" s="11" t="s">
        <v>1699</v>
      </c>
      <c r="E2568" s="39" t="s">
        <v>865</v>
      </c>
      <c r="F2568" s="11" t="s">
        <v>1700</v>
      </c>
      <c r="G2568" s="39" t="s">
        <v>856</v>
      </c>
      <c r="H2568" s="7">
        <v>0</v>
      </c>
      <c r="I2568" s="7">
        <v>0</v>
      </c>
      <c r="J2568" s="17">
        <v>47</v>
      </c>
      <c r="K2568" s="17"/>
      <c r="L2568" s="7">
        <f t="shared" si="1107"/>
        <v>47</v>
      </c>
      <c r="M2568" s="8">
        <v>1</v>
      </c>
      <c r="N2568" s="8">
        <f t="shared" si="1108"/>
        <v>1</v>
      </c>
      <c r="O2568" s="11" t="s">
        <v>1702</v>
      </c>
      <c r="P2568" s="16" t="str">
        <f t="shared" si="1109"/>
        <v>15-Aug-1909</v>
      </c>
      <c r="R2568" s="16" t="str">
        <f t="shared" si="1097"/>
        <v>x</v>
      </c>
      <c r="S2568" s="16" t="str">
        <f t="shared" si="1097"/>
        <v>x</v>
      </c>
      <c r="T2568" s="11"/>
      <c r="U2568" s="46" t="str">
        <f t="shared" si="1092"/>
        <v/>
      </c>
      <c r="V2568" s="46">
        <f t="shared" si="1092"/>
        <v>47</v>
      </c>
      <c r="W2568" s="46" t="str">
        <f t="shared" si="1092"/>
        <v/>
      </c>
      <c r="X2568" s="46" t="str">
        <f t="shared" si="1092"/>
        <v/>
      </c>
    </row>
    <row r="2569" spans="2:24" x14ac:dyDescent="0.25">
      <c r="B2569" s="11" t="str">
        <f t="shared" si="1106"/>
        <v>LBRT-19OCT1909</v>
      </c>
      <c r="C2569" s="11" t="s">
        <v>2249</v>
      </c>
      <c r="D2569" s="11" t="s">
        <v>1699</v>
      </c>
      <c r="E2569" s="39" t="s">
        <v>866</v>
      </c>
      <c r="F2569" s="11" t="s">
        <v>1700</v>
      </c>
      <c r="G2569" s="39" t="s">
        <v>867</v>
      </c>
      <c r="H2569" s="7">
        <v>0</v>
      </c>
      <c r="I2569" s="7">
        <v>0</v>
      </c>
      <c r="J2569" s="17">
        <v>10</v>
      </c>
      <c r="K2569" s="17"/>
      <c r="L2569" s="7">
        <f t="shared" si="1107"/>
        <v>10</v>
      </c>
      <c r="M2569" s="8">
        <v>1</v>
      </c>
      <c r="N2569" s="8">
        <f t="shared" si="1108"/>
        <v>1</v>
      </c>
      <c r="O2569" s="11" t="s">
        <v>1702</v>
      </c>
      <c r="P2569" s="16" t="str">
        <f t="shared" si="1109"/>
        <v>19-Oct-1909</v>
      </c>
      <c r="R2569" s="16" t="str">
        <f t="shared" si="1097"/>
        <v>x</v>
      </c>
      <c r="S2569" s="16" t="str">
        <f t="shared" si="1097"/>
        <v>x</v>
      </c>
      <c r="T2569" s="11"/>
      <c r="U2569" s="46" t="str">
        <f t="shared" si="1092"/>
        <v/>
      </c>
      <c r="V2569" s="46">
        <f t="shared" si="1092"/>
        <v>10</v>
      </c>
      <c r="W2569" s="46" t="str">
        <f t="shared" si="1092"/>
        <v/>
      </c>
      <c r="X2569" s="46" t="str">
        <f t="shared" si="1092"/>
        <v/>
      </c>
    </row>
    <row r="2570" spans="2:24" x14ac:dyDescent="0.25">
      <c r="B2570" s="11" t="str">
        <f t="shared" si="1106"/>
        <v>LBRT-06DEC1909</v>
      </c>
      <c r="C2570" s="11" t="s">
        <v>2249</v>
      </c>
      <c r="D2570" s="11" t="s">
        <v>1699</v>
      </c>
      <c r="E2570" s="39" t="s">
        <v>868</v>
      </c>
      <c r="F2570" s="11" t="s">
        <v>1700</v>
      </c>
      <c r="G2570" s="39" t="s">
        <v>857</v>
      </c>
      <c r="H2570" s="7">
        <v>0</v>
      </c>
      <c r="I2570" s="7">
        <v>0</v>
      </c>
      <c r="J2570" s="17">
        <v>102</v>
      </c>
      <c r="K2570" s="17"/>
      <c r="L2570" s="7">
        <f t="shared" si="1107"/>
        <v>102</v>
      </c>
      <c r="M2570" s="8">
        <v>1</v>
      </c>
      <c r="N2570" s="8">
        <f t="shared" si="1108"/>
        <v>1</v>
      </c>
      <c r="O2570" s="11" t="s">
        <v>1702</v>
      </c>
      <c r="P2570" s="16" t="str">
        <f t="shared" si="1109"/>
        <v>06-Dec-1909</v>
      </c>
      <c r="R2570" s="16" t="str">
        <f t="shared" si="1097"/>
        <v>x</v>
      </c>
      <c r="S2570" s="16" t="str">
        <f t="shared" si="1097"/>
        <v>x</v>
      </c>
      <c r="T2570" s="11"/>
      <c r="U2570" s="46" t="str">
        <f t="shared" si="1092"/>
        <v/>
      </c>
      <c r="V2570" s="46">
        <f t="shared" si="1092"/>
        <v>102</v>
      </c>
      <c r="W2570" s="46" t="str">
        <f t="shared" si="1092"/>
        <v/>
      </c>
      <c r="X2570" s="46" t="str">
        <f t="shared" si="1092"/>
        <v/>
      </c>
    </row>
    <row r="2571" spans="2:24" x14ac:dyDescent="0.25">
      <c r="B2571" s="11" t="str">
        <f>CONCATENATE("LBRT","-",LEFT(P2571,2),UPPER(MID(P2571,4,3)),RIGHT(P2571,4))</f>
        <v>LBRT-03JAN1910</v>
      </c>
      <c r="C2571" s="11" t="s">
        <v>2249</v>
      </c>
      <c r="D2571" s="11" t="s">
        <v>1699</v>
      </c>
      <c r="E2571" s="39" t="s">
        <v>888</v>
      </c>
      <c r="F2571" s="11" t="s">
        <v>1700</v>
      </c>
      <c r="G2571" s="39" t="s">
        <v>873</v>
      </c>
      <c r="H2571" s="7">
        <v>0</v>
      </c>
      <c r="I2571" s="7">
        <v>0</v>
      </c>
      <c r="J2571" s="17">
        <v>63</v>
      </c>
      <c r="K2571" s="17"/>
      <c r="L2571" s="7">
        <f>SUM(H2571:K2571)</f>
        <v>63</v>
      </c>
      <c r="M2571" s="8">
        <v>1</v>
      </c>
      <c r="N2571" s="8">
        <f>IF(L2571&gt;0,1,"")</f>
        <v>1</v>
      </c>
      <c r="O2571" s="11" t="s">
        <v>1702</v>
      </c>
      <c r="P2571" s="16" t="str">
        <f>IF(LEN(G2571)=10,CONCATENATE("0",G2571),G2571)</f>
        <v>03-Jan-1910</v>
      </c>
      <c r="R2571" s="16" t="str">
        <f t="shared" si="1097"/>
        <v>x</v>
      </c>
      <c r="S2571" s="16" t="str">
        <f t="shared" si="1097"/>
        <v>x</v>
      </c>
      <c r="T2571" s="11"/>
      <c r="U2571" s="46" t="str">
        <f t="shared" si="1092"/>
        <v/>
      </c>
      <c r="V2571" s="46">
        <f t="shared" si="1092"/>
        <v>63</v>
      </c>
      <c r="W2571" s="46" t="str">
        <f t="shared" si="1092"/>
        <v/>
      </c>
      <c r="X2571" s="46" t="str">
        <f t="shared" si="1092"/>
        <v/>
      </c>
    </row>
    <row r="2572" spans="2:24" x14ac:dyDescent="0.25">
      <c r="B2572" s="11" t="str">
        <f t="shared" ref="B2572:B2581" si="1110">CONCATENATE("LBRT","-",LEFT(P2572,2),UPPER(MID(P2572,4,3)),RIGHT(P2572,4))</f>
        <v>LBRT-31JAN1910</v>
      </c>
      <c r="C2572" s="11" t="s">
        <v>2249</v>
      </c>
      <c r="D2572" s="11" t="s">
        <v>1699</v>
      </c>
      <c r="E2572" s="39" t="s">
        <v>889</v>
      </c>
      <c r="F2572" s="11" t="s">
        <v>1700</v>
      </c>
      <c r="G2572" s="39" t="s">
        <v>890</v>
      </c>
      <c r="H2572" s="7">
        <v>0</v>
      </c>
      <c r="I2572" s="7">
        <v>3</v>
      </c>
      <c r="J2572" s="17">
        <v>25</v>
      </c>
      <c r="K2572" s="17"/>
      <c r="L2572" s="7">
        <f t="shared" ref="L2572:L2581" si="1111">SUM(H2572:K2572)</f>
        <v>28</v>
      </c>
      <c r="M2572" s="8">
        <v>1</v>
      </c>
      <c r="N2572" s="8">
        <f t="shared" ref="N2572:N2581" si="1112">IF(L2572&gt;0,1,"")</f>
        <v>1</v>
      </c>
      <c r="O2572" s="11" t="s">
        <v>1702</v>
      </c>
      <c r="P2572" s="16" t="str">
        <f t="shared" ref="P2572:P2581" si="1113">IF(LEN(G2572)=10,CONCATENATE("0",G2572),G2572)</f>
        <v>31-Jan-1910</v>
      </c>
      <c r="R2572" s="16" t="str">
        <f t="shared" ref="R2572:S2588" si="1114">IF($L2572&gt;0,"x","")</f>
        <v>x</v>
      </c>
      <c r="S2572" s="16" t="str">
        <f t="shared" si="1114"/>
        <v>x</v>
      </c>
      <c r="T2572" s="11"/>
      <c r="U2572" s="46" t="str">
        <f t="shared" si="1092"/>
        <v/>
      </c>
      <c r="V2572" s="46">
        <f t="shared" si="1092"/>
        <v>28</v>
      </c>
      <c r="W2572" s="46" t="str">
        <f t="shared" si="1092"/>
        <v/>
      </c>
      <c r="X2572" s="46" t="str">
        <f t="shared" si="1092"/>
        <v/>
      </c>
    </row>
    <row r="2573" spans="2:24" x14ac:dyDescent="0.25">
      <c r="B2573" s="11" t="str">
        <f t="shared" si="1110"/>
        <v>LBRT-25FEB1910</v>
      </c>
      <c r="C2573" s="11" t="s">
        <v>2249</v>
      </c>
      <c r="D2573" s="11" t="s">
        <v>1699</v>
      </c>
      <c r="E2573" s="39" t="s">
        <v>891</v>
      </c>
      <c r="F2573" s="11" t="s">
        <v>1700</v>
      </c>
      <c r="G2573" s="39" t="s">
        <v>874</v>
      </c>
      <c r="H2573" s="7">
        <v>0</v>
      </c>
      <c r="I2573" s="7">
        <v>0</v>
      </c>
      <c r="J2573" s="17">
        <v>22</v>
      </c>
      <c r="K2573" s="17"/>
      <c r="L2573" s="7">
        <f t="shared" si="1111"/>
        <v>22</v>
      </c>
      <c r="M2573" s="8">
        <v>1</v>
      </c>
      <c r="N2573" s="8">
        <f t="shared" si="1112"/>
        <v>1</v>
      </c>
      <c r="O2573" s="11" t="s">
        <v>1702</v>
      </c>
      <c r="P2573" s="16" t="str">
        <f t="shared" si="1113"/>
        <v>25-Feb-1910</v>
      </c>
      <c r="R2573" s="16" t="str">
        <f t="shared" si="1114"/>
        <v>x</v>
      </c>
      <c r="S2573" s="16" t="str">
        <f t="shared" si="1114"/>
        <v>x</v>
      </c>
      <c r="T2573" s="11"/>
      <c r="U2573" s="46" t="str">
        <f t="shared" si="1092"/>
        <v/>
      </c>
      <c r="V2573" s="46">
        <f t="shared" si="1092"/>
        <v>22</v>
      </c>
      <c r="W2573" s="46" t="str">
        <f t="shared" si="1092"/>
        <v/>
      </c>
      <c r="X2573" s="46" t="str">
        <f t="shared" si="1092"/>
        <v/>
      </c>
    </row>
    <row r="2574" spans="2:24" x14ac:dyDescent="0.25">
      <c r="B2574" s="11" t="str">
        <f t="shared" si="1110"/>
        <v>LBRT-25APR1910</v>
      </c>
      <c r="C2574" s="11" t="s">
        <v>2249</v>
      </c>
      <c r="D2574" s="11" t="s">
        <v>1699</v>
      </c>
      <c r="E2574" s="39" t="s">
        <v>892</v>
      </c>
      <c r="F2574" s="11" t="s">
        <v>1700</v>
      </c>
      <c r="G2574" s="39" t="s">
        <v>875</v>
      </c>
      <c r="H2574" s="7">
        <v>0</v>
      </c>
      <c r="I2574" s="7">
        <v>0</v>
      </c>
      <c r="J2574" s="17">
        <v>18</v>
      </c>
      <c r="K2574" s="17"/>
      <c r="L2574" s="7">
        <f t="shared" si="1111"/>
        <v>18</v>
      </c>
      <c r="M2574" s="8">
        <v>1</v>
      </c>
      <c r="N2574" s="8">
        <f t="shared" si="1112"/>
        <v>1</v>
      </c>
      <c r="O2574" s="11" t="s">
        <v>1702</v>
      </c>
      <c r="P2574" s="16" t="str">
        <f t="shared" si="1113"/>
        <v>25-Apr-1910</v>
      </c>
      <c r="R2574" s="16" t="str">
        <f t="shared" si="1114"/>
        <v>x</v>
      </c>
      <c r="S2574" s="16" t="str">
        <f t="shared" si="1114"/>
        <v>x</v>
      </c>
      <c r="T2574" s="11"/>
      <c r="U2574" s="46" t="str">
        <f t="shared" si="1092"/>
        <v/>
      </c>
      <c r="V2574" s="46">
        <f t="shared" si="1092"/>
        <v>18</v>
      </c>
      <c r="W2574" s="46" t="str">
        <f t="shared" si="1092"/>
        <v/>
      </c>
      <c r="X2574" s="46" t="str">
        <f t="shared" si="1092"/>
        <v/>
      </c>
    </row>
    <row r="2575" spans="2:24" x14ac:dyDescent="0.25">
      <c r="B2575" s="11" t="str">
        <f t="shared" si="1110"/>
        <v>LBRT-11JUL1910</v>
      </c>
      <c r="C2575" s="11" t="s">
        <v>2249</v>
      </c>
      <c r="D2575" s="11" t="s">
        <v>1699</v>
      </c>
      <c r="E2575" s="39" t="s">
        <v>893</v>
      </c>
      <c r="F2575" s="11" t="s">
        <v>1700</v>
      </c>
      <c r="G2575" s="39" t="s">
        <v>876</v>
      </c>
      <c r="H2575" s="7">
        <v>0</v>
      </c>
      <c r="I2575" s="7">
        <v>0</v>
      </c>
      <c r="J2575" s="17">
        <v>56</v>
      </c>
      <c r="K2575" s="17"/>
      <c r="L2575" s="7">
        <f t="shared" si="1111"/>
        <v>56</v>
      </c>
      <c r="M2575" s="8">
        <v>1</v>
      </c>
      <c r="N2575" s="8">
        <f t="shared" si="1112"/>
        <v>1</v>
      </c>
      <c r="O2575" s="11" t="s">
        <v>1702</v>
      </c>
      <c r="P2575" s="16" t="str">
        <f t="shared" si="1113"/>
        <v>11-Jul-1910</v>
      </c>
      <c r="R2575" s="16" t="str">
        <f t="shared" si="1114"/>
        <v>x</v>
      </c>
      <c r="S2575" s="16" t="str">
        <f t="shared" si="1114"/>
        <v>x</v>
      </c>
      <c r="T2575" s="11"/>
      <c r="U2575" s="46" t="str">
        <f t="shared" si="1092"/>
        <v/>
      </c>
      <c r="V2575" s="46">
        <f t="shared" si="1092"/>
        <v>56</v>
      </c>
      <c r="W2575" s="46" t="str">
        <f t="shared" si="1092"/>
        <v/>
      </c>
      <c r="X2575" s="46" t="str">
        <f t="shared" si="1092"/>
        <v/>
      </c>
    </row>
    <row r="2576" spans="2:24" x14ac:dyDescent="0.25">
      <c r="B2576" s="11" t="str">
        <f t="shared" si="1110"/>
        <v>LBRT-08AUG1910</v>
      </c>
      <c r="C2576" s="11" t="s">
        <v>2249</v>
      </c>
      <c r="D2576" s="11" t="s">
        <v>1699</v>
      </c>
      <c r="E2576" s="39" t="s">
        <v>894</v>
      </c>
      <c r="F2576" s="11" t="s">
        <v>1700</v>
      </c>
      <c r="G2576" s="39" t="s">
        <v>877</v>
      </c>
      <c r="H2576" s="7">
        <v>0</v>
      </c>
      <c r="I2576" s="7">
        <v>2</v>
      </c>
      <c r="J2576" s="17">
        <v>28</v>
      </c>
      <c r="K2576" s="17"/>
      <c r="L2576" s="7">
        <f t="shared" si="1111"/>
        <v>30</v>
      </c>
      <c r="M2576" s="8">
        <v>1</v>
      </c>
      <c r="N2576" s="8">
        <f t="shared" si="1112"/>
        <v>1</v>
      </c>
      <c r="O2576" s="11" t="s">
        <v>1702</v>
      </c>
      <c r="P2576" s="16" t="str">
        <f t="shared" si="1113"/>
        <v>08-Aug-1910</v>
      </c>
      <c r="R2576" s="16" t="str">
        <f t="shared" si="1114"/>
        <v>x</v>
      </c>
      <c r="S2576" s="16" t="str">
        <f t="shared" si="1114"/>
        <v>x</v>
      </c>
      <c r="T2576" s="11"/>
      <c r="U2576" s="46" t="str">
        <f t="shared" si="1092"/>
        <v/>
      </c>
      <c r="V2576" s="46">
        <f t="shared" si="1092"/>
        <v>30</v>
      </c>
      <c r="W2576" s="46" t="str">
        <f t="shared" si="1092"/>
        <v/>
      </c>
      <c r="X2576" s="46" t="str">
        <f t="shared" si="1092"/>
        <v/>
      </c>
    </row>
    <row r="2577" spans="2:24" x14ac:dyDescent="0.25">
      <c r="B2577" s="11" t="str">
        <f t="shared" si="1110"/>
        <v>LBRT-28NOV1910</v>
      </c>
      <c r="C2577" s="11" t="s">
        <v>2249</v>
      </c>
      <c r="D2577" s="11" t="s">
        <v>1699</v>
      </c>
      <c r="E2577" s="39" t="s">
        <v>895</v>
      </c>
      <c r="F2577" s="11" t="s">
        <v>1700</v>
      </c>
      <c r="G2577" s="39" t="s">
        <v>878</v>
      </c>
      <c r="H2577" s="7">
        <v>0</v>
      </c>
      <c r="I2577" s="7">
        <v>0</v>
      </c>
      <c r="J2577" s="17">
        <v>0</v>
      </c>
      <c r="K2577" s="17"/>
      <c r="L2577" s="7">
        <f t="shared" si="1111"/>
        <v>0</v>
      </c>
      <c r="M2577" s="8">
        <v>1</v>
      </c>
      <c r="N2577" s="8" t="str">
        <f t="shared" si="1112"/>
        <v/>
      </c>
      <c r="O2577" s="11" t="s">
        <v>1702</v>
      </c>
      <c r="P2577" s="16" t="str">
        <f t="shared" si="1113"/>
        <v>28-Nov-1910</v>
      </c>
      <c r="R2577" s="16" t="str">
        <f t="shared" si="1114"/>
        <v/>
      </c>
      <c r="S2577" s="16" t="str">
        <f t="shared" si="1114"/>
        <v/>
      </c>
      <c r="T2577" s="11"/>
      <c r="U2577" s="46" t="str">
        <f t="shared" si="1092"/>
        <v/>
      </c>
      <c r="V2577" s="46">
        <f t="shared" si="1092"/>
        <v>0</v>
      </c>
      <c r="W2577" s="46" t="str">
        <f t="shared" si="1092"/>
        <v/>
      </c>
      <c r="X2577" s="46" t="str">
        <f t="shared" si="1092"/>
        <v/>
      </c>
    </row>
    <row r="2578" spans="2:24" x14ac:dyDescent="0.25">
      <c r="B2578" s="11" t="str">
        <f t="shared" si="1110"/>
        <v>LBRT-26DEC1910</v>
      </c>
      <c r="C2578" s="11" t="s">
        <v>2249</v>
      </c>
      <c r="D2578" s="11" t="s">
        <v>1699</v>
      </c>
      <c r="E2578" s="39" t="s">
        <v>896</v>
      </c>
      <c r="F2578" s="11" t="s">
        <v>1700</v>
      </c>
      <c r="G2578" s="39" t="s">
        <v>879</v>
      </c>
      <c r="H2578" s="7">
        <v>0</v>
      </c>
      <c r="I2578" s="7">
        <v>1</v>
      </c>
      <c r="J2578" s="17">
        <v>17</v>
      </c>
      <c r="K2578" s="17"/>
      <c r="L2578" s="7">
        <f t="shared" si="1111"/>
        <v>18</v>
      </c>
      <c r="M2578" s="8">
        <v>1</v>
      </c>
      <c r="N2578" s="8">
        <f t="shared" si="1112"/>
        <v>1</v>
      </c>
      <c r="O2578" s="11" t="s">
        <v>1702</v>
      </c>
      <c r="P2578" s="16" t="str">
        <f t="shared" si="1113"/>
        <v>26-Dec-1910</v>
      </c>
      <c r="R2578" s="16" t="str">
        <f t="shared" si="1114"/>
        <v>x</v>
      </c>
      <c r="S2578" s="16" t="str">
        <f t="shared" si="1114"/>
        <v>x</v>
      </c>
      <c r="T2578" s="11"/>
      <c r="U2578" s="46" t="str">
        <f t="shared" si="1092"/>
        <v/>
      </c>
      <c r="V2578" s="46">
        <f t="shared" si="1092"/>
        <v>18</v>
      </c>
      <c r="W2578" s="46" t="str">
        <f t="shared" si="1092"/>
        <v/>
      </c>
      <c r="X2578" s="46" t="str">
        <f t="shared" si="1092"/>
        <v/>
      </c>
    </row>
    <row r="2579" spans="2:24" x14ac:dyDescent="0.25">
      <c r="B2579" s="11" t="str">
        <f t="shared" si="1110"/>
        <v>LBRT-24JAN1911</v>
      </c>
      <c r="C2579" s="11" t="s">
        <v>2249</v>
      </c>
      <c r="D2579" s="11" t="s">
        <v>1699</v>
      </c>
      <c r="E2579" s="39" t="s">
        <v>897</v>
      </c>
      <c r="F2579" s="11" t="s">
        <v>1700</v>
      </c>
      <c r="G2579" s="39" t="s">
        <v>880</v>
      </c>
      <c r="H2579" s="7">
        <v>0</v>
      </c>
      <c r="I2579" s="7">
        <v>4</v>
      </c>
      <c r="J2579" s="17">
        <v>15</v>
      </c>
      <c r="K2579" s="17"/>
      <c r="L2579" s="7">
        <f t="shared" si="1111"/>
        <v>19</v>
      </c>
      <c r="M2579" s="8">
        <v>1</v>
      </c>
      <c r="N2579" s="8">
        <f t="shared" si="1112"/>
        <v>1</v>
      </c>
      <c r="O2579" s="11" t="s">
        <v>1702</v>
      </c>
      <c r="P2579" s="16" t="str">
        <f t="shared" si="1113"/>
        <v>24-Jan-1911</v>
      </c>
      <c r="R2579" s="16" t="str">
        <f t="shared" si="1114"/>
        <v>x</v>
      </c>
      <c r="S2579" s="16" t="str">
        <f t="shared" si="1114"/>
        <v>x</v>
      </c>
      <c r="T2579" s="11"/>
      <c r="U2579" s="46" t="str">
        <f t="shared" si="1092"/>
        <v/>
      </c>
      <c r="V2579" s="46">
        <f t="shared" si="1092"/>
        <v>19</v>
      </c>
      <c r="W2579" s="46" t="str">
        <f t="shared" si="1092"/>
        <v/>
      </c>
      <c r="X2579" s="46" t="str">
        <f t="shared" si="1092"/>
        <v/>
      </c>
    </row>
    <row r="2580" spans="2:24" x14ac:dyDescent="0.25">
      <c r="B2580" s="11" t="str">
        <f t="shared" si="1110"/>
        <v>LBRT-28FEB1911</v>
      </c>
      <c r="C2580" s="11" t="s">
        <v>2249</v>
      </c>
      <c r="D2580" s="11" t="s">
        <v>1699</v>
      </c>
      <c r="E2580" s="39" t="s">
        <v>898</v>
      </c>
      <c r="F2580" s="11" t="s">
        <v>1700</v>
      </c>
      <c r="G2580" s="39" t="s">
        <v>881</v>
      </c>
      <c r="H2580" s="7">
        <v>0</v>
      </c>
      <c r="I2580" s="7">
        <v>0</v>
      </c>
      <c r="J2580" s="17">
        <v>1</v>
      </c>
      <c r="K2580" s="17"/>
      <c r="L2580" s="7">
        <f t="shared" si="1111"/>
        <v>1</v>
      </c>
      <c r="M2580" s="8">
        <v>1</v>
      </c>
      <c r="N2580" s="8">
        <f t="shared" si="1112"/>
        <v>1</v>
      </c>
      <c r="O2580" s="11" t="s">
        <v>1702</v>
      </c>
      <c r="P2580" s="16" t="str">
        <f t="shared" si="1113"/>
        <v>28-Feb-1911</v>
      </c>
      <c r="R2580" s="16" t="str">
        <f t="shared" si="1114"/>
        <v>x</v>
      </c>
      <c r="S2580" s="16" t="str">
        <f t="shared" si="1114"/>
        <v>x</v>
      </c>
      <c r="T2580" s="11"/>
      <c r="U2580" s="46" t="str">
        <f t="shared" si="1092"/>
        <v/>
      </c>
      <c r="V2580" s="46">
        <f t="shared" si="1092"/>
        <v>1</v>
      </c>
      <c r="W2580" s="46" t="str">
        <f t="shared" si="1092"/>
        <v/>
      </c>
      <c r="X2580" s="46" t="str">
        <f t="shared" si="1092"/>
        <v/>
      </c>
    </row>
    <row r="2581" spans="2:24" x14ac:dyDescent="0.25">
      <c r="B2581" s="11" t="str">
        <f t="shared" si="1110"/>
        <v>LBRT-11APR1911</v>
      </c>
      <c r="C2581" s="11" t="s">
        <v>2249</v>
      </c>
      <c r="D2581" s="11" t="s">
        <v>1699</v>
      </c>
      <c r="E2581" s="39" t="s">
        <v>899</v>
      </c>
      <c r="F2581" s="11" t="s">
        <v>1700</v>
      </c>
      <c r="G2581" s="39" t="s">
        <v>882</v>
      </c>
      <c r="I2581" s="7">
        <v>1</v>
      </c>
      <c r="J2581" s="17">
        <v>3</v>
      </c>
      <c r="K2581" s="17"/>
      <c r="L2581" s="7">
        <f t="shared" si="1111"/>
        <v>4</v>
      </c>
      <c r="M2581" s="8">
        <v>1</v>
      </c>
      <c r="N2581" s="8">
        <f t="shared" si="1112"/>
        <v>1</v>
      </c>
      <c r="O2581" s="11" t="s">
        <v>1702</v>
      </c>
      <c r="P2581" s="16" t="str">
        <f t="shared" si="1113"/>
        <v>11-Apr-1911</v>
      </c>
      <c r="R2581" s="16" t="str">
        <f t="shared" si="1114"/>
        <v>x</v>
      </c>
      <c r="S2581" s="16" t="str">
        <f t="shared" si="1114"/>
        <v>x</v>
      </c>
      <c r="T2581" s="11"/>
      <c r="U2581" s="46" t="str">
        <f t="shared" si="1092"/>
        <v/>
      </c>
      <c r="V2581" s="46">
        <f t="shared" si="1092"/>
        <v>4</v>
      </c>
      <c r="W2581" s="46" t="str">
        <f t="shared" si="1092"/>
        <v/>
      </c>
      <c r="X2581" s="46" t="str">
        <f t="shared" si="1092"/>
        <v/>
      </c>
    </row>
    <row r="2582" spans="2:24" x14ac:dyDescent="0.25">
      <c r="B2582" s="11" t="str">
        <f t="shared" ref="B2582:B2591" si="1115">CONCATENATE("LBRT","-",LEFT(P2582,2),UPPER(MID(P2582,4,3)),RIGHT(P2582,4))</f>
        <v>LBRT-09MAY1911</v>
      </c>
      <c r="C2582" s="11" t="s">
        <v>2249</v>
      </c>
      <c r="D2582" s="11" t="s">
        <v>1699</v>
      </c>
      <c r="E2582" s="39" t="s">
        <v>900</v>
      </c>
      <c r="F2582" s="11" t="s">
        <v>1700</v>
      </c>
      <c r="G2582" s="39" t="s">
        <v>883</v>
      </c>
      <c r="I2582" s="7">
        <v>0</v>
      </c>
      <c r="J2582" s="17">
        <v>27</v>
      </c>
      <c r="K2582" s="17"/>
      <c r="L2582" s="7">
        <f t="shared" ref="L2582:L2591" si="1116">SUM(H2582:K2582)</f>
        <v>27</v>
      </c>
      <c r="M2582" s="8">
        <v>1</v>
      </c>
      <c r="N2582" s="8">
        <f t="shared" ref="N2582:N2591" si="1117">IF(L2582&gt;0,1,"")</f>
        <v>1</v>
      </c>
      <c r="O2582" s="11" t="s">
        <v>1702</v>
      </c>
      <c r="P2582" s="16" t="str">
        <f t="shared" ref="P2582:P2591" si="1118">IF(LEN(G2582)=10,CONCATENATE("0",G2582),G2582)</f>
        <v>09-May-1911</v>
      </c>
      <c r="R2582" s="16" t="str">
        <f t="shared" si="1114"/>
        <v>x</v>
      </c>
      <c r="S2582" s="16" t="str">
        <f t="shared" si="1114"/>
        <v>x</v>
      </c>
      <c r="T2582" s="11"/>
      <c r="U2582" s="46" t="str">
        <f t="shared" si="1092"/>
        <v/>
      </c>
      <c r="V2582" s="46">
        <f t="shared" si="1092"/>
        <v>27</v>
      </c>
      <c r="W2582" s="46" t="str">
        <f t="shared" si="1092"/>
        <v/>
      </c>
      <c r="X2582" s="46" t="str">
        <f t="shared" si="1092"/>
        <v/>
      </c>
    </row>
    <row r="2583" spans="2:24" x14ac:dyDescent="0.25">
      <c r="B2583" s="11" t="str">
        <f t="shared" si="1115"/>
        <v>LBRT-07JUN1911</v>
      </c>
      <c r="C2583" s="11" t="s">
        <v>2249</v>
      </c>
      <c r="D2583" s="11" t="s">
        <v>1699</v>
      </c>
      <c r="F2583" s="11" t="s">
        <v>1700</v>
      </c>
      <c r="G2583" s="39" t="s">
        <v>884</v>
      </c>
      <c r="I2583" s="7">
        <v>0</v>
      </c>
      <c r="J2583" s="17">
        <v>24</v>
      </c>
      <c r="K2583" s="17"/>
      <c r="L2583" s="7">
        <f t="shared" si="1116"/>
        <v>24</v>
      </c>
      <c r="M2583" s="8">
        <v>1</v>
      </c>
      <c r="N2583" s="8">
        <f t="shared" si="1117"/>
        <v>1</v>
      </c>
      <c r="O2583" s="11" t="s">
        <v>1702</v>
      </c>
      <c r="P2583" s="16" t="str">
        <f t="shared" si="1118"/>
        <v>07-Jun-1911</v>
      </c>
      <c r="R2583" s="16" t="str">
        <f t="shared" si="1114"/>
        <v>x</v>
      </c>
      <c r="S2583" s="16" t="str">
        <f t="shared" si="1114"/>
        <v>x</v>
      </c>
      <c r="T2583" s="11"/>
      <c r="U2583" s="46" t="str">
        <f t="shared" si="1092"/>
        <v/>
      </c>
      <c r="V2583" s="46">
        <f t="shared" si="1092"/>
        <v>24</v>
      </c>
      <c r="W2583" s="46" t="str">
        <f t="shared" si="1092"/>
        <v/>
      </c>
      <c r="X2583" s="46" t="str">
        <f t="shared" si="1092"/>
        <v/>
      </c>
    </row>
    <row r="2584" spans="2:24" x14ac:dyDescent="0.25">
      <c r="B2584" s="11" t="str">
        <f t="shared" si="1115"/>
        <v>LBRT-20AUG1911</v>
      </c>
      <c r="C2584" s="11" t="s">
        <v>2249</v>
      </c>
      <c r="D2584" s="11" t="s">
        <v>1699</v>
      </c>
      <c r="E2584" s="39" t="s">
        <v>901</v>
      </c>
      <c r="F2584" s="11" t="s">
        <v>1700</v>
      </c>
      <c r="G2584" s="39" t="s">
        <v>902</v>
      </c>
      <c r="H2584" s="7">
        <v>0</v>
      </c>
      <c r="I2584" s="7">
        <v>0</v>
      </c>
      <c r="J2584" s="17">
        <v>34</v>
      </c>
      <c r="K2584" s="17"/>
      <c r="L2584" s="7">
        <f t="shared" si="1116"/>
        <v>34</v>
      </c>
      <c r="M2584" s="8">
        <v>1</v>
      </c>
      <c r="N2584" s="8">
        <f t="shared" si="1117"/>
        <v>1</v>
      </c>
      <c r="O2584" s="11" t="s">
        <v>1702</v>
      </c>
      <c r="P2584" s="16" t="str">
        <f t="shared" si="1118"/>
        <v>20-Aug-1911</v>
      </c>
      <c r="R2584" s="16" t="str">
        <f t="shared" si="1114"/>
        <v>x</v>
      </c>
      <c r="S2584" s="16" t="str">
        <f t="shared" si="1114"/>
        <v>x</v>
      </c>
      <c r="T2584" s="11"/>
      <c r="U2584" s="46" t="str">
        <f t="shared" si="1092"/>
        <v/>
      </c>
      <c r="V2584" s="46">
        <f t="shared" si="1092"/>
        <v>34</v>
      </c>
      <c r="W2584" s="46" t="str">
        <f t="shared" si="1092"/>
        <v/>
      </c>
      <c r="X2584" s="46" t="str">
        <f t="shared" si="1092"/>
        <v/>
      </c>
    </row>
    <row r="2585" spans="2:24" x14ac:dyDescent="0.25">
      <c r="B2585" s="11" t="str">
        <f t="shared" si="1115"/>
        <v>LBRT-13SEP1911</v>
      </c>
      <c r="C2585" s="11" t="s">
        <v>2249</v>
      </c>
      <c r="D2585" s="11" t="s">
        <v>1699</v>
      </c>
      <c r="E2585" s="39" t="s">
        <v>903</v>
      </c>
      <c r="F2585" s="11" t="s">
        <v>1700</v>
      </c>
      <c r="G2585" s="39" t="s">
        <v>885</v>
      </c>
      <c r="I2585" s="7">
        <v>0</v>
      </c>
      <c r="J2585" s="17">
        <v>53</v>
      </c>
      <c r="K2585" s="17"/>
      <c r="L2585" s="7">
        <f t="shared" si="1116"/>
        <v>53</v>
      </c>
      <c r="M2585" s="8">
        <v>1</v>
      </c>
      <c r="N2585" s="8">
        <f t="shared" si="1117"/>
        <v>1</v>
      </c>
      <c r="O2585" s="11" t="s">
        <v>1702</v>
      </c>
      <c r="P2585" s="16" t="str">
        <f t="shared" si="1118"/>
        <v>13-Sep-1911</v>
      </c>
      <c r="R2585" s="16" t="str">
        <f t="shared" si="1114"/>
        <v>x</v>
      </c>
      <c r="S2585" s="16" t="str">
        <f t="shared" si="1114"/>
        <v>x</v>
      </c>
      <c r="T2585" s="11"/>
      <c r="U2585" s="46" t="str">
        <f t="shared" si="1092"/>
        <v/>
      </c>
      <c r="V2585" s="46">
        <f t="shared" si="1092"/>
        <v>53</v>
      </c>
      <c r="W2585" s="46" t="str">
        <f t="shared" si="1092"/>
        <v/>
      </c>
      <c r="X2585" s="46" t="str">
        <f t="shared" si="1092"/>
        <v/>
      </c>
    </row>
    <row r="2586" spans="2:24" x14ac:dyDescent="0.25">
      <c r="B2586" s="11" t="str">
        <f t="shared" si="1115"/>
        <v>LBRT-18OCT1911</v>
      </c>
      <c r="C2586" s="11" t="s">
        <v>2249</v>
      </c>
      <c r="D2586" s="11" t="s">
        <v>1699</v>
      </c>
      <c r="E2586" s="39" t="s">
        <v>904</v>
      </c>
      <c r="F2586" s="11" t="s">
        <v>1700</v>
      </c>
      <c r="G2586" s="39" t="s">
        <v>886</v>
      </c>
      <c r="H2586" s="7">
        <v>0</v>
      </c>
      <c r="I2586" s="7">
        <v>0</v>
      </c>
      <c r="J2586" s="17">
        <v>0</v>
      </c>
      <c r="K2586" s="17"/>
      <c r="L2586" s="7">
        <f t="shared" si="1116"/>
        <v>0</v>
      </c>
      <c r="M2586" s="8">
        <v>1</v>
      </c>
      <c r="N2586" s="8" t="str">
        <f t="shared" si="1117"/>
        <v/>
      </c>
      <c r="O2586" s="11" t="s">
        <v>1702</v>
      </c>
      <c r="P2586" s="16" t="str">
        <f t="shared" si="1118"/>
        <v>18-Oct-1911</v>
      </c>
      <c r="R2586" s="16" t="str">
        <f t="shared" si="1114"/>
        <v/>
      </c>
      <c r="S2586" s="16" t="str">
        <f t="shared" si="1114"/>
        <v/>
      </c>
      <c r="T2586" s="11"/>
      <c r="U2586" s="46" t="str">
        <f t="shared" si="1092"/>
        <v/>
      </c>
      <c r="V2586" s="46">
        <f t="shared" si="1092"/>
        <v>0</v>
      </c>
      <c r="W2586" s="46" t="str">
        <f t="shared" si="1092"/>
        <v/>
      </c>
      <c r="X2586" s="46" t="str">
        <f t="shared" si="1092"/>
        <v/>
      </c>
    </row>
    <row r="2587" spans="2:24" x14ac:dyDescent="0.25">
      <c r="B2587" s="11" t="str">
        <f t="shared" si="1115"/>
        <v>LBRT-15NOV1911</v>
      </c>
      <c r="C2587" s="11" t="s">
        <v>2249</v>
      </c>
      <c r="D2587" s="11" t="s">
        <v>1699</v>
      </c>
      <c r="E2587" s="39" t="s">
        <v>905</v>
      </c>
      <c r="F2587" s="11" t="s">
        <v>1700</v>
      </c>
      <c r="G2587" s="39" t="s">
        <v>887</v>
      </c>
      <c r="H2587" s="7">
        <v>0</v>
      </c>
      <c r="I2587" s="7">
        <v>3</v>
      </c>
      <c r="J2587" s="17">
        <v>14</v>
      </c>
      <c r="K2587" s="17"/>
      <c r="L2587" s="7">
        <f t="shared" si="1116"/>
        <v>17</v>
      </c>
      <c r="M2587" s="8">
        <v>1</v>
      </c>
      <c r="N2587" s="8">
        <f t="shared" si="1117"/>
        <v>1</v>
      </c>
      <c r="O2587" s="11" t="s">
        <v>1702</v>
      </c>
      <c r="P2587" s="16" t="str">
        <f t="shared" si="1118"/>
        <v>15-Nov-1911</v>
      </c>
      <c r="R2587" s="16" t="str">
        <f t="shared" si="1114"/>
        <v>x</v>
      </c>
      <c r="S2587" s="16" t="str">
        <f t="shared" si="1114"/>
        <v>x</v>
      </c>
      <c r="T2587" s="11"/>
      <c r="U2587" s="46" t="str">
        <f t="shared" si="1092"/>
        <v/>
      </c>
      <c r="V2587" s="46">
        <f t="shared" si="1092"/>
        <v>17</v>
      </c>
      <c r="W2587" s="46" t="str">
        <f t="shared" si="1092"/>
        <v/>
      </c>
      <c r="X2587" s="46" t="str">
        <f t="shared" si="1092"/>
        <v/>
      </c>
    </row>
    <row r="2588" spans="2:24" x14ac:dyDescent="0.25">
      <c r="B2588" s="11" t="str">
        <f t="shared" si="1115"/>
        <v>LBRT-18JAN1912</v>
      </c>
      <c r="C2588" s="11" t="s">
        <v>2249</v>
      </c>
      <c r="D2588" s="11" t="s">
        <v>1699</v>
      </c>
      <c r="E2588" s="39" t="s">
        <v>910</v>
      </c>
      <c r="F2588" s="11" t="s">
        <v>1700</v>
      </c>
      <c r="G2588" s="39" t="s">
        <v>906</v>
      </c>
      <c r="H2588" s="7">
        <v>0</v>
      </c>
      <c r="I2588" s="7">
        <v>0</v>
      </c>
      <c r="J2588" s="17">
        <v>6</v>
      </c>
      <c r="K2588" s="17"/>
      <c r="L2588" s="7">
        <f t="shared" si="1116"/>
        <v>6</v>
      </c>
      <c r="M2588" s="8">
        <v>1</v>
      </c>
      <c r="N2588" s="8">
        <f t="shared" si="1117"/>
        <v>1</v>
      </c>
      <c r="O2588" s="11" t="s">
        <v>1702</v>
      </c>
      <c r="P2588" s="16" t="str">
        <f t="shared" si="1118"/>
        <v>18-Jan-1912</v>
      </c>
      <c r="R2588" s="16" t="str">
        <f t="shared" si="1114"/>
        <v>x</v>
      </c>
      <c r="S2588" s="16" t="str">
        <f t="shared" si="1114"/>
        <v>x</v>
      </c>
      <c r="T2588" s="11"/>
      <c r="U2588" s="46" t="str">
        <f t="shared" si="1092"/>
        <v/>
      </c>
      <c r="V2588" s="46">
        <f t="shared" si="1092"/>
        <v>6</v>
      </c>
      <c r="W2588" s="46" t="str">
        <f t="shared" si="1092"/>
        <v/>
      </c>
      <c r="X2588" s="46" t="str">
        <f t="shared" si="1092"/>
        <v/>
      </c>
    </row>
    <row r="2589" spans="2:24" x14ac:dyDescent="0.25">
      <c r="B2589" s="11" t="str">
        <f t="shared" si="1115"/>
        <v>LBRT-27MAR1912</v>
      </c>
      <c r="C2589" s="11" t="s">
        <v>2249</v>
      </c>
      <c r="D2589" s="11" t="s">
        <v>1699</v>
      </c>
      <c r="E2589" s="39" t="s">
        <v>911</v>
      </c>
      <c r="F2589" s="11" t="s">
        <v>1700</v>
      </c>
      <c r="G2589" s="39" t="s">
        <v>907</v>
      </c>
      <c r="H2589" s="7">
        <v>0</v>
      </c>
      <c r="I2589" s="7">
        <v>2</v>
      </c>
      <c r="J2589" s="17">
        <v>10</v>
      </c>
      <c r="K2589" s="17"/>
      <c r="L2589" s="7">
        <f t="shared" si="1116"/>
        <v>12</v>
      </c>
      <c r="M2589" s="8">
        <v>1</v>
      </c>
      <c r="N2589" s="8">
        <f t="shared" si="1117"/>
        <v>1</v>
      </c>
      <c r="O2589" s="11" t="s">
        <v>1702</v>
      </c>
      <c r="P2589" s="16" t="str">
        <f t="shared" si="1118"/>
        <v>27-Mar-1912</v>
      </c>
      <c r="R2589" s="16" t="str">
        <f t="shared" ref="R2589:S2592" si="1119">IF($L2589&gt;0,"x","")</f>
        <v>x</v>
      </c>
      <c r="S2589" s="16" t="str">
        <f t="shared" si="1119"/>
        <v>x</v>
      </c>
      <c r="T2589" s="11"/>
      <c r="U2589" s="46" t="str">
        <f t="shared" si="1092"/>
        <v/>
      </c>
      <c r="V2589" s="46">
        <f t="shared" si="1092"/>
        <v>12</v>
      </c>
      <c r="W2589" s="46" t="str">
        <f t="shared" si="1092"/>
        <v/>
      </c>
      <c r="X2589" s="46" t="str">
        <f t="shared" si="1092"/>
        <v/>
      </c>
    </row>
    <row r="2590" spans="2:24" x14ac:dyDescent="0.25">
      <c r="B2590" s="11" t="str">
        <f t="shared" si="1115"/>
        <v>LBRT-18APR1912</v>
      </c>
      <c r="C2590" s="11" t="s">
        <v>2249</v>
      </c>
      <c r="D2590" s="11" t="s">
        <v>1699</v>
      </c>
      <c r="E2590" s="39" t="s">
        <v>912</v>
      </c>
      <c r="F2590" s="11" t="s">
        <v>1700</v>
      </c>
      <c r="G2590" s="39" t="s">
        <v>908</v>
      </c>
      <c r="H2590" s="7">
        <v>0</v>
      </c>
      <c r="I2590" s="7">
        <v>0</v>
      </c>
      <c r="J2590" s="17">
        <v>45</v>
      </c>
      <c r="K2590" s="17"/>
      <c r="L2590" s="7">
        <f t="shared" si="1116"/>
        <v>45</v>
      </c>
      <c r="M2590" s="8">
        <v>1</v>
      </c>
      <c r="N2590" s="8">
        <f t="shared" si="1117"/>
        <v>1</v>
      </c>
      <c r="O2590" s="11" t="s">
        <v>1702</v>
      </c>
      <c r="P2590" s="16" t="str">
        <f t="shared" si="1118"/>
        <v>18-Apr-1912</v>
      </c>
      <c r="R2590" s="16" t="str">
        <f t="shared" si="1119"/>
        <v>x</v>
      </c>
      <c r="S2590" s="16" t="str">
        <f t="shared" si="1119"/>
        <v>x</v>
      </c>
      <c r="T2590" s="11"/>
      <c r="U2590" s="46" t="str">
        <f t="shared" si="1092"/>
        <v/>
      </c>
      <c r="V2590" s="46">
        <f t="shared" si="1092"/>
        <v>45</v>
      </c>
      <c r="W2590" s="46" t="str">
        <f t="shared" si="1092"/>
        <v/>
      </c>
      <c r="X2590" s="46" t="str">
        <f t="shared" si="1092"/>
        <v/>
      </c>
    </row>
    <row r="2591" spans="2:24" x14ac:dyDescent="0.25">
      <c r="B2591" s="11" t="str">
        <f t="shared" si="1115"/>
        <v>LBRT-14MAY1912</v>
      </c>
      <c r="C2591" s="11" t="s">
        <v>2249</v>
      </c>
      <c r="D2591" s="11" t="s">
        <v>1699</v>
      </c>
      <c r="E2591" s="39" t="s">
        <v>913</v>
      </c>
      <c r="F2591" s="11" t="s">
        <v>1700</v>
      </c>
      <c r="G2591" s="39" t="s">
        <v>1899</v>
      </c>
      <c r="I2591" s="7">
        <v>9</v>
      </c>
      <c r="J2591" s="17">
        <v>56</v>
      </c>
      <c r="K2591" s="17"/>
      <c r="L2591" s="7">
        <f t="shared" si="1116"/>
        <v>65</v>
      </c>
      <c r="M2591" s="8">
        <v>1</v>
      </c>
      <c r="N2591" s="8">
        <f t="shared" si="1117"/>
        <v>1</v>
      </c>
      <c r="O2591" s="11" t="s">
        <v>1702</v>
      </c>
      <c r="P2591" s="16" t="str">
        <f t="shared" si="1118"/>
        <v>14-May-1912</v>
      </c>
      <c r="R2591" s="16" t="str">
        <f t="shared" si="1119"/>
        <v>x</v>
      </c>
      <c r="S2591" s="16" t="str">
        <f t="shared" si="1119"/>
        <v>x</v>
      </c>
      <c r="T2591" s="11"/>
      <c r="U2591" s="46" t="str">
        <f t="shared" si="1092"/>
        <v/>
      </c>
      <c r="V2591" s="46">
        <f t="shared" si="1092"/>
        <v>65</v>
      </c>
      <c r="W2591" s="46" t="str">
        <f t="shared" si="1092"/>
        <v/>
      </c>
      <c r="X2591" s="46" t="str">
        <f t="shared" si="1092"/>
        <v/>
      </c>
    </row>
    <row r="2592" spans="2:24" x14ac:dyDescent="0.25">
      <c r="B2592" s="11" t="str">
        <f>CONCATENATE("LBRT","-",LEFT(P2592,2),UPPER(MID(P2592,4,3)),RIGHT(P2592,4))</f>
        <v>LBRT-18JUN1912</v>
      </c>
      <c r="C2592" s="11" t="s">
        <v>2249</v>
      </c>
      <c r="D2592" s="11" t="s">
        <v>1699</v>
      </c>
      <c r="E2592" s="39" t="s">
        <v>914</v>
      </c>
      <c r="F2592" s="11" t="s">
        <v>1700</v>
      </c>
      <c r="G2592" s="39" t="s">
        <v>909</v>
      </c>
      <c r="I2592" s="7">
        <v>0</v>
      </c>
      <c r="J2592" s="17">
        <v>9</v>
      </c>
      <c r="K2592" s="17"/>
      <c r="L2592" s="7">
        <f>SUM(H2592:K2592)</f>
        <v>9</v>
      </c>
      <c r="M2592" s="8">
        <v>1</v>
      </c>
      <c r="N2592" s="8">
        <f>IF(L2592&gt;0,1,"")</f>
        <v>1</v>
      </c>
      <c r="O2592" s="11" t="s">
        <v>1702</v>
      </c>
      <c r="P2592" s="16" t="str">
        <f>IF(LEN(G2592)=10,CONCATENATE("0",G2592),G2592)</f>
        <v>18-Jun-1912</v>
      </c>
      <c r="R2592" s="16" t="str">
        <f t="shared" si="1119"/>
        <v>x</v>
      </c>
      <c r="S2592" s="16" t="str">
        <f t="shared" si="1119"/>
        <v>x</v>
      </c>
      <c r="T2592" s="11"/>
      <c r="U2592" s="46" t="str">
        <f t="shared" si="1092"/>
        <v/>
      </c>
      <c r="V2592" s="46">
        <f t="shared" si="1092"/>
        <v>9</v>
      </c>
      <c r="W2592" s="46" t="str">
        <f t="shared" si="1092"/>
        <v/>
      </c>
      <c r="X2592" s="46" t="str">
        <f t="shared" si="1092"/>
        <v/>
      </c>
    </row>
    <row r="2593" spans="2:26" x14ac:dyDescent="0.25">
      <c r="J2593" s="17"/>
      <c r="K2593" s="17"/>
      <c r="N2593" s="8" t="str">
        <f>IF(R2593="x",1,"")</f>
        <v/>
      </c>
      <c r="T2593" s="11"/>
      <c r="U2593" s="46" t="str">
        <f t="shared" si="1092"/>
        <v/>
      </c>
      <c r="V2593" s="46" t="str">
        <f t="shared" si="1092"/>
        <v/>
      </c>
      <c r="W2593" s="46" t="str">
        <f t="shared" si="1092"/>
        <v/>
      </c>
      <c r="X2593" s="46" t="str">
        <f t="shared" si="1092"/>
        <v/>
      </c>
    </row>
    <row r="2594" spans="2:26" s="18" customFormat="1" x14ac:dyDescent="0.25">
      <c r="E2594" s="40"/>
      <c r="G2594" s="40"/>
      <c r="H2594" s="7">
        <f t="shared" ref="H2594:N2594" si="1120">SUM(H2398:H2593)</f>
        <v>4</v>
      </c>
      <c r="I2594" s="7">
        <f t="shared" si="1120"/>
        <v>73</v>
      </c>
      <c r="J2594" s="7">
        <f>SUM(J2398:J2593)</f>
        <v>2623</v>
      </c>
      <c r="K2594" s="7">
        <f t="shared" si="1120"/>
        <v>0</v>
      </c>
      <c r="L2594" s="7">
        <f t="shared" si="1120"/>
        <v>2700</v>
      </c>
      <c r="M2594" s="7">
        <f t="shared" si="1120"/>
        <v>193</v>
      </c>
      <c r="N2594" s="7">
        <f t="shared" si="1120"/>
        <v>143</v>
      </c>
      <c r="P2594" s="13"/>
      <c r="Q2594" s="13"/>
      <c r="R2594" s="13"/>
      <c r="S2594" s="13"/>
      <c r="T2594" s="15"/>
      <c r="U2594" s="46" t="str">
        <f t="shared" si="1092"/>
        <v/>
      </c>
      <c r="V2594" s="46" t="str">
        <f t="shared" si="1092"/>
        <v/>
      </c>
      <c r="W2594" s="46" t="str">
        <f t="shared" si="1092"/>
        <v/>
      </c>
      <c r="X2594" s="46" t="str">
        <f t="shared" si="1092"/>
        <v/>
      </c>
      <c r="Z2594" s="11"/>
    </row>
    <row r="2595" spans="2:26" s="18" customFormat="1" x14ac:dyDescent="0.25">
      <c r="E2595" s="40"/>
      <c r="G2595" s="40"/>
      <c r="H2595" s="7"/>
      <c r="I2595" s="7"/>
      <c r="J2595" s="7"/>
      <c r="K2595" s="7"/>
      <c r="L2595" s="7"/>
      <c r="M2595" s="8"/>
      <c r="N2595" s="8" t="str">
        <f>IF(R2595="x",1,"")</f>
        <v/>
      </c>
      <c r="P2595" s="13"/>
      <c r="Q2595" s="13"/>
      <c r="R2595" s="13"/>
      <c r="S2595" s="13"/>
      <c r="T2595" s="15"/>
      <c r="U2595" s="46" t="str">
        <f t="shared" si="1092"/>
        <v/>
      </c>
      <c r="V2595" s="46" t="str">
        <f t="shared" si="1092"/>
        <v/>
      </c>
      <c r="W2595" s="46" t="str">
        <f t="shared" si="1092"/>
        <v/>
      </c>
      <c r="X2595" s="46" t="str">
        <f>IF($O2595=X$5,$L2595,"")</f>
        <v/>
      </c>
      <c r="Z2595" s="11"/>
    </row>
    <row r="2596" spans="2:26" s="18" customFormat="1" x14ac:dyDescent="0.25">
      <c r="E2596" s="40"/>
      <c r="G2596" s="40"/>
      <c r="H2596" s="7"/>
      <c r="I2596" s="7"/>
      <c r="J2596" s="7"/>
      <c r="K2596" s="7"/>
      <c r="L2596" s="7"/>
      <c r="M2596" s="8"/>
      <c r="N2596" s="8" t="str">
        <f>IF(R2596="x",1,"")</f>
        <v/>
      </c>
      <c r="P2596" s="13"/>
      <c r="Q2596" s="13"/>
      <c r="R2596" s="13"/>
      <c r="S2596" s="13"/>
      <c r="T2596" s="15"/>
      <c r="U2596" s="46" t="str">
        <f t="shared" ref="U2596:X2659" si="1121">IF($O2596=U$5,$L2596,"")</f>
        <v/>
      </c>
      <c r="V2596" s="46" t="str">
        <f t="shared" si="1121"/>
        <v/>
      </c>
      <c r="W2596" s="46" t="str">
        <f t="shared" si="1121"/>
        <v/>
      </c>
      <c r="X2596" s="46" t="str">
        <f t="shared" si="1121"/>
        <v/>
      </c>
      <c r="Z2596" s="11"/>
    </row>
    <row r="2597" spans="2:26" x14ac:dyDescent="0.25">
      <c r="B2597" s="11" t="str">
        <f>CONCATENATE("LCHM","-",LEFT(P2597,2),UPPER(MID(P2597,4,3)),RIGHT(P2597,4))</f>
        <v>LCHM-16NOV1886</v>
      </c>
      <c r="C2597" s="11" t="s">
        <v>121</v>
      </c>
      <c r="D2597" s="11" t="s">
        <v>1699</v>
      </c>
      <c r="F2597" s="11" t="s">
        <v>1700</v>
      </c>
      <c r="G2597" s="39" t="s">
        <v>4113</v>
      </c>
      <c r="H2597" s="7">
        <v>0</v>
      </c>
      <c r="I2597" s="7">
        <v>0</v>
      </c>
      <c r="J2597" s="17">
        <v>5</v>
      </c>
      <c r="K2597" s="17"/>
      <c r="L2597" s="7">
        <f t="shared" ref="L2597:L2604" si="1122">SUM(H2597:K2597)</f>
        <v>5</v>
      </c>
      <c r="M2597" s="8">
        <v>1</v>
      </c>
      <c r="N2597" s="8">
        <f t="shared" ref="N2597:N2662" si="1123">IF(L2597&gt;0,1,"")</f>
        <v>1</v>
      </c>
      <c r="O2597" s="11" t="s">
        <v>1702</v>
      </c>
      <c r="P2597" s="16" t="str">
        <f t="shared" ref="P2597:P2604" si="1124">IF(LEN(G2597)=10,CONCATENATE("0",G2597),G2597)</f>
        <v>16-Nov-1886</v>
      </c>
      <c r="R2597" s="16" t="str">
        <f>IF($L2597&gt;0,"x","")</f>
        <v>x</v>
      </c>
      <c r="S2597" s="16" t="str">
        <f>IF($L2597&gt;0,"x","")</f>
        <v>x</v>
      </c>
      <c r="U2597" s="46" t="str">
        <f t="shared" si="1121"/>
        <v/>
      </c>
      <c r="V2597" s="46">
        <f t="shared" si="1121"/>
        <v>5</v>
      </c>
      <c r="W2597" s="46" t="str">
        <f t="shared" si="1121"/>
        <v/>
      </c>
      <c r="X2597" s="46" t="str">
        <f t="shared" si="1121"/>
        <v/>
      </c>
    </row>
    <row r="2598" spans="2:26" x14ac:dyDescent="0.25">
      <c r="B2598" s="11" t="str">
        <f>CONCATENATE("LCHM","-",LEFT(P2598,2),UPPER(MID(P2598,4,3)),RIGHT(P2598,4))</f>
        <v>LCHM-29FEB1892</v>
      </c>
      <c r="C2598" s="11" t="s">
        <v>121</v>
      </c>
      <c r="D2598" s="11" t="s">
        <v>1699</v>
      </c>
      <c r="F2598" s="11" t="s">
        <v>1700</v>
      </c>
      <c r="G2598" s="39" t="s">
        <v>232</v>
      </c>
      <c r="H2598" s="7">
        <v>0</v>
      </c>
      <c r="I2598" s="7">
        <v>0</v>
      </c>
      <c r="J2598" s="17">
        <v>0</v>
      </c>
      <c r="K2598" s="17"/>
      <c r="L2598" s="7">
        <f>SUM(H2598:K2598)</f>
        <v>0</v>
      </c>
      <c r="M2598" s="8">
        <v>1</v>
      </c>
      <c r="N2598" s="8" t="str">
        <f>IF(L2598&gt;0,1,"")</f>
        <v/>
      </c>
      <c r="O2598" s="11" t="s">
        <v>1702</v>
      </c>
      <c r="P2598" s="16" t="str">
        <f>IF(LEN(G2598)=10,CONCATENATE("0",G2598),G2598)</f>
        <v>29-Feb-1892</v>
      </c>
      <c r="R2598" s="16" t="str">
        <f t="shared" ref="R2598:S2662" si="1125">IF($L2598&gt;0,"x","")</f>
        <v/>
      </c>
      <c r="S2598" s="16" t="str">
        <f t="shared" si="1125"/>
        <v/>
      </c>
      <c r="U2598" s="46" t="str">
        <f t="shared" si="1121"/>
        <v/>
      </c>
      <c r="V2598" s="46">
        <f t="shared" si="1121"/>
        <v>0</v>
      </c>
      <c r="W2598" s="46" t="str">
        <f t="shared" si="1121"/>
        <v/>
      </c>
      <c r="X2598" s="46" t="str">
        <f t="shared" si="1121"/>
        <v/>
      </c>
      <c r="Z2598" s="11" t="s">
        <v>338</v>
      </c>
    </row>
    <row r="2599" spans="2:26" x14ac:dyDescent="0.25">
      <c r="B2599" s="11" t="str">
        <f t="shared" ref="B2599:B2604" si="1126">CONCATENATE("LCHM","-",LEFT(P2599,2),UPPER(MID(P2599,4,3)),RIGHT(P2599,4))</f>
        <v>LCHM-03APR1892</v>
      </c>
      <c r="C2599" s="11" t="s">
        <v>121</v>
      </c>
      <c r="D2599" s="11" t="s">
        <v>1699</v>
      </c>
      <c r="F2599" s="11" t="s">
        <v>1700</v>
      </c>
      <c r="G2599" s="39" t="s">
        <v>233</v>
      </c>
      <c r="H2599" s="7">
        <v>0</v>
      </c>
      <c r="I2599" s="7">
        <v>0</v>
      </c>
      <c r="J2599" s="17">
        <v>0</v>
      </c>
      <c r="K2599" s="17"/>
      <c r="L2599" s="7">
        <f t="shared" si="1122"/>
        <v>0</v>
      </c>
      <c r="M2599" s="8">
        <v>1</v>
      </c>
      <c r="N2599" s="8" t="str">
        <f t="shared" si="1123"/>
        <v/>
      </c>
      <c r="O2599" s="11" t="s">
        <v>1702</v>
      </c>
      <c r="P2599" s="16" t="str">
        <f t="shared" si="1124"/>
        <v>03-Apr-1892</v>
      </c>
      <c r="R2599" s="16" t="str">
        <f t="shared" si="1125"/>
        <v/>
      </c>
      <c r="S2599" s="16" t="str">
        <f t="shared" si="1125"/>
        <v/>
      </c>
      <c r="U2599" s="46" t="str">
        <f t="shared" si="1121"/>
        <v/>
      </c>
      <c r="V2599" s="46">
        <f t="shared" si="1121"/>
        <v>0</v>
      </c>
      <c r="W2599" s="46" t="str">
        <f t="shared" si="1121"/>
        <v/>
      </c>
      <c r="X2599" s="46" t="str">
        <f t="shared" si="1121"/>
        <v/>
      </c>
    </row>
    <row r="2600" spans="2:26" x14ac:dyDescent="0.25">
      <c r="B2600" s="11" t="str">
        <f t="shared" si="1126"/>
        <v>LCHM-02MAY1892</v>
      </c>
      <c r="C2600" s="11" t="s">
        <v>121</v>
      </c>
      <c r="D2600" s="11" t="s">
        <v>1699</v>
      </c>
      <c r="F2600" s="11" t="s">
        <v>1700</v>
      </c>
      <c r="G2600" s="39" t="s">
        <v>139</v>
      </c>
      <c r="H2600" s="7">
        <v>0</v>
      </c>
      <c r="I2600" s="7">
        <v>0</v>
      </c>
      <c r="J2600" s="17">
        <v>0</v>
      </c>
      <c r="K2600" s="17"/>
      <c r="L2600" s="7">
        <f t="shared" si="1122"/>
        <v>0</v>
      </c>
      <c r="M2600" s="8">
        <v>1</v>
      </c>
      <c r="N2600" s="8" t="str">
        <f t="shared" si="1123"/>
        <v/>
      </c>
      <c r="O2600" s="11" t="s">
        <v>1702</v>
      </c>
      <c r="P2600" s="16" t="str">
        <f t="shared" si="1124"/>
        <v>02-May-1892</v>
      </c>
      <c r="R2600" s="16" t="str">
        <f t="shared" si="1125"/>
        <v/>
      </c>
      <c r="S2600" s="16" t="str">
        <f t="shared" si="1125"/>
        <v/>
      </c>
      <c r="U2600" s="46" t="str">
        <f t="shared" si="1121"/>
        <v/>
      </c>
      <c r="V2600" s="46">
        <f t="shared" si="1121"/>
        <v>0</v>
      </c>
      <c r="W2600" s="46" t="str">
        <f t="shared" si="1121"/>
        <v/>
      </c>
      <c r="X2600" s="46" t="str">
        <f t="shared" si="1121"/>
        <v/>
      </c>
    </row>
    <row r="2601" spans="2:26" x14ac:dyDescent="0.25">
      <c r="B2601" s="11" t="str">
        <f t="shared" si="1126"/>
        <v>LCHM-30MAY1892</v>
      </c>
      <c r="C2601" s="11" t="s">
        <v>121</v>
      </c>
      <c r="D2601" s="11" t="s">
        <v>1699</v>
      </c>
      <c r="F2601" s="11" t="s">
        <v>1700</v>
      </c>
      <c r="G2601" s="39" t="s">
        <v>140</v>
      </c>
      <c r="H2601" s="7">
        <v>0</v>
      </c>
      <c r="I2601" s="7">
        <v>0</v>
      </c>
      <c r="J2601" s="17">
        <v>1</v>
      </c>
      <c r="K2601" s="17"/>
      <c r="L2601" s="7">
        <f t="shared" si="1122"/>
        <v>1</v>
      </c>
      <c r="M2601" s="8">
        <v>1</v>
      </c>
      <c r="N2601" s="8">
        <f t="shared" si="1123"/>
        <v>1</v>
      </c>
      <c r="O2601" s="11" t="s">
        <v>1702</v>
      </c>
      <c r="P2601" s="16" t="str">
        <f t="shared" si="1124"/>
        <v>30-May-1892</v>
      </c>
      <c r="R2601" s="16" t="str">
        <f t="shared" si="1125"/>
        <v>x</v>
      </c>
      <c r="S2601" s="16" t="str">
        <f t="shared" si="1125"/>
        <v>x</v>
      </c>
      <c r="U2601" s="46" t="str">
        <f t="shared" si="1121"/>
        <v/>
      </c>
      <c r="V2601" s="46">
        <f t="shared" si="1121"/>
        <v>1</v>
      </c>
      <c r="W2601" s="46" t="str">
        <f t="shared" si="1121"/>
        <v/>
      </c>
      <c r="X2601" s="46" t="str">
        <f t="shared" si="1121"/>
        <v/>
      </c>
    </row>
    <row r="2602" spans="2:26" x14ac:dyDescent="0.25">
      <c r="B2602" s="11" t="str">
        <f t="shared" si="1126"/>
        <v>LCHM-18JUL1892</v>
      </c>
      <c r="C2602" s="11" t="s">
        <v>121</v>
      </c>
      <c r="D2602" s="11" t="s">
        <v>1699</v>
      </c>
      <c r="F2602" s="11" t="s">
        <v>1700</v>
      </c>
      <c r="G2602" s="39" t="s">
        <v>234</v>
      </c>
      <c r="H2602" s="7">
        <v>0</v>
      </c>
      <c r="I2602" s="7">
        <v>0</v>
      </c>
      <c r="J2602" s="17">
        <v>0</v>
      </c>
      <c r="K2602" s="17"/>
      <c r="L2602" s="7">
        <f t="shared" si="1122"/>
        <v>0</v>
      </c>
      <c r="M2602" s="8">
        <v>1</v>
      </c>
      <c r="N2602" s="8" t="str">
        <f t="shared" si="1123"/>
        <v/>
      </c>
      <c r="O2602" s="11" t="s">
        <v>1702</v>
      </c>
      <c r="P2602" s="16" t="str">
        <f t="shared" si="1124"/>
        <v>18-Jul-1892</v>
      </c>
      <c r="R2602" s="16" t="str">
        <f t="shared" si="1125"/>
        <v/>
      </c>
      <c r="S2602" s="16" t="str">
        <f t="shared" si="1125"/>
        <v/>
      </c>
      <c r="U2602" s="46" t="str">
        <f t="shared" si="1121"/>
        <v/>
      </c>
      <c r="V2602" s="46">
        <f t="shared" si="1121"/>
        <v>0</v>
      </c>
      <c r="W2602" s="46" t="str">
        <f t="shared" si="1121"/>
        <v/>
      </c>
      <c r="X2602" s="46" t="str">
        <f t="shared" si="1121"/>
        <v/>
      </c>
    </row>
    <row r="2603" spans="2:26" x14ac:dyDescent="0.25">
      <c r="B2603" s="11" t="str">
        <f t="shared" si="1126"/>
        <v>LCHM-15AUG1892</v>
      </c>
      <c r="C2603" s="11" t="s">
        <v>121</v>
      </c>
      <c r="D2603" s="11" t="s">
        <v>1699</v>
      </c>
      <c r="F2603" s="11" t="s">
        <v>1700</v>
      </c>
      <c r="G2603" s="39" t="s">
        <v>235</v>
      </c>
      <c r="H2603" s="7">
        <v>0</v>
      </c>
      <c r="I2603" s="7">
        <v>0</v>
      </c>
      <c r="J2603" s="17">
        <v>0</v>
      </c>
      <c r="K2603" s="17"/>
      <c r="L2603" s="7">
        <f t="shared" si="1122"/>
        <v>0</v>
      </c>
      <c r="M2603" s="8">
        <v>1</v>
      </c>
      <c r="N2603" s="8" t="str">
        <f t="shared" si="1123"/>
        <v/>
      </c>
      <c r="O2603" s="11" t="s">
        <v>1702</v>
      </c>
      <c r="P2603" s="16" t="str">
        <f t="shared" si="1124"/>
        <v>15-Aug-1892</v>
      </c>
      <c r="R2603" s="16" t="str">
        <f t="shared" si="1125"/>
        <v/>
      </c>
      <c r="S2603" s="16" t="str">
        <f t="shared" si="1125"/>
        <v/>
      </c>
      <c r="U2603" s="46" t="str">
        <f t="shared" si="1121"/>
        <v/>
      </c>
      <c r="V2603" s="46">
        <f t="shared" si="1121"/>
        <v>0</v>
      </c>
      <c r="W2603" s="46" t="str">
        <f t="shared" si="1121"/>
        <v/>
      </c>
      <c r="X2603" s="46" t="str">
        <f t="shared" si="1121"/>
        <v/>
      </c>
    </row>
    <row r="2604" spans="2:26" x14ac:dyDescent="0.25">
      <c r="B2604" s="11" t="str">
        <f t="shared" si="1126"/>
        <v>LCHM-14SEP1892</v>
      </c>
      <c r="C2604" s="11" t="s">
        <v>121</v>
      </c>
      <c r="D2604" s="11" t="s">
        <v>2224</v>
      </c>
      <c r="F2604" s="11" t="s">
        <v>1700</v>
      </c>
      <c r="G2604" s="39" t="s">
        <v>236</v>
      </c>
      <c r="H2604" s="7">
        <v>0</v>
      </c>
      <c r="I2604" s="7">
        <v>0</v>
      </c>
      <c r="J2604" s="17">
        <v>0</v>
      </c>
      <c r="K2604" s="17"/>
      <c r="L2604" s="7">
        <f t="shared" si="1122"/>
        <v>0</v>
      </c>
      <c r="M2604" s="8">
        <v>1</v>
      </c>
      <c r="N2604" s="8" t="str">
        <f t="shared" si="1123"/>
        <v/>
      </c>
      <c r="O2604" s="11" t="s">
        <v>1702</v>
      </c>
      <c r="P2604" s="16" t="str">
        <f t="shared" si="1124"/>
        <v>14-Sep-1892</v>
      </c>
      <c r="R2604" s="16" t="str">
        <f t="shared" si="1125"/>
        <v/>
      </c>
      <c r="S2604" s="16" t="str">
        <f t="shared" si="1125"/>
        <v/>
      </c>
      <c r="U2604" s="46" t="str">
        <f t="shared" si="1121"/>
        <v/>
      </c>
      <c r="V2604" s="46">
        <f t="shared" si="1121"/>
        <v>0</v>
      </c>
      <c r="W2604" s="46" t="str">
        <f t="shared" si="1121"/>
        <v/>
      </c>
      <c r="X2604" s="46" t="str">
        <f t="shared" si="1121"/>
        <v/>
      </c>
    </row>
    <row r="2605" spans="2:26" x14ac:dyDescent="0.25">
      <c r="B2605" s="11" t="str">
        <f t="shared" ref="B2605:B2612" si="1127">CONCATENATE("LCHM","-",LEFT(P2605,2),UPPER(MID(P2605,4,3)),RIGHT(P2605,4))</f>
        <v>LCHM-10OCT1892</v>
      </c>
      <c r="C2605" s="11" t="s">
        <v>121</v>
      </c>
      <c r="D2605" s="11" t="s">
        <v>240</v>
      </c>
      <c r="F2605" s="11" t="s">
        <v>1700</v>
      </c>
      <c r="G2605" s="39" t="s">
        <v>237</v>
      </c>
      <c r="H2605" s="7">
        <v>0</v>
      </c>
      <c r="I2605" s="7">
        <v>0</v>
      </c>
      <c r="J2605" s="17">
        <v>0</v>
      </c>
      <c r="K2605" s="17"/>
      <c r="L2605" s="7">
        <f t="shared" ref="L2605:L2612" si="1128">SUM(H2605:K2605)</f>
        <v>0</v>
      </c>
      <c r="M2605" s="8">
        <v>1</v>
      </c>
      <c r="N2605" s="8" t="str">
        <f t="shared" si="1123"/>
        <v/>
      </c>
      <c r="O2605" s="11" t="s">
        <v>1702</v>
      </c>
      <c r="P2605" s="16" t="str">
        <f t="shared" ref="P2605:P2612" si="1129">IF(LEN(G2605)=10,CONCATENATE("0",G2605),G2605)</f>
        <v>10-Oct-1892</v>
      </c>
      <c r="R2605" s="16" t="str">
        <f t="shared" si="1125"/>
        <v/>
      </c>
      <c r="S2605" s="16" t="str">
        <f t="shared" si="1125"/>
        <v/>
      </c>
      <c r="U2605" s="46" t="str">
        <f t="shared" si="1121"/>
        <v/>
      </c>
      <c r="V2605" s="46">
        <f t="shared" si="1121"/>
        <v>0</v>
      </c>
      <c r="W2605" s="46" t="str">
        <f t="shared" si="1121"/>
        <v/>
      </c>
      <c r="X2605" s="46" t="str">
        <f t="shared" si="1121"/>
        <v/>
      </c>
    </row>
    <row r="2606" spans="2:26" x14ac:dyDescent="0.25">
      <c r="B2606" s="11" t="str">
        <f t="shared" si="1127"/>
        <v>LCHM-21NOV1892</v>
      </c>
      <c r="C2606" s="11" t="s">
        <v>121</v>
      </c>
      <c r="D2606" s="11" t="s">
        <v>1699</v>
      </c>
      <c r="F2606" s="11" t="s">
        <v>1700</v>
      </c>
      <c r="G2606" s="39" t="s">
        <v>238</v>
      </c>
      <c r="H2606" s="7">
        <v>0</v>
      </c>
      <c r="I2606" s="7">
        <v>1</v>
      </c>
      <c r="J2606" s="17">
        <v>0</v>
      </c>
      <c r="K2606" s="17"/>
      <c r="L2606" s="7">
        <f t="shared" si="1128"/>
        <v>1</v>
      </c>
      <c r="M2606" s="8">
        <v>1</v>
      </c>
      <c r="N2606" s="8">
        <f t="shared" si="1123"/>
        <v>1</v>
      </c>
      <c r="O2606" s="11" t="s">
        <v>1702</v>
      </c>
      <c r="P2606" s="16" t="str">
        <f t="shared" si="1129"/>
        <v>21-Nov-1892</v>
      </c>
      <c r="R2606" s="16" t="str">
        <f t="shared" si="1125"/>
        <v>x</v>
      </c>
      <c r="S2606" s="16" t="str">
        <f t="shared" si="1125"/>
        <v>x</v>
      </c>
      <c r="U2606" s="46" t="str">
        <f t="shared" si="1121"/>
        <v/>
      </c>
      <c r="V2606" s="46">
        <f t="shared" si="1121"/>
        <v>1</v>
      </c>
      <c r="W2606" s="46" t="str">
        <f t="shared" si="1121"/>
        <v/>
      </c>
      <c r="X2606" s="46" t="str">
        <f t="shared" si="1121"/>
        <v/>
      </c>
    </row>
    <row r="2607" spans="2:26" x14ac:dyDescent="0.25">
      <c r="B2607" s="11" t="str">
        <f t="shared" si="1127"/>
        <v>LCHM-19DEC1892</v>
      </c>
      <c r="C2607" s="11" t="s">
        <v>121</v>
      </c>
      <c r="D2607" s="11" t="s">
        <v>1699</v>
      </c>
      <c r="F2607" s="11" t="s">
        <v>1700</v>
      </c>
      <c r="G2607" s="39" t="s">
        <v>239</v>
      </c>
      <c r="H2607" s="7">
        <v>0</v>
      </c>
      <c r="I2607" s="7">
        <v>0</v>
      </c>
      <c r="J2607" s="17">
        <v>0</v>
      </c>
      <c r="K2607" s="17"/>
      <c r="L2607" s="7">
        <f t="shared" si="1128"/>
        <v>0</v>
      </c>
      <c r="M2607" s="8">
        <v>1</v>
      </c>
      <c r="N2607" s="8" t="str">
        <f t="shared" si="1123"/>
        <v/>
      </c>
      <c r="O2607" s="11" t="s">
        <v>1702</v>
      </c>
      <c r="P2607" s="16" t="str">
        <f t="shared" si="1129"/>
        <v>19-Dec-1892</v>
      </c>
      <c r="R2607" s="16" t="str">
        <f t="shared" si="1125"/>
        <v/>
      </c>
      <c r="S2607" s="16" t="str">
        <f t="shared" si="1125"/>
        <v/>
      </c>
      <c r="U2607" s="46" t="str">
        <f t="shared" si="1121"/>
        <v/>
      </c>
      <c r="V2607" s="46">
        <f t="shared" si="1121"/>
        <v>0</v>
      </c>
      <c r="W2607" s="46" t="str">
        <f t="shared" si="1121"/>
        <v/>
      </c>
      <c r="X2607" s="46" t="str">
        <f t="shared" si="1121"/>
        <v/>
      </c>
    </row>
    <row r="2608" spans="2:26" x14ac:dyDescent="0.25">
      <c r="B2608" s="11" t="str">
        <f t="shared" si="1127"/>
        <v>LCHM-17JAN1893</v>
      </c>
      <c r="C2608" s="11" t="s">
        <v>121</v>
      </c>
      <c r="D2608" s="11" t="s">
        <v>1699</v>
      </c>
      <c r="F2608" s="11" t="s">
        <v>1700</v>
      </c>
      <c r="G2608" s="39" t="s">
        <v>241</v>
      </c>
      <c r="H2608" s="7">
        <v>0</v>
      </c>
      <c r="I2608" s="7">
        <v>0</v>
      </c>
      <c r="J2608" s="17">
        <v>0</v>
      </c>
      <c r="K2608" s="17"/>
      <c r="L2608" s="7">
        <f t="shared" si="1128"/>
        <v>0</v>
      </c>
      <c r="M2608" s="8">
        <v>1</v>
      </c>
      <c r="N2608" s="8" t="str">
        <f t="shared" si="1123"/>
        <v/>
      </c>
      <c r="O2608" s="11" t="s">
        <v>1702</v>
      </c>
      <c r="P2608" s="16" t="str">
        <f t="shared" si="1129"/>
        <v>17-Jan-1893</v>
      </c>
      <c r="R2608" s="16" t="str">
        <f t="shared" si="1125"/>
        <v/>
      </c>
      <c r="S2608" s="16" t="str">
        <f t="shared" si="1125"/>
        <v/>
      </c>
      <c r="U2608" s="46" t="str">
        <f t="shared" si="1121"/>
        <v/>
      </c>
      <c r="V2608" s="46">
        <f t="shared" si="1121"/>
        <v>0</v>
      </c>
      <c r="W2608" s="46" t="str">
        <f t="shared" si="1121"/>
        <v/>
      </c>
      <c r="X2608" s="46" t="str">
        <f t="shared" si="1121"/>
        <v/>
      </c>
    </row>
    <row r="2609" spans="2:24" x14ac:dyDescent="0.25">
      <c r="B2609" s="11" t="str">
        <f t="shared" si="1127"/>
        <v>LCHM-20MAR1893</v>
      </c>
      <c r="C2609" s="11" t="s">
        <v>121</v>
      </c>
      <c r="D2609" s="11" t="s">
        <v>1699</v>
      </c>
      <c r="F2609" s="11" t="s">
        <v>1700</v>
      </c>
      <c r="G2609" s="39" t="s">
        <v>242</v>
      </c>
      <c r="H2609" s="7">
        <v>0</v>
      </c>
      <c r="I2609" s="7">
        <v>0</v>
      </c>
      <c r="J2609" s="17">
        <v>0</v>
      </c>
      <c r="K2609" s="17"/>
      <c r="L2609" s="7">
        <f t="shared" si="1128"/>
        <v>0</v>
      </c>
      <c r="M2609" s="8">
        <v>1</v>
      </c>
      <c r="N2609" s="8" t="str">
        <f t="shared" si="1123"/>
        <v/>
      </c>
      <c r="O2609" s="11" t="s">
        <v>1702</v>
      </c>
      <c r="P2609" s="16" t="str">
        <f t="shared" si="1129"/>
        <v>20-Mar-1893</v>
      </c>
      <c r="R2609" s="16" t="str">
        <f t="shared" si="1125"/>
        <v/>
      </c>
      <c r="S2609" s="16" t="str">
        <f t="shared" si="1125"/>
        <v/>
      </c>
      <c r="U2609" s="46" t="str">
        <f t="shared" si="1121"/>
        <v/>
      </c>
      <c r="V2609" s="46">
        <f t="shared" si="1121"/>
        <v>0</v>
      </c>
      <c r="W2609" s="46" t="str">
        <f t="shared" si="1121"/>
        <v/>
      </c>
      <c r="X2609" s="46" t="str">
        <f t="shared" si="1121"/>
        <v/>
      </c>
    </row>
    <row r="2610" spans="2:24" x14ac:dyDescent="0.25">
      <c r="B2610" s="11" t="str">
        <f t="shared" si="1127"/>
        <v>LCHM-17APR1893</v>
      </c>
      <c r="C2610" s="11" t="s">
        <v>121</v>
      </c>
      <c r="D2610" s="11" t="s">
        <v>1699</v>
      </c>
      <c r="F2610" s="11" t="s">
        <v>1700</v>
      </c>
      <c r="G2610" s="39" t="s">
        <v>102</v>
      </c>
      <c r="H2610" s="7">
        <v>0</v>
      </c>
      <c r="I2610" s="7">
        <v>1</v>
      </c>
      <c r="J2610" s="17">
        <v>0</v>
      </c>
      <c r="K2610" s="17"/>
      <c r="L2610" s="7">
        <f t="shared" si="1128"/>
        <v>1</v>
      </c>
      <c r="M2610" s="8">
        <v>1</v>
      </c>
      <c r="N2610" s="8">
        <f t="shared" si="1123"/>
        <v>1</v>
      </c>
      <c r="O2610" s="11" t="s">
        <v>1702</v>
      </c>
      <c r="P2610" s="16" t="str">
        <f t="shared" si="1129"/>
        <v>17-Apr-1893</v>
      </c>
      <c r="R2610" s="16" t="str">
        <f t="shared" si="1125"/>
        <v>x</v>
      </c>
      <c r="S2610" s="16" t="str">
        <f t="shared" si="1125"/>
        <v>x</v>
      </c>
      <c r="U2610" s="46" t="str">
        <f t="shared" si="1121"/>
        <v/>
      </c>
      <c r="V2610" s="46">
        <f t="shared" si="1121"/>
        <v>1</v>
      </c>
      <c r="W2610" s="46" t="str">
        <f t="shared" si="1121"/>
        <v/>
      </c>
      <c r="X2610" s="46" t="str">
        <f t="shared" si="1121"/>
        <v/>
      </c>
    </row>
    <row r="2611" spans="2:24" x14ac:dyDescent="0.25">
      <c r="B2611" s="11" t="str">
        <f t="shared" si="1127"/>
        <v>LCHM-13MAY1893</v>
      </c>
      <c r="C2611" s="11" t="s">
        <v>121</v>
      </c>
      <c r="D2611" s="11" t="s">
        <v>1699</v>
      </c>
      <c r="F2611" s="11" t="s">
        <v>1700</v>
      </c>
      <c r="G2611" s="39" t="s">
        <v>243</v>
      </c>
      <c r="H2611" s="7">
        <v>0</v>
      </c>
      <c r="I2611" s="7">
        <v>0</v>
      </c>
      <c r="J2611" s="17">
        <v>0</v>
      </c>
      <c r="K2611" s="17"/>
      <c r="L2611" s="7">
        <f t="shared" si="1128"/>
        <v>0</v>
      </c>
      <c r="M2611" s="8">
        <v>1</v>
      </c>
      <c r="N2611" s="8" t="str">
        <f t="shared" si="1123"/>
        <v/>
      </c>
      <c r="O2611" s="11" t="s">
        <v>1702</v>
      </c>
      <c r="P2611" s="16" t="str">
        <f t="shared" si="1129"/>
        <v>13-May-1893</v>
      </c>
      <c r="R2611" s="16" t="str">
        <f t="shared" si="1125"/>
        <v/>
      </c>
      <c r="S2611" s="16" t="str">
        <f t="shared" si="1125"/>
        <v/>
      </c>
      <c r="T2611" s="11"/>
      <c r="U2611" s="46" t="str">
        <f t="shared" si="1121"/>
        <v/>
      </c>
      <c r="V2611" s="46">
        <f t="shared" si="1121"/>
        <v>0</v>
      </c>
      <c r="W2611" s="46" t="str">
        <f t="shared" si="1121"/>
        <v/>
      </c>
      <c r="X2611" s="46" t="str">
        <f t="shared" si="1121"/>
        <v/>
      </c>
    </row>
    <row r="2612" spans="2:24" x14ac:dyDescent="0.25">
      <c r="B2612" s="11" t="str">
        <f t="shared" si="1127"/>
        <v>LCHM-12JUN1893</v>
      </c>
      <c r="C2612" s="11" t="s">
        <v>121</v>
      </c>
      <c r="D2612" s="11" t="s">
        <v>1699</v>
      </c>
      <c r="F2612" s="11" t="s">
        <v>1700</v>
      </c>
      <c r="G2612" s="39" t="s">
        <v>2117</v>
      </c>
      <c r="H2612" s="7">
        <v>0</v>
      </c>
      <c r="I2612" s="7">
        <v>0</v>
      </c>
      <c r="J2612" s="17">
        <v>0</v>
      </c>
      <c r="K2612" s="17"/>
      <c r="L2612" s="7">
        <f t="shared" si="1128"/>
        <v>0</v>
      </c>
      <c r="M2612" s="8">
        <v>1</v>
      </c>
      <c r="N2612" s="8" t="str">
        <f t="shared" si="1123"/>
        <v/>
      </c>
      <c r="O2612" s="11" t="s">
        <v>1702</v>
      </c>
      <c r="P2612" s="16" t="str">
        <f t="shared" si="1129"/>
        <v>12-Jun-1893</v>
      </c>
      <c r="R2612" s="16" t="str">
        <f t="shared" si="1125"/>
        <v/>
      </c>
      <c r="S2612" s="16" t="str">
        <f t="shared" si="1125"/>
        <v/>
      </c>
      <c r="T2612" s="11"/>
      <c r="U2612" s="46" t="str">
        <f t="shared" si="1121"/>
        <v/>
      </c>
      <c r="V2612" s="46">
        <f t="shared" si="1121"/>
        <v>0</v>
      </c>
      <c r="W2612" s="46" t="str">
        <f t="shared" si="1121"/>
        <v/>
      </c>
      <c r="X2612" s="46" t="str">
        <f t="shared" si="1121"/>
        <v/>
      </c>
    </row>
    <row r="2613" spans="2:24" x14ac:dyDescent="0.25">
      <c r="B2613" s="11" t="str">
        <f t="shared" ref="B2613:B2620" si="1130">CONCATENATE("LCHM","-",LEFT(P2613,2),UPPER(MID(P2613,4,3)),RIGHT(P2613,4))</f>
        <v>LCHM-10JUL1893</v>
      </c>
      <c r="C2613" s="11" t="s">
        <v>121</v>
      </c>
      <c r="D2613" s="11" t="s">
        <v>1699</v>
      </c>
      <c r="F2613" s="11" t="s">
        <v>1700</v>
      </c>
      <c r="G2613" s="39" t="s">
        <v>244</v>
      </c>
      <c r="H2613" s="7">
        <v>0</v>
      </c>
      <c r="I2613" s="7">
        <v>0</v>
      </c>
      <c r="J2613" s="17">
        <v>0</v>
      </c>
      <c r="K2613" s="17"/>
      <c r="L2613" s="7">
        <f t="shared" ref="L2613:L2620" si="1131">SUM(H2613:K2613)</f>
        <v>0</v>
      </c>
      <c r="M2613" s="8">
        <v>1</v>
      </c>
      <c r="N2613" s="8" t="str">
        <f t="shared" si="1123"/>
        <v/>
      </c>
      <c r="O2613" s="11" t="s">
        <v>1702</v>
      </c>
      <c r="P2613" s="16" t="str">
        <f t="shared" ref="P2613:P2620" si="1132">IF(LEN(G2613)=10,CONCATENATE("0",G2613),G2613)</f>
        <v>10-Jul-1893</v>
      </c>
      <c r="R2613" s="16" t="str">
        <f t="shared" si="1125"/>
        <v/>
      </c>
      <c r="S2613" s="16" t="str">
        <f t="shared" si="1125"/>
        <v/>
      </c>
      <c r="T2613" s="11"/>
      <c r="U2613" s="46" t="str">
        <f t="shared" si="1121"/>
        <v/>
      </c>
      <c r="V2613" s="46">
        <f t="shared" si="1121"/>
        <v>0</v>
      </c>
      <c r="W2613" s="46" t="str">
        <f t="shared" si="1121"/>
        <v/>
      </c>
      <c r="X2613" s="46" t="str">
        <f t="shared" si="1121"/>
        <v/>
      </c>
    </row>
    <row r="2614" spans="2:24" x14ac:dyDescent="0.25">
      <c r="B2614" s="11" t="str">
        <f t="shared" si="1130"/>
        <v>LCHM-07AUG1893</v>
      </c>
      <c r="C2614" s="11" t="s">
        <v>121</v>
      </c>
      <c r="D2614" s="11" t="s">
        <v>1699</v>
      </c>
      <c r="F2614" s="11" t="s">
        <v>1700</v>
      </c>
      <c r="G2614" s="39" t="s">
        <v>245</v>
      </c>
      <c r="H2614" s="7">
        <v>0</v>
      </c>
      <c r="I2614" s="7">
        <v>0</v>
      </c>
      <c r="J2614" s="17">
        <v>0</v>
      </c>
      <c r="K2614" s="17"/>
      <c r="L2614" s="7">
        <f t="shared" si="1131"/>
        <v>0</v>
      </c>
      <c r="M2614" s="8">
        <v>1</v>
      </c>
      <c r="N2614" s="8" t="str">
        <f t="shared" si="1123"/>
        <v/>
      </c>
      <c r="O2614" s="11" t="s">
        <v>1702</v>
      </c>
      <c r="P2614" s="16" t="str">
        <f t="shared" si="1132"/>
        <v>07-Aug-1893</v>
      </c>
      <c r="R2614" s="16" t="str">
        <f t="shared" si="1125"/>
        <v/>
      </c>
      <c r="S2614" s="16" t="str">
        <f t="shared" si="1125"/>
        <v/>
      </c>
      <c r="T2614" s="11"/>
      <c r="U2614" s="46" t="str">
        <f t="shared" si="1121"/>
        <v/>
      </c>
      <c r="V2614" s="46">
        <f t="shared" si="1121"/>
        <v>0</v>
      </c>
      <c r="W2614" s="46" t="str">
        <f t="shared" si="1121"/>
        <v/>
      </c>
      <c r="X2614" s="46" t="str">
        <f t="shared" si="1121"/>
        <v/>
      </c>
    </row>
    <row r="2615" spans="2:24" x14ac:dyDescent="0.25">
      <c r="B2615" s="11" t="str">
        <f t="shared" si="1130"/>
        <v>LCHM-04SEP1893</v>
      </c>
      <c r="C2615" s="11" t="s">
        <v>121</v>
      </c>
      <c r="D2615" s="11" t="s">
        <v>1699</v>
      </c>
      <c r="F2615" s="11" t="s">
        <v>1700</v>
      </c>
      <c r="G2615" s="39" t="s">
        <v>246</v>
      </c>
      <c r="H2615" s="7">
        <v>0</v>
      </c>
      <c r="I2615" s="7">
        <v>0</v>
      </c>
      <c r="J2615" s="17">
        <v>0</v>
      </c>
      <c r="K2615" s="17"/>
      <c r="L2615" s="7">
        <f t="shared" si="1131"/>
        <v>0</v>
      </c>
      <c r="M2615" s="8">
        <v>1</v>
      </c>
      <c r="N2615" s="8" t="str">
        <f t="shared" si="1123"/>
        <v/>
      </c>
      <c r="O2615" s="11" t="s">
        <v>1702</v>
      </c>
      <c r="P2615" s="16" t="str">
        <f t="shared" si="1132"/>
        <v>04-Sep-1893</v>
      </c>
      <c r="R2615" s="16" t="str">
        <f t="shared" si="1125"/>
        <v/>
      </c>
      <c r="S2615" s="16" t="str">
        <f t="shared" si="1125"/>
        <v/>
      </c>
      <c r="T2615" s="11"/>
      <c r="U2615" s="46" t="str">
        <f t="shared" si="1121"/>
        <v/>
      </c>
      <c r="V2615" s="46">
        <f t="shared" si="1121"/>
        <v>0</v>
      </c>
      <c r="W2615" s="46" t="str">
        <f t="shared" si="1121"/>
        <v/>
      </c>
      <c r="X2615" s="46" t="str">
        <f t="shared" si="1121"/>
        <v/>
      </c>
    </row>
    <row r="2616" spans="2:24" x14ac:dyDescent="0.25">
      <c r="B2616" s="11" t="str">
        <f t="shared" si="1130"/>
        <v>LCHM-23OCT1893</v>
      </c>
      <c r="C2616" s="11" t="s">
        <v>121</v>
      </c>
      <c r="D2616" s="11" t="s">
        <v>1699</v>
      </c>
      <c r="F2616" s="11" t="s">
        <v>1700</v>
      </c>
      <c r="G2616" s="39" t="s">
        <v>247</v>
      </c>
      <c r="H2616" s="7">
        <v>0</v>
      </c>
      <c r="I2616" s="7">
        <v>0</v>
      </c>
      <c r="J2616" s="17">
        <v>0</v>
      </c>
      <c r="K2616" s="17"/>
      <c r="L2616" s="7">
        <f t="shared" si="1131"/>
        <v>0</v>
      </c>
      <c r="M2616" s="8">
        <v>1</v>
      </c>
      <c r="N2616" s="8" t="str">
        <f t="shared" si="1123"/>
        <v/>
      </c>
      <c r="O2616" s="11" t="s">
        <v>1702</v>
      </c>
      <c r="P2616" s="16" t="str">
        <f t="shared" si="1132"/>
        <v>23-Oct-1893</v>
      </c>
      <c r="R2616" s="16" t="str">
        <f t="shared" si="1125"/>
        <v/>
      </c>
      <c r="S2616" s="16" t="str">
        <f t="shared" si="1125"/>
        <v/>
      </c>
      <c r="T2616" s="11"/>
      <c r="U2616" s="46" t="str">
        <f t="shared" si="1121"/>
        <v/>
      </c>
      <c r="V2616" s="46">
        <f t="shared" si="1121"/>
        <v>0</v>
      </c>
      <c r="W2616" s="46" t="str">
        <f t="shared" si="1121"/>
        <v/>
      </c>
      <c r="X2616" s="46" t="str">
        <f t="shared" si="1121"/>
        <v/>
      </c>
    </row>
    <row r="2617" spans="2:24" x14ac:dyDescent="0.25">
      <c r="B2617" s="11" t="str">
        <f t="shared" si="1130"/>
        <v>LCHM-20NOV1893</v>
      </c>
      <c r="C2617" s="11" t="s">
        <v>121</v>
      </c>
      <c r="D2617" s="11" t="s">
        <v>1699</v>
      </c>
      <c r="F2617" s="11" t="s">
        <v>1700</v>
      </c>
      <c r="G2617" s="39" t="s">
        <v>248</v>
      </c>
      <c r="H2617" s="7">
        <v>0</v>
      </c>
      <c r="I2617" s="7">
        <v>0</v>
      </c>
      <c r="J2617" s="17">
        <v>0</v>
      </c>
      <c r="K2617" s="17"/>
      <c r="L2617" s="7">
        <f t="shared" si="1131"/>
        <v>0</v>
      </c>
      <c r="M2617" s="8">
        <v>1</v>
      </c>
      <c r="N2617" s="8" t="str">
        <f t="shared" si="1123"/>
        <v/>
      </c>
      <c r="O2617" s="11" t="s">
        <v>1702</v>
      </c>
      <c r="P2617" s="16" t="str">
        <f t="shared" si="1132"/>
        <v>20-Nov-1893</v>
      </c>
      <c r="R2617" s="16" t="str">
        <f t="shared" si="1125"/>
        <v/>
      </c>
      <c r="S2617" s="16" t="str">
        <f t="shared" si="1125"/>
        <v/>
      </c>
      <c r="T2617" s="11"/>
      <c r="U2617" s="46" t="str">
        <f t="shared" si="1121"/>
        <v/>
      </c>
      <c r="V2617" s="46">
        <f t="shared" si="1121"/>
        <v>0</v>
      </c>
      <c r="W2617" s="46" t="str">
        <f t="shared" si="1121"/>
        <v/>
      </c>
      <c r="X2617" s="46" t="str">
        <f t="shared" si="1121"/>
        <v/>
      </c>
    </row>
    <row r="2618" spans="2:24" x14ac:dyDescent="0.25">
      <c r="B2618" s="11" t="str">
        <f t="shared" si="1130"/>
        <v>LCHM-18DEC1893</v>
      </c>
      <c r="C2618" s="11" t="s">
        <v>121</v>
      </c>
      <c r="D2618" s="11" t="s">
        <v>1699</v>
      </c>
      <c r="F2618" s="11" t="s">
        <v>1700</v>
      </c>
      <c r="G2618" s="39" t="s">
        <v>249</v>
      </c>
      <c r="H2618" s="7">
        <v>0</v>
      </c>
      <c r="I2618" s="7">
        <v>0</v>
      </c>
      <c r="J2618" s="17">
        <v>0</v>
      </c>
      <c r="K2618" s="17"/>
      <c r="L2618" s="7">
        <f t="shared" si="1131"/>
        <v>0</v>
      </c>
      <c r="M2618" s="8">
        <v>1</v>
      </c>
      <c r="N2618" s="8" t="str">
        <f t="shared" si="1123"/>
        <v/>
      </c>
      <c r="O2618" s="11" t="s">
        <v>1702</v>
      </c>
      <c r="P2618" s="16" t="str">
        <f t="shared" si="1132"/>
        <v>18-Dec-1893</v>
      </c>
      <c r="R2618" s="16" t="str">
        <f t="shared" si="1125"/>
        <v/>
      </c>
      <c r="S2618" s="16" t="str">
        <f t="shared" si="1125"/>
        <v/>
      </c>
      <c r="T2618" s="11"/>
      <c r="U2618" s="46" t="str">
        <f t="shared" si="1121"/>
        <v/>
      </c>
      <c r="V2618" s="46">
        <f t="shared" si="1121"/>
        <v>0</v>
      </c>
      <c r="W2618" s="46" t="str">
        <f t="shared" si="1121"/>
        <v/>
      </c>
      <c r="X2618" s="46" t="str">
        <f t="shared" si="1121"/>
        <v/>
      </c>
    </row>
    <row r="2619" spans="2:24" x14ac:dyDescent="0.25">
      <c r="B2619" s="11" t="str">
        <f t="shared" si="1130"/>
        <v>LCHM-16JAN1894</v>
      </c>
      <c r="C2619" s="11" t="s">
        <v>121</v>
      </c>
      <c r="D2619" s="11" t="s">
        <v>1699</v>
      </c>
      <c r="F2619" s="11" t="s">
        <v>1700</v>
      </c>
      <c r="G2619" s="39" t="s">
        <v>250</v>
      </c>
      <c r="H2619" s="7">
        <v>0</v>
      </c>
      <c r="I2619" s="7">
        <v>0</v>
      </c>
      <c r="J2619" s="17">
        <v>0</v>
      </c>
      <c r="K2619" s="17"/>
      <c r="L2619" s="7">
        <f t="shared" si="1131"/>
        <v>0</v>
      </c>
      <c r="M2619" s="8">
        <v>1</v>
      </c>
      <c r="N2619" s="8" t="str">
        <f t="shared" si="1123"/>
        <v/>
      </c>
      <c r="O2619" s="11" t="s">
        <v>1702</v>
      </c>
      <c r="P2619" s="16" t="str">
        <f t="shared" si="1132"/>
        <v>16-Jan-1894</v>
      </c>
      <c r="R2619" s="16" t="str">
        <f t="shared" si="1125"/>
        <v/>
      </c>
      <c r="S2619" s="16" t="str">
        <f t="shared" si="1125"/>
        <v/>
      </c>
      <c r="T2619" s="11"/>
      <c r="U2619" s="46" t="str">
        <f t="shared" si="1121"/>
        <v/>
      </c>
      <c r="V2619" s="46">
        <f t="shared" si="1121"/>
        <v>0</v>
      </c>
      <c r="W2619" s="46" t="str">
        <f t="shared" si="1121"/>
        <v/>
      </c>
      <c r="X2619" s="46" t="str">
        <f t="shared" si="1121"/>
        <v/>
      </c>
    </row>
    <row r="2620" spans="2:24" x14ac:dyDescent="0.25">
      <c r="B2620" s="11" t="str">
        <f t="shared" si="1130"/>
        <v>LCHM-12FEB1894</v>
      </c>
      <c r="C2620" s="11" t="s">
        <v>121</v>
      </c>
      <c r="D2620" s="11" t="s">
        <v>1699</v>
      </c>
      <c r="F2620" s="11" t="s">
        <v>1700</v>
      </c>
      <c r="G2620" s="39" t="s">
        <v>251</v>
      </c>
      <c r="H2620" s="7">
        <v>0</v>
      </c>
      <c r="I2620" s="7">
        <v>0</v>
      </c>
      <c r="J2620" s="17">
        <v>0</v>
      </c>
      <c r="K2620" s="17"/>
      <c r="L2620" s="7">
        <f t="shared" si="1131"/>
        <v>0</v>
      </c>
      <c r="M2620" s="8">
        <v>1</v>
      </c>
      <c r="N2620" s="8" t="str">
        <f t="shared" si="1123"/>
        <v/>
      </c>
      <c r="O2620" s="11" t="s">
        <v>1702</v>
      </c>
      <c r="P2620" s="16" t="str">
        <f t="shared" si="1132"/>
        <v>12-Feb-1894</v>
      </c>
      <c r="R2620" s="16" t="str">
        <f t="shared" si="1125"/>
        <v/>
      </c>
      <c r="S2620" s="16" t="str">
        <f t="shared" si="1125"/>
        <v/>
      </c>
      <c r="T2620" s="11"/>
      <c r="U2620" s="46" t="str">
        <f t="shared" si="1121"/>
        <v/>
      </c>
      <c r="V2620" s="46">
        <f t="shared" si="1121"/>
        <v>0</v>
      </c>
      <c r="W2620" s="46" t="str">
        <f t="shared" si="1121"/>
        <v/>
      </c>
      <c r="X2620" s="46" t="str">
        <f t="shared" si="1121"/>
        <v/>
      </c>
    </row>
    <row r="2621" spans="2:24" x14ac:dyDescent="0.25">
      <c r="B2621" s="11" t="str">
        <f t="shared" ref="B2621:B2629" si="1133">CONCATENATE("LCHM","-",LEFT(P2621,2),UPPER(MID(P2621,4,3)),RIGHT(P2621,4))</f>
        <v>LCHM-12MAR1894</v>
      </c>
      <c r="C2621" s="11" t="s">
        <v>121</v>
      </c>
      <c r="D2621" s="11" t="s">
        <v>1699</v>
      </c>
      <c r="F2621" s="11" t="s">
        <v>1700</v>
      </c>
      <c r="G2621" s="39" t="s">
        <v>252</v>
      </c>
      <c r="H2621" s="7">
        <v>0</v>
      </c>
      <c r="I2621" s="7">
        <v>0</v>
      </c>
      <c r="J2621" s="17">
        <v>0</v>
      </c>
      <c r="K2621" s="17"/>
      <c r="L2621" s="7">
        <f t="shared" ref="L2621:L2629" si="1134">SUM(H2621:K2621)</f>
        <v>0</v>
      </c>
      <c r="M2621" s="8">
        <v>1</v>
      </c>
      <c r="N2621" s="8" t="str">
        <f t="shared" si="1123"/>
        <v/>
      </c>
      <c r="O2621" s="11" t="s">
        <v>1702</v>
      </c>
      <c r="P2621" s="16" t="str">
        <f t="shared" ref="P2621:P2629" si="1135">IF(LEN(G2621)=10,CONCATENATE("0",G2621),G2621)</f>
        <v>12-Mar-1894</v>
      </c>
      <c r="R2621" s="16" t="str">
        <f t="shared" si="1125"/>
        <v/>
      </c>
      <c r="S2621" s="16" t="str">
        <f t="shared" si="1125"/>
        <v/>
      </c>
      <c r="T2621" s="11"/>
      <c r="U2621" s="46" t="str">
        <f t="shared" si="1121"/>
        <v/>
      </c>
      <c r="V2621" s="46">
        <f t="shared" si="1121"/>
        <v>0</v>
      </c>
      <c r="W2621" s="46" t="str">
        <f t="shared" si="1121"/>
        <v/>
      </c>
      <c r="X2621" s="46" t="str">
        <f t="shared" si="1121"/>
        <v/>
      </c>
    </row>
    <row r="2622" spans="2:24" x14ac:dyDescent="0.25">
      <c r="B2622" s="11" t="str">
        <f t="shared" si="1133"/>
        <v>LCHM-07MAY1894</v>
      </c>
      <c r="C2622" s="11" t="s">
        <v>121</v>
      </c>
      <c r="D2622" s="11" t="s">
        <v>1699</v>
      </c>
      <c r="F2622" s="11" t="s">
        <v>1700</v>
      </c>
      <c r="G2622" s="39" t="s">
        <v>2126</v>
      </c>
      <c r="H2622" s="7">
        <v>0</v>
      </c>
      <c r="I2622" s="7">
        <v>0</v>
      </c>
      <c r="J2622" s="17">
        <v>0</v>
      </c>
      <c r="K2622" s="17"/>
      <c r="L2622" s="7">
        <f t="shared" si="1134"/>
        <v>0</v>
      </c>
      <c r="M2622" s="8">
        <v>1</v>
      </c>
      <c r="N2622" s="8" t="str">
        <f t="shared" si="1123"/>
        <v/>
      </c>
      <c r="O2622" s="11" t="s">
        <v>1702</v>
      </c>
      <c r="P2622" s="16" t="str">
        <f t="shared" si="1135"/>
        <v>07-May-1894</v>
      </c>
      <c r="R2622" s="16" t="str">
        <f t="shared" si="1125"/>
        <v/>
      </c>
      <c r="S2622" s="16" t="str">
        <f t="shared" si="1125"/>
        <v/>
      </c>
      <c r="T2622" s="11"/>
      <c r="U2622" s="46" t="str">
        <f t="shared" si="1121"/>
        <v/>
      </c>
      <c r="V2622" s="46">
        <f t="shared" si="1121"/>
        <v>0</v>
      </c>
      <c r="W2622" s="46" t="str">
        <f t="shared" si="1121"/>
        <v/>
      </c>
      <c r="X2622" s="46" t="str">
        <f t="shared" si="1121"/>
        <v/>
      </c>
    </row>
    <row r="2623" spans="2:24" x14ac:dyDescent="0.25">
      <c r="B2623" s="11" t="str">
        <f t="shared" si="1133"/>
        <v>LCHM-04JUN1894</v>
      </c>
      <c r="C2623" s="11" t="s">
        <v>121</v>
      </c>
      <c r="D2623" s="11" t="s">
        <v>1699</v>
      </c>
      <c r="F2623" s="11" t="s">
        <v>1700</v>
      </c>
      <c r="G2623" s="39" t="s">
        <v>221</v>
      </c>
      <c r="H2623" s="7">
        <v>0</v>
      </c>
      <c r="I2623" s="7">
        <v>0</v>
      </c>
      <c r="J2623" s="17">
        <v>0</v>
      </c>
      <c r="K2623" s="17"/>
      <c r="L2623" s="7">
        <f t="shared" si="1134"/>
        <v>0</v>
      </c>
      <c r="M2623" s="8">
        <v>1</v>
      </c>
      <c r="N2623" s="8" t="str">
        <f t="shared" si="1123"/>
        <v/>
      </c>
      <c r="O2623" s="11" t="s">
        <v>1702</v>
      </c>
      <c r="P2623" s="16" t="str">
        <f t="shared" si="1135"/>
        <v>04-Jun-1894</v>
      </c>
      <c r="R2623" s="16" t="str">
        <f t="shared" si="1125"/>
        <v/>
      </c>
      <c r="S2623" s="16" t="str">
        <f t="shared" si="1125"/>
        <v/>
      </c>
      <c r="T2623" s="11"/>
      <c r="U2623" s="46" t="str">
        <f t="shared" si="1121"/>
        <v/>
      </c>
      <c r="V2623" s="46">
        <f t="shared" si="1121"/>
        <v>0</v>
      </c>
      <c r="W2623" s="46" t="str">
        <f t="shared" si="1121"/>
        <v/>
      </c>
      <c r="X2623" s="46" t="str">
        <f t="shared" si="1121"/>
        <v/>
      </c>
    </row>
    <row r="2624" spans="2:24" x14ac:dyDescent="0.25">
      <c r="B2624" s="11" t="str">
        <f t="shared" si="1133"/>
        <v>LCHM-09JUL1894</v>
      </c>
      <c r="C2624" s="11" t="s">
        <v>121</v>
      </c>
      <c r="D2624" s="11" t="s">
        <v>1699</v>
      </c>
      <c r="F2624" s="11" t="s">
        <v>1700</v>
      </c>
      <c r="G2624" s="39" t="s">
        <v>253</v>
      </c>
      <c r="H2624" s="7">
        <v>0</v>
      </c>
      <c r="I2624" s="7">
        <v>0</v>
      </c>
      <c r="J2624" s="17">
        <v>1</v>
      </c>
      <c r="K2624" s="17"/>
      <c r="L2624" s="7">
        <f t="shared" si="1134"/>
        <v>1</v>
      </c>
      <c r="M2624" s="8">
        <v>1</v>
      </c>
      <c r="N2624" s="8">
        <f t="shared" si="1123"/>
        <v>1</v>
      </c>
      <c r="O2624" s="11" t="s">
        <v>1702</v>
      </c>
      <c r="P2624" s="16" t="str">
        <f t="shared" si="1135"/>
        <v>09-Jul-1894</v>
      </c>
      <c r="R2624" s="16" t="str">
        <f t="shared" si="1125"/>
        <v>x</v>
      </c>
      <c r="S2624" s="16" t="str">
        <f t="shared" si="1125"/>
        <v>x</v>
      </c>
      <c r="T2624" s="11"/>
      <c r="U2624" s="46" t="str">
        <f t="shared" si="1121"/>
        <v/>
      </c>
      <c r="V2624" s="46">
        <f t="shared" si="1121"/>
        <v>1</v>
      </c>
      <c r="W2624" s="46" t="str">
        <f t="shared" si="1121"/>
        <v/>
      </c>
      <c r="X2624" s="46" t="str">
        <f t="shared" si="1121"/>
        <v/>
      </c>
    </row>
    <row r="2625" spans="2:24" x14ac:dyDescent="0.25">
      <c r="B2625" s="11" t="str">
        <f t="shared" si="1133"/>
        <v>LCHM-13AUG1894</v>
      </c>
      <c r="C2625" s="11" t="s">
        <v>121</v>
      </c>
      <c r="D2625" s="11" t="s">
        <v>1699</v>
      </c>
      <c r="F2625" s="11" t="s">
        <v>1700</v>
      </c>
      <c r="G2625" s="39" t="s">
        <v>106</v>
      </c>
      <c r="H2625" s="7">
        <v>0</v>
      </c>
      <c r="I2625" s="7">
        <v>0</v>
      </c>
      <c r="J2625" s="17">
        <v>0</v>
      </c>
      <c r="K2625" s="17"/>
      <c r="L2625" s="7">
        <f t="shared" si="1134"/>
        <v>0</v>
      </c>
      <c r="M2625" s="8">
        <v>1</v>
      </c>
      <c r="N2625" s="8" t="str">
        <f t="shared" si="1123"/>
        <v/>
      </c>
      <c r="O2625" s="11" t="s">
        <v>1702</v>
      </c>
      <c r="P2625" s="16" t="str">
        <f t="shared" si="1135"/>
        <v>13-Aug-1894</v>
      </c>
      <c r="R2625" s="16" t="str">
        <f t="shared" si="1125"/>
        <v/>
      </c>
      <c r="S2625" s="16" t="str">
        <f t="shared" si="1125"/>
        <v/>
      </c>
      <c r="T2625" s="11"/>
      <c r="U2625" s="46" t="str">
        <f t="shared" si="1121"/>
        <v/>
      </c>
      <c r="V2625" s="46">
        <f t="shared" si="1121"/>
        <v>0</v>
      </c>
      <c r="W2625" s="46" t="str">
        <f t="shared" si="1121"/>
        <v/>
      </c>
      <c r="X2625" s="46" t="str">
        <f t="shared" si="1121"/>
        <v/>
      </c>
    </row>
    <row r="2626" spans="2:24" x14ac:dyDescent="0.25">
      <c r="B2626" s="11" t="str">
        <f t="shared" si="1133"/>
        <v>LCHM-17SEP1894</v>
      </c>
      <c r="C2626" s="11" t="s">
        <v>121</v>
      </c>
      <c r="D2626" s="11" t="s">
        <v>1699</v>
      </c>
      <c r="F2626" s="11" t="s">
        <v>1700</v>
      </c>
      <c r="G2626" s="39" t="s">
        <v>254</v>
      </c>
      <c r="H2626" s="7">
        <v>0</v>
      </c>
      <c r="I2626" s="7">
        <v>1</v>
      </c>
      <c r="J2626" s="17">
        <v>0</v>
      </c>
      <c r="K2626" s="17"/>
      <c r="L2626" s="7">
        <f t="shared" si="1134"/>
        <v>1</v>
      </c>
      <c r="M2626" s="8">
        <v>1</v>
      </c>
      <c r="N2626" s="8">
        <f t="shared" si="1123"/>
        <v>1</v>
      </c>
      <c r="O2626" s="11" t="s">
        <v>1702</v>
      </c>
      <c r="P2626" s="16" t="str">
        <f t="shared" si="1135"/>
        <v>17-Sep-1894</v>
      </c>
      <c r="R2626" s="16" t="str">
        <f t="shared" si="1125"/>
        <v>x</v>
      </c>
      <c r="S2626" s="16" t="str">
        <f t="shared" si="1125"/>
        <v>x</v>
      </c>
      <c r="T2626" s="11"/>
      <c r="U2626" s="46" t="str">
        <f t="shared" si="1121"/>
        <v/>
      </c>
      <c r="V2626" s="46">
        <f t="shared" si="1121"/>
        <v>1</v>
      </c>
      <c r="W2626" s="46" t="str">
        <f t="shared" si="1121"/>
        <v/>
      </c>
      <c r="X2626" s="46" t="str">
        <f t="shared" si="1121"/>
        <v/>
      </c>
    </row>
    <row r="2627" spans="2:24" x14ac:dyDescent="0.25">
      <c r="B2627" s="11" t="str">
        <f t="shared" si="1133"/>
        <v>LCHM-13OCT1894</v>
      </c>
      <c r="C2627" s="11" t="s">
        <v>121</v>
      </c>
      <c r="D2627" s="11" t="s">
        <v>1699</v>
      </c>
      <c r="F2627" s="11" t="s">
        <v>1700</v>
      </c>
      <c r="G2627" s="39" t="s">
        <v>255</v>
      </c>
      <c r="H2627" s="7">
        <v>0</v>
      </c>
      <c r="I2627" s="7">
        <v>0</v>
      </c>
      <c r="J2627" s="17">
        <v>0</v>
      </c>
      <c r="K2627" s="17"/>
      <c r="L2627" s="7">
        <f t="shared" si="1134"/>
        <v>0</v>
      </c>
      <c r="M2627" s="8">
        <v>1</v>
      </c>
      <c r="N2627" s="8" t="str">
        <f t="shared" si="1123"/>
        <v/>
      </c>
      <c r="O2627" s="11" t="s">
        <v>1702</v>
      </c>
      <c r="P2627" s="16" t="str">
        <f t="shared" si="1135"/>
        <v>13-Oct-1894</v>
      </c>
      <c r="R2627" s="16" t="str">
        <f t="shared" si="1125"/>
        <v/>
      </c>
      <c r="S2627" s="16" t="str">
        <f t="shared" si="1125"/>
        <v/>
      </c>
      <c r="T2627" s="11"/>
      <c r="U2627" s="46" t="str">
        <f t="shared" si="1121"/>
        <v/>
      </c>
      <c r="V2627" s="46">
        <f t="shared" si="1121"/>
        <v>0</v>
      </c>
      <c r="W2627" s="46" t="str">
        <f t="shared" si="1121"/>
        <v/>
      </c>
      <c r="X2627" s="46" t="str">
        <f t="shared" si="1121"/>
        <v/>
      </c>
    </row>
    <row r="2628" spans="2:24" x14ac:dyDescent="0.25">
      <c r="B2628" s="11" t="str">
        <f t="shared" si="1133"/>
        <v>LCHM-12NOV1894</v>
      </c>
      <c r="C2628" s="11" t="s">
        <v>121</v>
      </c>
      <c r="D2628" s="11" t="s">
        <v>1699</v>
      </c>
      <c r="F2628" s="11" t="s">
        <v>1700</v>
      </c>
      <c r="G2628" s="39" t="s">
        <v>256</v>
      </c>
      <c r="H2628" s="7">
        <v>0</v>
      </c>
      <c r="I2628" s="7">
        <v>0</v>
      </c>
      <c r="J2628" s="17">
        <v>0</v>
      </c>
      <c r="K2628" s="17"/>
      <c r="L2628" s="7">
        <f t="shared" si="1134"/>
        <v>0</v>
      </c>
      <c r="M2628" s="8">
        <v>1</v>
      </c>
      <c r="N2628" s="8" t="str">
        <f t="shared" si="1123"/>
        <v/>
      </c>
      <c r="O2628" s="11" t="s">
        <v>1702</v>
      </c>
      <c r="P2628" s="16" t="str">
        <f t="shared" si="1135"/>
        <v>12-Nov-1894</v>
      </c>
      <c r="R2628" s="16" t="str">
        <f t="shared" si="1125"/>
        <v/>
      </c>
      <c r="S2628" s="16" t="str">
        <f t="shared" si="1125"/>
        <v/>
      </c>
      <c r="T2628" s="11"/>
      <c r="U2628" s="46" t="str">
        <f t="shared" si="1121"/>
        <v/>
      </c>
      <c r="V2628" s="46">
        <f t="shared" si="1121"/>
        <v>0</v>
      </c>
      <c r="W2628" s="46" t="str">
        <f t="shared" si="1121"/>
        <v/>
      </c>
      <c r="X2628" s="46" t="str">
        <f t="shared" si="1121"/>
        <v/>
      </c>
    </row>
    <row r="2629" spans="2:24" x14ac:dyDescent="0.25">
      <c r="B2629" s="11" t="str">
        <f t="shared" si="1133"/>
        <v>LCHM-10DEC1894</v>
      </c>
      <c r="C2629" s="11" t="s">
        <v>121</v>
      </c>
      <c r="D2629" s="11" t="s">
        <v>1699</v>
      </c>
      <c r="F2629" s="11" t="s">
        <v>1700</v>
      </c>
      <c r="G2629" s="39" t="s">
        <v>257</v>
      </c>
      <c r="H2629" s="7">
        <v>0</v>
      </c>
      <c r="I2629" s="7">
        <v>0</v>
      </c>
      <c r="J2629" s="17">
        <v>0</v>
      </c>
      <c r="K2629" s="17"/>
      <c r="L2629" s="7">
        <f t="shared" si="1134"/>
        <v>0</v>
      </c>
      <c r="M2629" s="8">
        <v>1</v>
      </c>
      <c r="N2629" s="8" t="str">
        <f t="shared" si="1123"/>
        <v/>
      </c>
      <c r="O2629" s="11" t="s">
        <v>1702</v>
      </c>
      <c r="P2629" s="16" t="str">
        <f t="shared" si="1135"/>
        <v>10-Dec-1894</v>
      </c>
      <c r="R2629" s="16" t="str">
        <f t="shared" si="1125"/>
        <v/>
      </c>
      <c r="S2629" s="16" t="str">
        <f t="shared" si="1125"/>
        <v/>
      </c>
      <c r="T2629" s="11"/>
      <c r="U2629" s="46" t="str">
        <f t="shared" si="1121"/>
        <v/>
      </c>
      <c r="V2629" s="46">
        <f t="shared" si="1121"/>
        <v>0</v>
      </c>
      <c r="W2629" s="46" t="str">
        <f t="shared" si="1121"/>
        <v/>
      </c>
      <c r="X2629" s="46" t="str">
        <f t="shared" si="1121"/>
        <v/>
      </c>
    </row>
    <row r="2630" spans="2:24" x14ac:dyDescent="0.25">
      <c r="B2630" s="11" t="str">
        <f>CONCATENATE("LCHM","-",LEFT(P2630,2),UPPER(MID(P2630,4,3)),RIGHT(P2630,4))</f>
        <v>LCHM-07JAN1895</v>
      </c>
      <c r="C2630" s="11" t="s">
        <v>121</v>
      </c>
      <c r="D2630" s="11" t="s">
        <v>1699</v>
      </c>
      <c r="F2630" s="11" t="s">
        <v>1700</v>
      </c>
      <c r="G2630" s="39" t="s">
        <v>258</v>
      </c>
      <c r="H2630" s="7">
        <v>0</v>
      </c>
      <c r="I2630" s="7">
        <v>0</v>
      </c>
      <c r="J2630" s="17">
        <v>0</v>
      </c>
      <c r="K2630" s="17"/>
      <c r="L2630" s="7">
        <f>SUM(H2630:K2630)</f>
        <v>0</v>
      </c>
      <c r="M2630" s="8">
        <v>1</v>
      </c>
      <c r="N2630" s="8" t="str">
        <f t="shared" si="1123"/>
        <v/>
      </c>
      <c r="O2630" s="11" t="s">
        <v>1702</v>
      </c>
      <c r="P2630" s="16" t="str">
        <f>IF(LEN(G2630)=10,CONCATENATE("0",G2630),G2630)</f>
        <v>07-Jan-1895</v>
      </c>
      <c r="R2630" s="16" t="str">
        <f t="shared" si="1125"/>
        <v/>
      </c>
      <c r="S2630" s="16" t="str">
        <f t="shared" si="1125"/>
        <v/>
      </c>
      <c r="T2630" s="11"/>
      <c r="U2630" s="46" t="str">
        <f t="shared" si="1121"/>
        <v/>
      </c>
      <c r="V2630" s="46">
        <f t="shared" si="1121"/>
        <v>0</v>
      </c>
      <c r="W2630" s="46" t="str">
        <f t="shared" si="1121"/>
        <v/>
      </c>
      <c r="X2630" s="46" t="str">
        <f t="shared" si="1121"/>
        <v/>
      </c>
    </row>
    <row r="2631" spans="2:24" x14ac:dyDescent="0.25">
      <c r="B2631" s="11" t="str">
        <f>CONCATENATE("LCHM","-",LEFT(P2631,2),UPPER(MID(P2631,4,3)),RIGHT(P2631,4))</f>
        <v>LCHM-25FEB1895</v>
      </c>
      <c r="C2631" s="11" t="s">
        <v>121</v>
      </c>
      <c r="D2631" s="11" t="s">
        <v>1699</v>
      </c>
      <c r="F2631" s="11" t="s">
        <v>1700</v>
      </c>
      <c r="G2631" s="39" t="s">
        <v>259</v>
      </c>
      <c r="H2631" s="7">
        <v>0</v>
      </c>
      <c r="I2631" s="7">
        <v>0</v>
      </c>
      <c r="J2631" s="17">
        <v>2</v>
      </c>
      <c r="K2631" s="17"/>
      <c r="L2631" s="7">
        <f>SUM(H2631:K2631)</f>
        <v>2</v>
      </c>
      <c r="M2631" s="8">
        <v>1</v>
      </c>
      <c r="N2631" s="8">
        <f t="shared" si="1123"/>
        <v>1</v>
      </c>
      <c r="O2631" s="11" t="s">
        <v>1702</v>
      </c>
      <c r="P2631" s="16" t="str">
        <f>IF(LEN(G2631)=10,CONCATENATE("0",G2631),G2631)</f>
        <v>25-Feb-1895</v>
      </c>
      <c r="R2631" s="16" t="str">
        <f t="shared" si="1125"/>
        <v>x</v>
      </c>
      <c r="S2631" s="16" t="str">
        <f t="shared" si="1125"/>
        <v>x</v>
      </c>
      <c r="T2631" s="11"/>
      <c r="U2631" s="46" t="str">
        <f t="shared" si="1121"/>
        <v/>
      </c>
      <c r="V2631" s="46">
        <f t="shared" si="1121"/>
        <v>2</v>
      </c>
      <c r="W2631" s="46" t="str">
        <f t="shared" si="1121"/>
        <v/>
      </c>
      <c r="X2631" s="46" t="str">
        <f t="shared" si="1121"/>
        <v/>
      </c>
    </row>
    <row r="2632" spans="2:24" x14ac:dyDescent="0.25">
      <c r="B2632" s="11" t="str">
        <f t="shared" ref="B2632:B2643" si="1136">CONCATENATE("LCHM","-",LEFT(P2632,2),UPPER(MID(P2632,4,3)),RIGHT(P2632,4))</f>
        <v>LCHM-25MAR1895</v>
      </c>
      <c r="C2632" s="11" t="s">
        <v>121</v>
      </c>
      <c r="D2632" s="11" t="s">
        <v>1699</v>
      </c>
      <c r="F2632" s="11" t="s">
        <v>1700</v>
      </c>
      <c r="G2632" s="39" t="s">
        <v>260</v>
      </c>
      <c r="H2632" s="7">
        <v>0</v>
      </c>
      <c r="I2632" s="7">
        <v>0</v>
      </c>
      <c r="J2632" s="17">
        <v>0</v>
      </c>
      <c r="K2632" s="17"/>
      <c r="L2632" s="7">
        <f t="shared" ref="L2632:L2643" si="1137">SUM(H2632:K2632)</f>
        <v>0</v>
      </c>
      <c r="M2632" s="8">
        <v>1</v>
      </c>
      <c r="N2632" s="8" t="str">
        <f t="shared" si="1123"/>
        <v/>
      </c>
      <c r="O2632" s="11" t="s">
        <v>1702</v>
      </c>
      <c r="P2632" s="16" t="str">
        <f t="shared" ref="P2632:P2643" si="1138">IF(LEN(G2632)=10,CONCATENATE("0",G2632),G2632)</f>
        <v>25-Mar-1895</v>
      </c>
      <c r="R2632" s="16" t="str">
        <f t="shared" si="1125"/>
        <v/>
      </c>
      <c r="S2632" s="16" t="str">
        <f t="shared" si="1125"/>
        <v/>
      </c>
      <c r="T2632" s="11"/>
      <c r="U2632" s="46" t="str">
        <f t="shared" si="1121"/>
        <v/>
      </c>
      <c r="V2632" s="46">
        <f t="shared" si="1121"/>
        <v>0</v>
      </c>
      <c r="W2632" s="46" t="str">
        <f t="shared" si="1121"/>
        <v/>
      </c>
      <c r="X2632" s="46" t="str">
        <f t="shared" si="1121"/>
        <v/>
      </c>
    </row>
    <row r="2633" spans="2:24" x14ac:dyDescent="0.25">
      <c r="B2633" s="11" t="str">
        <f t="shared" si="1136"/>
        <v>LCHM-22APR1895</v>
      </c>
      <c r="C2633" s="11" t="s">
        <v>121</v>
      </c>
      <c r="D2633" s="11" t="s">
        <v>1699</v>
      </c>
      <c r="F2633" s="11" t="s">
        <v>1700</v>
      </c>
      <c r="G2633" s="39" t="s">
        <v>2135</v>
      </c>
      <c r="H2633" s="7">
        <v>0</v>
      </c>
      <c r="I2633" s="7">
        <v>0</v>
      </c>
      <c r="J2633" s="17">
        <v>0</v>
      </c>
      <c r="K2633" s="17"/>
      <c r="L2633" s="7">
        <f t="shared" si="1137"/>
        <v>0</v>
      </c>
      <c r="M2633" s="8">
        <v>1</v>
      </c>
      <c r="N2633" s="8" t="str">
        <f t="shared" si="1123"/>
        <v/>
      </c>
      <c r="O2633" s="11" t="s">
        <v>1702</v>
      </c>
      <c r="P2633" s="16" t="str">
        <f t="shared" si="1138"/>
        <v>22-Apr-1895</v>
      </c>
      <c r="R2633" s="16" t="str">
        <f t="shared" si="1125"/>
        <v/>
      </c>
      <c r="S2633" s="16" t="str">
        <f t="shared" si="1125"/>
        <v/>
      </c>
      <c r="T2633" s="11"/>
      <c r="U2633" s="46" t="str">
        <f t="shared" si="1121"/>
        <v/>
      </c>
      <c r="V2633" s="46">
        <f t="shared" si="1121"/>
        <v>0</v>
      </c>
      <c r="W2633" s="46" t="str">
        <f t="shared" si="1121"/>
        <v/>
      </c>
      <c r="X2633" s="46" t="str">
        <f t="shared" si="1121"/>
        <v/>
      </c>
    </row>
    <row r="2634" spans="2:24" x14ac:dyDescent="0.25">
      <c r="B2634" s="11" t="str">
        <f t="shared" si="1136"/>
        <v>LCHM-27MAY1895</v>
      </c>
      <c r="C2634" s="11" t="s">
        <v>121</v>
      </c>
      <c r="D2634" s="11" t="s">
        <v>1699</v>
      </c>
      <c r="F2634" s="11" t="s">
        <v>1700</v>
      </c>
      <c r="G2634" s="39" t="s">
        <v>2136</v>
      </c>
      <c r="H2634" s="7">
        <v>0</v>
      </c>
      <c r="I2634" s="7">
        <v>2</v>
      </c>
      <c r="J2634" s="17">
        <v>0</v>
      </c>
      <c r="K2634" s="17"/>
      <c r="L2634" s="7">
        <f t="shared" si="1137"/>
        <v>2</v>
      </c>
      <c r="M2634" s="8">
        <v>1</v>
      </c>
      <c r="N2634" s="8">
        <f t="shared" si="1123"/>
        <v>1</v>
      </c>
      <c r="O2634" s="11" t="s">
        <v>1702</v>
      </c>
      <c r="P2634" s="16" t="str">
        <f t="shared" si="1138"/>
        <v>27-May-1895</v>
      </c>
      <c r="R2634" s="16" t="str">
        <f t="shared" si="1125"/>
        <v>x</v>
      </c>
      <c r="S2634" s="16" t="str">
        <f t="shared" si="1125"/>
        <v>x</v>
      </c>
      <c r="T2634" s="11"/>
      <c r="U2634" s="46" t="str">
        <f t="shared" si="1121"/>
        <v/>
      </c>
      <c r="V2634" s="46">
        <f t="shared" si="1121"/>
        <v>2</v>
      </c>
      <c r="W2634" s="46" t="str">
        <f t="shared" si="1121"/>
        <v/>
      </c>
      <c r="X2634" s="46" t="str">
        <f t="shared" si="1121"/>
        <v/>
      </c>
    </row>
    <row r="2635" spans="2:24" x14ac:dyDescent="0.25">
      <c r="B2635" s="11" t="str">
        <f t="shared" si="1136"/>
        <v>LCHM-24JUN1895</v>
      </c>
      <c r="C2635" s="11" t="s">
        <v>121</v>
      </c>
      <c r="D2635" s="11" t="s">
        <v>1699</v>
      </c>
      <c r="F2635" s="11" t="s">
        <v>1700</v>
      </c>
      <c r="G2635" s="39" t="s">
        <v>261</v>
      </c>
      <c r="H2635" s="7">
        <v>0</v>
      </c>
      <c r="I2635" s="7">
        <v>0</v>
      </c>
      <c r="J2635" s="17">
        <v>0</v>
      </c>
      <c r="K2635" s="17"/>
      <c r="L2635" s="7">
        <f t="shared" si="1137"/>
        <v>0</v>
      </c>
      <c r="M2635" s="8">
        <v>1</v>
      </c>
      <c r="N2635" s="8" t="str">
        <f t="shared" si="1123"/>
        <v/>
      </c>
      <c r="O2635" s="11" t="s">
        <v>1702</v>
      </c>
      <c r="P2635" s="16" t="str">
        <f t="shared" si="1138"/>
        <v>24-Jun-1895</v>
      </c>
      <c r="R2635" s="16" t="str">
        <f t="shared" si="1125"/>
        <v/>
      </c>
      <c r="S2635" s="16" t="str">
        <f t="shared" si="1125"/>
        <v/>
      </c>
      <c r="T2635" s="11"/>
      <c r="U2635" s="46" t="str">
        <f t="shared" si="1121"/>
        <v/>
      </c>
      <c r="V2635" s="46">
        <f t="shared" si="1121"/>
        <v>0</v>
      </c>
      <c r="W2635" s="46" t="str">
        <f t="shared" si="1121"/>
        <v/>
      </c>
      <c r="X2635" s="46" t="str">
        <f t="shared" si="1121"/>
        <v/>
      </c>
    </row>
    <row r="2636" spans="2:24" x14ac:dyDescent="0.25">
      <c r="B2636" s="11" t="str">
        <f t="shared" si="1136"/>
        <v>LCHM-22JUL1895</v>
      </c>
      <c r="C2636" s="11" t="s">
        <v>121</v>
      </c>
      <c r="D2636" s="11" t="s">
        <v>1699</v>
      </c>
      <c r="F2636" s="11" t="s">
        <v>1700</v>
      </c>
      <c r="G2636" s="39" t="s">
        <v>262</v>
      </c>
      <c r="H2636" s="7">
        <v>0</v>
      </c>
      <c r="I2636" s="7">
        <v>0</v>
      </c>
      <c r="J2636" s="17">
        <v>0</v>
      </c>
      <c r="K2636" s="17"/>
      <c r="L2636" s="7">
        <f t="shared" si="1137"/>
        <v>0</v>
      </c>
      <c r="M2636" s="8">
        <v>1</v>
      </c>
      <c r="N2636" s="8" t="str">
        <f t="shared" si="1123"/>
        <v/>
      </c>
      <c r="O2636" s="11" t="s">
        <v>1702</v>
      </c>
      <c r="P2636" s="16" t="str">
        <f t="shared" si="1138"/>
        <v>22-Jul-1895</v>
      </c>
      <c r="R2636" s="16" t="str">
        <f t="shared" si="1125"/>
        <v/>
      </c>
      <c r="S2636" s="16" t="str">
        <f t="shared" si="1125"/>
        <v/>
      </c>
      <c r="T2636" s="11"/>
      <c r="U2636" s="46" t="str">
        <f t="shared" si="1121"/>
        <v/>
      </c>
      <c r="V2636" s="46">
        <f t="shared" si="1121"/>
        <v>0</v>
      </c>
      <c r="W2636" s="46" t="str">
        <f t="shared" si="1121"/>
        <v/>
      </c>
      <c r="X2636" s="46" t="str">
        <f t="shared" si="1121"/>
        <v/>
      </c>
    </row>
    <row r="2637" spans="2:24" x14ac:dyDescent="0.25">
      <c r="B2637" s="11" t="str">
        <f t="shared" si="1136"/>
        <v>LCHM-26AUG1895</v>
      </c>
      <c r="C2637" s="11" t="s">
        <v>121</v>
      </c>
      <c r="D2637" s="11" t="s">
        <v>1699</v>
      </c>
      <c r="F2637" s="11" t="s">
        <v>1700</v>
      </c>
      <c r="G2637" s="39" t="s">
        <v>263</v>
      </c>
      <c r="H2637" s="7">
        <v>0</v>
      </c>
      <c r="I2637" s="7">
        <v>0</v>
      </c>
      <c r="J2637" s="17">
        <v>0</v>
      </c>
      <c r="K2637" s="17"/>
      <c r="L2637" s="7">
        <f t="shared" si="1137"/>
        <v>0</v>
      </c>
      <c r="M2637" s="8">
        <v>1</v>
      </c>
      <c r="N2637" s="8" t="str">
        <f t="shared" si="1123"/>
        <v/>
      </c>
      <c r="O2637" s="11" t="s">
        <v>1702</v>
      </c>
      <c r="P2637" s="16" t="str">
        <f t="shared" si="1138"/>
        <v>26-Aug-1895</v>
      </c>
      <c r="R2637" s="16" t="str">
        <f t="shared" si="1125"/>
        <v/>
      </c>
      <c r="S2637" s="16" t="str">
        <f t="shared" si="1125"/>
        <v/>
      </c>
      <c r="T2637" s="11"/>
      <c r="U2637" s="46" t="str">
        <f t="shared" si="1121"/>
        <v/>
      </c>
      <c r="V2637" s="46">
        <f t="shared" si="1121"/>
        <v>0</v>
      </c>
      <c r="W2637" s="46" t="str">
        <f t="shared" si="1121"/>
        <v/>
      </c>
      <c r="X2637" s="46" t="str">
        <f t="shared" si="1121"/>
        <v/>
      </c>
    </row>
    <row r="2638" spans="2:24" x14ac:dyDescent="0.25">
      <c r="B2638" s="11" t="str">
        <f t="shared" si="1136"/>
        <v>LCHM-23SEP1895</v>
      </c>
      <c r="C2638" s="11" t="s">
        <v>121</v>
      </c>
      <c r="D2638" s="11" t="s">
        <v>1699</v>
      </c>
      <c r="F2638" s="11" t="s">
        <v>1700</v>
      </c>
      <c r="G2638" s="39" t="s">
        <v>264</v>
      </c>
      <c r="H2638" s="7">
        <v>0</v>
      </c>
      <c r="I2638" s="7">
        <v>1</v>
      </c>
      <c r="J2638" s="17">
        <v>17</v>
      </c>
      <c r="K2638" s="17"/>
      <c r="L2638" s="7">
        <f t="shared" si="1137"/>
        <v>18</v>
      </c>
      <c r="M2638" s="8">
        <v>1</v>
      </c>
      <c r="N2638" s="8">
        <f t="shared" si="1123"/>
        <v>1</v>
      </c>
      <c r="O2638" s="11" t="s">
        <v>1702</v>
      </c>
      <c r="P2638" s="16" t="str">
        <f t="shared" si="1138"/>
        <v>23-Sep-1895</v>
      </c>
      <c r="R2638" s="16" t="str">
        <f t="shared" si="1125"/>
        <v>x</v>
      </c>
      <c r="S2638" s="16" t="str">
        <f t="shared" si="1125"/>
        <v>x</v>
      </c>
      <c r="T2638" s="11"/>
      <c r="U2638" s="46" t="str">
        <f t="shared" si="1121"/>
        <v/>
      </c>
      <c r="V2638" s="46">
        <f t="shared" si="1121"/>
        <v>18</v>
      </c>
      <c r="W2638" s="46" t="str">
        <f t="shared" si="1121"/>
        <v/>
      </c>
      <c r="X2638" s="46" t="str">
        <f t="shared" si="1121"/>
        <v/>
      </c>
    </row>
    <row r="2639" spans="2:24" x14ac:dyDescent="0.25">
      <c r="B2639" s="11" t="str">
        <f t="shared" si="1136"/>
        <v>LCHM-21OCT1895</v>
      </c>
      <c r="C2639" s="11" t="s">
        <v>121</v>
      </c>
      <c r="D2639" s="11" t="s">
        <v>1699</v>
      </c>
      <c r="F2639" s="11" t="s">
        <v>1700</v>
      </c>
      <c r="G2639" s="39" t="s">
        <v>265</v>
      </c>
      <c r="H2639" s="7">
        <v>0</v>
      </c>
      <c r="I2639" s="7">
        <v>0</v>
      </c>
      <c r="J2639" s="17">
        <v>19</v>
      </c>
      <c r="K2639" s="17"/>
      <c r="L2639" s="7">
        <f t="shared" si="1137"/>
        <v>19</v>
      </c>
      <c r="M2639" s="8">
        <v>1</v>
      </c>
      <c r="N2639" s="8">
        <f t="shared" si="1123"/>
        <v>1</v>
      </c>
      <c r="O2639" s="11" t="s">
        <v>1702</v>
      </c>
      <c r="P2639" s="16" t="str">
        <f t="shared" si="1138"/>
        <v>21-Oct-1895</v>
      </c>
      <c r="R2639" s="16" t="str">
        <f t="shared" si="1125"/>
        <v>x</v>
      </c>
      <c r="S2639" s="16" t="str">
        <f t="shared" si="1125"/>
        <v>x</v>
      </c>
      <c r="T2639" s="11"/>
      <c r="U2639" s="46" t="str">
        <f t="shared" si="1121"/>
        <v/>
      </c>
      <c r="V2639" s="46">
        <f t="shared" si="1121"/>
        <v>19</v>
      </c>
      <c r="W2639" s="46" t="str">
        <f t="shared" si="1121"/>
        <v/>
      </c>
      <c r="X2639" s="46" t="str">
        <f t="shared" si="1121"/>
        <v/>
      </c>
    </row>
    <row r="2640" spans="2:24" x14ac:dyDescent="0.25">
      <c r="B2640" s="11" t="str">
        <f t="shared" si="1136"/>
        <v>LCHM-18NOV1895</v>
      </c>
      <c r="C2640" s="11" t="s">
        <v>121</v>
      </c>
      <c r="D2640" s="11" t="s">
        <v>1699</v>
      </c>
      <c r="F2640" s="11" t="s">
        <v>1700</v>
      </c>
      <c r="G2640" s="39" t="s">
        <v>266</v>
      </c>
      <c r="H2640" s="7">
        <v>0</v>
      </c>
      <c r="I2640" s="7">
        <v>0</v>
      </c>
      <c r="J2640" s="17">
        <v>10</v>
      </c>
      <c r="K2640" s="17"/>
      <c r="L2640" s="7">
        <f t="shared" si="1137"/>
        <v>10</v>
      </c>
      <c r="M2640" s="8">
        <v>1</v>
      </c>
      <c r="N2640" s="8">
        <f t="shared" si="1123"/>
        <v>1</v>
      </c>
      <c r="O2640" s="11" t="s">
        <v>1702</v>
      </c>
      <c r="P2640" s="16" t="str">
        <f t="shared" si="1138"/>
        <v>18-Nov-1895</v>
      </c>
      <c r="R2640" s="16" t="str">
        <f t="shared" si="1125"/>
        <v>x</v>
      </c>
      <c r="S2640" s="16" t="str">
        <f t="shared" si="1125"/>
        <v>x</v>
      </c>
      <c r="T2640" s="11"/>
      <c r="U2640" s="46" t="str">
        <f t="shared" si="1121"/>
        <v/>
      </c>
      <c r="V2640" s="46">
        <f t="shared" si="1121"/>
        <v>10</v>
      </c>
      <c r="W2640" s="46" t="str">
        <f t="shared" si="1121"/>
        <v/>
      </c>
      <c r="X2640" s="46" t="str">
        <f t="shared" si="1121"/>
        <v/>
      </c>
    </row>
    <row r="2641" spans="2:24" x14ac:dyDescent="0.25">
      <c r="B2641" s="11" t="str">
        <f t="shared" si="1136"/>
        <v>LCHM-17DEC1895</v>
      </c>
      <c r="C2641" s="11" t="s">
        <v>121</v>
      </c>
      <c r="D2641" s="11" t="s">
        <v>1699</v>
      </c>
      <c r="F2641" s="11" t="s">
        <v>1700</v>
      </c>
      <c r="G2641" s="39" t="s">
        <v>267</v>
      </c>
      <c r="H2641" s="7">
        <v>0</v>
      </c>
      <c r="I2641" s="7">
        <v>0</v>
      </c>
      <c r="J2641" s="17">
        <v>18</v>
      </c>
      <c r="K2641" s="17"/>
      <c r="L2641" s="7">
        <f t="shared" si="1137"/>
        <v>18</v>
      </c>
      <c r="M2641" s="8">
        <v>1</v>
      </c>
      <c r="N2641" s="8">
        <f t="shared" si="1123"/>
        <v>1</v>
      </c>
      <c r="O2641" s="11" t="s">
        <v>1702</v>
      </c>
      <c r="P2641" s="16" t="str">
        <f t="shared" si="1138"/>
        <v>17-Dec-1895</v>
      </c>
      <c r="R2641" s="16" t="str">
        <f t="shared" si="1125"/>
        <v>x</v>
      </c>
      <c r="S2641" s="16" t="str">
        <f t="shared" si="1125"/>
        <v>x</v>
      </c>
      <c r="T2641" s="11"/>
      <c r="U2641" s="46" t="str">
        <f t="shared" si="1121"/>
        <v/>
      </c>
      <c r="V2641" s="46">
        <f t="shared" si="1121"/>
        <v>18</v>
      </c>
      <c r="W2641" s="46" t="str">
        <f t="shared" si="1121"/>
        <v/>
      </c>
      <c r="X2641" s="46" t="str">
        <f t="shared" si="1121"/>
        <v/>
      </c>
    </row>
    <row r="2642" spans="2:24" x14ac:dyDescent="0.25">
      <c r="B2642" s="11" t="str">
        <f t="shared" si="1136"/>
        <v>LCHM-13JAN1896</v>
      </c>
      <c r="C2642" s="11" t="s">
        <v>121</v>
      </c>
      <c r="D2642" s="11" t="s">
        <v>1699</v>
      </c>
      <c r="F2642" s="11" t="s">
        <v>1700</v>
      </c>
      <c r="G2642" s="39" t="s">
        <v>268</v>
      </c>
      <c r="H2642" s="7">
        <v>0</v>
      </c>
      <c r="I2642" s="7">
        <v>0</v>
      </c>
      <c r="J2642" s="17">
        <v>3</v>
      </c>
      <c r="K2642" s="17"/>
      <c r="L2642" s="7">
        <f t="shared" si="1137"/>
        <v>3</v>
      </c>
      <c r="M2642" s="8">
        <v>1</v>
      </c>
      <c r="N2642" s="8">
        <f t="shared" si="1123"/>
        <v>1</v>
      </c>
      <c r="O2642" s="11" t="s">
        <v>1702</v>
      </c>
      <c r="P2642" s="16" t="str">
        <f t="shared" si="1138"/>
        <v>13-Jan-1896</v>
      </c>
      <c r="R2642" s="16" t="str">
        <f t="shared" si="1125"/>
        <v>x</v>
      </c>
      <c r="S2642" s="16" t="str">
        <f t="shared" si="1125"/>
        <v>x</v>
      </c>
      <c r="T2642" s="11"/>
      <c r="U2642" s="46" t="str">
        <f t="shared" si="1121"/>
        <v/>
      </c>
      <c r="V2642" s="46">
        <f t="shared" si="1121"/>
        <v>3</v>
      </c>
      <c r="W2642" s="46" t="str">
        <f t="shared" si="1121"/>
        <v/>
      </c>
      <c r="X2642" s="46" t="str">
        <f t="shared" si="1121"/>
        <v/>
      </c>
    </row>
    <row r="2643" spans="2:24" x14ac:dyDescent="0.25">
      <c r="B2643" s="11" t="str">
        <f t="shared" si="1136"/>
        <v>LCHM-09NOV1896</v>
      </c>
      <c r="C2643" s="11" t="s">
        <v>121</v>
      </c>
      <c r="D2643" s="11" t="s">
        <v>1699</v>
      </c>
      <c r="F2643" s="11" t="s">
        <v>1700</v>
      </c>
      <c r="G2643" s="39" t="s">
        <v>269</v>
      </c>
      <c r="H2643" s="7">
        <v>0</v>
      </c>
      <c r="I2643" s="7">
        <v>0</v>
      </c>
      <c r="J2643" s="17">
        <v>3</v>
      </c>
      <c r="K2643" s="17"/>
      <c r="L2643" s="7">
        <f t="shared" si="1137"/>
        <v>3</v>
      </c>
      <c r="M2643" s="8">
        <v>1</v>
      </c>
      <c r="N2643" s="8">
        <f t="shared" si="1123"/>
        <v>1</v>
      </c>
      <c r="O2643" s="11" t="s">
        <v>1702</v>
      </c>
      <c r="P2643" s="16" t="str">
        <f t="shared" si="1138"/>
        <v>09-Nov-1896</v>
      </c>
      <c r="R2643" s="16" t="str">
        <f t="shared" si="1125"/>
        <v>x</v>
      </c>
      <c r="S2643" s="16" t="str">
        <f t="shared" si="1125"/>
        <v>x</v>
      </c>
      <c r="T2643" s="11"/>
      <c r="U2643" s="46" t="str">
        <f t="shared" si="1121"/>
        <v/>
      </c>
      <c r="V2643" s="46">
        <f t="shared" si="1121"/>
        <v>3</v>
      </c>
      <c r="W2643" s="46" t="str">
        <f t="shared" si="1121"/>
        <v/>
      </c>
      <c r="X2643" s="46" t="str">
        <f t="shared" si="1121"/>
        <v/>
      </c>
    </row>
    <row r="2644" spans="2:24" x14ac:dyDescent="0.25">
      <c r="B2644" s="11" t="str">
        <f>CONCATENATE("LCHM","-",LEFT(P2644,2),UPPER(MID(P2644,4,3)),RIGHT(P2644,4))</f>
        <v>LCHM-07DEC1896</v>
      </c>
      <c r="C2644" s="11" t="s">
        <v>121</v>
      </c>
      <c r="D2644" s="11" t="s">
        <v>1699</v>
      </c>
      <c r="F2644" s="11" t="s">
        <v>1700</v>
      </c>
      <c r="G2644" s="39" t="s">
        <v>270</v>
      </c>
      <c r="H2644" s="7">
        <v>0</v>
      </c>
      <c r="I2644" s="7">
        <v>0</v>
      </c>
      <c r="J2644" s="17">
        <v>7</v>
      </c>
      <c r="K2644" s="17"/>
      <c r="L2644" s="7">
        <f>SUM(H2644:K2644)</f>
        <v>7</v>
      </c>
      <c r="M2644" s="8">
        <v>1</v>
      </c>
      <c r="N2644" s="8">
        <f t="shared" si="1123"/>
        <v>1</v>
      </c>
      <c r="O2644" s="11" t="s">
        <v>1702</v>
      </c>
      <c r="P2644" s="16" t="str">
        <f>IF(LEN(G2644)=10,CONCATENATE("0",G2644),G2644)</f>
        <v>07-Dec-1896</v>
      </c>
      <c r="R2644" s="16" t="str">
        <f t="shared" si="1125"/>
        <v>x</v>
      </c>
      <c r="S2644" s="16" t="str">
        <f t="shared" si="1125"/>
        <v>x</v>
      </c>
      <c r="T2644" s="11"/>
      <c r="U2644" s="46" t="str">
        <f t="shared" si="1121"/>
        <v/>
      </c>
      <c r="V2644" s="46">
        <f t="shared" si="1121"/>
        <v>7</v>
      </c>
      <c r="W2644" s="46" t="str">
        <f t="shared" si="1121"/>
        <v/>
      </c>
      <c r="X2644" s="46" t="str">
        <f t="shared" si="1121"/>
        <v/>
      </c>
    </row>
    <row r="2645" spans="2:24" x14ac:dyDescent="0.25">
      <c r="B2645" s="11" t="str">
        <f t="shared" ref="B2645:B2655" si="1139">CONCATENATE("LCHM","-",LEFT(P2645,2),UPPER(MID(P2645,4,3)),RIGHT(P2645,4))</f>
        <v>LCHM-11JAN1897</v>
      </c>
      <c r="C2645" s="11" t="s">
        <v>121</v>
      </c>
      <c r="D2645" s="11" t="s">
        <v>1699</v>
      </c>
      <c r="F2645" s="11" t="s">
        <v>1700</v>
      </c>
      <c r="G2645" s="39" t="s">
        <v>271</v>
      </c>
      <c r="H2645" s="7">
        <v>0</v>
      </c>
      <c r="I2645" s="7">
        <v>0</v>
      </c>
      <c r="J2645" s="17">
        <v>13</v>
      </c>
      <c r="K2645" s="17"/>
      <c r="L2645" s="7">
        <f t="shared" ref="L2645:L2655" si="1140">SUM(H2645:K2645)</f>
        <v>13</v>
      </c>
      <c r="M2645" s="8">
        <v>1</v>
      </c>
      <c r="N2645" s="8">
        <f t="shared" si="1123"/>
        <v>1</v>
      </c>
      <c r="O2645" s="11" t="s">
        <v>1702</v>
      </c>
      <c r="P2645" s="16" t="str">
        <f t="shared" ref="P2645:P2655" si="1141">IF(LEN(G2645)=10,CONCATENATE("0",G2645),G2645)</f>
        <v>11-Jan-1897</v>
      </c>
      <c r="R2645" s="16" t="str">
        <f t="shared" si="1125"/>
        <v>x</v>
      </c>
      <c r="S2645" s="16" t="str">
        <f t="shared" si="1125"/>
        <v>x</v>
      </c>
      <c r="T2645" s="11"/>
      <c r="U2645" s="46" t="str">
        <f t="shared" si="1121"/>
        <v/>
      </c>
      <c r="V2645" s="46">
        <f t="shared" si="1121"/>
        <v>13</v>
      </c>
      <c r="W2645" s="46" t="str">
        <f t="shared" si="1121"/>
        <v/>
      </c>
      <c r="X2645" s="46" t="str">
        <f t="shared" si="1121"/>
        <v/>
      </c>
    </row>
    <row r="2646" spans="2:24" x14ac:dyDescent="0.25">
      <c r="B2646" s="11" t="str">
        <f t="shared" si="1139"/>
        <v>LCHM-22FEB1897</v>
      </c>
      <c r="C2646" s="11" t="s">
        <v>121</v>
      </c>
      <c r="D2646" s="11" t="s">
        <v>1699</v>
      </c>
      <c r="F2646" s="11" t="s">
        <v>1700</v>
      </c>
      <c r="G2646" s="39" t="s">
        <v>272</v>
      </c>
      <c r="H2646" s="7">
        <v>0</v>
      </c>
      <c r="I2646" s="7">
        <v>0</v>
      </c>
      <c r="J2646" s="17">
        <v>0</v>
      </c>
      <c r="K2646" s="17"/>
      <c r="L2646" s="7">
        <f t="shared" si="1140"/>
        <v>0</v>
      </c>
      <c r="M2646" s="8">
        <v>1</v>
      </c>
      <c r="N2646" s="8" t="str">
        <f t="shared" si="1123"/>
        <v/>
      </c>
      <c r="O2646" s="11" t="s">
        <v>1702</v>
      </c>
      <c r="P2646" s="16" t="str">
        <f t="shared" si="1141"/>
        <v>22-Feb-1897</v>
      </c>
      <c r="R2646" s="16" t="str">
        <f t="shared" si="1125"/>
        <v/>
      </c>
      <c r="S2646" s="16" t="str">
        <f t="shared" si="1125"/>
        <v/>
      </c>
      <c r="T2646" s="11"/>
      <c r="U2646" s="46" t="str">
        <f t="shared" si="1121"/>
        <v/>
      </c>
      <c r="V2646" s="46">
        <f t="shared" si="1121"/>
        <v>0</v>
      </c>
      <c r="W2646" s="46" t="str">
        <f t="shared" si="1121"/>
        <v/>
      </c>
      <c r="X2646" s="46" t="str">
        <f t="shared" si="1121"/>
        <v/>
      </c>
    </row>
    <row r="2647" spans="2:24" x14ac:dyDescent="0.25">
      <c r="B2647" s="11" t="str">
        <f t="shared" si="1139"/>
        <v>LCHM-22MAR1897</v>
      </c>
      <c r="C2647" s="11" t="s">
        <v>121</v>
      </c>
      <c r="D2647" s="11" t="s">
        <v>1699</v>
      </c>
      <c r="F2647" s="11" t="s">
        <v>1700</v>
      </c>
      <c r="G2647" s="39" t="s">
        <v>273</v>
      </c>
      <c r="H2647" s="7">
        <v>0</v>
      </c>
      <c r="I2647" s="7">
        <v>0</v>
      </c>
      <c r="J2647" s="17">
        <v>0</v>
      </c>
      <c r="K2647" s="17"/>
      <c r="L2647" s="7">
        <f t="shared" si="1140"/>
        <v>0</v>
      </c>
      <c r="M2647" s="8">
        <v>1</v>
      </c>
      <c r="N2647" s="8" t="str">
        <f t="shared" si="1123"/>
        <v/>
      </c>
      <c r="O2647" s="11" t="s">
        <v>1702</v>
      </c>
      <c r="P2647" s="16" t="str">
        <f t="shared" si="1141"/>
        <v>22-Mar-1897</v>
      </c>
      <c r="R2647" s="16" t="str">
        <f t="shared" si="1125"/>
        <v/>
      </c>
      <c r="S2647" s="16" t="str">
        <f t="shared" si="1125"/>
        <v/>
      </c>
      <c r="T2647" s="11"/>
      <c r="U2647" s="46" t="str">
        <f t="shared" si="1121"/>
        <v/>
      </c>
      <c r="V2647" s="46">
        <f t="shared" si="1121"/>
        <v>0</v>
      </c>
      <c r="W2647" s="46" t="str">
        <f t="shared" si="1121"/>
        <v/>
      </c>
      <c r="X2647" s="46" t="str">
        <f t="shared" si="1121"/>
        <v/>
      </c>
    </row>
    <row r="2648" spans="2:24" x14ac:dyDescent="0.25">
      <c r="B2648" s="11" t="str">
        <f t="shared" si="1139"/>
        <v>LCHM-19APR1897</v>
      </c>
      <c r="C2648" s="11" t="s">
        <v>121</v>
      </c>
      <c r="D2648" s="11" t="s">
        <v>1699</v>
      </c>
      <c r="F2648" s="11" t="s">
        <v>1700</v>
      </c>
      <c r="G2648" s="39" t="s">
        <v>274</v>
      </c>
      <c r="H2648" s="7">
        <v>0</v>
      </c>
      <c r="I2648" s="7">
        <v>0</v>
      </c>
      <c r="J2648" s="17">
        <v>1</v>
      </c>
      <c r="K2648" s="17"/>
      <c r="L2648" s="7">
        <f t="shared" si="1140"/>
        <v>1</v>
      </c>
      <c r="M2648" s="8">
        <v>1</v>
      </c>
      <c r="N2648" s="8">
        <f t="shared" si="1123"/>
        <v>1</v>
      </c>
      <c r="O2648" s="11" t="s">
        <v>1702</v>
      </c>
      <c r="P2648" s="16" t="str">
        <f t="shared" si="1141"/>
        <v>19-Apr-1897</v>
      </c>
      <c r="R2648" s="16" t="str">
        <f t="shared" si="1125"/>
        <v>x</v>
      </c>
      <c r="S2648" s="16" t="str">
        <f t="shared" si="1125"/>
        <v>x</v>
      </c>
      <c r="T2648" s="11"/>
      <c r="U2648" s="46" t="str">
        <f t="shared" si="1121"/>
        <v/>
      </c>
      <c r="V2648" s="46">
        <f t="shared" si="1121"/>
        <v>1</v>
      </c>
      <c r="W2648" s="46" t="str">
        <f t="shared" si="1121"/>
        <v/>
      </c>
      <c r="X2648" s="46" t="str">
        <f t="shared" si="1121"/>
        <v/>
      </c>
    </row>
    <row r="2649" spans="2:24" x14ac:dyDescent="0.25">
      <c r="B2649" s="11" t="str">
        <f t="shared" si="1139"/>
        <v>LCHM-17MAY1897</v>
      </c>
      <c r="C2649" s="11" t="s">
        <v>121</v>
      </c>
      <c r="D2649" s="11" t="s">
        <v>1699</v>
      </c>
      <c r="F2649" s="11" t="s">
        <v>1700</v>
      </c>
      <c r="G2649" s="39" t="s">
        <v>275</v>
      </c>
      <c r="H2649" s="7">
        <v>0</v>
      </c>
      <c r="I2649" s="7">
        <v>0</v>
      </c>
      <c r="J2649" s="17">
        <v>1</v>
      </c>
      <c r="K2649" s="17"/>
      <c r="L2649" s="7">
        <f t="shared" si="1140"/>
        <v>1</v>
      </c>
      <c r="M2649" s="8">
        <v>1</v>
      </c>
      <c r="N2649" s="8">
        <f t="shared" si="1123"/>
        <v>1</v>
      </c>
      <c r="O2649" s="11" t="s">
        <v>1702</v>
      </c>
      <c r="P2649" s="16" t="str">
        <f t="shared" si="1141"/>
        <v>17-May-1897</v>
      </c>
      <c r="R2649" s="16" t="str">
        <f t="shared" si="1125"/>
        <v>x</v>
      </c>
      <c r="S2649" s="16" t="str">
        <f t="shared" si="1125"/>
        <v>x</v>
      </c>
      <c r="T2649" s="11"/>
      <c r="U2649" s="46" t="str">
        <f t="shared" si="1121"/>
        <v/>
      </c>
      <c r="V2649" s="46">
        <f t="shared" si="1121"/>
        <v>1</v>
      </c>
      <c r="W2649" s="46" t="str">
        <f t="shared" si="1121"/>
        <v/>
      </c>
      <c r="X2649" s="46" t="str">
        <f t="shared" si="1121"/>
        <v/>
      </c>
    </row>
    <row r="2650" spans="2:24" x14ac:dyDescent="0.25">
      <c r="B2650" s="11" t="str">
        <f t="shared" si="1139"/>
        <v>LCHM-14JUN1897</v>
      </c>
      <c r="C2650" s="11" t="s">
        <v>121</v>
      </c>
      <c r="D2650" s="11" t="s">
        <v>1699</v>
      </c>
      <c r="F2650" s="11" t="s">
        <v>1700</v>
      </c>
      <c r="G2650" s="39" t="s">
        <v>276</v>
      </c>
      <c r="H2650" s="7">
        <v>0</v>
      </c>
      <c r="I2650" s="7">
        <v>0</v>
      </c>
      <c r="J2650" s="17">
        <v>0</v>
      </c>
      <c r="K2650" s="17"/>
      <c r="L2650" s="7">
        <f t="shared" si="1140"/>
        <v>0</v>
      </c>
      <c r="M2650" s="8">
        <v>1</v>
      </c>
      <c r="N2650" s="8" t="str">
        <f t="shared" si="1123"/>
        <v/>
      </c>
      <c r="O2650" s="11" t="s">
        <v>1702</v>
      </c>
      <c r="P2650" s="16" t="str">
        <f t="shared" si="1141"/>
        <v>14-Jun-1897</v>
      </c>
      <c r="R2650" s="16" t="str">
        <f t="shared" si="1125"/>
        <v/>
      </c>
      <c r="S2650" s="16" t="str">
        <f t="shared" si="1125"/>
        <v/>
      </c>
      <c r="T2650" s="11"/>
      <c r="U2650" s="46" t="str">
        <f t="shared" si="1121"/>
        <v/>
      </c>
      <c r="V2650" s="46">
        <f t="shared" si="1121"/>
        <v>0</v>
      </c>
      <c r="W2650" s="46" t="str">
        <f t="shared" si="1121"/>
        <v/>
      </c>
      <c r="X2650" s="46" t="str">
        <f t="shared" si="1121"/>
        <v/>
      </c>
    </row>
    <row r="2651" spans="2:24" x14ac:dyDescent="0.25">
      <c r="B2651" s="11" t="str">
        <f t="shared" si="1139"/>
        <v>LCHM-01AUG1897</v>
      </c>
      <c r="C2651" s="11" t="s">
        <v>121</v>
      </c>
      <c r="D2651" s="11" t="s">
        <v>1699</v>
      </c>
      <c r="E2651" s="39" t="s">
        <v>282</v>
      </c>
      <c r="F2651" s="11" t="s">
        <v>1700</v>
      </c>
      <c r="G2651" s="39" t="s">
        <v>277</v>
      </c>
      <c r="J2651" s="17">
        <v>9</v>
      </c>
      <c r="K2651" s="17"/>
      <c r="L2651" s="7">
        <f t="shared" si="1140"/>
        <v>9</v>
      </c>
      <c r="M2651" s="8">
        <v>1</v>
      </c>
      <c r="N2651" s="8">
        <f t="shared" si="1123"/>
        <v>1</v>
      </c>
      <c r="O2651" s="11" t="s">
        <v>1702</v>
      </c>
      <c r="P2651" s="16" t="str">
        <f t="shared" si="1141"/>
        <v>01-Aug-1897</v>
      </c>
      <c r="R2651" s="16" t="str">
        <f t="shared" si="1125"/>
        <v>x</v>
      </c>
      <c r="S2651" s="16" t="str">
        <f t="shared" si="1125"/>
        <v>x</v>
      </c>
      <c r="T2651" s="11"/>
      <c r="U2651" s="46" t="str">
        <f t="shared" si="1121"/>
        <v/>
      </c>
      <c r="V2651" s="46">
        <f t="shared" si="1121"/>
        <v>9</v>
      </c>
      <c r="W2651" s="46" t="str">
        <f t="shared" si="1121"/>
        <v/>
      </c>
      <c r="X2651" s="46" t="str">
        <f t="shared" si="1121"/>
        <v/>
      </c>
    </row>
    <row r="2652" spans="2:24" x14ac:dyDescent="0.25">
      <c r="B2652" s="11" t="str">
        <f t="shared" si="1139"/>
        <v>LCHM-29AUG1897</v>
      </c>
      <c r="C2652" s="11" t="s">
        <v>121</v>
      </c>
      <c r="D2652" s="11" t="s">
        <v>1699</v>
      </c>
      <c r="E2652" s="39" t="s">
        <v>283</v>
      </c>
      <c r="F2652" s="11" t="s">
        <v>1700</v>
      </c>
      <c r="G2652" s="39" t="s">
        <v>278</v>
      </c>
      <c r="J2652" s="17">
        <v>3</v>
      </c>
      <c r="K2652" s="17"/>
      <c r="L2652" s="7">
        <f t="shared" si="1140"/>
        <v>3</v>
      </c>
      <c r="M2652" s="8">
        <v>1</v>
      </c>
      <c r="N2652" s="8">
        <f t="shared" si="1123"/>
        <v>1</v>
      </c>
      <c r="O2652" s="11" t="s">
        <v>1702</v>
      </c>
      <c r="P2652" s="16" t="str">
        <f t="shared" si="1141"/>
        <v>29-Aug-1897</v>
      </c>
      <c r="R2652" s="16" t="str">
        <f t="shared" si="1125"/>
        <v>x</v>
      </c>
      <c r="S2652" s="16" t="str">
        <f t="shared" si="1125"/>
        <v>x</v>
      </c>
      <c r="T2652" s="11"/>
      <c r="U2652" s="46" t="str">
        <f t="shared" si="1121"/>
        <v/>
      </c>
      <c r="V2652" s="46">
        <f t="shared" si="1121"/>
        <v>3</v>
      </c>
      <c r="W2652" s="46" t="str">
        <f t="shared" si="1121"/>
        <v/>
      </c>
      <c r="X2652" s="46" t="str">
        <f t="shared" si="1121"/>
        <v/>
      </c>
    </row>
    <row r="2653" spans="2:24" x14ac:dyDescent="0.25">
      <c r="B2653" s="11" t="str">
        <f t="shared" si="1139"/>
        <v>LCHM-26SEP1897</v>
      </c>
      <c r="C2653" s="11" t="s">
        <v>121</v>
      </c>
      <c r="D2653" s="11" t="s">
        <v>1699</v>
      </c>
      <c r="E2653" s="39" t="s">
        <v>284</v>
      </c>
      <c r="F2653" s="11" t="s">
        <v>1700</v>
      </c>
      <c r="G2653" s="39" t="s">
        <v>279</v>
      </c>
      <c r="J2653" s="17">
        <v>0</v>
      </c>
      <c r="K2653" s="17"/>
      <c r="L2653" s="7">
        <f t="shared" si="1140"/>
        <v>0</v>
      </c>
      <c r="M2653" s="8">
        <v>1</v>
      </c>
      <c r="N2653" s="8" t="str">
        <f t="shared" si="1123"/>
        <v/>
      </c>
      <c r="O2653" s="11" t="s">
        <v>1702</v>
      </c>
      <c r="P2653" s="16" t="str">
        <f t="shared" si="1141"/>
        <v>26-Sep-1897</v>
      </c>
      <c r="R2653" s="16" t="str">
        <f t="shared" si="1125"/>
        <v/>
      </c>
      <c r="S2653" s="16" t="str">
        <f t="shared" si="1125"/>
        <v/>
      </c>
      <c r="T2653" s="11"/>
      <c r="U2653" s="46" t="str">
        <f t="shared" si="1121"/>
        <v/>
      </c>
      <c r="V2653" s="46">
        <f t="shared" si="1121"/>
        <v>0</v>
      </c>
      <c r="W2653" s="46" t="str">
        <f t="shared" si="1121"/>
        <v/>
      </c>
      <c r="X2653" s="46" t="str">
        <f t="shared" si="1121"/>
        <v/>
      </c>
    </row>
    <row r="2654" spans="2:24" x14ac:dyDescent="0.25">
      <c r="B2654" s="11" t="str">
        <f t="shared" si="1139"/>
        <v>LCHM-24OCT1897</v>
      </c>
      <c r="C2654" s="11" t="s">
        <v>121</v>
      </c>
      <c r="D2654" s="11" t="s">
        <v>1699</v>
      </c>
      <c r="E2654" s="39" t="s">
        <v>285</v>
      </c>
      <c r="F2654" s="11" t="s">
        <v>1700</v>
      </c>
      <c r="G2654" s="39" t="s">
        <v>280</v>
      </c>
      <c r="J2654" s="17">
        <v>0</v>
      </c>
      <c r="K2654" s="17"/>
      <c r="L2654" s="7">
        <f t="shared" si="1140"/>
        <v>0</v>
      </c>
      <c r="M2654" s="8">
        <v>1</v>
      </c>
      <c r="N2654" s="8" t="str">
        <f t="shared" si="1123"/>
        <v/>
      </c>
      <c r="O2654" s="11" t="s">
        <v>1702</v>
      </c>
      <c r="P2654" s="16" t="str">
        <f t="shared" si="1141"/>
        <v>24-Oct-1897</v>
      </c>
      <c r="R2654" s="16" t="str">
        <f t="shared" si="1125"/>
        <v/>
      </c>
      <c r="S2654" s="16" t="str">
        <f t="shared" si="1125"/>
        <v/>
      </c>
      <c r="T2654" s="11"/>
      <c r="U2654" s="46" t="str">
        <f t="shared" si="1121"/>
        <v/>
      </c>
      <c r="V2654" s="46">
        <f t="shared" si="1121"/>
        <v>0</v>
      </c>
      <c r="W2654" s="46" t="str">
        <f t="shared" si="1121"/>
        <v/>
      </c>
      <c r="X2654" s="46" t="str">
        <f t="shared" si="1121"/>
        <v/>
      </c>
    </row>
    <row r="2655" spans="2:24" x14ac:dyDescent="0.25">
      <c r="B2655" s="11" t="str">
        <f t="shared" si="1139"/>
        <v>LCHM-21NOV1897</v>
      </c>
      <c r="C2655" s="11" t="s">
        <v>121</v>
      </c>
      <c r="D2655" s="11" t="s">
        <v>1699</v>
      </c>
      <c r="E2655" s="39" t="s">
        <v>286</v>
      </c>
      <c r="F2655" s="11" t="s">
        <v>1700</v>
      </c>
      <c r="G2655" s="39" t="s">
        <v>281</v>
      </c>
      <c r="J2655" s="17">
        <v>4</v>
      </c>
      <c r="K2655" s="17"/>
      <c r="L2655" s="7">
        <f t="shared" si="1140"/>
        <v>4</v>
      </c>
      <c r="M2655" s="8">
        <v>1</v>
      </c>
      <c r="N2655" s="8">
        <f t="shared" si="1123"/>
        <v>1</v>
      </c>
      <c r="O2655" s="11" t="s">
        <v>1702</v>
      </c>
      <c r="P2655" s="16" t="str">
        <f t="shared" si="1141"/>
        <v>21-Nov-1897</v>
      </c>
      <c r="R2655" s="16" t="str">
        <f t="shared" si="1125"/>
        <v>x</v>
      </c>
      <c r="S2655" s="16" t="str">
        <f t="shared" si="1125"/>
        <v>x</v>
      </c>
      <c r="T2655" s="11"/>
      <c r="U2655" s="46" t="str">
        <f t="shared" si="1121"/>
        <v/>
      </c>
      <c r="V2655" s="46">
        <f t="shared" si="1121"/>
        <v>4</v>
      </c>
      <c r="W2655" s="46" t="str">
        <f t="shared" si="1121"/>
        <v/>
      </c>
      <c r="X2655" s="46" t="str">
        <f t="shared" si="1121"/>
        <v/>
      </c>
    </row>
    <row r="2656" spans="2:24" x14ac:dyDescent="0.25">
      <c r="B2656" s="11" t="str">
        <f t="shared" ref="B2656:B2670" si="1142">CONCATENATE("LCHM","-",LEFT(P2656,2),UPPER(MID(P2656,4,3)),RIGHT(P2656,4))</f>
        <v>LCHM-27DEC1897</v>
      </c>
      <c r="C2656" s="11" t="s">
        <v>121</v>
      </c>
      <c r="D2656" s="11" t="s">
        <v>1699</v>
      </c>
      <c r="E2656" s="39" t="s">
        <v>287</v>
      </c>
      <c r="F2656" s="11" t="s">
        <v>1700</v>
      </c>
      <c r="G2656" s="39" t="s">
        <v>288</v>
      </c>
      <c r="J2656" s="17">
        <v>14</v>
      </c>
      <c r="K2656" s="17"/>
      <c r="L2656" s="7">
        <f t="shared" ref="L2656:L2670" si="1143">SUM(H2656:K2656)</f>
        <v>14</v>
      </c>
      <c r="M2656" s="8">
        <v>1</v>
      </c>
      <c r="N2656" s="8">
        <f t="shared" si="1123"/>
        <v>1</v>
      </c>
      <c r="O2656" s="11" t="s">
        <v>1702</v>
      </c>
      <c r="P2656" s="16" t="str">
        <f t="shared" ref="P2656:P2670" si="1144">IF(LEN(G2656)=10,CONCATENATE("0",G2656),G2656)</f>
        <v>27-Dec-1897</v>
      </c>
      <c r="R2656" s="16" t="str">
        <f t="shared" si="1125"/>
        <v>x</v>
      </c>
      <c r="S2656" s="16" t="str">
        <f t="shared" si="1125"/>
        <v>x</v>
      </c>
      <c r="T2656" s="11"/>
      <c r="U2656" s="46" t="str">
        <f t="shared" si="1121"/>
        <v/>
      </c>
      <c r="V2656" s="46">
        <f t="shared" si="1121"/>
        <v>14</v>
      </c>
      <c r="W2656" s="46" t="str">
        <f t="shared" si="1121"/>
        <v/>
      </c>
      <c r="X2656" s="46" t="str">
        <f t="shared" si="1121"/>
        <v/>
      </c>
    </row>
    <row r="2657" spans="2:24" x14ac:dyDescent="0.25">
      <c r="B2657" s="11" t="str">
        <f t="shared" si="1142"/>
        <v>LCHM-23JAN1898</v>
      </c>
      <c r="C2657" s="11" t="s">
        <v>121</v>
      </c>
      <c r="D2657" s="11" t="s">
        <v>1699</v>
      </c>
      <c r="E2657" s="39" t="s">
        <v>294</v>
      </c>
      <c r="F2657" s="11" t="s">
        <v>1700</v>
      </c>
      <c r="G2657" s="39" t="s">
        <v>289</v>
      </c>
      <c r="J2657" s="17">
        <v>3</v>
      </c>
      <c r="K2657" s="17"/>
      <c r="L2657" s="7">
        <f t="shared" si="1143"/>
        <v>3</v>
      </c>
      <c r="M2657" s="8">
        <v>1</v>
      </c>
      <c r="N2657" s="8">
        <f t="shared" si="1123"/>
        <v>1</v>
      </c>
      <c r="O2657" s="11" t="s">
        <v>1702</v>
      </c>
      <c r="P2657" s="16" t="str">
        <f t="shared" si="1144"/>
        <v>23-Jan-1898</v>
      </c>
      <c r="R2657" s="16" t="str">
        <f t="shared" si="1125"/>
        <v>x</v>
      </c>
      <c r="S2657" s="16" t="str">
        <f t="shared" si="1125"/>
        <v>x</v>
      </c>
      <c r="T2657" s="11"/>
      <c r="U2657" s="46" t="str">
        <f t="shared" si="1121"/>
        <v/>
      </c>
      <c r="V2657" s="46">
        <f t="shared" si="1121"/>
        <v>3</v>
      </c>
      <c r="W2657" s="46" t="str">
        <f t="shared" si="1121"/>
        <v/>
      </c>
      <c r="X2657" s="46" t="str">
        <f t="shared" si="1121"/>
        <v/>
      </c>
    </row>
    <row r="2658" spans="2:24" x14ac:dyDescent="0.25">
      <c r="B2658" s="11" t="str">
        <f>CONCATENATE("LCHM","-",LEFT(P2658,2),UPPER(MID(P2658,4,3)),RIGHT(P2658,4))</f>
        <v>LCHM-27FEB1898</v>
      </c>
      <c r="C2658" s="11" t="s">
        <v>121</v>
      </c>
      <c r="D2658" s="11" t="s">
        <v>1699</v>
      </c>
      <c r="E2658" s="39" t="s">
        <v>3959</v>
      </c>
      <c r="F2658" s="11" t="s">
        <v>2904</v>
      </c>
      <c r="G2658" s="39" t="s">
        <v>33</v>
      </c>
      <c r="J2658" s="17">
        <v>10</v>
      </c>
      <c r="K2658" s="17"/>
      <c r="L2658" s="7">
        <f>SUM(H2658:K2658)</f>
        <v>10</v>
      </c>
      <c r="M2658" s="8">
        <v>1</v>
      </c>
      <c r="N2658" s="8">
        <f>IF(L2658&gt;0,1,"")</f>
        <v>1</v>
      </c>
      <c r="O2658" s="11" t="s">
        <v>1702</v>
      </c>
      <c r="P2658" s="16" t="str">
        <f>IF(LEN(G2658)=10,CONCATENATE("0",G2658),G2658)</f>
        <v>27-Feb-1898</v>
      </c>
      <c r="R2658" s="16" t="str">
        <f t="shared" si="1125"/>
        <v>x</v>
      </c>
      <c r="S2658" s="16" t="str">
        <f t="shared" si="1125"/>
        <v>x</v>
      </c>
      <c r="T2658" s="11"/>
      <c r="U2658" s="46" t="str">
        <f t="shared" si="1121"/>
        <v/>
      </c>
      <c r="V2658" s="46">
        <f t="shared" si="1121"/>
        <v>10</v>
      </c>
      <c r="W2658" s="46" t="str">
        <f t="shared" si="1121"/>
        <v/>
      </c>
      <c r="X2658" s="46" t="str">
        <f t="shared" si="1121"/>
        <v/>
      </c>
    </row>
    <row r="2659" spans="2:24" x14ac:dyDescent="0.25">
      <c r="B2659" s="11" t="str">
        <f t="shared" si="1142"/>
        <v>LCHM-04SEP1898</v>
      </c>
      <c r="C2659" s="11" t="s">
        <v>121</v>
      </c>
      <c r="D2659" s="11" t="s">
        <v>1699</v>
      </c>
      <c r="E2659" s="39" t="s">
        <v>2178</v>
      </c>
      <c r="F2659" s="11" t="s">
        <v>1700</v>
      </c>
      <c r="G2659" s="39" t="s">
        <v>290</v>
      </c>
      <c r="J2659" s="17">
        <v>13</v>
      </c>
      <c r="K2659" s="17"/>
      <c r="L2659" s="7">
        <f t="shared" si="1143"/>
        <v>13</v>
      </c>
      <c r="M2659" s="8">
        <v>1</v>
      </c>
      <c r="N2659" s="8">
        <f t="shared" si="1123"/>
        <v>1</v>
      </c>
      <c r="O2659" s="11" t="s">
        <v>1702</v>
      </c>
      <c r="P2659" s="16" t="str">
        <f t="shared" si="1144"/>
        <v>04-Sep-1898</v>
      </c>
      <c r="R2659" s="16" t="str">
        <f t="shared" si="1125"/>
        <v>x</v>
      </c>
      <c r="S2659" s="16" t="str">
        <f t="shared" si="1125"/>
        <v>x</v>
      </c>
      <c r="T2659" s="11"/>
      <c r="U2659" s="46" t="str">
        <f t="shared" si="1121"/>
        <v/>
      </c>
      <c r="V2659" s="46">
        <f t="shared" si="1121"/>
        <v>13</v>
      </c>
      <c r="W2659" s="46" t="str">
        <f t="shared" si="1121"/>
        <v/>
      </c>
      <c r="X2659" s="46" t="str">
        <f>IF($O2659=X$5,$L2659,"")</f>
        <v/>
      </c>
    </row>
    <row r="2660" spans="2:24" x14ac:dyDescent="0.25">
      <c r="B2660" s="11" t="str">
        <f t="shared" si="1142"/>
        <v>LCHM-09OCT1898</v>
      </c>
      <c r="C2660" s="11" t="s">
        <v>121</v>
      </c>
      <c r="D2660" s="11" t="s">
        <v>1699</v>
      </c>
      <c r="E2660" s="39" t="s">
        <v>295</v>
      </c>
      <c r="F2660" s="11" t="s">
        <v>1700</v>
      </c>
      <c r="G2660" s="39" t="s">
        <v>291</v>
      </c>
      <c r="J2660" s="17">
        <v>8</v>
      </c>
      <c r="K2660" s="17"/>
      <c r="L2660" s="7">
        <f t="shared" si="1143"/>
        <v>8</v>
      </c>
      <c r="M2660" s="8">
        <v>1</v>
      </c>
      <c r="N2660" s="8">
        <f t="shared" si="1123"/>
        <v>1</v>
      </c>
      <c r="O2660" s="11" t="s">
        <v>1702</v>
      </c>
      <c r="P2660" s="16" t="str">
        <f t="shared" si="1144"/>
        <v>09-Oct-1898</v>
      </c>
      <c r="R2660" s="16" t="str">
        <f t="shared" si="1125"/>
        <v>x</v>
      </c>
      <c r="S2660" s="16" t="str">
        <f t="shared" si="1125"/>
        <v>x</v>
      </c>
      <c r="T2660" s="11"/>
      <c r="U2660" s="46" t="str">
        <f t="shared" ref="U2660:X2734" si="1145">IF($O2660=U$5,$L2660,"")</f>
        <v/>
      </c>
      <c r="V2660" s="46">
        <f t="shared" si="1145"/>
        <v>8</v>
      </c>
      <c r="W2660" s="46" t="str">
        <f t="shared" si="1145"/>
        <v/>
      </c>
      <c r="X2660" s="46" t="str">
        <f t="shared" si="1145"/>
        <v/>
      </c>
    </row>
    <row r="2661" spans="2:24" x14ac:dyDescent="0.25">
      <c r="B2661" s="11" t="str">
        <f t="shared" si="1142"/>
        <v>LCHM-13NOV1898</v>
      </c>
      <c r="C2661" s="11" t="s">
        <v>121</v>
      </c>
      <c r="D2661" s="11" t="s">
        <v>1699</v>
      </c>
      <c r="E2661" s="39" t="s">
        <v>296</v>
      </c>
      <c r="F2661" s="11" t="s">
        <v>1700</v>
      </c>
      <c r="G2661" s="39" t="s">
        <v>292</v>
      </c>
      <c r="J2661" s="17">
        <v>30</v>
      </c>
      <c r="K2661" s="17"/>
      <c r="L2661" s="7">
        <f t="shared" si="1143"/>
        <v>30</v>
      </c>
      <c r="M2661" s="8">
        <v>1</v>
      </c>
      <c r="N2661" s="8">
        <f t="shared" si="1123"/>
        <v>1</v>
      </c>
      <c r="O2661" s="11" t="s">
        <v>1702</v>
      </c>
      <c r="P2661" s="16" t="str">
        <f t="shared" si="1144"/>
        <v>13-Nov-1898</v>
      </c>
      <c r="R2661" s="16" t="str">
        <f t="shared" si="1125"/>
        <v>x</v>
      </c>
      <c r="S2661" s="16" t="str">
        <f t="shared" si="1125"/>
        <v>x</v>
      </c>
      <c r="T2661" s="11"/>
      <c r="U2661" s="46" t="str">
        <f t="shared" si="1145"/>
        <v/>
      </c>
      <c r="V2661" s="46">
        <f t="shared" si="1145"/>
        <v>30</v>
      </c>
      <c r="W2661" s="46" t="str">
        <f t="shared" si="1145"/>
        <v/>
      </c>
      <c r="X2661" s="46" t="str">
        <f t="shared" si="1145"/>
        <v/>
      </c>
    </row>
    <row r="2662" spans="2:24" x14ac:dyDescent="0.25">
      <c r="B2662" s="11" t="str">
        <f t="shared" si="1142"/>
        <v>LCHM-12DEC1898</v>
      </c>
      <c r="C2662" s="11" t="s">
        <v>121</v>
      </c>
      <c r="D2662" s="11" t="s">
        <v>1699</v>
      </c>
      <c r="E2662" s="39" t="s">
        <v>297</v>
      </c>
      <c r="F2662" s="11" t="s">
        <v>1700</v>
      </c>
      <c r="G2662" s="39" t="s">
        <v>293</v>
      </c>
      <c r="J2662" s="17">
        <v>6</v>
      </c>
      <c r="K2662" s="17"/>
      <c r="L2662" s="7">
        <f t="shared" si="1143"/>
        <v>6</v>
      </c>
      <c r="M2662" s="8">
        <v>1</v>
      </c>
      <c r="N2662" s="8">
        <f t="shared" si="1123"/>
        <v>1</v>
      </c>
      <c r="O2662" s="11" t="s">
        <v>1702</v>
      </c>
      <c r="P2662" s="16" t="str">
        <f t="shared" si="1144"/>
        <v>12-Dec-1898</v>
      </c>
      <c r="R2662" s="16" t="str">
        <f t="shared" si="1125"/>
        <v>x</v>
      </c>
      <c r="S2662" s="16" t="str">
        <f t="shared" si="1125"/>
        <v>x</v>
      </c>
      <c r="T2662" s="11"/>
      <c r="U2662" s="46" t="str">
        <f t="shared" si="1145"/>
        <v/>
      </c>
      <c r="V2662" s="46">
        <f t="shared" si="1145"/>
        <v>6</v>
      </c>
      <c r="W2662" s="46" t="str">
        <f t="shared" si="1145"/>
        <v/>
      </c>
      <c r="X2662" s="46" t="str">
        <f t="shared" si="1145"/>
        <v/>
      </c>
    </row>
    <row r="2663" spans="2:24" x14ac:dyDescent="0.25">
      <c r="B2663" s="11" t="str">
        <f t="shared" si="1142"/>
        <v>LCHM-10JAN1899</v>
      </c>
      <c r="C2663" s="11" t="s">
        <v>121</v>
      </c>
      <c r="D2663" s="11" t="s">
        <v>1699</v>
      </c>
      <c r="E2663" s="39" t="s">
        <v>308</v>
      </c>
      <c r="F2663" s="11" t="s">
        <v>1700</v>
      </c>
      <c r="G2663" s="39" t="s">
        <v>298</v>
      </c>
      <c r="J2663" s="17">
        <v>4</v>
      </c>
      <c r="K2663" s="17"/>
      <c r="L2663" s="7">
        <f t="shared" si="1143"/>
        <v>4</v>
      </c>
      <c r="M2663" s="8">
        <v>1</v>
      </c>
      <c r="N2663" s="8">
        <f t="shared" ref="N2663:N2702" si="1146">IF(L2663&gt;0,1,"")</f>
        <v>1</v>
      </c>
      <c r="O2663" s="11" t="s">
        <v>1702</v>
      </c>
      <c r="P2663" s="16" t="str">
        <f t="shared" si="1144"/>
        <v>10-Jan-1899</v>
      </c>
      <c r="R2663" s="16" t="str">
        <f t="shared" ref="R2663:S2702" si="1147">IF($L2663&gt;0,"x","")</f>
        <v>x</v>
      </c>
      <c r="S2663" s="16" t="str">
        <f t="shared" si="1147"/>
        <v>x</v>
      </c>
      <c r="T2663" s="11"/>
      <c r="U2663" s="46" t="str">
        <f t="shared" si="1145"/>
        <v/>
      </c>
      <c r="V2663" s="46">
        <f t="shared" si="1145"/>
        <v>4</v>
      </c>
      <c r="W2663" s="46" t="str">
        <f t="shared" si="1145"/>
        <v/>
      </c>
      <c r="X2663" s="46" t="str">
        <f t="shared" si="1145"/>
        <v/>
      </c>
    </row>
    <row r="2664" spans="2:24" x14ac:dyDescent="0.25">
      <c r="B2664" s="11" t="str">
        <f t="shared" si="1142"/>
        <v>LCHM-06FEB1899</v>
      </c>
      <c r="C2664" s="11" t="s">
        <v>121</v>
      </c>
      <c r="D2664" s="11" t="s">
        <v>1699</v>
      </c>
      <c r="E2664" s="39" t="s">
        <v>309</v>
      </c>
      <c r="F2664" s="11" t="s">
        <v>1700</v>
      </c>
      <c r="G2664" s="39" t="s">
        <v>299</v>
      </c>
      <c r="J2664" s="17">
        <v>2</v>
      </c>
      <c r="K2664" s="17"/>
      <c r="L2664" s="7">
        <f t="shared" si="1143"/>
        <v>2</v>
      </c>
      <c r="M2664" s="8">
        <v>1</v>
      </c>
      <c r="N2664" s="8">
        <f t="shared" si="1146"/>
        <v>1</v>
      </c>
      <c r="O2664" s="11" t="s">
        <v>1702</v>
      </c>
      <c r="P2664" s="16" t="str">
        <f t="shared" si="1144"/>
        <v>06-Feb-1899</v>
      </c>
      <c r="R2664" s="16" t="str">
        <f t="shared" si="1147"/>
        <v>x</v>
      </c>
      <c r="S2664" s="16" t="str">
        <f t="shared" si="1147"/>
        <v>x</v>
      </c>
      <c r="T2664" s="11"/>
      <c r="U2664" s="46" t="str">
        <f t="shared" si="1145"/>
        <v/>
      </c>
      <c r="V2664" s="46">
        <f t="shared" si="1145"/>
        <v>2</v>
      </c>
      <c r="W2664" s="46" t="str">
        <f t="shared" si="1145"/>
        <v/>
      </c>
      <c r="X2664" s="46" t="str">
        <f t="shared" si="1145"/>
        <v/>
      </c>
    </row>
    <row r="2665" spans="2:24" x14ac:dyDescent="0.25">
      <c r="B2665" s="11" t="str">
        <f t="shared" si="1142"/>
        <v>LCHM-05MAR1899</v>
      </c>
      <c r="C2665" s="11" t="s">
        <v>121</v>
      </c>
      <c r="D2665" s="11" t="s">
        <v>1699</v>
      </c>
      <c r="E2665" s="39" t="s">
        <v>311</v>
      </c>
      <c r="F2665" s="11" t="s">
        <v>1700</v>
      </c>
      <c r="G2665" s="39" t="s">
        <v>310</v>
      </c>
      <c r="J2665" s="17">
        <v>0</v>
      </c>
      <c r="K2665" s="17"/>
      <c r="L2665" s="7">
        <f t="shared" si="1143"/>
        <v>0</v>
      </c>
      <c r="M2665" s="8">
        <v>1</v>
      </c>
      <c r="N2665" s="8" t="str">
        <f t="shared" si="1146"/>
        <v/>
      </c>
      <c r="O2665" s="11" t="s">
        <v>1702</v>
      </c>
      <c r="P2665" s="16" t="str">
        <f t="shared" si="1144"/>
        <v>05-Mar-1899</v>
      </c>
      <c r="R2665" s="16" t="str">
        <f t="shared" si="1147"/>
        <v/>
      </c>
      <c r="S2665" s="16" t="str">
        <f t="shared" si="1147"/>
        <v/>
      </c>
      <c r="T2665" s="11"/>
      <c r="U2665" s="46" t="str">
        <f t="shared" si="1145"/>
        <v/>
      </c>
      <c r="V2665" s="46">
        <f t="shared" si="1145"/>
        <v>0</v>
      </c>
      <c r="W2665" s="46" t="str">
        <f t="shared" si="1145"/>
        <v/>
      </c>
      <c r="X2665" s="46" t="str">
        <f t="shared" si="1145"/>
        <v/>
      </c>
    </row>
    <row r="2666" spans="2:24" x14ac:dyDescent="0.25">
      <c r="B2666" s="11" t="str">
        <f t="shared" si="1142"/>
        <v>LCHM-02APR1899</v>
      </c>
      <c r="C2666" s="11" t="s">
        <v>121</v>
      </c>
      <c r="D2666" s="11" t="s">
        <v>1699</v>
      </c>
      <c r="E2666" s="39" t="s">
        <v>312</v>
      </c>
      <c r="F2666" s="11" t="s">
        <v>1700</v>
      </c>
      <c r="G2666" s="39" t="s">
        <v>313</v>
      </c>
      <c r="J2666" s="17">
        <v>3</v>
      </c>
      <c r="K2666" s="17"/>
      <c r="L2666" s="7">
        <f t="shared" si="1143"/>
        <v>3</v>
      </c>
      <c r="M2666" s="8">
        <v>1</v>
      </c>
      <c r="N2666" s="8">
        <f t="shared" si="1146"/>
        <v>1</v>
      </c>
      <c r="O2666" s="11" t="s">
        <v>1702</v>
      </c>
      <c r="P2666" s="16" t="str">
        <f t="shared" si="1144"/>
        <v>02-Apr-1899</v>
      </c>
      <c r="R2666" s="16" t="str">
        <f t="shared" si="1147"/>
        <v>x</v>
      </c>
      <c r="S2666" s="16" t="str">
        <f t="shared" si="1147"/>
        <v>x</v>
      </c>
      <c r="T2666" s="11"/>
      <c r="U2666" s="46" t="str">
        <f t="shared" si="1145"/>
        <v/>
      </c>
      <c r="V2666" s="46">
        <f t="shared" si="1145"/>
        <v>3</v>
      </c>
      <c r="W2666" s="46" t="str">
        <f t="shared" si="1145"/>
        <v/>
      </c>
      <c r="X2666" s="46" t="str">
        <f t="shared" si="1145"/>
        <v/>
      </c>
    </row>
    <row r="2667" spans="2:24" x14ac:dyDescent="0.25">
      <c r="B2667" s="11" t="str">
        <f t="shared" si="1142"/>
        <v>LCHM-07MAY1899</v>
      </c>
      <c r="C2667" s="11" t="s">
        <v>121</v>
      </c>
      <c r="D2667" s="11" t="s">
        <v>1699</v>
      </c>
      <c r="E2667" s="39" t="s">
        <v>314</v>
      </c>
      <c r="F2667" s="11" t="s">
        <v>1700</v>
      </c>
      <c r="G2667" s="39" t="s">
        <v>300</v>
      </c>
      <c r="J2667" s="17">
        <v>7</v>
      </c>
      <c r="K2667" s="17"/>
      <c r="L2667" s="7">
        <f t="shared" si="1143"/>
        <v>7</v>
      </c>
      <c r="M2667" s="8">
        <v>1</v>
      </c>
      <c r="N2667" s="8">
        <f t="shared" si="1146"/>
        <v>1</v>
      </c>
      <c r="O2667" s="11" t="s">
        <v>1702</v>
      </c>
      <c r="P2667" s="16" t="str">
        <f t="shared" si="1144"/>
        <v>07-May-1899</v>
      </c>
      <c r="R2667" s="16" t="str">
        <f t="shared" si="1147"/>
        <v>x</v>
      </c>
      <c r="S2667" s="16" t="str">
        <f t="shared" si="1147"/>
        <v>x</v>
      </c>
      <c r="T2667" s="11"/>
      <c r="U2667" s="46" t="str">
        <f t="shared" si="1145"/>
        <v/>
      </c>
      <c r="V2667" s="46">
        <f t="shared" si="1145"/>
        <v>7</v>
      </c>
      <c r="W2667" s="46" t="str">
        <f t="shared" si="1145"/>
        <v/>
      </c>
      <c r="X2667" s="46" t="str">
        <f t="shared" si="1145"/>
        <v/>
      </c>
    </row>
    <row r="2668" spans="2:24" x14ac:dyDescent="0.25">
      <c r="B2668" s="11" t="str">
        <f t="shared" si="1142"/>
        <v>LCHM-04JUN1899</v>
      </c>
      <c r="C2668" s="11" t="s">
        <v>121</v>
      </c>
      <c r="D2668" s="11" t="s">
        <v>1699</v>
      </c>
      <c r="E2668" s="39" t="s">
        <v>315</v>
      </c>
      <c r="F2668" s="11" t="s">
        <v>1700</v>
      </c>
      <c r="G2668" s="39" t="s">
        <v>301</v>
      </c>
      <c r="J2668" s="17">
        <v>12</v>
      </c>
      <c r="K2668" s="17"/>
      <c r="L2668" s="7">
        <f t="shared" si="1143"/>
        <v>12</v>
      </c>
      <c r="M2668" s="8">
        <v>1</v>
      </c>
      <c r="N2668" s="8">
        <f t="shared" si="1146"/>
        <v>1</v>
      </c>
      <c r="O2668" s="11" t="s">
        <v>1702</v>
      </c>
      <c r="P2668" s="16" t="str">
        <f t="shared" si="1144"/>
        <v>04-Jun-1899</v>
      </c>
      <c r="R2668" s="16" t="str">
        <f t="shared" si="1147"/>
        <v>x</v>
      </c>
      <c r="S2668" s="16" t="str">
        <f t="shared" si="1147"/>
        <v>x</v>
      </c>
      <c r="T2668" s="11"/>
      <c r="U2668" s="46" t="str">
        <f t="shared" si="1145"/>
        <v/>
      </c>
      <c r="V2668" s="46">
        <f t="shared" si="1145"/>
        <v>12</v>
      </c>
      <c r="W2668" s="46" t="str">
        <f t="shared" si="1145"/>
        <v/>
      </c>
      <c r="X2668" s="46" t="str">
        <f t="shared" si="1145"/>
        <v/>
      </c>
    </row>
    <row r="2669" spans="2:24" x14ac:dyDescent="0.25">
      <c r="B2669" s="11" t="str">
        <f t="shared" si="1142"/>
        <v>LCHM-02JUL1899</v>
      </c>
      <c r="C2669" s="11" t="s">
        <v>121</v>
      </c>
      <c r="D2669" s="11" t="s">
        <v>1699</v>
      </c>
      <c r="E2669" s="39" t="s">
        <v>316</v>
      </c>
      <c r="F2669" s="11" t="s">
        <v>1700</v>
      </c>
      <c r="G2669" s="39" t="s">
        <v>302</v>
      </c>
      <c r="J2669" s="17">
        <v>19</v>
      </c>
      <c r="K2669" s="17"/>
      <c r="L2669" s="7">
        <f t="shared" si="1143"/>
        <v>19</v>
      </c>
      <c r="M2669" s="8">
        <v>1</v>
      </c>
      <c r="N2669" s="8">
        <f t="shared" si="1146"/>
        <v>1</v>
      </c>
      <c r="O2669" s="11" t="s">
        <v>1702</v>
      </c>
      <c r="P2669" s="16" t="str">
        <f t="shared" si="1144"/>
        <v>02-Jul-1899</v>
      </c>
      <c r="R2669" s="16" t="str">
        <f t="shared" si="1147"/>
        <v>x</v>
      </c>
      <c r="S2669" s="16" t="str">
        <f t="shared" si="1147"/>
        <v>x</v>
      </c>
      <c r="T2669" s="11"/>
      <c r="U2669" s="46" t="str">
        <f t="shared" si="1145"/>
        <v/>
      </c>
      <c r="V2669" s="46">
        <f t="shared" si="1145"/>
        <v>19</v>
      </c>
      <c r="W2669" s="46" t="str">
        <f t="shared" si="1145"/>
        <v/>
      </c>
      <c r="X2669" s="46" t="str">
        <f t="shared" si="1145"/>
        <v/>
      </c>
    </row>
    <row r="2670" spans="2:24" x14ac:dyDescent="0.25">
      <c r="B2670" s="11" t="str">
        <f t="shared" si="1142"/>
        <v>LCHM-06AUG1899</v>
      </c>
      <c r="C2670" s="11" t="s">
        <v>121</v>
      </c>
      <c r="D2670" s="11" t="s">
        <v>1699</v>
      </c>
      <c r="E2670" s="39" t="s">
        <v>317</v>
      </c>
      <c r="F2670" s="11" t="s">
        <v>1700</v>
      </c>
      <c r="G2670" s="39" t="s">
        <v>303</v>
      </c>
      <c r="J2670" s="17">
        <v>0</v>
      </c>
      <c r="K2670" s="17"/>
      <c r="L2670" s="7">
        <f t="shared" si="1143"/>
        <v>0</v>
      </c>
      <c r="M2670" s="8">
        <v>1</v>
      </c>
      <c r="N2670" s="8" t="str">
        <f t="shared" si="1146"/>
        <v/>
      </c>
      <c r="O2670" s="11" t="s">
        <v>1702</v>
      </c>
      <c r="P2670" s="16" t="str">
        <f t="shared" si="1144"/>
        <v>06-Aug-1899</v>
      </c>
      <c r="R2670" s="16" t="str">
        <f t="shared" si="1147"/>
        <v/>
      </c>
      <c r="S2670" s="16" t="str">
        <f t="shared" si="1147"/>
        <v/>
      </c>
      <c r="T2670" s="11"/>
      <c r="U2670" s="46" t="str">
        <f t="shared" si="1145"/>
        <v/>
      </c>
      <c r="V2670" s="46">
        <f t="shared" si="1145"/>
        <v>0</v>
      </c>
      <c r="W2670" s="46" t="str">
        <f t="shared" si="1145"/>
        <v/>
      </c>
      <c r="X2670" s="46" t="str">
        <f t="shared" si="1145"/>
        <v/>
      </c>
    </row>
    <row r="2671" spans="2:24" x14ac:dyDescent="0.25">
      <c r="B2671" s="11" t="str">
        <f>CONCATENATE("LCHM","-",LEFT(P2671,2),UPPER(MID(P2671,4,3)),RIGHT(P2671,4))</f>
        <v>LCHM-03SEP1899</v>
      </c>
      <c r="C2671" s="11" t="s">
        <v>121</v>
      </c>
      <c r="D2671" s="11" t="s">
        <v>1699</v>
      </c>
      <c r="E2671" s="39" t="s">
        <v>318</v>
      </c>
      <c r="F2671" s="11" t="s">
        <v>1700</v>
      </c>
      <c r="G2671" s="39" t="s">
        <v>304</v>
      </c>
      <c r="J2671" s="17">
        <v>8</v>
      </c>
      <c r="K2671" s="17"/>
      <c r="L2671" s="7">
        <f>SUM(H2671:K2671)</f>
        <v>8</v>
      </c>
      <c r="M2671" s="8">
        <v>1</v>
      </c>
      <c r="N2671" s="8">
        <f t="shared" si="1146"/>
        <v>1</v>
      </c>
      <c r="O2671" s="11" t="s">
        <v>1702</v>
      </c>
      <c r="P2671" s="16" t="str">
        <f>IF(LEN(G2671)=10,CONCATENATE("0",G2671),G2671)</f>
        <v>03-Sep-1899</v>
      </c>
      <c r="R2671" s="16" t="str">
        <f t="shared" si="1147"/>
        <v>x</v>
      </c>
      <c r="S2671" s="16" t="str">
        <f t="shared" si="1147"/>
        <v>x</v>
      </c>
      <c r="T2671" s="11"/>
      <c r="U2671" s="46" t="str">
        <f t="shared" si="1145"/>
        <v/>
      </c>
      <c r="V2671" s="46">
        <f t="shared" si="1145"/>
        <v>8</v>
      </c>
      <c r="W2671" s="46" t="str">
        <f t="shared" si="1145"/>
        <v/>
      </c>
      <c r="X2671" s="46" t="str">
        <f t="shared" si="1145"/>
        <v/>
      </c>
    </row>
    <row r="2672" spans="2:24" x14ac:dyDescent="0.25">
      <c r="B2672" s="11" t="str">
        <f>CONCATENATE("LCHM","-",LEFT(P2672,2),UPPER(MID(P2672,4,3)),RIGHT(P2672,4))</f>
        <v>LCHM-08OCT1899</v>
      </c>
      <c r="C2672" s="11" t="s">
        <v>121</v>
      </c>
      <c r="D2672" s="11" t="s">
        <v>1699</v>
      </c>
      <c r="E2672" s="39" t="s">
        <v>319</v>
      </c>
      <c r="F2672" s="11" t="s">
        <v>1700</v>
      </c>
      <c r="G2672" s="39" t="s">
        <v>305</v>
      </c>
      <c r="J2672" s="17">
        <v>9</v>
      </c>
      <c r="K2672" s="17"/>
      <c r="L2672" s="7">
        <f>SUM(H2672:K2672)</f>
        <v>9</v>
      </c>
      <c r="M2672" s="8">
        <v>1</v>
      </c>
      <c r="N2672" s="8">
        <f t="shared" si="1146"/>
        <v>1</v>
      </c>
      <c r="O2672" s="11" t="s">
        <v>1702</v>
      </c>
      <c r="P2672" s="16" t="str">
        <f>IF(LEN(G2672)=10,CONCATENATE("0",G2672),G2672)</f>
        <v>08-Oct-1899</v>
      </c>
      <c r="R2672" s="16" t="str">
        <f t="shared" si="1147"/>
        <v>x</v>
      </c>
      <c r="S2672" s="16" t="str">
        <f t="shared" si="1147"/>
        <v>x</v>
      </c>
      <c r="T2672" s="11"/>
      <c r="U2672" s="46" t="str">
        <f t="shared" si="1145"/>
        <v/>
      </c>
      <c r="V2672" s="46">
        <f t="shared" si="1145"/>
        <v>9</v>
      </c>
      <c r="W2672" s="46" t="str">
        <f t="shared" si="1145"/>
        <v/>
      </c>
      <c r="X2672" s="46" t="str">
        <f t="shared" si="1145"/>
        <v/>
      </c>
    </row>
    <row r="2673" spans="2:24" x14ac:dyDescent="0.25">
      <c r="B2673" s="11" t="str">
        <f>CONCATENATE("LCHM","-",LEFT(P2673,2),UPPER(MID(P2673,4,3)),RIGHT(P2673,4))</f>
        <v>LCHM-07NOV1899</v>
      </c>
      <c r="C2673" s="11" t="s">
        <v>121</v>
      </c>
      <c r="D2673" s="11" t="s">
        <v>1699</v>
      </c>
      <c r="E2673" s="39" t="s">
        <v>320</v>
      </c>
      <c r="F2673" s="11" t="s">
        <v>1700</v>
      </c>
      <c r="G2673" s="39" t="s">
        <v>306</v>
      </c>
      <c r="J2673" s="17">
        <v>24</v>
      </c>
      <c r="K2673" s="17"/>
      <c r="L2673" s="7">
        <f>SUM(H2673:K2673)</f>
        <v>24</v>
      </c>
      <c r="M2673" s="8">
        <v>1</v>
      </c>
      <c r="N2673" s="8">
        <f t="shared" si="1146"/>
        <v>1</v>
      </c>
      <c r="O2673" s="11" t="s">
        <v>1702</v>
      </c>
      <c r="P2673" s="16" t="str">
        <f>IF(LEN(G2673)=10,CONCATENATE("0",G2673),G2673)</f>
        <v>07-Nov-1899</v>
      </c>
      <c r="R2673" s="16" t="str">
        <f t="shared" si="1147"/>
        <v>x</v>
      </c>
      <c r="S2673" s="16" t="str">
        <f t="shared" si="1147"/>
        <v>x</v>
      </c>
      <c r="T2673" s="11"/>
      <c r="U2673" s="46" t="str">
        <f t="shared" si="1145"/>
        <v/>
      </c>
      <c r="V2673" s="46">
        <f t="shared" si="1145"/>
        <v>24</v>
      </c>
      <c r="W2673" s="46" t="str">
        <f t="shared" si="1145"/>
        <v/>
      </c>
      <c r="X2673" s="46" t="str">
        <f t="shared" si="1145"/>
        <v/>
      </c>
    </row>
    <row r="2674" spans="2:24" x14ac:dyDescent="0.25">
      <c r="B2674" s="11" t="str">
        <f>CONCATENATE("LCHM","-",LEFT(P2674,2),UPPER(MID(P2674,4,3)),RIGHT(P2674,4))</f>
        <v>LCHM-03DEC1899</v>
      </c>
      <c r="C2674" s="11" t="s">
        <v>121</v>
      </c>
      <c r="D2674" s="11" t="s">
        <v>1699</v>
      </c>
      <c r="E2674" s="39" t="s">
        <v>321</v>
      </c>
      <c r="F2674" s="11" t="s">
        <v>1700</v>
      </c>
      <c r="G2674" s="39" t="s">
        <v>307</v>
      </c>
      <c r="J2674" s="17">
        <v>7</v>
      </c>
      <c r="K2674" s="17"/>
      <c r="L2674" s="7">
        <f>SUM(H2674:K2674)</f>
        <v>7</v>
      </c>
      <c r="M2674" s="8">
        <v>1</v>
      </c>
      <c r="N2674" s="8">
        <f t="shared" si="1146"/>
        <v>1</v>
      </c>
      <c r="O2674" s="11" t="s">
        <v>1702</v>
      </c>
      <c r="P2674" s="16" t="str">
        <f>IF(LEN(G2674)=10,CONCATENATE("0",G2674),G2674)</f>
        <v>03-Dec-1899</v>
      </c>
      <c r="R2674" s="16" t="str">
        <f t="shared" si="1147"/>
        <v>x</v>
      </c>
      <c r="S2674" s="16" t="str">
        <f t="shared" si="1147"/>
        <v>x</v>
      </c>
      <c r="T2674" s="11"/>
      <c r="U2674" s="46" t="str">
        <f t="shared" si="1145"/>
        <v/>
      </c>
      <c r="V2674" s="46">
        <f t="shared" si="1145"/>
        <v>7</v>
      </c>
      <c r="W2674" s="46" t="str">
        <f t="shared" si="1145"/>
        <v/>
      </c>
      <c r="X2674" s="46" t="str">
        <f t="shared" si="1145"/>
        <v/>
      </c>
    </row>
    <row r="2675" spans="2:24" x14ac:dyDescent="0.25">
      <c r="B2675" s="11" t="str">
        <f>CONCATENATE("LCHM","-",LEFT(P2675,2),UPPER(MID(P2675,4,3)),RIGHT(P2675,4))</f>
        <v>LCHM-07JAN1900</v>
      </c>
      <c r="C2675" s="11" t="s">
        <v>121</v>
      </c>
      <c r="D2675" s="11" t="s">
        <v>1699</v>
      </c>
      <c r="E2675" s="39" t="s">
        <v>327</v>
      </c>
      <c r="F2675" s="11" t="s">
        <v>1700</v>
      </c>
      <c r="G2675" s="39" t="s">
        <v>322</v>
      </c>
      <c r="J2675" s="17">
        <v>10</v>
      </c>
      <c r="K2675" s="17"/>
      <c r="L2675" s="7">
        <f>SUM(H2675:K2675)</f>
        <v>10</v>
      </c>
      <c r="M2675" s="8">
        <v>1</v>
      </c>
      <c r="N2675" s="8">
        <f t="shared" si="1146"/>
        <v>1</v>
      </c>
      <c r="O2675" s="11" t="s">
        <v>1702</v>
      </c>
      <c r="P2675" s="16" t="str">
        <f>IF(LEN(G2675)=10,CONCATENATE("0",G2675),G2675)</f>
        <v>07-Jan-1900</v>
      </c>
      <c r="R2675" s="16" t="str">
        <f t="shared" si="1147"/>
        <v>x</v>
      </c>
      <c r="S2675" s="16" t="str">
        <f t="shared" si="1147"/>
        <v>x</v>
      </c>
      <c r="T2675" s="11"/>
      <c r="U2675" s="46" t="str">
        <f t="shared" si="1145"/>
        <v/>
      </c>
      <c r="V2675" s="46">
        <f t="shared" si="1145"/>
        <v>10</v>
      </c>
      <c r="W2675" s="46" t="str">
        <f t="shared" si="1145"/>
        <v/>
      </c>
      <c r="X2675" s="46" t="str">
        <f t="shared" si="1145"/>
        <v/>
      </c>
    </row>
    <row r="2676" spans="2:24" x14ac:dyDescent="0.25">
      <c r="B2676" s="11" t="str">
        <f t="shared" ref="B2676:B2702" si="1148">CONCATENATE("LCHM","-",LEFT(P2676,2),UPPER(MID(P2676,4,3)),RIGHT(P2676,4))</f>
        <v>LCHM-05FEB1900</v>
      </c>
      <c r="C2676" s="11" t="s">
        <v>121</v>
      </c>
      <c r="D2676" s="11" t="s">
        <v>1699</v>
      </c>
      <c r="E2676" s="39" t="s">
        <v>328</v>
      </c>
      <c r="F2676" s="11" t="s">
        <v>1700</v>
      </c>
      <c r="G2676" s="39" t="s">
        <v>323</v>
      </c>
      <c r="J2676" s="17">
        <v>4</v>
      </c>
      <c r="K2676" s="17"/>
      <c r="L2676" s="7">
        <f t="shared" ref="L2676:L2702" si="1149">SUM(H2676:K2676)</f>
        <v>4</v>
      </c>
      <c r="M2676" s="8">
        <v>1</v>
      </c>
      <c r="N2676" s="8">
        <f t="shared" si="1146"/>
        <v>1</v>
      </c>
      <c r="O2676" s="11" t="s">
        <v>1702</v>
      </c>
      <c r="P2676" s="16" t="str">
        <f t="shared" ref="P2676:P2702" si="1150">IF(LEN(G2676)=10,CONCATENATE("0",G2676),G2676)</f>
        <v>05-Feb-1900</v>
      </c>
      <c r="R2676" s="16" t="str">
        <f t="shared" si="1147"/>
        <v>x</v>
      </c>
      <c r="S2676" s="16" t="str">
        <f t="shared" si="1147"/>
        <v>x</v>
      </c>
      <c r="T2676" s="11"/>
      <c r="U2676" s="46" t="str">
        <f t="shared" si="1145"/>
        <v/>
      </c>
      <c r="V2676" s="46">
        <f t="shared" si="1145"/>
        <v>4</v>
      </c>
      <c r="W2676" s="46" t="str">
        <f t="shared" si="1145"/>
        <v/>
      </c>
      <c r="X2676" s="46" t="str">
        <f t="shared" si="1145"/>
        <v/>
      </c>
    </row>
    <row r="2677" spans="2:24" x14ac:dyDescent="0.25">
      <c r="B2677" s="11" t="str">
        <f t="shared" si="1148"/>
        <v>LCHM-04MAR1900</v>
      </c>
      <c r="C2677" s="11" t="s">
        <v>121</v>
      </c>
      <c r="D2677" s="11" t="s">
        <v>1699</v>
      </c>
      <c r="E2677" s="39" t="s">
        <v>330</v>
      </c>
      <c r="F2677" s="11" t="s">
        <v>1700</v>
      </c>
      <c r="G2677" s="39" t="s">
        <v>329</v>
      </c>
      <c r="J2677" s="17">
        <v>6</v>
      </c>
      <c r="K2677" s="17"/>
      <c r="L2677" s="7">
        <f t="shared" si="1149"/>
        <v>6</v>
      </c>
      <c r="M2677" s="8">
        <v>1</v>
      </c>
      <c r="N2677" s="8">
        <f t="shared" si="1146"/>
        <v>1</v>
      </c>
      <c r="O2677" s="11" t="s">
        <v>1702</v>
      </c>
      <c r="P2677" s="16" t="str">
        <f t="shared" si="1150"/>
        <v>04-Mar-1900</v>
      </c>
      <c r="R2677" s="16" t="str">
        <f t="shared" si="1147"/>
        <v>x</v>
      </c>
      <c r="S2677" s="16" t="str">
        <f t="shared" si="1147"/>
        <v>x</v>
      </c>
      <c r="T2677" s="11"/>
      <c r="U2677" s="46" t="str">
        <f t="shared" si="1145"/>
        <v/>
      </c>
      <c r="V2677" s="46">
        <f t="shared" si="1145"/>
        <v>6</v>
      </c>
      <c r="W2677" s="46" t="str">
        <f t="shared" si="1145"/>
        <v/>
      </c>
      <c r="X2677" s="46" t="str">
        <f t="shared" si="1145"/>
        <v/>
      </c>
    </row>
    <row r="2678" spans="2:24" x14ac:dyDescent="0.25">
      <c r="B2678" s="11" t="str">
        <f t="shared" si="1148"/>
        <v>LCHM-06MAY1900</v>
      </c>
      <c r="C2678" s="11" t="s">
        <v>121</v>
      </c>
      <c r="D2678" s="11" t="s">
        <v>1699</v>
      </c>
      <c r="E2678" s="39" t="s">
        <v>331</v>
      </c>
      <c r="F2678" s="11" t="s">
        <v>1700</v>
      </c>
      <c r="G2678" s="39" t="s">
        <v>332</v>
      </c>
      <c r="J2678" s="17">
        <v>17</v>
      </c>
      <c r="K2678" s="17"/>
      <c r="L2678" s="7">
        <f t="shared" si="1149"/>
        <v>17</v>
      </c>
      <c r="M2678" s="8">
        <v>1</v>
      </c>
      <c r="N2678" s="8">
        <f t="shared" si="1146"/>
        <v>1</v>
      </c>
      <c r="O2678" s="11" t="s">
        <v>1702</v>
      </c>
      <c r="P2678" s="16" t="str">
        <f t="shared" si="1150"/>
        <v>06-May-1900</v>
      </c>
      <c r="R2678" s="16" t="str">
        <f t="shared" si="1147"/>
        <v>x</v>
      </c>
      <c r="S2678" s="16" t="str">
        <f t="shared" si="1147"/>
        <v>x</v>
      </c>
      <c r="T2678" s="11"/>
      <c r="U2678" s="46" t="str">
        <f t="shared" si="1145"/>
        <v/>
      </c>
      <c r="V2678" s="46">
        <f t="shared" si="1145"/>
        <v>17</v>
      </c>
      <c r="W2678" s="46" t="str">
        <f t="shared" si="1145"/>
        <v/>
      </c>
      <c r="X2678" s="46" t="str">
        <f t="shared" si="1145"/>
        <v/>
      </c>
    </row>
    <row r="2679" spans="2:24" x14ac:dyDescent="0.25">
      <c r="B2679" s="11" t="str">
        <f t="shared" si="1148"/>
        <v>LCHM-17JUN1900</v>
      </c>
      <c r="C2679" s="11" t="s">
        <v>121</v>
      </c>
      <c r="D2679" s="11" t="s">
        <v>1699</v>
      </c>
      <c r="E2679" s="39" t="s">
        <v>333</v>
      </c>
      <c r="F2679" s="11" t="s">
        <v>1700</v>
      </c>
      <c r="G2679" s="39" t="s">
        <v>324</v>
      </c>
      <c r="J2679" s="17">
        <v>29</v>
      </c>
      <c r="K2679" s="17"/>
      <c r="L2679" s="7">
        <f t="shared" si="1149"/>
        <v>29</v>
      </c>
      <c r="M2679" s="8">
        <v>1</v>
      </c>
      <c r="N2679" s="8">
        <f t="shared" si="1146"/>
        <v>1</v>
      </c>
      <c r="O2679" s="11" t="s">
        <v>1702</v>
      </c>
      <c r="P2679" s="16" t="str">
        <f t="shared" si="1150"/>
        <v>17-Jun-1900</v>
      </c>
      <c r="R2679" s="16" t="str">
        <f t="shared" si="1147"/>
        <v>x</v>
      </c>
      <c r="S2679" s="16" t="str">
        <f t="shared" si="1147"/>
        <v>x</v>
      </c>
      <c r="T2679" s="11"/>
      <c r="U2679" s="46" t="str">
        <f t="shared" si="1145"/>
        <v/>
      </c>
      <c r="V2679" s="46">
        <f t="shared" si="1145"/>
        <v>29</v>
      </c>
      <c r="W2679" s="46" t="str">
        <f t="shared" si="1145"/>
        <v/>
      </c>
      <c r="X2679" s="46" t="str">
        <f t="shared" si="1145"/>
        <v/>
      </c>
    </row>
    <row r="2680" spans="2:24" x14ac:dyDescent="0.25">
      <c r="B2680" s="11" t="str">
        <f t="shared" si="1148"/>
        <v>LCHM-21JUL1900</v>
      </c>
      <c r="C2680" s="11" t="s">
        <v>121</v>
      </c>
      <c r="D2680" s="11" t="s">
        <v>1699</v>
      </c>
      <c r="E2680" s="39" t="s">
        <v>334</v>
      </c>
      <c r="F2680" s="11" t="s">
        <v>1700</v>
      </c>
      <c r="G2680" s="39" t="s">
        <v>325</v>
      </c>
      <c r="J2680" s="17">
        <v>38</v>
      </c>
      <c r="K2680" s="17"/>
      <c r="L2680" s="7">
        <f t="shared" si="1149"/>
        <v>38</v>
      </c>
      <c r="M2680" s="8">
        <v>1</v>
      </c>
      <c r="N2680" s="8">
        <f t="shared" si="1146"/>
        <v>1</v>
      </c>
      <c r="O2680" s="11" t="s">
        <v>1702</v>
      </c>
      <c r="P2680" s="16" t="str">
        <f t="shared" si="1150"/>
        <v>21-Jul-1900</v>
      </c>
      <c r="R2680" s="16" t="str">
        <f t="shared" si="1147"/>
        <v>x</v>
      </c>
      <c r="S2680" s="16" t="str">
        <f t="shared" si="1147"/>
        <v>x</v>
      </c>
      <c r="T2680" s="11"/>
      <c r="U2680" s="46" t="str">
        <f t="shared" si="1145"/>
        <v/>
      </c>
      <c r="V2680" s="46">
        <f t="shared" si="1145"/>
        <v>38</v>
      </c>
      <c r="W2680" s="46" t="str">
        <f t="shared" si="1145"/>
        <v/>
      </c>
      <c r="X2680" s="46" t="str">
        <f t="shared" si="1145"/>
        <v/>
      </c>
    </row>
    <row r="2681" spans="2:24" x14ac:dyDescent="0.25">
      <c r="B2681" s="11" t="str">
        <f t="shared" si="1148"/>
        <v>LCHM-11NOV1900</v>
      </c>
      <c r="C2681" s="11" t="s">
        <v>121</v>
      </c>
      <c r="D2681" s="11" t="s">
        <v>1699</v>
      </c>
      <c r="E2681" s="39" t="s">
        <v>336</v>
      </c>
      <c r="F2681" s="11" t="s">
        <v>1700</v>
      </c>
      <c r="G2681" s="39" t="s">
        <v>335</v>
      </c>
      <c r="J2681" s="17">
        <v>12</v>
      </c>
      <c r="K2681" s="17"/>
      <c r="L2681" s="7">
        <f t="shared" si="1149"/>
        <v>12</v>
      </c>
      <c r="M2681" s="8">
        <v>1</v>
      </c>
      <c r="N2681" s="8">
        <f t="shared" si="1146"/>
        <v>1</v>
      </c>
      <c r="O2681" s="11" t="s">
        <v>1702</v>
      </c>
      <c r="P2681" s="16" t="str">
        <f t="shared" si="1150"/>
        <v>11-Nov-1900</v>
      </c>
      <c r="R2681" s="16" t="str">
        <f t="shared" si="1147"/>
        <v>x</v>
      </c>
      <c r="S2681" s="16" t="str">
        <f t="shared" si="1147"/>
        <v>x</v>
      </c>
      <c r="T2681" s="11"/>
      <c r="U2681" s="46" t="str">
        <f t="shared" si="1145"/>
        <v/>
      </c>
      <c r="V2681" s="46">
        <f t="shared" si="1145"/>
        <v>12</v>
      </c>
      <c r="W2681" s="46" t="str">
        <f t="shared" si="1145"/>
        <v/>
      </c>
      <c r="X2681" s="46" t="str">
        <f t="shared" si="1145"/>
        <v/>
      </c>
    </row>
    <row r="2682" spans="2:24" x14ac:dyDescent="0.25">
      <c r="B2682" s="11" t="str">
        <f t="shared" si="1148"/>
        <v>LCHM-17DEC1900</v>
      </c>
      <c r="C2682" s="11" t="s">
        <v>121</v>
      </c>
      <c r="D2682" s="11" t="s">
        <v>1699</v>
      </c>
      <c r="E2682" s="39" t="s">
        <v>337</v>
      </c>
      <c r="F2682" s="11" t="s">
        <v>1700</v>
      </c>
      <c r="G2682" s="39" t="s">
        <v>326</v>
      </c>
      <c r="J2682" s="17">
        <v>9</v>
      </c>
      <c r="K2682" s="17"/>
      <c r="L2682" s="7">
        <f t="shared" si="1149"/>
        <v>9</v>
      </c>
      <c r="M2682" s="8">
        <v>1</v>
      </c>
      <c r="N2682" s="8">
        <f t="shared" si="1146"/>
        <v>1</v>
      </c>
      <c r="O2682" s="11" t="s">
        <v>1702</v>
      </c>
      <c r="P2682" s="16" t="str">
        <f t="shared" si="1150"/>
        <v>17-Dec-1900</v>
      </c>
      <c r="R2682" s="16" t="str">
        <f t="shared" si="1147"/>
        <v>x</v>
      </c>
      <c r="S2682" s="16" t="str">
        <f t="shared" si="1147"/>
        <v>x</v>
      </c>
      <c r="T2682" s="11"/>
      <c r="U2682" s="46" t="str">
        <f t="shared" si="1145"/>
        <v/>
      </c>
      <c r="V2682" s="46">
        <f t="shared" si="1145"/>
        <v>9</v>
      </c>
      <c r="W2682" s="46" t="str">
        <f t="shared" si="1145"/>
        <v/>
      </c>
      <c r="X2682" s="46" t="str">
        <f t="shared" si="1145"/>
        <v/>
      </c>
    </row>
    <row r="2683" spans="2:24" x14ac:dyDescent="0.25">
      <c r="B2683" s="11" t="str">
        <f>CONCATENATE("LCHM","-",LEFT(P2683,2),UPPER(MID(P2683,4,3)),RIGHT(P2683,4))</f>
        <v>LCHM-13JAN1901</v>
      </c>
      <c r="C2683" s="11" t="s">
        <v>121</v>
      </c>
      <c r="D2683" s="11" t="s">
        <v>1699</v>
      </c>
      <c r="E2683" s="39" t="s">
        <v>4070</v>
      </c>
      <c r="F2683" s="11" t="s">
        <v>1700</v>
      </c>
      <c r="G2683" s="39" t="s">
        <v>4071</v>
      </c>
      <c r="J2683" s="17">
        <v>16</v>
      </c>
      <c r="K2683" s="17"/>
      <c r="L2683" s="7">
        <f>SUM(H2683:K2683)</f>
        <v>16</v>
      </c>
      <c r="M2683" s="8">
        <v>1</v>
      </c>
      <c r="N2683" s="8">
        <f>IF(L2683&gt;0,1,"")</f>
        <v>1</v>
      </c>
      <c r="O2683" s="11" t="s">
        <v>1702</v>
      </c>
      <c r="P2683" s="16" t="str">
        <f>IF(LEN(G2683)=10,CONCATENATE("0",G2683),G2683)</f>
        <v>13-Jan-1901</v>
      </c>
      <c r="R2683" s="16" t="str">
        <f t="shared" si="1147"/>
        <v>x</v>
      </c>
      <c r="S2683" s="16" t="str">
        <f t="shared" si="1147"/>
        <v>x</v>
      </c>
      <c r="T2683" s="11"/>
      <c r="U2683" s="46" t="str">
        <f t="shared" si="1145"/>
        <v/>
      </c>
      <c r="V2683" s="46">
        <f t="shared" si="1145"/>
        <v>16</v>
      </c>
      <c r="W2683" s="46" t="str">
        <f t="shared" si="1145"/>
        <v/>
      </c>
      <c r="X2683" s="46" t="str">
        <f t="shared" si="1145"/>
        <v/>
      </c>
    </row>
    <row r="2684" spans="2:24" x14ac:dyDescent="0.25">
      <c r="B2684" s="11" t="str">
        <f>CONCATENATE("LCHM","-",LEFT(P2684,2),UPPER(MID(P2684,4,3)),RIGHT(P2684,4))</f>
        <v>LCHM-02JUN1901</v>
      </c>
      <c r="C2684" s="11" t="s">
        <v>121</v>
      </c>
      <c r="D2684" s="11" t="s">
        <v>1699</v>
      </c>
      <c r="E2684" s="39" t="s">
        <v>4556</v>
      </c>
      <c r="F2684" s="11" t="s">
        <v>1700</v>
      </c>
      <c r="G2684" s="39" t="s">
        <v>4557</v>
      </c>
      <c r="J2684" s="17">
        <v>9</v>
      </c>
      <c r="K2684" s="17"/>
      <c r="L2684" s="7">
        <f>SUM(H2684:K2684)</f>
        <v>9</v>
      </c>
      <c r="M2684" s="8">
        <v>1</v>
      </c>
      <c r="N2684" s="8">
        <f>IF(L2684&gt;0,1,"")</f>
        <v>1</v>
      </c>
      <c r="O2684" s="11" t="s">
        <v>1702</v>
      </c>
      <c r="P2684" s="16" t="str">
        <f>IF(LEN(G2684)=10,CONCATENATE("0",G2684),G2684)</f>
        <v>02-Jun-1901</v>
      </c>
      <c r="R2684" s="16" t="str">
        <f t="shared" si="1147"/>
        <v>x</v>
      </c>
      <c r="S2684" s="16" t="str">
        <f t="shared" si="1147"/>
        <v>x</v>
      </c>
      <c r="T2684" s="11"/>
      <c r="U2684" s="46" t="str">
        <f>IF($O2684=U$5,$L2684,"")</f>
        <v/>
      </c>
      <c r="V2684" s="46">
        <f>IF($O2684=V$5,$L2684,"")</f>
        <v>9</v>
      </c>
      <c r="W2684" s="46" t="str">
        <f>IF($O2684=W$5,$L2684,"")</f>
        <v/>
      </c>
      <c r="X2684" s="46" t="str">
        <f>IF($O2684=X$5,$L2684,"")</f>
        <v/>
      </c>
    </row>
    <row r="2685" spans="2:24" x14ac:dyDescent="0.25">
      <c r="B2685" s="11" t="str">
        <f t="shared" si="1148"/>
        <v>LCHM-28JUL1901</v>
      </c>
      <c r="C2685" s="11" t="s">
        <v>121</v>
      </c>
      <c r="D2685" s="11" t="s">
        <v>1699</v>
      </c>
      <c r="E2685" s="39" t="s">
        <v>3902</v>
      </c>
      <c r="F2685" s="11" t="s">
        <v>1700</v>
      </c>
      <c r="G2685" s="39" t="s">
        <v>3420</v>
      </c>
      <c r="J2685" s="17">
        <v>7</v>
      </c>
      <c r="K2685" s="17"/>
      <c r="L2685" s="7">
        <f t="shared" si="1149"/>
        <v>7</v>
      </c>
      <c r="M2685" s="8">
        <v>1</v>
      </c>
      <c r="N2685" s="8">
        <f t="shared" si="1146"/>
        <v>1</v>
      </c>
      <c r="O2685" s="11" t="s">
        <v>1702</v>
      </c>
      <c r="P2685" s="16" t="str">
        <f t="shared" si="1150"/>
        <v>28-Jul-1901</v>
      </c>
      <c r="R2685" s="16" t="str">
        <f t="shared" si="1147"/>
        <v>x</v>
      </c>
      <c r="S2685" s="16" t="str">
        <f t="shared" si="1147"/>
        <v>x</v>
      </c>
      <c r="T2685" s="11"/>
      <c r="U2685" s="46" t="str">
        <f t="shared" si="1145"/>
        <v/>
      </c>
      <c r="V2685" s="46">
        <f t="shared" si="1145"/>
        <v>7</v>
      </c>
      <c r="W2685" s="46" t="str">
        <f t="shared" si="1145"/>
        <v/>
      </c>
      <c r="X2685" s="46" t="str">
        <f t="shared" si="1145"/>
        <v/>
      </c>
    </row>
    <row r="2686" spans="2:24" x14ac:dyDescent="0.25">
      <c r="B2686" s="11" t="str">
        <f>CONCATENATE("LCHM","-",LEFT(P2686,2),UPPER(MID(P2686,4,3)),RIGHT(P2686,4))</f>
        <v>LCHM-30SEP1901</v>
      </c>
      <c r="C2686" s="11" t="s">
        <v>121</v>
      </c>
      <c r="D2686" s="11" t="s">
        <v>1699</v>
      </c>
      <c r="E2686" s="39" t="s">
        <v>6302</v>
      </c>
      <c r="F2686" s="11" t="s">
        <v>1700</v>
      </c>
      <c r="G2686" s="39" t="s">
        <v>4039</v>
      </c>
      <c r="J2686" s="17">
        <v>7</v>
      </c>
      <c r="K2686" s="17"/>
      <c r="L2686" s="7">
        <f>SUM(H2686:K2686)</f>
        <v>7</v>
      </c>
      <c r="M2686" s="8">
        <v>1</v>
      </c>
      <c r="N2686" s="8">
        <f>IF(L2686&gt;0,1,"")</f>
        <v>1</v>
      </c>
      <c r="O2686" s="11" t="s">
        <v>1702</v>
      </c>
      <c r="P2686" s="16" t="str">
        <f>IF(LEN(G2686)=10,CONCATENATE("0",G2686),G2686)</f>
        <v>30-Sep-1901</v>
      </c>
      <c r="R2686" s="16" t="str">
        <f t="shared" si="1147"/>
        <v>x</v>
      </c>
      <c r="S2686" s="16" t="str">
        <f t="shared" si="1147"/>
        <v>x</v>
      </c>
      <c r="U2686" s="46" t="str">
        <f t="shared" ref="U2686:X2689" si="1151">IF($O2686=U$5,$L2686,"")</f>
        <v/>
      </c>
      <c r="V2686" s="46">
        <f t="shared" si="1151"/>
        <v>7</v>
      </c>
      <c r="W2686" s="46" t="str">
        <f t="shared" si="1151"/>
        <v/>
      </c>
      <c r="X2686" s="46" t="str">
        <f t="shared" si="1151"/>
        <v/>
      </c>
    </row>
    <row r="2687" spans="2:24" x14ac:dyDescent="0.25">
      <c r="B2687" s="11" t="str">
        <f>CONCATENATE("LCHM","-",LEFT(P2687,2),UPPER(MID(P2687,4,3)),RIGHT(P2687,4))</f>
        <v>LCHM-28OCT1901</v>
      </c>
      <c r="C2687" s="11" t="s">
        <v>121</v>
      </c>
      <c r="D2687" s="11" t="s">
        <v>1699</v>
      </c>
      <c r="E2687" s="39" t="s">
        <v>5709</v>
      </c>
      <c r="F2687" s="11" t="s">
        <v>1700</v>
      </c>
      <c r="G2687" s="39" t="s">
        <v>4652</v>
      </c>
      <c r="J2687" s="17">
        <v>5</v>
      </c>
      <c r="K2687" s="17"/>
      <c r="L2687" s="7">
        <f>SUM(H2687:K2687)</f>
        <v>5</v>
      </c>
      <c r="M2687" s="8">
        <v>1</v>
      </c>
      <c r="N2687" s="8">
        <f>IF(L2687&gt;0,1,"")</f>
        <v>1</v>
      </c>
      <c r="O2687" s="11" t="s">
        <v>1702</v>
      </c>
      <c r="P2687" s="16" t="str">
        <f>IF(LEN(G2687)=10,CONCATENATE("0",G2687),G2687)</f>
        <v>28-Oct-1901</v>
      </c>
      <c r="R2687" s="16" t="str">
        <f>IF($L2687&gt;0,"x","")</f>
        <v>x</v>
      </c>
      <c r="S2687" s="16" t="str">
        <f>IF($L2687&gt;0,"x","")</f>
        <v>x</v>
      </c>
      <c r="T2687" s="11"/>
      <c r="U2687" s="46" t="str">
        <f t="shared" si="1151"/>
        <v/>
      </c>
      <c r="V2687" s="46">
        <f t="shared" si="1151"/>
        <v>5</v>
      </c>
      <c r="W2687" s="46" t="str">
        <f t="shared" si="1151"/>
        <v/>
      </c>
      <c r="X2687" s="46" t="str">
        <f t="shared" si="1151"/>
        <v/>
      </c>
    </row>
    <row r="2688" spans="2:24" x14ac:dyDescent="0.25">
      <c r="B2688" s="11" t="str">
        <f>CONCATENATE("LCHM","-",LEFT(P2688,2),UPPER(MID(P2688,4,3)),RIGHT(P2688,4))</f>
        <v>LCHM-25NOV1901</v>
      </c>
      <c r="C2688" s="11" t="s">
        <v>121</v>
      </c>
      <c r="D2688" s="11" t="s">
        <v>1699</v>
      </c>
      <c r="E2688" s="39" t="s">
        <v>5591</v>
      </c>
      <c r="F2688" s="11" t="s">
        <v>1700</v>
      </c>
      <c r="G2688" s="39" t="s">
        <v>5592</v>
      </c>
      <c r="J2688" s="17">
        <v>15</v>
      </c>
      <c r="K2688" s="17"/>
      <c r="L2688" s="7">
        <f>SUM(H2688:K2688)</f>
        <v>15</v>
      </c>
      <c r="M2688" s="8">
        <v>1</v>
      </c>
      <c r="N2688" s="8">
        <f>IF(L2688&gt;0,1,"")</f>
        <v>1</v>
      </c>
      <c r="O2688" s="11" t="s">
        <v>1702</v>
      </c>
      <c r="P2688" s="16" t="str">
        <f>IF(LEN(G2688)=10,CONCATENATE("0",G2688),G2688)</f>
        <v>25-Nov-1901</v>
      </c>
      <c r="R2688" s="16" t="str">
        <f t="shared" si="1147"/>
        <v>x</v>
      </c>
      <c r="S2688" s="16" t="str">
        <f t="shared" si="1147"/>
        <v>x</v>
      </c>
      <c r="T2688" s="11"/>
      <c r="U2688" s="46" t="str">
        <f t="shared" si="1151"/>
        <v/>
      </c>
      <c r="V2688" s="46">
        <f t="shared" si="1151"/>
        <v>15</v>
      </c>
      <c r="W2688" s="46" t="str">
        <f t="shared" si="1151"/>
        <v/>
      </c>
      <c r="X2688" s="46" t="str">
        <f t="shared" si="1151"/>
        <v/>
      </c>
    </row>
    <row r="2689" spans="2:26" x14ac:dyDescent="0.25">
      <c r="B2689" s="11" t="str">
        <f>CONCATENATE("LCHM","-",LEFT(P2689,2),UPPER(MID(P2689,4,3)),RIGHT(P2689,4))</f>
        <v>LCHM-26JAN1902</v>
      </c>
      <c r="C2689" s="11" t="s">
        <v>121</v>
      </c>
      <c r="D2689" s="11" t="s">
        <v>1699</v>
      </c>
      <c r="E2689" s="39" t="s">
        <v>1361</v>
      </c>
      <c r="F2689" s="11" t="s">
        <v>1700</v>
      </c>
      <c r="G2689" s="39" t="s">
        <v>6057</v>
      </c>
      <c r="J2689" s="17">
        <v>13</v>
      </c>
      <c r="K2689" s="17"/>
      <c r="L2689" s="7">
        <f>SUM(H2689:K2689)</f>
        <v>13</v>
      </c>
      <c r="M2689" s="8">
        <v>1</v>
      </c>
      <c r="N2689" s="8">
        <f>IF(L2689&gt;0,1,"")</f>
        <v>1</v>
      </c>
      <c r="O2689" s="11" t="s">
        <v>1702</v>
      </c>
      <c r="P2689" s="16" t="str">
        <f>IF(LEN(G2689)=10,CONCATENATE("0",G2689),G2689)</f>
        <v>26-Jan-1902</v>
      </c>
      <c r="R2689" s="16" t="str">
        <f t="shared" si="1147"/>
        <v>x</v>
      </c>
      <c r="S2689" s="16" t="str">
        <f t="shared" si="1147"/>
        <v>x</v>
      </c>
      <c r="U2689" s="46" t="str">
        <f t="shared" si="1151"/>
        <v/>
      </c>
      <c r="V2689" s="46">
        <f t="shared" si="1151"/>
        <v>13</v>
      </c>
      <c r="W2689" s="46" t="str">
        <f t="shared" si="1151"/>
        <v/>
      </c>
      <c r="X2689" s="46" t="str">
        <f t="shared" si="1151"/>
        <v/>
      </c>
    </row>
    <row r="2690" spans="2:26" x14ac:dyDescent="0.25">
      <c r="B2690" s="11" t="str">
        <f t="shared" si="1148"/>
        <v>LCHM-10MAY1902</v>
      </c>
      <c r="C2690" s="11" t="s">
        <v>121</v>
      </c>
      <c r="D2690" s="11" t="s">
        <v>1699</v>
      </c>
      <c r="E2690" s="39" t="s">
        <v>1631</v>
      </c>
      <c r="F2690" s="11" t="s">
        <v>1700</v>
      </c>
      <c r="G2690" s="39" t="s">
        <v>1626</v>
      </c>
      <c r="J2690" s="17">
        <v>20</v>
      </c>
      <c r="K2690" s="17"/>
      <c r="L2690" s="7">
        <f t="shared" si="1149"/>
        <v>20</v>
      </c>
      <c r="M2690" s="8">
        <v>1</v>
      </c>
      <c r="N2690" s="8">
        <f t="shared" si="1146"/>
        <v>1</v>
      </c>
      <c r="O2690" s="11" t="s">
        <v>1702</v>
      </c>
      <c r="P2690" s="16" t="str">
        <f t="shared" si="1150"/>
        <v>10-May-1902</v>
      </c>
      <c r="R2690" s="16" t="str">
        <f t="shared" si="1147"/>
        <v>x</v>
      </c>
      <c r="S2690" s="16" t="str">
        <f t="shared" si="1147"/>
        <v>x</v>
      </c>
      <c r="T2690" s="11"/>
      <c r="U2690" s="46" t="str">
        <f t="shared" si="1145"/>
        <v/>
      </c>
      <c r="V2690" s="46">
        <f t="shared" si="1145"/>
        <v>20</v>
      </c>
      <c r="W2690" s="46" t="str">
        <f t="shared" si="1145"/>
        <v/>
      </c>
      <c r="X2690" s="46" t="str">
        <f t="shared" si="1145"/>
        <v/>
      </c>
    </row>
    <row r="2691" spans="2:26" x14ac:dyDescent="0.25">
      <c r="B2691" s="11" t="str">
        <f>CONCATENATE("LCHM","-",LEFT(P2691,2),UPPER(MID(P2691,4,3)),RIGHT(P2691,4))</f>
        <v>LCHM-03NOV1902</v>
      </c>
      <c r="C2691" s="11" t="s">
        <v>121</v>
      </c>
      <c r="D2691" s="11" t="s">
        <v>1699</v>
      </c>
      <c r="E2691" s="39" t="s">
        <v>1379</v>
      </c>
      <c r="F2691" s="11" t="s">
        <v>1700</v>
      </c>
      <c r="G2691" s="39" t="s">
        <v>3988</v>
      </c>
      <c r="J2691" s="17">
        <v>8</v>
      </c>
      <c r="K2691" s="17"/>
      <c r="L2691" s="7">
        <f>SUM(H2691:K2691)</f>
        <v>8</v>
      </c>
      <c r="M2691" s="8">
        <v>1</v>
      </c>
      <c r="N2691" s="8">
        <f>IF(L2691&gt;0,1,"")</f>
        <v>1</v>
      </c>
      <c r="O2691" s="11" t="s">
        <v>1702</v>
      </c>
      <c r="P2691" s="16" t="str">
        <f>IF(LEN(G2691)=10,CONCATENATE("0",G2691),G2691)</f>
        <v>03-Nov-1902</v>
      </c>
      <c r="R2691" s="16" t="str">
        <f t="shared" si="1147"/>
        <v>x</v>
      </c>
      <c r="S2691" s="16" t="str">
        <f t="shared" si="1147"/>
        <v>x</v>
      </c>
      <c r="U2691" s="46" t="str">
        <f>IF($O2691=U$5,$L2691,"")</f>
        <v/>
      </c>
      <c r="V2691" s="46">
        <f>IF($O2691=V$5,$L2691,"")</f>
        <v>8</v>
      </c>
      <c r="W2691" s="46" t="str">
        <f>IF($O2691=W$5,$L2691,"")</f>
        <v/>
      </c>
      <c r="X2691" s="46" t="str">
        <f>IF($O2691=X$5,$L2691,"")</f>
        <v/>
      </c>
    </row>
    <row r="2692" spans="2:26" x14ac:dyDescent="0.25">
      <c r="B2692" s="11" t="str">
        <f>CONCATENATE("LCHM","-",LEFT(P2692,2),UPPER(MID(P2692,4,3)),RIGHT(P2692,4))</f>
        <v>LCHM-29DEC1902</v>
      </c>
      <c r="C2692" s="11" t="s">
        <v>121</v>
      </c>
      <c r="D2692" s="11" t="s">
        <v>1699</v>
      </c>
      <c r="E2692" s="39" t="s">
        <v>1364</v>
      </c>
      <c r="F2692" s="11" t="s">
        <v>1700</v>
      </c>
      <c r="G2692" s="39" t="s">
        <v>3280</v>
      </c>
      <c r="J2692" s="17">
        <v>36</v>
      </c>
      <c r="K2692" s="17"/>
      <c r="L2692" s="7">
        <f>SUM(H2692:K2692)</f>
        <v>36</v>
      </c>
      <c r="M2692" s="8">
        <v>1</v>
      </c>
      <c r="N2692" s="8">
        <f>IF(L2692&gt;0,1,"")</f>
        <v>1</v>
      </c>
      <c r="O2692" s="11" t="s">
        <v>1702</v>
      </c>
      <c r="P2692" s="16" t="str">
        <f>IF(LEN(G2692)=10,CONCATENATE("0",G2692),G2692)</f>
        <v>29-Dec-1902</v>
      </c>
      <c r="R2692" s="16" t="str">
        <f t="shared" si="1147"/>
        <v>x</v>
      </c>
      <c r="S2692" s="16" t="str">
        <f t="shared" si="1147"/>
        <v>x</v>
      </c>
      <c r="T2692" s="11"/>
      <c r="U2692" s="46" t="str">
        <f t="shared" si="1145"/>
        <v/>
      </c>
      <c r="V2692" s="46">
        <f t="shared" si="1145"/>
        <v>36</v>
      </c>
      <c r="W2692" s="46" t="str">
        <f t="shared" si="1145"/>
        <v/>
      </c>
      <c r="X2692" s="46" t="str">
        <f t="shared" si="1145"/>
        <v/>
      </c>
    </row>
    <row r="2693" spans="2:26" x14ac:dyDescent="0.25">
      <c r="B2693" s="11" t="str">
        <f>CONCATENATE("LCHM","-",LEFT(P2693,2),UPPER(MID(P2693,4,3)),RIGHT(P2693,4))</f>
        <v>LCHM-24MAR1903</v>
      </c>
      <c r="C2693" s="11" t="s">
        <v>121</v>
      </c>
      <c r="D2693" s="11" t="s">
        <v>1699</v>
      </c>
      <c r="E2693" s="39" t="s">
        <v>3989</v>
      </c>
      <c r="F2693" s="11" t="s">
        <v>1700</v>
      </c>
      <c r="G2693" s="39" t="s">
        <v>11282</v>
      </c>
      <c r="J2693" s="17">
        <v>21</v>
      </c>
      <c r="K2693" s="17"/>
      <c r="L2693" s="7">
        <f>SUM(H2693:K2693)</f>
        <v>21</v>
      </c>
      <c r="M2693" s="8">
        <v>1</v>
      </c>
      <c r="N2693" s="8">
        <f>IF(L2693&gt;0,1,"")</f>
        <v>1</v>
      </c>
      <c r="O2693" s="11" t="s">
        <v>1702</v>
      </c>
      <c r="P2693" s="16" t="str">
        <f>IF(LEN(G2693)=10,CONCATENATE("0",G2693),G2693)</f>
        <v>24-Mar-1903</v>
      </c>
      <c r="R2693" s="16" t="str">
        <f t="shared" si="1147"/>
        <v>x</v>
      </c>
      <c r="S2693" s="16" t="str">
        <f t="shared" si="1147"/>
        <v>x</v>
      </c>
      <c r="U2693" s="46" t="str">
        <f>IF($O2693=U$5,$L2693,"")</f>
        <v/>
      </c>
      <c r="V2693" s="46">
        <f>IF($O2693=V$5,$L2693,"")</f>
        <v>21</v>
      </c>
      <c r="W2693" s="46" t="str">
        <f>IF($O2693=W$5,$L2693,"")</f>
        <v/>
      </c>
      <c r="X2693" s="46" t="str">
        <f>IF($O2693=X$5,$L2693,"")</f>
        <v/>
      </c>
    </row>
    <row r="2694" spans="2:26" x14ac:dyDescent="0.25">
      <c r="B2694" s="11" t="str">
        <f t="shared" si="1148"/>
        <v>LCHM-09AUG1903</v>
      </c>
      <c r="C2694" s="11" t="s">
        <v>121</v>
      </c>
      <c r="D2694" s="11" t="s">
        <v>1699</v>
      </c>
      <c r="E2694" s="39" t="s">
        <v>1748</v>
      </c>
      <c r="F2694" s="11" t="s">
        <v>1700</v>
      </c>
      <c r="G2694" s="39" t="s">
        <v>339</v>
      </c>
      <c r="H2694" s="7">
        <v>0</v>
      </c>
      <c r="I2694" s="7">
        <v>2</v>
      </c>
      <c r="J2694" s="17">
        <v>10</v>
      </c>
      <c r="K2694" s="17"/>
      <c r="L2694" s="7">
        <f t="shared" si="1149"/>
        <v>12</v>
      </c>
      <c r="M2694" s="8">
        <v>1</v>
      </c>
      <c r="N2694" s="8">
        <f t="shared" si="1146"/>
        <v>1</v>
      </c>
      <c r="O2694" s="11" t="s">
        <v>1702</v>
      </c>
      <c r="P2694" s="16" t="str">
        <f t="shared" si="1150"/>
        <v>09-Aug-1903</v>
      </c>
      <c r="R2694" s="16" t="str">
        <f t="shared" si="1147"/>
        <v>x</v>
      </c>
      <c r="S2694" s="16" t="str">
        <f t="shared" si="1147"/>
        <v>x</v>
      </c>
      <c r="T2694" s="11"/>
      <c r="U2694" s="46" t="str">
        <f t="shared" si="1145"/>
        <v/>
      </c>
      <c r="V2694" s="46">
        <f t="shared" si="1145"/>
        <v>12</v>
      </c>
      <c r="W2694" s="46" t="str">
        <f t="shared" si="1145"/>
        <v/>
      </c>
      <c r="X2694" s="46" t="str">
        <f t="shared" si="1145"/>
        <v/>
      </c>
    </row>
    <row r="2695" spans="2:26" x14ac:dyDescent="0.25">
      <c r="B2695" s="11" t="str">
        <f>CONCATENATE("LCHM","-",LEFT(P2695,2),UPPER(MID(P2695,4,3)),RIGHT(P2695,4))</f>
        <v>LCHM-29SEP1903</v>
      </c>
      <c r="C2695" s="11" t="s">
        <v>121</v>
      </c>
      <c r="D2695" s="11" t="s">
        <v>1699</v>
      </c>
      <c r="E2695" s="39" t="s">
        <v>1655</v>
      </c>
      <c r="F2695" s="11" t="s">
        <v>1700</v>
      </c>
      <c r="G2695" s="39" t="s">
        <v>3541</v>
      </c>
      <c r="I2695" s="7">
        <v>0</v>
      </c>
      <c r="J2695" s="17">
        <v>25</v>
      </c>
      <c r="K2695" s="17"/>
      <c r="L2695" s="7">
        <f>SUM(H2695:K2695)</f>
        <v>25</v>
      </c>
      <c r="M2695" s="8">
        <v>1</v>
      </c>
      <c r="N2695" s="8">
        <f>IF(L2695&gt;0,1,"")</f>
        <v>1</v>
      </c>
      <c r="O2695" s="11" t="s">
        <v>1702</v>
      </c>
      <c r="P2695" s="16" t="str">
        <f>IF(LEN(G2695)=10,CONCATENATE("0",G2695),G2695)</f>
        <v>29-Sep-1903</v>
      </c>
      <c r="R2695" s="16" t="str">
        <f t="shared" si="1147"/>
        <v>x</v>
      </c>
      <c r="S2695" s="16" t="str">
        <f t="shared" si="1147"/>
        <v>x</v>
      </c>
      <c r="T2695" s="11"/>
      <c r="U2695" s="46" t="str">
        <f t="shared" si="1145"/>
        <v/>
      </c>
      <c r="V2695" s="46">
        <f t="shared" si="1145"/>
        <v>25</v>
      </c>
      <c r="W2695" s="46" t="str">
        <f t="shared" si="1145"/>
        <v/>
      </c>
      <c r="X2695" s="46" t="str">
        <f t="shared" si="1145"/>
        <v/>
      </c>
    </row>
    <row r="2696" spans="2:26" x14ac:dyDescent="0.25">
      <c r="B2696" s="11" t="str">
        <f t="shared" si="1148"/>
        <v>LCHM-02NOV1903</v>
      </c>
      <c r="C2696" s="11" t="s">
        <v>121</v>
      </c>
      <c r="D2696" s="11" t="s">
        <v>1699</v>
      </c>
      <c r="E2696" s="39" t="s">
        <v>1751</v>
      </c>
      <c r="F2696" s="11" t="s">
        <v>1700</v>
      </c>
      <c r="G2696" s="39" t="s">
        <v>340</v>
      </c>
      <c r="H2696" s="7">
        <v>0</v>
      </c>
      <c r="I2696" s="7">
        <v>0</v>
      </c>
      <c r="J2696" s="17">
        <v>25</v>
      </c>
      <c r="K2696" s="17"/>
      <c r="L2696" s="7">
        <f t="shared" si="1149"/>
        <v>25</v>
      </c>
      <c r="M2696" s="8">
        <v>1</v>
      </c>
      <c r="N2696" s="8">
        <f t="shared" si="1146"/>
        <v>1</v>
      </c>
      <c r="O2696" s="11" t="s">
        <v>1702</v>
      </c>
      <c r="P2696" s="16" t="str">
        <f t="shared" si="1150"/>
        <v>02-Nov-1903</v>
      </c>
      <c r="R2696" s="16" t="str">
        <f t="shared" si="1147"/>
        <v>x</v>
      </c>
      <c r="S2696" s="16" t="str">
        <f t="shared" si="1147"/>
        <v>x</v>
      </c>
      <c r="T2696" s="11"/>
      <c r="U2696" s="46" t="str">
        <f t="shared" si="1145"/>
        <v/>
      </c>
      <c r="V2696" s="46">
        <f t="shared" si="1145"/>
        <v>25</v>
      </c>
      <c r="W2696" s="46" t="str">
        <f t="shared" si="1145"/>
        <v/>
      </c>
      <c r="X2696" s="46" t="str">
        <f t="shared" si="1145"/>
        <v/>
      </c>
    </row>
    <row r="2697" spans="2:26" x14ac:dyDescent="0.25">
      <c r="B2697" s="11" t="str">
        <f t="shared" si="1148"/>
        <v>LCHM-07DEC1903</v>
      </c>
      <c r="C2697" s="11" t="s">
        <v>121</v>
      </c>
      <c r="D2697" s="11" t="s">
        <v>1699</v>
      </c>
      <c r="E2697" s="39" t="s">
        <v>341</v>
      </c>
      <c r="F2697" s="11" t="s">
        <v>1700</v>
      </c>
      <c r="G2697" s="39" t="s">
        <v>342</v>
      </c>
      <c r="H2697" s="7">
        <v>0</v>
      </c>
      <c r="I2697" s="7">
        <v>0</v>
      </c>
      <c r="J2697" s="17">
        <v>32</v>
      </c>
      <c r="K2697" s="17"/>
      <c r="L2697" s="7">
        <f t="shared" si="1149"/>
        <v>32</v>
      </c>
      <c r="M2697" s="8">
        <v>1</v>
      </c>
      <c r="N2697" s="8">
        <f t="shared" si="1146"/>
        <v>1</v>
      </c>
      <c r="O2697" s="11" t="s">
        <v>1702</v>
      </c>
      <c r="P2697" s="16" t="str">
        <f t="shared" si="1150"/>
        <v>07-Dec-1903</v>
      </c>
      <c r="R2697" s="16" t="str">
        <f t="shared" si="1147"/>
        <v>x</v>
      </c>
      <c r="S2697" s="16" t="str">
        <f t="shared" si="1147"/>
        <v>x</v>
      </c>
      <c r="T2697" s="11"/>
      <c r="U2697" s="46" t="str">
        <f t="shared" si="1145"/>
        <v/>
      </c>
      <c r="V2697" s="46">
        <f t="shared" si="1145"/>
        <v>32</v>
      </c>
      <c r="W2697" s="46" t="str">
        <f t="shared" si="1145"/>
        <v/>
      </c>
      <c r="X2697" s="46" t="str">
        <f t="shared" si="1145"/>
        <v/>
      </c>
    </row>
    <row r="2698" spans="2:26" x14ac:dyDescent="0.25">
      <c r="B2698" s="11" t="str">
        <f>CONCATENATE("LCHM","-",LEFT(P2698,2),UPPER(MID(P2698,4,3)),RIGHT(P2698,4))</f>
        <v>LCHM-27JUN1904</v>
      </c>
      <c r="C2698" s="11" t="s">
        <v>121</v>
      </c>
      <c r="D2698" s="11" t="s">
        <v>1699</v>
      </c>
      <c r="E2698" s="39" t="s">
        <v>1401</v>
      </c>
      <c r="F2698" s="11" t="s">
        <v>1700</v>
      </c>
      <c r="G2698" s="39" t="s">
        <v>3401</v>
      </c>
      <c r="H2698" s="7">
        <v>0</v>
      </c>
      <c r="I2698" s="7">
        <v>0</v>
      </c>
      <c r="J2698" s="17">
        <v>51</v>
      </c>
      <c r="K2698" s="17"/>
      <c r="L2698" s="7">
        <f>SUM(H2698:K2698)</f>
        <v>51</v>
      </c>
      <c r="M2698" s="8">
        <v>1</v>
      </c>
      <c r="N2698" s="8">
        <f>IF(L2698&gt;0,1,"")</f>
        <v>1</v>
      </c>
      <c r="O2698" s="11" t="s">
        <v>1702</v>
      </c>
      <c r="P2698" s="16" t="str">
        <f>IF(LEN(G2698)=10,CONCATENATE("0",G2698),G2698)</f>
        <v>27-Jun-1904</v>
      </c>
      <c r="R2698" s="16" t="str">
        <f t="shared" si="1147"/>
        <v>x</v>
      </c>
      <c r="S2698" s="16" t="str">
        <f t="shared" si="1147"/>
        <v>x</v>
      </c>
      <c r="T2698" s="11"/>
      <c r="U2698" s="46" t="str">
        <f t="shared" si="1145"/>
        <v/>
      </c>
      <c r="V2698" s="46">
        <f t="shared" si="1145"/>
        <v>51</v>
      </c>
      <c r="W2698" s="46" t="str">
        <f t="shared" si="1145"/>
        <v/>
      </c>
      <c r="X2698" s="46" t="str">
        <f t="shared" si="1145"/>
        <v/>
      </c>
    </row>
    <row r="2699" spans="2:26" x14ac:dyDescent="0.25">
      <c r="B2699" s="11" t="str">
        <f>CONCATENATE("LCHM","-",LEFT(P2699,2),UPPER(MID(P2699,4,3)),RIGHT(P2699,4))</f>
        <v>LCHM-02JAN1905</v>
      </c>
      <c r="C2699" s="11" t="s">
        <v>121</v>
      </c>
      <c r="D2699" s="11" t="s">
        <v>1699</v>
      </c>
      <c r="E2699" s="39" t="s">
        <v>1402</v>
      </c>
      <c r="F2699" s="11" t="s">
        <v>1700</v>
      </c>
      <c r="G2699" s="39" t="s">
        <v>5557</v>
      </c>
      <c r="H2699" s="7">
        <v>0</v>
      </c>
      <c r="I2699" s="7">
        <v>1</v>
      </c>
      <c r="J2699" s="17">
        <v>6</v>
      </c>
      <c r="K2699" s="17"/>
      <c r="L2699" s="7">
        <f>SUM(H2699:K2699)</f>
        <v>7</v>
      </c>
      <c r="M2699" s="8">
        <v>1</v>
      </c>
      <c r="N2699" s="8">
        <f>IF(L2699&gt;0,1,"")</f>
        <v>1</v>
      </c>
      <c r="O2699" s="11" t="s">
        <v>1702</v>
      </c>
      <c r="P2699" s="16" t="str">
        <f>IF(LEN(G2699)=10,CONCATENATE("0",G2699),G2699)</f>
        <v>02-Jan-1905</v>
      </c>
      <c r="R2699" s="16" t="str">
        <f t="shared" si="1147"/>
        <v>x</v>
      </c>
      <c r="S2699" s="16" t="str">
        <f t="shared" si="1147"/>
        <v>x</v>
      </c>
      <c r="U2699" s="46" t="str">
        <f>IF($O2699=U$5,$L2699,"")</f>
        <v/>
      </c>
      <c r="V2699" s="46">
        <f>IF($O2699=V$5,$L2699,"")</f>
        <v>7</v>
      </c>
      <c r="W2699" s="46" t="str">
        <f>IF($O2699=W$5,$L2699,"")</f>
        <v/>
      </c>
      <c r="X2699" s="46" t="str">
        <f>IF($O2699=X$5,$L2699,"")</f>
        <v/>
      </c>
    </row>
    <row r="2700" spans="2:26" x14ac:dyDescent="0.25">
      <c r="B2700" s="11" t="str">
        <f>CONCATENATE("LCHM","-",LEFT(P2700,2),UPPER(MID(P2700,4,3)),RIGHT(P2700,4))</f>
        <v>LCHM-30JAN1905</v>
      </c>
      <c r="C2700" s="11" t="s">
        <v>121</v>
      </c>
      <c r="D2700" s="11" t="s">
        <v>1699</v>
      </c>
      <c r="E2700" s="39" t="s">
        <v>3578</v>
      </c>
      <c r="F2700" s="11" t="s">
        <v>1700</v>
      </c>
      <c r="G2700" s="39" t="s">
        <v>3579</v>
      </c>
      <c r="H2700" s="7">
        <v>0</v>
      </c>
      <c r="I2700" s="7">
        <v>1</v>
      </c>
      <c r="J2700" s="17">
        <v>43</v>
      </c>
      <c r="K2700" s="17"/>
      <c r="L2700" s="7">
        <f>SUM(H2700:K2700)</f>
        <v>44</v>
      </c>
      <c r="M2700" s="8">
        <v>1</v>
      </c>
      <c r="N2700" s="8">
        <f>IF(L2700&gt;0,1,"")</f>
        <v>1</v>
      </c>
      <c r="O2700" s="11" t="s">
        <v>1702</v>
      </c>
      <c r="P2700" s="16" t="str">
        <f>IF(LEN(G2700)=10,CONCATENATE("0",G2700),G2700)</f>
        <v>30-Jan-1905</v>
      </c>
      <c r="R2700" s="16" t="str">
        <f t="shared" si="1147"/>
        <v>x</v>
      </c>
      <c r="S2700" s="16" t="str">
        <f t="shared" si="1147"/>
        <v>x</v>
      </c>
      <c r="T2700" s="11"/>
      <c r="U2700" s="46" t="str">
        <f t="shared" si="1145"/>
        <v/>
      </c>
      <c r="V2700" s="46">
        <f t="shared" si="1145"/>
        <v>44</v>
      </c>
      <c r="W2700" s="46" t="str">
        <f t="shared" si="1145"/>
        <v/>
      </c>
      <c r="X2700" s="46" t="str">
        <f t="shared" si="1145"/>
        <v/>
      </c>
    </row>
    <row r="2701" spans="2:26" x14ac:dyDescent="0.25">
      <c r="B2701" s="11" t="str">
        <f>CONCATENATE("LCHM","-",LEFT(P2701,2),UPPER(MID(P2701,4,3)),RIGHT(P2701,4))</f>
        <v>LCHM-21MAR1906</v>
      </c>
      <c r="C2701" s="11" t="s">
        <v>121</v>
      </c>
      <c r="D2701" s="11" t="s">
        <v>1699</v>
      </c>
      <c r="E2701" s="39" t="s">
        <v>3597</v>
      </c>
      <c r="F2701" s="11" t="s">
        <v>1700</v>
      </c>
      <c r="G2701" s="39" t="s">
        <v>5912</v>
      </c>
      <c r="I2701" s="7">
        <v>0</v>
      </c>
      <c r="J2701" s="17">
        <v>9</v>
      </c>
      <c r="K2701" s="17"/>
      <c r="L2701" s="7">
        <f>SUM(H2701:K2701)</f>
        <v>9</v>
      </c>
      <c r="M2701" s="8">
        <v>1</v>
      </c>
      <c r="N2701" s="8">
        <f>IF(L2701&gt;0,1,"")</f>
        <v>1</v>
      </c>
      <c r="O2701" s="11" t="s">
        <v>1702</v>
      </c>
      <c r="P2701" s="16" t="str">
        <f>IF(LEN(G2701)=10,CONCATENATE("0",G2701),G2701)</f>
        <v>21-Mar-1906</v>
      </c>
      <c r="R2701" s="16" t="str">
        <f t="shared" si="1147"/>
        <v>x</v>
      </c>
      <c r="S2701" s="16" t="str">
        <f t="shared" si="1147"/>
        <v>x</v>
      </c>
      <c r="U2701" s="46" t="str">
        <f>IF($O2701=U$5,$L2701,"")</f>
        <v/>
      </c>
      <c r="V2701" s="46">
        <f>IF($O2701=V$5,$L2701,"")</f>
        <v>9</v>
      </c>
      <c r="W2701" s="46" t="str">
        <f>IF($O2701=W$5,$L2701,"")</f>
        <v/>
      </c>
      <c r="X2701" s="46" t="str">
        <f>IF($O2701=X$5,$L2701,"")</f>
        <v/>
      </c>
    </row>
    <row r="2702" spans="2:26" x14ac:dyDescent="0.25">
      <c r="B2702" s="11" t="str">
        <f t="shared" si="1148"/>
        <v>LCHM-17APR1906</v>
      </c>
      <c r="C2702" s="11" t="s">
        <v>121</v>
      </c>
      <c r="D2702" s="11" t="s">
        <v>1699</v>
      </c>
      <c r="E2702" s="39" t="s">
        <v>343</v>
      </c>
      <c r="F2702" s="11" t="s">
        <v>1700</v>
      </c>
      <c r="G2702" s="39" t="s">
        <v>344</v>
      </c>
      <c r="H2702" s="7">
        <v>0</v>
      </c>
      <c r="I2702" s="7">
        <v>0</v>
      </c>
      <c r="J2702" s="17">
        <v>9</v>
      </c>
      <c r="K2702" s="17"/>
      <c r="L2702" s="7">
        <f t="shared" si="1149"/>
        <v>9</v>
      </c>
      <c r="M2702" s="8">
        <v>1</v>
      </c>
      <c r="N2702" s="8">
        <f t="shared" si="1146"/>
        <v>1</v>
      </c>
      <c r="O2702" s="11" t="s">
        <v>1702</v>
      </c>
      <c r="P2702" s="16" t="str">
        <f t="shared" si="1150"/>
        <v>17-Apr-1906</v>
      </c>
      <c r="R2702" s="16" t="str">
        <f t="shared" si="1147"/>
        <v>x</v>
      </c>
      <c r="S2702" s="16" t="str">
        <f t="shared" si="1147"/>
        <v>x</v>
      </c>
      <c r="U2702" s="46" t="str">
        <f t="shared" si="1145"/>
        <v/>
      </c>
      <c r="V2702" s="46">
        <f t="shared" si="1145"/>
        <v>9</v>
      </c>
      <c r="W2702" s="46" t="str">
        <f t="shared" si="1145"/>
        <v/>
      </c>
      <c r="X2702" s="46" t="str">
        <f t="shared" si="1145"/>
        <v/>
      </c>
    </row>
    <row r="2703" spans="2:26" x14ac:dyDescent="0.25">
      <c r="N2703" s="8" t="str">
        <f>IF(R2703="x",1,"")</f>
        <v/>
      </c>
      <c r="U2703" s="46" t="str">
        <f t="shared" si="1145"/>
        <v/>
      </c>
      <c r="V2703" s="46" t="str">
        <f t="shared" si="1145"/>
        <v/>
      </c>
      <c r="W2703" s="46" t="str">
        <f t="shared" si="1145"/>
        <v/>
      </c>
      <c r="X2703" s="46" t="str">
        <f t="shared" si="1145"/>
        <v/>
      </c>
    </row>
    <row r="2704" spans="2:26" s="18" customFormat="1" x14ac:dyDescent="0.25">
      <c r="E2704" s="40"/>
      <c r="G2704" s="40"/>
      <c r="H2704" s="7">
        <f t="shared" ref="H2704:N2704" si="1152">SUM(H2597:H2703)</f>
        <v>0</v>
      </c>
      <c r="I2704" s="7">
        <f t="shared" si="1152"/>
        <v>10</v>
      </c>
      <c r="J2704" s="7">
        <f>SUM(J2597:J2703)</f>
        <v>788</v>
      </c>
      <c r="K2704" s="7">
        <f t="shared" si="1152"/>
        <v>0</v>
      </c>
      <c r="L2704" s="7">
        <f t="shared" si="1152"/>
        <v>798</v>
      </c>
      <c r="M2704" s="7">
        <f t="shared" si="1152"/>
        <v>106</v>
      </c>
      <c r="N2704" s="7">
        <f t="shared" si="1152"/>
        <v>66</v>
      </c>
      <c r="P2704" s="13"/>
      <c r="Q2704" s="13"/>
      <c r="R2704" s="16"/>
      <c r="S2704" s="13"/>
      <c r="T2704" s="15"/>
      <c r="U2704" s="46" t="str">
        <f t="shared" si="1145"/>
        <v/>
      </c>
      <c r="V2704" s="46" t="str">
        <f t="shared" si="1145"/>
        <v/>
      </c>
      <c r="W2704" s="46" t="str">
        <f t="shared" si="1145"/>
        <v/>
      </c>
      <c r="X2704" s="46" t="str">
        <f t="shared" si="1145"/>
        <v/>
      </c>
      <c r="Z2704" s="11"/>
    </row>
    <row r="2705" spans="2:26" s="18" customFormat="1" x14ac:dyDescent="0.25">
      <c r="E2705" s="40"/>
      <c r="G2705" s="40"/>
      <c r="H2705" s="7"/>
      <c r="I2705" s="7"/>
      <c r="J2705" s="7"/>
      <c r="K2705" s="7"/>
      <c r="L2705" s="7"/>
      <c r="M2705" s="8"/>
      <c r="N2705" s="8" t="str">
        <f>IF(R2705="x",1,"")</f>
        <v/>
      </c>
      <c r="P2705" s="13"/>
      <c r="Q2705" s="13"/>
      <c r="R2705" s="13"/>
      <c r="S2705" s="13"/>
      <c r="T2705" s="15"/>
      <c r="U2705" s="46" t="str">
        <f t="shared" si="1145"/>
        <v/>
      </c>
      <c r="V2705" s="46" t="str">
        <f t="shared" si="1145"/>
        <v/>
      </c>
      <c r="W2705" s="46" t="str">
        <f t="shared" si="1145"/>
        <v/>
      </c>
      <c r="X2705" s="46" t="str">
        <f t="shared" si="1145"/>
        <v/>
      </c>
      <c r="Z2705" s="11"/>
    </row>
    <row r="2706" spans="2:26" s="18" customFormat="1" x14ac:dyDescent="0.25">
      <c r="E2706" s="40"/>
      <c r="G2706" s="40"/>
      <c r="H2706" s="7"/>
      <c r="I2706" s="7"/>
      <c r="J2706" s="7"/>
      <c r="K2706" s="7"/>
      <c r="L2706" s="7"/>
      <c r="M2706" s="8"/>
      <c r="N2706" s="8" t="str">
        <f>IF(R2706="x",1,"")</f>
        <v/>
      </c>
      <c r="P2706" s="13"/>
      <c r="Q2706" s="13"/>
      <c r="R2706" s="13"/>
      <c r="S2706" s="13"/>
      <c r="T2706" s="15"/>
      <c r="U2706" s="46" t="str">
        <f t="shared" si="1145"/>
        <v/>
      </c>
      <c r="V2706" s="46" t="str">
        <f t="shared" si="1145"/>
        <v/>
      </c>
      <c r="W2706" s="46" t="str">
        <f t="shared" si="1145"/>
        <v/>
      </c>
      <c r="X2706" s="46" t="str">
        <f t="shared" si="1145"/>
        <v/>
      </c>
      <c r="Z2706" s="11"/>
    </row>
    <row r="2707" spans="2:26" x14ac:dyDescent="0.25">
      <c r="B2707" s="11" t="str">
        <f t="shared" ref="B2707:B2721" si="1153">CONCATENATE("LGSC","-",LEFT(P2707,2),UPPER(MID(P2707,4,3)),RIGHT(P2707,4))</f>
        <v>LGSC-27SEP1886</v>
      </c>
      <c r="C2707" s="11" t="s">
        <v>94</v>
      </c>
      <c r="D2707" s="11" t="s">
        <v>1699</v>
      </c>
      <c r="F2707" s="11" t="s">
        <v>1700</v>
      </c>
      <c r="G2707" s="39" t="s">
        <v>6265</v>
      </c>
      <c r="H2707" s="7">
        <v>0</v>
      </c>
      <c r="I2707" s="7">
        <v>11</v>
      </c>
      <c r="J2707" s="17">
        <v>0</v>
      </c>
      <c r="K2707" s="17"/>
      <c r="L2707" s="7">
        <f t="shared" ref="L2707:L2721" si="1154">SUM(H2707:K2707)</f>
        <v>11</v>
      </c>
      <c r="M2707" s="8">
        <v>1</v>
      </c>
      <c r="N2707" s="8">
        <f t="shared" ref="N2707:N2721" si="1155">IF(L2707&gt;0,1,"")</f>
        <v>1</v>
      </c>
      <c r="O2707" s="11" t="s">
        <v>1702</v>
      </c>
      <c r="P2707" s="16" t="str">
        <f t="shared" ref="P2707:P2721" si="1156">IF(LEN(G2707)=10,CONCATENATE("0",G2707),G2707)</f>
        <v>27-Sep-1886</v>
      </c>
      <c r="R2707" s="16" t="str">
        <f>IF($L2707&gt;0,"x","")</f>
        <v>x</v>
      </c>
      <c r="S2707" s="16" t="str">
        <f>IF($L2707&gt;0,"x","")</f>
        <v>x</v>
      </c>
      <c r="U2707" s="46" t="str">
        <f t="shared" si="1145"/>
        <v/>
      </c>
      <c r="V2707" s="46">
        <f t="shared" si="1145"/>
        <v>11</v>
      </c>
      <c r="W2707" s="46" t="str">
        <f t="shared" si="1145"/>
        <v/>
      </c>
      <c r="X2707" s="46" t="str">
        <f t="shared" si="1145"/>
        <v/>
      </c>
    </row>
    <row r="2708" spans="2:26" x14ac:dyDescent="0.25">
      <c r="B2708" s="11" t="str">
        <f>CONCATENATE("LGSC","-",LEFT(P2708,2),UPPER(MID(P2708,4,3)),RIGHT(P2708,4))</f>
        <v>LGSC-22JAN1890</v>
      </c>
      <c r="C2708" s="11" t="s">
        <v>94</v>
      </c>
      <c r="D2708" s="11" t="s">
        <v>1699</v>
      </c>
      <c r="F2708" s="11" t="s">
        <v>1700</v>
      </c>
      <c r="G2708" s="39" t="s">
        <v>5992</v>
      </c>
      <c r="H2708" s="7">
        <v>0</v>
      </c>
      <c r="I2708" s="7">
        <v>0</v>
      </c>
      <c r="J2708" s="17">
        <v>1</v>
      </c>
      <c r="K2708" s="17"/>
      <c r="L2708" s="7">
        <f>SUM(H2708:K2708)</f>
        <v>1</v>
      </c>
      <c r="M2708" s="8">
        <v>1</v>
      </c>
      <c r="N2708" s="8">
        <f>IF(L2708&gt;0,1,"")</f>
        <v>1</v>
      </c>
      <c r="O2708" s="11" t="s">
        <v>1702</v>
      </c>
      <c r="P2708" s="16" t="str">
        <f>IF(LEN(G2708)=10,CONCATENATE("0",G2708),G2708)</f>
        <v>22-Jan-1890</v>
      </c>
      <c r="R2708" s="16" t="str">
        <f>IF($L2708&gt;0,"x","")</f>
        <v>x</v>
      </c>
      <c r="S2708" s="16" t="str">
        <f>IF($L2708&gt;0,"x","")</f>
        <v>x</v>
      </c>
      <c r="U2708" s="46" t="str">
        <f t="shared" ref="U2708:X2709" si="1157">IF($O2708=U$5,$L2708,"")</f>
        <v/>
      </c>
      <c r="V2708" s="46">
        <f t="shared" si="1157"/>
        <v>1</v>
      </c>
      <c r="W2708" s="46" t="str">
        <f t="shared" si="1157"/>
        <v/>
      </c>
      <c r="X2708" s="46" t="str">
        <f t="shared" si="1157"/>
        <v/>
      </c>
    </row>
    <row r="2709" spans="2:26" x14ac:dyDescent="0.25">
      <c r="B2709" s="11" t="str">
        <f>CONCATENATE("LGSC","-",LEFT(P2709,2),UPPER(MID(P2709,4,3)),RIGHT(P2709,4))</f>
        <v>LGSC-18JAN1892</v>
      </c>
      <c r="C2709" s="11" t="s">
        <v>94</v>
      </c>
      <c r="D2709" s="11" t="s">
        <v>1699</v>
      </c>
      <c r="F2709" s="11" t="s">
        <v>1700</v>
      </c>
      <c r="G2709" s="39" t="s">
        <v>407</v>
      </c>
      <c r="H2709" s="7">
        <v>0</v>
      </c>
      <c r="I2709" s="7">
        <v>0</v>
      </c>
      <c r="J2709" s="17">
        <v>0</v>
      </c>
      <c r="K2709" s="17"/>
      <c r="L2709" s="7">
        <f>SUM(H2709:K2709)</f>
        <v>0</v>
      </c>
      <c r="M2709" s="8">
        <v>1</v>
      </c>
      <c r="N2709" s="8" t="str">
        <f>IF(L2709&gt;0,1,"")</f>
        <v/>
      </c>
      <c r="O2709" s="11" t="s">
        <v>1702</v>
      </c>
      <c r="P2709" s="16" t="str">
        <f>IF(LEN(G2709)=10,CONCATENATE("0",G2709),G2709)</f>
        <v>18-Jan-1892</v>
      </c>
      <c r="R2709" s="16" t="str">
        <f t="shared" ref="R2709:S2772" si="1158">IF($L2709&gt;0,"x","")</f>
        <v/>
      </c>
      <c r="S2709" s="16" t="str">
        <f t="shared" si="1158"/>
        <v/>
      </c>
      <c r="U2709" s="46" t="str">
        <f t="shared" si="1157"/>
        <v/>
      </c>
      <c r="V2709" s="46">
        <f t="shared" si="1157"/>
        <v>0</v>
      </c>
      <c r="W2709" s="46" t="str">
        <f t="shared" si="1157"/>
        <v/>
      </c>
      <c r="X2709" s="46" t="str">
        <f t="shared" si="1157"/>
        <v/>
      </c>
      <c r="Z2709" s="11" t="s">
        <v>2688</v>
      </c>
    </row>
    <row r="2710" spans="2:26" x14ac:dyDescent="0.25">
      <c r="B2710" s="11" t="str">
        <f t="shared" si="1153"/>
        <v>LGSC-15FEB1892</v>
      </c>
      <c r="C2710" s="11" t="s">
        <v>94</v>
      </c>
      <c r="D2710" s="11" t="s">
        <v>1699</v>
      </c>
      <c r="F2710" s="11" t="s">
        <v>1700</v>
      </c>
      <c r="G2710" s="39" t="s">
        <v>161</v>
      </c>
      <c r="H2710" s="7">
        <v>0</v>
      </c>
      <c r="I2710" s="7">
        <v>0</v>
      </c>
      <c r="J2710" s="17">
        <v>0</v>
      </c>
      <c r="K2710" s="17"/>
      <c r="L2710" s="7">
        <f t="shared" si="1154"/>
        <v>0</v>
      </c>
      <c r="M2710" s="8">
        <v>1</v>
      </c>
      <c r="N2710" s="8" t="str">
        <f t="shared" si="1155"/>
        <v/>
      </c>
      <c r="O2710" s="11" t="s">
        <v>1702</v>
      </c>
      <c r="P2710" s="16" t="str">
        <f t="shared" si="1156"/>
        <v>15-Feb-1892</v>
      </c>
      <c r="R2710" s="16" t="str">
        <f t="shared" si="1158"/>
        <v/>
      </c>
      <c r="S2710" s="16" t="str">
        <f t="shared" si="1158"/>
        <v/>
      </c>
      <c r="U2710" s="46" t="str">
        <f t="shared" si="1145"/>
        <v/>
      </c>
      <c r="V2710" s="46">
        <f t="shared" si="1145"/>
        <v>0</v>
      </c>
      <c r="W2710" s="46" t="str">
        <f t="shared" si="1145"/>
        <v/>
      </c>
      <c r="X2710" s="46" t="str">
        <f t="shared" si="1145"/>
        <v/>
      </c>
    </row>
    <row r="2711" spans="2:26" x14ac:dyDescent="0.25">
      <c r="B2711" s="11" t="str">
        <f t="shared" si="1153"/>
        <v>LGSC-11APR1892</v>
      </c>
      <c r="C2711" s="11" t="s">
        <v>94</v>
      </c>
      <c r="D2711" s="11" t="s">
        <v>1699</v>
      </c>
      <c r="F2711" s="11" t="s">
        <v>1700</v>
      </c>
      <c r="G2711" s="39" t="s">
        <v>408</v>
      </c>
      <c r="H2711" s="7">
        <v>0</v>
      </c>
      <c r="I2711" s="7">
        <v>0</v>
      </c>
      <c r="J2711" s="17">
        <v>0</v>
      </c>
      <c r="K2711" s="17"/>
      <c r="L2711" s="7">
        <f t="shared" si="1154"/>
        <v>0</v>
      </c>
      <c r="M2711" s="8">
        <v>1</v>
      </c>
      <c r="N2711" s="8" t="str">
        <f t="shared" si="1155"/>
        <v/>
      </c>
      <c r="O2711" s="11" t="s">
        <v>1702</v>
      </c>
      <c r="P2711" s="16" t="str">
        <f t="shared" si="1156"/>
        <v>11-Apr-1892</v>
      </c>
      <c r="R2711" s="16" t="str">
        <f t="shared" si="1158"/>
        <v/>
      </c>
      <c r="S2711" s="16" t="str">
        <f t="shared" si="1158"/>
        <v/>
      </c>
      <c r="U2711" s="46" t="str">
        <f t="shared" si="1145"/>
        <v/>
      </c>
      <c r="V2711" s="46">
        <f t="shared" si="1145"/>
        <v>0</v>
      </c>
      <c r="W2711" s="46" t="str">
        <f t="shared" si="1145"/>
        <v/>
      </c>
      <c r="X2711" s="46" t="str">
        <f t="shared" si="1145"/>
        <v/>
      </c>
    </row>
    <row r="2712" spans="2:26" x14ac:dyDescent="0.25">
      <c r="B2712" s="11" t="str">
        <f t="shared" si="1153"/>
        <v>LGSC-16MAY1892</v>
      </c>
      <c r="C2712" s="11" t="s">
        <v>94</v>
      </c>
      <c r="D2712" s="11" t="s">
        <v>1699</v>
      </c>
      <c r="F2712" s="11" t="s">
        <v>1700</v>
      </c>
      <c r="G2712" s="39" t="s">
        <v>227</v>
      </c>
      <c r="H2712" s="7">
        <v>0</v>
      </c>
      <c r="I2712" s="7">
        <v>0</v>
      </c>
      <c r="J2712" s="17">
        <v>0</v>
      </c>
      <c r="K2712" s="17"/>
      <c r="L2712" s="7">
        <f t="shared" si="1154"/>
        <v>0</v>
      </c>
      <c r="M2712" s="8">
        <v>1</v>
      </c>
      <c r="N2712" s="8" t="str">
        <f t="shared" si="1155"/>
        <v/>
      </c>
      <c r="O2712" s="11" t="s">
        <v>1702</v>
      </c>
      <c r="P2712" s="16" t="str">
        <f t="shared" si="1156"/>
        <v>16-May-1892</v>
      </c>
      <c r="R2712" s="16" t="str">
        <f t="shared" si="1158"/>
        <v/>
      </c>
      <c r="S2712" s="16" t="str">
        <f t="shared" si="1158"/>
        <v/>
      </c>
      <c r="U2712" s="46" t="str">
        <f t="shared" si="1145"/>
        <v/>
      </c>
      <c r="V2712" s="46">
        <f t="shared" si="1145"/>
        <v>0</v>
      </c>
      <c r="W2712" s="46" t="str">
        <f t="shared" si="1145"/>
        <v/>
      </c>
      <c r="X2712" s="46" t="str">
        <f t="shared" si="1145"/>
        <v/>
      </c>
    </row>
    <row r="2713" spans="2:26" x14ac:dyDescent="0.25">
      <c r="B2713" s="11" t="str">
        <f t="shared" si="1153"/>
        <v>LGSC-27JUN1892</v>
      </c>
      <c r="C2713" s="11" t="s">
        <v>94</v>
      </c>
      <c r="D2713" s="11" t="s">
        <v>1699</v>
      </c>
      <c r="F2713" s="11" t="s">
        <v>1700</v>
      </c>
      <c r="G2713" s="39" t="s">
        <v>409</v>
      </c>
      <c r="H2713" s="7">
        <v>0</v>
      </c>
      <c r="I2713" s="7">
        <v>0</v>
      </c>
      <c r="J2713" s="17">
        <v>0</v>
      </c>
      <c r="K2713" s="17"/>
      <c r="L2713" s="7">
        <f t="shared" si="1154"/>
        <v>0</v>
      </c>
      <c r="M2713" s="8">
        <v>1</v>
      </c>
      <c r="N2713" s="8" t="str">
        <f t="shared" si="1155"/>
        <v/>
      </c>
      <c r="O2713" s="11" t="s">
        <v>1702</v>
      </c>
      <c r="P2713" s="16" t="str">
        <f t="shared" si="1156"/>
        <v>27-Jun-1892</v>
      </c>
      <c r="R2713" s="16" t="str">
        <f t="shared" si="1158"/>
        <v/>
      </c>
      <c r="S2713" s="16" t="str">
        <f t="shared" si="1158"/>
        <v/>
      </c>
      <c r="U2713" s="46" t="str">
        <f t="shared" si="1145"/>
        <v/>
      </c>
      <c r="V2713" s="46">
        <f t="shared" si="1145"/>
        <v>0</v>
      </c>
      <c r="W2713" s="46" t="str">
        <f t="shared" si="1145"/>
        <v/>
      </c>
      <c r="X2713" s="46" t="str">
        <f t="shared" si="1145"/>
        <v/>
      </c>
    </row>
    <row r="2714" spans="2:26" x14ac:dyDescent="0.25">
      <c r="B2714" s="11" t="str">
        <f t="shared" si="1153"/>
        <v>LGSC-25JUL1892</v>
      </c>
      <c r="C2714" s="11" t="s">
        <v>94</v>
      </c>
      <c r="D2714" s="11" t="s">
        <v>1699</v>
      </c>
      <c r="F2714" s="11" t="s">
        <v>1700</v>
      </c>
      <c r="G2714" s="39" t="s">
        <v>101</v>
      </c>
      <c r="H2714" s="7">
        <v>0</v>
      </c>
      <c r="I2714" s="7">
        <v>0</v>
      </c>
      <c r="J2714" s="17">
        <v>0</v>
      </c>
      <c r="K2714" s="17"/>
      <c r="L2714" s="7">
        <f t="shared" si="1154"/>
        <v>0</v>
      </c>
      <c r="M2714" s="8">
        <v>1</v>
      </c>
      <c r="N2714" s="8" t="str">
        <f t="shared" si="1155"/>
        <v/>
      </c>
      <c r="O2714" s="11" t="s">
        <v>1702</v>
      </c>
      <c r="P2714" s="16" t="str">
        <f t="shared" si="1156"/>
        <v>25-Jul-1892</v>
      </c>
      <c r="R2714" s="16" t="str">
        <f t="shared" si="1158"/>
        <v/>
      </c>
      <c r="S2714" s="16" t="str">
        <f t="shared" si="1158"/>
        <v/>
      </c>
      <c r="U2714" s="46" t="str">
        <f t="shared" si="1145"/>
        <v/>
      </c>
      <c r="V2714" s="46">
        <f t="shared" si="1145"/>
        <v>0</v>
      </c>
      <c r="W2714" s="46" t="str">
        <f t="shared" si="1145"/>
        <v/>
      </c>
      <c r="X2714" s="46" t="str">
        <f t="shared" si="1145"/>
        <v/>
      </c>
    </row>
    <row r="2715" spans="2:26" x14ac:dyDescent="0.25">
      <c r="B2715" s="11" t="str">
        <f t="shared" si="1153"/>
        <v>LGSC-03OCT1892</v>
      </c>
      <c r="C2715" s="11" t="s">
        <v>94</v>
      </c>
      <c r="D2715" s="11" t="s">
        <v>1699</v>
      </c>
      <c r="F2715" s="11" t="s">
        <v>1700</v>
      </c>
      <c r="G2715" s="39" t="s">
        <v>2114</v>
      </c>
      <c r="H2715" s="7">
        <v>0</v>
      </c>
      <c r="I2715" s="7">
        <v>0</v>
      </c>
      <c r="J2715" s="17">
        <v>0</v>
      </c>
      <c r="K2715" s="17"/>
      <c r="L2715" s="7">
        <f t="shared" si="1154"/>
        <v>0</v>
      </c>
      <c r="M2715" s="8">
        <v>1</v>
      </c>
      <c r="N2715" s="8" t="str">
        <f t="shared" si="1155"/>
        <v/>
      </c>
      <c r="O2715" s="11" t="s">
        <v>1702</v>
      </c>
      <c r="P2715" s="16" t="str">
        <f t="shared" si="1156"/>
        <v>03-Oct-1892</v>
      </c>
      <c r="R2715" s="16" t="str">
        <f t="shared" si="1158"/>
        <v/>
      </c>
      <c r="S2715" s="16" t="str">
        <f t="shared" si="1158"/>
        <v/>
      </c>
      <c r="U2715" s="46" t="str">
        <f t="shared" si="1145"/>
        <v/>
      </c>
      <c r="V2715" s="46">
        <f t="shared" si="1145"/>
        <v>0</v>
      </c>
      <c r="W2715" s="46" t="str">
        <f t="shared" si="1145"/>
        <v/>
      </c>
      <c r="X2715" s="46" t="str">
        <f t="shared" si="1145"/>
        <v/>
      </c>
    </row>
    <row r="2716" spans="2:26" x14ac:dyDescent="0.25">
      <c r="B2716" s="11" t="str">
        <f t="shared" si="1153"/>
        <v>LGSC-31OCT1892</v>
      </c>
      <c r="C2716" s="11" t="s">
        <v>94</v>
      </c>
      <c r="D2716" s="11" t="s">
        <v>1699</v>
      </c>
      <c r="F2716" s="11" t="s">
        <v>1700</v>
      </c>
      <c r="G2716" s="39" t="s">
        <v>410</v>
      </c>
      <c r="H2716" s="7">
        <v>0</v>
      </c>
      <c r="I2716" s="7">
        <v>0</v>
      </c>
      <c r="J2716" s="17">
        <v>0</v>
      </c>
      <c r="K2716" s="17"/>
      <c r="L2716" s="7">
        <f t="shared" si="1154"/>
        <v>0</v>
      </c>
      <c r="M2716" s="8">
        <v>1</v>
      </c>
      <c r="N2716" s="8" t="str">
        <f t="shared" si="1155"/>
        <v/>
      </c>
      <c r="O2716" s="11" t="s">
        <v>1702</v>
      </c>
      <c r="P2716" s="16" t="str">
        <f t="shared" si="1156"/>
        <v>31-Oct-1892</v>
      </c>
      <c r="R2716" s="16" t="str">
        <f t="shared" si="1158"/>
        <v/>
      </c>
      <c r="S2716" s="16" t="str">
        <f t="shared" si="1158"/>
        <v/>
      </c>
      <c r="U2716" s="46" t="str">
        <f t="shared" si="1145"/>
        <v/>
      </c>
      <c r="V2716" s="46">
        <f t="shared" si="1145"/>
        <v>0</v>
      </c>
      <c r="W2716" s="46" t="str">
        <f t="shared" si="1145"/>
        <v/>
      </c>
      <c r="X2716" s="46" t="str">
        <f t="shared" si="1145"/>
        <v/>
      </c>
    </row>
    <row r="2717" spans="2:26" x14ac:dyDescent="0.25">
      <c r="B2717" s="11" t="str">
        <f t="shared" si="1153"/>
        <v>LGSC-28NOV1892</v>
      </c>
      <c r="C2717" s="11" t="s">
        <v>94</v>
      </c>
      <c r="D2717" s="11" t="s">
        <v>1699</v>
      </c>
      <c r="F2717" s="11" t="s">
        <v>1700</v>
      </c>
      <c r="G2717" s="39" t="s">
        <v>411</v>
      </c>
      <c r="H2717" s="7">
        <v>0</v>
      </c>
      <c r="I2717" s="7">
        <v>0</v>
      </c>
      <c r="J2717" s="17">
        <v>0</v>
      </c>
      <c r="K2717" s="17"/>
      <c r="L2717" s="7">
        <f t="shared" si="1154"/>
        <v>0</v>
      </c>
      <c r="M2717" s="8">
        <v>1</v>
      </c>
      <c r="N2717" s="8" t="str">
        <f t="shared" si="1155"/>
        <v/>
      </c>
      <c r="O2717" s="11" t="s">
        <v>1702</v>
      </c>
      <c r="P2717" s="16" t="str">
        <f t="shared" si="1156"/>
        <v>28-Nov-1892</v>
      </c>
      <c r="R2717" s="16" t="str">
        <f t="shared" si="1158"/>
        <v/>
      </c>
      <c r="S2717" s="16" t="str">
        <f t="shared" si="1158"/>
        <v/>
      </c>
      <c r="U2717" s="46" t="str">
        <f t="shared" si="1145"/>
        <v/>
      </c>
      <c r="V2717" s="46">
        <f t="shared" si="1145"/>
        <v>0</v>
      </c>
      <c r="W2717" s="46" t="str">
        <f t="shared" si="1145"/>
        <v/>
      </c>
      <c r="X2717" s="46" t="str">
        <f t="shared" si="1145"/>
        <v/>
      </c>
    </row>
    <row r="2718" spans="2:26" x14ac:dyDescent="0.25">
      <c r="B2718" s="11" t="str">
        <f t="shared" si="1153"/>
        <v>LGSC-02JAN1893</v>
      </c>
      <c r="C2718" s="11" t="s">
        <v>94</v>
      </c>
      <c r="D2718" s="11" t="s">
        <v>1699</v>
      </c>
      <c r="E2718" s="39" t="s">
        <v>424</v>
      </c>
      <c r="F2718" s="11" t="s">
        <v>1700</v>
      </c>
      <c r="G2718" s="39" t="s">
        <v>412</v>
      </c>
      <c r="H2718" s="7">
        <v>0</v>
      </c>
      <c r="I2718" s="7">
        <v>0</v>
      </c>
      <c r="J2718" s="17">
        <v>0</v>
      </c>
      <c r="K2718" s="17"/>
      <c r="L2718" s="7">
        <f t="shared" si="1154"/>
        <v>0</v>
      </c>
      <c r="M2718" s="8">
        <v>1</v>
      </c>
      <c r="N2718" s="8" t="str">
        <f t="shared" si="1155"/>
        <v/>
      </c>
      <c r="O2718" s="11" t="s">
        <v>1702</v>
      </c>
      <c r="P2718" s="16" t="str">
        <f t="shared" si="1156"/>
        <v>02-Jan-1893</v>
      </c>
      <c r="R2718" s="16" t="str">
        <f t="shared" si="1158"/>
        <v/>
      </c>
      <c r="S2718" s="16" t="str">
        <f t="shared" si="1158"/>
        <v/>
      </c>
      <c r="U2718" s="46" t="str">
        <f t="shared" si="1145"/>
        <v/>
      </c>
      <c r="V2718" s="46">
        <f t="shared" si="1145"/>
        <v>0</v>
      </c>
      <c r="W2718" s="46" t="str">
        <f t="shared" si="1145"/>
        <v/>
      </c>
      <c r="X2718" s="46" t="str">
        <f t="shared" si="1145"/>
        <v/>
      </c>
    </row>
    <row r="2719" spans="2:26" x14ac:dyDescent="0.25">
      <c r="B2719" s="11" t="str">
        <f t="shared" si="1153"/>
        <v>LGSC-30JAN1893</v>
      </c>
      <c r="C2719" s="11" t="s">
        <v>94</v>
      </c>
      <c r="D2719" s="11" t="s">
        <v>1699</v>
      </c>
      <c r="F2719" s="11" t="s">
        <v>1700</v>
      </c>
      <c r="G2719" s="39" t="s">
        <v>413</v>
      </c>
      <c r="H2719" s="7">
        <v>0</v>
      </c>
      <c r="I2719" s="7">
        <v>0</v>
      </c>
      <c r="J2719" s="17">
        <v>0</v>
      </c>
      <c r="K2719" s="17"/>
      <c r="L2719" s="7">
        <f t="shared" si="1154"/>
        <v>0</v>
      </c>
      <c r="M2719" s="8">
        <v>1</v>
      </c>
      <c r="N2719" s="8" t="str">
        <f t="shared" si="1155"/>
        <v/>
      </c>
      <c r="O2719" s="11" t="s">
        <v>1702</v>
      </c>
      <c r="P2719" s="16" t="str">
        <f t="shared" si="1156"/>
        <v>30-Jan-1893</v>
      </c>
      <c r="R2719" s="16" t="str">
        <f t="shared" si="1158"/>
        <v/>
      </c>
      <c r="S2719" s="16" t="str">
        <f t="shared" si="1158"/>
        <v/>
      </c>
      <c r="U2719" s="46" t="str">
        <f t="shared" si="1145"/>
        <v/>
      </c>
      <c r="V2719" s="46">
        <f t="shared" si="1145"/>
        <v>0</v>
      </c>
      <c r="W2719" s="46" t="str">
        <f t="shared" si="1145"/>
        <v/>
      </c>
      <c r="X2719" s="46" t="str">
        <f t="shared" si="1145"/>
        <v/>
      </c>
    </row>
    <row r="2720" spans="2:26" x14ac:dyDescent="0.25">
      <c r="B2720" s="11" t="str">
        <f t="shared" si="1153"/>
        <v>LGSC-27FEB1893</v>
      </c>
      <c r="C2720" s="11" t="s">
        <v>94</v>
      </c>
      <c r="D2720" s="11" t="s">
        <v>1699</v>
      </c>
      <c r="F2720" s="11" t="s">
        <v>1700</v>
      </c>
      <c r="G2720" s="39" t="s">
        <v>414</v>
      </c>
      <c r="H2720" s="7">
        <v>0</v>
      </c>
      <c r="I2720" s="7">
        <v>0</v>
      </c>
      <c r="J2720" s="17">
        <v>0</v>
      </c>
      <c r="K2720" s="17"/>
      <c r="L2720" s="7">
        <f t="shared" si="1154"/>
        <v>0</v>
      </c>
      <c r="M2720" s="8">
        <v>1</v>
      </c>
      <c r="N2720" s="8" t="str">
        <f t="shared" si="1155"/>
        <v/>
      </c>
      <c r="O2720" s="11" t="s">
        <v>1702</v>
      </c>
      <c r="P2720" s="16" t="str">
        <f t="shared" si="1156"/>
        <v>27-Feb-1893</v>
      </c>
      <c r="R2720" s="16" t="str">
        <f t="shared" si="1158"/>
        <v/>
      </c>
      <c r="S2720" s="16" t="str">
        <f t="shared" si="1158"/>
        <v/>
      </c>
      <c r="T2720" s="11"/>
      <c r="U2720" s="46" t="str">
        <f t="shared" si="1145"/>
        <v/>
      </c>
      <c r="V2720" s="46">
        <f t="shared" si="1145"/>
        <v>0</v>
      </c>
      <c r="W2720" s="46" t="str">
        <f t="shared" si="1145"/>
        <v/>
      </c>
      <c r="X2720" s="46" t="str">
        <f t="shared" si="1145"/>
        <v/>
      </c>
    </row>
    <row r="2721" spans="2:24" x14ac:dyDescent="0.25">
      <c r="B2721" s="11" t="str">
        <f t="shared" si="1153"/>
        <v>LGSC-10APR1893</v>
      </c>
      <c r="C2721" s="11" t="s">
        <v>94</v>
      </c>
      <c r="D2721" s="11" t="s">
        <v>1699</v>
      </c>
      <c r="F2721" s="11" t="s">
        <v>1700</v>
      </c>
      <c r="G2721" s="39" t="s">
        <v>415</v>
      </c>
      <c r="H2721" s="7">
        <v>0</v>
      </c>
      <c r="I2721" s="7">
        <v>0</v>
      </c>
      <c r="J2721" s="17">
        <v>0</v>
      </c>
      <c r="K2721" s="17"/>
      <c r="L2721" s="7">
        <f t="shared" si="1154"/>
        <v>0</v>
      </c>
      <c r="M2721" s="8">
        <v>1</v>
      </c>
      <c r="N2721" s="8" t="str">
        <f t="shared" si="1155"/>
        <v/>
      </c>
      <c r="O2721" s="11" t="s">
        <v>1702</v>
      </c>
      <c r="P2721" s="16" t="str">
        <f t="shared" si="1156"/>
        <v>10-Apr-1893</v>
      </c>
      <c r="R2721" s="16" t="str">
        <f t="shared" si="1158"/>
        <v/>
      </c>
      <c r="S2721" s="16" t="str">
        <f t="shared" si="1158"/>
        <v/>
      </c>
      <c r="T2721" s="11"/>
      <c r="U2721" s="46" t="str">
        <f t="shared" si="1145"/>
        <v/>
      </c>
      <c r="V2721" s="46">
        <f t="shared" si="1145"/>
        <v>0</v>
      </c>
      <c r="W2721" s="46" t="str">
        <f t="shared" si="1145"/>
        <v/>
      </c>
      <c r="X2721" s="46" t="str">
        <f t="shared" si="1145"/>
        <v/>
      </c>
    </row>
    <row r="2722" spans="2:24" x14ac:dyDescent="0.25">
      <c r="B2722" s="11" t="str">
        <f t="shared" ref="B2722:B2732" si="1159">CONCATENATE("LGSC","-",LEFT(P2722,2),UPPER(MID(P2722,4,3)),RIGHT(P2722,4))</f>
        <v>LGSC-08MAY1893</v>
      </c>
      <c r="C2722" s="11" t="s">
        <v>94</v>
      </c>
      <c r="D2722" s="11" t="s">
        <v>1699</v>
      </c>
      <c r="F2722" s="11" t="s">
        <v>1700</v>
      </c>
      <c r="G2722" s="39" t="s">
        <v>416</v>
      </c>
      <c r="H2722" s="7">
        <v>0</v>
      </c>
      <c r="I2722" s="7">
        <v>0</v>
      </c>
      <c r="J2722" s="17">
        <v>0</v>
      </c>
      <c r="K2722" s="17"/>
      <c r="L2722" s="7">
        <f t="shared" ref="L2722:L2732" si="1160">SUM(H2722:K2722)</f>
        <v>0</v>
      </c>
      <c r="M2722" s="8">
        <v>1</v>
      </c>
      <c r="N2722" s="8" t="str">
        <f t="shared" ref="N2722:N2732" si="1161">IF(L2722&gt;0,1,"")</f>
        <v/>
      </c>
      <c r="O2722" s="11" t="s">
        <v>1702</v>
      </c>
      <c r="P2722" s="16" t="str">
        <f t="shared" ref="P2722:P2732" si="1162">IF(LEN(G2722)=10,CONCATENATE("0",G2722),G2722)</f>
        <v>08-May-1893</v>
      </c>
      <c r="R2722" s="16" t="str">
        <f t="shared" si="1158"/>
        <v/>
      </c>
      <c r="S2722" s="16" t="str">
        <f t="shared" si="1158"/>
        <v/>
      </c>
      <c r="T2722" s="11"/>
      <c r="U2722" s="46" t="str">
        <f t="shared" si="1145"/>
        <v/>
      </c>
      <c r="V2722" s="46">
        <f t="shared" si="1145"/>
        <v>0</v>
      </c>
      <c r="W2722" s="46" t="str">
        <f t="shared" si="1145"/>
        <v/>
      </c>
      <c r="X2722" s="46" t="str">
        <f t="shared" si="1145"/>
        <v/>
      </c>
    </row>
    <row r="2723" spans="2:24" x14ac:dyDescent="0.25">
      <c r="B2723" s="11" t="str">
        <f t="shared" si="1159"/>
        <v>LGSC-11SEP1893</v>
      </c>
      <c r="C2723" s="11" t="s">
        <v>94</v>
      </c>
      <c r="D2723" s="11" t="s">
        <v>1699</v>
      </c>
      <c r="F2723" s="11" t="s">
        <v>1700</v>
      </c>
      <c r="G2723" s="39" t="s">
        <v>417</v>
      </c>
      <c r="H2723" s="7">
        <v>0</v>
      </c>
      <c r="I2723" s="7">
        <v>0</v>
      </c>
      <c r="J2723" s="17">
        <v>0</v>
      </c>
      <c r="K2723" s="17"/>
      <c r="L2723" s="7">
        <f t="shared" si="1160"/>
        <v>0</v>
      </c>
      <c r="M2723" s="8">
        <v>1</v>
      </c>
      <c r="N2723" s="8" t="str">
        <f t="shared" si="1161"/>
        <v/>
      </c>
      <c r="O2723" s="11" t="s">
        <v>1702</v>
      </c>
      <c r="P2723" s="16" t="str">
        <f t="shared" si="1162"/>
        <v>11-Sep-1893</v>
      </c>
      <c r="R2723" s="16" t="str">
        <f t="shared" si="1158"/>
        <v/>
      </c>
      <c r="S2723" s="16" t="str">
        <f t="shared" si="1158"/>
        <v/>
      </c>
      <c r="T2723" s="11"/>
      <c r="U2723" s="46" t="str">
        <f t="shared" si="1145"/>
        <v/>
      </c>
      <c r="V2723" s="46">
        <f t="shared" si="1145"/>
        <v>0</v>
      </c>
      <c r="W2723" s="46" t="str">
        <f t="shared" si="1145"/>
        <v/>
      </c>
      <c r="X2723" s="46" t="str">
        <f t="shared" si="1145"/>
        <v/>
      </c>
    </row>
    <row r="2724" spans="2:24" x14ac:dyDescent="0.25">
      <c r="B2724" s="11" t="str">
        <f t="shared" si="1159"/>
        <v>LGSC-09OCT1893</v>
      </c>
      <c r="C2724" s="11" t="s">
        <v>94</v>
      </c>
      <c r="D2724" s="11" t="s">
        <v>1699</v>
      </c>
      <c r="F2724" s="11" t="s">
        <v>1700</v>
      </c>
      <c r="G2724" s="39" t="s">
        <v>418</v>
      </c>
      <c r="H2724" s="7">
        <v>0</v>
      </c>
      <c r="I2724" s="7">
        <v>0</v>
      </c>
      <c r="J2724" s="17">
        <v>0</v>
      </c>
      <c r="K2724" s="17"/>
      <c r="L2724" s="7">
        <f t="shared" si="1160"/>
        <v>0</v>
      </c>
      <c r="M2724" s="8">
        <v>1</v>
      </c>
      <c r="N2724" s="8" t="str">
        <f t="shared" si="1161"/>
        <v/>
      </c>
      <c r="O2724" s="11" t="s">
        <v>1702</v>
      </c>
      <c r="P2724" s="16" t="str">
        <f t="shared" si="1162"/>
        <v>09-Oct-1893</v>
      </c>
      <c r="R2724" s="16" t="str">
        <f t="shared" si="1158"/>
        <v/>
      </c>
      <c r="S2724" s="16" t="str">
        <f t="shared" si="1158"/>
        <v/>
      </c>
      <c r="T2724" s="11"/>
      <c r="U2724" s="46" t="str">
        <f t="shared" si="1145"/>
        <v/>
      </c>
      <c r="V2724" s="46">
        <f t="shared" si="1145"/>
        <v>0</v>
      </c>
      <c r="W2724" s="46" t="str">
        <f t="shared" si="1145"/>
        <v/>
      </c>
      <c r="X2724" s="46" t="str">
        <f t="shared" si="1145"/>
        <v/>
      </c>
    </row>
    <row r="2725" spans="2:24" x14ac:dyDescent="0.25">
      <c r="B2725" s="11" t="str">
        <f t="shared" si="1159"/>
        <v>LGSC-06NOV1893</v>
      </c>
      <c r="C2725" s="11" t="s">
        <v>94</v>
      </c>
      <c r="D2725" s="11" t="s">
        <v>1699</v>
      </c>
      <c r="F2725" s="11" t="s">
        <v>1700</v>
      </c>
      <c r="G2725" s="39" t="s">
        <v>419</v>
      </c>
      <c r="H2725" s="7">
        <v>0</v>
      </c>
      <c r="I2725" s="7">
        <v>0</v>
      </c>
      <c r="J2725" s="17">
        <v>0</v>
      </c>
      <c r="K2725" s="17"/>
      <c r="L2725" s="7">
        <f t="shared" si="1160"/>
        <v>0</v>
      </c>
      <c r="M2725" s="8">
        <v>1</v>
      </c>
      <c r="N2725" s="8" t="str">
        <f t="shared" si="1161"/>
        <v/>
      </c>
      <c r="O2725" s="11" t="s">
        <v>1702</v>
      </c>
      <c r="P2725" s="16" t="str">
        <f t="shared" si="1162"/>
        <v>06-Nov-1893</v>
      </c>
      <c r="R2725" s="16" t="str">
        <f t="shared" si="1158"/>
        <v/>
      </c>
      <c r="S2725" s="16" t="str">
        <f t="shared" si="1158"/>
        <v/>
      </c>
      <c r="T2725" s="11"/>
      <c r="U2725" s="46" t="str">
        <f t="shared" si="1145"/>
        <v/>
      </c>
      <c r="V2725" s="46">
        <f t="shared" si="1145"/>
        <v>0</v>
      </c>
      <c r="W2725" s="46" t="str">
        <f t="shared" si="1145"/>
        <v/>
      </c>
      <c r="X2725" s="46" t="str">
        <f t="shared" si="1145"/>
        <v/>
      </c>
    </row>
    <row r="2726" spans="2:24" x14ac:dyDescent="0.25">
      <c r="B2726" s="11" t="str">
        <f t="shared" si="1159"/>
        <v>LGSC-11DEC1893</v>
      </c>
      <c r="C2726" s="11" t="s">
        <v>94</v>
      </c>
      <c r="D2726" s="11" t="s">
        <v>1699</v>
      </c>
      <c r="F2726" s="11" t="s">
        <v>1700</v>
      </c>
      <c r="G2726" s="39" t="s">
        <v>420</v>
      </c>
      <c r="H2726" s="7">
        <v>0</v>
      </c>
      <c r="I2726" s="7">
        <v>0</v>
      </c>
      <c r="J2726" s="17">
        <v>0</v>
      </c>
      <c r="K2726" s="17"/>
      <c r="L2726" s="7">
        <f t="shared" si="1160"/>
        <v>0</v>
      </c>
      <c r="M2726" s="8">
        <v>1</v>
      </c>
      <c r="N2726" s="8" t="str">
        <f t="shared" si="1161"/>
        <v/>
      </c>
      <c r="O2726" s="11" t="s">
        <v>1702</v>
      </c>
      <c r="P2726" s="16" t="str">
        <f t="shared" si="1162"/>
        <v>11-Dec-1893</v>
      </c>
      <c r="R2726" s="16" t="str">
        <f t="shared" si="1158"/>
        <v/>
      </c>
      <c r="S2726" s="16" t="str">
        <f t="shared" si="1158"/>
        <v/>
      </c>
      <c r="T2726" s="11"/>
      <c r="U2726" s="46" t="str">
        <f t="shared" si="1145"/>
        <v/>
      </c>
      <c r="V2726" s="46">
        <f t="shared" si="1145"/>
        <v>0</v>
      </c>
      <c r="W2726" s="46" t="str">
        <f t="shared" si="1145"/>
        <v/>
      </c>
      <c r="X2726" s="46" t="str">
        <f t="shared" si="1145"/>
        <v/>
      </c>
    </row>
    <row r="2727" spans="2:24" x14ac:dyDescent="0.25">
      <c r="B2727" s="11" t="str">
        <f t="shared" si="1159"/>
        <v>LGSC-08JAN1894</v>
      </c>
      <c r="C2727" s="11" t="s">
        <v>94</v>
      </c>
      <c r="D2727" s="11" t="s">
        <v>1699</v>
      </c>
      <c r="F2727" s="11" t="s">
        <v>1700</v>
      </c>
      <c r="G2727" s="39" t="s">
        <v>421</v>
      </c>
      <c r="H2727" s="7">
        <v>0</v>
      </c>
      <c r="I2727" s="7">
        <v>0</v>
      </c>
      <c r="J2727" s="17">
        <v>0</v>
      </c>
      <c r="K2727" s="17"/>
      <c r="L2727" s="7">
        <f t="shared" si="1160"/>
        <v>0</v>
      </c>
      <c r="M2727" s="8">
        <v>1</v>
      </c>
      <c r="N2727" s="8" t="str">
        <f t="shared" si="1161"/>
        <v/>
      </c>
      <c r="O2727" s="11" t="s">
        <v>1702</v>
      </c>
      <c r="P2727" s="16" t="str">
        <f t="shared" si="1162"/>
        <v>08-Jan-1894</v>
      </c>
      <c r="R2727" s="16" t="str">
        <f t="shared" si="1158"/>
        <v/>
      </c>
      <c r="S2727" s="16" t="str">
        <f t="shared" si="1158"/>
        <v/>
      </c>
      <c r="T2727" s="11"/>
      <c r="U2727" s="46" t="str">
        <f t="shared" si="1145"/>
        <v/>
      </c>
      <c r="V2727" s="46">
        <f t="shared" si="1145"/>
        <v>0</v>
      </c>
      <c r="W2727" s="46" t="str">
        <f t="shared" si="1145"/>
        <v/>
      </c>
      <c r="X2727" s="46" t="str">
        <f t="shared" si="1145"/>
        <v/>
      </c>
    </row>
    <row r="2728" spans="2:24" x14ac:dyDescent="0.25">
      <c r="B2728" s="11" t="str">
        <f t="shared" si="1159"/>
        <v>LGSC-06FEB1894</v>
      </c>
      <c r="C2728" s="11" t="s">
        <v>94</v>
      </c>
      <c r="D2728" s="11" t="s">
        <v>1699</v>
      </c>
      <c r="F2728" s="11" t="s">
        <v>1700</v>
      </c>
      <c r="G2728" s="39" t="s">
        <v>422</v>
      </c>
      <c r="H2728" s="7">
        <v>0</v>
      </c>
      <c r="I2728" s="7">
        <v>0</v>
      </c>
      <c r="J2728" s="17">
        <v>0</v>
      </c>
      <c r="K2728" s="17"/>
      <c r="L2728" s="7">
        <f t="shared" si="1160"/>
        <v>0</v>
      </c>
      <c r="M2728" s="8">
        <v>1</v>
      </c>
      <c r="N2728" s="8" t="str">
        <f t="shared" si="1161"/>
        <v/>
      </c>
      <c r="O2728" s="11" t="s">
        <v>1702</v>
      </c>
      <c r="P2728" s="16" t="str">
        <f t="shared" si="1162"/>
        <v>06-Feb-1894</v>
      </c>
      <c r="R2728" s="16" t="str">
        <f t="shared" si="1158"/>
        <v/>
      </c>
      <c r="S2728" s="16" t="str">
        <f t="shared" si="1158"/>
        <v/>
      </c>
      <c r="T2728" s="11"/>
      <c r="U2728" s="46" t="str">
        <f t="shared" si="1145"/>
        <v/>
      </c>
      <c r="V2728" s="46">
        <f t="shared" si="1145"/>
        <v>0</v>
      </c>
      <c r="W2728" s="46" t="str">
        <f t="shared" si="1145"/>
        <v/>
      </c>
      <c r="X2728" s="46" t="str">
        <f t="shared" si="1145"/>
        <v/>
      </c>
    </row>
    <row r="2729" spans="2:24" x14ac:dyDescent="0.25">
      <c r="B2729" s="11" t="str">
        <f t="shared" si="1159"/>
        <v>LGSC-05MAR1894</v>
      </c>
      <c r="C2729" s="11" t="s">
        <v>94</v>
      </c>
      <c r="D2729" s="11" t="s">
        <v>1699</v>
      </c>
      <c r="F2729" s="11" t="s">
        <v>1700</v>
      </c>
      <c r="G2729" s="39" t="s">
        <v>146</v>
      </c>
      <c r="H2729" s="7">
        <v>0</v>
      </c>
      <c r="I2729" s="7">
        <v>0</v>
      </c>
      <c r="J2729" s="17">
        <v>0</v>
      </c>
      <c r="K2729" s="17"/>
      <c r="L2729" s="7">
        <f t="shared" si="1160"/>
        <v>0</v>
      </c>
      <c r="M2729" s="8">
        <v>1</v>
      </c>
      <c r="N2729" s="8" t="str">
        <f t="shared" si="1161"/>
        <v/>
      </c>
      <c r="O2729" s="11" t="s">
        <v>1702</v>
      </c>
      <c r="P2729" s="16" t="str">
        <f t="shared" si="1162"/>
        <v>05-Mar-1894</v>
      </c>
      <c r="R2729" s="16" t="str">
        <f t="shared" si="1158"/>
        <v/>
      </c>
      <c r="S2729" s="16" t="str">
        <f t="shared" si="1158"/>
        <v/>
      </c>
      <c r="T2729" s="11"/>
      <c r="U2729" s="46" t="str">
        <f t="shared" si="1145"/>
        <v/>
      </c>
      <c r="V2729" s="46">
        <f t="shared" si="1145"/>
        <v>0</v>
      </c>
      <c r="W2729" s="46" t="str">
        <f t="shared" si="1145"/>
        <v/>
      </c>
      <c r="X2729" s="46" t="str">
        <f t="shared" si="1145"/>
        <v/>
      </c>
    </row>
    <row r="2730" spans="2:24" x14ac:dyDescent="0.25">
      <c r="B2730" s="11" t="str">
        <f t="shared" si="1159"/>
        <v>LGSC-09APR1894</v>
      </c>
      <c r="C2730" s="11" t="s">
        <v>94</v>
      </c>
      <c r="D2730" s="11" t="s">
        <v>1699</v>
      </c>
      <c r="F2730" s="11" t="s">
        <v>1700</v>
      </c>
      <c r="G2730" s="39" t="s">
        <v>423</v>
      </c>
      <c r="H2730" s="7">
        <v>0</v>
      </c>
      <c r="I2730" s="7">
        <v>0</v>
      </c>
      <c r="J2730" s="17">
        <v>0</v>
      </c>
      <c r="K2730" s="17"/>
      <c r="L2730" s="7">
        <f t="shared" si="1160"/>
        <v>0</v>
      </c>
      <c r="M2730" s="8">
        <v>1</v>
      </c>
      <c r="N2730" s="8" t="str">
        <f t="shared" si="1161"/>
        <v/>
      </c>
      <c r="O2730" s="11" t="s">
        <v>1702</v>
      </c>
      <c r="P2730" s="16" t="str">
        <f t="shared" si="1162"/>
        <v>09-Apr-1894</v>
      </c>
      <c r="R2730" s="16" t="str">
        <f t="shared" si="1158"/>
        <v/>
      </c>
      <c r="S2730" s="16" t="str">
        <f t="shared" si="1158"/>
        <v/>
      </c>
      <c r="T2730" s="11"/>
      <c r="U2730" s="46" t="str">
        <f t="shared" si="1145"/>
        <v/>
      </c>
      <c r="V2730" s="46">
        <f t="shared" si="1145"/>
        <v>0</v>
      </c>
      <c r="W2730" s="46" t="str">
        <f t="shared" si="1145"/>
        <v/>
      </c>
      <c r="X2730" s="46" t="str">
        <f t="shared" si="1145"/>
        <v/>
      </c>
    </row>
    <row r="2731" spans="2:24" x14ac:dyDescent="0.25">
      <c r="B2731" s="11" t="str">
        <f t="shared" si="1159"/>
        <v>LGSC-02JAN1895</v>
      </c>
      <c r="C2731" s="11" t="s">
        <v>94</v>
      </c>
      <c r="D2731" s="11" t="s">
        <v>1699</v>
      </c>
      <c r="F2731" s="11" t="s">
        <v>1700</v>
      </c>
      <c r="G2731" s="39" t="s">
        <v>425</v>
      </c>
      <c r="H2731" s="7">
        <v>0</v>
      </c>
      <c r="I2731" s="7">
        <v>0</v>
      </c>
      <c r="J2731" s="17">
        <v>0</v>
      </c>
      <c r="K2731" s="17"/>
      <c r="L2731" s="7">
        <f t="shared" si="1160"/>
        <v>0</v>
      </c>
      <c r="M2731" s="8">
        <v>1</v>
      </c>
      <c r="N2731" s="8" t="str">
        <f t="shared" si="1161"/>
        <v/>
      </c>
      <c r="O2731" s="11" t="s">
        <v>1702</v>
      </c>
      <c r="P2731" s="16" t="str">
        <f t="shared" si="1162"/>
        <v>02-Jan-1895</v>
      </c>
      <c r="R2731" s="16" t="str">
        <f t="shared" si="1158"/>
        <v/>
      </c>
      <c r="S2731" s="16" t="str">
        <f t="shared" si="1158"/>
        <v/>
      </c>
      <c r="T2731" s="11"/>
      <c r="U2731" s="46" t="str">
        <f t="shared" si="1145"/>
        <v/>
      </c>
      <c r="V2731" s="46">
        <f t="shared" si="1145"/>
        <v>0</v>
      </c>
      <c r="W2731" s="46" t="str">
        <f t="shared" si="1145"/>
        <v/>
      </c>
      <c r="X2731" s="46" t="str">
        <f t="shared" si="1145"/>
        <v/>
      </c>
    </row>
    <row r="2732" spans="2:24" x14ac:dyDescent="0.25">
      <c r="B2732" s="11" t="str">
        <f t="shared" si="1159"/>
        <v>LGSC-12FEB1895</v>
      </c>
      <c r="C2732" s="11" t="s">
        <v>94</v>
      </c>
      <c r="D2732" s="11" t="s">
        <v>1699</v>
      </c>
      <c r="F2732" s="11" t="s">
        <v>1700</v>
      </c>
      <c r="G2732" s="39" t="s">
        <v>151</v>
      </c>
      <c r="H2732" s="7">
        <v>0</v>
      </c>
      <c r="I2732" s="7">
        <v>0</v>
      </c>
      <c r="J2732" s="17">
        <v>0</v>
      </c>
      <c r="K2732" s="17"/>
      <c r="L2732" s="7">
        <f t="shared" si="1160"/>
        <v>0</v>
      </c>
      <c r="M2732" s="8">
        <v>1</v>
      </c>
      <c r="N2732" s="8" t="str">
        <f t="shared" si="1161"/>
        <v/>
      </c>
      <c r="O2732" s="11" t="s">
        <v>1702</v>
      </c>
      <c r="P2732" s="16" t="str">
        <f t="shared" si="1162"/>
        <v>12-Feb-1895</v>
      </c>
      <c r="R2732" s="16" t="str">
        <f t="shared" si="1158"/>
        <v/>
      </c>
      <c r="S2732" s="16" t="str">
        <f t="shared" si="1158"/>
        <v/>
      </c>
      <c r="T2732" s="11"/>
      <c r="U2732" s="46" t="str">
        <f t="shared" si="1145"/>
        <v/>
      </c>
      <c r="V2732" s="46">
        <f t="shared" si="1145"/>
        <v>0</v>
      </c>
      <c r="W2732" s="46" t="str">
        <f t="shared" si="1145"/>
        <v/>
      </c>
      <c r="X2732" s="46" t="str">
        <f t="shared" si="1145"/>
        <v/>
      </c>
    </row>
    <row r="2733" spans="2:24" x14ac:dyDescent="0.25">
      <c r="B2733" s="11" t="str">
        <f>CONCATENATE("LGSC","-",LEFT(P2733,2),UPPER(MID(P2733,4,3)),RIGHT(P2733,4))</f>
        <v>LGSC-18MAR1895</v>
      </c>
      <c r="C2733" s="11" t="s">
        <v>94</v>
      </c>
      <c r="D2733" s="11" t="s">
        <v>1699</v>
      </c>
      <c r="F2733" s="11" t="s">
        <v>1700</v>
      </c>
      <c r="G2733" s="39" t="s">
        <v>426</v>
      </c>
      <c r="H2733" s="7">
        <v>0</v>
      </c>
      <c r="I2733" s="7">
        <v>0</v>
      </c>
      <c r="J2733" s="17">
        <v>0</v>
      </c>
      <c r="K2733" s="17"/>
      <c r="L2733" s="7">
        <f>SUM(H2733:K2733)</f>
        <v>0</v>
      </c>
      <c r="M2733" s="8">
        <v>1</v>
      </c>
      <c r="N2733" s="8" t="str">
        <f>IF(L2733&gt;0,1,"")</f>
        <v/>
      </c>
      <c r="O2733" s="11" t="s">
        <v>1702</v>
      </c>
      <c r="P2733" s="16" t="str">
        <f>IF(LEN(G2733)=10,CONCATENATE("0",G2733),G2733)</f>
        <v>18-Mar-1895</v>
      </c>
      <c r="R2733" s="16" t="str">
        <f t="shared" si="1158"/>
        <v/>
      </c>
      <c r="S2733" s="16" t="str">
        <f t="shared" si="1158"/>
        <v/>
      </c>
      <c r="T2733" s="11"/>
      <c r="U2733" s="46" t="str">
        <f t="shared" si="1145"/>
        <v/>
      </c>
      <c r="V2733" s="46">
        <f t="shared" si="1145"/>
        <v>0</v>
      </c>
      <c r="W2733" s="46" t="str">
        <f t="shared" si="1145"/>
        <v/>
      </c>
      <c r="X2733" s="46" t="str">
        <f t="shared" si="1145"/>
        <v/>
      </c>
    </row>
    <row r="2734" spans="2:24" x14ac:dyDescent="0.25">
      <c r="B2734" s="11" t="str">
        <f t="shared" ref="B2734:B2744" si="1163">CONCATENATE("LGSC","-",LEFT(P2734,2),UPPER(MID(P2734,4,3)),RIGHT(P2734,4))</f>
        <v>LGSC-15APR1895</v>
      </c>
      <c r="C2734" s="11" t="s">
        <v>94</v>
      </c>
      <c r="D2734" s="11" t="s">
        <v>1699</v>
      </c>
      <c r="F2734" s="11" t="s">
        <v>1700</v>
      </c>
      <c r="G2734" s="39" t="s">
        <v>427</v>
      </c>
      <c r="H2734" s="7">
        <v>0</v>
      </c>
      <c r="I2734" s="7">
        <v>0</v>
      </c>
      <c r="J2734" s="17">
        <v>2</v>
      </c>
      <c r="K2734" s="17"/>
      <c r="L2734" s="7">
        <f t="shared" ref="L2734:L2744" si="1164">SUM(H2734:K2734)</f>
        <v>2</v>
      </c>
      <c r="M2734" s="8">
        <v>1</v>
      </c>
      <c r="N2734" s="8">
        <f t="shared" ref="N2734:N2744" si="1165">IF(L2734&gt;0,1,"")</f>
        <v>1</v>
      </c>
      <c r="O2734" s="11" t="s">
        <v>1702</v>
      </c>
      <c r="P2734" s="16" t="str">
        <f t="shared" ref="P2734:P2744" si="1166">IF(LEN(G2734)=10,CONCATENATE("0",G2734),G2734)</f>
        <v>15-Apr-1895</v>
      </c>
      <c r="R2734" s="16" t="str">
        <f t="shared" si="1158"/>
        <v>x</v>
      </c>
      <c r="S2734" s="16" t="str">
        <f t="shared" si="1158"/>
        <v>x</v>
      </c>
      <c r="T2734" s="11"/>
      <c r="U2734" s="46" t="str">
        <f t="shared" si="1145"/>
        <v/>
      </c>
      <c r="V2734" s="46">
        <f t="shared" si="1145"/>
        <v>2</v>
      </c>
      <c r="W2734" s="46" t="str">
        <f t="shared" si="1145"/>
        <v/>
      </c>
      <c r="X2734" s="46" t="str">
        <f>IF($O2734=X$5,$L2734,"")</f>
        <v/>
      </c>
    </row>
    <row r="2735" spans="2:24" x14ac:dyDescent="0.25">
      <c r="B2735" s="11" t="str">
        <f t="shared" si="1163"/>
        <v>LGSC-23MAY1895</v>
      </c>
      <c r="C2735" s="11" t="s">
        <v>94</v>
      </c>
      <c r="D2735" s="11" t="s">
        <v>1699</v>
      </c>
      <c r="F2735" s="11" t="s">
        <v>1700</v>
      </c>
      <c r="G2735" s="39" t="s">
        <v>428</v>
      </c>
      <c r="H2735" s="7">
        <v>0</v>
      </c>
      <c r="I2735" s="7">
        <v>0</v>
      </c>
      <c r="J2735" s="17">
        <v>0</v>
      </c>
      <c r="K2735" s="17"/>
      <c r="L2735" s="7">
        <f t="shared" si="1164"/>
        <v>0</v>
      </c>
      <c r="M2735" s="8">
        <v>1</v>
      </c>
      <c r="N2735" s="8" t="str">
        <f t="shared" si="1165"/>
        <v/>
      </c>
      <c r="O2735" s="11" t="s">
        <v>1702</v>
      </c>
      <c r="P2735" s="16" t="str">
        <f t="shared" si="1166"/>
        <v>23-May-1895</v>
      </c>
      <c r="R2735" s="16" t="str">
        <f t="shared" si="1158"/>
        <v/>
      </c>
      <c r="S2735" s="16" t="str">
        <f t="shared" si="1158"/>
        <v/>
      </c>
      <c r="T2735" s="11"/>
      <c r="U2735" s="46" t="str">
        <f t="shared" ref="U2735:X2798" si="1167">IF($O2735=U$5,$L2735,"")</f>
        <v/>
      </c>
      <c r="V2735" s="46">
        <f t="shared" si="1167"/>
        <v>0</v>
      </c>
      <c r="W2735" s="46" t="str">
        <f t="shared" si="1167"/>
        <v/>
      </c>
      <c r="X2735" s="46" t="str">
        <f t="shared" si="1167"/>
        <v/>
      </c>
    </row>
    <row r="2736" spans="2:24" x14ac:dyDescent="0.25">
      <c r="B2736" s="11" t="str">
        <f t="shared" si="1163"/>
        <v>LGSC-19AUG1895</v>
      </c>
      <c r="C2736" s="11" t="s">
        <v>94</v>
      </c>
      <c r="D2736" s="11" t="s">
        <v>1699</v>
      </c>
      <c r="F2736" s="11" t="s">
        <v>1700</v>
      </c>
      <c r="G2736" s="39" t="s">
        <v>429</v>
      </c>
      <c r="H2736" s="7">
        <v>0</v>
      </c>
      <c r="I2736" s="7">
        <v>0</v>
      </c>
      <c r="J2736" s="17">
        <v>1</v>
      </c>
      <c r="K2736" s="17"/>
      <c r="L2736" s="7">
        <f t="shared" si="1164"/>
        <v>1</v>
      </c>
      <c r="M2736" s="8">
        <v>1</v>
      </c>
      <c r="N2736" s="8">
        <f t="shared" si="1165"/>
        <v>1</v>
      </c>
      <c r="O2736" s="11" t="s">
        <v>1702</v>
      </c>
      <c r="P2736" s="16" t="str">
        <f t="shared" si="1166"/>
        <v>19-Aug-1895</v>
      </c>
      <c r="R2736" s="16" t="str">
        <f t="shared" si="1158"/>
        <v>x</v>
      </c>
      <c r="S2736" s="16" t="str">
        <f t="shared" si="1158"/>
        <v>x</v>
      </c>
      <c r="T2736" s="11"/>
      <c r="U2736" s="46" t="str">
        <f t="shared" si="1167"/>
        <v/>
      </c>
      <c r="V2736" s="46">
        <f t="shared" si="1167"/>
        <v>1</v>
      </c>
      <c r="W2736" s="46" t="str">
        <f t="shared" si="1167"/>
        <v/>
      </c>
      <c r="X2736" s="46" t="str">
        <f t="shared" si="1167"/>
        <v/>
      </c>
    </row>
    <row r="2737" spans="2:24" x14ac:dyDescent="0.25">
      <c r="B2737" s="11" t="str">
        <f t="shared" si="1163"/>
        <v>LGSC-16SEP1895</v>
      </c>
      <c r="C2737" s="11" t="s">
        <v>94</v>
      </c>
      <c r="D2737" s="11" t="s">
        <v>1699</v>
      </c>
      <c r="F2737" s="11" t="s">
        <v>1700</v>
      </c>
      <c r="G2737" s="39" t="s">
        <v>430</v>
      </c>
      <c r="H2737" s="7">
        <v>0</v>
      </c>
      <c r="I2737" s="7">
        <v>0</v>
      </c>
      <c r="J2737" s="17">
        <v>5</v>
      </c>
      <c r="K2737" s="17"/>
      <c r="L2737" s="7">
        <f t="shared" si="1164"/>
        <v>5</v>
      </c>
      <c r="M2737" s="8">
        <v>1</v>
      </c>
      <c r="N2737" s="8">
        <f t="shared" si="1165"/>
        <v>1</v>
      </c>
      <c r="O2737" s="11" t="s">
        <v>1702</v>
      </c>
      <c r="P2737" s="16" t="str">
        <f t="shared" si="1166"/>
        <v>16-Sep-1895</v>
      </c>
      <c r="R2737" s="16" t="str">
        <f t="shared" si="1158"/>
        <v>x</v>
      </c>
      <c r="S2737" s="16" t="str">
        <f t="shared" si="1158"/>
        <v>x</v>
      </c>
      <c r="T2737" s="11"/>
      <c r="U2737" s="46" t="str">
        <f t="shared" si="1167"/>
        <v/>
      </c>
      <c r="V2737" s="46">
        <f t="shared" si="1167"/>
        <v>5</v>
      </c>
      <c r="W2737" s="46" t="str">
        <f t="shared" si="1167"/>
        <v/>
      </c>
      <c r="X2737" s="46" t="str">
        <f t="shared" si="1167"/>
        <v/>
      </c>
    </row>
    <row r="2738" spans="2:24" x14ac:dyDescent="0.25">
      <c r="B2738" s="11" t="str">
        <f t="shared" si="1163"/>
        <v>LGSC-14OCT1895</v>
      </c>
      <c r="C2738" s="11" t="s">
        <v>94</v>
      </c>
      <c r="D2738" s="11" t="s">
        <v>1699</v>
      </c>
      <c r="F2738" s="11" t="s">
        <v>1700</v>
      </c>
      <c r="G2738" s="39" t="s">
        <v>431</v>
      </c>
      <c r="H2738" s="7">
        <v>0</v>
      </c>
      <c r="I2738" s="7">
        <v>0</v>
      </c>
      <c r="J2738" s="17">
        <v>8</v>
      </c>
      <c r="K2738" s="17"/>
      <c r="L2738" s="7">
        <f t="shared" si="1164"/>
        <v>8</v>
      </c>
      <c r="M2738" s="8">
        <v>1</v>
      </c>
      <c r="N2738" s="8">
        <f t="shared" si="1165"/>
        <v>1</v>
      </c>
      <c r="O2738" s="11" t="s">
        <v>1702</v>
      </c>
      <c r="P2738" s="16" t="str">
        <f t="shared" si="1166"/>
        <v>14-Oct-1895</v>
      </c>
      <c r="R2738" s="16" t="str">
        <f t="shared" si="1158"/>
        <v>x</v>
      </c>
      <c r="S2738" s="16" t="str">
        <f t="shared" si="1158"/>
        <v>x</v>
      </c>
      <c r="T2738" s="11"/>
      <c r="U2738" s="46" t="str">
        <f t="shared" si="1167"/>
        <v/>
      </c>
      <c r="V2738" s="46">
        <f t="shared" si="1167"/>
        <v>8</v>
      </c>
      <c r="W2738" s="46" t="str">
        <f t="shared" si="1167"/>
        <v/>
      </c>
      <c r="X2738" s="46" t="str">
        <f t="shared" si="1167"/>
        <v/>
      </c>
    </row>
    <row r="2739" spans="2:24" x14ac:dyDescent="0.25">
      <c r="B2739" s="11" t="str">
        <f t="shared" si="1163"/>
        <v>LGSC-11NOV1895</v>
      </c>
      <c r="C2739" s="11" t="s">
        <v>94</v>
      </c>
      <c r="D2739" s="11" t="s">
        <v>1699</v>
      </c>
      <c r="F2739" s="11" t="s">
        <v>1700</v>
      </c>
      <c r="G2739" s="39" t="s">
        <v>432</v>
      </c>
      <c r="H2739" s="7">
        <v>0</v>
      </c>
      <c r="I2739" s="7">
        <v>0</v>
      </c>
      <c r="J2739" s="17">
        <v>3</v>
      </c>
      <c r="K2739" s="17"/>
      <c r="L2739" s="7">
        <f t="shared" si="1164"/>
        <v>3</v>
      </c>
      <c r="M2739" s="8">
        <v>1</v>
      </c>
      <c r="N2739" s="8">
        <f t="shared" si="1165"/>
        <v>1</v>
      </c>
      <c r="O2739" s="11" t="s">
        <v>1702</v>
      </c>
      <c r="P2739" s="16" t="str">
        <f t="shared" si="1166"/>
        <v>11-Nov-1895</v>
      </c>
      <c r="R2739" s="16" t="str">
        <f t="shared" si="1158"/>
        <v>x</v>
      </c>
      <c r="S2739" s="16" t="str">
        <f t="shared" si="1158"/>
        <v>x</v>
      </c>
      <c r="T2739" s="11"/>
      <c r="U2739" s="46" t="str">
        <f t="shared" si="1167"/>
        <v/>
      </c>
      <c r="V2739" s="46">
        <f t="shared" si="1167"/>
        <v>3</v>
      </c>
      <c r="W2739" s="46" t="str">
        <f t="shared" si="1167"/>
        <v/>
      </c>
      <c r="X2739" s="46" t="str">
        <f t="shared" si="1167"/>
        <v/>
      </c>
    </row>
    <row r="2740" spans="2:24" x14ac:dyDescent="0.25">
      <c r="B2740" s="11" t="str">
        <f t="shared" si="1163"/>
        <v>LGSC-09DEC1895</v>
      </c>
      <c r="C2740" s="11" t="s">
        <v>94</v>
      </c>
      <c r="D2740" s="11" t="s">
        <v>1699</v>
      </c>
      <c r="F2740" s="11" t="s">
        <v>1700</v>
      </c>
      <c r="G2740" s="39" t="s">
        <v>433</v>
      </c>
      <c r="H2740" s="7">
        <v>0</v>
      </c>
      <c r="I2740" s="7">
        <v>0</v>
      </c>
      <c r="J2740" s="17">
        <v>3</v>
      </c>
      <c r="K2740" s="17"/>
      <c r="L2740" s="7">
        <f t="shared" si="1164"/>
        <v>3</v>
      </c>
      <c r="M2740" s="8">
        <v>1</v>
      </c>
      <c r="N2740" s="8">
        <f t="shared" si="1165"/>
        <v>1</v>
      </c>
      <c r="O2740" s="11" t="s">
        <v>1702</v>
      </c>
      <c r="P2740" s="16" t="str">
        <f t="shared" si="1166"/>
        <v>09-Dec-1895</v>
      </c>
      <c r="R2740" s="16" t="str">
        <f t="shared" si="1158"/>
        <v>x</v>
      </c>
      <c r="S2740" s="16" t="str">
        <f t="shared" si="1158"/>
        <v>x</v>
      </c>
      <c r="T2740" s="11"/>
      <c r="U2740" s="46" t="str">
        <f t="shared" si="1167"/>
        <v/>
      </c>
      <c r="V2740" s="46">
        <f t="shared" si="1167"/>
        <v>3</v>
      </c>
      <c r="W2740" s="46" t="str">
        <f t="shared" si="1167"/>
        <v/>
      </c>
      <c r="X2740" s="46" t="str">
        <f t="shared" si="1167"/>
        <v/>
      </c>
    </row>
    <row r="2741" spans="2:24" x14ac:dyDescent="0.25">
      <c r="B2741" s="11" t="str">
        <f t="shared" si="1163"/>
        <v>LGSC-06JAN1896</v>
      </c>
      <c r="C2741" s="11" t="s">
        <v>94</v>
      </c>
      <c r="D2741" s="11" t="s">
        <v>1699</v>
      </c>
      <c r="F2741" s="11" t="s">
        <v>1700</v>
      </c>
      <c r="G2741" s="39" t="s">
        <v>434</v>
      </c>
      <c r="H2741" s="7">
        <v>0</v>
      </c>
      <c r="I2741" s="7">
        <v>0</v>
      </c>
      <c r="J2741" s="17">
        <v>1</v>
      </c>
      <c r="K2741" s="17"/>
      <c r="L2741" s="7">
        <f t="shared" si="1164"/>
        <v>1</v>
      </c>
      <c r="M2741" s="8">
        <v>1</v>
      </c>
      <c r="N2741" s="8">
        <f t="shared" si="1165"/>
        <v>1</v>
      </c>
      <c r="O2741" s="11" t="s">
        <v>1702</v>
      </c>
      <c r="P2741" s="16" t="str">
        <f t="shared" si="1166"/>
        <v>06-Jan-1896</v>
      </c>
      <c r="R2741" s="16" t="str">
        <f t="shared" si="1158"/>
        <v>x</v>
      </c>
      <c r="S2741" s="16" t="str">
        <f t="shared" si="1158"/>
        <v>x</v>
      </c>
      <c r="T2741" s="11"/>
      <c r="U2741" s="46" t="str">
        <f t="shared" si="1167"/>
        <v/>
      </c>
      <c r="V2741" s="46">
        <f t="shared" si="1167"/>
        <v>1</v>
      </c>
      <c r="W2741" s="46" t="str">
        <f t="shared" si="1167"/>
        <v/>
      </c>
      <c r="X2741" s="46" t="str">
        <f t="shared" si="1167"/>
        <v/>
      </c>
    </row>
    <row r="2742" spans="2:24" x14ac:dyDescent="0.25">
      <c r="B2742" s="11" t="str">
        <f t="shared" si="1163"/>
        <v>LGSC-10FEB1896</v>
      </c>
      <c r="C2742" s="11" t="s">
        <v>94</v>
      </c>
      <c r="D2742" s="11" t="s">
        <v>1699</v>
      </c>
      <c r="F2742" s="11" t="s">
        <v>1700</v>
      </c>
      <c r="G2742" s="39" t="s">
        <v>435</v>
      </c>
      <c r="H2742" s="7">
        <v>0</v>
      </c>
      <c r="I2742" s="7">
        <v>0</v>
      </c>
      <c r="J2742" s="17">
        <v>0</v>
      </c>
      <c r="K2742" s="17"/>
      <c r="L2742" s="7">
        <f t="shared" si="1164"/>
        <v>0</v>
      </c>
      <c r="M2742" s="8">
        <v>1</v>
      </c>
      <c r="N2742" s="8" t="str">
        <f t="shared" si="1165"/>
        <v/>
      </c>
      <c r="O2742" s="11" t="s">
        <v>1702</v>
      </c>
      <c r="P2742" s="16" t="str">
        <f t="shared" si="1166"/>
        <v>10-Feb-1896</v>
      </c>
      <c r="R2742" s="16" t="str">
        <f t="shared" si="1158"/>
        <v/>
      </c>
      <c r="S2742" s="16" t="str">
        <f t="shared" si="1158"/>
        <v/>
      </c>
      <c r="T2742" s="11"/>
      <c r="U2742" s="46" t="str">
        <f t="shared" si="1167"/>
        <v/>
      </c>
      <c r="V2742" s="46">
        <f t="shared" si="1167"/>
        <v>0</v>
      </c>
      <c r="W2742" s="46" t="str">
        <f t="shared" si="1167"/>
        <v/>
      </c>
      <c r="X2742" s="46" t="str">
        <f t="shared" si="1167"/>
        <v/>
      </c>
    </row>
    <row r="2743" spans="2:24" x14ac:dyDescent="0.25">
      <c r="B2743" s="11" t="str">
        <f t="shared" si="1163"/>
        <v>LGSC-09MAR1896</v>
      </c>
      <c r="C2743" s="11" t="s">
        <v>94</v>
      </c>
      <c r="D2743" s="11" t="s">
        <v>1699</v>
      </c>
      <c r="F2743" s="11" t="s">
        <v>1700</v>
      </c>
      <c r="G2743" s="39" t="s">
        <v>436</v>
      </c>
      <c r="H2743" s="7">
        <v>0</v>
      </c>
      <c r="I2743" s="7">
        <v>0</v>
      </c>
      <c r="J2743" s="17">
        <v>0</v>
      </c>
      <c r="K2743" s="17"/>
      <c r="L2743" s="7">
        <f t="shared" si="1164"/>
        <v>0</v>
      </c>
      <c r="M2743" s="8">
        <v>1</v>
      </c>
      <c r="N2743" s="8" t="str">
        <f t="shared" si="1165"/>
        <v/>
      </c>
      <c r="O2743" s="11" t="s">
        <v>1702</v>
      </c>
      <c r="P2743" s="16" t="str">
        <f t="shared" si="1166"/>
        <v>09-Mar-1896</v>
      </c>
      <c r="R2743" s="16" t="str">
        <f t="shared" si="1158"/>
        <v/>
      </c>
      <c r="S2743" s="16" t="str">
        <f t="shared" si="1158"/>
        <v/>
      </c>
      <c r="T2743" s="11"/>
      <c r="U2743" s="46" t="str">
        <f t="shared" si="1167"/>
        <v/>
      </c>
      <c r="V2743" s="46">
        <f t="shared" si="1167"/>
        <v>0</v>
      </c>
      <c r="W2743" s="46" t="str">
        <f t="shared" si="1167"/>
        <v/>
      </c>
      <c r="X2743" s="46" t="str">
        <f t="shared" si="1167"/>
        <v/>
      </c>
    </row>
    <row r="2744" spans="2:24" x14ac:dyDescent="0.25">
      <c r="B2744" s="11" t="str">
        <f t="shared" si="1163"/>
        <v>LGSC-20APR1896</v>
      </c>
      <c r="C2744" s="11" t="s">
        <v>94</v>
      </c>
      <c r="D2744" s="11" t="s">
        <v>1699</v>
      </c>
      <c r="F2744" s="11" t="s">
        <v>1700</v>
      </c>
      <c r="G2744" s="39" t="s">
        <v>437</v>
      </c>
      <c r="H2744" s="7">
        <v>0</v>
      </c>
      <c r="I2744" s="7">
        <v>1</v>
      </c>
      <c r="J2744" s="17">
        <v>8</v>
      </c>
      <c r="K2744" s="17"/>
      <c r="L2744" s="7">
        <f t="shared" si="1164"/>
        <v>9</v>
      </c>
      <c r="M2744" s="8">
        <v>1</v>
      </c>
      <c r="N2744" s="8">
        <f t="shared" si="1165"/>
        <v>1</v>
      </c>
      <c r="O2744" s="11" t="s">
        <v>1702</v>
      </c>
      <c r="P2744" s="16" t="str">
        <f t="shared" si="1166"/>
        <v>20-Apr-1896</v>
      </c>
      <c r="R2744" s="16" t="str">
        <f t="shared" si="1158"/>
        <v>x</v>
      </c>
      <c r="S2744" s="16" t="str">
        <f t="shared" si="1158"/>
        <v>x</v>
      </c>
      <c r="T2744" s="11"/>
      <c r="U2744" s="46" t="str">
        <f t="shared" si="1167"/>
        <v/>
      </c>
      <c r="V2744" s="46">
        <f t="shared" si="1167"/>
        <v>9</v>
      </c>
      <c r="W2744" s="46" t="str">
        <f t="shared" si="1167"/>
        <v/>
      </c>
      <c r="X2744" s="46" t="str">
        <f t="shared" si="1167"/>
        <v/>
      </c>
    </row>
    <row r="2745" spans="2:24" x14ac:dyDescent="0.25">
      <c r="B2745" s="11" t="str">
        <f>CONCATENATE("LGSC","-",LEFT(P2745,2),UPPER(MID(P2745,4,3)),RIGHT(P2745,4))</f>
        <v>LGSC-15JUN1896</v>
      </c>
      <c r="C2745" s="11" t="s">
        <v>94</v>
      </c>
      <c r="D2745" s="11" t="s">
        <v>1699</v>
      </c>
      <c r="F2745" s="11" t="s">
        <v>1700</v>
      </c>
      <c r="G2745" s="39" t="s">
        <v>443</v>
      </c>
      <c r="H2745" s="7">
        <v>0</v>
      </c>
      <c r="I2745" s="7">
        <v>0</v>
      </c>
      <c r="J2745" s="17">
        <v>2</v>
      </c>
      <c r="K2745" s="17"/>
      <c r="L2745" s="7">
        <f>SUM(H2745:K2745)</f>
        <v>2</v>
      </c>
      <c r="M2745" s="8">
        <v>1</v>
      </c>
      <c r="N2745" s="8">
        <f>IF(L2745&gt;0,1,"")</f>
        <v>1</v>
      </c>
      <c r="O2745" s="11" t="s">
        <v>1702</v>
      </c>
      <c r="P2745" s="16" t="str">
        <f>IF(LEN(G2745)=10,CONCATENATE("0",G2745),G2745)</f>
        <v>15-Jun-1896</v>
      </c>
      <c r="R2745" s="16" t="str">
        <f t="shared" si="1158"/>
        <v>x</v>
      </c>
      <c r="S2745" s="16" t="str">
        <f t="shared" si="1158"/>
        <v>x</v>
      </c>
      <c r="T2745" s="11"/>
      <c r="U2745" s="46" t="str">
        <f t="shared" si="1167"/>
        <v/>
      </c>
      <c r="V2745" s="46">
        <f t="shared" si="1167"/>
        <v>2</v>
      </c>
      <c r="W2745" s="46" t="str">
        <f t="shared" si="1167"/>
        <v/>
      </c>
      <c r="X2745" s="46" t="str">
        <f t="shared" si="1167"/>
        <v/>
      </c>
    </row>
    <row r="2746" spans="2:24" x14ac:dyDescent="0.25">
      <c r="B2746" s="11" t="str">
        <f t="shared" ref="B2746:B2755" si="1168">CONCATENATE("LGSC","-",LEFT(P2746,2),UPPER(MID(P2746,4,3)),RIGHT(P2746,4))</f>
        <v>LGSC-20JUL1896</v>
      </c>
      <c r="C2746" s="11" t="s">
        <v>94</v>
      </c>
      <c r="D2746" s="11" t="s">
        <v>1699</v>
      </c>
      <c r="F2746" s="11" t="s">
        <v>1700</v>
      </c>
      <c r="G2746" s="39" t="s">
        <v>438</v>
      </c>
      <c r="H2746" s="7">
        <v>0</v>
      </c>
      <c r="I2746" s="7">
        <v>0</v>
      </c>
      <c r="J2746" s="17">
        <v>7</v>
      </c>
      <c r="K2746" s="17"/>
      <c r="L2746" s="7">
        <f t="shared" ref="L2746:L2755" si="1169">SUM(H2746:K2746)</f>
        <v>7</v>
      </c>
      <c r="M2746" s="8">
        <v>1</v>
      </c>
      <c r="N2746" s="8">
        <f t="shared" ref="N2746:N2755" si="1170">IF(L2746&gt;0,1,"")</f>
        <v>1</v>
      </c>
      <c r="O2746" s="11" t="s">
        <v>1702</v>
      </c>
      <c r="P2746" s="16" t="str">
        <f t="shared" ref="P2746:P2755" si="1171">IF(LEN(G2746)=10,CONCATENATE("0",G2746),G2746)</f>
        <v>20-Jul-1896</v>
      </c>
      <c r="R2746" s="16" t="str">
        <f t="shared" si="1158"/>
        <v>x</v>
      </c>
      <c r="S2746" s="16" t="str">
        <f t="shared" si="1158"/>
        <v>x</v>
      </c>
      <c r="T2746" s="11"/>
      <c r="U2746" s="46" t="str">
        <f t="shared" si="1167"/>
        <v/>
      </c>
      <c r="V2746" s="46">
        <f t="shared" si="1167"/>
        <v>7</v>
      </c>
      <c r="W2746" s="46" t="str">
        <f t="shared" si="1167"/>
        <v/>
      </c>
      <c r="X2746" s="46" t="str">
        <f t="shared" si="1167"/>
        <v/>
      </c>
    </row>
    <row r="2747" spans="2:24" x14ac:dyDescent="0.25">
      <c r="B2747" s="11" t="str">
        <f t="shared" si="1168"/>
        <v>LGSC-17AUG1896</v>
      </c>
      <c r="C2747" s="11" t="s">
        <v>94</v>
      </c>
      <c r="D2747" s="11" t="s">
        <v>1699</v>
      </c>
      <c r="F2747" s="11" t="s">
        <v>1700</v>
      </c>
      <c r="G2747" s="39" t="s">
        <v>439</v>
      </c>
      <c r="H2747" s="7">
        <v>0</v>
      </c>
      <c r="I2747" s="7">
        <v>1</v>
      </c>
      <c r="J2747" s="17">
        <v>0</v>
      </c>
      <c r="K2747" s="17"/>
      <c r="L2747" s="7">
        <f t="shared" si="1169"/>
        <v>1</v>
      </c>
      <c r="M2747" s="8">
        <v>1</v>
      </c>
      <c r="N2747" s="8">
        <f t="shared" si="1170"/>
        <v>1</v>
      </c>
      <c r="O2747" s="11" t="s">
        <v>1702</v>
      </c>
      <c r="P2747" s="16" t="str">
        <f t="shared" si="1171"/>
        <v>17-Aug-1896</v>
      </c>
      <c r="R2747" s="16" t="str">
        <f t="shared" si="1158"/>
        <v>x</v>
      </c>
      <c r="S2747" s="16" t="str">
        <f t="shared" si="1158"/>
        <v>x</v>
      </c>
      <c r="T2747" s="11"/>
      <c r="U2747" s="46" t="str">
        <f t="shared" si="1167"/>
        <v/>
      </c>
      <c r="V2747" s="46">
        <f t="shared" si="1167"/>
        <v>1</v>
      </c>
      <c r="W2747" s="46" t="str">
        <f t="shared" si="1167"/>
        <v/>
      </c>
      <c r="X2747" s="46" t="str">
        <f t="shared" si="1167"/>
        <v/>
      </c>
    </row>
    <row r="2748" spans="2:24" x14ac:dyDescent="0.25">
      <c r="B2748" s="11" t="str">
        <f t="shared" si="1168"/>
        <v>LGSC-21SEP1896</v>
      </c>
      <c r="C2748" s="11" t="s">
        <v>94</v>
      </c>
      <c r="D2748" s="11" t="s">
        <v>1699</v>
      </c>
      <c r="F2748" s="11" t="s">
        <v>1700</v>
      </c>
      <c r="G2748" s="39" t="s">
        <v>440</v>
      </c>
      <c r="H2748" s="7">
        <v>0</v>
      </c>
      <c r="I2748" s="7">
        <v>0</v>
      </c>
      <c r="J2748" s="17">
        <v>15</v>
      </c>
      <c r="K2748" s="17"/>
      <c r="L2748" s="7">
        <f t="shared" si="1169"/>
        <v>15</v>
      </c>
      <c r="M2748" s="8">
        <v>1</v>
      </c>
      <c r="N2748" s="8">
        <f t="shared" si="1170"/>
        <v>1</v>
      </c>
      <c r="O2748" s="11" t="s">
        <v>1702</v>
      </c>
      <c r="P2748" s="16" t="str">
        <f t="shared" si="1171"/>
        <v>21-Sep-1896</v>
      </c>
      <c r="R2748" s="16" t="str">
        <f t="shared" si="1158"/>
        <v>x</v>
      </c>
      <c r="S2748" s="16" t="str">
        <f t="shared" si="1158"/>
        <v>x</v>
      </c>
      <c r="T2748" s="11"/>
      <c r="U2748" s="46" t="str">
        <f t="shared" si="1167"/>
        <v/>
      </c>
      <c r="V2748" s="46">
        <f t="shared" si="1167"/>
        <v>15</v>
      </c>
      <c r="W2748" s="46" t="str">
        <f t="shared" si="1167"/>
        <v/>
      </c>
      <c r="X2748" s="46" t="str">
        <f t="shared" si="1167"/>
        <v/>
      </c>
    </row>
    <row r="2749" spans="2:24" x14ac:dyDescent="0.25">
      <c r="B2749" s="11" t="str">
        <f t="shared" si="1168"/>
        <v>LGSC-19OCT1896</v>
      </c>
      <c r="C2749" s="11" t="s">
        <v>94</v>
      </c>
      <c r="D2749" s="11" t="s">
        <v>1699</v>
      </c>
      <c r="F2749" s="11" t="s">
        <v>1700</v>
      </c>
      <c r="G2749" s="39" t="s">
        <v>182</v>
      </c>
      <c r="H2749" s="7">
        <v>0</v>
      </c>
      <c r="I2749" s="7">
        <v>0</v>
      </c>
      <c r="J2749" s="17">
        <v>0</v>
      </c>
      <c r="K2749" s="17"/>
      <c r="L2749" s="7">
        <f t="shared" si="1169"/>
        <v>0</v>
      </c>
      <c r="M2749" s="8">
        <v>1</v>
      </c>
      <c r="N2749" s="8" t="str">
        <f t="shared" si="1170"/>
        <v/>
      </c>
      <c r="O2749" s="11" t="s">
        <v>1702</v>
      </c>
      <c r="P2749" s="16" t="str">
        <f t="shared" si="1171"/>
        <v>19-Oct-1896</v>
      </c>
      <c r="R2749" s="16" t="str">
        <f t="shared" si="1158"/>
        <v/>
      </c>
      <c r="S2749" s="16" t="str">
        <f t="shared" si="1158"/>
        <v/>
      </c>
      <c r="T2749" s="11"/>
      <c r="U2749" s="46" t="str">
        <f t="shared" si="1167"/>
        <v/>
      </c>
      <c r="V2749" s="46">
        <f t="shared" si="1167"/>
        <v>0</v>
      </c>
      <c r="W2749" s="46" t="str">
        <f t="shared" si="1167"/>
        <v/>
      </c>
      <c r="X2749" s="46" t="str">
        <f t="shared" si="1167"/>
        <v/>
      </c>
    </row>
    <row r="2750" spans="2:24" x14ac:dyDescent="0.25">
      <c r="B2750" s="11" t="str">
        <f t="shared" si="1168"/>
        <v>LGSC-23NOV1896</v>
      </c>
      <c r="C2750" s="11" t="s">
        <v>94</v>
      </c>
      <c r="D2750" s="11" t="s">
        <v>1699</v>
      </c>
      <c r="F2750" s="11" t="s">
        <v>1700</v>
      </c>
      <c r="G2750" s="39" t="s">
        <v>441</v>
      </c>
      <c r="H2750" s="7">
        <v>0</v>
      </c>
      <c r="I2750" s="7">
        <v>3</v>
      </c>
      <c r="J2750" s="17">
        <v>19</v>
      </c>
      <c r="K2750" s="17"/>
      <c r="L2750" s="7">
        <f t="shared" si="1169"/>
        <v>22</v>
      </c>
      <c r="M2750" s="8">
        <v>1</v>
      </c>
      <c r="N2750" s="8">
        <f t="shared" si="1170"/>
        <v>1</v>
      </c>
      <c r="O2750" s="11" t="s">
        <v>1702</v>
      </c>
      <c r="P2750" s="16" t="str">
        <f t="shared" si="1171"/>
        <v>23-Nov-1896</v>
      </c>
      <c r="R2750" s="16" t="str">
        <f t="shared" si="1158"/>
        <v>x</v>
      </c>
      <c r="S2750" s="16" t="str">
        <f t="shared" si="1158"/>
        <v>x</v>
      </c>
      <c r="T2750" s="11"/>
      <c r="U2750" s="46" t="str">
        <f t="shared" si="1167"/>
        <v/>
      </c>
      <c r="V2750" s="46">
        <f t="shared" si="1167"/>
        <v>22</v>
      </c>
      <c r="W2750" s="46" t="str">
        <f t="shared" si="1167"/>
        <v/>
      </c>
      <c r="X2750" s="46" t="str">
        <f t="shared" si="1167"/>
        <v/>
      </c>
    </row>
    <row r="2751" spans="2:24" x14ac:dyDescent="0.25">
      <c r="B2751" s="11" t="str">
        <f t="shared" si="1168"/>
        <v>LGSC-21DEC1896</v>
      </c>
      <c r="C2751" s="11" t="s">
        <v>94</v>
      </c>
      <c r="D2751" s="11" t="s">
        <v>1699</v>
      </c>
      <c r="F2751" s="11" t="s">
        <v>1700</v>
      </c>
      <c r="G2751" s="39" t="s">
        <v>442</v>
      </c>
      <c r="H2751" s="7">
        <v>0</v>
      </c>
      <c r="I2751" s="7">
        <v>7</v>
      </c>
      <c r="J2751" s="17">
        <v>1</v>
      </c>
      <c r="K2751" s="17"/>
      <c r="L2751" s="7">
        <f t="shared" si="1169"/>
        <v>8</v>
      </c>
      <c r="M2751" s="8">
        <v>1</v>
      </c>
      <c r="N2751" s="8">
        <f t="shared" si="1170"/>
        <v>1</v>
      </c>
      <c r="O2751" s="11" t="s">
        <v>1702</v>
      </c>
      <c r="P2751" s="16" t="str">
        <f t="shared" si="1171"/>
        <v>21-Dec-1896</v>
      </c>
      <c r="R2751" s="16" t="str">
        <f t="shared" si="1158"/>
        <v>x</v>
      </c>
      <c r="S2751" s="16" t="str">
        <f t="shared" si="1158"/>
        <v>x</v>
      </c>
      <c r="T2751" s="11"/>
      <c r="U2751" s="46" t="str">
        <f t="shared" si="1167"/>
        <v/>
      </c>
      <c r="V2751" s="46">
        <f t="shared" si="1167"/>
        <v>8</v>
      </c>
      <c r="W2751" s="46" t="str">
        <f t="shared" si="1167"/>
        <v/>
      </c>
      <c r="X2751" s="46" t="str">
        <f t="shared" si="1167"/>
        <v/>
      </c>
    </row>
    <row r="2752" spans="2:24" x14ac:dyDescent="0.25">
      <c r="B2752" s="11" t="str">
        <f t="shared" si="1168"/>
        <v>LGSC-25JAN1897</v>
      </c>
      <c r="C2752" s="11" t="s">
        <v>94</v>
      </c>
      <c r="D2752" s="11" t="s">
        <v>1699</v>
      </c>
      <c r="F2752" s="11" t="s">
        <v>1700</v>
      </c>
      <c r="G2752" s="39" t="s">
        <v>444</v>
      </c>
      <c r="H2752" s="7">
        <v>0</v>
      </c>
      <c r="I2752" s="7">
        <v>0</v>
      </c>
      <c r="J2752" s="17">
        <v>48</v>
      </c>
      <c r="K2752" s="17"/>
      <c r="L2752" s="7">
        <f t="shared" si="1169"/>
        <v>48</v>
      </c>
      <c r="M2752" s="8">
        <v>1</v>
      </c>
      <c r="N2752" s="8">
        <f t="shared" si="1170"/>
        <v>1</v>
      </c>
      <c r="O2752" s="11" t="s">
        <v>1702</v>
      </c>
      <c r="P2752" s="16" t="str">
        <f t="shared" si="1171"/>
        <v>25-Jan-1897</v>
      </c>
      <c r="R2752" s="16" t="str">
        <f t="shared" si="1158"/>
        <v>x</v>
      </c>
      <c r="S2752" s="16" t="str">
        <f t="shared" si="1158"/>
        <v>x</v>
      </c>
      <c r="T2752" s="11"/>
      <c r="U2752" s="46" t="str">
        <f t="shared" si="1167"/>
        <v/>
      </c>
      <c r="V2752" s="46">
        <f t="shared" si="1167"/>
        <v>48</v>
      </c>
      <c r="W2752" s="46" t="str">
        <f t="shared" si="1167"/>
        <v/>
      </c>
      <c r="X2752" s="46" t="str">
        <f t="shared" si="1167"/>
        <v/>
      </c>
    </row>
    <row r="2753" spans="2:24" x14ac:dyDescent="0.25">
      <c r="B2753" s="11" t="str">
        <f t="shared" si="1168"/>
        <v>LGSC-01MAR1897</v>
      </c>
      <c r="C2753" s="11" t="s">
        <v>94</v>
      </c>
      <c r="D2753" s="11" t="s">
        <v>1699</v>
      </c>
      <c r="F2753" s="11" t="s">
        <v>1700</v>
      </c>
      <c r="G2753" s="39" t="s">
        <v>445</v>
      </c>
      <c r="H2753" s="7">
        <v>0</v>
      </c>
      <c r="I2753" s="7">
        <v>0</v>
      </c>
      <c r="J2753" s="17">
        <v>0</v>
      </c>
      <c r="K2753" s="17"/>
      <c r="L2753" s="7">
        <f t="shared" si="1169"/>
        <v>0</v>
      </c>
      <c r="M2753" s="8">
        <v>1</v>
      </c>
      <c r="N2753" s="8" t="str">
        <f t="shared" si="1170"/>
        <v/>
      </c>
      <c r="O2753" s="11" t="s">
        <v>1702</v>
      </c>
      <c r="P2753" s="16" t="str">
        <f t="shared" si="1171"/>
        <v>01-Mar-1897</v>
      </c>
      <c r="R2753" s="16" t="str">
        <f t="shared" si="1158"/>
        <v/>
      </c>
      <c r="S2753" s="16" t="str">
        <f t="shared" si="1158"/>
        <v/>
      </c>
      <c r="T2753" s="11"/>
      <c r="U2753" s="46" t="str">
        <f t="shared" si="1167"/>
        <v/>
      </c>
      <c r="V2753" s="46">
        <f t="shared" si="1167"/>
        <v>0</v>
      </c>
      <c r="W2753" s="46" t="str">
        <f t="shared" si="1167"/>
        <v/>
      </c>
      <c r="X2753" s="46" t="str">
        <f t="shared" si="1167"/>
        <v/>
      </c>
    </row>
    <row r="2754" spans="2:24" x14ac:dyDescent="0.25">
      <c r="B2754" s="11" t="str">
        <f t="shared" si="1168"/>
        <v>LGSC-26APR1897</v>
      </c>
      <c r="C2754" s="11" t="s">
        <v>94</v>
      </c>
      <c r="D2754" s="11" t="s">
        <v>1699</v>
      </c>
      <c r="F2754" s="11" t="s">
        <v>1700</v>
      </c>
      <c r="G2754" s="39" t="s">
        <v>446</v>
      </c>
      <c r="H2754" s="7">
        <v>0</v>
      </c>
      <c r="I2754" s="7">
        <v>0</v>
      </c>
      <c r="J2754" s="17">
        <v>5</v>
      </c>
      <c r="K2754" s="17"/>
      <c r="L2754" s="7">
        <f t="shared" si="1169"/>
        <v>5</v>
      </c>
      <c r="M2754" s="8">
        <v>1</v>
      </c>
      <c r="N2754" s="8">
        <f t="shared" si="1170"/>
        <v>1</v>
      </c>
      <c r="O2754" s="11" t="s">
        <v>1702</v>
      </c>
      <c r="P2754" s="16" t="str">
        <f t="shared" si="1171"/>
        <v>26-Apr-1897</v>
      </c>
      <c r="R2754" s="16" t="str">
        <f t="shared" si="1158"/>
        <v>x</v>
      </c>
      <c r="S2754" s="16" t="str">
        <f t="shared" si="1158"/>
        <v>x</v>
      </c>
      <c r="T2754" s="11"/>
      <c r="U2754" s="46" t="str">
        <f t="shared" si="1167"/>
        <v/>
      </c>
      <c r="V2754" s="46">
        <f t="shared" si="1167"/>
        <v>5</v>
      </c>
      <c r="W2754" s="46" t="str">
        <f t="shared" si="1167"/>
        <v/>
      </c>
      <c r="X2754" s="46" t="str">
        <f t="shared" si="1167"/>
        <v/>
      </c>
    </row>
    <row r="2755" spans="2:24" x14ac:dyDescent="0.25">
      <c r="B2755" s="11" t="str">
        <f t="shared" si="1168"/>
        <v>LGSC-24MAY1897</v>
      </c>
      <c r="C2755" s="11" t="s">
        <v>94</v>
      </c>
      <c r="D2755" s="11" t="s">
        <v>1699</v>
      </c>
      <c r="F2755" s="11" t="s">
        <v>1700</v>
      </c>
      <c r="G2755" s="39" t="s">
        <v>447</v>
      </c>
      <c r="H2755" s="7">
        <v>0</v>
      </c>
      <c r="I2755" s="7">
        <v>0</v>
      </c>
      <c r="J2755" s="17">
        <v>0</v>
      </c>
      <c r="K2755" s="17"/>
      <c r="L2755" s="7">
        <f t="shared" si="1169"/>
        <v>0</v>
      </c>
      <c r="M2755" s="8">
        <v>1</v>
      </c>
      <c r="N2755" s="8" t="str">
        <f t="shared" si="1170"/>
        <v/>
      </c>
      <c r="O2755" s="11" t="s">
        <v>1702</v>
      </c>
      <c r="P2755" s="16" t="str">
        <f t="shared" si="1171"/>
        <v>24-May-1897</v>
      </c>
      <c r="R2755" s="16" t="str">
        <f t="shared" si="1158"/>
        <v/>
      </c>
      <c r="S2755" s="16" t="str">
        <f t="shared" si="1158"/>
        <v/>
      </c>
      <c r="T2755" s="11"/>
      <c r="U2755" s="46" t="str">
        <f t="shared" si="1167"/>
        <v/>
      </c>
      <c r="V2755" s="46">
        <f t="shared" si="1167"/>
        <v>0</v>
      </c>
      <c r="W2755" s="46" t="str">
        <f t="shared" si="1167"/>
        <v/>
      </c>
      <c r="X2755" s="46" t="str">
        <f t="shared" si="1167"/>
        <v/>
      </c>
    </row>
    <row r="2756" spans="2:24" x14ac:dyDescent="0.25">
      <c r="B2756" s="11" t="str">
        <f t="shared" ref="B2756:B2765" si="1172">CONCATENATE("LGSC","-",LEFT(P2756,2),UPPER(MID(P2756,4,3)),RIGHT(P2756,4))</f>
        <v>LGSC-20JUN1897</v>
      </c>
      <c r="C2756" s="11" t="s">
        <v>94</v>
      </c>
      <c r="D2756" s="11" t="s">
        <v>1699</v>
      </c>
      <c r="E2756" s="39" t="s">
        <v>450</v>
      </c>
      <c r="F2756" s="11" t="s">
        <v>1700</v>
      </c>
      <c r="G2756" s="39" t="s">
        <v>2156</v>
      </c>
      <c r="J2756" s="17">
        <v>9</v>
      </c>
      <c r="K2756" s="17"/>
      <c r="L2756" s="7">
        <f t="shared" ref="L2756:L2765" si="1173">SUM(H2756:K2756)</f>
        <v>9</v>
      </c>
      <c r="M2756" s="8">
        <v>1</v>
      </c>
      <c r="N2756" s="8">
        <f t="shared" ref="N2756:N2765" si="1174">IF(L2756&gt;0,1,"")</f>
        <v>1</v>
      </c>
      <c r="O2756" s="11" t="s">
        <v>1702</v>
      </c>
      <c r="P2756" s="16" t="str">
        <f t="shared" ref="P2756:P2765" si="1175">IF(LEN(G2756)=10,CONCATENATE("0",G2756),G2756)</f>
        <v>20-Jun-1897</v>
      </c>
      <c r="R2756" s="16" t="str">
        <f t="shared" si="1158"/>
        <v>x</v>
      </c>
      <c r="S2756" s="16" t="str">
        <f t="shared" si="1158"/>
        <v>x</v>
      </c>
      <c r="T2756" s="11"/>
      <c r="U2756" s="46" t="str">
        <f t="shared" si="1167"/>
        <v/>
      </c>
      <c r="V2756" s="46">
        <f t="shared" si="1167"/>
        <v>9</v>
      </c>
      <c r="W2756" s="46" t="str">
        <f t="shared" si="1167"/>
        <v/>
      </c>
      <c r="X2756" s="46" t="str">
        <f t="shared" si="1167"/>
        <v/>
      </c>
    </row>
    <row r="2757" spans="2:24" x14ac:dyDescent="0.25">
      <c r="B2757" s="11" t="str">
        <f t="shared" si="1172"/>
        <v>LGSC-17JUL1897</v>
      </c>
      <c r="C2757" s="11" t="s">
        <v>94</v>
      </c>
      <c r="D2757" s="11" t="s">
        <v>1699</v>
      </c>
      <c r="E2757" s="39" t="s">
        <v>451</v>
      </c>
      <c r="F2757" s="11" t="s">
        <v>1700</v>
      </c>
      <c r="G2757" s="39" t="s">
        <v>452</v>
      </c>
      <c r="J2757" s="17">
        <v>7</v>
      </c>
      <c r="K2757" s="17"/>
      <c r="L2757" s="7">
        <f t="shared" si="1173"/>
        <v>7</v>
      </c>
      <c r="M2757" s="8">
        <v>1</v>
      </c>
      <c r="N2757" s="8">
        <f t="shared" si="1174"/>
        <v>1</v>
      </c>
      <c r="O2757" s="11" t="s">
        <v>1702</v>
      </c>
      <c r="P2757" s="16" t="str">
        <f t="shared" si="1175"/>
        <v>17-Jul-1897</v>
      </c>
      <c r="R2757" s="16" t="str">
        <f t="shared" si="1158"/>
        <v>x</v>
      </c>
      <c r="S2757" s="16" t="str">
        <f t="shared" si="1158"/>
        <v>x</v>
      </c>
      <c r="T2757" s="11"/>
      <c r="U2757" s="46" t="str">
        <f t="shared" si="1167"/>
        <v/>
      </c>
      <c r="V2757" s="46">
        <f t="shared" si="1167"/>
        <v>7</v>
      </c>
      <c r="W2757" s="46" t="str">
        <f t="shared" si="1167"/>
        <v/>
      </c>
      <c r="X2757" s="46" t="str">
        <f t="shared" si="1167"/>
        <v/>
      </c>
    </row>
    <row r="2758" spans="2:24" x14ac:dyDescent="0.25">
      <c r="B2758" s="11" t="str">
        <f t="shared" si="1172"/>
        <v>LGSC-21AUG1897</v>
      </c>
      <c r="C2758" s="11" t="s">
        <v>94</v>
      </c>
      <c r="D2758" s="11" t="s">
        <v>1699</v>
      </c>
      <c r="E2758" s="39" t="s">
        <v>453</v>
      </c>
      <c r="F2758" s="11" t="s">
        <v>1700</v>
      </c>
      <c r="G2758" s="39" t="s">
        <v>283</v>
      </c>
      <c r="J2758" s="17">
        <v>5</v>
      </c>
      <c r="K2758" s="17"/>
      <c r="L2758" s="7">
        <f t="shared" si="1173"/>
        <v>5</v>
      </c>
      <c r="M2758" s="8">
        <v>1</v>
      </c>
      <c r="N2758" s="8">
        <f t="shared" si="1174"/>
        <v>1</v>
      </c>
      <c r="O2758" s="11" t="s">
        <v>1702</v>
      </c>
      <c r="P2758" s="16" t="str">
        <f t="shared" si="1175"/>
        <v>21-Aug-1897</v>
      </c>
      <c r="R2758" s="16" t="str">
        <f t="shared" si="1158"/>
        <v>x</v>
      </c>
      <c r="S2758" s="16" t="str">
        <f t="shared" si="1158"/>
        <v>x</v>
      </c>
      <c r="T2758" s="11"/>
      <c r="U2758" s="46" t="str">
        <f t="shared" si="1167"/>
        <v/>
      </c>
      <c r="V2758" s="46">
        <f t="shared" si="1167"/>
        <v>5</v>
      </c>
      <c r="W2758" s="46" t="str">
        <f t="shared" si="1167"/>
        <v/>
      </c>
      <c r="X2758" s="46" t="str">
        <f t="shared" si="1167"/>
        <v/>
      </c>
    </row>
    <row r="2759" spans="2:24" x14ac:dyDescent="0.25">
      <c r="B2759" s="11" t="str">
        <f t="shared" si="1172"/>
        <v>LGSC-18SEP1897</v>
      </c>
      <c r="C2759" s="11" t="s">
        <v>94</v>
      </c>
      <c r="D2759" s="11" t="s">
        <v>1699</v>
      </c>
      <c r="E2759" s="39" t="s">
        <v>454</v>
      </c>
      <c r="F2759" s="11" t="s">
        <v>1700</v>
      </c>
      <c r="G2759" s="39" t="s">
        <v>284</v>
      </c>
      <c r="J2759" s="17">
        <v>1</v>
      </c>
      <c r="K2759" s="17"/>
      <c r="L2759" s="7">
        <f t="shared" si="1173"/>
        <v>1</v>
      </c>
      <c r="M2759" s="8">
        <v>1</v>
      </c>
      <c r="N2759" s="8">
        <f t="shared" si="1174"/>
        <v>1</v>
      </c>
      <c r="O2759" s="11" t="s">
        <v>1702</v>
      </c>
      <c r="P2759" s="16" t="str">
        <f t="shared" si="1175"/>
        <v>18-Sep-1897</v>
      </c>
      <c r="R2759" s="16" t="str">
        <f t="shared" si="1158"/>
        <v>x</v>
      </c>
      <c r="S2759" s="16" t="str">
        <f t="shared" si="1158"/>
        <v>x</v>
      </c>
      <c r="T2759" s="11"/>
      <c r="U2759" s="46" t="str">
        <f t="shared" si="1167"/>
        <v/>
      </c>
      <c r="V2759" s="46">
        <f t="shared" si="1167"/>
        <v>1</v>
      </c>
      <c r="W2759" s="46" t="str">
        <f t="shared" si="1167"/>
        <v/>
      </c>
      <c r="X2759" s="46" t="str">
        <f t="shared" si="1167"/>
        <v/>
      </c>
    </row>
    <row r="2760" spans="2:24" x14ac:dyDescent="0.25">
      <c r="B2760" s="11" t="str">
        <f t="shared" si="1172"/>
        <v>LGSC-16OCT1897</v>
      </c>
      <c r="C2760" s="11" t="s">
        <v>94</v>
      </c>
      <c r="D2760" s="11" t="s">
        <v>1699</v>
      </c>
      <c r="E2760" s="39" t="s">
        <v>455</v>
      </c>
      <c r="F2760" s="11" t="s">
        <v>1700</v>
      </c>
      <c r="G2760" s="39" t="s">
        <v>285</v>
      </c>
      <c r="J2760" s="17">
        <v>3</v>
      </c>
      <c r="K2760" s="17"/>
      <c r="L2760" s="7">
        <f t="shared" si="1173"/>
        <v>3</v>
      </c>
      <c r="M2760" s="8">
        <v>1</v>
      </c>
      <c r="N2760" s="8">
        <f t="shared" si="1174"/>
        <v>1</v>
      </c>
      <c r="O2760" s="11" t="s">
        <v>1702</v>
      </c>
      <c r="P2760" s="16" t="str">
        <f t="shared" si="1175"/>
        <v>16-Oct-1897</v>
      </c>
      <c r="R2760" s="16" t="str">
        <f t="shared" si="1158"/>
        <v>x</v>
      </c>
      <c r="S2760" s="16" t="str">
        <f t="shared" si="1158"/>
        <v>x</v>
      </c>
      <c r="T2760" s="11"/>
      <c r="U2760" s="46" t="str">
        <f t="shared" si="1167"/>
        <v/>
      </c>
      <c r="V2760" s="46">
        <f t="shared" si="1167"/>
        <v>3</v>
      </c>
      <c r="W2760" s="46" t="str">
        <f t="shared" si="1167"/>
        <v/>
      </c>
      <c r="X2760" s="46" t="str">
        <f t="shared" si="1167"/>
        <v/>
      </c>
    </row>
    <row r="2761" spans="2:24" x14ac:dyDescent="0.25">
      <c r="B2761" s="11" t="str">
        <f t="shared" si="1172"/>
        <v>LGSC-15NOV1897</v>
      </c>
      <c r="C2761" s="11" t="s">
        <v>94</v>
      </c>
      <c r="D2761" s="11" t="s">
        <v>1699</v>
      </c>
      <c r="E2761" s="39" t="s">
        <v>456</v>
      </c>
      <c r="F2761" s="11" t="s">
        <v>1700</v>
      </c>
      <c r="G2761" s="39" t="s">
        <v>448</v>
      </c>
      <c r="J2761" s="17">
        <v>4</v>
      </c>
      <c r="K2761" s="17"/>
      <c r="L2761" s="7">
        <f t="shared" si="1173"/>
        <v>4</v>
      </c>
      <c r="M2761" s="8">
        <v>1</v>
      </c>
      <c r="N2761" s="8">
        <f t="shared" si="1174"/>
        <v>1</v>
      </c>
      <c r="O2761" s="11" t="s">
        <v>1702</v>
      </c>
      <c r="P2761" s="16" t="str">
        <f t="shared" si="1175"/>
        <v>15-Nov-1897</v>
      </c>
      <c r="R2761" s="16" t="str">
        <f t="shared" si="1158"/>
        <v>x</v>
      </c>
      <c r="S2761" s="16" t="str">
        <f t="shared" si="1158"/>
        <v>x</v>
      </c>
      <c r="T2761" s="11"/>
      <c r="U2761" s="46" t="str">
        <f t="shared" si="1167"/>
        <v/>
      </c>
      <c r="V2761" s="46">
        <f t="shared" si="1167"/>
        <v>4</v>
      </c>
      <c r="W2761" s="46" t="str">
        <f t="shared" si="1167"/>
        <v/>
      </c>
      <c r="X2761" s="46" t="str">
        <f t="shared" si="1167"/>
        <v/>
      </c>
    </row>
    <row r="2762" spans="2:24" x14ac:dyDescent="0.25">
      <c r="B2762" s="11" t="str">
        <f t="shared" si="1172"/>
        <v>LGSC-13DEC1897</v>
      </c>
      <c r="C2762" s="11" t="s">
        <v>94</v>
      </c>
      <c r="D2762" s="11" t="s">
        <v>1699</v>
      </c>
      <c r="E2762" s="39" t="s">
        <v>457</v>
      </c>
      <c r="F2762" s="11" t="s">
        <v>1700</v>
      </c>
      <c r="G2762" s="39" t="s">
        <v>449</v>
      </c>
      <c r="J2762" s="17">
        <v>24</v>
      </c>
      <c r="K2762" s="17"/>
      <c r="L2762" s="7">
        <f t="shared" si="1173"/>
        <v>24</v>
      </c>
      <c r="M2762" s="8">
        <v>1</v>
      </c>
      <c r="N2762" s="8">
        <f t="shared" si="1174"/>
        <v>1</v>
      </c>
      <c r="O2762" s="11" t="s">
        <v>1702</v>
      </c>
      <c r="P2762" s="16" t="str">
        <f t="shared" si="1175"/>
        <v>13-Dec-1897</v>
      </c>
      <c r="R2762" s="16" t="str">
        <f t="shared" si="1158"/>
        <v>x</v>
      </c>
      <c r="S2762" s="16" t="str">
        <f t="shared" si="1158"/>
        <v>x</v>
      </c>
      <c r="T2762" s="11"/>
      <c r="U2762" s="46" t="str">
        <f t="shared" si="1167"/>
        <v/>
      </c>
      <c r="V2762" s="46">
        <f t="shared" si="1167"/>
        <v>24</v>
      </c>
      <c r="W2762" s="46" t="str">
        <f t="shared" si="1167"/>
        <v/>
      </c>
      <c r="X2762" s="46" t="str">
        <f t="shared" si="1167"/>
        <v/>
      </c>
    </row>
    <row r="2763" spans="2:24" x14ac:dyDescent="0.25">
      <c r="B2763" s="11" t="str">
        <f t="shared" si="1172"/>
        <v>LGSC-10JAN1898</v>
      </c>
      <c r="C2763" s="11" t="s">
        <v>94</v>
      </c>
      <c r="D2763" s="11" t="s">
        <v>1699</v>
      </c>
      <c r="E2763" s="39" t="s">
        <v>466</v>
      </c>
      <c r="F2763" s="11" t="s">
        <v>1700</v>
      </c>
      <c r="G2763" s="39" t="s">
        <v>458</v>
      </c>
      <c r="J2763" s="17">
        <v>2</v>
      </c>
      <c r="K2763" s="17"/>
      <c r="L2763" s="7">
        <f t="shared" si="1173"/>
        <v>2</v>
      </c>
      <c r="M2763" s="8">
        <v>1</v>
      </c>
      <c r="N2763" s="8">
        <f t="shared" si="1174"/>
        <v>1</v>
      </c>
      <c r="O2763" s="11" t="s">
        <v>1702</v>
      </c>
      <c r="P2763" s="16" t="str">
        <f t="shared" si="1175"/>
        <v>10-Jan-1898</v>
      </c>
      <c r="R2763" s="16" t="str">
        <f t="shared" si="1158"/>
        <v>x</v>
      </c>
      <c r="S2763" s="16" t="str">
        <f t="shared" si="1158"/>
        <v>x</v>
      </c>
      <c r="T2763" s="11"/>
      <c r="U2763" s="46" t="str">
        <f t="shared" si="1167"/>
        <v/>
      </c>
      <c r="V2763" s="46">
        <f t="shared" si="1167"/>
        <v>2</v>
      </c>
      <c r="W2763" s="46" t="str">
        <f t="shared" si="1167"/>
        <v/>
      </c>
      <c r="X2763" s="46" t="str">
        <f t="shared" si="1167"/>
        <v/>
      </c>
    </row>
    <row r="2764" spans="2:24" x14ac:dyDescent="0.25">
      <c r="B2764" s="11" t="str">
        <f t="shared" si="1172"/>
        <v>LGSC-07FEB1898</v>
      </c>
      <c r="C2764" s="11" t="s">
        <v>94</v>
      </c>
      <c r="D2764" s="11" t="s">
        <v>1699</v>
      </c>
      <c r="E2764" s="39" t="s">
        <v>467</v>
      </c>
      <c r="F2764" s="11" t="s">
        <v>1700</v>
      </c>
      <c r="G2764" s="39" t="s">
        <v>459</v>
      </c>
      <c r="J2764" s="17">
        <v>4</v>
      </c>
      <c r="K2764" s="17"/>
      <c r="L2764" s="7">
        <f t="shared" si="1173"/>
        <v>4</v>
      </c>
      <c r="M2764" s="8">
        <v>1</v>
      </c>
      <c r="N2764" s="8">
        <f t="shared" si="1174"/>
        <v>1</v>
      </c>
      <c r="O2764" s="11" t="s">
        <v>1702</v>
      </c>
      <c r="P2764" s="16" t="str">
        <f t="shared" si="1175"/>
        <v>07-Feb-1898</v>
      </c>
      <c r="R2764" s="16" t="str">
        <f t="shared" si="1158"/>
        <v>x</v>
      </c>
      <c r="S2764" s="16" t="str">
        <f t="shared" si="1158"/>
        <v>x</v>
      </c>
      <c r="T2764" s="11"/>
      <c r="U2764" s="46" t="str">
        <f t="shared" si="1167"/>
        <v/>
      </c>
      <c r="V2764" s="46">
        <f t="shared" si="1167"/>
        <v>4</v>
      </c>
      <c r="W2764" s="46" t="str">
        <f t="shared" si="1167"/>
        <v/>
      </c>
      <c r="X2764" s="46" t="str">
        <f t="shared" si="1167"/>
        <v/>
      </c>
    </row>
    <row r="2765" spans="2:24" x14ac:dyDescent="0.25">
      <c r="B2765" s="11" t="str">
        <f t="shared" si="1172"/>
        <v>LGSC-07MAR1898</v>
      </c>
      <c r="C2765" s="11" t="s">
        <v>94</v>
      </c>
      <c r="D2765" s="11" t="s">
        <v>1699</v>
      </c>
      <c r="E2765" s="39" t="s">
        <v>468</v>
      </c>
      <c r="F2765" s="11" t="s">
        <v>1700</v>
      </c>
      <c r="G2765" s="39" t="s">
        <v>202</v>
      </c>
      <c r="J2765" s="17">
        <v>2</v>
      </c>
      <c r="K2765" s="17"/>
      <c r="L2765" s="7">
        <f t="shared" si="1173"/>
        <v>2</v>
      </c>
      <c r="M2765" s="8">
        <v>1</v>
      </c>
      <c r="N2765" s="8">
        <f t="shared" si="1174"/>
        <v>1</v>
      </c>
      <c r="O2765" s="11" t="s">
        <v>1702</v>
      </c>
      <c r="P2765" s="16" t="str">
        <f t="shared" si="1175"/>
        <v>07-Mar-1898</v>
      </c>
      <c r="R2765" s="16" t="str">
        <f t="shared" si="1158"/>
        <v>x</v>
      </c>
      <c r="S2765" s="16" t="str">
        <f t="shared" si="1158"/>
        <v>x</v>
      </c>
      <c r="T2765" s="11"/>
      <c r="U2765" s="46" t="str">
        <f t="shared" si="1167"/>
        <v/>
      </c>
      <c r="V2765" s="46">
        <f t="shared" si="1167"/>
        <v>2</v>
      </c>
      <c r="W2765" s="46" t="str">
        <f t="shared" si="1167"/>
        <v/>
      </c>
      <c r="X2765" s="46" t="str">
        <f t="shared" si="1167"/>
        <v/>
      </c>
    </row>
    <row r="2766" spans="2:24" x14ac:dyDescent="0.25">
      <c r="B2766" s="11" t="str">
        <f t="shared" ref="B2766:B2776" si="1176">CONCATENATE("LGSC","-",LEFT(P2766,2),UPPER(MID(P2766,4,3)),RIGHT(P2766,4))</f>
        <v>LGSC-11APR1898</v>
      </c>
      <c r="C2766" s="11" t="s">
        <v>94</v>
      </c>
      <c r="D2766" s="11" t="s">
        <v>1699</v>
      </c>
      <c r="E2766" s="39" t="s">
        <v>469</v>
      </c>
      <c r="F2766" s="11" t="s">
        <v>1700</v>
      </c>
      <c r="G2766" s="39" t="s">
        <v>460</v>
      </c>
      <c r="J2766" s="17">
        <v>20</v>
      </c>
      <c r="K2766" s="17"/>
      <c r="L2766" s="7">
        <f t="shared" ref="L2766:L2776" si="1177">SUM(H2766:K2766)</f>
        <v>20</v>
      </c>
      <c r="M2766" s="8">
        <v>1</v>
      </c>
      <c r="N2766" s="8">
        <f t="shared" ref="N2766:N2776" si="1178">IF(L2766&gt;0,1,"")</f>
        <v>1</v>
      </c>
      <c r="O2766" s="11" t="s">
        <v>1702</v>
      </c>
      <c r="P2766" s="16" t="str">
        <f t="shared" ref="P2766:P2776" si="1179">IF(LEN(G2766)=10,CONCATENATE("0",G2766),G2766)</f>
        <v>11-Apr-1898</v>
      </c>
      <c r="R2766" s="16" t="str">
        <f t="shared" si="1158"/>
        <v>x</v>
      </c>
      <c r="S2766" s="16" t="str">
        <f t="shared" si="1158"/>
        <v>x</v>
      </c>
      <c r="T2766" s="11"/>
      <c r="U2766" s="46" t="str">
        <f t="shared" si="1167"/>
        <v/>
      </c>
      <c r="V2766" s="46">
        <f t="shared" si="1167"/>
        <v>20</v>
      </c>
      <c r="W2766" s="46" t="str">
        <f t="shared" si="1167"/>
        <v/>
      </c>
      <c r="X2766" s="46" t="str">
        <f t="shared" si="1167"/>
        <v/>
      </c>
    </row>
    <row r="2767" spans="2:24" x14ac:dyDescent="0.25">
      <c r="B2767" s="11" t="str">
        <f t="shared" si="1176"/>
        <v>LGSC-16MAY1898</v>
      </c>
      <c r="C2767" s="11" t="s">
        <v>94</v>
      </c>
      <c r="D2767" s="11" t="s">
        <v>1699</v>
      </c>
      <c r="E2767" s="39" t="s">
        <v>470</v>
      </c>
      <c r="F2767" s="11" t="s">
        <v>1700</v>
      </c>
      <c r="G2767" s="39" t="s">
        <v>204</v>
      </c>
      <c r="J2767" s="17">
        <v>7</v>
      </c>
      <c r="K2767" s="17"/>
      <c r="L2767" s="7">
        <f t="shared" si="1177"/>
        <v>7</v>
      </c>
      <c r="M2767" s="8">
        <v>1</v>
      </c>
      <c r="N2767" s="8">
        <f t="shared" si="1178"/>
        <v>1</v>
      </c>
      <c r="O2767" s="11" t="s">
        <v>1702</v>
      </c>
      <c r="P2767" s="16" t="str">
        <f t="shared" si="1179"/>
        <v>16-May-1898</v>
      </c>
      <c r="R2767" s="16" t="str">
        <f t="shared" si="1158"/>
        <v>x</v>
      </c>
      <c r="S2767" s="16" t="str">
        <f t="shared" si="1158"/>
        <v>x</v>
      </c>
      <c r="T2767" s="11"/>
      <c r="U2767" s="46" t="str">
        <f t="shared" si="1167"/>
        <v/>
      </c>
      <c r="V2767" s="46">
        <f t="shared" si="1167"/>
        <v>7</v>
      </c>
      <c r="W2767" s="46" t="str">
        <f t="shared" si="1167"/>
        <v/>
      </c>
      <c r="X2767" s="46" t="str">
        <f t="shared" si="1167"/>
        <v/>
      </c>
    </row>
    <row r="2768" spans="2:24" x14ac:dyDescent="0.25">
      <c r="B2768" s="11" t="str">
        <f t="shared" si="1176"/>
        <v>LGSC-24JUL1898</v>
      </c>
      <c r="C2768" s="11" t="s">
        <v>94</v>
      </c>
      <c r="D2768" s="11" t="s">
        <v>1699</v>
      </c>
      <c r="E2768" s="39" t="s">
        <v>471</v>
      </c>
      <c r="F2768" s="11" t="s">
        <v>1700</v>
      </c>
      <c r="G2768" s="39" t="s">
        <v>461</v>
      </c>
      <c r="J2768" s="17">
        <v>12</v>
      </c>
      <c r="K2768" s="17"/>
      <c r="L2768" s="7">
        <f t="shared" si="1177"/>
        <v>12</v>
      </c>
      <c r="M2768" s="8">
        <v>1</v>
      </c>
      <c r="N2768" s="8">
        <f t="shared" si="1178"/>
        <v>1</v>
      </c>
      <c r="O2768" s="11" t="s">
        <v>1702</v>
      </c>
      <c r="P2768" s="16" t="str">
        <f t="shared" si="1179"/>
        <v>24-Jul-1898</v>
      </c>
      <c r="R2768" s="16" t="str">
        <f t="shared" si="1158"/>
        <v>x</v>
      </c>
      <c r="S2768" s="16" t="str">
        <f t="shared" si="1158"/>
        <v>x</v>
      </c>
      <c r="T2768" s="11"/>
      <c r="U2768" s="46" t="str">
        <f t="shared" si="1167"/>
        <v/>
      </c>
      <c r="V2768" s="46">
        <f t="shared" si="1167"/>
        <v>12</v>
      </c>
      <c r="W2768" s="46" t="str">
        <f t="shared" si="1167"/>
        <v/>
      </c>
      <c r="X2768" s="46" t="str">
        <f t="shared" si="1167"/>
        <v/>
      </c>
    </row>
    <row r="2769" spans="2:24" x14ac:dyDescent="0.25">
      <c r="B2769" s="11" t="str">
        <f t="shared" si="1176"/>
        <v>LGSC-21AUG1898</v>
      </c>
      <c r="C2769" s="11" t="s">
        <v>94</v>
      </c>
      <c r="D2769" s="11" t="s">
        <v>1699</v>
      </c>
      <c r="E2769" s="39" t="s">
        <v>472</v>
      </c>
      <c r="F2769" s="11" t="s">
        <v>1700</v>
      </c>
      <c r="G2769" s="39" t="s">
        <v>462</v>
      </c>
      <c r="J2769" s="17">
        <v>6</v>
      </c>
      <c r="K2769" s="17"/>
      <c r="L2769" s="7">
        <f t="shared" si="1177"/>
        <v>6</v>
      </c>
      <c r="M2769" s="8">
        <v>1</v>
      </c>
      <c r="N2769" s="8">
        <f t="shared" si="1178"/>
        <v>1</v>
      </c>
      <c r="O2769" s="11" t="s">
        <v>1702</v>
      </c>
      <c r="P2769" s="16" t="str">
        <f t="shared" si="1179"/>
        <v>21-Aug-1898</v>
      </c>
      <c r="R2769" s="16" t="str">
        <f t="shared" si="1158"/>
        <v>x</v>
      </c>
      <c r="S2769" s="16" t="str">
        <f t="shared" si="1158"/>
        <v>x</v>
      </c>
      <c r="T2769" s="11"/>
      <c r="U2769" s="46" t="str">
        <f t="shared" si="1167"/>
        <v/>
      </c>
      <c r="V2769" s="46">
        <f t="shared" si="1167"/>
        <v>6</v>
      </c>
      <c r="W2769" s="46" t="str">
        <f t="shared" si="1167"/>
        <v/>
      </c>
      <c r="X2769" s="46" t="str">
        <f t="shared" si="1167"/>
        <v/>
      </c>
    </row>
    <row r="2770" spans="2:24" x14ac:dyDescent="0.25">
      <c r="B2770" s="11" t="str">
        <f t="shared" si="1176"/>
        <v>LGSC-25SEP1898</v>
      </c>
      <c r="C2770" s="11" t="s">
        <v>94</v>
      </c>
      <c r="D2770" s="11" t="s">
        <v>1699</v>
      </c>
      <c r="E2770" s="39" t="s">
        <v>473</v>
      </c>
      <c r="F2770" s="11" t="s">
        <v>1700</v>
      </c>
      <c r="G2770" s="39" t="s">
        <v>463</v>
      </c>
      <c r="J2770" s="17">
        <v>0</v>
      </c>
      <c r="K2770" s="17"/>
      <c r="L2770" s="7">
        <f t="shared" si="1177"/>
        <v>0</v>
      </c>
      <c r="M2770" s="8">
        <v>1</v>
      </c>
      <c r="N2770" s="8" t="str">
        <f t="shared" si="1178"/>
        <v/>
      </c>
      <c r="O2770" s="11" t="s">
        <v>1702</v>
      </c>
      <c r="P2770" s="16" t="str">
        <f t="shared" si="1179"/>
        <v>25-Sep-1898</v>
      </c>
      <c r="R2770" s="16" t="str">
        <f t="shared" si="1158"/>
        <v/>
      </c>
      <c r="S2770" s="16" t="str">
        <f t="shared" si="1158"/>
        <v/>
      </c>
      <c r="T2770" s="11"/>
      <c r="U2770" s="46" t="str">
        <f t="shared" si="1167"/>
        <v/>
      </c>
      <c r="V2770" s="46">
        <f t="shared" si="1167"/>
        <v>0</v>
      </c>
      <c r="W2770" s="46" t="str">
        <f t="shared" si="1167"/>
        <v/>
      </c>
      <c r="X2770" s="46" t="str">
        <f t="shared" si="1167"/>
        <v/>
      </c>
    </row>
    <row r="2771" spans="2:24" x14ac:dyDescent="0.25">
      <c r="B2771" s="11" t="str">
        <f t="shared" si="1176"/>
        <v>LGSC-06NOV1898</v>
      </c>
      <c r="C2771" s="11" t="s">
        <v>94</v>
      </c>
      <c r="D2771" s="11" t="s">
        <v>1699</v>
      </c>
      <c r="E2771" s="39" t="s">
        <v>474</v>
      </c>
      <c r="F2771" s="11" t="s">
        <v>1700</v>
      </c>
      <c r="G2771" s="39" t="s">
        <v>464</v>
      </c>
      <c r="J2771" s="17">
        <v>13</v>
      </c>
      <c r="K2771" s="17"/>
      <c r="L2771" s="7">
        <f t="shared" si="1177"/>
        <v>13</v>
      </c>
      <c r="M2771" s="8">
        <v>1</v>
      </c>
      <c r="N2771" s="8">
        <f t="shared" si="1178"/>
        <v>1</v>
      </c>
      <c r="O2771" s="11" t="s">
        <v>1702</v>
      </c>
      <c r="P2771" s="16" t="str">
        <f t="shared" si="1179"/>
        <v>06-Nov-1898</v>
      </c>
      <c r="R2771" s="16" t="str">
        <f t="shared" si="1158"/>
        <v>x</v>
      </c>
      <c r="S2771" s="16" t="str">
        <f t="shared" si="1158"/>
        <v>x</v>
      </c>
      <c r="T2771" s="11"/>
      <c r="U2771" s="46" t="str">
        <f t="shared" si="1167"/>
        <v/>
      </c>
      <c r="V2771" s="46">
        <f t="shared" si="1167"/>
        <v>13</v>
      </c>
      <c r="W2771" s="46" t="str">
        <f t="shared" si="1167"/>
        <v/>
      </c>
      <c r="X2771" s="46" t="str">
        <f t="shared" si="1167"/>
        <v/>
      </c>
    </row>
    <row r="2772" spans="2:24" x14ac:dyDescent="0.25">
      <c r="B2772" s="11" t="str">
        <f t="shared" si="1176"/>
        <v>LGSC-05DEC1898</v>
      </c>
      <c r="C2772" s="11" t="s">
        <v>94</v>
      </c>
      <c r="D2772" s="11" t="s">
        <v>1699</v>
      </c>
      <c r="E2772" s="39" t="s">
        <v>475</v>
      </c>
      <c r="F2772" s="11" t="s">
        <v>1700</v>
      </c>
      <c r="G2772" s="39" t="s">
        <v>465</v>
      </c>
      <c r="J2772" s="17">
        <v>18</v>
      </c>
      <c r="K2772" s="17"/>
      <c r="L2772" s="7">
        <f t="shared" si="1177"/>
        <v>18</v>
      </c>
      <c r="M2772" s="8">
        <v>1</v>
      </c>
      <c r="N2772" s="8">
        <f t="shared" si="1178"/>
        <v>1</v>
      </c>
      <c r="O2772" s="11" t="s">
        <v>1702</v>
      </c>
      <c r="P2772" s="16" t="str">
        <f t="shared" si="1179"/>
        <v>05-Dec-1898</v>
      </c>
      <c r="R2772" s="16" t="str">
        <f t="shared" si="1158"/>
        <v>x</v>
      </c>
      <c r="S2772" s="16" t="str">
        <f t="shared" si="1158"/>
        <v>x</v>
      </c>
      <c r="T2772" s="11"/>
      <c r="U2772" s="46" t="str">
        <f t="shared" si="1167"/>
        <v/>
      </c>
      <c r="V2772" s="46">
        <f t="shared" si="1167"/>
        <v>18</v>
      </c>
      <c r="W2772" s="46" t="str">
        <f t="shared" si="1167"/>
        <v/>
      </c>
      <c r="X2772" s="46" t="str">
        <f t="shared" si="1167"/>
        <v/>
      </c>
    </row>
    <row r="2773" spans="2:24" x14ac:dyDescent="0.25">
      <c r="B2773" s="11" t="str">
        <f t="shared" si="1176"/>
        <v>LGSC-03JAN1899</v>
      </c>
      <c r="C2773" s="11" t="s">
        <v>94</v>
      </c>
      <c r="D2773" s="11" t="s">
        <v>1699</v>
      </c>
      <c r="E2773" s="39" t="s">
        <v>494</v>
      </c>
      <c r="F2773" s="11" t="s">
        <v>1700</v>
      </c>
      <c r="G2773" s="39" t="s">
        <v>476</v>
      </c>
      <c r="J2773" s="17">
        <v>4</v>
      </c>
      <c r="K2773" s="17"/>
      <c r="L2773" s="7">
        <f t="shared" si="1177"/>
        <v>4</v>
      </c>
      <c r="M2773" s="8">
        <v>1</v>
      </c>
      <c r="N2773" s="8">
        <f t="shared" si="1178"/>
        <v>1</v>
      </c>
      <c r="O2773" s="11" t="s">
        <v>1702</v>
      </c>
      <c r="P2773" s="16" t="str">
        <f t="shared" si="1179"/>
        <v>03-Jan-1899</v>
      </c>
      <c r="R2773" s="16" t="str">
        <f t="shared" ref="R2773:S2793" si="1180">IF($L2773&gt;0,"x","")</f>
        <v>x</v>
      </c>
      <c r="S2773" s="16" t="str">
        <f t="shared" si="1180"/>
        <v>x</v>
      </c>
      <c r="T2773" s="11"/>
      <c r="U2773" s="46" t="str">
        <f t="shared" si="1167"/>
        <v/>
      </c>
      <c r="V2773" s="46">
        <f t="shared" si="1167"/>
        <v>4</v>
      </c>
      <c r="W2773" s="46" t="str">
        <f t="shared" si="1167"/>
        <v/>
      </c>
      <c r="X2773" s="46" t="str">
        <f t="shared" si="1167"/>
        <v/>
      </c>
    </row>
    <row r="2774" spans="2:24" x14ac:dyDescent="0.25">
      <c r="B2774" s="11" t="str">
        <f t="shared" si="1176"/>
        <v>LGSC-30JAN1899</v>
      </c>
      <c r="C2774" s="11" t="s">
        <v>94</v>
      </c>
      <c r="D2774" s="11" t="s">
        <v>1699</v>
      </c>
      <c r="E2774" s="39" t="s">
        <v>495</v>
      </c>
      <c r="F2774" s="11" t="s">
        <v>1700</v>
      </c>
      <c r="G2774" s="39" t="s">
        <v>477</v>
      </c>
      <c r="J2774" s="17">
        <v>2</v>
      </c>
      <c r="K2774" s="17"/>
      <c r="L2774" s="7">
        <f t="shared" si="1177"/>
        <v>2</v>
      </c>
      <c r="M2774" s="8">
        <v>1</v>
      </c>
      <c r="N2774" s="8">
        <f t="shared" si="1178"/>
        <v>1</v>
      </c>
      <c r="O2774" s="11" t="s">
        <v>1702</v>
      </c>
      <c r="P2774" s="16" t="str">
        <f t="shared" si="1179"/>
        <v>30-Jan-1899</v>
      </c>
      <c r="R2774" s="16" t="str">
        <f t="shared" si="1180"/>
        <v>x</v>
      </c>
      <c r="S2774" s="16" t="str">
        <f t="shared" si="1180"/>
        <v>x</v>
      </c>
      <c r="T2774" s="11"/>
      <c r="U2774" s="46" t="str">
        <f t="shared" si="1167"/>
        <v/>
      </c>
      <c r="V2774" s="46">
        <f t="shared" si="1167"/>
        <v>2</v>
      </c>
      <c r="W2774" s="46" t="str">
        <f t="shared" si="1167"/>
        <v/>
      </c>
      <c r="X2774" s="46" t="str">
        <f t="shared" si="1167"/>
        <v/>
      </c>
    </row>
    <row r="2775" spans="2:24" x14ac:dyDescent="0.25">
      <c r="B2775" s="11" t="str">
        <f t="shared" si="1176"/>
        <v>LGSC-23APR1899</v>
      </c>
      <c r="C2775" s="11" t="s">
        <v>94</v>
      </c>
      <c r="D2775" s="11" t="s">
        <v>1699</v>
      </c>
      <c r="E2775" s="39" t="s">
        <v>496</v>
      </c>
      <c r="F2775" s="11" t="s">
        <v>1700</v>
      </c>
      <c r="G2775" s="39" t="s">
        <v>478</v>
      </c>
      <c r="J2775" s="17">
        <v>13</v>
      </c>
      <c r="K2775" s="17"/>
      <c r="L2775" s="7">
        <f t="shared" si="1177"/>
        <v>13</v>
      </c>
      <c r="M2775" s="8">
        <v>1</v>
      </c>
      <c r="N2775" s="8">
        <f t="shared" si="1178"/>
        <v>1</v>
      </c>
      <c r="O2775" s="11" t="s">
        <v>1702</v>
      </c>
      <c r="P2775" s="16" t="str">
        <f t="shared" si="1179"/>
        <v>23-Apr-1899</v>
      </c>
      <c r="R2775" s="16" t="str">
        <f t="shared" si="1180"/>
        <v>x</v>
      </c>
      <c r="S2775" s="16" t="str">
        <f t="shared" si="1180"/>
        <v>x</v>
      </c>
      <c r="T2775" s="11"/>
      <c r="U2775" s="46" t="str">
        <f t="shared" si="1167"/>
        <v/>
      </c>
      <c r="V2775" s="46">
        <f t="shared" si="1167"/>
        <v>13</v>
      </c>
      <c r="W2775" s="46" t="str">
        <f t="shared" si="1167"/>
        <v/>
      </c>
      <c r="X2775" s="46" t="str">
        <f t="shared" si="1167"/>
        <v/>
      </c>
    </row>
    <row r="2776" spans="2:24" x14ac:dyDescent="0.25">
      <c r="B2776" s="11" t="str">
        <f t="shared" si="1176"/>
        <v>LGSC-29MAY1899</v>
      </c>
      <c r="C2776" s="11" t="s">
        <v>94</v>
      </c>
      <c r="D2776" s="11" t="s">
        <v>1699</v>
      </c>
      <c r="E2776" s="39" t="s">
        <v>497</v>
      </c>
      <c r="F2776" s="11" t="s">
        <v>1700</v>
      </c>
      <c r="G2776" s="39" t="s">
        <v>479</v>
      </c>
      <c r="J2776" s="17">
        <v>11</v>
      </c>
      <c r="K2776" s="17"/>
      <c r="L2776" s="7">
        <f t="shared" si="1177"/>
        <v>11</v>
      </c>
      <c r="M2776" s="8">
        <v>1</v>
      </c>
      <c r="N2776" s="8">
        <f t="shared" si="1178"/>
        <v>1</v>
      </c>
      <c r="O2776" s="11" t="s">
        <v>1702</v>
      </c>
      <c r="P2776" s="16" t="str">
        <f t="shared" si="1179"/>
        <v>29-May-1899</v>
      </c>
      <c r="R2776" s="16" t="str">
        <f t="shared" si="1180"/>
        <v>x</v>
      </c>
      <c r="S2776" s="16" t="str">
        <f t="shared" si="1180"/>
        <v>x</v>
      </c>
      <c r="T2776" s="11"/>
      <c r="U2776" s="46" t="str">
        <f t="shared" si="1167"/>
        <v/>
      </c>
      <c r="V2776" s="46">
        <f t="shared" si="1167"/>
        <v>11</v>
      </c>
      <c r="W2776" s="46" t="str">
        <f t="shared" si="1167"/>
        <v/>
      </c>
      <c r="X2776" s="46" t="str">
        <f t="shared" si="1167"/>
        <v/>
      </c>
    </row>
    <row r="2777" spans="2:24" x14ac:dyDescent="0.25">
      <c r="B2777" s="11" t="str">
        <f t="shared" ref="B2777:B2786" si="1181">CONCATENATE("LGSC","-",LEFT(P2777,2),UPPER(MID(P2777,4,3)),RIGHT(P2777,4))</f>
        <v>LGSC-26JUN1899</v>
      </c>
      <c r="C2777" s="11" t="s">
        <v>94</v>
      </c>
      <c r="D2777" s="11" t="s">
        <v>1699</v>
      </c>
      <c r="E2777" s="39" t="s">
        <v>498</v>
      </c>
      <c r="F2777" s="11" t="s">
        <v>1700</v>
      </c>
      <c r="G2777" s="39" t="s">
        <v>480</v>
      </c>
      <c r="J2777" s="17">
        <v>4</v>
      </c>
      <c r="K2777" s="17"/>
      <c r="L2777" s="7">
        <f t="shared" ref="L2777:L2786" si="1182">SUM(H2777:K2777)</f>
        <v>4</v>
      </c>
      <c r="M2777" s="8">
        <v>1</v>
      </c>
      <c r="N2777" s="8">
        <f t="shared" ref="N2777:N2786" si="1183">IF(L2777&gt;0,1,"")</f>
        <v>1</v>
      </c>
      <c r="O2777" s="11" t="s">
        <v>1702</v>
      </c>
      <c r="P2777" s="16" t="str">
        <f t="shared" ref="P2777:P2786" si="1184">IF(LEN(G2777)=10,CONCATENATE("0",G2777),G2777)</f>
        <v>26-Jun-1899</v>
      </c>
      <c r="R2777" s="16" t="str">
        <f t="shared" si="1180"/>
        <v>x</v>
      </c>
      <c r="S2777" s="16" t="str">
        <f t="shared" si="1180"/>
        <v>x</v>
      </c>
      <c r="T2777" s="11"/>
      <c r="U2777" s="46" t="str">
        <f t="shared" si="1167"/>
        <v/>
      </c>
      <c r="V2777" s="46">
        <f t="shared" si="1167"/>
        <v>4</v>
      </c>
      <c r="W2777" s="46" t="str">
        <f t="shared" si="1167"/>
        <v/>
      </c>
      <c r="X2777" s="46" t="str">
        <f t="shared" si="1167"/>
        <v/>
      </c>
    </row>
    <row r="2778" spans="2:24" x14ac:dyDescent="0.25">
      <c r="B2778" s="11" t="str">
        <f t="shared" si="1181"/>
        <v>LGSC-24JUL1899</v>
      </c>
      <c r="C2778" s="11" t="s">
        <v>94</v>
      </c>
      <c r="D2778" s="11" t="s">
        <v>1699</v>
      </c>
      <c r="E2778" s="39" t="s">
        <v>499</v>
      </c>
      <c r="F2778" s="11" t="s">
        <v>1700</v>
      </c>
      <c r="G2778" s="39" t="s">
        <v>481</v>
      </c>
      <c r="J2778" s="17">
        <v>11</v>
      </c>
      <c r="K2778" s="17"/>
      <c r="L2778" s="7">
        <f t="shared" si="1182"/>
        <v>11</v>
      </c>
      <c r="M2778" s="8">
        <v>1</v>
      </c>
      <c r="N2778" s="8">
        <f t="shared" si="1183"/>
        <v>1</v>
      </c>
      <c r="O2778" s="11" t="s">
        <v>1702</v>
      </c>
      <c r="P2778" s="16" t="str">
        <f t="shared" si="1184"/>
        <v>24-Jul-1899</v>
      </c>
      <c r="R2778" s="16" t="str">
        <f t="shared" si="1180"/>
        <v>x</v>
      </c>
      <c r="S2778" s="16" t="str">
        <f t="shared" si="1180"/>
        <v>x</v>
      </c>
      <c r="T2778" s="11"/>
      <c r="U2778" s="46" t="str">
        <f t="shared" si="1167"/>
        <v/>
      </c>
      <c r="V2778" s="46">
        <f t="shared" si="1167"/>
        <v>11</v>
      </c>
      <c r="W2778" s="46" t="str">
        <f t="shared" si="1167"/>
        <v/>
      </c>
      <c r="X2778" s="46" t="str">
        <f t="shared" si="1167"/>
        <v/>
      </c>
    </row>
    <row r="2779" spans="2:24" x14ac:dyDescent="0.25">
      <c r="B2779" s="11" t="str">
        <f t="shared" si="1181"/>
        <v>LGSC-10SEP1899</v>
      </c>
      <c r="C2779" s="11" t="s">
        <v>94</v>
      </c>
      <c r="D2779" s="11" t="s">
        <v>1699</v>
      </c>
      <c r="E2779" s="39" t="s">
        <v>500</v>
      </c>
      <c r="F2779" s="11" t="s">
        <v>1700</v>
      </c>
      <c r="G2779" s="39" t="s">
        <v>482</v>
      </c>
      <c r="J2779" s="17">
        <v>8</v>
      </c>
      <c r="K2779" s="17"/>
      <c r="L2779" s="7">
        <f t="shared" si="1182"/>
        <v>8</v>
      </c>
      <c r="M2779" s="8">
        <v>1</v>
      </c>
      <c r="N2779" s="8">
        <f t="shared" si="1183"/>
        <v>1</v>
      </c>
      <c r="O2779" s="11" t="s">
        <v>1702</v>
      </c>
      <c r="P2779" s="16" t="str">
        <f t="shared" si="1184"/>
        <v>10-Sep-1899</v>
      </c>
      <c r="R2779" s="16" t="str">
        <f t="shared" si="1180"/>
        <v>x</v>
      </c>
      <c r="S2779" s="16" t="str">
        <f t="shared" si="1180"/>
        <v>x</v>
      </c>
      <c r="T2779" s="11"/>
      <c r="U2779" s="46" t="str">
        <f t="shared" si="1167"/>
        <v/>
      </c>
      <c r="V2779" s="46">
        <f t="shared" si="1167"/>
        <v>8</v>
      </c>
      <c r="W2779" s="46" t="str">
        <f t="shared" si="1167"/>
        <v/>
      </c>
      <c r="X2779" s="46" t="str">
        <f t="shared" si="1167"/>
        <v/>
      </c>
    </row>
    <row r="2780" spans="2:24" x14ac:dyDescent="0.25">
      <c r="B2780" s="11" t="str">
        <f t="shared" si="1181"/>
        <v>LGSC-16OCT1899</v>
      </c>
      <c r="C2780" s="11" t="s">
        <v>94</v>
      </c>
      <c r="D2780" s="11" t="s">
        <v>1699</v>
      </c>
      <c r="E2780" s="39" t="s">
        <v>501</v>
      </c>
      <c r="F2780" s="11" t="s">
        <v>1700</v>
      </c>
      <c r="G2780" s="39" t="s">
        <v>483</v>
      </c>
      <c r="J2780" s="17">
        <v>3</v>
      </c>
      <c r="K2780" s="17"/>
      <c r="L2780" s="7">
        <f t="shared" si="1182"/>
        <v>3</v>
      </c>
      <c r="M2780" s="8">
        <v>1</v>
      </c>
      <c r="N2780" s="8">
        <f t="shared" si="1183"/>
        <v>1</v>
      </c>
      <c r="O2780" s="11" t="s">
        <v>1702</v>
      </c>
      <c r="P2780" s="16" t="str">
        <f t="shared" si="1184"/>
        <v>16-Oct-1899</v>
      </c>
      <c r="R2780" s="16" t="str">
        <f t="shared" si="1180"/>
        <v>x</v>
      </c>
      <c r="S2780" s="16" t="str">
        <f t="shared" si="1180"/>
        <v>x</v>
      </c>
      <c r="T2780" s="11"/>
      <c r="U2780" s="46" t="str">
        <f t="shared" si="1167"/>
        <v/>
      </c>
      <c r="V2780" s="46">
        <f t="shared" si="1167"/>
        <v>3</v>
      </c>
      <c r="W2780" s="46" t="str">
        <f t="shared" si="1167"/>
        <v/>
      </c>
      <c r="X2780" s="46" t="str">
        <f t="shared" si="1167"/>
        <v/>
      </c>
    </row>
    <row r="2781" spans="2:24" x14ac:dyDescent="0.25">
      <c r="B2781" s="11" t="str">
        <f t="shared" si="1181"/>
        <v>LGSC-13NOV1899</v>
      </c>
      <c r="C2781" s="11" t="s">
        <v>94</v>
      </c>
      <c r="D2781" s="11" t="s">
        <v>1699</v>
      </c>
      <c r="E2781" s="39" t="s">
        <v>502</v>
      </c>
      <c r="F2781" s="11" t="s">
        <v>1700</v>
      </c>
      <c r="G2781" s="39" t="s">
        <v>484</v>
      </c>
      <c r="J2781" s="17">
        <v>1</v>
      </c>
      <c r="K2781" s="17"/>
      <c r="L2781" s="7">
        <f t="shared" si="1182"/>
        <v>1</v>
      </c>
      <c r="M2781" s="8">
        <v>1</v>
      </c>
      <c r="N2781" s="8">
        <f t="shared" si="1183"/>
        <v>1</v>
      </c>
      <c r="O2781" s="11" t="s">
        <v>1702</v>
      </c>
      <c r="P2781" s="16" t="str">
        <f t="shared" si="1184"/>
        <v>13-Nov-1899</v>
      </c>
      <c r="R2781" s="16" t="str">
        <f t="shared" si="1180"/>
        <v>x</v>
      </c>
      <c r="S2781" s="16" t="str">
        <f t="shared" si="1180"/>
        <v>x</v>
      </c>
      <c r="T2781" s="11"/>
      <c r="U2781" s="46" t="str">
        <f t="shared" si="1167"/>
        <v/>
      </c>
      <c r="V2781" s="46">
        <f t="shared" si="1167"/>
        <v>1</v>
      </c>
      <c r="W2781" s="46" t="str">
        <f t="shared" si="1167"/>
        <v/>
      </c>
      <c r="X2781" s="46" t="str">
        <f t="shared" si="1167"/>
        <v/>
      </c>
    </row>
    <row r="2782" spans="2:24" x14ac:dyDescent="0.25">
      <c r="B2782" s="11" t="str">
        <f t="shared" si="1181"/>
        <v>LGSC-10DEC1899</v>
      </c>
      <c r="C2782" s="11" t="s">
        <v>94</v>
      </c>
      <c r="D2782" s="11" t="s">
        <v>1699</v>
      </c>
      <c r="E2782" s="39" t="s">
        <v>503</v>
      </c>
      <c r="F2782" s="11" t="s">
        <v>1700</v>
      </c>
      <c r="G2782" s="39" t="s">
        <v>485</v>
      </c>
      <c r="J2782" s="17">
        <v>8</v>
      </c>
      <c r="K2782" s="17"/>
      <c r="L2782" s="7">
        <f t="shared" si="1182"/>
        <v>8</v>
      </c>
      <c r="M2782" s="8">
        <v>1</v>
      </c>
      <c r="N2782" s="8">
        <f t="shared" si="1183"/>
        <v>1</v>
      </c>
      <c r="O2782" s="11" t="s">
        <v>1702</v>
      </c>
      <c r="P2782" s="16" t="str">
        <f t="shared" si="1184"/>
        <v>10-Dec-1899</v>
      </c>
      <c r="R2782" s="16" t="str">
        <f t="shared" si="1180"/>
        <v>x</v>
      </c>
      <c r="S2782" s="16" t="str">
        <f t="shared" si="1180"/>
        <v>x</v>
      </c>
      <c r="T2782" s="11"/>
      <c r="U2782" s="46" t="str">
        <f t="shared" si="1167"/>
        <v/>
      </c>
      <c r="V2782" s="46">
        <f t="shared" si="1167"/>
        <v>8</v>
      </c>
      <c r="W2782" s="46" t="str">
        <f t="shared" si="1167"/>
        <v/>
      </c>
      <c r="X2782" s="46" t="str">
        <f t="shared" si="1167"/>
        <v/>
      </c>
    </row>
    <row r="2783" spans="2:24" x14ac:dyDescent="0.25">
      <c r="B2783" s="11" t="str">
        <f t="shared" si="1181"/>
        <v>LGSC-15JAN1900</v>
      </c>
      <c r="C2783" s="11" t="s">
        <v>94</v>
      </c>
      <c r="D2783" s="11" t="s">
        <v>1699</v>
      </c>
      <c r="E2783" s="39" t="s">
        <v>504</v>
      </c>
      <c r="F2783" s="11" t="s">
        <v>1700</v>
      </c>
      <c r="G2783" s="39" t="s">
        <v>486</v>
      </c>
      <c r="J2783" s="17">
        <v>10</v>
      </c>
      <c r="K2783" s="17"/>
      <c r="L2783" s="7">
        <f t="shared" si="1182"/>
        <v>10</v>
      </c>
      <c r="M2783" s="8">
        <v>1</v>
      </c>
      <c r="N2783" s="8">
        <f t="shared" si="1183"/>
        <v>1</v>
      </c>
      <c r="O2783" s="11" t="s">
        <v>1702</v>
      </c>
      <c r="P2783" s="16" t="str">
        <f t="shared" si="1184"/>
        <v>15-Jan-1900</v>
      </c>
      <c r="R2783" s="16" t="str">
        <f t="shared" si="1180"/>
        <v>x</v>
      </c>
      <c r="S2783" s="16" t="str">
        <f t="shared" si="1180"/>
        <v>x</v>
      </c>
      <c r="T2783" s="11"/>
      <c r="U2783" s="46" t="str">
        <f t="shared" si="1167"/>
        <v/>
      </c>
      <c r="V2783" s="46">
        <f t="shared" si="1167"/>
        <v>10</v>
      </c>
      <c r="W2783" s="46" t="str">
        <f t="shared" si="1167"/>
        <v/>
      </c>
      <c r="X2783" s="46" t="str">
        <f t="shared" si="1167"/>
        <v/>
      </c>
    </row>
    <row r="2784" spans="2:24" x14ac:dyDescent="0.25">
      <c r="B2784" s="11" t="str">
        <f t="shared" si="1181"/>
        <v>LGSC-12FEB1900</v>
      </c>
      <c r="C2784" s="11" t="s">
        <v>94</v>
      </c>
      <c r="D2784" s="11" t="s">
        <v>1699</v>
      </c>
      <c r="E2784" s="39" t="s">
        <v>505</v>
      </c>
      <c r="F2784" s="11" t="s">
        <v>1700</v>
      </c>
      <c r="G2784" s="39" t="s">
        <v>487</v>
      </c>
      <c r="J2784" s="17">
        <v>4</v>
      </c>
      <c r="K2784" s="17"/>
      <c r="L2784" s="7">
        <f t="shared" si="1182"/>
        <v>4</v>
      </c>
      <c r="M2784" s="8">
        <v>1</v>
      </c>
      <c r="N2784" s="8">
        <f t="shared" si="1183"/>
        <v>1</v>
      </c>
      <c r="O2784" s="11" t="s">
        <v>1702</v>
      </c>
      <c r="P2784" s="16" t="str">
        <f t="shared" si="1184"/>
        <v>12-Feb-1900</v>
      </c>
      <c r="R2784" s="16" t="str">
        <f t="shared" si="1180"/>
        <v>x</v>
      </c>
      <c r="S2784" s="16" t="str">
        <f t="shared" si="1180"/>
        <v>x</v>
      </c>
      <c r="U2784" s="46" t="str">
        <f t="shared" si="1167"/>
        <v/>
      </c>
      <c r="V2784" s="46">
        <f t="shared" si="1167"/>
        <v>4</v>
      </c>
      <c r="W2784" s="46" t="str">
        <f t="shared" si="1167"/>
        <v/>
      </c>
      <c r="X2784" s="46" t="str">
        <f t="shared" si="1167"/>
        <v/>
      </c>
    </row>
    <row r="2785" spans="2:26" x14ac:dyDescent="0.25">
      <c r="B2785" s="11" t="str">
        <f t="shared" si="1181"/>
        <v>LGSC-18MAR1900</v>
      </c>
      <c r="C2785" s="11" t="s">
        <v>94</v>
      </c>
      <c r="D2785" s="11" t="s">
        <v>1699</v>
      </c>
      <c r="E2785" s="39" t="s">
        <v>506</v>
      </c>
      <c r="F2785" s="11" t="s">
        <v>1700</v>
      </c>
      <c r="G2785" s="39" t="s">
        <v>488</v>
      </c>
      <c r="J2785" s="17">
        <v>16</v>
      </c>
      <c r="K2785" s="17"/>
      <c r="L2785" s="7">
        <f t="shared" si="1182"/>
        <v>16</v>
      </c>
      <c r="M2785" s="8">
        <v>1</v>
      </c>
      <c r="N2785" s="8">
        <f t="shared" si="1183"/>
        <v>1</v>
      </c>
      <c r="O2785" s="11" t="s">
        <v>1702</v>
      </c>
      <c r="P2785" s="16" t="str">
        <f t="shared" si="1184"/>
        <v>18-Mar-1900</v>
      </c>
      <c r="R2785" s="16" t="str">
        <f t="shared" si="1180"/>
        <v>x</v>
      </c>
      <c r="S2785" s="16" t="str">
        <f t="shared" si="1180"/>
        <v>x</v>
      </c>
      <c r="U2785" s="46" t="str">
        <f t="shared" si="1167"/>
        <v/>
      </c>
      <c r="V2785" s="46">
        <f t="shared" si="1167"/>
        <v>16</v>
      </c>
      <c r="W2785" s="46" t="str">
        <f t="shared" si="1167"/>
        <v/>
      </c>
      <c r="X2785" s="46" t="str">
        <f t="shared" si="1167"/>
        <v/>
      </c>
    </row>
    <row r="2786" spans="2:26" x14ac:dyDescent="0.25">
      <c r="B2786" s="11" t="str">
        <f t="shared" si="1181"/>
        <v>LGSC-16APR1900</v>
      </c>
      <c r="C2786" s="11" t="s">
        <v>94</v>
      </c>
      <c r="D2786" s="11" t="s">
        <v>1699</v>
      </c>
      <c r="E2786" s="39" t="s">
        <v>507</v>
      </c>
      <c r="F2786" s="11" t="s">
        <v>1700</v>
      </c>
      <c r="G2786" s="39" t="s">
        <v>489</v>
      </c>
      <c r="J2786" s="17">
        <v>5</v>
      </c>
      <c r="K2786" s="17"/>
      <c r="L2786" s="7">
        <f t="shared" si="1182"/>
        <v>5</v>
      </c>
      <c r="M2786" s="8">
        <v>1</v>
      </c>
      <c r="N2786" s="8">
        <f t="shared" si="1183"/>
        <v>1</v>
      </c>
      <c r="O2786" s="11" t="s">
        <v>1702</v>
      </c>
      <c r="P2786" s="16" t="str">
        <f t="shared" si="1184"/>
        <v>16-Apr-1900</v>
      </c>
      <c r="R2786" s="16" t="str">
        <f t="shared" si="1180"/>
        <v>x</v>
      </c>
      <c r="S2786" s="16" t="str">
        <f t="shared" si="1180"/>
        <v>x</v>
      </c>
      <c r="U2786" s="46" t="str">
        <f t="shared" si="1167"/>
        <v/>
      </c>
      <c r="V2786" s="46">
        <f t="shared" si="1167"/>
        <v>5</v>
      </c>
      <c r="W2786" s="46" t="str">
        <f t="shared" si="1167"/>
        <v/>
      </c>
      <c r="X2786" s="46" t="str">
        <f t="shared" si="1167"/>
        <v/>
      </c>
    </row>
    <row r="2787" spans="2:26" x14ac:dyDescent="0.25">
      <c r="B2787" s="11" t="str">
        <f t="shared" ref="B2787:B2792" si="1185">CONCATENATE("LGSC","-",LEFT(P2787,2),UPPER(MID(P2787,4,3)),RIGHT(P2787,4))</f>
        <v>LGSC-14MAY1900</v>
      </c>
      <c r="C2787" s="11" t="s">
        <v>94</v>
      </c>
      <c r="D2787" s="11" t="s">
        <v>1699</v>
      </c>
      <c r="E2787" s="39" t="s">
        <v>508</v>
      </c>
      <c r="F2787" s="11" t="s">
        <v>1700</v>
      </c>
      <c r="G2787" s="39" t="s">
        <v>490</v>
      </c>
      <c r="J2787" s="17">
        <v>27</v>
      </c>
      <c r="K2787" s="17"/>
      <c r="L2787" s="7">
        <f t="shared" ref="L2787:L2792" si="1186">SUM(H2787:K2787)</f>
        <v>27</v>
      </c>
      <c r="M2787" s="8">
        <v>1</v>
      </c>
      <c r="N2787" s="8">
        <f t="shared" ref="N2787:N2792" si="1187">IF(L2787&gt;0,1,"")</f>
        <v>1</v>
      </c>
      <c r="O2787" s="11" t="s">
        <v>1702</v>
      </c>
      <c r="P2787" s="16" t="str">
        <f t="shared" ref="P2787:P2792" si="1188">IF(LEN(G2787)=10,CONCATENATE("0",G2787),G2787)</f>
        <v>14-May-1900</v>
      </c>
      <c r="R2787" s="16" t="str">
        <f t="shared" si="1180"/>
        <v>x</v>
      </c>
      <c r="S2787" s="16" t="str">
        <f t="shared" si="1180"/>
        <v>x</v>
      </c>
      <c r="U2787" s="46" t="str">
        <f t="shared" si="1167"/>
        <v/>
      </c>
      <c r="V2787" s="46">
        <f t="shared" si="1167"/>
        <v>27</v>
      </c>
      <c r="W2787" s="46" t="str">
        <f t="shared" si="1167"/>
        <v/>
      </c>
      <c r="X2787" s="46" t="str">
        <f t="shared" si="1167"/>
        <v/>
      </c>
    </row>
    <row r="2788" spans="2:26" x14ac:dyDescent="0.25">
      <c r="B2788" s="11" t="str">
        <f t="shared" si="1185"/>
        <v>LGSC-10JUN1900</v>
      </c>
      <c r="C2788" s="11" t="s">
        <v>94</v>
      </c>
      <c r="D2788" s="11" t="s">
        <v>1699</v>
      </c>
      <c r="E2788" s="39" t="s">
        <v>510</v>
      </c>
      <c r="F2788" s="11" t="s">
        <v>1700</v>
      </c>
      <c r="G2788" s="39" t="s">
        <v>509</v>
      </c>
      <c r="J2788" s="17">
        <v>27</v>
      </c>
      <c r="K2788" s="17"/>
      <c r="L2788" s="7">
        <f t="shared" si="1186"/>
        <v>27</v>
      </c>
      <c r="M2788" s="8">
        <v>1</v>
      </c>
      <c r="N2788" s="8">
        <f t="shared" si="1187"/>
        <v>1</v>
      </c>
      <c r="O2788" s="11" t="s">
        <v>1702</v>
      </c>
      <c r="P2788" s="16" t="str">
        <f t="shared" si="1188"/>
        <v>10-Jun-1900</v>
      </c>
      <c r="R2788" s="16" t="str">
        <f t="shared" si="1180"/>
        <v>x</v>
      </c>
      <c r="S2788" s="16" t="str">
        <f t="shared" si="1180"/>
        <v>x</v>
      </c>
      <c r="U2788" s="46" t="str">
        <f t="shared" si="1167"/>
        <v/>
      </c>
      <c r="V2788" s="46">
        <f t="shared" si="1167"/>
        <v>27</v>
      </c>
      <c r="W2788" s="46" t="str">
        <f t="shared" si="1167"/>
        <v/>
      </c>
      <c r="X2788" s="46" t="str">
        <f t="shared" si="1167"/>
        <v/>
      </c>
    </row>
    <row r="2789" spans="2:26" x14ac:dyDescent="0.25">
      <c r="B2789" s="11" t="str">
        <f t="shared" si="1185"/>
        <v>LGSC-08JUL1900</v>
      </c>
      <c r="C2789" s="11" t="s">
        <v>94</v>
      </c>
      <c r="D2789" s="11" t="s">
        <v>1699</v>
      </c>
      <c r="E2789" s="39" t="s">
        <v>511</v>
      </c>
      <c r="F2789" s="11" t="s">
        <v>1700</v>
      </c>
      <c r="G2789" s="39" t="s">
        <v>512</v>
      </c>
      <c r="J2789" s="17">
        <v>78</v>
      </c>
      <c r="K2789" s="17"/>
      <c r="L2789" s="7">
        <f t="shared" si="1186"/>
        <v>78</v>
      </c>
      <c r="M2789" s="8">
        <v>1</v>
      </c>
      <c r="N2789" s="8">
        <f t="shared" si="1187"/>
        <v>1</v>
      </c>
      <c r="O2789" s="11" t="s">
        <v>1702</v>
      </c>
      <c r="P2789" s="16" t="str">
        <f t="shared" si="1188"/>
        <v>08-Jul-1900</v>
      </c>
      <c r="R2789" s="16" t="str">
        <f t="shared" si="1180"/>
        <v>x</v>
      </c>
      <c r="S2789" s="16" t="str">
        <f t="shared" si="1180"/>
        <v>x</v>
      </c>
      <c r="U2789" s="46" t="str">
        <f t="shared" si="1167"/>
        <v/>
      </c>
      <c r="V2789" s="46">
        <f t="shared" si="1167"/>
        <v>78</v>
      </c>
      <c r="W2789" s="46" t="str">
        <f t="shared" si="1167"/>
        <v/>
      </c>
      <c r="X2789" s="46" t="str">
        <f t="shared" si="1167"/>
        <v/>
      </c>
    </row>
    <row r="2790" spans="2:26" x14ac:dyDescent="0.25">
      <c r="B2790" s="11" t="str">
        <f t="shared" si="1185"/>
        <v>LGSC-23SEP1900</v>
      </c>
      <c r="C2790" s="11" t="s">
        <v>94</v>
      </c>
      <c r="D2790" s="11" t="s">
        <v>1699</v>
      </c>
      <c r="E2790" s="39" t="s">
        <v>513</v>
      </c>
      <c r="F2790" s="11" t="s">
        <v>1700</v>
      </c>
      <c r="G2790" s="39" t="s">
        <v>491</v>
      </c>
      <c r="J2790" s="17">
        <v>10</v>
      </c>
      <c r="K2790" s="17"/>
      <c r="L2790" s="7">
        <f t="shared" si="1186"/>
        <v>10</v>
      </c>
      <c r="M2790" s="8">
        <v>1</v>
      </c>
      <c r="N2790" s="8">
        <f t="shared" si="1187"/>
        <v>1</v>
      </c>
      <c r="O2790" s="11" t="s">
        <v>1702</v>
      </c>
      <c r="P2790" s="16" t="str">
        <f t="shared" si="1188"/>
        <v>23-Sep-1900</v>
      </c>
      <c r="R2790" s="16" t="str">
        <f t="shared" si="1180"/>
        <v>x</v>
      </c>
      <c r="S2790" s="16" t="str">
        <f t="shared" si="1180"/>
        <v>x</v>
      </c>
      <c r="U2790" s="46" t="str">
        <f t="shared" si="1167"/>
        <v/>
      </c>
      <c r="V2790" s="46">
        <f t="shared" si="1167"/>
        <v>10</v>
      </c>
      <c r="W2790" s="46" t="str">
        <f t="shared" si="1167"/>
        <v/>
      </c>
      <c r="X2790" s="46" t="str">
        <f t="shared" si="1167"/>
        <v/>
      </c>
    </row>
    <row r="2791" spans="2:26" x14ac:dyDescent="0.25">
      <c r="B2791" s="11" t="str">
        <f t="shared" si="1185"/>
        <v>LGSC-03DEC1900</v>
      </c>
      <c r="C2791" s="11" t="s">
        <v>94</v>
      </c>
      <c r="D2791" s="11" t="s">
        <v>1699</v>
      </c>
      <c r="E2791" s="39" t="s">
        <v>514</v>
      </c>
      <c r="F2791" s="11" t="s">
        <v>1700</v>
      </c>
      <c r="G2791" s="39" t="s">
        <v>492</v>
      </c>
      <c r="J2791" s="17">
        <v>9</v>
      </c>
      <c r="K2791" s="17"/>
      <c r="L2791" s="7">
        <f t="shared" si="1186"/>
        <v>9</v>
      </c>
      <c r="M2791" s="8">
        <v>1</v>
      </c>
      <c r="N2791" s="8">
        <f t="shared" si="1187"/>
        <v>1</v>
      </c>
      <c r="O2791" s="11" t="s">
        <v>1702</v>
      </c>
      <c r="P2791" s="16" t="str">
        <f t="shared" si="1188"/>
        <v>03-Dec-1900</v>
      </c>
      <c r="R2791" s="16" t="str">
        <f t="shared" si="1180"/>
        <v>x</v>
      </c>
      <c r="S2791" s="16" t="str">
        <f t="shared" si="1180"/>
        <v>x</v>
      </c>
      <c r="U2791" s="46" t="str">
        <f t="shared" si="1167"/>
        <v/>
      </c>
      <c r="V2791" s="46">
        <f t="shared" si="1167"/>
        <v>9</v>
      </c>
      <c r="W2791" s="46" t="str">
        <f t="shared" si="1167"/>
        <v/>
      </c>
      <c r="X2791" s="46" t="str">
        <f t="shared" si="1167"/>
        <v/>
      </c>
    </row>
    <row r="2792" spans="2:26" x14ac:dyDescent="0.25">
      <c r="B2792" s="11" t="str">
        <f t="shared" si="1185"/>
        <v>LGSC-27DEC1900</v>
      </c>
      <c r="C2792" s="11" t="s">
        <v>94</v>
      </c>
      <c r="D2792" s="11" t="s">
        <v>1699</v>
      </c>
      <c r="E2792" s="39" t="s">
        <v>515</v>
      </c>
      <c r="F2792" s="11" t="s">
        <v>1700</v>
      </c>
      <c r="G2792" s="39" t="s">
        <v>493</v>
      </c>
      <c r="J2792" s="17">
        <v>35</v>
      </c>
      <c r="K2792" s="17"/>
      <c r="L2792" s="7">
        <f t="shared" si="1186"/>
        <v>35</v>
      </c>
      <c r="M2792" s="8">
        <v>1</v>
      </c>
      <c r="N2792" s="8">
        <f t="shared" si="1187"/>
        <v>1</v>
      </c>
      <c r="O2792" s="11" t="s">
        <v>1702</v>
      </c>
      <c r="P2792" s="16" t="str">
        <f t="shared" si="1188"/>
        <v>27-Dec-1900</v>
      </c>
      <c r="R2792" s="16" t="str">
        <f t="shared" si="1180"/>
        <v>x</v>
      </c>
      <c r="S2792" s="16" t="str">
        <f t="shared" si="1180"/>
        <v>x</v>
      </c>
      <c r="U2792" s="46" t="str">
        <f t="shared" si="1167"/>
        <v/>
      </c>
      <c r="V2792" s="46">
        <f t="shared" si="1167"/>
        <v>35</v>
      </c>
      <c r="W2792" s="46" t="str">
        <f t="shared" si="1167"/>
        <v/>
      </c>
      <c r="X2792" s="46" t="str">
        <f t="shared" si="1167"/>
        <v/>
      </c>
      <c r="Z2792" s="11" t="s">
        <v>516</v>
      </c>
    </row>
    <row r="2793" spans="2:26" x14ac:dyDescent="0.25">
      <c r="B2793" s="11" t="str">
        <f>CONCATENATE("LGSC","-",LEFT(P2793,2),UPPER(MID(P2793,4,3)),RIGHT(P2793,4))</f>
        <v>LGSC-28JAN1901</v>
      </c>
      <c r="C2793" s="11" t="s">
        <v>94</v>
      </c>
      <c r="D2793" s="11" t="s">
        <v>1699</v>
      </c>
      <c r="E2793" s="39" t="s">
        <v>2584</v>
      </c>
      <c r="F2793" s="11" t="s">
        <v>1700</v>
      </c>
      <c r="G2793" s="39" t="s">
        <v>2585</v>
      </c>
      <c r="J2793" s="17">
        <v>13</v>
      </c>
      <c r="K2793" s="17"/>
      <c r="L2793" s="7">
        <f>SUM(H2793:K2793)</f>
        <v>13</v>
      </c>
      <c r="M2793" s="8">
        <v>1</v>
      </c>
      <c r="N2793" s="8">
        <f>IF(L2793&gt;0,1,"")</f>
        <v>1</v>
      </c>
      <c r="O2793" s="11" t="s">
        <v>1702</v>
      </c>
      <c r="P2793" s="16" t="str">
        <f>IF(LEN(G2793)=10,CONCATENATE("0",G2793),G2793)</f>
        <v>28-Jan-1901</v>
      </c>
      <c r="R2793" s="16" t="str">
        <f t="shared" si="1180"/>
        <v>x</v>
      </c>
      <c r="S2793" s="16" t="str">
        <f t="shared" si="1180"/>
        <v>x</v>
      </c>
      <c r="U2793" s="46" t="str">
        <f t="shared" si="1167"/>
        <v/>
      </c>
      <c r="V2793" s="46">
        <f t="shared" si="1167"/>
        <v>13</v>
      </c>
      <c r="W2793" s="46" t="str">
        <f t="shared" si="1167"/>
        <v/>
      </c>
      <c r="X2793" s="46" t="str">
        <f t="shared" si="1167"/>
        <v/>
      </c>
    </row>
    <row r="2794" spans="2:26" x14ac:dyDescent="0.25">
      <c r="B2794" s="11" t="str">
        <f t="shared" ref="B2794:B2812" si="1189">CONCATENATE("LGSC","-",LEFT(P2794,2),UPPER(MID(P2794,4,3)),RIGHT(P2794,4))</f>
        <v>LGSC-24FEB1901</v>
      </c>
      <c r="C2794" s="11" t="s">
        <v>94</v>
      </c>
      <c r="D2794" s="11" t="s">
        <v>1699</v>
      </c>
      <c r="E2794" s="39" t="s">
        <v>2491</v>
      </c>
      <c r="F2794" s="11" t="s">
        <v>1700</v>
      </c>
      <c r="G2794" s="39" t="s">
        <v>2492</v>
      </c>
      <c r="J2794" s="17">
        <v>14</v>
      </c>
      <c r="K2794" s="17"/>
      <c r="L2794" s="7">
        <f t="shared" ref="L2794:L2812" si="1190">SUM(H2794:K2794)</f>
        <v>14</v>
      </c>
      <c r="M2794" s="8">
        <v>1</v>
      </c>
      <c r="N2794" s="8">
        <f t="shared" ref="N2794:N2812" si="1191">IF(L2794&gt;0,1,"")</f>
        <v>1</v>
      </c>
      <c r="O2794" s="11" t="s">
        <v>1702</v>
      </c>
      <c r="P2794" s="16" t="str">
        <f t="shared" ref="P2794:P2812" si="1192">IF(LEN(G2794)=10,CONCATENATE("0",G2794),G2794)</f>
        <v>24-Feb-1901</v>
      </c>
      <c r="R2794" s="16" t="str">
        <f t="shared" ref="R2794:S2812" si="1193">IF($L2794&gt;0,"x","")</f>
        <v>x</v>
      </c>
      <c r="S2794" s="16" t="str">
        <f t="shared" si="1193"/>
        <v>x</v>
      </c>
      <c r="U2794" s="46" t="str">
        <f t="shared" si="1167"/>
        <v/>
      </c>
      <c r="V2794" s="46">
        <f t="shared" si="1167"/>
        <v>14</v>
      </c>
      <c r="W2794" s="46" t="str">
        <f t="shared" si="1167"/>
        <v/>
      </c>
      <c r="X2794" s="46" t="str">
        <f t="shared" si="1167"/>
        <v/>
      </c>
    </row>
    <row r="2795" spans="2:26" x14ac:dyDescent="0.25">
      <c r="B2795" s="11" t="str">
        <f t="shared" si="1189"/>
        <v>LGSC-26MAR1901</v>
      </c>
      <c r="C2795" s="11" t="s">
        <v>94</v>
      </c>
      <c r="D2795" s="11" t="s">
        <v>1699</v>
      </c>
      <c r="E2795" s="39" t="s">
        <v>2586</v>
      </c>
      <c r="F2795" s="11" t="s">
        <v>1700</v>
      </c>
      <c r="G2795" s="39" t="s">
        <v>2577</v>
      </c>
      <c r="J2795" s="17">
        <v>4</v>
      </c>
      <c r="K2795" s="17"/>
      <c r="L2795" s="7">
        <f t="shared" si="1190"/>
        <v>4</v>
      </c>
      <c r="M2795" s="8">
        <v>1</v>
      </c>
      <c r="N2795" s="8">
        <f t="shared" si="1191"/>
        <v>1</v>
      </c>
      <c r="O2795" s="11" t="s">
        <v>1702</v>
      </c>
      <c r="P2795" s="16" t="str">
        <f t="shared" si="1192"/>
        <v>26-Mar-1901</v>
      </c>
      <c r="R2795" s="16" t="str">
        <f t="shared" si="1193"/>
        <v>x</v>
      </c>
      <c r="S2795" s="16" t="str">
        <f t="shared" si="1193"/>
        <v>x</v>
      </c>
      <c r="U2795" s="46" t="str">
        <f t="shared" si="1167"/>
        <v/>
      </c>
      <c r="V2795" s="46">
        <f t="shared" si="1167"/>
        <v>4</v>
      </c>
      <c r="W2795" s="46" t="str">
        <f t="shared" si="1167"/>
        <v/>
      </c>
      <c r="X2795" s="46" t="str">
        <f t="shared" si="1167"/>
        <v/>
      </c>
    </row>
    <row r="2796" spans="2:26" x14ac:dyDescent="0.25">
      <c r="B2796" s="11" t="str">
        <f t="shared" si="1189"/>
        <v>LGSC-23APR1901</v>
      </c>
      <c r="C2796" s="11" t="s">
        <v>94</v>
      </c>
      <c r="D2796" s="11" t="s">
        <v>1699</v>
      </c>
      <c r="E2796" s="39" t="s">
        <v>2587</v>
      </c>
      <c r="F2796" s="11" t="s">
        <v>1700</v>
      </c>
      <c r="G2796" s="39" t="s">
        <v>2578</v>
      </c>
      <c r="J2796" s="17">
        <v>4</v>
      </c>
      <c r="K2796" s="17"/>
      <c r="L2796" s="7">
        <f t="shared" si="1190"/>
        <v>4</v>
      </c>
      <c r="M2796" s="8">
        <v>1</v>
      </c>
      <c r="N2796" s="8">
        <f t="shared" si="1191"/>
        <v>1</v>
      </c>
      <c r="O2796" s="11" t="s">
        <v>1702</v>
      </c>
      <c r="P2796" s="16" t="str">
        <f t="shared" si="1192"/>
        <v>23-Apr-1901</v>
      </c>
      <c r="R2796" s="16" t="str">
        <f t="shared" si="1193"/>
        <v>x</v>
      </c>
      <c r="S2796" s="16" t="str">
        <f t="shared" si="1193"/>
        <v>x</v>
      </c>
      <c r="U2796" s="46" t="str">
        <f t="shared" si="1167"/>
        <v/>
      </c>
      <c r="V2796" s="46">
        <f t="shared" si="1167"/>
        <v>4</v>
      </c>
      <c r="W2796" s="46" t="str">
        <f t="shared" si="1167"/>
        <v/>
      </c>
      <c r="X2796" s="46" t="str">
        <f t="shared" si="1167"/>
        <v/>
      </c>
    </row>
    <row r="2797" spans="2:26" x14ac:dyDescent="0.25">
      <c r="B2797" s="11" t="str">
        <f t="shared" si="1189"/>
        <v>LGSC-20MAY1901</v>
      </c>
      <c r="C2797" s="11" t="s">
        <v>94</v>
      </c>
      <c r="D2797" s="11" t="s">
        <v>1699</v>
      </c>
      <c r="E2797" s="39" t="s">
        <v>2588</v>
      </c>
      <c r="F2797" s="11" t="s">
        <v>1700</v>
      </c>
      <c r="G2797" s="39" t="s">
        <v>2579</v>
      </c>
      <c r="J2797" s="17">
        <v>16</v>
      </c>
      <c r="K2797" s="17"/>
      <c r="L2797" s="7">
        <f t="shared" si="1190"/>
        <v>16</v>
      </c>
      <c r="M2797" s="8">
        <v>1</v>
      </c>
      <c r="N2797" s="8">
        <f t="shared" si="1191"/>
        <v>1</v>
      </c>
      <c r="O2797" s="11" t="s">
        <v>1702</v>
      </c>
      <c r="P2797" s="16" t="str">
        <f t="shared" si="1192"/>
        <v>20-May-1901</v>
      </c>
      <c r="R2797" s="16" t="str">
        <f t="shared" si="1193"/>
        <v>x</v>
      </c>
      <c r="S2797" s="16" t="str">
        <f t="shared" si="1193"/>
        <v>x</v>
      </c>
      <c r="U2797" s="46" t="str">
        <f t="shared" si="1167"/>
        <v/>
      </c>
      <c r="V2797" s="46">
        <f t="shared" si="1167"/>
        <v>16</v>
      </c>
      <c r="W2797" s="46" t="str">
        <f t="shared" si="1167"/>
        <v/>
      </c>
      <c r="X2797" s="46" t="str">
        <f t="shared" si="1167"/>
        <v/>
      </c>
    </row>
    <row r="2798" spans="2:26" x14ac:dyDescent="0.25">
      <c r="B2798" s="11" t="str">
        <f t="shared" si="1189"/>
        <v>LGSC-22JUL1901</v>
      </c>
      <c r="C2798" s="11" t="s">
        <v>94</v>
      </c>
      <c r="D2798" s="11" t="s">
        <v>1699</v>
      </c>
      <c r="E2798" s="39" t="s">
        <v>2589</v>
      </c>
      <c r="F2798" s="11" t="s">
        <v>1700</v>
      </c>
      <c r="G2798" s="39" t="s">
        <v>2580</v>
      </c>
      <c r="J2798" s="17">
        <v>24</v>
      </c>
      <c r="K2798" s="17"/>
      <c r="L2798" s="7">
        <f t="shared" si="1190"/>
        <v>24</v>
      </c>
      <c r="M2798" s="8">
        <v>1</v>
      </c>
      <c r="N2798" s="8">
        <f t="shared" si="1191"/>
        <v>1</v>
      </c>
      <c r="O2798" s="11" t="s">
        <v>1702</v>
      </c>
      <c r="P2798" s="16" t="str">
        <f t="shared" si="1192"/>
        <v>22-Jul-1901</v>
      </c>
      <c r="R2798" s="16" t="str">
        <f t="shared" si="1193"/>
        <v>x</v>
      </c>
      <c r="S2798" s="16" t="str">
        <f t="shared" si="1193"/>
        <v>x</v>
      </c>
      <c r="U2798" s="46" t="str">
        <f t="shared" si="1167"/>
        <v/>
      </c>
      <c r="V2798" s="46">
        <f t="shared" si="1167"/>
        <v>24</v>
      </c>
      <c r="W2798" s="46" t="str">
        <f t="shared" si="1167"/>
        <v/>
      </c>
      <c r="X2798" s="46" t="str">
        <f>IF($O2798=X$5,$L2798,"")</f>
        <v/>
      </c>
    </row>
    <row r="2799" spans="2:26" x14ac:dyDescent="0.25">
      <c r="B2799" s="11" t="str">
        <f t="shared" si="1189"/>
        <v>LGSC-19AUG1901</v>
      </c>
      <c r="C2799" s="11" t="s">
        <v>94</v>
      </c>
      <c r="D2799" s="11" t="s">
        <v>1699</v>
      </c>
      <c r="E2799" s="39" t="s">
        <v>2590</v>
      </c>
      <c r="F2799" s="11" t="s">
        <v>1700</v>
      </c>
      <c r="G2799" s="39" t="s">
        <v>2581</v>
      </c>
      <c r="J2799" s="17">
        <v>12</v>
      </c>
      <c r="K2799" s="17"/>
      <c r="L2799" s="7">
        <f t="shared" si="1190"/>
        <v>12</v>
      </c>
      <c r="M2799" s="8">
        <v>1</v>
      </c>
      <c r="N2799" s="8">
        <f t="shared" si="1191"/>
        <v>1</v>
      </c>
      <c r="O2799" s="11" t="s">
        <v>1702</v>
      </c>
      <c r="P2799" s="16" t="str">
        <f t="shared" si="1192"/>
        <v>19-Aug-1901</v>
      </c>
      <c r="R2799" s="16" t="str">
        <f t="shared" si="1193"/>
        <v>x</v>
      </c>
      <c r="S2799" s="16" t="str">
        <f t="shared" si="1193"/>
        <v>x</v>
      </c>
      <c r="U2799" s="46" t="str">
        <f t="shared" ref="U2799:X2862" si="1194">IF($O2799=U$5,$L2799,"")</f>
        <v/>
      </c>
      <c r="V2799" s="46">
        <f t="shared" si="1194"/>
        <v>12</v>
      </c>
      <c r="W2799" s="46" t="str">
        <f t="shared" si="1194"/>
        <v/>
      </c>
      <c r="X2799" s="46" t="str">
        <f t="shared" si="1194"/>
        <v/>
      </c>
    </row>
    <row r="2800" spans="2:26" x14ac:dyDescent="0.25">
      <c r="B2800" s="11" t="str">
        <f t="shared" si="1189"/>
        <v>LGSC-04NOV1901</v>
      </c>
      <c r="C2800" s="11" t="s">
        <v>94</v>
      </c>
      <c r="D2800" s="11" t="s">
        <v>1699</v>
      </c>
      <c r="E2800" s="39" t="s">
        <v>2591</v>
      </c>
      <c r="F2800" s="11" t="s">
        <v>1700</v>
      </c>
      <c r="G2800" s="39" t="s">
        <v>2582</v>
      </c>
      <c r="J2800" s="17">
        <v>1</v>
      </c>
      <c r="K2800" s="17"/>
      <c r="L2800" s="7">
        <f t="shared" si="1190"/>
        <v>1</v>
      </c>
      <c r="M2800" s="8">
        <v>1</v>
      </c>
      <c r="N2800" s="8">
        <f t="shared" si="1191"/>
        <v>1</v>
      </c>
      <c r="O2800" s="11" t="s">
        <v>1702</v>
      </c>
      <c r="P2800" s="16" t="str">
        <f t="shared" si="1192"/>
        <v>04-Nov-1901</v>
      </c>
      <c r="R2800" s="16" t="str">
        <f t="shared" si="1193"/>
        <v>x</v>
      </c>
      <c r="S2800" s="16" t="str">
        <f t="shared" si="1193"/>
        <v>x</v>
      </c>
      <c r="T2800" s="11"/>
      <c r="U2800" s="46" t="str">
        <f t="shared" si="1194"/>
        <v/>
      </c>
      <c r="V2800" s="46">
        <f t="shared" si="1194"/>
        <v>1</v>
      </c>
      <c r="W2800" s="46" t="str">
        <f t="shared" si="1194"/>
        <v/>
      </c>
      <c r="X2800" s="46" t="str">
        <f t="shared" si="1194"/>
        <v/>
      </c>
    </row>
    <row r="2801" spans="2:24" x14ac:dyDescent="0.25">
      <c r="B2801" s="11" t="str">
        <f t="shared" si="1189"/>
        <v>LGSC-01DEC1901</v>
      </c>
      <c r="C2801" s="11" t="s">
        <v>94</v>
      </c>
      <c r="D2801" s="11" t="s">
        <v>1699</v>
      </c>
      <c r="E2801" s="39" t="s">
        <v>2592</v>
      </c>
      <c r="F2801" s="11" t="s">
        <v>1700</v>
      </c>
      <c r="G2801" s="39" t="s">
        <v>2583</v>
      </c>
      <c r="J2801" s="17">
        <v>13</v>
      </c>
      <c r="K2801" s="17"/>
      <c r="L2801" s="7">
        <f t="shared" si="1190"/>
        <v>13</v>
      </c>
      <c r="M2801" s="8">
        <v>1</v>
      </c>
      <c r="N2801" s="8">
        <f t="shared" si="1191"/>
        <v>1</v>
      </c>
      <c r="O2801" s="11" t="s">
        <v>1702</v>
      </c>
      <c r="P2801" s="16" t="str">
        <f t="shared" si="1192"/>
        <v>01-Dec-1901</v>
      </c>
      <c r="R2801" s="16" t="str">
        <f t="shared" si="1193"/>
        <v>x</v>
      </c>
      <c r="S2801" s="16" t="str">
        <f t="shared" si="1193"/>
        <v>x</v>
      </c>
      <c r="T2801" s="11"/>
      <c r="U2801" s="46" t="str">
        <f t="shared" si="1194"/>
        <v/>
      </c>
      <c r="V2801" s="46">
        <f t="shared" si="1194"/>
        <v>13</v>
      </c>
      <c r="W2801" s="46" t="str">
        <f t="shared" si="1194"/>
        <v/>
      </c>
      <c r="X2801" s="46" t="str">
        <f t="shared" si="1194"/>
        <v/>
      </c>
    </row>
    <row r="2802" spans="2:24" x14ac:dyDescent="0.25">
      <c r="B2802" s="11" t="str">
        <f t="shared" si="1189"/>
        <v>LGSC-13JAN1902</v>
      </c>
      <c r="C2802" s="11" t="s">
        <v>94</v>
      </c>
      <c r="D2802" s="11" t="s">
        <v>1699</v>
      </c>
      <c r="E2802" s="39" t="s">
        <v>2602</v>
      </c>
      <c r="F2802" s="11" t="s">
        <v>1700</v>
      </c>
      <c r="G2802" s="39" t="s">
        <v>2593</v>
      </c>
      <c r="J2802" s="17">
        <v>6</v>
      </c>
      <c r="K2802" s="17"/>
      <c r="L2802" s="7">
        <f t="shared" si="1190"/>
        <v>6</v>
      </c>
      <c r="M2802" s="8">
        <v>1</v>
      </c>
      <c r="N2802" s="8">
        <f t="shared" si="1191"/>
        <v>1</v>
      </c>
      <c r="O2802" s="11" t="s">
        <v>1702</v>
      </c>
      <c r="P2802" s="16" t="str">
        <f t="shared" si="1192"/>
        <v>13-Jan-1902</v>
      </c>
      <c r="R2802" s="16" t="str">
        <f t="shared" si="1193"/>
        <v>x</v>
      </c>
      <c r="S2802" s="16" t="str">
        <f t="shared" si="1193"/>
        <v>x</v>
      </c>
      <c r="T2802" s="11"/>
      <c r="U2802" s="46" t="str">
        <f t="shared" si="1194"/>
        <v/>
      </c>
      <c r="V2802" s="46">
        <f t="shared" si="1194"/>
        <v>6</v>
      </c>
      <c r="W2802" s="46" t="str">
        <f t="shared" si="1194"/>
        <v/>
      </c>
      <c r="X2802" s="46" t="str">
        <f t="shared" si="1194"/>
        <v/>
      </c>
    </row>
    <row r="2803" spans="2:24" x14ac:dyDescent="0.25">
      <c r="B2803" s="11" t="str">
        <f t="shared" ref="B2803:B2808" si="1195">CONCATENATE("LGSC","-",LEFT(P2803,2),UPPER(MID(P2803,4,3)),RIGHT(P2803,4))</f>
        <v>LGSC-11FEB1902</v>
      </c>
      <c r="C2803" s="11" t="s">
        <v>94</v>
      </c>
      <c r="D2803" s="11" t="s">
        <v>1699</v>
      </c>
      <c r="E2803" s="39" t="s">
        <v>2603</v>
      </c>
      <c r="F2803" s="11" t="s">
        <v>1700</v>
      </c>
      <c r="G2803" s="39" t="s">
        <v>2594</v>
      </c>
      <c r="J2803" s="17">
        <v>6</v>
      </c>
      <c r="K2803" s="17"/>
      <c r="L2803" s="7">
        <f t="shared" ref="L2803:L2808" si="1196">SUM(H2803:K2803)</f>
        <v>6</v>
      </c>
      <c r="M2803" s="8">
        <v>1</v>
      </c>
      <c r="N2803" s="8">
        <f t="shared" ref="N2803:N2808" si="1197">IF(L2803&gt;0,1,"")</f>
        <v>1</v>
      </c>
      <c r="O2803" s="11" t="s">
        <v>1702</v>
      </c>
      <c r="P2803" s="16" t="str">
        <f t="shared" ref="P2803:P2808" si="1198">IF(LEN(G2803)=10,CONCATENATE("0",G2803),G2803)</f>
        <v>11-Feb-1902</v>
      </c>
      <c r="R2803" s="16" t="str">
        <f t="shared" si="1193"/>
        <v>x</v>
      </c>
      <c r="S2803" s="16" t="str">
        <f t="shared" si="1193"/>
        <v>x</v>
      </c>
      <c r="T2803" s="11"/>
      <c r="U2803" s="46" t="str">
        <f t="shared" si="1194"/>
        <v/>
      </c>
      <c r="V2803" s="46">
        <f t="shared" si="1194"/>
        <v>6</v>
      </c>
      <c r="W2803" s="46" t="str">
        <f t="shared" si="1194"/>
        <v/>
      </c>
      <c r="X2803" s="46" t="str">
        <f t="shared" si="1194"/>
        <v/>
      </c>
    </row>
    <row r="2804" spans="2:24" x14ac:dyDescent="0.25">
      <c r="B2804" s="11" t="str">
        <f t="shared" si="1195"/>
        <v>LGSC-17MAR1902</v>
      </c>
      <c r="C2804" s="11" t="s">
        <v>94</v>
      </c>
      <c r="D2804" s="11" t="s">
        <v>1699</v>
      </c>
      <c r="E2804" s="39" t="s">
        <v>2604</v>
      </c>
      <c r="F2804" s="11" t="s">
        <v>1700</v>
      </c>
      <c r="G2804" s="39" t="s">
        <v>2595</v>
      </c>
      <c r="J2804" s="17">
        <v>0</v>
      </c>
      <c r="K2804" s="17"/>
      <c r="L2804" s="7">
        <f t="shared" si="1196"/>
        <v>0</v>
      </c>
      <c r="M2804" s="8">
        <v>1</v>
      </c>
      <c r="N2804" s="8" t="str">
        <f t="shared" si="1197"/>
        <v/>
      </c>
      <c r="O2804" s="11" t="s">
        <v>1702</v>
      </c>
      <c r="P2804" s="16" t="str">
        <f t="shared" si="1198"/>
        <v>17-Mar-1902</v>
      </c>
      <c r="R2804" s="16" t="str">
        <f t="shared" si="1193"/>
        <v/>
      </c>
      <c r="S2804" s="16" t="str">
        <f t="shared" si="1193"/>
        <v/>
      </c>
      <c r="T2804" s="11"/>
      <c r="U2804" s="46" t="str">
        <f t="shared" si="1194"/>
        <v/>
      </c>
      <c r="V2804" s="46">
        <f t="shared" si="1194"/>
        <v>0</v>
      </c>
      <c r="W2804" s="46" t="str">
        <f t="shared" si="1194"/>
        <v/>
      </c>
      <c r="X2804" s="46" t="str">
        <f t="shared" si="1194"/>
        <v/>
      </c>
    </row>
    <row r="2805" spans="2:24" x14ac:dyDescent="0.25">
      <c r="B2805" s="11" t="str">
        <f t="shared" si="1195"/>
        <v>LGSC-21APR1902</v>
      </c>
      <c r="C2805" s="11" t="s">
        <v>94</v>
      </c>
      <c r="D2805" s="11" t="s">
        <v>1699</v>
      </c>
      <c r="E2805" s="39" t="s">
        <v>2605</v>
      </c>
      <c r="F2805" s="11" t="s">
        <v>1700</v>
      </c>
      <c r="G2805" s="39" t="s">
        <v>2596</v>
      </c>
      <c r="J2805" s="17">
        <v>0</v>
      </c>
      <c r="K2805" s="17"/>
      <c r="L2805" s="7">
        <f t="shared" si="1196"/>
        <v>0</v>
      </c>
      <c r="M2805" s="8">
        <v>1</v>
      </c>
      <c r="N2805" s="8" t="str">
        <f t="shared" si="1197"/>
        <v/>
      </c>
      <c r="O2805" s="11" t="s">
        <v>1702</v>
      </c>
      <c r="P2805" s="16" t="str">
        <f t="shared" si="1198"/>
        <v>21-Apr-1902</v>
      </c>
      <c r="R2805" s="16" t="str">
        <f t="shared" si="1193"/>
        <v/>
      </c>
      <c r="S2805" s="16" t="str">
        <f t="shared" si="1193"/>
        <v/>
      </c>
      <c r="T2805" s="11"/>
      <c r="U2805" s="46" t="str">
        <f t="shared" si="1194"/>
        <v/>
      </c>
      <c r="V2805" s="46">
        <f t="shared" si="1194"/>
        <v>0</v>
      </c>
      <c r="W2805" s="46" t="str">
        <f t="shared" si="1194"/>
        <v/>
      </c>
      <c r="X2805" s="46" t="str">
        <f t="shared" si="1194"/>
        <v/>
      </c>
    </row>
    <row r="2806" spans="2:24" x14ac:dyDescent="0.25">
      <c r="B2806" s="11" t="str">
        <f t="shared" si="1195"/>
        <v>LGSC-27MAY1902</v>
      </c>
      <c r="C2806" s="11" t="s">
        <v>94</v>
      </c>
      <c r="D2806" s="11" t="s">
        <v>1699</v>
      </c>
      <c r="E2806" s="39" t="s">
        <v>1374</v>
      </c>
      <c r="F2806" s="11" t="s">
        <v>1700</v>
      </c>
      <c r="G2806" s="39" t="s">
        <v>2597</v>
      </c>
      <c r="J2806" s="17">
        <v>12</v>
      </c>
      <c r="K2806" s="17"/>
      <c r="L2806" s="7">
        <f t="shared" si="1196"/>
        <v>12</v>
      </c>
      <c r="M2806" s="8">
        <v>1</v>
      </c>
      <c r="N2806" s="8">
        <f t="shared" si="1197"/>
        <v>1</v>
      </c>
      <c r="O2806" s="11" t="s">
        <v>1702</v>
      </c>
      <c r="P2806" s="16" t="str">
        <f t="shared" si="1198"/>
        <v>27-May-1902</v>
      </c>
      <c r="R2806" s="16" t="str">
        <f t="shared" si="1193"/>
        <v>x</v>
      </c>
      <c r="S2806" s="16" t="str">
        <f t="shared" si="1193"/>
        <v>x</v>
      </c>
      <c r="T2806" s="11"/>
      <c r="U2806" s="46" t="str">
        <f t="shared" si="1194"/>
        <v/>
      </c>
      <c r="V2806" s="46">
        <f t="shared" si="1194"/>
        <v>12</v>
      </c>
      <c r="W2806" s="46" t="str">
        <f t="shared" si="1194"/>
        <v/>
      </c>
      <c r="X2806" s="46" t="str">
        <f t="shared" si="1194"/>
        <v/>
      </c>
    </row>
    <row r="2807" spans="2:24" x14ac:dyDescent="0.25">
      <c r="B2807" s="11" t="str">
        <f t="shared" si="1195"/>
        <v>LGSC-27JUL1902</v>
      </c>
      <c r="C2807" s="11" t="s">
        <v>94</v>
      </c>
      <c r="D2807" s="11" t="s">
        <v>1699</v>
      </c>
      <c r="E2807" s="39" t="s">
        <v>1362</v>
      </c>
      <c r="F2807" s="11" t="s">
        <v>1700</v>
      </c>
      <c r="G2807" s="39" t="s">
        <v>2598</v>
      </c>
      <c r="J2807" s="17">
        <v>6</v>
      </c>
      <c r="K2807" s="17"/>
      <c r="L2807" s="7">
        <f t="shared" si="1196"/>
        <v>6</v>
      </c>
      <c r="M2807" s="8">
        <v>1</v>
      </c>
      <c r="N2807" s="8">
        <f t="shared" si="1197"/>
        <v>1</v>
      </c>
      <c r="O2807" s="11" t="s">
        <v>1702</v>
      </c>
      <c r="P2807" s="16" t="str">
        <f t="shared" si="1198"/>
        <v>27-Jul-1902</v>
      </c>
      <c r="R2807" s="16" t="str">
        <f t="shared" si="1193"/>
        <v>x</v>
      </c>
      <c r="S2807" s="16" t="str">
        <f t="shared" si="1193"/>
        <v>x</v>
      </c>
      <c r="T2807" s="11"/>
      <c r="U2807" s="46" t="str">
        <f t="shared" si="1194"/>
        <v/>
      </c>
      <c r="V2807" s="46">
        <f t="shared" si="1194"/>
        <v>6</v>
      </c>
      <c r="W2807" s="46" t="str">
        <f t="shared" si="1194"/>
        <v/>
      </c>
      <c r="X2807" s="46" t="str">
        <f t="shared" si="1194"/>
        <v/>
      </c>
    </row>
    <row r="2808" spans="2:24" x14ac:dyDescent="0.25">
      <c r="B2808" s="11" t="str">
        <f t="shared" si="1195"/>
        <v>LGSC-24AUG1902</v>
      </c>
      <c r="C2808" s="11" t="s">
        <v>94</v>
      </c>
      <c r="D2808" s="11" t="s">
        <v>1699</v>
      </c>
      <c r="E2808" s="39" t="s">
        <v>1627</v>
      </c>
      <c r="F2808" s="11" t="s">
        <v>1700</v>
      </c>
      <c r="G2808" s="39" t="s">
        <v>2599</v>
      </c>
      <c r="J2808" s="17">
        <v>3</v>
      </c>
      <c r="K2808" s="17"/>
      <c r="L2808" s="7">
        <f t="shared" si="1196"/>
        <v>3</v>
      </c>
      <c r="M2808" s="8">
        <v>1</v>
      </c>
      <c r="N2808" s="8">
        <f t="shared" si="1197"/>
        <v>1</v>
      </c>
      <c r="O2808" s="11" t="s">
        <v>1702</v>
      </c>
      <c r="P2808" s="16" t="str">
        <f t="shared" si="1198"/>
        <v>24-Aug-1902</v>
      </c>
      <c r="R2808" s="16" t="str">
        <f t="shared" si="1193"/>
        <v>x</v>
      </c>
      <c r="S2808" s="16" t="str">
        <f t="shared" si="1193"/>
        <v>x</v>
      </c>
      <c r="T2808" s="11"/>
      <c r="U2808" s="46" t="str">
        <f t="shared" si="1194"/>
        <v/>
      </c>
      <c r="V2808" s="46">
        <f t="shared" si="1194"/>
        <v>3</v>
      </c>
      <c r="W2808" s="46" t="str">
        <f t="shared" si="1194"/>
        <v/>
      </c>
      <c r="X2808" s="46" t="str">
        <f t="shared" si="1194"/>
        <v/>
      </c>
    </row>
    <row r="2809" spans="2:24" x14ac:dyDescent="0.25">
      <c r="B2809" s="11" t="str">
        <f t="shared" si="1189"/>
        <v>LGSC-30SEP1902</v>
      </c>
      <c r="C2809" s="11" t="s">
        <v>94</v>
      </c>
      <c r="D2809" s="11" t="s">
        <v>1699</v>
      </c>
      <c r="E2809" s="39" t="s">
        <v>1378</v>
      </c>
      <c r="F2809" s="11" t="s">
        <v>1700</v>
      </c>
      <c r="G2809" s="39" t="s">
        <v>2600</v>
      </c>
      <c r="J2809" s="17">
        <v>4</v>
      </c>
      <c r="K2809" s="17"/>
      <c r="L2809" s="7">
        <f t="shared" si="1190"/>
        <v>4</v>
      </c>
      <c r="M2809" s="8">
        <v>1</v>
      </c>
      <c r="N2809" s="8">
        <f t="shared" si="1191"/>
        <v>1</v>
      </c>
      <c r="O2809" s="11" t="s">
        <v>1702</v>
      </c>
      <c r="P2809" s="16" t="str">
        <f t="shared" si="1192"/>
        <v>30-Sep-1902</v>
      </c>
      <c r="R2809" s="16" t="str">
        <f t="shared" si="1193"/>
        <v>x</v>
      </c>
      <c r="S2809" s="16" t="str">
        <f t="shared" si="1193"/>
        <v>x</v>
      </c>
      <c r="T2809" s="11"/>
      <c r="U2809" s="46" t="str">
        <f t="shared" si="1194"/>
        <v/>
      </c>
      <c r="V2809" s="46">
        <f t="shared" si="1194"/>
        <v>4</v>
      </c>
      <c r="W2809" s="46" t="str">
        <f t="shared" si="1194"/>
        <v/>
      </c>
      <c r="X2809" s="46" t="str">
        <f t="shared" si="1194"/>
        <v/>
      </c>
    </row>
    <row r="2810" spans="2:24" x14ac:dyDescent="0.25">
      <c r="B2810" s="11" t="str">
        <f t="shared" si="1189"/>
        <v>LGSC-29OCT1902</v>
      </c>
      <c r="C2810" s="11" t="s">
        <v>94</v>
      </c>
      <c r="D2810" s="11" t="s">
        <v>1699</v>
      </c>
      <c r="E2810" s="39" t="s">
        <v>1380</v>
      </c>
      <c r="F2810" s="11" t="s">
        <v>1700</v>
      </c>
      <c r="G2810" s="39" t="s">
        <v>2606</v>
      </c>
      <c r="J2810" s="17">
        <v>8</v>
      </c>
      <c r="K2810" s="17"/>
      <c r="L2810" s="7">
        <f t="shared" si="1190"/>
        <v>8</v>
      </c>
      <c r="M2810" s="8">
        <v>1</v>
      </c>
      <c r="N2810" s="8">
        <f t="shared" si="1191"/>
        <v>1</v>
      </c>
      <c r="O2810" s="11" t="s">
        <v>1702</v>
      </c>
      <c r="P2810" s="16" t="str">
        <f t="shared" si="1192"/>
        <v>29-Oct-1902</v>
      </c>
      <c r="R2810" s="16" t="str">
        <f t="shared" si="1193"/>
        <v>x</v>
      </c>
      <c r="S2810" s="16" t="str">
        <f t="shared" si="1193"/>
        <v>x</v>
      </c>
      <c r="T2810" s="11"/>
      <c r="U2810" s="46" t="str">
        <f t="shared" si="1194"/>
        <v/>
      </c>
      <c r="V2810" s="46">
        <f t="shared" si="1194"/>
        <v>8</v>
      </c>
      <c r="W2810" s="46" t="str">
        <f t="shared" si="1194"/>
        <v/>
      </c>
      <c r="X2810" s="46" t="str">
        <f t="shared" si="1194"/>
        <v/>
      </c>
    </row>
    <row r="2811" spans="2:24" x14ac:dyDescent="0.25">
      <c r="B2811" s="11" t="str">
        <f>CONCATENATE("LGSC","-",LEFT(P2811,2),UPPER(MID(P2811,4,3)),RIGHT(P2811,4))</f>
        <v>LGSC-24NOV1902</v>
      </c>
      <c r="C2811" s="11" t="s">
        <v>94</v>
      </c>
      <c r="D2811" s="11" t="s">
        <v>1699</v>
      </c>
      <c r="E2811" s="39" t="s">
        <v>2607</v>
      </c>
      <c r="F2811" s="11" t="s">
        <v>1700</v>
      </c>
      <c r="G2811" s="39" t="s">
        <v>2601</v>
      </c>
      <c r="J2811" s="17">
        <v>1</v>
      </c>
      <c r="K2811" s="17"/>
      <c r="L2811" s="7">
        <f>SUM(H2811:K2811)</f>
        <v>1</v>
      </c>
      <c r="M2811" s="8">
        <v>1</v>
      </c>
      <c r="N2811" s="8">
        <f>IF(L2811&gt;0,1,"")</f>
        <v>1</v>
      </c>
      <c r="O2811" s="11" t="s">
        <v>1702</v>
      </c>
      <c r="P2811" s="16" t="str">
        <f>IF(LEN(G2811)=10,CONCATENATE("0",G2811),G2811)</f>
        <v>24-Nov-1902</v>
      </c>
      <c r="R2811" s="16" t="str">
        <f t="shared" si="1193"/>
        <v>x</v>
      </c>
      <c r="S2811" s="16" t="str">
        <f t="shared" si="1193"/>
        <v>x</v>
      </c>
      <c r="T2811" s="11"/>
      <c r="U2811" s="46" t="str">
        <f t="shared" si="1194"/>
        <v/>
      </c>
      <c r="V2811" s="46">
        <f t="shared" si="1194"/>
        <v>1</v>
      </c>
      <c r="W2811" s="46" t="str">
        <f t="shared" si="1194"/>
        <v/>
      </c>
      <c r="X2811" s="46" t="str">
        <f t="shared" si="1194"/>
        <v/>
      </c>
    </row>
    <row r="2812" spans="2:24" x14ac:dyDescent="0.25">
      <c r="B2812" s="11" t="str">
        <f t="shared" si="1189"/>
        <v>LGSC-28APR1903</v>
      </c>
      <c r="C2812" s="11" t="s">
        <v>94</v>
      </c>
      <c r="D2812" s="11" t="s">
        <v>1699</v>
      </c>
      <c r="E2812" s="39" t="s">
        <v>2615</v>
      </c>
      <c r="F2812" s="11" t="s">
        <v>1700</v>
      </c>
      <c r="G2812" s="39" t="s">
        <v>2608</v>
      </c>
      <c r="H2812" s="7">
        <v>0</v>
      </c>
      <c r="I2812" s="7">
        <v>0</v>
      </c>
      <c r="J2812" s="17">
        <v>0</v>
      </c>
      <c r="K2812" s="17"/>
      <c r="L2812" s="7">
        <f t="shared" si="1190"/>
        <v>0</v>
      </c>
      <c r="M2812" s="8">
        <v>1</v>
      </c>
      <c r="N2812" s="8" t="str">
        <f t="shared" si="1191"/>
        <v/>
      </c>
      <c r="O2812" s="11" t="s">
        <v>1702</v>
      </c>
      <c r="P2812" s="16" t="str">
        <f t="shared" si="1192"/>
        <v>28-Apr-1903</v>
      </c>
      <c r="R2812" s="16" t="str">
        <f t="shared" si="1193"/>
        <v/>
      </c>
      <c r="S2812" s="16" t="str">
        <f t="shared" si="1193"/>
        <v/>
      </c>
      <c r="T2812" s="11"/>
      <c r="U2812" s="46" t="str">
        <f t="shared" si="1194"/>
        <v/>
      </c>
      <c r="V2812" s="46">
        <f t="shared" si="1194"/>
        <v>0</v>
      </c>
      <c r="W2812" s="46" t="str">
        <f t="shared" si="1194"/>
        <v/>
      </c>
      <c r="X2812" s="46" t="str">
        <f t="shared" si="1194"/>
        <v/>
      </c>
    </row>
    <row r="2813" spans="2:24" x14ac:dyDescent="0.25">
      <c r="B2813" s="11" t="str">
        <f t="shared" ref="B2813:B2836" si="1199">CONCATENATE("LGSC","-",LEFT(P2813,2),UPPER(MID(P2813,4,3)),RIGHT(P2813,4))</f>
        <v>LGSC-25MAY1903</v>
      </c>
      <c r="C2813" s="11" t="s">
        <v>94</v>
      </c>
      <c r="D2813" s="11" t="s">
        <v>1699</v>
      </c>
      <c r="E2813" s="39" t="s">
        <v>1644</v>
      </c>
      <c r="F2813" s="11" t="s">
        <v>1700</v>
      </c>
      <c r="G2813" s="39" t="s">
        <v>2609</v>
      </c>
      <c r="H2813" s="7">
        <v>0</v>
      </c>
      <c r="I2813" s="7">
        <v>0</v>
      </c>
      <c r="J2813" s="17">
        <v>10</v>
      </c>
      <c r="K2813" s="17"/>
      <c r="L2813" s="7">
        <f t="shared" ref="L2813:L2836" si="1200">SUM(H2813:K2813)</f>
        <v>10</v>
      </c>
      <c r="M2813" s="8">
        <v>1</v>
      </c>
      <c r="N2813" s="8">
        <f t="shared" ref="N2813:N2836" si="1201">IF(L2813&gt;0,1,"")</f>
        <v>1</v>
      </c>
      <c r="O2813" s="11" t="s">
        <v>1702</v>
      </c>
      <c r="P2813" s="16" t="str">
        <f t="shared" ref="P2813:P2836" si="1202">IF(LEN(G2813)=10,CONCATENATE("0",G2813),G2813)</f>
        <v>25-May-1903</v>
      </c>
      <c r="R2813" s="16" t="str">
        <f t="shared" ref="R2813:S2836" si="1203">IF($L2813&gt;0,"x","")</f>
        <v>x</v>
      </c>
      <c r="S2813" s="16" t="str">
        <f t="shared" si="1203"/>
        <v>x</v>
      </c>
      <c r="T2813" s="11"/>
      <c r="U2813" s="46" t="str">
        <f t="shared" si="1194"/>
        <v/>
      </c>
      <c r="V2813" s="46">
        <f t="shared" si="1194"/>
        <v>10</v>
      </c>
      <c r="W2813" s="46" t="str">
        <f t="shared" si="1194"/>
        <v/>
      </c>
      <c r="X2813" s="46" t="str">
        <f t="shared" si="1194"/>
        <v/>
      </c>
    </row>
    <row r="2814" spans="2:24" x14ac:dyDescent="0.25">
      <c r="B2814" s="11" t="str">
        <f t="shared" si="1199"/>
        <v>LGSC-22JUN1903</v>
      </c>
      <c r="C2814" s="11" t="s">
        <v>94</v>
      </c>
      <c r="D2814" s="11" t="s">
        <v>1699</v>
      </c>
      <c r="E2814" s="39" t="s">
        <v>1652</v>
      </c>
      <c r="F2814" s="11" t="s">
        <v>1700</v>
      </c>
      <c r="G2814" s="39" t="s">
        <v>2610</v>
      </c>
      <c r="H2814" s="7">
        <v>0</v>
      </c>
      <c r="I2814" s="7">
        <v>0</v>
      </c>
      <c r="J2814" s="17">
        <v>12</v>
      </c>
      <c r="K2814" s="17"/>
      <c r="L2814" s="7">
        <f t="shared" si="1200"/>
        <v>12</v>
      </c>
      <c r="M2814" s="8">
        <v>1</v>
      </c>
      <c r="N2814" s="8">
        <f t="shared" si="1201"/>
        <v>1</v>
      </c>
      <c r="O2814" s="11" t="s">
        <v>1702</v>
      </c>
      <c r="P2814" s="16" t="str">
        <f t="shared" si="1202"/>
        <v>22-Jun-1903</v>
      </c>
      <c r="R2814" s="16" t="str">
        <f t="shared" si="1203"/>
        <v>x</v>
      </c>
      <c r="S2814" s="16" t="str">
        <f t="shared" si="1203"/>
        <v>x</v>
      </c>
      <c r="T2814" s="11"/>
      <c r="U2814" s="46" t="str">
        <f t="shared" si="1194"/>
        <v/>
      </c>
      <c r="V2814" s="46">
        <f t="shared" si="1194"/>
        <v>12</v>
      </c>
      <c r="W2814" s="46" t="str">
        <f t="shared" si="1194"/>
        <v/>
      </c>
      <c r="X2814" s="46" t="str">
        <f t="shared" si="1194"/>
        <v/>
      </c>
    </row>
    <row r="2815" spans="2:24" x14ac:dyDescent="0.25">
      <c r="B2815" s="11" t="str">
        <f t="shared" si="1199"/>
        <v>LGSC-20JUL1903</v>
      </c>
      <c r="C2815" s="11" t="s">
        <v>94</v>
      </c>
      <c r="D2815" s="11" t="s">
        <v>1699</v>
      </c>
      <c r="E2815" s="39" t="s">
        <v>1645</v>
      </c>
      <c r="F2815" s="11" t="s">
        <v>1700</v>
      </c>
      <c r="G2815" s="39" t="s">
        <v>2611</v>
      </c>
      <c r="H2815" s="7">
        <v>1</v>
      </c>
      <c r="I2815" s="7">
        <v>0</v>
      </c>
      <c r="J2815" s="17">
        <v>1</v>
      </c>
      <c r="K2815" s="17"/>
      <c r="L2815" s="7">
        <f t="shared" si="1200"/>
        <v>2</v>
      </c>
      <c r="M2815" s="8">
        <v>1</v>
      </c>
      <c r="N2815" s="8">
        <f t="shared" si="1201"/>
        <v>1</v>
      </c>
      <c r="O2815" s="11" t="s">
        <v>1702</v>
      </c>
      <c r="P2815" s="16" t="str">
        <f t="shared" si="1202"/>
        <v>20-Jul-1903</v>
      </c>
      <c r="R2815" s="16" t="str">
        <f t="shared" si="1203"/>
        <v>x</v>
      </c>
      <c r="S2815" s="16" t="str">
        <f t="shared" si="1203"/>
        <v>x</v>
      </c>
      <c r="T2815" s="11"/>
      <c r="U2815" s="46" t="str">
        <f t="shared" si="1194"/>
        <v/>
      </c>
      <c r="V2815" s="46">
        <f t="shared" si="1194"/>
        <v>2</v>
      </c>
      <c r="W2815" s="46" t="str">
        <f t="shared" si="1194"/>
        <v/>
      </c>
      <c r="X2815" s="46" t="str">
        <f t="shared" si="1194"/>
        <v/>
      </c>
    </row>
    <row r="2816" spans="2:24" x14ac:dyDescent="0.25">
      <c r="B2816" s="11" t="str">
        <f t="shared" si="1199"/>
        <v>LGSC-14SEP1903</v>
      </c>
      <c r="C2816" s="11" t="s">
        <v>94</v>
      </c>
      <c r="D2816" s="11" t="s">
        <v>1699</v>
      </c>
      <c r="E2816" s="39" t="s">
        <v>1395</v>
      </c>
      <c r="F2816" s="11" t="s">
        <v>1700</v>
      </c>
      <c r="G2816" s="39" t="s">
        <v>2612</v>
      </c>
      <c r="I2816" s="7">
        <v>1</v>
      </c>
      <c r="J2816" s="17">
        <v>15</v>
      </c>
      <c r="K2816" s="17"/>
      <c r="L2816" s="7">
        <f t="shared" si="1200"/>
        <v>16</v>
      </c>
      <c r="M2816" s="8">
        <v>1</v>
      </c>
      <c r="N2816" s="8">
        <f t="shared" si="1201"/>
        <v>1</v>
      </c>
      <c r="O2816" s="11" t="s">
        <v>1702</v>
      </c>
      <c r="P2816" s="16" t="str">
        <f t="shared" si="1202"/>
        <v>14-Sep-1903</v>
      </c>
      <c r="R2816" s="16" t="str">
        <f t="shared" si="1203"/>
        <v>x</v>
      </c>
      <c r="S2816" s="16" t="str">
        <f t="shared" si="1203"/>
        <v>x</v>
      </c>
      <c r="T2816" s="11"/>
      <c r="U2816" s="46" t="str">
        <f t="shared" si="1194"/>
        <v/>
      </c>
      <c r="V2816" s="46">
        <f t="shared" si="1194"/>
        <v>16</v>
      </c>
      <c r="W2816" s="46" t="str">
        <f t="shared" si="1194"/>
        <v/>
      </c>
      <c r="X2816" s="46" t="str">
        <f t="shared" si="1194"/>
        <v/>
      </c>
    </row>
    <row r="2817" spans="2:24" x14ac:dyDescent="0.25">
      <c r="B2817" s="11" t="str">
        <f t="shared" si="1199"/>
        <v>LGSC-12OCT1903</v>
      </c>
      <c r="C2817" s="11" t="s">
        <v>94</v>
      </c>
      <c r="D2817" s="11" t="s">
        <v>1699</v>
      </c>
      <c r="E2817" s="39" t="s">
        <v>1396</v>
      </c>
      <c r="F2817" s="11" t="s">
        <v>1700</v>
      </c>
      <c r="G2817" s="39" t="s">
        <v>2613</v>
      </c>
      <c r="I2817" s="7">
        <v>0</v>
      </c>
      <c r="J2817" s="17">
        <v>3</v>
      </c>
      <c r="K2817" s="17"/>
      <c r="L2817" s="7">
        <f t="shared" si="1200"/>
        <v>3</v>
      </c>
      <c r="M2817" s="8">
        <v>1</v>
      </c>
      <c r="N2817" s="8">
        <f t="shared" si="1201"/>
        <v>1</v>
      </c>
      <c r="O2817" s="11" t="s">
        <v>1702</v>
      </c>
      <c r="P2817" s="16" t="str">
        <f t="shared" si="1202"/>
        <v>12-Oct-1903</v>
      </c>
      <c r="R2817" s="16" t="str">
        <f t="shared" si="1203"/>
        <v>x</v>
      </c>
      <c r="S2817" s="16" t="str">
        <f t="shared" si="1203"/>
        <v>x</v>
      </c>
      <c r="T2817" s="11"/>
      <c r="U2817" s="46" t="str">
        <f t="shared" si="1194"/>
        <v/>
      </c>
      <c r="V2817" s="46">
        <f t="shared" si="1194"/>
        <v>3</v>
      </c>
      <c r="W2817" s="46" t="str">
        <f t="shared" si="1194"/>
        <v/>
      </c>
      <c r="X2817" s="46" t="str">
        <f t="shared" si="1194"/>
        <v/>
      </c>
    </row>
    <row r="2818" spans="2:24" x14ac:dyDescent="0.25">
      <c r="B2818" s="11" t="str">
        <f t="shared" si="1199"/>
        <v>LGSC-09NOV1903</v>
      </c>
      <c r="C2818" s="11" t="s">
        <v>94</v>
      </c>
      <c r="D2818" s="11" t="s">
        <v>1699</v>
      </c>
      <c r="E2818" s="39" t="s">
        <v>2616</v>
      </c>
      <c r="F2818" s="11" t="s">
        <v>1700</v>
      </c>
      <c r="G2818" s="39" t="s">
        <v>2614</v>
      </c>
      <c r="H2818" s="7">
        <v>0</v>
      </c>
      <c r="I2818" s="7">
        <v>0</v>
      </c>
      <c r="J2818" s="17">
        <v>2</v>
      </c>
      <c r="K2818" s="17"/>
      <c r="L2818" s="7">
        <f t="shared" si="1200"/>
        <v>2</v>
      </c>
      <c r="M2818" s="8">
        <v>1</v>
      </c>
      <c r="N2818" s="8">
        <f t="shared" si="1201"/>
        <v>1</v>
      </c>
      <c r="O2818" s="11" t="s">
        <v>1702</v>
      </c>
      <c r="P2818" s="16" t="str">
        <f t="shared" si="1202"/>
        <v>09-Nov-1903</v>
      </c>
      <c r="R2818" s="16" t="str">
        <f t="shared" si="1203"/>
        <v>x</v>
      </c>
      <c r="S2818" s="16" t="str">
        <f t="shared" si="1203"/>
        <v>x</v>
      </c>
      <c r="T2818" s="11"/>
      <c r="U2818" s="46" t="str">
        <f t="shared" si="1194"/>
        <v/>
      </c>
      <c r="V2818" s="46">
        <f t="shared" si="1194"/>
        <v>2</v>
      </c>
      <c r="W2818" s="46" t="str">
        <f t="shared" si="1194"/>
        <v/>
      </c>
      <c r="X2818" s="46" t="str">
        <f t="shared" si="1194"/>
        <v/>
      </c>
    </row>
    <row r="2819" spans="2:24" x14ac:dyDescent="0.25">
      <c r="B2819" s="11" t="str">
        <f t="shared" si="1199"/>
        <v>LGSC-28MAR1904</v>
      </c>
      <c r="C2819" s="11" t="s">
        <v>94</v>
      </c>
      <c r="D2819" s="11" t="s">
        <v>1699</v>
      </c>
      <c r="E2819" s="39" t="s">
        <v>1400</v>
      </c>
      <c r="F2819" s="11" t="s">
        <v>1700</v>
      </c>
      <c r="G2819" s="39" t="s">
        <v>2617</v>
      </c>
      <c r="H2819" s="7">
        <v>0</v>
      </c>
      <c r="I2819" s="7">
        <v>0</v>
      </c>
      <c r="J2819" s="17">
        <v>4</v>
      </c>
      <c r="K2819" s="17"/>
      <c r="L2819" s="7">
        <f t="shared" si="1200"/>
        <v>4</v>
      </c>
      <c r="M2819" s="8">
        <v>1</v>
      </c>
      <c r="N2819" s="8">
        <f t="shared" si="1201"/>
        <v>1</v>
      </c>
      <c r="O2819" s="11" t="s">
        <v>1702</v>
      </c>
      <c r="P2819" s="16" t="str">
        <f t="shared" si="1202"/>
        <v>28-Mar-1904</v>
      </c>
      <c r="R2819" s="16" t="str">
        <f t="shared" si="1203"/>
        <v>x</v>
      </c>
      <c r="S2819" s="16" t="str">
        <f t="shared" si="1203"/>
        <v>x</v>
      </c>
      <c r="T2819" s="11"/>
      <c r="U2819" s="46" t="str">
        <f t="shared" si="1194"/>
        <v/>
      </c>
      <c r="V2819" s="46">
        <f t="shared" si="1194"/>
        <v>4</v>
      </c>
      <c r="W2819" s="46" t="str">
        <f t="shared" si="1194"/>
        <v/>
      </c>
      <c r="X2819" s="46" t="str">
        <f t="shared" si="1194"/>
        <v/>
      </c>
    </row>
    <row r="2820" spans="2:24" x14ac:dyDescent="0.25">
      <c r="B2820" s="11" t="str">
        <f t="shared" si="1199"/>
        <v>LGSC-03MAY1904</v>
      </c>
      <c r="C2820" s="11" t="s">
        <v>94</v>
      </c>
      <c r="D2820" s="11" t="s">
        <v>1699</v>
      </c>
      <c r="E2820" s="39" t="s">
        <v>1761</v>
      </c>
      <c r="F2820" s="11" t="s">
        <v>1700</v>
      </c>
      <c r="G2820" s="39" t="s">
        <v>2618</v>
      </c>
      <c r="H2820" s="7">
        <v>0</v>
      </c>
      <c r="I2820" s="7">
        <v>0</v>
      </c>
      <c r="J2820" s="17">
        <v>18</v>
      </c>
      <c r="K2820" s="17"/>
      <c r="L2820" s="7">
        <f t="shared" si="1200"/>
        <v>18</v>
      </c>
      <c r="M2820" s="8">
        <v>1</v>
      </c>
      <c r="N2820" s="8">
        <f t="shared" si="1201"/>
        <v>1</v>
      </c>
      <c r="O2820" s="11" t="s">
        <v>1702</v>
      </c>
      <c r="P2820" s="16" t="str">
        <f t="shared" si="1202"/>
        <v>03-May-1904</v>
      </c>
      <c r="R2820" s="16" t="str">
        <f t="shared" si="1203"/>
        <v>x</v>
      </c>
      <c r="S2820" s="16" t="str">
        <f t="shared" si="1203"/>
        <v>x</v>
      </c>
      <c r="T2820" s="11"/>
      <c r="U2820" s="46" t="str">
        <f t="shared" si="1194"/>
        <v/>
      </c>
      <c r="V2820" s="46">
        <f t="shared" si="1194"/>
        <v>18</v>
      </c>
      <c r="W2820" s="46" t="str">
        <f t="shared" si="1194"/>
        <v/>
      </c>
      <c r="X2820" s="46" t="str">
        <f t="shared" si="1194"/>
        <v/>
      </c>
    </row>
    <row r="2821" spans="2:24" x14ac:dyDescent="0.25">
      <c r="B2821" s="11" t="str">
        <f t="shared" si="1199"/>
        <v>LGSC-13JUN1904</v>
      </c>
      <c r="C2821" s="11" t="s">
        <v>94</v>
      </c>
      <c r="D2821" s="11" t="s">
        <v>1699</v>
      </c>
      <c r="E2821" s="39" t="s">
        <v>1658</v>
      </c>
      <c r="F2821" s="11" t="s">
        <v>1700</v>
      </c>
      <c r="G2821" s="39" t="s">
        <v>2619</v>
      </c>
      <c r="H2821" s="7">
        <v>0</v>
      </c>
      <c r="I2821" s="7">
        <v>0</v>
      </c>
      <c r="J2821" s="17">
        <v>8</v>
      </c>
      <c r="K2821" s="17"/>
      <c r="L2821" s="7">
        <f t="shared" si="1200"/>
        <v>8</v>
      </c>
      <c r="M2821" s="8">
        <v>1</v>
      </c>
      <c r="N2821" s="8">
        <f t="shared" si="1201"/>
        <v>1</v>
      </c>
      <c r="O2821" s="11" t="s">
        <v>1702</v>
      </c>
      <c r="P2821" s="16" t="str">
        <f t="shared" si="1202"/>
        <v>13-Jun-1904</v>
      </c>
      <c r="R2821" s="16" t="str">
        <f t="shared" si="1203"/>
        <v>x</v>
      </c>
      <c r="S2821" s="16" t="str">
        <f t="shared" si="1203"/>
        <v>x</v>
      </c>
      <c r="T2821" s="11"/>
      <c r="U2821" s="46" t="str">
        <f t="shared" si="1194"/>
        <v/>
      </c>
      <c r="V2821" s="46">
        <f t="shared" si="1194"/>
        <v>8</v>
      </c>
      <c r="W2821" s="46" t="str">
        <f t="shared" si="1194"/>
        <v/>
      </c>
      <c r="X2821" s="46" t="str">
        <f t="shared" si="1194"/>
        <v/>
      </c>
    </row>
    <row r="2822" spans="2:24" x14ac:dyDescent="0.25">
      <c r="B2822" s="11" t="str">
        <f t="shared" si="1199"/>
        <v>LGSC-08AUG1904</v>
      </c>
      <c r="C2822" s="11" t="s">
        <v>94</v>
      </c>
      <c r="D2822" s="11" t="s">
        <v>1699</v>
      </c>
      <c r="E2822" s="39" t="s">
        <v>2624</v>
      </c>
      <c r="F2822" s="11" t="s">
        <v>1700</v>
      </c>
      <c r="G2822" s="39" t="s">
        <v>2620</v>
      </c>
      <c r="H2822" s="7">
        <v>0</v>
      </c>
      <c r="I2822" s="7">
        <v>0</v>
      </c>
      <c r="J2822" s="17">
        <v>4</v>
      </c>
      <c r="K2822" s="17"/>
      <c r="L2822" s="7">
        <f t="shared" si="1200"/>
        <v>4</v>
      </c>
      <c r="M2822" s="8">
        <v>1</v>
      </c>
      <c r="N2822" s="8">
        <f t="shared" si="1201"/>
        <v>1</v>
      </c>
      <c r="O2822" s="11" t="s">
        <v>1702</v>
      </c>
      <c r="P2822" s="16" t="str">
        <f t="shared" si="1202"/>
        <v>08-Aug-1904</v>
      </c>
      <c r="R2822" s="16" t="str">
        <f t="shared" si="1203"/>
        <v>x</v>
      </c>
      <c r="S2822" s="16" t="str">
        <f t="shared" si="1203"/>
        <v>x</v>
      </c>
      <c r="T2822" s="11"/>
      <c r="U2822" s="46" t="str">
        <f t="shared" si="1194"/>
        <v/>
      </c>
      <c r="V2822" s="46">
        <f t="shared" si="1194"/>
        <v>4</v>
      </c>
      <c r="W2822" s="46" t="str">
        <f t="shared" si="1194"/>
        <v/>
      </c>
      <c r="X2822" s="46" t="str">
        <f t="shared" si="1194"/>
        <v/>
      </c>
    </row>
    <row r="2823" spans="2:24" x14ac:dyDescent="0.25">
      <c r="B2823" s="11" t="str">
        <f t="shared" si="1199"/>
        <v>LGSC-24OCT1904</v>
      </c>
      <c r="C2823" s="11" t="s">
        <v>94</v>
      </c>
      <c r="D2823" s="11" t="s">
        <v>1699</v>
      </c>
      <c r="E2823" s="39" t="s">
        <v>1660</v>
      </c>
      <c r="F2823" s="11" t="s">
        <v>1700</v>
      </c>
      <c r="G2823" s="39" t="s">
        <v>2621</v>
      </c>
      <c r="H2823" s="7">
        <v>0</v>
      </c>
      <c r="I2823" s="7">
        <v>0</v>
      </c>
      <c r="J2823" s="17">
        <v>5</v>
      </c>
      <c r="K2823" s="17"/>
      <c r="L2823" s="7">
        <f t="shared" si="1200"/>
        <v>5</v>
      </c>
      <c r="M2823" s="8">
        <v>1</v>
      </c>
      <c r="N2823" s="8">
        <f t="shared" si="1201"/>
        <v>1</v>
      </c>
      <c r="O2823" s="11" t="s">
        <v>1702</v>
      </c>
      <c r="P2823" s="16" t="str">
        <f t="shared" si="1202"/>
        <v>24-Oct-1904</v>
      </c>
      <c r="R2823" s="16" t="str">
        <f t="shared" si="1203"/>
        <v>x</v>
      </c>
      <c r="S2823" s="16" t="str">
        <f t="shared" si="1203"/>
        <v>x</v>
      </c>
      <c r="T2823" s="11"/>
      <c r="U2823" s="46" t="str">
        <f t="shared" si="1194"/>
        <v/>
      </c>
      <c r="V2823" s="46">
        <f t="shared" si="1194"/>
        <v>5</v>
      </c>
      <c r="W2823" s="46" t="str">
        <f t="shared" si="1194"/>
        <v/>
      </c>
      <c r="X2823" s="46" t="str">
        <f t="shared" si="1194"/>
        <v/>
      </c>
    </row>
    <row r="2824" spans="2:24" x14ac:dyDescent="0.25">
      <c r="B2824" s="11" t="str">
        <f>CONCATENATE("LGSC","-",LEFT(P2824,2),UPPER(MID(P2824,4,3)),RIGHT(P2824,4))</f>
        <v>LGSC-21NOV1904</v>
      </c>
      <c r="C2824" s="11" t="s">
        <v>94</v>
      </c>
      <c r="D2824" s="11" t="s">
        <v>1699</v>
      </c>
      <c r="E2824" s="39" t="s">
        <v>1661</v>
      </c>
      <c r="F2824" s="11" t="s">
        <v>1700</v>
      </c>
      <c r="G2824" s="39" t="s">
        <v>2622</v>
      </c>
      <c r="H2824" s="7">
        <v>0</v>
      </c>
      <c r="I2824" s="7">
        <v>0</v>
      </c>
      <c r="J2824" s="17">
        <v>9</v>
      </c>
      <c r="K2824" s="17"/>
      <c r="L2824" s="7">
        <f>SUM(H2824:K2824)</f>
        <v>9</v>
      </c>
      <c r="M2824" s="8">
        <v>1</v>
      </c>
      <c r="N2824" s="8">
        <f>IF(L2824&gt;0,1,"")</f>
        <v>1</v>
      </c>
      <c r="O2824" s="11" t="s">
        <v>1702</v>
      </c>
      <c r="P2824" s="16" t="str">
        <f>IF(LEN(G2824)=10,CONCATENATE("0",G2824),G2824)</f>
        <v>21-Nov-1904</v>
      </c>
      <c r="R2824" s="16" t="str">
        <f t="shared" si="1203"/>
        <v>x</v>
      </c>
      <c r="S2824" s="16" t="str">
        <f t="shared" si="1203"/>
        <v>x</v>
      </c>
      <c r="T2824" s="11"/>
      <c r="U2824" s="46" t="str">
        <f t="shared" si="1194"/>
        <v/>
      </c>
      <c r="V2824" s="46">
        <f t="shared" si="1194"/>
        <v>9</v>
      </c>
      <c r="W2824" s="46" t="str">
        <f t="shared" si="1194"/>
        <v/>
      </c>
      <c r="X2824" s="46" t="str">
        <f t="shared" si="1194"/>
        <v/>
      </c>
    </row>
    <row r="2825" spans="2:24" x14ac:dyDescent="0.25">
      <c r="B2825" s="11" t="str">
        <f>CONCATENATE("LGSC","-",LEFT(P2825,2),UPPER(MID(P2825,4,3)),RIGHT(P2825,4))</f>
        <v>LGSC-20DEC1904</v>
      </c>
      <c r="C2825" s="11" t="s">
        <v>94</v>
      </c>
      <c r="D2825" s="11" t="s">
        <v>1699</v>
      </c>
      <c r="E2825" s="39" t="s">
        <v>2625</v>
      </c>
      <c r="F2825" s="11" t="s">
        <v>1700</v>
      </c>
      <c r="G2825" s="39" t="s">
        <v>2623</v>
      </c>
      <c r="H2825" s="7">
        <v>0</v>
      </c>
      <c r="I2825" s="7">
        <v>0</v>
      </c>
      <c r="J2825" s="17">
        <v>23</v>
      </c>
      <c r="K2825" s="17"/>
      <c r="L2825" s="7">
        <f>SUM(H2825:K2825)</f>
        <v>23</v>
      </c>
      <c r="M2825" s="8">
        <v>1</v>
      </c>
      <c r="N2825" s="8">
        <f>IF(L2825&gt;0,1,"")</f>
        <v>1</v>
      </c>
      <c r="O2825" s="11" t="s">
        <v>1702</v>
      </c>
      <c r="P2825" s="16" t="str">
        <f>IF(LEN(G2825)=10,CONCATENATE("0",G2825),G2825)</f>
        <v>20-Dec-1904</v>
      </c>
      <c r="R2825" s="16" t="str">
        <f t="shared" si="1203"/>
        <v>x</v>
      </c>
      <c r="S2825" s="16" t="str">
        <f t="shared" si="1203"/>
        <v>x</v>
      </c>
      <c r="T2825" s="11"/>
      <c r="U2825" s="46" t="str">
        <f t="shared" si="1194"/>
        <v/>
      </c>
      <c r="V2825" s="46">
        <f t="shared" si="1194"/>
        <v>23</v>
      </c>
      <c r="W2825" s="46" t="str">
        <f t="shared" si="1194"/>
        <v/>
      </c>
      <c r="X2825" s="46" t="str">
        <f t="shared" si="1194"/>
        <v/>
      </c>
    </row>
    <row r="2826" spans="2:24" x14ac:dyDescent="0.25">
      <c r="B2826" s="11" t="str">
        <f t="shared" ref="B2826:B2831" si="1204">CONCATENATE("LGSC","-",LEFT(P2826,2),UPPER(MID(P2826,4,3)),RIGHT(P2826,4))</f>
        <v>LGSC-16JAN1905</v>
      </c>
      <c r="C2826" s="11" t="s">
        <v>94</v>
      </c>
      <c r="D2826" s="11" t="s">
        <v>1699</v>
      </c>
      <c r="E2826" s="39" t="s">
        <v>2636</v>
      </c>
      <c r="F2826" s="11" t="s">
        <v>1700</v>
      </c>
      <c r="G2826" s="39" t="s">
        <v>2626</v>
      </c>
      <c r="H2826" s="7">
        <v>0</v>
      </c>
      <c r="I2826" s="7">
        <v>0</v>
      </c>
      <c r="J2826" s="17">
        <v>6</v>
      </c>
      <c r="K2826" s="17"/>
      <c r="L2826" s="7">
        <f t="shared" ref="L2826:L2831" si="1205">SUM(H2826:K2826)</f>
        <v>6</v>
      </c>
      <c r="M2826" s="8">
        <v>1</v>
      </c>
      <c r="N2826" s="8">
        <f t="shared" ref="N2826:N2831" si="1206">IF(L2826&gt;0,1,"")</f>
        <v>1</v>
      </c>
      <c r="O2826" s="11" t="s">
        <v>1702</v>
      </c>
      <c r="P2826" s="16" t="str">
        <f t="shared" ref="P2826:P2831" si="1207">IF(LEN(G2826)=10,CONCATENATE("0",G2826),G2826)</f>
        <v>16-Jan-1905</v>
      </c>
      <c r="R2826" s="16" t="str">
        <f t="shared" si="1203"/>
        <v>x</v>
      </c>
      <c r="S2826" s="16" t="str">
        <f t="shared" si="1203"/>
        <v>x</v>
      </c>
      <c r="T2826" s="11"/>
      <c r="U2826" s="46" t="str">
        <f t="shared" si="1194"/>
        <v/>
      </c>
      <c r="V2826" s="46">
        <f t="shared" si="1194"/>
        <v>6</v>
      </c>
      <c r="W2826" s="46" t="str">
        <f t="shared" si="1194"/>
        <v/>
      </c>
      <c r="X2826" s="46" t="str">
        <f t="shared" si="1194"/>
        <v/>
      </c>
    </row>
    <row r="2827" spans="2:24" x14ac:dyDescent="0.25">
      <c r="B2827" s="11" t="str">
        <f t="shared" si="1204"/>
        <v>LGSC-20FEB1905</v>
      </c>
      <c r="C2827" s="11" t="s">
        <v>94</v>
      </c>
      <c r="D2827" s="11" t="s">
        <v>1699</v>
      </c>
      <c r="E2827" s="39" t="s">
        <v>2637</v>
      </c>
      <c r="F2827" s="11" t="s">
        <v>1700</v>
      </c>
      <c r="G2827" s="39" t="s">
        <v>2627</v>
      </c>
      <c r="H2827" s="7">
        <v>0</v>
      </c>
      <c r="I2827" s="7">
        <v>0</v>
      </c>
      <c r="J2827" s="17">
        <v>6</v>
      </c>
      <c r="K2827" s="17"/>
      <c r="L2827" s="7">
        <f t="shared" si="1205"/>
        <v>6</v>
      </c>
      <c r="M2827" s="8">
        <v>1</v>
      </c>
      <c r="N2827" s="8">
        <f t="shared" si="1206"/>
        <v>1</v>
      </c>
      <c r="O2827" s="11" t="s">
        <v>1702</v>
      </c>
      <c r="P2827" s="16" t="str">
        <f t="shared" si="1207"/>
        <v>20-Feb-1905</v>
      </c>
      <c r="R2827" s="16" t="str">
        <f t="shared" si="1203"/>
        <v>x</v>
      </c>
      <c r="S2827" s="16" t="str">
        <f t="shared" si="1203"/>
        <v>x</v>
      </c>
      <c r="T2827" s="11"/>
      <c r="U2827" s="46" t="str">
        <f t="shared" si="1194"/>
        <v/>
      </c>
      <c r="V2827" s="46">
        <f t="shared" si="1194"/>
        <v>6</v>
      </c>
      <c r="W2827" s="46" t="str">
        <f t="shared" si="1194"/>
        <v/>
      </c>
      <c r="X2827" s="46" t="str">
        <f t="shared" si="1194"/>
        <v/>
      </c>
    </row>
    <row r="2828" spans="2:24" x14ac:dyDescent="0.25">
      <c r="B2828" s="11" t="str">
        <f t="shared" si="1204"/>
        <v>LGSC-22MAR1905</v>
      </c>
      <c r="C2828" s="11" t="s">
        <v>94</v>
      </c>
      <c r="D2828" s="11" t="s">
        <v>1699</v>
      </c>
      <c r="E2828" s="39" t="s">
        <v>2638</v>
      </c>
      <c r="F2828" s="11" t="s">
        <v>1700</v>
      </c>
      <c r="G2828" s="39" t="s">
        <v>2628</v>
      </c>
      <c r="J2828" s="17">
        <v>13</v>
      </c>
      <c r="K2828" s="17"/>
      <c r="L2828" s="7">
        <f t="shared" si="1205"/>
        <v>13</v>
      </c>
      <c r="M2828" s="8">
        <v>1</v>
      </c>
      <c r="N2828" s="8">
        <f t="shared" si="1206"/>
        <v>1</v>
      </c>
      <c r="O2828" s="11" t="s">
        <v>1702</v>
      </c>
      <c r="P2828" s="16" t="str">
        <f t="shared" si="1207"/>
        <v>22-Mar-1905</v>
      </c>
      <c r="R2828" s="16" t="str">
        <f t="shared" si="1203"/>
        <v>x</v>
      </c>
      <c r="S2828" s="16" t="str">
        <f t="shared" si="1203"/>
        <v>x</v>
      </c>
      <c r="T2828" s="11"/>
      <c r="U2828" s="46" t="str">
        <f t="shared" si="1194"/>
        <v/>
      </c>
      <c r="V2828" s="46">
        <f t="shared" si="1194"/>
        <v>13</v>
      </c>
      <c r="W2828" s="46" t="str">
        <f t="shared" si="1194"/>
        <v/>
      </c>
      <c r="X2828" s="46" t="str">
        <f t="shared" si="1194"/>
        <v/>
      </c>
    </row>
    <row r="2829" spans="2:24" x14ac:dyDescent="0.25">
      <c r="B2829" s="11" t="str">
        <f t="shared" si="1204"/>
        <v>LGSC-17APR1905</v>
      </c>
      <c r="C2829" s="11" t="s">
        <v>94</v>
      </c>
      <c r="D2829" s="11" t="s">
        <v>1699</v>
      </c>
      <c r="E2829" s="39" t="s">
        <v>1418</v>
      </c>
      <c r="F2829" s="11" t="s">
        <v>1700</v>
      </c>
      <c r="G2829" s="39" t="s">
        <v>2629</v>
      </c>
      <c r="I2829" s="7">
        <v>0</v>
      </c>
      <c r="J2829" s="17">
        <v>3</v>
      </c>
      <c r="K2829" s="17"/>
      <c r="L2829" s="7">
        <f t="shared" si="1205"/>
        <v>3</v>
      </c>
      <c r="M2829" s="8">
        <v>1</v>
      </c>
      <c r="N2829" s="8">
        <f t="shared" si="1206"/>
        <v>1</v>
      </c>
      <c r="O2829" s="11" t="s">
        <v>1702</v>
      </c>
      <c r="P2829" s="16" t="str">
        <f t="shared" si="1207"/>
        <v>17-Apr-1905</v>
      </c>
      <c r="R2829" s="16" t="str">
        <f t="shared" si="1203"/>
        <v>x</v>
      </c>
      <c r="S2829" s="16" t="str">
        <f t="shared" si="1203"/>
        <v>x</v>
      </c>
      <c r="T2829" s="11"/>
      <c r="U2829" s="46" t="str">
        <f t="shared" si="1194"/>
        <v/>
      </c>
      <c r="V2829" s="46">
        <f t="shared" si="1194"/>
        <v>3</v>
      </c>
      <c r="W2829" s="46" t="str">
        <f t="shared" si="1194"/>
        <v/>
      </c>
      <c r="X2829" s="46" t="str">
        <f t="shared" si="1194"/>
        <v/>
      </c>
    </row>
    <row r="2830" spans="2:24" x14ac:dyDescent="0.25">
      <c r="B2830" s="11" t="str">
        <f t="shared" si="1204"/>
        <v>LGSC-17MAY1905</v>
      </c>
      <c r="C2830" s="11" t="s">
        <v>94</v>
      </c>
      <c r="D2830" s="11" t="s">
        <v>1699</v>
      </c>
      <c r="E2830" s="39" t="s">
        <v>1419</v>
      </c>
      <c r="F2830" s="11" t="s">
        <v>1700</v>
      </c>
      <c r="G2830" s="39" t="s">
        <v>2630</v>
      </c>
      <c r="J2830" s="17">
        <v>8</v>
      </c>
      <c r="K2830" s="17"/>
      <c r="L2830" s="7">
        <f t="shared" si="1205"/>
        <v>8</v>
      </c>
      <c r="M2830" s="8">
        <v>1</v>
      </c>
      <c r="N2830" s="8">
        <f t="shared" si="1206"/>
        <v>1</v>
      </c>
      <c r="O2830" s="11" t="s">
        <v>1702</v>
      </c>
      <c r="P2830" s="16" t="str">
        <f t="shared" si="1207"/>
        <v>17-May-1905</v>
      </c>
      <c r="R2830" s="16" t="str">
        <f t="shared" si="1203"/>
        <v>x</v>
      </c>
      <c r="S2830" s="16" t="str">
        <f t="shared" si="1203"/>
        <v>x</v>
      </c>
      <c r="T2830" s="11"/>
      <c r="U2830" s="46" t="str">
        <f t="shared" si="1194"/>
        <v/>
      </c>
      <c r="V2830" s="46">
        <f t="shared" si="1194"/>
        <v>8</v>
      </c>
      <c r="W2830" s="46" t="str">
        <f t="shared" si="1194"/>
        <v/>
      </c>
      <c r="X2830" s="46" t="str">
        <f t="shared" si="1194"/>
        <v/>
      </c>
    </row>
    <row r="2831" spans="2:24" x14ac:dyDescent="0.25">
      <c r="B2831" s="11" t="str">
        <f t="shared" si="1204"/>
        <v>LGSC-03JUL1905</v>
      </c>
      <c r="C2831" s="11" t="s">
        <v>94</v>
      </c>
      <c r="D2831" s="11" t="s">
        <v>1699</v>
      </c>
      <c r="E2831" s="39" t="s">
        <v>985</v>
      </c>
      <c r="F2831" s="11" t="s">
        <v>1700</v>
      </c>
      <c r="G2831" s="39" t="s">
        <v>2631</v>
      </c>
      <c r="H2831" s="7">
        <v>0</v>
      </c>
      <c r="I2831" s="7">
        <v>0</v>
      </c>
      <c r="J2831" s="17">
        <v>9</v>
      </c>
      <c r="K2831" s="17"/>
      <c r="L2831" s="7">
        <f t="shared" si="1205"/>
        <v>9</v>
      </c>
      <c r="M2831" s="8">
        <v>1</v>
      </c>
      <c r="N2831" s="8">
        <f t="shared" si="1206"/>
        <v>1</v>
      </c>
      <c r="O2831" s="11" t="s">
        <v>1702</v>
      </c>
      <c r="P2831" s="16" t="str">
        <f t="shared" si="1207"/>
        <v>03-Jul-1905</v>
      </c>
      <c r="R2831" s="16" t="str">
        <f t="shared" si="1203"/>
        <v>x</v>
      </c>
      <c r="S2831" s="16" t="str">
        <f t="shared" si="1203"/>
        <v>x</v>
      </c>
      <c r="T2831" s="11"/>
      <c r="U2831" s="46" t="str">
        <f t="shared" si="1194"/>
        <v/>
      </c>
      <c r="V2831" s="46">
        <f t="shared" si="1194"/>
        <v>9</v>
      </c>
      <c r="W2831" s="46" t="str">
        <f t="shared" si="1194"/>
        <v/>
      </c>
      <c r="X2831" s="46" t="str">
        <f t="shared" si="1194"/>
        <v/>
      </c>
    </row>
    <row r="2832" spans="2:24" x14ac:dyDescent="0.25">
      <c r="B2832" s="11" t="str">
        <f>CONCATENATE("LGSC","-",LEFT(P2832,2),UPPER(MID(P2832,4,3)),RIGHT(P2832,4))</f>
        <v>LGSC-06AUG1905</v>
      </c>
      <c r="C2832" s="11" t="s">
        <v>94</v>
      </c>
      <c r="D2832" s="11" t="s">
        <v>1699</v>
      </c>
      <c r="E2832" s="39" t="s">
        <v>1780</v>
      </c>
      <c r="F2832" s="11" t="s">
        <v>1700</v>
      </c>
      <c r="G2832" s="39" t="s">
        <v>2632</v>
      </c>
      <c r="H2832" s="7">
        <v>0</v>
      </c>
      <c r="I2832" s="7">
        <v>4</v>
      </c>
      <c r="J2832" s="17">
        <v>15</v>
      </c>
      <c r="K2832" s="17"/>
      <c r="L2832" s="7">
        <f>SUM(H2832:K2832)</f>
        <v>19</v>
      </c>
      <c r="M2832" s="8">
        <v>1</v>
      </c>
      <c r="N2832" s="8">
        <f>IF(L2832&gt;0,1,"")</f>
        <v>1</v>
      </c>
      <c r="O2832" s="11" t="s">
        <v>1702</v>
      </c>
      <c r="P2832" s="16" t="str">
        <f>IF(LEN(G2832)=10,CONCATENATE("0",G2832),G2832)</f>
        <v>06-Aug-1905</v>
      </c>
      <c r="R2832" s="16" t="str">
        <f t="shared" si="1203"/>
        <v>x</v>
      </c>
      <c r="S2832" s="16" t="str">
        <f t="shared" si="1203"/>
        <v>x</v>
      </c>
      <c r="T2832" s="11"/>
      <c r="U2832" s="46" t="str">
        <f t="shared" si="1194"/>
        <v/>
      </c>
      <c r="V2832" s="46">
        <f t="shared" si="1194"/>
        <v>19</v>
      </c>
      <c r="W2832" s="46" t="str">
        <f t="shared" si="1194"/>
        <v/>
      </c>
      <c r="X2832" s="46" t="str">
        <f t="shared" si="1194"/>
        <v/>
      </c>
    </row>
    <row r="2833" spans="2:24" x14ac:dyDescent="0.25">
      <c r="B2833" s="11" t="str">
        <f>CONCATENATE("LGSC","-",LEFT(P2833,2),UPPER(MID(P2833,4,3)),RIGHT(P2833,4))</f>
        <v>LGSC-25SEP1905</v>
      </c>
      <c r="C2833" s="11" t="s">
        <v>94</v>
      </c>
      <c r="D2833" s="11" t="s">
        <v>1699</v>
      </c>
      <c r="E2833" s="39" t="s">
        <v>2639</v>
      </c>
      <c r="F2833" s="11" t="s">
        <v>1700</v>
      </c>
      <c r="G2833" s="39" t="s">
        <v>2633</v>
      </c>
      <c r="H2833" s="7">
        <v>0</v>
      </c>
      <c r="I2833" s="7">
        <v>0</v>
      </c>
      <c r="J2833" s="17">
        <v>9</v>
      </c>
      <c r="K2833" s="17"/>
      <c r="L2833" s="7">
        <f>SUM(H2833:K2833)</f>
        <v>9</v>
      </c>
      <c r="M2833" s="8">
        <v>1</v>
      </c>
      <c r="N2833" s="8">
        <f>IF(L2833&gt;0,1,"")</f>
        <v>1</v>
      </c>
      <c r="O2833" s="11" t="s">
        <v>1702</v>
      </c>
      <c r="P2833" s="16" t="str">
        <f>IF(LEN(G2833)=10,CONCATENATE("0",G2833),G2833)</f>
        <v>25-Sep-1905</v>
      </c>
      <c r="R2833" s="16" t="str">
        <f t="shared" si="1203"/>
        <v>x</v>
      </c>
      <c r="S2833" s="16" t="str">
        <f t="shared" si="1203"/>
        <v>x</v>
      </c>
      <c r="T2833" s="11"/>
      <c r="U2833" s="46" t="str">
        <f t="shared" si="1194"/>
        <v/>
      </c>
      <c r="V2833" s="46">
        <f t="shared" si="1194"/>
        <v>9</v>
      </c>
      <c r="W2833" s="46" t="str">
        <f t="shared" si="1194"/>
        <v/>
      </c>
      <c r="X2833" s="46" t="str">
        <f t="shared" si="1194"/>
        <v/>
      </c>
    </row>
    <row r="2834" spans="2:24" x14ac:dyDescent="0.25">
      <c r="B2834" s="11" t="str">
        <f t="shared" si="1199"/>
        <v>LGSC-30OCT1905</v>
      </c>
      <c r="C2834" s="11" t="s">
        <v>94</v>
      </c>
      <c r="D2834" s="11" t="s">
        <v>1699</v>
      </c>
      <c r="E2834" s="39" t="s">
        <v>2277</v>
      </c>
      <c r="F2834" s="11" t="s">
        <v>1700</v>
      </c>
      <c r="G2834" s="39" t="s">
        <v>2634</v>
      </c>
      <c r="J2834" s="17">
        <v>55</v>
      </c>
      <c r="K2834" s="17"/>
      <c r="L2834" s="7">
        <f t="shared" si="1200"/>
        <v>55</v>
      </c>
      <c r="M2834" s="8">
        <v>1</v>
      </c>
      <c r="N2834" s="8">
        <f t="shared" si="1201"/>
        <v>1</v>
      </c>
      <c r="O2834" s="11" t="s">
        <v>1702</v>
      </c>
      <c r="P2834" s="16" t="str">
        <f t="shared" si="1202"/>
        <v>30-Oct-1905</v>
      </c>
      <c r="R2834" s="16" t="str">
        <f t="shared" si="1203"/>
        <v>x</v>
      </c>
      <c r="S2834" s="16" t="str">
        <f t="shared" si="1203"/>
        <v>x</v>
      </c>
      <c r="T2834" s="11"/>
      <c r="U2834" s="46" t="str">
        <f t="shared" si="1194"/>
        <v/>
      </c>
      <c r="V2834" s="46">
        <f t="shared" si="1194"/>
        <v>55</v>
      </c>
      <c r="W2834" s="46" t="str">
        <f t="shared" si="1194"/>
        <v/>
      </c>
      <c r="X2834" s="46" t="str">
        <f t="shared" si="1194"/>
        <v/>
      </c>
    </row>
    <row r="2835" spans="2:24" x14ac:dyDescent="0.25">
      <c r="B2835" s="11" t="str">
        <f>CONCATENATE("LGSC","-",LEFT(P2835,2),UPPER(MID(P2835,4,3)),RIGHT(P2835,4))</f>
        <v>LGSC-05DEC1905</v>
      </c>
      <c r="C2835" s="11" t="s">
        <v>94</v>
      </c>
      <c r="D2835" s="11" t="s">
        <v>1699</v>
      </c>
      <c r="E2835" s="39" t="s">
        <v>986</v>
      </c>
      <c r="F2835" s="11" t="s">
        <v>1700</v>
      </c>
      <c r="G2835" s="39" t="s">
        <v>2635</v>
      </c>
      <c r="H2835" s="7">
        <v>1</v>
      </c>
      <c r="I2835" s="7">
        <v>0</v>
      </c>
      <c r="J2835" s="17">
        <v>22</v>
      </c>
      <c r="K2835" s="17"/>
      <c r="L2835" s="7">
        <f>SUM(H2835:K2835)</f>
        <v>23</v>
      </c>
      <c r="M2835" s="8">
        <v>1</v>
      </c>
      <c r="N2835" s="8">
        <f>IF(L2835&gt;0,1,"")</f>
        <v>1</v>
      </c>
      <c r="O2835" s="11" t="s">
        <v>1702</v>
      </c>
      <c r="P2835" s="16" t="str">
        <f>IF(LEN(G2835)=10,CONCATENATE("0",G2835),G2835)</f>
        <v>05-Dec-1905</v>
      </c>
      <c r="R2835" s="16" t="str">
        <f t="shared" si="1203"/>
        <v>x</v>
      </c>
      <c r="S2835" s="16" t="str">
        <f t="shared" si="1203"/>
        <v>x</v>
      </c>
      <c r="T2835" s="11"/>
      <c r="U2835" s="46" t="str">
        <f t="shared" si="1194"/>
        <v/>
      </c>
      <c r="V2835" s="46">
        <f t="shared" si="1194"/>
        <v>23</v>
      </c>
      <c r="W2835" s="46" t="str">
        <f t="shared" si="1194"/>
        <v/>
      </c>
      <c r="X2835" s="46" t="str">
        <f t="shared" si="1194"/>
        <v/>
      </c>
    </row>
    <row r="2836" spans="2:24" x14ac:dyDescent="0.25">
      <c r="B2836" s="11" t="str">
        <f t="shared" si="1199"/>
        <v>LGSC-08JAN1906</v>
      </c>
      <c r="C2836" s="11" t="s">
        <v>94</v>
      </c>
      <c r="D2836" s="11" t="s">
        <v>1699</v>
      </c>
      <c r="E2836" s="39" t="s">
        <v>2650</v>
      </c>
      <c r="F2836" s="11" t="s">
        <v>1700</v>
      </c>
      <c r="G2836" s="39" t="s">
        <v>2640</v>
      </c>
      <c r="H2836" s="7">
        <v>0</v>
      </c>
      <c r="I2836" s="7">
        <v>0</v>
      </c>
      <c r="J2836" s="17">
        <v>15</v>
      </c>
      <c r="K2836" s="17"/>
      <c r="L2836" s="7">
        <f t="shared" si="1200"/>
        <v>15</v>
      </c>
      <c r="M2836" s="8">
        <v>1</v>
      </c>
      <c r="N2836" s="8">
        <f t="shared" si="1201"/>
        <v>1</v>
      </c>
      <c r="O2836" s="11" t="s">
        <v>1702</v>
      </c>
      <c r="P2836" s="16" t="str">
        <f t="shared" si="1202"/>
        <v>08-Jan-1906</v>
      </c>
      <c r="R2836" s="16" t="str">
        <f t="shared" si="1203"/>
        <v>x</v>
      </c>
      <c r="S2836" s="16" t="str">
        <f t="shared" si="1203"/>
        <v>x</v>
      </c>
      <c r="T2836" s="11"/>
      <c r="U2836" s="46" t="str">
        <f t="shared" si="1194"/>
        <v/>
      </c>
      <c r="V2836" s="46">
        <f t="shared" si="1194"/>
        <v>15</v>
      </c>
      <c r="W2836" s="46" t="str">
        <f t="shared" si="1194"/>
        <v/>
      </c>
      <c r="X2836" s="46" t="str">
        <f t="shared" si="1194"/>
        <v/>
      </c>
    </row>
    <row r="2837" spans="2:24" x14ac:dyDescent="0.25">
      <c r="B2837" s="11" t="str">
        <f t="shared" ref="B2837:B2855" si="1208">CONCATENATE("LGSC","-",LEFT(P2837,2),UPPER(MID(P2837,4,3)),RIGHT(P2837,4))</f>
        <v>LGSC-05FEB1906</v>
      </c>
      <c r="C2837" s="11" t="s">
        <v>94</v>
      </c>
      <c r="D2837" s="11" t="s">
        <v>1699</v>
      </c>
      <c r="E2837" s="39" t="s">
        <v>1788</v>
      </c>
      <c r="F2837" s="11" t="s">
        <v>1700</v>
      </c>
      <c r="G2837" s="39" t="s">
        <v>2641</v>
      </c>
      <c r="H2837" s="7">
        <v>0</v>
      </c>
      <c r="I2837" s="7">
        <v>5</v>
      </c>
      <c r="J2837" s="17">
        <v>16</v>
      </c>
      <c r="K2837" s="17"/>
      <c r="L2837" s="7">
        <f t="shared" ref="L2837:L2855" si="1209">SUM(H2837:K2837)</f>
        <v>21</v>
      </c>
      <c r="M2837" s="8">
        <v>1</v>
      </c>
      <c r="N2837" s="8">
        <f t="shared" ref="N2837:N2855" si="1210">IF(L2837&gt;0,1,"")</f>
        <v>1</v>
      </c>
      <c r="O2837" s="11" t="s">
        <v>1702</v>
      </c>
      <c r="P2837" s="16" t="str">
        <f t="shared" ref="P2837:P2855" si="1211">IF(LEN(G2837)=10,CONCATENATE("0",G2837),G2837)</f>
        <v>05-Feb-1906</v>
      </c>
      <c r="R2837" s="16" t="str">
        <f t="shared" ref="R2837:S2855" si="1212">IF($L2837&gt;0,"x","")</f>
        <v>x</v>
      </c>
      <c r="S2837" s="16" t="str">
        <f t="shared" si="1212"/>
        <v>x</v>
      </c>
      <c r="T2837" s="11"/>
      <c r="U2837" s="46" t="str">
        <f t="shared" si="1194"/>
        <v/>
      </c>
      <c r="V2837" s="46">
        <f t="shared" si="1194"/>
        <v>21</v>
      </c>
      <c r="W2837" s="46" t="str">
        <f t="shared" si="1194"/>
        <v/>
      </c>
      <c r="X2837" s="46" t="str">
        <f t="shared" si="1194"/>
        <v/>
      </c>
    </row>
    <row r="2838" spans="2:24" x14ac:dyDescent="0.25">
      <c r="B2838" s="11" t="str">
        <f t="shared" si="1208"/>
        <v>LGSC-05MAR1906</v>
      </c>
      <c r="C2838" s="11" t="s">
        <v>94</v>
      </c>
      <c r="D2838" s="11" t="s">
        <v>1699</v>
      </c>
      <c r="E2838" s="39" t="s">
        <v>2651</v>
      </c>
      <c r="F2838" s="11" t="s">
        <v>1700</v>
      </c>
      <c r="G2838" s="39" t="s">
        <v>2642</v>
      </c>
      <c r="H2838" s="7">
        <v>0</v>
      </c>
      <c r="I2838" s="7">
        <v>0</v>
      </c>
      <c r="J2838" s="17">
        <v>28</v>
      </c>
      <c r="K2838" s="17"/>
      <c r="L2838" s="7">
        <f t="shared" si="1209"/>
        <v>28</v>
      </c>
      <c r="M2838" s="8">
        <v>1</v>
      </c>
      <c r="N2838" s="8">
        <f t="shared" si="1210"/>
        <v>1</v>
      </c>
      <c r="O2838" s="11" t="s">
        <v>1702</v>
      </c>
      <c r="P2838" s="16" t="str">
        <f t="shared" si="1211"/>
        <v>05-Mar-1906</v>
      </c>
      <c r="R2838" s="16" t="str">
        <f t="shared" si="1212"/>
        <v>x</v>
      </c>
      <c r="S2838" s="16" t="str">
        <f t="shared" si="1212"/>
        <v>x</v>
      </c>
      <c r="T2838" s="11"/>
      <c r="U2838" s="46" t="str">
        <f t="shared" si="1194"/>
        <v/>
      </c>
      <c r="V2838" s="46">
        <f t="shared" si="1194"/>
        <v>28</v>
      </c>
      <c r="W2838" s="46" t="str">
        <f t="shared" si="1194"/>
        <v/>
      </c>
      <c r="X2838" s="46" t="str">
        <f t="shared" si="1194"/>
        <v/>
      </c>
    </row>
    <row r="2839" spans="2:24" x14ac:dyDescent="0.25">
      <c r="B2839" s="11" t="str">
        <f t="shared" si="1208"/>
        <v>LGSC-09APR1906</v>
      </c>
      <c r="C2839" s="11" t="s">
        <v>94</v>
      </c>
      <c r="D2839" s="11" t="s">
        <v>1699</v>
      </c>
      <c r="E2839" s="39" t="s">
        <v>2288</v>
      </c>
      <c r="F2839" s="11" t="s">
        <v>1700</v>
      </c>
      <c r="G2839" s="39" t="s">
        <v>2643</v>
      </c>
      <c r="J2839" s="17">
        <v>9</v>
      </c>
      <c r="K2839" s="17"/>
      <c r="L2839" s="7">
        <f t="shared" si="1209"/>
        <v>9</v>
      </c>
      <c r="M2839" s="8">
        <v>1</v>
      </c>
      <c r="N2839" s="8">
        <f t="shared" si="1210"/>
        <v>1</v>
      </c>
      <c r="O2839" s="11" t="s">
        <v>1702</v>
      </c>
      <c r="P2839" s="16" t="str">
        <f t="shared" si="1211"/>
        <v>09-Apr-1906</v>
      </c>
      <c r="R2839" s="16" t="str">
        <f t="shared" si="1212"/>
        <v>x</v>
      </c>
      <c r="S2839" s="16" t="str">
        <f t="shared" si="1212"/>
        <v>x</v>
      </c>
      <c r="T2839" s="11"/>
      <c r="U2839" s="46" t="str">
        <f t="shared" si="1194"/>
        <v/>
      </c>
      <c r="V2839" s="46">
        <f t="shared" si="1194"/>
        <v>9</v>
      </c>
      <c r="W2839" s="46" t="str">
        <f t="shared" si="1194"/>
        <v/>
      </c>
      <c r="X2839" s="46" t="str">
        <f t="shared" si="1194"/>
        <v/>
      </c>
    </row>
    <row r="2840" spans="2:24" x14ac:dyDescent="0.25">
      <c r="B2840" s="11" t="str">
        <f t="shared" si="1208"/>
        <v>LGSC-07MAY1906</v>
      </c>
      <c r="C2840" s="11" t="s">
        <v>94</v>
      </c>
      <c r="D2840" s="11" t="s">
        <v>1699</v>
      </c>
      <c r="E2840" s="39" t="s">
        <v>2289</v>
      </c>
      <c r="F2840" s="11" t="s">
        <v>1700</v>
      </c>
      <c r="G2840" s="39" t="s">
        <v>2644</v>
      </c>
      <c r="J2840" s="17">
        <v>19</v>
      </c>
      <c r="K2840" s="17"/>
      <c r="L2840" s="7">
        <f t="shared" si="1209"/>
        <v>19</v>
      </c>
      <c r="M2840" s="8">
        <v>1</v>
      </c>
      <c r="N2840" s="8">
        <f t="shared" si="1210"/>
        <v>1</v>
      </c>
      <c r="O2840" s="11" t="s">
        <v>1702</v>
      </c>
      <c r="P2840" s="16" t="str">
        <f t="shared" si="1211"/>
        <v>07-May-1906</v>
      </c>
      <c r="R2840" s="16" t="str">
        <f t="shared" si="1212"/>
        <v>x</v>
      </c>
      <c r="S2840" s="16" t="str">
        <f t="shared" si="1212"/>
        <v>x</v>
      </c>
      <c r="T2840" s="11"/>
      <c r="U2840" s="46" t="str">
        <f t="shared" si="1194"/>
        <v/>
      </c>
      <c r="V2840" s="46">
        <f t="shared" si="1194"/>
        <v>19</v>
      </c>
      <c r="W2840" s="46" t="str">
        <f t="shared" si="1194"/>
        <v/>
      </c>
      <c r="X2840" s="46" t="str">
        <f t="shared" si="1194"/>
        <v/>
      </c>
    </row>
    <row r="2841" spans="2:24" x14ac:dyDescent="0.25">
      <c r="B2841" s="11" t="str">
        <f t="shared" si="1208"/>
        <v>LGSC-26JUN1906</v>
      </c>
      <c r="C2841" s="11" t="s">
        <v>94</v>
      </c>
      <c r="D2841" s="11" t="s">
        <v>1699</v>
      </c>
      <c r="E2841" s="39" t="s">
        <v>2086</v>
      </c>
      <c r="F2841" s="11" t="s">
        <v>1700</v>
      </c>
      <c r="G2841" s="39" t="s">
        <v>2645</v>
      </c>
      <c r="I2841" s="7">
        <v>0</v>
      </c>
      <c r="J2841" s="17">
        <v>4</v>
      </c>
      <c r="K2841" s="17"/>
      <c r="L2841" s="7">
        <f t="shared" si="1209"/>
        <v>4</v>
      </c>
      <c r="M2841" s="8">
        <v>1</v>
      </c>
      <c r="N2841" s="8">
        <f t="shared" si="1210"/>
        <v>1</v>
      </c>
      <c r="O2841" s="11" t="s">
        <v>1702</v>
      </c>
      <c r="P2841" s="16" t="str">
        <f t="shared" si="1211"/>
        <v>26-Jun-1906</v>
      </c>
      <c r="R2841" s="16" t="str">
        <f t="shared" si="1212"/>
        <v>x</v>
      </c>
      <c r="S2841" s="16" t="str">
        <f t="shared" si="1212"/>
        <v>x</v>
      </c>
      <c r="T2841" s="11"/>
      <c r="U2841" s="46" t="str">
        <f t="shared" si="1194"/>
        <v/>
      </c>
      <c r="V2841" s="46">
        <f t="shared" si="1194"/>
        <v>4</v>
      </c>
      <c r="W2841" s="46" t="str">
        <f t="shared" si="1194"/>
        <v/>
      </c>
      <c r="X2841" s="46" t="str">
        <f t="shared" si="1194"/>
        <v/>
      </c>
    </row>
    <row r="2842" spans="2:24" x14ac:dyDescent="0.25">
      <c r="B2842" s="11" t="str">
        <f t="shared" si="1208"/>
        <v>LGSC-06AUG1906</v>
      </c>
      <c r="C2842" s="11" t="s">
        <v>94</v>
      </c>
      <c r="D2842" s="11" t="s">
        <v>1699</v>
      </c>
      <c r="E2842" s="39" t="s">
        <v>2283</v>
      </c>
      <c r="F2842" s="11" t="s">
        <v>1700</v>
      </c>
      <c r="G2842" s="39" t="s">
        <v>2646</v>
      </c>
      <c r="H2842" s="7">
        <v>0</v>
      </c>
      <c r="I2842" s="7">
        <v>0</v>
      </c>
      <c r="J2842" s="17">
        <v>35</v>
      </c>
      <c r="K2842" s="17"/>
      <c r="L2842" s="7">
        <f t="shared" si="1209"/>
        <v>35</v>
      </c>
      <c r="M2842" s="8">
        <v>1</v>
      </c>
      <c r="N2842" s="8">
        <f t="shared" si="1210"/>
        <v>1</v>
      </c>
      <c r="O2842" s="11" t="s">
        <v>1702</v>
      </c>
      <c r="P2842" s="16" t="str">
        <f t="shared" si="1211"/>
        <v>06-Aug-1906</v>
      </c>
      <c r="R2842" s="16" t="str">
        <f t="shared" si="1212"/>
        <v>x</v>
      </c>
      <c r="S2842" s="16" t="str">
        <f t="shared" si="1212"/>
        <v>x</v>
      </c>
      <c r="T2842" s="11"/>
      <c r="U2842" s="46" t="str">
        <f t="shared" si="1194"/>
        <v/>
      </c>
      <c r="V2842" s="46">
        <f t="shared" si="1194"/>
        <v>35</v>
      </c>
      <c r="W2842" s="46" t="str">
        <f t="shared" si="1194"/>
        <v/>
      </c>
      <c r="X2842" s="46" t="str">
        <f t="shared" si="1194"/>
        <v/>
      </c>
    </row>
    <row r="2843" spans="2:24" x14ac:dyDescent="0.25">
      <c r="B2843" s="11" t="str">
        <f t="shared" si="1208"/>
        <v>LGSC-24SEP1906</v>
      </c>
      <c r="C2843" s="11" t="s">
        <v>94</v>
      </c>
      <c r="D2843" s="11" t="s">
        <v>1699</v>
      </c>
      <c r="E2843" s="39" t="s">
        <v>2652</v>
      </c>
      <c r="F2843" s="11" t="s">
        <v>1700</v>
      </c>
      <c r="G2843" s="39" t="s">
        <v>2647</v>
      </c>
      <c r="H2843" s="7">
        <v>0</v>
      </c>
      <c r="I2843" s="7">
        <v>0</v>
      </c>
      <c r="J2843" s="17">
        <v>55</v>
      </c>
      <c r="K2843" s="17"/>
      <c r="L2843" s="7">
        <f t="shared" si="1209"/>
        <v>55</v>
      </c>
      <c r="M2843" s="8">
        <v>1</v>
      </c>
      <c r="N2843" s="8">
        <f t="shared" si="1210"/>
        <v>1</v>
      </c>
      <c r="O2843" s="11" t="s">
        <v>1702</v>
      </c>
      <c r="P2843" s="16" t="str">
        <f t="shared" si="1211"/>
        <v>24-Sep-1906</v>
      </c>
      <c r="R2843" s="16" t="str">
        <f t="shared" si="1212"/>
        <v>x</v>
      </c>
      <c r="S2843" s="16" t="str">
        <f t="shared" si="1212"/>
        <v>x</v>
      </c>
      <c r="T2843" s="11"/>
      <c r="U2843" s="46" t="str">
        <f t="shared" si="1194"/>
        <v/>
      </c>
      <c r="V2843" s="46">
        <f t="shared" si="1194"/>
        <v>55</v>
      </c>
      <c r="W2843" s="46" t="str">
        <f t="shared" si="1194"/>
        <v/>
      </c>
      <c r="X2843" s="46" t="str">
        <f t="shared" si="1194"/>
        <v/>
      </c>
    </row>
    <row r="2844" spans="2:24" x14ac:dyDescent="0.25">
      <c r="B2844" s="11" t="str">
        <f t="shared" si="1208"/>
        <v>LGSC-22OCT1906</v>
      </c>
      <c r="C2844" s="11" t="s">
        <v>94</v>
      </c>
      <c r="D2844" s="11" t="s">
        <v>1699</v>
      </c>
      <c r="E2844" s="39" t="s">
        <v>1440</v>
      </c>
      <c r="F2844" s="11" t="s">
        <v>1700</v>
      </c>
      <c r="G2844" s="39" t="s">
        <v>2648</v>
      </c>
      <c r="I2844" s="7">
        <v>3</v>
      </c>
      <c r="J2844" s="17">
        <v>9</v>
      </c>
      <c r="K2844" s="17"/>
      <c r="L2844" s="7">
        <f t="shared" si="1209"/>
        <v>12</v>
      </c>
      <c r="M2844" s="8">
        <v>1</v>
      </c>
      <c r="N2844" s="8">
        <f t="shared" si="1210"/>
        <v>1</v>
      </c>
      <c r="O2844" s="11" t="s">
        <v>1702</v>
      </c>
      <c r="P2844" s="16" t="str">
        <f t="shared" si="1211"/>
        <v>22-Oct-1906</v>
      </c>
      <c r="R2844" s="16" t="str">
        <f t="shared" si="1212"/>
        <v>x</v>
      </c>
      <c r="S2844" s="16" t="str">
        <f t="shared" si="1212"/>
        <v>x</v>
      </c>
      <c r="T2844" s="11"/>
      <c r="U2844" s="46" t="str">
        <f t="shared" si="1194"/>
        <v/>
      </c>
      <c r="V2844" s="46">
        <f t="shared" si="1194"/>
        <v>12</v>
      </c>
      <c r="W2844" s="46" t="str">
        <f t="shared" si="1194"/>
        <v/>
      </c>
      <c r="X2844" s="46" t="str">
        <f t="shared" si="1194"/>
        <v/>
      </c>
    </row>
    <row r="2845" spans="2:24" x14ac:dyDescent="0.25">
      <c r="B2845" s="11" t="str">
        <f t="shared" si="1208"/>
        <v>LGSC-20NOV1906</v>
      </c>
      <c r="C2845" s="11" t="s">
        <v>94</v>
      </c>
      <c r="D2845" s="11" t="s">
        <v>1699</v>
      </c>
      <c r="E2845" s="39" t="s">
        <v>1441</v>
      </c>
      <c r="F2845" s="11" t="s">
        <v>1700</v>
      </c>
      <c r="G2845" s="39" t="s">
        <v>2649</v>
      </c>
      <c r="H2845" s="7">
        <v>0</v>
      </c>
      <c r="I2845" s="7">
        <v>0</v>
      </c>
      <c r="J2845" s="17">
        <v>34</v>
      </c>
      <c r="K2845" s="17"/>
      <c r="L2845" s="7">
        <f t="shared" si="1209"/>
        <v>34</v>
      </c>
      <c r="M2845" s="8">
        <v>1</v>
      </c>
      <c r="N2845" s="8">
        <f t="shared" si="1210"/>
        <v>1</v>
      </c>
      <c r="O2845" s="11" t="s">
        <v>1702</v>
      </c>
      <c r="P2845" s="16" t="str">
        <f t="shared" si="1211"/>
        <v>20-Nov-1906</v>
      </c>
      <c r="R2845" s="16" t="str">
        <f t="shared" si="1212"/>
        <v>x</v>
      </c>
      <c r="S2845" s="16" t="str">
        <f t="shared" si="1212"/>
        <v>x</v>
      </c>
      <c r="T2845" s="11"/>
      <c r="U2845" s="46" t="str">
        <f t="shared" si="1194"/>
        <v/>
      </c>
      <c r="V2845" s="46">
        <f t="shared" si="1194"/>
        <v>34</v>
      </c>
      <c r="W2845" s="46" t="str">
        <f t="shared" si="1194"/>
        <v/>
      </c>
      <c r="X2845" s="46" t="str">
        <f t="shared" si="1194"/>
        <v/>
      </c>
    </row>
    <row r="2846" spans="2:24" x14ac:dyDescent="0.25">
      <c r="B2846" s="11" t="str">
        <f t="shared" si="1208"/>
        <v>LGSC-21JAN1907</v>
      </c>
      <c r="C2846" s="11" t="s">
        <v>94</v>
      </c>
      <c r="D2846" s="11" t="s">
        <v>1699</v>
      </c>
      <c r="E2846" s="39" t="s">
        <v>2660</v>
      </c>
      <c r="F2846" s="11" t="s">
        <v>1700</v>
      </c>
      <c r="G2846" s="39" t="s">
        <v>2653</v>
      </c>
      <c r="H2846" s="7">
        <v>0</v>
      </c>
      <c r="I2846" s="7">
        <v>0</v>
      </c>
      <c r="J2846" s="17">
        <v>57</v>
      </c>
      <c r="K2846" s="17"/>
      <c r="L2846" s="7">
        <f t="shared" si="1209"/>
        <v>57</v>
      </c>
      <c r="M2846" s="8">
        <v>1</v>
      </c>
      <c r="N2846" s="8">
        <f t="shared" si="1210"/>
        <v>1</v>
      </c>
      <c r="O2846" s="11" t="s">
        <v>1702</v>
      </c>
      <c r="P2846" s="16" t="str">
        <f t="shared" si="1211"/>
        <v>21-Jan-1907</v>
      </c>
      <c r="R2846" s="16" t="str">
        <f t="shared" si="1212"/>
        <v>x</v>
      </c>
      <c r="S2846" s="16" t="str">
        <f t="shared" si="1212"/>
        <v>x</v>
      </c>
      <c r="T2846" s="11"/>
      <c r="U2846" s="46" t="str">
        <f t="shared" si="1194"/>
        <v/>
      </c>
      <c r="V2846" s="46">
        <f t="shared" si="1194"/>
        <v>57</v>
      </c>
      <c r="W2846" s="46" t="str">
        <f t="shared" si="1194"/>
        <v/>
      </c>
      <c r="X2846" s="46" t="str">
        <f t="shared" si="1194"/>
        <v/>
      </c>
    </row>
    <row r="2847" spans="2:24" x14ac:dyDescent="0.25">
      <c r="B2847" s="11" t="str">
        <f>CONCATENATE("LGSC","-",LEFT(P2847,2),UPPER(MID(P2847,4,3)),RIGHT(P2847,4))</f>
        <v>LGSC-19FEB1907</v>
      </c>
      <c r="C2847" s="11" t="s">
        <v>94</v>
      </c>
      <c r="D2847" s="11" t="s">
        <v>1699</v>
      </c>
      <c r="E2847" s="39" t="s">
        <v>1443</v>
      </c>
      <c r="F2847" s="11" t="s">
        <v>1700</v>
      </c>
      <c r="G2847" s="39" t="s">
        <v>2654</v>
      </c>
      <c r="H2847" s="7">
        <v>0</v>
      </c>
      <c r="I2847" s="7">
        <v>0</v>
      </c>
      <c r="J2847" s="17">
        <v>14</v>
      </c>
      <c r="K2847" s="17"/>
      <c r="L2847" s="7">
        <f>SUM(H2847:K2847)</f>
        <v>14</v>
      </c>
      <c r="M2847" s="8">
        <v>1</v>
      </c>
      <c r="N2847" s="8">
        <f>IF(L2847&gt;0,1,"")</f>
        <v>1</v>
      </c>
      <c r="O2847" s="11" t="s">
        <v>1702</v>
      </c>
      <c r="P2847" s="16" t="str">
        <f>IF(LEN(G2847)=10,CONCATENATE("0",G2847),G2847)</f>
        <v>19-Feb-1907</v>
      </c>
      <c r="R2847" s="16" t="str">
        <f t="shared" si="1212"/>
        <v>x</v>
      </c>
      <c r="S2847" s="16" t="str">
        <f t="shared" si="1212"/>
        <v>x</v>
      </c>
      <c r="T2847" s="11"/>
      <c r="U2847" s="46" t="str">
        <f t="shared" si="1194"/>
        <v/>
      </c>
      <c r="V2847" s="46">
        <f t="shared" si="1194"/>
        <v>14</v>
      </c>
      <c r="W2847" s="46" t="str">
        <f t="shared" si="1194"/>
        <v/>
      </c>
      <c r="X2847" s="46" t="str">
        <f t="shared" si="1194"/>
        <v/>
      </c>
    </row>
    <row r="2848" spans="2:24" x14ac:dyDescent="0.25">
      <c r="B2848" s="11" t="str">
        <f>CONCATENATE("LGSC","-",LEFT(P2848,2),UPPER(MID(P2848,4,3)),RIGHT(P2848,4))</f>
        <v>LGSC-22MAR1907</v>
      </c>
      <c r="C2848" s="11" t="s">
        <v>94</v>
      </c>
      <c r="D2848" s="11" t="s">
        <v>1699</v>
      </c>
      <c r="E2848" s="39" t="s">
        <v>2661</v>
      </c>
      <c r="F2848" s="11" t="s">
        <v>1700</v>
      </c>
      <c r="G2848" s="39" t="s">
        <v>2655</v>
      </c>
      <c r="I2848" s="7">
        <v>0</v>
      </c>
      <c r="J2848" s="17">
        <v>31</v>
      </c>
      <c r="K2848" s="17"/>
      <c r="L2848" s="7">
        <f>SUM(H2848:K2848)</f>
        <v>31</v>
      </c>
      <c r="M2848" s="8">
        <v>1</v>
      </c>
      <c r="N2848" s="8">
        <f>IF(L2848&gt;0,1,"")</f>
        <v>1</v>
      </c>
      <c r="O2848" s="11" t="s">
        <v>1702</v>
      </c>
      <c r="P2848" s="16" t="str">
        <f>IF(LEN(G2848)=10,CONCATENATE("0",G2848),G2848)</f>
        <v>22-Mar-1907</v>
      </c>
      <c r="R2848" s="16" t="str">
        <f t="shared" si="1212"/>
        <v>x</v>
      </c>
      <c r="S2848" s="16" t="str">
        <f t="shared" si="1212"/>
        <v>x</v>
      </c>
      <c r="T2848" s="11"/>
      <c r="U2848" s="46" t="str">
        <f t="shared" si="1194"/>
        <v/>
      </c>
      <c r="V2848" s="46">
        <f t="shared" si="1194"/>
        <v>31</v>
      </c>
      <c r="W2848" s="46" t="str">
        <f t="shared" si="1194"/>
        <v/>
      </c>
      <c r="X2848" s="46" t="str">
        <f t="shared" si="1194"/>
        <v/>
      </c>
    </row>
    <row r="2849" spans="2:24" x14ac:dyDescent="0.25">
      <c r="B2849" s="11" t="str">
        <f>CONCATENATE("LGSC","-",LEFT(P2849,2),UPPER(MID(P2849,4,3)),RIGHT(P2849,4))</f>
        <v>LGSC-17APR1907</v>
      </c>
      <c r="C2849" s="11" t="s">
        <v>94</v>
      </c>
      <c r="D2849" s="11" t="s">
        <v>1699</v>
      </c>
      <c r="E2849" s="39" t="s">
        <v>1804</v>
      </c>
      <c r="F2849" s="11" t="s">
        <v>1700</v>
      </c>
      <c r="G2849" s="39" t="s">
        <v>2656</v>
      </c>
      <c r="I2849" s="7">
        <v>0</v>
      </c>
      <c r="J2849" s="17">
        <v>14</v>
      </c>
      <c r="K2849" s="17"/>
      <c r="L2849" s="7">
        <f>SUM(H2849:K2849)</f>
        <v>14</v>
      </c>
      <c r="M2849" s="8">
        <v>1</v>
      </c>
      <c r="N2849" s="8">
        <f>IF(L2849&gt;0,1,"")</f>
        <v>1</v>
      </c>
      <c r="O2849" s="11" t="s">
        <v>1702</v>
      </c>
      <c r="P2849" s="16" t="str">
        <f>IF(LEN(G2849)=10,CONCATENATE("0",G2849),G2849)</f>
        <v>17-Apr-1907</v>
      </c>
      <c r="R2849" s="16" t="str">
        <f t="shared" si="1212"/>
        <v>x</v>
      </c>
      <c r="S2849" s="16" t="str">
        <f t="shared" si="1212"/>
        <v>x</v>
      </c>
      <c r="T2849" s="11"/>
      <c r="U2849" s="46" t="str">
        <f t="shared" si="1194"/>
        <v/>
      </c>
      <c r="V2849" s="46">
        <f t="shared" si="1194"/>
        <v>14</v>
      </c>
      <c r="W2849" s="46" t="str">
        <f t="shared" si="1194"/>
        <v/>
      </c>
      <c r="X2849" s="46" t="str">
        <f t="shared" si="1194"/>
        <v/>
      </c>
    </row>
    <row r="2850" spans="2:24" x14ac:dyDescent="0.25">
      <c r="B2850" s="11" t="str">
        <f>CONCATENATE("LGSC","-",LEFT(P2850,2),UPPER(MID(P2850,4,3)),RIGHT(P2850,4))</f>
        <v>LGSC-16MAY1907</v>
      </c>
      <c r="C2850" s="11" t="s">
        <v>94</v>
      </c>
      <c r="D2850" s="11" t="s">
        <v>1699</v>
      </c>
      <c r="E2850" s="39" t="s">
        <v>2662</v>
      </c>
      <c r="F2850" s="11" t="s">
        <v>1700</v>
      </c>
      <c r="G2850" s="39" t="s">
        <v>2663</v>
      </c>
      <c r="I2850" s="7">
        <v>0</v>
      </c>
      <c r="J2850" s="17">
        <v>14</v>
      </c>
      <c r="K2850" s="17"/>
      <c r="L2850" s="7">
        <f>SUM(H2850:K2850)</f>
        <v>14</v>
      </c>
      <c r="M2850" s="8">
        <v>1</v>
      </c>
      <c r="N2850" s="8">
        <f>IF(L2850&gt;0,1,"")</f>
        <v>1</v>
      </c>
      <c r="O2850" s="11" t="s">
        <v>1702</v>
      </c>
      <c r="P2850" s="16" t="str">
        <f>IF(LEN(G2850)=10,CONCATENATE("0",G2850),G2850)</f>
        <v>16-May-1907</v>
      </c>
      <c r="R2850" s="16" t="str">
        <f t="shared" si="1212"/>
        <v>x</v>
      </c>
      <c r="S2850" s="16" t="str">
        <f t="shared" si="1212"/>
        <v>x</v>
      </c>
      <c r="T2850" s="11"/>
      <c r="U2850" s="46" t="str">
        <f t="shared" si="1194"/>
        <v/>
      </c>
      <c r="V2850" s="46">
        <f t="shared" si="1194"/>
        <v>14</v>
      </c>
      <c r="W2850" s="46" t="str">
        <f t="shared" si="1194"/>
        <v/>
      </c>
      <c r="X2850" s="46" t="str">
        <f t="shared" si="1194"/>
        <v/>
      </c>
    </row>
    <row r="2851" spans="2:24" x14ac:dyDescent="0.25">
      <c r="B2851" s="11" t="str">
        <f>CONCATENATE("LGSC","-",LEFT(P2851,2),UPPER(MID(P2851,4,3)),RIGHT(P2851,4))</f>
        <v>LGSC-09SEP1907</v>
      </c>
      <c r="C2851" s="11" t="s">
        <v>94</v>
      </c>
      <c r="D2851" s="11" t="s">
        <v>1699</v>
      </c>
      <c r="E2851" s="39" t="s">
        <v>1459</v>
      </c>
      <c r="F2851" s="11" t="s">
        <v>1700</v>
      </c>
      <c r="G2851" s="39" t="s">
        <v>1450</v>
      </c>
      <c r="I2851" s="7">
        <v>0</v>
      </c>
      <c r="J2851" s="17">
        <v>27</v>
      </c>
      <c r="K2851" s="17"/>
      <c r="L2851" s="7">
        <f>SUM(H2851:K2851)</f>
        <v>27</v>
      </c>
      <c r="M2851" s="8">
        <v>1</v>
      </c>
      <c r="N2851" s="8">
        <f>IF(L2851&gt;0,1,"")</f>
        <v>1</v>
      </c>
      <c r="O2851" s="11" t="s">
        <v>1702</v>
      </c>
      <c r="P2851" s="16" t="str">
        <f>IF(LEN(G2851)=10,CONCATENATE("0",G2851),G2851)</f>
        <v>09-Sep-1907</v>
      </c>
      <c r="R2851" s="16" t="str">
        <f t="shared" si="1212"/>
        <v>x</v>
      </c>
      <c r="S2851" s="16" t="str">
        <f t="shared" si="1212"/>
        <v>x</v>
      </c>
      <c r="T2851" s="11"/>
      <c r="U2851" s="46" t="str">
        <f t="shared" si="1194"/>
        <v/>
      </c>
      <c r="V2851" s="46">
        <f t="shared" si="1194"/>
        <v>27</v>
      </c>
      <c r="W2851" s="46" t="str">
        <f t="shared" si="1194"/>
        <v/>
      </c>
      <c r="X2851" s="46" t="str">
        <f t="shared" si="1194"/>
        <v/>
      </c>
    </row>
    <row r="2852" spans="2:24" x14ac:dyDescent="0.25">
      <c r="B2852" s="11" t="str">
        <f t="shared" si="1208"/>
        <v>LGSC-07OCT1907</v>
      </c>
      <c r="C2852" s="11" t="s">
        <v>94</v>
      </c>
      <c r="D2852" s="11" t="s">
        <v>1699</v>
      </c>
      <c r="E2852" s="39" t="s">
        <v>1207</v>
      </c>
      <c r="F2852" s="11" t="s">
        <v>1700</v>
      </c>
      <c r="G2852" s="39" t="s">
        <v>2657</v>
      </c>
      <c r="I2852" s="7">
        <v>0</v>
      </c>
      <c r="J2852" s="17">
        <v>27</v>
      </c>
      <c r="K2852" s="17"/>
      <c r="L2852" s="7">
        <f t="shared" si="1209"/>
        <v>27</v>
      </c>
      <c r="M2852" s="8">
        <v>1</v>
      </c>
      <c r="N2852" s="8">
        <f t="shared" si="1210"/>
        <v>1</v>
      </c>
      <c r="O2852" s="11" t="s">
        <v>1702</v>
      </c>
      <c r="P2852" s="16" t="str">
        <f t="shared" si="1211"/>
        <v>07-Oct-1907</v>
      </c>
      <c r="R2852" s="16" t="str">
        <f t="shared" si="1212"/>
        <v>x</v>
      </c>
      <c r="S2852" s="16" t="str">
        <f t="shared" si="1212"/>
        <v>x</v>
      </c>
      <c r="T2852" s="11"/>
      <c r="U2852" s="46" t="str">
        <f t="shared" si="1194"/>
        <v/>
      </c>
      <c r="V2852" s="46">
        <f t="shared" si="1194"/>
        <v>27</v>
      </c>
      <c r="W2852" s="46" t="str">
        <f t="shared" si="1194"/>
        <v/>
      </c>
      <c r="X2852" s="46" t="str">
        <f t="shared" si="1194"/>
        <v/>
      </c>
    </row>
    <row r="2853" spans="2:24" x14ac:dyDescent="0.25">
      <c r="B2853" s="11" t="str">
        <f t="shared" si="1208"/>
        <v>LGSC-04NOV1907</v>
      </c>
      <c r="C2853" s="11" t="s">
        <v>94</v>
      </c>
      <c r="D2853" s="11" t="s">
        <v>1699</v>
      </c>
      <c r="E2853" s="39" t="s">
        <v>1208</v>
      </c>
      <c r="F2853" s="11" t="s">
        <v>1700</v>
      </c>
      <c r="G2853" s="39" t="s">
        <v>2658</v>
      </c>
      <c r="I2853" s="7">
        <v>0</v>
      </c>
      <c r="J2853" s="17">
        <v>5</v>
      </c>
      <c r="K2853" s="17"/>
      <c r="L2853" s="7">
        <f t="shared" si="1209"/>
        <v>5</v>
      </c>
      <c r="M2853" s="8">
        <v>1</v>
      </c>
      <c r="N2853" s="8">
        <f t="shared" si="1210"/>
        <v>1</v>
      </c>
      <c r="O2853" s="11" t="s">
        <v>1702</v>
      </c>
      <c r="P2853" s="16" t="str">
        <f t="shared" si="1211"/>
        <v>04-Nov-1907</v>
      </c>
      <c r="R2853" s="16" t="str">
        <f t="shared" si="1212"/>
        <v>x</v>
      </c>
      <c r="S2853" s="16" t="str">
        <f t="shared" si="1212"/>
        <v>x</v>
      </c>
      <c r="T2853" s="11"/>
      <c r="U2853" s="46" t="str">
        <f t="shared" si="1194"/>
        <v/>
      </c>
      <c r="V2853" s="46">
        <f t="shared" si="1194"/>
        <v>5</v>
      </c>
      <c r="W2853" s="46" t="str">
        <f t="shared" si="1194"/>
        <v/>
      </c>
      <c r="X2853" s="46" t="str">
        <f t="shared" si="1194"/>
        <v/>
      </c>
    </row>
    <row r="2854" spans="2:24" x14ac:dyDescent="0.25">
      <c r="B2854" s="11" t="str">
        <f>CONCATENATE("LGSC","-",LEFT(P2854,2),UPPER(MID(P2854,4,3)),RIGHT(P2854,4))</f>
        <v>LGSC-02DEC1907</v>
      </c>
      <c r="C2854" s="11" t="s">
        <v>94</v>
      </c>
      <c r="D2854" s="11" t="s">
        <v>1699</v>
      </c>
      <c r="E2854" s="39" t="s">
        <v>1209</v>
      </c>
      <c r="F2854" s="11" t="s">
        <v>1700</v>
      </c>
      <c r="G2854" s="39" t="s">
        <v>2659</v>
      </c>
      <c r="I2854" s="7">
        <v>0</v>
      </c>
      <c r="J2854" s="17">
        <v>27</v>
      </c>
      <c r="K2854" s="17"/>
      <c r="L2854" s="7">
        <f>SUM(H2854:K2854)</f>
        <v>27</v>
      </c>
      <c r="M2854" s="8">
        <v>1</v>
      </c>
      <c r="N2854" s="8">
        <f>IF(L2854&gt;0,1,"")</f>
        <v>1</v>
      </c>
      <c r="O2854" s="11" t="s">
        <v>1702</v>
      </c>
      <c r="P2854" s="16" t="str">
        <f>IF(LEN(G2854)=10,CONCATENATE("0",G2854),G2854)</f>
        <v>02-Dec-1907</v>
      </c>
      <c r="R2854" s="16" t="str">
        <f t="shared" si="1212"/>
        <v>x</v>
      </c>
      <c r="S2854" s="16" t="str">
        <f t="shared" si="1212"/>
        <v>x</v>
      </c>
      <c r="T2854" s="11"/>
      <c r="U2854" s="46" t="str">
        <f t="shared" si="1194"/>
        <v/>
      </c>
      <c r="V2854" s="46">
        <f t="shared" si="1194"/>
        <v>27</v>
      </c>
      <c r="W2854" s="46" t="str">
        <f t="shared" si="1194"/>
        <v/>
      </c>
      <c r="X2854" s="46" t="str">
        <f t="shared" si="1194"/>
        <v/>
      </c>
    </row>
    <row r="2855" spans="2:24" x14ac:dyDescent="0.25">
      <c r="B2855" s="11" t="str">
        <f t="shared" si="1208"/>
        <v>LGSC-06JAN1908</v>
      </c>
      <c r="C2855" s="11" t="s">
        <v>94</v>
      </c>
      <c r="D2855" s="11" t="s">
        <v>1699</v>
      </c>
      <c r="E2855" s="39" t="s">
        <v>1198</v>
      </c>
      <c r="F2855" s="11" t="s">
        <v>1700</v>
      </c>
      <c r="G2855" s="39" t="s">
        <v>2664</v>
      </c>
      <c r="H2855" s="7">
        <v>1</v>
      </c>
      <c r="I2855" s="7">
        <v>3</v>
      </c>
      <c r="J2855" s="17">
        <v>44</v>
      </c>
      <c r="K2855" s="17"/>
      <c r="L2855" s="7">
        <f t="shared" si="1209"/>
        <v>48</v>
      </c>
      <c r="M2855" s="8">
        <v>1</v>
      </c>
      <c r="N2855" s="8">
        <f t="shared" si="1210"/>
        <v>1</v>
      </c>
      <c r="O2855" s="11" t="s">
        <v>1702</v>
      </c>
      <c r="P2855" s="16" t="str">
        <f t="shared" si="1211"/>
        <v>06-Jan-1908</v>
      </c>
      <c r="R2855" s="16" t="str">
        <f t="shared" si="1212"/>
        <v>x</v>
      </c>
      <c r="S2855" s="16" t="str">
        <f t="shared" si="1212"/>
        <v>x</v>
      </c>
      <c r="T2855" s="11"/>
      <c r="U2855" s="46" t="str">
        <f t="shared" si="1194"/>
        <v/>
      </c>
      <c r="V2855" s="46">
        <f t="shared" si="1194"/>
        <v>48</v>
      </c>
      <c r="W2855" s="46" t="str">
        <f t="shared" si="1194"/>
        <v/>
      </c>
      <c r="X2855" s="46" t="str">
        <f t="shared" si="1194"/>
        <v/>
      </c>
    </row>
    <row r="2856" spans="2:24" x14ac:dyDescent="0.25">
      <c r="B2856" s="11" t="str">
        <f>CONCATENATE("LGSC","-",LEFT(P2856,2),UPPER(MID(P2856,4,3)),RIGHT(P2856,4))</f>
        <v>LGSC-30MAR1908</v>
      </c>
      <c r="C2856" s="11" t="s">
        <v>94</v>
      </c>
      <c r="D2856" s="11" t="s">
        <v>1699</v>
      </c>
      <c r="E2856" s="39" t="s">
        <v>2673</v>
      </c>
      <c r="F2856" s="11" t="s">
        <v>1700</v>
      </c>
      <c r="G2856" s="39" t="s">
        <v>2665</v>
      </c>
      <c r="H2856" s="7">
        <v>0</v>
      </c>
      <c r="I2856" s="7">
        <v>0</v>
      </c>
      <c r="J2856" s="17">
        <v>17</v>
      </c>
      <c r="K2856" s="17"/>
      <c r="L2856" s="7">
        <f>SUM(H2856:K2856)</f>
        <v>17</v>
      </c>
      <c r="M2856" s="8">
        <v>1</v>
      </c>
      <c r="N2856" s="8">
        <f>IF(L2856&gt;0,1,"")</f>
        <v>1</v>
      </c>
      <c r="O2856" s="11" t="s">
        <v>1702</v>
      </c>
      <c r="P2856" s="16" t="str">
        <f>IF(LEN(G2856)=10,CONCATENATE("0",G2856),G2856)</f>
        <v>30-Mar-1908</v>
      </c>
      <c r="R2856" s="16" t="str">
        <f t="shared" ref="R2856:S2860" si="1213">IF($L2856&gt;0,"x","")</f>
        <v>x</v>
      </c>
      <c r="S2856" s="16" t="str">
        <f t="shared" si="1213"/>
        <v>x</v>
      </c>
      <c r="T2856" s="11"/>
      <c r="U2856" s="46" t="str">
        <f t="shared" si="1194"/>
        <v/>
      </c>
      <c r="V2856" s="46">
        <f t="shared" si="1194"/>
        <v>17</v>
      </c>
      <c r="W2856" s="46" t="str">
        <f t="shared" si="1194"/>
        <v/>
      </c>
      <c r="X2856" s="46" t="str">
        <f t="shared" si="1194"/>
        <v/>
      </c>
    </row>
    <row r="2857" spans="2:24" x14ac:dyDescent="0.25">
      <c r="B2857" s="11" t="str">
        <f>CONCATENATE("LGSC","-",LEFT(P2857,2),UPPER(MID(P2857,4,3)),RIGHT(P2857,4))</f>
        <v>LGSC-31AUG1908</v>
      </c>
      <c r="C2857" s="11" t="s">
        <v>94</v>
      </c>
      <c r="D2857" s="11" t="s">
        <v>1699</v>
      </c>
      <c r="E2857" s="39" t="s">
        <v>1826</v>
      </c>
      <c r="F2857" s="11" t="s">
        <v>1700</v>
      </c>
      <c r="G2857" s="39" t="s">
        <v>2666</v>
      </c>
      <c r="H2857" s="7">
        <v>0</v>
      </c>
      <c r="I2857" s="7">
        <v>0</v>
      </c>
      <c r="J2857" s="17">
        <v>39</v>
      </c>
      <c r="K2857" s="17"/>
      <c r="L2857" s="7">
        <f>SUM(H2857:K2857)</f>
        <v>39</v>
      </c>
      <c r="M2857" s="8">
        <v>1</v>
      </c>
      <c r="N2857" s="8">
        <f>IF(L2857&gt;0,1,"")</f>
        <v>1</v>
      </c>
      <c r="O2857" s="11" t="s">
        <v>1702</v>
      </c>
      <c r="P2857" s="16" t="str">
        <f>IF(LEN(G2857)=10,CONCATENATE("0",G2857),G2857)</f>
        <v>31-Aug-1908</v>
      </c>
      <c r="R2857" s="16" t="str">
        <f t="shared" si="1213"/>
        <v>x</v>
      </c>
      <c r="S2857" s="16" t="str">
        <f t="shared" si="1213"/>
        <v>x</v>
      </c>
      <c r="T2857" s="11"/>
      <c r="U2857" s="46" t="str">
        <f t="shared" si="1194"/>
        <v/>
      </c>
      <c r="V2857" s="46">
        <f t="shared" si="1194"/>
        <v>39</v>
      </c>
      <c r="W2857" s="46" t="str">
        <f t="shared" si="1194"/>
        <v/>
      </c>
      <c r="X2857" s="46" t="str">
        <f t="shared" si="1194"/>
        <v/>
      </c>
    </row>
    <row r="2858" spans="2:24" x14ac:dyDescent="0.25">
      <c r="B2858" s="11" t="str">
        <f>CONCATENATE("LGSC","-",LEFT(P2858,2),UPPER(MID(P2858,4,3)),RIGHT(P2858,4))</f>
        <v>LGSC-01FEB1909</v>
      </c>
      <c r="C2858" s="11" t="s">
        <v>94</v>
      </c>
      <c r="D2858" s="11" t="s">
        <v>1699</v>
      </c>
      <c r="E2858" s="39" t="s">
        <v>2674</v>
      </c>
      <c r="F2858" s="11" t="s">
        <v>1700</v>
      </c>
      <c r="G2858" s="39" t="s">
        <v>2667</v>
      </c>
      <c r="H2858" s="7">
        <v>0</v>
      </c>
      <c r="I2858" s="7">
        <v>0</v>
      </c>
      <c r="J2858" s="17">
        <v>56</v>
      </c>
      <c r="K2858" s="17"/>
      <c r="L2858" s="7">
        <f>SUM(H2858:K2858)</f>
        <v>56</v>
      </c>
      <c r="M2858" s="8">
        <v>1</v>
      </c>
      <c r="N2858" s="8">
        <f>IF(L2858&gt;0,1,"")</f>
        <v>1</v>
      </c>
      <c r="O2858" s="11" t="s">
        <v>1702</v>
      </c>
      <c r="P2858" s="16" t="str">
        <f>IF(LEN(G2858)=10,CONCATENATE("0",G2858),G2858)</f>
        <v>01-Feb-1909</v>
      </c>
      <c r="R2858" s="16" t="str">
        <f t="shared" si="1213"/>
        <v>x</v>
      </c>
      <c r="S2858" s="16" t="str">
        <f t="shared" si="1213"/>
        <v>x</v>
      </c>
      <c r="T2858" s="11"/>
      <c r="U2858" s="46" t="str">
        <f t="shared" si="1194"/>
        <v/>
      </c>
      <c r="V2858" s="46">
        <f t="shared" si="1194"/>
        <v>56</v>
      </c>
      <c r="W2858" s="46" t="str">
        <f t="shared" si="1194"/>
        <v/>
      </c>
      <c r="X2858" s="46" t="str">
        <f t="shared" si="1194"/>
        <v/>
      </c>
    </row>
    <row r="2859" spans="2:24" x14ac:dyDescent="0.25">
      <c r="B2859" s="11" t="str">
        <f>CONCATENATE("LGSC","-",LEFT(P2859,2),UPPER(MID(P2859,4,3)),RIGHT(P2859,4))</f>
        <v>LGSC-09MAR1909</v>
      </c>
      <c r="C2859" s="11" t="s">
        <v>94</v>
      </c>
      <c r="D2859" s="11" t="s">
        <v>1699</v>
      </c>
      <c r="E2859" s="39" t="s">
        <v>860</v>
      </c>
      <c r="F2859" s="11" t="s">
        <v>1700</v>
      </c>
      <c r="G2859" s="39" t="s">
        <v>2668</v>
      </c>
      <c r="I2859" s="7">
        <v>0</v>
      </c>
      <c r="J2859" s="17">
        <v>29</v>
      </c>
      <c r="K2859" s="17"/>
      <c r="L2859" s="7">
        <f>SUM(H2859:K2859)</f>
        <v>29</v>
      </c>
      <c r="M2859" s="8">
        <v>1</v>
      </c>
      <c r="N2859" s="8">
        <f>IF(L2859&gt;0,1,"")</f>
        <v>1</v>
      </c>
      <c r="O2859" s="11" t="s">
        <v>1702</v>
      </c>
      <c r="P2859" s="16" t="str">
        <f>IF(LEN(G2859)=10,CONCATENATE("0",G2859),G2859)</f>
        <v>09-Mar-1909</v>
      </c>
      <c r="R2859" s="16" t="str">
        <f t="shared" si="1213"/>
        <v>x</v>
      </c>
      <c r="S2859" s="16" t="str">
        <f t="shared" si="1213"/>
        <v>x</v>
      </c>
      <c r="T2859" s="11"/>
      <c r="U2859" s="46" t="str">
        <f t="shared" si="1194"/>
        <v/>
      </c>
      <c r="V2859" s="46">
        <f t="shared" si="1194"/>
        <v>29</v>
      </c>
      <c r="W2859" s="46" t="str">
        <f t="shared" si="1194"/>
        <v/>
      </c>
      <c r="X2859" s="46" t="str">
        <f t="shared" si="1194"/>
        <v/>
      </c>
    </row>
    <row r="2860" spans="2:24" x14ac:dyDescent="0.25">
      <c r="B2860" s="11" t="str">
        <f>CONCATENATE("LGSC","-",LEFT(P2860,2),UPPER(MID(P2860,4,3)),RIGHT(P2860,4))</f>
        <v>LGSC-05APR1909</v>
      </c>
      <c r="C2860" s="11" t="s">
        <v>94</v>
      </c>
      <c r="D2860" s="11" t="s">
        <v>1699</v>
      </c>
      <c r="E2860" s="39" t="s">
        <v>2312</v>
      </c>
      <c r="F2860" s="11" t="s">
        <v>1700</v>
      </c>
      <c r="G2860" s="39" t="s">
        <v>2669</v>
      </c>
      <c r="I2860" s="7">
        <v>0</v>
      </c>
      <c r="J2860" s="17">
        <v>24</v>
      </c>
      <c r="K2860" s="17"/>
      <c r="L2860" s="7">
        <f>SUM(H2860:K2860)</f>
        <v>24</v>
      </c>
      <c r="M2860" s="8">
        <v>1</v>
      </c>
      <c r="N2860" s="8">
        <f>IF(L2860&gt;0,1,"")</f>
        <v>1</v>
      </c>
      <c r="O2860" s="11" t="s">
        <v>1702</v>
      </c>
      <c r="P2860" s="16" t="str">
        <f>IF(LEN(G2860)=10,CONCATENATE("0",G2860),G2860)</f>
        <v>05-Apr-1909</v>
      </c>
      <c r="R2860" s="16" t="str">
        <f t="shared" si="1213"/>
        <v>x</v>
      </c>
      <c r="S2860" s="16" t="str">
        <f t="shared" si="1213"/>
        <v>x</v>
      </c>
      <c r="T2860" s="11"/>
      <c r="U2860" s="46" t="str">
        <f t="shared" si="1194"/>
        <v/>
      </c>
      <c r="V2860" s="46">
        <f t="shared" si="1194"/>
        <v>24</v>
      </c>
      <c r="W2860" s="46" t="str">
        <f t="shared" si="1194"/>
        <v/>
      </c>
      <c r="X2860" s="46" t="str">
        <f t="shared" si="1194"/>
        <v/>
      </c>
    </row>
    <row r="2861" spans="2:24" x14ac:dyDescent="0.25">
      <c r="B2861" s="11" t="str">
        <f t="shared" ref="B2861:B2872" si="1214">CONCATENATE("LGSC","-",LEFT(P2861,2),UPPER(MID(P2861,4,3)),RIGHT(P2861,4))</f>
        <v>LGSC-04MAY1909</v>
      </c>
      <c r="C2861" s="11" t="s">
        <v>94</v>
      </c>
      <c r="D2861" s="11" t="s">
        <v>1699</v>
      </c>
      <c r="E2861" s="39" t="s">
        <v>95</v>
      </c>
      <c r="F2861" s="11" t="s">
        <v>1700</v>
      </c>
      <c r="G2861" s="39" t="s">
        <v>96</v>
      </c>
      <c r="I2861" s="7">
        <v>0</v>
      </c>
      <c r="J2861" s="17">
        <v>77</v>
      </c>
      <c r="K2861" s="17"/>
      <c r="L2861" s="7">
        <f t="shared" ref="L2861:L2872" si="1215">SUM(H2861:K2861)</f>
        <v>77</v>
      </c>
      <c r="M2861" s="8">
        <v>1</v>
      </c>
      <c r="N2861" s="8">
        <f t="shared" ref="N2861:N2872" si="1216">IF(L2861&gt;0,1,"")</f>
        <v>1</v>
      </c>
      <c r="O2861" s="11" t="s">
        <v>1702</v>
      </c>
      <c r="P2861" s="16" t="str">
        <f t="shared" ref="P2861:P2872" si="1217">IF(LEN(G2861)=10,CONCATENATE("0",G2861),G2861)</f>
        <v>04-May-1909</v>
      </c>
      <c r="R2861" s="16" t="str">
        <f t="shared" ref="R2861:S2875" si="1218">IF($L2861&gt;0,"x","")</f>
        <v>x</v>
      </c>
      <c r="S2861" s="16" t="str">
        <f>IF($L2861&gt;0,"x","")</f>
        <v>x</v>
      </c>
      <c r="T2861" s="11"/>
      <c r="U2861" s="46" t="str">
        <f t="shared" si="1194"/>
        <v/>
      </c>
      <c r="V2861" s="46">
        <f t="shared" si="1194"/>
        <v>77</v>
      </c>
      <c r="W2861" s="46" t="str">
        <f t="shared" si="1194"/>
        <v/>
      </c>
      <c r="X2861" s="46" t="str">
        <f t="shared" si="1194"/>
        <v/>
      </c>
    </row>
    <row r="2862" spans="2:24" x14ac:dyDescent="0.25">
      <c r="B2862" s="11" t="str">
        <f t="shared" si="1214"/>
        <v>LGSC-14SEP1909</v>
      </c>
      <c r="C2862" s="11" t="s">
        <v>94</v>
      </c>
      <c r="D2862" s="11" t="s">
        <v>1699</v>
      </c>
      <c r="E2862" s="39" t="s">
        <v>1233</v>
      </c>
      <c r="F2862" s="11" t="s">
        <v>1700</v>
      </c>
      <c r="G2862" s="39" t="s">
        <v>2670</v>
      </c>
      <c r="I2862" s="7">
        <v>0</v>
      </c>
      <c r="J2862" s="17">
        <v>51</v>
      </c>
      <c r="K2862" s="17"/>
      <c r="L2862" s="7">
        <f t="shared" si="1215"/>
        <v>51</v>
      </c>
      <c r="M2862" s="8">
        <v>1</v>
      </c>
      <c r="N2862" s="8">
        <f t="shared" si="1216"/>
        <v>1</v>
      </c>
      <c r="O2862" s="11" t="s">
        <v>1702</v>
      </c>
      <c r="P2862" s="16" t="str">
        <f t="shared" si="1217"/>
        <v>14-Sep-1909</v>
      </c>
      <c r="R2862" s="16" t="str">
        <f t="shared" si="1218"/>
        <v>x</v>
      </c>
      <c r="S2862" s="16" t="str">
        <f t="shared" si="1218"/>
        <v>x</v>
      </c>
      <c r="T2862" s="11"/>
      <c r="U2862" s="46" t="str">
        <f t="shared" si="1194"/>
        <v/>
      </c>
      <c r="V2862" s="46">
        <f t="shared" si="1194"/>
        <v>51</v>
      </c>
      <c r="W2862" s="46" t="str">
        <f t="shared" si="1194"/>
        <v/>
      </c>
      <c r="X2862" s="46" t="str">
        <f>IF($O2862=X$5,$L2862,"")</f>
        <v/>
      </c>
    </row>
    <row r="2863" spans="2:24" x14ac:dyDescent="0.25">
      <c r="B2863" s="11" t="str">
        <f t="shared" si="1214"/>
        <v>LGSC-11OCT1909</v>
      </c>
      <c r="C2863" s="11" t="s">
        <v>94</v>
      </c>
      <c r="D2863" s="11" t="s">
        <v>1699</v>
      </c>
      <c r="E2863" s="39" t="s">
        <v>1484</v>
      </c>
      <c r="F2863" s="11" t="s">
        <v>1700</v>
      </c>
      <c r="G2863" s="39" t="s">
        <v>2671</v>
      </c>
      <c r="I2863" s="7">
        <v>0</v>
      </c>
      <c r="J2863" s="17">
        <v>52</v>
      </c>
      <c r="K2863" s="17"/>
      <c r="L2863" s="7">
        <f t="shared" si="1215"/>
        <v>52</v>
      </c>
      <c r="M2863" s="8">
        <v>1</v>
      </c>
      <c r="N2863" s="8">
        <f t="shared" si="1216"/>
        <v>1</v>
      </c>
      <c r="O2863" s="11" t="s">
        <v>1702</v>
      </c>
      <c r="P2863" s="16" t="str">
        <f t="shared" si="1217"/>
        <v>11-Oct-1909</v>
      </c>
      <c r="R2863" s="16" t="str">
        <f t="shared" si="1218"/>
        <v>x</v>
      </c>
      <c r="S2863" s="16" t="str">
        <f t="shared" si="1218"/>
        <v>x</v>
      </c>
      <c r="T2863" s="11"/>
      <c r="U2863" s="46" t="str">
        <f t="shared" ref="U2863:X2926" si="1219">IF($O2863=U$5,$L2863,"")</f>
        <v/>
      </c>
      <c r="V2863" s="46">
        <f t="shared" si="1219"/>
        <v>52</v>
      </c>
      <c r="W2863" s="46" t="str">
        <f t="shared" si="1219"/>
        <v/>
      </c>
      <c r="X2863" s="46" t="str">
        <f t="shared" si="1219"/>
        <v/>
      </c>
    </row>
    <row r="2864" spans="2:24" x14ac:dyDescent="0.25">
      <c r="B2864" s="11" t="str">
        <f t="shared" si="1214"/>
        <v>LGSC-18NOV1909</v>
      </c>
      <c r="C2864" s="11" t="s">
        <v>94</v>
      </c>
      <c r="D2864" s="11" t="s">
        <v>1699</v>
      </c>
      <c r="E2864" s="39" t="s">
        <v>2675</v>
      </c>
      <c r="F2864" s="11" t="s">
        <v>1700</v>
      </c>
      <c r="G2864" s="39" t="s">
        <v>2672</v>
      </c>
      <c r="I2864" s="7">
        <v>0</v>
      </c>
      <c r="J2864" s="17">
        <f>31+1</f>
        <v>32</v>
      </c>
      <c r="K2864" s="17"/>
      <c r="L2864" s="7">
        <f t="shared" si="1215"/>
        <v>32</v>
      </c>
      <c r="M2864" s="8">
        <v>1</v>
      </c>
      <c r="N2864" s="8">
        <f t="shared" si="1216"/>
        <v>1</v>
      </c>
      <c r="O2864" s="11" t="s">
        <v>1702</v>
      </c>
      <c r="P2864" s="16" t="str">
        <f t="shared" si="1217"/>
        <v>18-Nov-1909</v>
      </c>
      <c r="R2864" s="16" t="str">
        <f t="shared" si="1218"/>
        <v>x</v>
      </c>
      <c r="S2864" s="16" t="str">
        <f t="shared" si="1218"/>
        <v>x</v>
      </c>
      <c r="U2864" s="46" t="str">
        <f t="shared" si="1219"/>
        <v/>
      </c>
      <c r="V2864" s="46">
        <f t="shared" si="1219"/>
        <v>32</v>
      </c>
      <c r="W2864" s="46" t="str">
        <f t="shared" si="1219"/>
        <v/>
      </c>
      <c r="X2864" s="46" t="str">
        <f t="shared" si="1219"/>
        <v/>
      </c>
    </row>
    <row r="2865" spans="2:26" x14ac:dyDescent="0.25">
      <c r="B2865" s="11" t="str">
        <f t="shared" si="1214"/>
        <v>LGSC-16FEB1910</v>
      </c>
      <c r="C2865" s="11" t="s">
        <v>94</v>
      </c>
      <c r="D2865" s="11" t="s">
        <v>1699</v>
      </c>
      <c r="E2865" s="39" t="s">
        <v>1247</v>
      </c>
      <c r="F2865" s="11" t="s">
        <v>1700</v>
      </c>
      <c r="G2865" s="39" t="s">
        <v>2676</v>
      </c>
      <c r="I2865" s="7">
        <v>0</v>
      </c>
      <c r="J2865" s="17">
        <v>17</v>
      </c>
      <c r="K2865" s="17"/>
      <c r="L2865" s="7">
        <f t="shared" si="1215"/>
        <v>17</v>
      </c>
      <c r="M2865" s="8">
        <v>1</v>
      </c>
      <c r="N2865" s="8">
        <f t="shared" si="1216"/>
        <v>1</v>
      </c>
      <c r="O2865" s="11" t="s">
        <v>1702</v>
      </c>
      <c r="P2865" s="16" t="str">
        <f t="shared" si="1217"/>
        <v>16-Feb-1910</v>
      </c>
      <c r="R2865" s="16" t="str">
        <f t="shared" si="1218"/>
        <v>x</v>
      </c>
      <c r="S2865" s="16" t="str">
        <f t="shared" si="1218"/>
        <v>x</v>
      </c>
      <c r="U2865" s="46" t="str">
        <f t="shared" si="1219"/>
        <v/>
      </c>
      <c r="V2865" s="46">
        <f t="shared" si="1219"/>
        <v>17</v>
      </c>
      <c r="W2865" s="46" t="str">
        <f t="shared" si="1219"/>
        <v/>
      </c>
      <c r="X2865" s="46" t="str">
        <f t="shared" si="1219"/>
        <v/>
      </c>
    </row>
    <row r="2866" spans="2:26" x14ac:dyDescent="0.25">
      <c r="B2866" s="11" t="str">
        <f t="shared" si="1214"/>
        <v>LGSC-16MAR1910</v>
      </c>
      <c r="C2866" s="11" t="s">
        <v>94</v>
      </c>
      <c r="D2866" s="11" t="s">
        <v>1699</v>
      </c>
      <c r="E2866" s="39" t="s">
        <v>1248</v>
      </c>
      <c r="F2866" s="11" t="s">
        <v>1700</v>
      </c>
      <c r="G2866" s="39" t="s">
        <v>2677</v>
      </c>
      <c r="I2866" s="7">
        <v>0</v>
      </c>
      <c r="J2866" s="17">
        <v>21</v>
      </c>
      <c r="K2866" s="17"/>
      <c r="L2866" s="7">
        <f t="shared" si="1215"/>
        <v>21</v>
      </c>
      <c r="M2866" s="8">
        <v>1</v>
      </c>
      <c r="N2866" s="8">
        <f t="shared" si="1216"/>
        <v>1</v>
      </c>
      <c r="O2866" s="11" t="s">
        <v>1702</v>
      </c>
      <c r="P2866" s="16" t="str">
        <f t="shared" si="1217"/>
        <v>16-Mar-1910</v>
      </c>
      <c r="R2866" s="16" t="str">
        <f t="shared" si="1218"/>
        <v>x</v>
      </c>
      <c r="S2866" s="16" t="str">
        <f t="shared" si="1218"/>
        <v>x</v>
      </c>
      <c r="U2866" s="46" t="str">
        <f t="shared" si="1219"/>
        <v/>
      </c>
      <c r="V2866" s="46">
        <f t="shared" si="1219"/>
        <v>21</v>
      </c>
      <c r="W2866" s="46" t="str">
        <f t="shared" si="1219"/>
        <v/>
      </c>
      <c r="X2866" s="46" t="str">
        <f t="shared" si="1219"/>
        <v/>
      </c>
    </row>
    <row r="2867" spans="2:26" x14ac:dyDescent="0.25">
      <c r="B2867" s="11" t="str">
        <f t="shared" si="1214"/>
        <v>LGSC-12APR1910</v>
      </c>
      <c r="C2867" s="11" t="s">
        <v>94</v>
      </c>
      <c r="D2867" s="11" t="s">
        <v>1699</v>
      </c>
      <c r="E2867" s="39" t="s">
        <v>1249</v>
      </c>
      <c r="F2867" s="11" t="s">
        <v>1700</v>
      </c>
      <c r="G2867" s="39" t="s">
        <v>2678</v>
      </c>
      <c r="I2867" s="7">
        <v>0</v>
      </c>
      <c r="J2867" s="17">
        <v>18</v>
      </c>
      <c r="K2867" s="17"/>
      <c r="L2867" s="7">
        <f t="shared" si="1215"/>
        <v>18</v>
      </c>
      <c r="M2867" s="8">
        <v>1</v>
      </c>
      <c r="N2867" s="8">
        <f t="shared" si="1216"/>
        <v>1</v>
      </c>
      <c r="O2867" s="11" t="s">
        <v>1702</v>
      </c>
      <c r="P2867" s="16" t="str">
        <f t="shared" si="1217"/>
        <v>12-Apr-1910</v>
      </c>
      <c r="R2867" s="16" t="str">
        <f t="shared" si="1218"/>
        <v>x</v>
      </c>
      <c r="S2867" s="16" t="str">
        <f t="shared" si="1218"/>
        <v>x</v>
      </c>
      <c r="U2867" s="46" t="str">
        <f t="shared" si="1219"/>
        <v/>
      </c>
      <c r="V2867" s="46">
        <f t="shared" si="1219"/>
        <v>18</v>
      </c>
      <c r="W2867" s="46" t="str">
        <f t="shared" si="1219"/>
        <v/>
      </c>
      <c r="X2867" s="46" t="str">
        <f t="shared" si="1219"/>
        <v/>
      </c>
    </row>
    <row r="2868" spans="2:26" x14ac:dyDescent="0.25">
      <c r="B2868" s="11" t="str">
        <f t="shared" si="1214"/>
        <v>LGSC-10MAY1910</v>
      </c>
      <c r="C2868" s="11" t="s">
        <v>94</v>
      </c>
      <c r="D2868" s="11" t="s">
        <v>1699</v>
      </c>
      <c r="E2868" s="39" t="s">
        <v>1498</v>
      </c>
      <c r="F2868" s="11" t="s">
        <v>1700</v>
      </c>
      <c r="G2868" s="39" t="s">
        <v>2679</v>
      </c>
      <c r="I2868" s="7">
        <v>1</v>
      </c>
      <c r="J2868" s="17">
        <v>35</v>
      </c>
      <c r="K2868" s="17"/>
      <c r="L2868" s="7">
        <f t="shared" si="1215"/>
        <v>36</v>
      </c>
      <c r="M2868" s="8">
        <v>1</v>
      </c>
      <c r="N2868" s="8">
        <f t="shared" si="1216"/>
        <v>1</v>
      </c>
      <c r="O2868" s="11" t="s">
        <v>1702</v>
      </c>
      <c r="P2868" s="16" t="str">
        <f t="shared" si="1217"/>
        <v>10-May-1910</v>
      </c>
      <c r="R2868" s="16" t="str">
        <f t="shared" si="1218"/>
        <v>x</v>
      </c>
      <c r="S2868" s="16" t="str">
        <f t="shared" si="1218"/>
        <v>x</v>
      </c>
      <c r="U2868" s="46" t="str">
        <f t="shared" si="1219"/>
        <v/>
      </c>
      <c r="V2868" s="46">
        <f t="shared" si="1219"/>
        <v>36</v>
      </c>
      <c r="W2868" s="46" t="str">
        <f t="shared" si="1219"/>
        <v/>
      </c>
      <c r="X2868" s="46" t="str">
        <f t="shared" si="1219"/>
        <v/>
      </c>
    </row>
    <row r="2869" spans="2:26" x14ac:dyDescent="0.25">
      <c r="B2869" s="11" t="str">
        <f t="shared" si="1214"/>
        <v>LGSC-07JUN1910</v>
      </c>
      <c r="C2869" s="11" t="s">
        <v>94</v>
      </c>
      <c r="D2869" s="11" t="s">
        <v>1699</v>
      </c>
      <c r="E2869" s="39" t="s">
        <v>1499</v>
      </c>
      <c r="F2869" s="11" t="s">
        <v>1700</v>
      </c>
      <c r="G2869" s="39" t="s">
        <v>2680</v>
      </c>
      <c r="I2869" s="7">
        <v>0</v>
      </c>
      <c r="J2869" s="17">
        <v>27</v>
      </c>
      <c r="K2869" s="17"/>
      <c r="L2869" s="7">
        <f t="shared" si="1215"/>
        <v>27</v>
      </c>
      <c r="M2869" s="8">
        <v>1</v>
      </c>
      <c r="N2869" s="8">
        <f t="shared" si="1216"/>
        <v>1</v>
      </c>
      <c r="O2869" s="11" t="s">
        <v>1702</v>
      </c>
      <c r="P2869" s="16" t="str">
        <f t="shared" si="1217"/>
        <v>07-Jun-1910</v>
      </c>
      <c r="R2869" s="16" t="str">
        <f t="shared" si="1218"/>
        <v>x</v>
      </c>
      <c r="S2869" s="16" t="str">
        <f t="shared" si="1218"/>
        <v>x</v>
      </c>
      <c r="U2869" s="46" t="str">
        <f t="shared" si="1219"/>
        <v/>
      </c>
      <c r="V2869" s="46">
        <f t="shared" si="1219"/>
        <v>27</v>
      </c>
      <c r="W2869" s="46" t="str">
        <f t="shared" si="1219"/>
        <v/>
      </c>
      <c r="X2869" s="46" t="str">
        <f t="shared" si="1219"/>
        <v/>
      </c>
    </row>
    <row r="2870" spans="2:26" x14ac:dyDescent="0.25">
      <c r="B2870" s="11" t="str">
        <f t="shared" si="1214"/>
        <v>LGSC-12SEP1910</v>
      </c>
      <c r="C2870" s="11" t="s">
        <v>94</v>
      </c>
      <c r="D2870" s="11" t="s">
        <v>1699</v>
      </c>
      <c r="E2870" s="39" t="s">
        <v>1502</v>
      </c>
      <c r="F2870" s="11" t="s">
        <v>1700</v>
      </c>
      <c r="G2870" s="39" t="s">
        <v>2681</v>
      </c>
      <c r="I2870" s="7">
        <v>0</v>
      </c>
      <c r="J2870" s="17">
        <v>35</v>
      </c>
      <c r="K2870" s="17"/>
      <c r="L2870" s="7">
        <f t="shared" si="1215"/>
        <v>35</v>
      </c>
      <c r="M2870" s="8">
        <v>1</v>
      </c>
      <c r="N2870" s="8">
        <f t="shared" si="1216"/>
        <v>1</v>
      </c>
      <c r="O2870" s="11" t="s">
        <v>1702</v>
      </c>
      <c r="P2870" s="16" t="str">
        <f t="shared" si="1217"/>
        <v>12-Sep-1910</v>
      </c>
      <c r="R2870" s="16" t="str">
        <f t="shared" si="1218"/>
        <v>x</v>
      </c>
      <c r="S2870" s="16" t="str">
        <f t="shared" si="1218"/>
        <v>x</v>
      </c>
      <c r="U2870" s="46" t="str">
        <f t="shared" si="1219"/>
        <v/>
      </c>
      <c r="V2870" s="46">
        <f t="shared" si="1219"/>
        <v>35</v>
      </c>
      <c r="W2870" s="46" t="str">
        <f t="shared" si="1219"/>
        <v/>
      </c>
      <c r="X2870" s="46" t="str">
        <f t="shared" si="1219"/>
        <v/>
      </c>
    </row>
    <row r="2871" spans="2:26" x14ac:dyDescent="0.25">
      <c r="B2871" s="11" t="str">
        <f t="shared" si="1214"/>
        <v>LGSC-13OCT1910</v>
      </c>
      <c r="C2871" s="11" t="s">
        <v>94</v>
      </c>
      <c r="D2871" s="11" t="s">
        <v>1699</v>
      </c>
      <c r="E2871" s="39" t="s">
        <v>2685</v>
      </c>
      <c r="F2871" s="11" t="s">
        <v>1700</v>
      </c>
      <c r="G2871" s="39" t="s">
        <v>2682</v>
      </c>
      <c r="I2871" s="7">
        <v>0</v>
      </c>
      <c r="J2871" s="17">
        <v>7</v>
      </c>
      <c r="K2871" s="17"/>
      <c r="L2871" s="7">
        <f t="shared" si="1215"/>
        <v>7</v>
      </c>
      <c r="M2871" s="8">
        <v>1</v>
      </c>
      <c r="N2871" s="8">
        <f t="shared" si="1216"/>
        <v>1</v>
      </c>
      <c r="O2871" s="11" t="s">
        <v>1702</v>
      </c>
      <c r="P2871" s="16" t="str">
        <f t="shared" si="1217"/>
        <v>13-Oct-1910</v>
      </c>
      <c r="R2871" s="16" t="str">
        <f t="shared" si="1218"/>
        <v>x</v>
      </c>
      <c r="S2871" s="16" t="str">
        <f t="shared" si="1218"/>
        <v>x</v>
      </c>
      <c r="U2871" s="46" t="str">
        <f t="shared" si="1219"/>
        <v/>
      </c>
      <c r="V2871" s="46">
        <f t="shared" si="1219"/>
        <v>7</v>
      </c>
      <c r="W2871" s="46" t="str">
        <f t="shared" si="1219"/>
        <v/>
      </c>
      <c r="X2871" s="46" t="str">
        <f t="shared" si="1219"/>
        <v/>
      </c>
    </row>
    <row r="2872" spans="2:26" x14ac:dyDescent="0.25">
      <c r="B2872" s="11" t="str">
        <f t="shared" si="1214"/>
        <v>LGSC-09NOV1910</v>
      </c>
      <c r="C2872" s="11" t="s">
        <v>94</v>
      </c>
      <c r="D2872" s="11" t="s">
        <v>1699</v>
      </c>
      <c r="E2872" s="39" t="s">
        <v>1246</v>
      </c>
      <c r="F2872" s="11" t="s">
        <v>1700</v>
      </c>
      <c r="G2872" s="39" t="s">
        <v>2683</v>
      </c>
      <c r="I2872" s="7">
        <v>0</v>
      </c>
      <c r="J2872" s="17">
        <v>23</v>
      </c>
      <c r="K2872" s="17"/>
      <c r="L2872" s="7">
        <f t="shared" si="1215"/>
        <v>23</v>
      </c>
      <c r="M2872" s="8">
        <v>1</v>
      </c>
      <c r="N2872" s="8">
        <f t="shared" si="1216"/>
        <v>1</v>
      </c>
      <c r="O2872" s="11" t="s">
        <v>1702</v>
      </c>
      <c r="P2872" s="16" t="str">
        <f t="shared" si="1217"/>
        <v>09-Nov-1910</v>
      </c>
      <c r="R2872" s="16" t="str">
        <f t="shared" si="1218"/>
        <v>x</v>
      </c>
      <c r="S2872" s="16" t="str">
        <f t="shared" si="1218"/>
        <v>x</v>
      </c>
      <c r="U2872" s="46" t="str">
        <f t="shared" si="1219"/>
        <v/>
      </c>
      <c r="V2872" s="46">
        <f t="shared" si="1219"/>
        <v>23</v>
      </c>
      <c r="W2872" s="46" t="str">
        <f t="shared" si="1219"/>
        <v/>
      </c>
      <c r="X2872" s="46" t="str">
        <f t="shared" si="1219"/>
        <v/>
      </c>
    </row>
    <row r="2873" spans="2:26" x14ac:dyDescent="0.25">
      <c r="B2873" s="11" t="str">
        <f>CONCATENATE("LGSC","-",LEFT(P2873,2),UPPER(MID(P2873,4,3)),RIGHT(P2873,4))</f>
        <v>LGSC-07DEC1910</v>
      </c>
      <c r="C2873" s="11" t="s">
        <v>94</v>
      </c>
      <c r="D2873" s="11" t="s">
        <v>1699</v>
      </c>
      <c r="E2873" s="39" t="s">
        <v>1503</v>
      </c>
      <c r="F2873" s="11" t="s">
        <v>1700</v>
      </c>
      <c r="G2873" s="39" t="s">
        <v>2684</v>
      </c>
      <c r="I2873" s="7">
        <v>0</v>
      </c>
      <c r="J2873" s="17">
        <v>26</v>
      </c>
      <c r="K2873" s="17"/>
      <c r="L2873" s="7">
        <f>SUM(H2873:K2873)</f>
        <v>26</v>
      </c>
      <c r="M2873" s="8">
        <v>1</v>
      </c>
      <c r="N2873" s="8">
        <f>IF(L2873&gt;0,1,"")</f>
        <v>1</v>
      </c>
      <c r="O2873" s="11" t="s">
        <v>1702</v>
      </c>
      <c r="P2873" s="16" t="str">
        <f>IF(LEN(G2873)=10,CONCATENATE("0",G2873),G2873)</f>
        <v>07-Dec-1910</v>
      </c>
      <c r="R2873" s="16" t="str">
        <f t="shared" si="1218"/>
        <v>x</v>
      </c>
      <c r="S2873" s="16" t="str">
        <f t="shared" si="1218"/>
        <v>x</v>
      </c>
      <c r="U2873" s="46" t="str">
        <f t="shared" si="1219"/>
        <v/>
      </c>
      <c r="V2873" s="46">
        <f t="shared" si="1219"/>
        <v>26</v>
      </c>
      <c r="W2873" s="46" t="str">
        <f t="shared" si="1219"/>
        <v/>
      </c>
      <c r="X2873" s="46" t="str">
        <f t="shared" si="1219"/>
        <v/>
      </c>
    </row>
    <row r="2874" spans="2:26" x14ac:dyDescent="0.25">
      <c r="B2874" s="11" t="str">
        <f>CONCATENATE("LGSC","-",LEFT(P2874,2),UPPER(MID(P2874,4,3)),RIGHT(P2874,4))</f>
        <v>LGSC-14FEB1911</v>
      </c>
      <c r="C2874" s="11" t="s">
        <v>94</v>
      </c>
      <c r="D2874" s="11" t="s">
        <v>1699</v>
      </c>
      <c r="E2874" s="39" t="s">
        <v>1265</v>
      </c>
      <c r="F2874" s="11" t="s">
        <v>1700</v>
      </c>
      <c r="G2874" s="39" t="s">
        <v>2686</v>
      </c>
      <c r="I2874" s="7">
        <v>0</v>
      </c>
      <c r="J2874" s="17">
        <v>14</v>
      </c>
      <c r="K2874" s="17"/>
      <c r="L2874" s="7">
        <f>SUM(H2874:K2874)</f>
        <v>14</v>
      </c>
      <c r="M2874" s="8">
        <v>1</v>
      </c>
      <c r="N2874" s="8">
        <f>IF(L2874&gt;0,1,"")</f>
        <v>1</v>
      </c>
      <c r="O2874" s="11" t="s">
        <v>1702</v>
      </c>
      <c r="P2874" s="16" t="str">
        <f>IF(LEN(G2874)=10,CONCATENATE("0",G2874),G2874)</f>
        <v>14-Feb-1911</v>
      </c>
      <c r="R2874" s="16" t="str">
        <f t="shared" si="1218"/>
        <v>x</v>
      </c>
      <c r="S2874" s="16" t="str">
        <f t="shared" si="1218"/>
        <v>x</v>
      </c>
      <c r="U2874" s="46" t="str">
        <f t="shared" si="1219"/>
        <v/>
      </c>
      <c r="V2874" s="46">
        <f t="shared" si="1219"/>
        <v>14</v>
      </c>
      <c r="W2874" s="46" t="str">
        <f t="shared" si="1219"/>
        <v/>
      </c>
      <c r="X2874" s="46" t="str">
        <f t="shared" si="1219"/>
        <v/>
      </c>
    </row>
    <row r="2875" spans="2:26" x14ac:dyDescent="0.25">
      <c r="B2875" s="11" t="str">
        <f>CONCATENATE("LGSC","-",LEFT(P2875,2),UPPER(MID(P2875,4,3)),RIGHT(P2875,4))</f>
        <v>LGSC-14MAR1911</v>
      </c>
      <c r="C2875" s="11" t="s">
        <v>94</v>
      </c>
      <c r="D2875" s="11" t="s">
        <v>1699</v>
      </c>
      <c r="E2875" s="39" t="s">
        <v>1266</v>
      </c>
      <c r="F2875" s="11" t="s">
        <v>1700</v>
      </c>
      <c r="G2875" s="39" t="s">
        <v>2687</v>
      </c>
      <c r="I2875" s="7">
        <v>0</v>
      </c>
      <c r="J2875" s="17">
        <v>9</v>
      </c>
      <c r="K2875" s="17"/>
      <c r="L2875" s="7">
        <f>SUM(H2875:K2875)</f>
        <v>9</v>
      </c>
      <c r="M2875" s="8">
        <v>1</v>
      </c>
      <c r="N2875" s="8">
        <f>IF(L2875&gt;0,1,"")</f>
        <v>1</v>
      </c>
      <c r="O2875" s="11" t="s">
        <v>1702</v>
      </c>
      <c r="P2875" s="16" t="str">
        <f>IF(LEN(G2875)=10,CONCATENATE("0",G2875),G2875)</f>
        <v>14-Mar-1911</v>
      </c>
      <c r="R2875" s="16" t="str">
        <f t="shared" si="1218"/>
        <v>x</v>
      </c>
      <c r="S2875" s="16" t="str">
        <f t="shared" si="1218"/>
        <v>x</v>
      </c>
      <c r="U2875" s="46" t="str">
        <f t="shared" si="1219"/>
        <v/>
      </c>
      <c r="V2875" s="46">
        <f t="shared" si="1219"/>
        <v>9</v>
      </c>
      <c r="W2875" s="46" t="str">
        <f t="shared" si="1219"/>
        <v/>
      </c>
      <c r="X2875" s="46" t="str">
        <f t="shared" si="1219"/>
        <v/>
      </c>
    </row>
    <row r="2876" spans="2:26" x14ac:dyDescent="0.25">
      <c r="N2876" s="8" t="str">
        <f>IF(R2876="x",1,"")</f>
        <v/>
      </c>
      <c r="U2876" s="46" t="str">
        <f t="shared" si="1219"/>
        <v/>
      </c>
      <c r="V2876" s="46" t="str">
        <f t="shared" si="1219"/>
        <v/>
      </c>
      <c r="W2876" s="46" t="str">
        <f t="shared" si="1219"/>
        <v/>
      </c>
      <c r="X2876" s="46" t="str">
        <f t="shared" si="1219"/>
        <v/>
      </c>
    </row>
    <row r="2877" spans="2:26" s="18" customFormat="1" x14ac:dyDescent="0.25">
      <c r="E2877" s="40"/>
      <c r="G2877" s="40"/>
      <c r="H2877" s="7">
        <f t="shared" ref="H2877:N2877" si="1220">SUM(H2707:H2876)</f>
        <v>3</v>
      </c>
      <c r="I2877" s="7">
        <f t="shared" si="1220"/>
        <v>40</v>
      </c>
      <c r="J2877" s="7">
        <f>SUM(J2707:J2876)</f>
        <v>2052</v>
      </c>
      <c r="K2877" s="7">
        <f t="shared" si="1220"/>
        <v>0</v>
      </c>
      <c r="L2877" s="7">
        <f t="shared" si="1220"/>
        <v>2095</v>
      </c>
      <c r="M2877" s="7">
        <f t="shared" si="1220"/>
        <v>169</v>
      </c>
      <c r="N2877" s="7">
        <f t="shared" si="1220"/>
        <v>134</v>
      </c>
      <c r="P2877" s="13"/>
      <c r="Q2877" s="13"/>
      <c r="R2877" s="16"/>
      <c r="S2877" s="13"/>
      <c r="T2877" s="15"/>
      <c r="U2877" s="46" t="str">
        <f t="shared" si="1219"/>
        <v/>
      </c>
      <c r="V2877" s="46" t="str">
        <f t="shared" si="1219"/>
        <v/>
      </c>
      <c r="W2877" s="46" t="str">
        <f t="shared" si="1219"/>
        <v/>
      </c>
      <c r="X2877" s="46" t="str">
        <f t="shared" si="1219"/>
        <v/>
      </c>
      <c r="Z2877" s="11"/>
    </row>
    <row r="2878" spans="2:26" s="18" customFormat="1" x14ac:dyDescent="0.25">
      <c r="E2878" s="40"/>
      <c r="G2878" s="40"/>
      <c r="H2878" s="7"/>
      <c r="I2878" s="7"/>
      <c r="J2878" s="7"/>
      <c r="K2878" s="7"/>
      <c r="L2878" s="7"/>
      <c r="M2878" s="8"/>
      <c r="N2878" s="8" t="str">
        <f>IF(R2878="x",1,"")</f>
        <v/>
      </c>
      <c r="P2878" s="13"/>
      <c r="Q2878" s="13"/>
      <c r="R2878" s="13"/>
      <c r="S2878" s="13"/>
      <c r="T2878" s="15"/>
      <c r="U2878" s="46" t="str">
        <f t="shared" si="1219"/>
        <v/>
      </c>
      <c r="V2878" s="46" t="str">
        <f t="shared" si="1219"/>
        <v/>
      </c>
      <c r="W2878" s="46" t="str">
        <f t="shared" si="1219"/>
        <v/>
      </c>
      <c r="X2878" s="46" t="str">
        <f t="shared" si="1219"/>
        <v/>
      </c>
      <c r="Z2878" s="11"/>
    </row>
    <row r="2879" spans="2:26" s="18" customFormat="1" x14ac:dyDescent="0.25">
      <c r="E2879" s="40"/>
      <c r="G2879" s="40"/>
      <c r="H2879" s="7"/>
      <c r="I2879" s="7"/>
      <c r="J2879" s="7"/>
      <c r="K2879" s="7"/>
      <c r="L2879" s="7"/>
      <c r="M2879" s="8"/>
      <c r="N2879" s="8" t="str">
        <f>IF(R2879="x",1,"")</f>
        <v/>
      </c>
      <c r="P2879" s="13"/>
      <c r="Q2879" s="13"/>
      <c r="R2879" s="13"/>
      <c r="S2879" s="13"/>
      <c r="T2879" s="15"/>
      <c r="U2879" s="46" t="str">
        <f t="shared" si="1219"/>
        <v/>
      </c>
      <c r="V2879" s="46" t="str">
        <f t="shared" si="1219"/>
        <v/>
      </c>
      <c r="W2879" s="46" t="str">
        <f t="shared" si="1219"/>
        <v/>
      </c>
      <c r="X2879" s="46" t="str">
        <f t="shared" si="1219"/>
        <v/>
      </c>
      <c r="Z2879" s="11"/>
    </row>
    <row r="2880" spans="2:26" x14ac:dyDescent="0.25">
      <c r="B2880" s="11" t="str">
        <f>CONCATENATE("LLRN","-",LEFT(P2880,2),UPPER(MID(P2880,4,3)),RIGHT(P2880,4))</f>
        <v>LLRN-20AUG1900</v>
      </c>
      <c r="C2880" s="11" t="s">
        <v>89</v>
      </c>
      <c r="D2880" s="11" t="s">
        <v>1699</v>
      </c>
      <c r="E2880" s="39" t="s">
        <v>1614</v>
      </c>
      <c r="F2880" s="11" t="s">
        <v>1700</v>
      </c>
      <c r="G2880" s="39" t="s">
        <v>1613</v>
      </c>
      <c r="J2880" s="17">
        <v>0</v>
      </c>
      <c r="K2880" s="17"/>
      <c r="L2880" s="7">
        <f>SUM(H2880:K2880)</f>
        <v>0</v>
      </c>
      <c r="M2880" s="8">
        <v>1</v>
      </c>
      <c r="N2880" s="8" t="str">
        <f>IF(L2880&gt;0,1,"")</f>
        <v/>
      </c>
      <c r="O2880" s="11" t="s">
        <v>1702</v>
      </c>
      <c r="P2880" s="16" t="str">
        <f>IF(LEN(G2880)=10,CONCATENATE("0",G2880),G2880)</f>
        <v>20-Aug-1900</v>
      </c>
      <c r="R2880" s="16" t="str">
        <f t="shared" ref="R2880:S2939" si="1221">IF($L2880&gt;0,"x","")</f>
        <v/>
      </c>
      <c r="S2880" s="16" t="str">
        <f t="shared" si="1221"/>
        <v/>
      </c>
      <c r="U2880" s="46" t="str">
        <f t="shared" si="1219"/>
        <v/>
      </c>
      <c r="V2880" s="46">
        <f t="shared" si="1219"/>
        <v>0</v>
      </c>
      <c r="W2880" s="46" t="str">
        <f t="shared" si="1219"/>
        <v/>
      </c>
      <c r="X2880" s="46" t="str">
        <f t="shared" si="1219"/>
        <v/>
      </c>
      <c r="Z2880" s="11" t="s">
        <v>2436</v>
      </c>
    </row>
    <row r="2881" spans="2:24" x14ac:dyDescent="0.25">
      <c r="B2881" s="11" t="str">
        <f t="shared" ref="B2881:B2886" si="1222">CONCATENATE("LLRN","-",LEFT(P2881,2),UPPER(MID(P2881,4,3)),RIGHT(P2881,4))</f>
        <v>LLRN-15SEP1900</v>
      </c>
      <c r="C2881" s="11" t="s">
        <v>89</v>
      </c>
      <c r="D2881" s="11" t="s">
        <v>1699</v>
      </c>
      <c r="E2881" s="39" t="s">
        <v>1615</v>
      </c>
      <c r="F2881" s="11" t="s">
        <v>1700</v>
      </c>
      <c r="G2881" s="39" t="s">
        <v>513</v>
      </c>
      <c r="J2881" s="17">
        <v>3</v>
      </c>
      <c r="K2881" s="17"/>
      <c r="L2881" s="7">
        <f t="shared" ref="L2881:L2886" si="1223">SUM(H2881:K2881)</f>
        <v>3</v>
      </c>
      <c r="M2881" s="8">
        <v>1</v>
      </c>
      <c r="N2881" s="8">
        <f t="shared" ref="N2881:N2886" si="1224">IF(L2881&gt;0,1,"")</f>
        <v>1</v>
      </c>
      <c r="O2881" s="11" t="s">
        <v>1702</v>
      </c>
      <c r="P2881" s="16" t="str">
        <f t="shared" ref="P2881:P2886" si="1225">IF(LEN(G2881)=10,CONCATENATE("0",G2881),G2881)</f>
        <v>15-Sep-1900</v>
      </c>
      <c r="R2881" s="16" t="str">
        <f t="shared" si="1221"/>
        <v>x</v>
      </c>
      <c r="S2881" s="16" t="str">
        <f t="shared" si="1221"/>
        <v>x</v>
      </c>
      <c r="U2881" s="46" t="str">
        <f t="shared" si="1219"/>
        <v/>
      </c>
      <c r="V2881" s="46">
        <f t="shared" si="1219"/>
        <v>3</v>
      </c>
      <c r="W2881" s="46" t="str">
        <f t="shared" si="1219"/>
        <v/>
      </c>
      <c r="X2881" s="46" t="str">
        <f t="shared" si="1219"/>
        <v/>
      </c>
    </row>
    <row r="2882" spans="2:24" x14ac:dyDescent="0.25">
      <c r="B2882" s="11" t="str">
        <f t="shared" si="1222"/>
        <v>LLRN-14OCT1900</v>
      </c>
      <c r="C2882" s="11" t="s">
        <v>89</v>
      </c>
      <c r="D2882" s="11" t="s">
        <v>1699</v>
      </c>
      <c r="E2882" s="39" t="s">
        <v>1617</v>
      </c>
      <c r="F2882" s="11" t="s">
        <v>1700</v>
      </c>
      <c r="G2882" s="39" t="s">
        <v>1616</v>
      </c>
      <c r="J2882" s="17">
        <v>3</v>
      </c>
      <c r="K2882" s="17"/>
      <c r="L2882" s="7">
        <f t="shared" si="1223"/>
        <v>3</v>
      </c>
      <c r="M2882" s="8">
        <v>1</v>
      </c>
      <c r="N2882" s="8">
        <f t="shared" si="1224"/>
        <v>1</v>
      </c>
      <c r="O2882" s="11" t="s">
        <v>1702</v>
      </c>
      <c r="P2882" s="16" t="str">
        <f t="shared" si="1225"/>
        <v>14-Oct-1900</v>
      </c>
      <c r="R2882" s="16" t="str">
        <f t="shared" si="1221"/>
        <v>x</v>
      </c>
      <c r="S2882" s="16" t="str">
        <f t="shared" si="1221"/>
        <v>x</v>
      </c>
      <c r="U2882" s="46" t="str">
        <f t="shared" si="1219"/>
        <v/>
      </c>
      <c r="V2882" s="46">
        <f t="shared" si="1219"/>
        <v>3</v>
      </c>
      <c r="W2882" s="46" t="str">
        <f t="shared" si="1219"/>
        <v/>
      </c>
      <c r="X2882" s="46" t="str">
        <f t="shared" si="1219"/>
        <v/>
      </c>
    </row>
    <row r="2883" spans="2:24" x14ac:dyDescent="0.25">
      <c r="B2883" s="11" t="str">
        <f t="shared" si="1222"/>
        <v>LLRN-25NOV1900</v>
      </c>
      <c r="C2883" s="11" t="s">
        <v>89</v>
      </c>
      <c r="D2883" s="11" t="s">
        <v>1699</v>
      </c>
      <c r="E2883" s="39" t="s">
        <v>1618</v>
      </c>
      <c r="F2883" s="11" t="s">
        <v>1700</v>
      </c>
      <c r="G2883" s="39" t="s">
        <v>1619</v>
      </c>
      <c r="J2883" s="17">
        <v>0</v>
      </c>
      <c r="K2883" s="17"/>
      <c r="L2883" s="7">
        <f t="shared" si="1223"/>
        <v>0</v>
      </c>
      <c r="M2883" s="8">
        <v>1</v>
      </c>
      <c r="N2883" s="8" t="str">
        <f t="shared" si="1224"/>
        <v/>
      </c>
      <c r="O2883" s="11" t="s">
        <v>1702</v>
      </c>
      <c r="P2883" s="16" t="str">
        <f t="shared" si="1225"/>
        <v>25-Nov-1900</v>
      </c>
      <c r="R2883" s="16" t="str">
        <f t="shared" si="1221"/>
        <v/>
      </c>
      <c r="S2883" s="16" t="str">
        <f t="shared" si="1221"/>
        <v/>
      </c>
      <c r="U2883" s="46" t="str">
        <f t="shared" si="1219"/>
        <v/>
      </c>
      <c r="V2883" s="46">
        <f t="shared" si="1219"/>
        <v>0</v>
      </c>
      <c r="W2883" s="46" t="str">
        <f t="shared" si="1219"/>
        <v/>
      </c>
      <c r="X2883" s="46" t="str">
        <f t="shared" si="1219"/>
        <v/>
      </c>
    </row>
    <row r="2884" spans="2:24" x14ac:dyDescent="0.25">
      <c r="B2884" s="11" t="str">
        <f t="shared" si="1222"/>
        <v>LLRN-14APR1901</v>
      </c>
      <c r="C2884" s="11" t="s">
        <v>89</v>
      </c>
      <c r="D2884" s="11" t="s">
        <v>1699</v>
      </c>
      <c r="E2884" s="39" t="s">
        <v>1622</v>
      </c>
      <c r="F2884" s="11" t="s">
        <v>1700</v>
      </c>
      <c r="G2884" s="39" t="s">
        <v>1620</v>
      </c>
      <c r="J2884" s="17">
        <v>3</v>
      </c>
      <c r="K2884" s="17"/>
      <c r="L2884" s="7">
        <f t="shared" si="1223"/>
        <v>3</v>
      </c>
      <c r="M2884" s="8">
        <v>1</v>
      </c>
      <c r="N2884" s="8">
        <f t="shared" si="1224"/>
        <v>1</v>
      </c>
      <c r="O2884" s="11" t="s">
        <v>1702</v>
      </c>
      <c r="P2884" s="16" t="str">
        <f t="shared" si="1225"/>
        <v>14-Apr-1901</v>
      </c>
      <c r="R2884" s="16" t="str">
        <f t="shared" si="1221"/>
        <v>x</v>
      </c>
      <c r="S2884" s="16" t="str">
        <f t="shared" si="1221"/>
        <v>x</v>
      </c>
      <c r="U2884" s="46" t="str">
        <f t="shared" si="1219"/>
        <v/>
      </c>
      <c r="V2884" s="46">
        <f t="shared" si="1219"/>
        <v>3</v>
      </c>
      <c r="W2884" s="46" t="str">
        <f t="shared" si="1219"/>
        <v/>
      </c>
      <c r="X2884" s="46" t="str">
        <f t="shared" si="1219"/>
        <v/>
      </c>
    </row>
    <row r="2885" spans="2:24" x14ac:dyDescent="0.25">
      <c r="B2885" s="11" t="str">
        <f t="shared" si="1222"/>
        <v>LLRN-12MAY1901</v>
      </c>
      <c r="C2885" s="11" t="s">
        <v>89</v>
      </c>
      <c r="D2885" s="11" t="s">
        <v>1699</v>
      </c>
      <c r="E2885" s="39" t="s">
        <v>1623</v>
      </c>
      <c r="F2885" s="11" t="s">
        <v>1700</v>
      </c>
      <c r="G2885" s="39" t="s">
        <v>1624</v>
      </c>
      <c r="J2885" s="17">
        <v>1</v>
      </c>
      <c r="K2885" s="17"/>
      <c r="L2885" s="7">
        <f t="shared" si="1223"/>
        <v>1</v>
      </c>
      <c r="M2885" s="8">
        <v>1</v>
      </c>
      <c r="N2885" s="8">
        <f t="shared" si="1224"/>
        <v>1</v>
      </c>
      <c r="O2885" s="11" t="s">
        <v>1702</v>
      </c>
      <c r="P2885" s="16" t="str">
        <f t="shared" si="1225"/>
        <v>12-May-1901</v>
      </c>
      <c r="R2885" s="16" t="str">
        <f t="shared" si="1221"/>
        <v>x</v>
      </c>
      <c r="S2885" s="16" t="str">
        <f t="shared" si="1221"/>
        <v>x</v>
      </c>
      <c r="U2885" s="46" t="str">
        <f t="shared" si="1219"/>
        <v/>
      </c>
      <c r="V2885" s="46">
        <f t="shared" si="1219"/>
        <v>1</v>
      </c>
      <c r="W2885" s="46" t="str">
        <f t="shared" si="1219"/>
        <v/>
      </c>
      <c r="X2885" s="46" t="str">
        <f t="shared" si="1219"/>
        <v/>
      </c>
    </row>
    <row r="2886" spans="2:24" x14ac:dyDescent="0.25">
      <c r="B2886" s="11" t="str">
        <f t="shared" si="1222"/>
        <v>LLRN-08JUN1901</v>
      </c>
      <c r="C2886" s="11" t="s">
        <v>89</v>
      </c>
      <c r="D2886" s="11" t="s">
        <v>1699</v>
      </c>
      <c r="E2886" s="39" t="s">
        <v>1625</v>
      </c>
      <c r="F2886" s="11" t="s">
        <v>1700</v>
      </c>
      <c r="G2886" s="39" t="s">
        <v>1621</v>
      </c>
      <c r="J2886" s="17">
        <v>2</v>
      </c>
      <c r="K2886" s="17"/>
      <c r="L2886" s="7">
        <f t="shared" si="1223"/>
        <v>2</v>
      </c>
      <c r="M2886" s="8">
        <v>1</v>
      </c>
      <c r="N2886" s="8">
        <f t="shared" si="1224"/>
        <v>1</v>
      </c>
      <c r="O2886" s="11" t="s">
        <v>1702</v>
      </c>
      <c r="P2886" s="16" t="str">
        <f t="shared" si="1225"/>
        <v>08-Jun-1901</v>
      </c>
      <c r="R2886" s="16" t="str">
        <f t="shared" si="1221"/>
        <v>x</v>
      </c>
      <c r="S2886" s="16" t="str">
        <f t="shared" si="1221"/>
        <v>x</v>
      </c>
      <c r="U2886" s="46" t="str">
        <f t="shared" si="1219"/>
        <v/>
      </c>
      <c r="V2886" s="46">
        <f t="shared" si="1219"/>
        <v>2</v>
      </c>
      <c r="W2886" s="46" t="str">
        <f t="shared" si="1219"/>
        <v/>
      </c>
      <c r="X2886" s="46" t="str">
        <f t="shared" si="1219"/>
        <v/>
      </c>
    </row>
    <row r="2887" spans="2:24" x14ac:dyDescent="0.25">
      <c r="B2887" s="11" t="str">
        <f t="shared" ref="B2887:B2900" si="1226">CONCATENATE("LLRN","-",LEFT(P2887,2),UPPER(MID(P2887,4,3)),RIGHT(P2887,4))</f>
        <v>LLRN-10MAY1902</v>
      </c>
      <c r="C2887" s="11" t="s">
        <v>89</v>
      </c>
      <c r="D2887" s="11" t="s">
        <v>1699</v>
      </c>
      <c r="E2887" s="39" t="s">
        <v>1631</v>
      </c>
      <c r="F2887" s="11" t="s">
        <v>1700</v>
      </c>
      <c r="G2887" s="39" t="s">
        <v>1626</v>
      </c>
      <c r="J2887" s="17">
        <v>0</v>
      </c>
      <c r="K2887" s="17"/>
      <c r="L2887" s="7">
        <f t="shared" ref="L2887:L2900" si="1227">SUM(H2887:K2887)</f>
        <v>0</v>
      </c>
      <c r="M2887" s="8">
        <v>1</v>
      </c>
      <c r="N2887" s="8" t="str">
        <f t="shared" ref="N2887:N2900" si="1228">IF(L2887&gt;0,1,"")</f>
        <v/>
      </c>
      <c r="O2887" s="11" t="s">
        <v>1702</v>
      </c>
      <c r="P2887" s="16" t="str">
        <f t="shared" ref="P2887:P2900" si="1229">IF(LEN(G2887)=10,CONCATENATE("0",G2887),G2887)</f>
        <v>10-May-1902</v>
      </c>
      <c r="R2887" s="16" t="str">
        <f t="shared" si="1221"/>
        <v/>
      </c>
      <c r="S2887" s="16" t="str">
        <f t="shared" si="1221"/>
        <v/>
      </c>
      <c r="U2887" s="46" t="str">
        <f t="shared" si="1219"/>
        <v/>
      </c>
      <c r="V2887" s="46">
        <f t="shared" si="1219"/>
        <v>0</v>
      </c>
      <c r="W2887" s="46" t="str">
        <f t="shared" si="1219"/>
        <v/>
      </c>
      <c r="X2887" s="46" t="str">
        <f t="shared" si="1219"/>
        <v/>
      </c>
    </row>
    <row r="2888" spans="2:24" x14ac:dyDescent="0.25">
      <c r="B2888" s="11" t="str">
        <f t="shared" si="1226"/>
        <v>LLRN-07JUN1902</v>
      </c>
      <c r="C2888" s="11" t="s">
        <v>89</v>
      </c>
      <c r="D2888" s="11" t="s">
        <v>1699</v>
      </c>
      <c r="E2888" s="39" t="s">
        <v>1632</v>
      </c>
      <c r="F2888" s="11" t="s">
        <v>1700</v>
      </c>
      <c r="G2888" s="39" t="s">
        <v>1633</v>
      </c>
      <c r="J2888" s="17">
        <v>0</v>
      </c>
      <c r="K2888" s="17"/>
      <c r="L2888" s="7">
        <f t="shared" si="1227"/>
        <v>0</v>
      </c>
      <c r="M2888" s="8">
        <v>1</v>
      </c>
      <c r="N2888" s="8" t="str">
        <f t="shared" si="1228"/>
        <v/>
      </c>
      <c r="O2888" s="11" t="s">
        <v>1702</v>
      </c>
      <c r="P2888" s="16" t="str">
        <f t="shared" si="1229"/>
        <v>07-Jun-1902</v>
      </c>
      <c r="R2888" s="16" t="str">
        <f t="shared" si="1221"/>
        <v/>
      </c>
      <c r="S2888" s="16" t="str">
        <f t="shared" si="1221"/>
        <v/>
      </c>
      <c r="U2888" s="46" t="str">
        <f t="shared" si="1219"/>
        <v/>
      </c>
      <c r="V2888" s="46">
        <f t="shared" si="1219"/>
        <v>0</v>
      </c>
      <c r="W2888" s="46" t="str">
        <f t="shared" si="1219"/>
        <v/>
      </c>
      <c r="X2888" s="46" t="str">
        <f t="shared" si="1219"/>
        <v/>
      </c>
    </row>
    <row r="2889" spans="2:24" x14ac:dyDescent="0.25">
      <c r="B2889" s="11" t="str">
        <f t="shared" si="1226"/>
        <v>LLRN-05JUL1902</v>
      </c>
      <c r="C2889" s="11" t="s">
        <v>89</v>
      </c>
      <c r="D2889" s="11" t="s">
        <v>1699</v>
      </c>
      <c r="E2889" s="39" t="s">
        <v>1634</v>
      </c>
      <c r="F2889" s="11" t="s">
        <v>1700</v>
      </c>
      <c r="G2889" s="39" t="s">
        <v>1743</v>
      </c>
      <c r="J2889" s="17">
        <v>4</v>
      </c>
      <c r="K2889" s="17"/>
      <c r="L2889" s="7">
        <f t="shared" si="1227"/>
        <v>4</v>
      </c>
      <c r="M2889" s="8">
        <v>1</v>
      </c>
      <c r="N2889" s="8">
        <f t="shared" si="1228"/>
        <v>1</v>
      </c>
      <c r="O2889" s="11" t="s">
        <v>1702</v>
      </c>
      <c r="P2889" s="16" t="str">
        <f t="shared" si="1229"/>
        <v>05-Jul-1902</v>
      </c>
      <c r="R2889" s="16" t="str">
        <f t="shared" si="1221"/>
        <v>x</v>
      </c>
      <c r="S2889" s="16" t="str">
        <f t="shared" si="1221"/>
        <v>x</v>
      </c>
      <c r="U2889" s="46" t="str">
        <f t="shared" si="1219"/>
        <v/>
      </c>
      <c r="V2889" s="46">
        <f t="shared" si="1219"/>
        <v>4</v>
      </c>
      <c r="W2889" s="46" t="str">
        <f t="shared" si="1219"/>
        <v/>
      </c>
      <c r="X2889" s="46" t="str">
        <f t="shared" si="1219"/>
        <v/>
      </c>
    </row>
    <row r="2890" spans="2:24" x14ac:dyDescent="0.25">
      <c r="B2890" s="11" t="str">
        <f t="shared" si="1226"/>
        <v>LLRN-16AUG1902</v>
      </c>
      <c r="C2890" s="11" t="s">
        <v>89</v>
      </c>
      <c r="D2890" s="11" t="s">
        <v>1699</v>
      </c>
      <c r="E2890" s="39" t="s">
        <v>1635</v>
      </c>
      <c r="F2890" s="11" t="s">
        <v>1700</v>
      </c>
      <c r="G2890" s="39" t="s">
        <v>1627</v>
      </c>
      <c r="J2890" s="17">
        <v>1</v>
      </c>
      <c r="K2890" s="17"/>
      <c r="L2890" s="7">
        <f t="shared" si="1227"/>
        <v>1</v>
      </c>
      <c r="M2890" s="8">
        <v>1</v>
      </c>
      <c r="N2890" s="8">
        <f t="shared" si="1228"/>
        <v>1</v>
      </c>
      <c r="O2890" s="11" t="s">
        <v>1702</v>
      </c>
      <c r="P2890" s="16" t="str">
        <f t="shared" si="1229"/>
        <v>16-Aug-1902</v>
      </c>
      <c r="R2890" s="16" t="str">
        <f t="shared" si="1221"/>
        <v>x</v>
      </c>
      <c r="S2890" s="16" t="str">
        <f t="shared" si="1221"/>
        <v>x</v>
      </c>
      <c r="U2890" s="46" t="str">
        <f t="shared" si="1219"/>
        <v/>
      </c>
      <c r="V2890" s="46">
        <f t="shared" si="1219"/>
        <v>1</v>
      </c>
      <c r="W2890" s="46" t="str">
        <f t="shared" si="1219"/>
        <v/>
      </c>
      <c r="X2890" s="46" t="str">
        <f t="shared" si="1219"/>
        <v/>
      </c>
    </row>
    <row r="2891" spans="2:24" x14ac:dyDescent="0.25">
      <c r="B2891" s="11" t="str">
        <f t="shared" si="1226"/>
        <v>LLRN-13SEP1902</v>
      </c>
      <c r="C2891" s="11" t="s">
        <v>89</v>
      </c>
      <c r="D2891" s="11" t="s">
        <v>1699</v>
      </c>
      <c r="E2891" s="39" t="s">
        <v>1636</v>
      </c>
      <c r="F2891" s="11" t="s">
        <v>1700</v>
      </c>
      <c r="G2891" s="39" t="s">
        <v>1628</v>
      </c>
      <c r="J2891" s="17">
        <v>0</v>
      </c>
      <c r="K2891" s="17"/>
      <c r="L2891" s="7">
        <f t="shared" si="1227"/>
        <v>0</v>
      </c>
      <c r="M2891" s="8">
        <v>1</v>
      </c>
      <c r="N2891" s="8" t="str">
        <f t="shared" si="1228"/>
        <v/>
      </c>
      <c r="O2891" s="11" t="s">
        <v>1702</v>
      </c>
      <c r="P2891" s="16" t="str">
        <f t="shared" si="1229"/>
        <v>13-Sep-1902</v>
      </c>
      <c r="R2891" s="16" t="str">
        <f t="shared" si="1221"/>
        <v/>
      </c>
      <c r="S2891" s="16" t="str">
        <f t="shared" si="1221"/>
        <v/>
      </c>
      <c r="U2891" s="46" t="str">
        <f t="shared" si="1219"/>
        <v/>
      </c>
      <c r="V2891" s="46">
        <f t="shared" si="1219"/>
        <v>0</v>
      </c>
      <c r="W2891" s="46" t="str">
        <f t="shared" si="1219"/>
        <v/>
      </c>
      <c r="X2891" s="46" t="str">
        <f t="shared" si="1219"/>
        <v/>
      </c>
    </row>
    <row r="2892" spans="2:24" x14ac:dyDescent="0.25">
      <c r="B2892" s="11" t="str">
        <f t="shared" si="1226"/>
        <v>LLRN-11OCT1902</v>
      </c>
      <c r="C2892" s="11" t="s">
        <v>89</v>
      </c>
      <c r="D2892" s="11" t="s">
        <v>1699</v>
      </c>
      <c r="E2892" s="39" t="s">
        <v>1637</v>
      </c>
      <c r="F2892" s="11" t="s">
        <v>1700</v>
      </c>
      <c r="G2892" s="39" t="s">
        <v>1629</v>
      </c>
      <c r="J2892" s="17">
        <v>0</v>
      </c>
      <c r="K2892" s="17"/>
      <c r="L2892" s="7">
        <f t="shared" si="1227"/>
        <v>0</v>
      </c>
      <c r="M2892" s="8">
        <v>1</v>
      </c>
      <c r="N2892" s="8" t="str">
        <f t="shared" si="1228"/>
        <v/>
      </c>
      <c r="O2892" s="11" t="s">
        <v>1702</v>
      </c>
      <c r="P2892" s="16" t="str">
        <f t="shared" si="1229"/>
        <v>11-Oct-1902</v>
      </c>
      <c r="R2892" s="16" t="str">
        <f t="shared" si="1221"/>
        <v/>
      </c>
      <c r="S2892" s="16" t="str">
        <f t="shared" si="1221"/>
        <v/>
      </c>
      <c r="U2892" s="46" t="str">
        <f t="shared" si="1219"/>
        <v/>
      </c>
      <c r="V2892" s="46">
        <f t="shared" si="1219"/>
        <v>0</v>
      </c>
      <c r="W2892" s="46" t="str">
        <f t="shared" si="1219"/>
        <v/>
      </c>
      <c r="X2892" s="46" t="str">
        <f t="shared" si="1219"/>
        <v/>
      </c>
    </row>
    <row r="2893" spans="2:24" x14ac:dyDescent="0.25">
      <c r="B2893" s="11" t="str">
        <f t="shared" si="1226"/>
        <v>LLRN-08NOV1902</v>
      </c>
      <c r="C2893" s="11" t="s">
        <v>89</v>
      </c>
      <c r="D2893" s="11" t="s">
        <v>1699</v>
      </c>
      <c r="E2893" s="39" t="s">
        <v>1638</v>
      </c>
      <c r="F2893" s="11" t="s">
        <v>1700</v>
      </c>
      <c r="G2893" s="39" t="s">
        <v>1630</v>
      </c>
      <c r="J2893" s="17">
        <v>0</v>
      </c>
      <c r="K2893" s="17"/>
      <c r="L2893" s="7">
        <f t="shared" si="1227"/>
        <v>0</v>
      </c>
      <c r="M2893" s="8">
        <v>1</v>
      </c>
      <c r="N2893" s="8" t="str">
        <f t="shared" si="1228"/>
        <v/>
      </c>
      <c r="O2893" s="11" t="s">
        <v>1702</v>
      </c>
      <c r="P2893" s="16" t="str">
        <f t="shared" si="1229"/>
        <v>08-Nov-1902</v>
      </c>
      <c r="R2893" s="16" t="str">
        <f t="shared" si="1221"/>
        <v/>
      </c>
      <c r="S2893" s="16" t="str">
        <f t="shared" si="1221"/>
        <v/>
      </c>
      <c r="U2893" s="46" t="str">
        <f t="shared" si="1219"/>
        <v/>
      </c>
      <c r="V2893" s="46">
        <f t="shared" si="1219"/>
        <v>0</v>
      </c>
      <c r="W2893" s="46" t="str">
        <f t="shared" si="1219"/>
        <v/>
      </c>
      <c r="X2893" s="46" t="str">
        <f t="shared" si="1219"/>
        <v/>
      </c>
    </row>
    <row r="2894" spans="2:24" x14ac:dyDescent="0.25">
      <c r="B2894" s="11" t="str">
        <f t="shared" si="1226"/>
        <v>LLRN-06DEC1902</v>
      </c>
      <c r="C2894" s="11" t="s">
        <v>89</v>
      </c>
      <c r="D2894" s="11" t="s">
        <v>1699</v>
      </c>
      <c r="E2894" s="39" t="s">
        <v>1639</v>
      </c>
      <c r="F2894" s="11" t="s">
        <v>1700</v>
      </c>
      <c r="G2894" s="39" t="s">
        <v>1640</v>
      </c>
      <c r="J2894" s="17">
        <v>5</v>
      </c>
      <c r="K2894" s="17"/>
      <c r="L2894" s="7">
        <f t="shared" si="1227"/>
        <v>5</v>
      </c>
      <c r="M2894" s="8">
        <v>1</v>
      </c>
      <c r="N2894" s="8">
        <f t="shared" si="1228"/>
        <v>1</v>
      </c>
      <c r="O2894" s="11" t="s">
        <v>1702</v>
      </c>
      <c r="P2894" s="16" t="str">
        <f t="shared" si="1229"/>
        <v>06-Dec-1902</v>
      </c>
      <c r="R2894" s="16" t="str">
        <f t="shared" si="1221"/>
        <v>x</v>
      </c>
      <c r="S2894" s="16" t="str">
        <f t="shared" si="1221"/>
        <v>x</v>
      </c>
      <c r="U2894" s="46" t="str">
        <f t="shared" si="1219"/>
        <v/>
      </c>
      <c r="V2894" s="46">
        <f t="shared" si="1219"/>
        <v>5</v>
      </c>
      <c r="W2894" s="46" t="str">
        <f t="shared" si="1219"/>
        <v/>
      </c>
      <c r="X2894" s="46" t="str">
        <f t="shared" si="1219"/>
        <v/>
      </c>
    </row>
    <row r="2895" spans="2:24" x14ac:dyDescent="0.25">
      <c r="B2895" s="11" t="str">
        <f t="shared" si="1226"/>
        <v>LLRN-03JAN1903</v>
      </c>
      <c r="C2895" s="11" t="s">
        <v>89</v>
      </c>
      <c r="D2895" s="11" t="s">
        <v>1699</v>
      </c>
      <c r="E2895" s="39" t="s">
        <v>1647</v>
      </c>
      <c r="F2895" s="11" t="s">
        <v>1700</v>
      </c>
      <c r="G2895" s="39" t="s">
        <v>743</v>
      </c>
      <c r="J2895" s="17">
        <v>17</v>
      </c>
      <c r="K2895" s="17"/>
      <c r="L2895" s="7">
        <f t="shared" si="1227"/>
        <v>17</v>
      </c>
      <c r="M2895" s="8">
        <v>1</v>
      </c>
      <c r="N2895" s="8">
        <f t="shared" si="1228"/>
        <v>1</v>
      </c>
      <c r="O2895" s="11" t="s">
        <v>1702</v>
      </c>
      <c r="P2895" s="16" t="str">
        <f t="shared" si="1229"/>
        <v>03-Jan-1903</v>
      </c>
      <c r="R2895" s="16" t="str">
        <f t="shared" si="1221"/>
        <v>x</v>
      </c>
      <c r="S2895" s="16" t="str">
        <f t="shared" si="1221"/>
        <v>x</v>
      </c>
      <c r="U2895" s="46" t="str">
        <f t="shared" si="1219"/>
        <v/>
      </c>
      <c r="V2895" s="46">
        <f t="shared" si="1219"/>
        <v>17</v>
      </c>
      <c r="W2895" s="46" t="str">
        <f t="shared" si="1219"/>
        <v/>
      </c>
      <c r="X2895" s="46" t="str">
        <f t="shared" si="1219"/>
        <v/>
      </c>
    </row>
    <row r="2896" spans="2:24" x14ac:dyDescent="0.25">
      <c r="B2896" s="11" t="str">
        <f t="shared" si="1226"/>
        <v>LLRN-01FEB1903</v>
      </c>
      <c r="C2896" s="11" t="s">
        <v>89</v>
      </c>
      <c r="D2896" s="11" t="s">
        <v>1699</v>
      </c>
      <c r="E2896" s="39" t="s">
        <v>1648</v>
      </c>
      <c r="F2896" s="11" t="s">
        <v>1700</v>
      </c>
      <c r="G2896" s="39" t="s">
        <v>1641</v>
      </c>
      <c r="J2896" s="17">
        <v>6</v>
      </c>
      <c r="K2896" s="17"/>
      <c r="L2896" s="7">
        <f t="shared" si="1227"/>
        <v>6</v>
      </c>
      <c r="M2896" s="8">
        <v>1</v>
      </c>
      <c r="N2896" s="8">
        <f t="shared" si="1228"/>
        <v>1</v>
      </c>
      <c r="O2896" s="11" t="s">
        <v>1702</v>
      </c>
      <c r="P2896" s="16" t="str">
        <f t="shared" si="1229"/>
        <v>01-Feb-1903</v>
      </c>
      <c r="R2896" s="16" t="str">
        <f t="shared" si="1221"/>
        <v>x</v>
      </c>
      <c r="S2896" s="16" t="str">
        <f t="shared" si="1221"/>
        <v>x</v>
      </c>
      <c r="T2896" s="11"/>
      <c r="U2896" s="46" t="str">
        <f t="shared" si="1219"/>
        <v/>
      </c>
      <c r="V2896" s="46">
        <f t="shared" si="1219"/>
        <v>6</v>
      </c>
      <c r="W2896" s="46" t="str">
        <f t="shared" si="1219"/>
        <v/>
      </c>
      <c r="X2896" s="46" t="str">
        <f t="shared" si="1219"/>
        <v/>
      </c>
    </row>
    <row r="2897" spans="2:24" x14ac:dyDescent="0.25">
      <c r="B2897" s="11" t="str">
        <f t="shared" si="1226"/>
        <v>LLRN-15MAR1903</v>
      </c>
      <c r="C2897" s="11" t="s">
        <v>89</v>
      </c>
      <c r="D2897" s="11" t="s">
        <v>1699</v>
      </c>
      <c r="E2897" s="39" t="s">
        <v>1649</v>
      </c>
      <c r="F2897" s="11" t="s">
        <v>1700</v>
      </c>
      <c r="G2897" s="39" t="s">
        <v>1642</v>
      </c>
      <c r="J2897" s="17">
        <v>16</v>
      </c>
      <c r="K2897" s="17"/>
      <c r="L2897" s="7">
        <f t="shared" si="1227"/>
        <v>16</v>
      </c>
      <c r="M2897" s="8">
        <v>1</v>
      </c>
      <c r="N2897" s="8">
        <f t="shared" si="1228"/>
        <v>1</v>
      </c>
      <c r="O2897" s="11" t="s">
        <v>1702</v>
      </c>
      <c r="P2897" s="16" t="str">
        <f t="shared" si="1229"/>
        <v>15-Mar-1903</v>
      </c>
      <c r="R2897" s="16" t="str">
        <f t="shared" si="1221"/>
        <v>x</v>
      </c>
      <c r="S2897" s="16" t="str">
        <f t="shared" si="1221"/>
        <v>x</v>
      </c>
      <c r="T2897" s="11"/>
      <c r="U2897" s="46" t="str">
        <f t="shared" si="1219"/>
        <v/>
      </c>
      <c r="V2897" s="46">
        <f t="shared" si="1219"/>
        <v>16</v>
      </c>
      <c r="W2897" s="46" t="str">
        <f t="shared" si="1219"/>
        <v/>
      </c>
      <c r="X2897" s="46" t="str">
        <f t="shared" si="1219"/>
        <v/>
      </c>
    </row>
    <row r="2898" spans="2:24" x14ac:dyDescent="0.25">
      <c r="B2898" s="11" t="str">
        <f t="shared" si="1226"/>
        <v>LLRN-12APR1903</v>
      </c>
      <c r="C2898" s="11" t="s">
        <v>89</v>
      </c>
      <c r="D2898" s="11" t="s">
        <v>1699</v>
      </c>
      <c r="E2898" s="39" t="s">
        <v>735</v>
      </c>
      <c r="F2898" s="11" t="s">
        <v>1700</v>
      </c>
      <c r="G2898" s="39" t="s">
        <v>1643</v>
      </c>
      <c r="H2898" s="7">
        <v>0</v>
      </c>
      <c r="I2898" s="7">
        <v>0</v>
      </c>
      <c r="J2898" s="17">
        <v>11</v>
      </c>
      <c r="K2898" s="17"/>
      <c r="L2898" s="7">
        <f t="shared" si="1227"/>
        <v>11</v>
      </c>
      <c r="M2898" s="8">
        <v>1</v>
      </c>
      <c r="N2898" s="8">
        <f t="shared" si="1228"/>
        <v>1</v>
      </c>
      <c r="O2898" s="11" t="s">
        <v>1702</v>
      </c>
      <c r="P2898" s="16" t="str">
        <f t="shared" si="1229"/>
        <v>12-Apr-1903</v>
      </c>
      <c r="R2898" s="16" t="str">
        <f t="shared" si="1221"/>
        <v>x</v>
      </c>
      <c r="S2898" s="16" t="str">
        <f t="shared" si="1221"/>
        <v>x</v>
      </c>
      <c r="T2898" s="11"/>
      <c r="U2898" s="46" t="str">
        <f t="shared" si="1219"/>
        <v/>
      </c>
      <c r="V2898" s="46">
        <f t="shared" si="1219"/>
        <v>11</v>
      </c>
      <c r="W2898" s="46" t="str">
        <f t="shared" si="1219"/>
        <v/>
      </c>
      <c r="X2898" s="46" t="str">
        <f t="shared" si="1219"/>
        <v/>
      </c>
    </row>
    <row r="2899" spans="2:24" x14ac:dyDescent="0.25">
      <c r="B2899" s="11" t="str">
        <f t="shared" si="1226"/>
        <v>LLRN-16MAY1903</v>
      </c>
      <c r="C2899" s="11" t="s">
        <v>89</v>
      </c>
      <c r="D2899" s="11" t="s">
        <v>1699</v>
      </c>
      <c r="E2899" s="39" t="s">
        <v>1650</v>
      </c>
      <c r="F2899" s="11" t="s">
        <v>1700</v>
      </c>
      <c r="G2899" s="39" t="s">
        <v>1644</v>
      </c>
      <c r="H2899" s="7">
        <v>0</v>
      </c>
      <c r="I2899" s="7">
        <v>0</v>
      </c>
      <c r="J2899" s="17">
        <v>6</v>
      </c>
      <c r="K2899" s="17"/>
      <c r="L2899" s="7">
        <f t="shared" si="1227"/>
        <v>6</v>
      </c>
      <c r="M2899" s="8">
        <v>1</v>
      </c>
      <c r="N2899" s="8">
        <f t="shared" si="1228"/>
        <v>1</v>
      </c>
      <c r="O2899" s="11" t="s">
        <v>1702</v>
      </c>
      <c r="P2899" s="16" t="str">
        <f t="shared" si="1229"/>
        <v>16-May-1903</v>
      </c>
      <c r="R2899" s="16" t="str">
        <f t="shared" si="1221"/>
        <v>x</v>
      </c>
      <c r="S2899" s="16" t="str">
        <f t="shared" si="1221"/>
        <v>x</v>
      </c>
      <c r="T2899" s="11"/>
      <c r="U2899" s="46" t="str">
        <f t="shared" si="1219"/>
        <v/>
      </c>
      <c r="V2899" s="46">
        <f t="shared" si="1219"/>
        <v>6</v>
      </c>
      <c r="W2899" s="46" t="str">
        <f t="shared" si="1219"/>
        <v/>
      </c>
      <c r="X2899" s="46" t="str">
        <f t="shared" si="1219"/>
        <v/>
      </c>
    </row>
    <row r="2900" spans="2:24" x14ac:dyDescent="0.25">
      <c r="B2900" s="11" t="str">
        <f t="shared" si="1226"/>
        <v>LLRN-13JUN1903</v>
      </c>
      <c r="C2900" s="11" t="s">
        <v>89</v>
      </c>
      <c r="D2900" s="11" t="s">
        <v>1699</v>
      </c>
      <c r="E2900" s="39" t="s">
        <v>1651</v>
      </c>
      <c r="F2900" s="11" t="s">
        <v>1700</v>
      </c>
      <c r="G2900" s="39" t="s">
        <v>1652</v>
      </c>
      <c r="H2900" s="7">
        <v>0</v>
      </c>
      <c r="I2900" s="7">
        <v>0</v>
      </c>
      <c r="J2900" s="17">
        <v>12</v>
      </c>
      <c r="K2900" s="17"/>
      <c r="L2900" s="7">
        <f t="shared" si="1227"/>
        <v>12</v>
      </c>
      <c r="M2900" s="8">
        <v>1</v>
      </c>
      <c r="N2900" s="8">
        <f t="shared" si="1228"/>
        <v>1</v>
      </c>
      <c r="O2900" s="11" t="s">
        <v>1702</v>
      </c>
      <c r="P2900" s="16" t="str">
        <f t="shared" si="1229"/>
        <v>13-Jun-1903</v>
      </c>
      <c r="R2900" s="16" t="str">
        <f t="shared" si="1221"/>
        <v>x</v>
      </c>
      <c r="S2900" s="16" t="str">
        <f t="shared" si="1221"/>
        <v>x</v>
      </c>
      <c r="T2900" s="11"/>
      <c r="U2900" s="46" t="str">
        <f t="shared" si="1219"/>
        <v/>
      </c>
      <c r="V2900" s="46">
        <f t="shared" si="1219"/>
        <v>12</v>
      </c>
      <c r="W2900" s="46" t="str">
        <f t="shared" si="1219"/>
        <v/>
      </c>
      <c r="X2900" s="46" t="str">
        <f t="shared" si="1219"/>
        <v/>
      </c>
    </row>
    <row r="2901" spans="2:24" x14ac:dyDescent="0.25">
      <c r="B2901" s="11" t="str">
        <f t="shared" ref="B2901:B2910" si="1230">CONCATENATE("LLRN","-",LEFT(P2901,2),UPPER(MID(P2901,4,3)),RIGHT(P2901,4))</f>
        <v>LLRN-11JUL1903</v>
      </c>
      <c r="C2901" s="11" t="s">
        <v>89</v>
      </c>
      <c r="D2901" s="11" t="s">
        <v>1699</v>
      </c>
      <c r="E2901" s="39" t="s">
        <v>1653</v>
      </c>
      <c r="F2901" s="11" t="s">
        <v>1700</v>
      </c>
      <c r="G2901" s="39" t="s">
        <v>1645</v>
      </c>
      <c r="H2901" s="7">
        <v>0</v>
      </c>
      <c r="I2901" s="7">
        <v>0</v>
      </c>
      <c r="J2901" s="17">
        <v>6</v>
      </c>
      <c r="K2901" s="17"/>
      <c r="L2901" s="7">
        <f t="shared" ref="L2901:L2910" si="1231">SUM(H2901:K2901)</f>
        <v>6</v>
      </c>
      <c r="M2901" s="8">
        <v>1</v>
      </c>
      <c r="N2901" s="8">
        <f t="shared" ref="N2901:N2910" si="1232">IF(L2901&gt;0,1,"")</f>
        <v>1</v>
      </c>
      <c r="O2901" s="11" t="s">
        <v>1702</v>
      </c>
      <c r="P2901" s="16" t="str">
        <f t="shared" ref="P2901:P2910" si="1233">IF(LEN(G2901)=10,CONCATENATE("0",G2901),G2901)</f>
        <v>11-Jul-1903</v>
      </c>
      <c r="R2901" s="16" t="str">
        <f t="shared" si="1221"/>
        <v>x</v>
      </c>
      <c r="S2901" s="16" t="str">
        <f t="shared" si="1221"/>
        <v>x</v>
      </c>
      <c r="T2901" s="11"/>
      <c r="U2901" s="46" t="str">
        <f t="shared" si="1219"/>
        <v/>
      </c>
      <c r="V2901" s="46">
        <f t="shared" si="1219"/>
        <v>6</v>
      </c>
      <c r="W2901" s="46" t="str">
        <f t="shared" si="1219"/>
        <v/>
      </c>
      <c r="X2901" s="46" t="str">
        <f t="shared" si="1219"/>
        <v/>
      </c>
    </row>
    <row r="2902" spans="2:24" x14ac:dyDescent="0.25">
      <c r="B2902" s="11" t="str">
        <f t="shared" si="1230"/>
        <v>LLRN-29AUG1903</v>
      </c>
      <c r="C2902" s="11" t="s">
        <v>89</v>
      </c>
      <c r="D2902" s="11" t="s">
        <v>1699</v>
      </c>
      <c r="E2902" s="39" t="s">
        <v>1654</v>
      </c>
      <c r="F2902" s="11" t="s">
        <v>1700</v>
      </c>
      <c r="G2902" s="39" t="s">
        <v>1646</v>
      </c>
      <c r="H2902" s="7">
        <v>0</v>
      </c>
      <c r="I2902" s="7">
        <v>0</v>
      </c>
      <c r="J2902" s="17">
        <v>0</v>
      </c>
      <c r="K2902" s="17"/>
      <c r="L2902" s="7">
        <f t="shared" si="1231"/>
        <v>0</v>
      </c>
      <c r="M2902" s="8">
        <v>1</v>
      </c>
      <c r="N2902" s="8" t="str">
        <f t="shared" si="1232"/>
        <v/>
      </c>
      <c r="O2902" s="11" t="s">
        <v>1702</v>
      </c>
      <c r="P2902" s="16" t="str">
        <f t="shared" si="1233"/>
        <v>29-Aug-1903</v>
      </c>
      <c r="R2902" s="16" t="str">
        <f t="shared" si="1221"/>
        <v/>
      </c>
      <c r="S2902" s="16" t="str">
        <f t="shared" si="1221"/>
        <v/>
      </c>
      <c r="T2902" s="11"/>
      <c r="U2902" s="46" t="str">
        <f t="shared" si="1219"/>
        <v/>
      </c>
      <c r="V2902" s="46">
        <f t="shared" si="1219"/>
        <v>0</v>
      </c>
      <c r="W2902" s="46" t="str">
        <f t="shared" si="1219"/>
        <v/>
      </c>
      <c r="X2902" s="46" t="str">
        <f t="shared" si="1219"/>
        <v/>
      </c>
    </row>
    <row r="2903" spans="2:24" x14ac:dyDescent="0.25">
      <c r="B2903" s="11" t="str">
        <f t="shared" si="1230"/>
        <v>LLRN-26SEP1903</v>
      </c>
      <c r="C2903" s="11" t="s">
        <v>89</v>
      </c>
      <c r="D2903" s="11" t="s">
        <v>1699</v>
      </c>
      <c r="E2903" s="39" t="s">
        <v>1655</v>
      </c>
      <c r="F2903" s="11" t="s">
        <v>1700</v>
      </c>
      <c r="G2903" s="39" t="s">
        <v>1749</v>
      </c>
      <c r="H2903" s="7">
        <v>0</v>
      </c>
      <c r="I2903" s="7">
        <v>0</v>
      </c>
      <c r="J2903" s="17">
        <v>0</v>
      </c>
      <c r="K2903" s="17"/>
      <c r="L2903" s="7">
        <f t="shared" si="1231"/>
        <v>0</v>
      </c>
      <c r="M2903" s="8">
        <v>1</v>
      </c>
      <c r="N2903" s="8" t="str">
        <f t="shared" si="1232"/>
        <v/>
      </c>
      <c r="O2903" s="11" t="s">
        <v>1702</v>
      </c>
      <c r="P2903" s="16" t="str">
        <f t="shared" si="1233"/>
        <v>26-Sep-1903</v>
      </c>
      <c r="R2903" s="16" t="str">
        <f t="shared" si="1221"/>
        <v/>
      </c>
      <c r="S2903" s="16" t="str">
        <f t="shared" si="1221"/>
        <v/>
      </c>
      <c r="T2903" s="11"/>
      <c r="U2903" s="46" t="str">
        <f t="shared" si="1219"/>
        <v/>
      </c>
      <c r="V2903" s="46">
        <f t="shared" si="1219"/>
        <v>0</v>
      </c>
      <c r="W2903" s="46" t="str">
        <f t="shared" si="1219"/>
        <v/>
      </c>
      <c r="X2903" s="46" t="str">
        <f t="shared" si="1219"/>
        <v/>
      </c>
    </row>
    <row r="2904" spans="2:24" x14ac:dyDescent="0.25">
      <c r="B2904" s="11" t="str">
        <f t="shared" si="1230"/>
        <v>LLRN-24OCT1903</v>
      </c>
      <c r="C2904" s="11" t="s">
        <v>89</v>
      </c>
      <c r="D2904" s="11" t="s">
        <v>1699</v>
      </c>
      <c r="E2904" s="39" t="s">
        <v>1656</v>
      </c>
      <c r="F2904" s="11" t="s">
        <v>1700</v>
      </c>
      <c r="G2904" s="39" t="s">
        <v>1751</v>
      </c>
      <c r="H2904" s="7">
        <v>0</v>
      </c>
      <c r="I2904" s="7">
        <v>0</v>
      </c>
      <c r="J2904" s="17">
        <v>0</v>
      </c>
      <c r="K2904" s="17"/>
      <c r="L2904" s="7">
        <f t="shared" si="1231"/>
        <v>0</v>
      </c>
      <c r="M2904" s="8">
        <v>1</v>
      </c>
      <c r="N2904" s="8" t="str">
        <f t="shared" si="1232"/>
        <v/>
      </c>
      <c r="O2904" s="11" t="s">
        <v>1702</v>
      </c>
      <c r="P2904" s="16" t="str">
        <f t="shared" si="1233"/>
        <v>24-Oct-1903</v>
      </c>
      <c r="R2904" s="16" t="str">
        <f t="shared" si="1221"/>
        <v/>
      </c>
      <c r="S2904" s="16" t="str">
        <f t="shared" si="1221"/>
        <v/>
      </c>
      <c r="T2904" s="11"/>
      <c r="U2904" s="46" t="str">
        <f t="shared" si="1219"/>
        <v/>
      </c>
      <c r="V2904" s="46">
        <f t="shared" si="1219"/>
        <v>0</v>
      </c>
      <c r="W2904" s="46" t="str">
        <f t="shared" si="1219"/>
        <v/>
      </c>
      <c r="X2904" s="46" t="str">
        <f t="shared" si="1219"/>
        <v/>
      </c>
    </row>
    <row r="2905" spans="2:24" x14ac:dyDescent="0.25">
      <c r="B2905" s="11" t="str">
        <f t="shared" si="1230"/>
        <v>LLRN-08FEB1904</v>
      </c>
      <c r="C2905" s="11" t="s">
        <v>89</v>
      </c>
      <c r="D2905" s="11" t="s">
        <v>1699</v>
      </c>
      <c r="E2905" s="39" t="s">
        <v>1663</v>
      </c>
      <c r="F2905" s="11" t="s">
        <v>1700</v>
      </c>
      <c r="G2905" s="39" t="s">
        <v>1664</v>
      </c>
      <c r="H2905" s="7">
        <v>0</v>
      </c>
      <c r="I2905" s="7">
        <v>0</v>
      </c>
      <c r="J2905" s="17">
        <v>0</v>
      </c>
      <c r="K2905" s="17"/>
      <c r="L2905" s="7">
        <f t="shared" si="1231"/>
        <v>0</v>
      </c>
      <c r="M2905" s="8">
        <v>1</v>
      </c>
      <c r="N2905" s="8" t="str">
        <f t="shared" si="1232"/>
        <v/>
      </c>
      <c r="O2905" s="11" t="s">
        <v>1702</v>
      </c>
      <c r="P2905" s="16" t="str">
        <f t="shared" si="1233"/>
        <v>08-Feb-1904</v>
      </c>
      <c r="R2905" s="16" t="str">
        <f t="shared" si="1221"/>
        <v/>
      </c>
      <c r="S2905" s="16" t="str">
        <f t="shared" si="1221"/>
        <v/>
      </c>
      <c r="T2905" s="11"/>
      <c r="U2905" s="46" t="str">
        <f t="shared" si="1219"/>
        <v/>
      </c>
      <c r="V2905" s="46">
        <f t="shared" si="1219"/>
        <v>0</v>
      </c>
      <c r="W2905" s="46" t="str">
        <f t="shared" si="1219"/>
        <v/>
      </c>
      <c r="X2905" s="46" t="str">
        <f t="shared" si="1219"/>
        <v/>
      </c>
    </row>
    <row r="2906" spans="2:24" x14ac:dyDescent="0.25">
      <c r="B2906" s="11" t="str">
        <f t="shared" si="1230"/>
        <v>LLRN-05MAR1904</v>
      </c>
      <c r="C2906" s="11" t="s">
        <v>89</v>
      </c>
      <c r="D2906" s="11" t="s">
        <v>1699</v>
      </c>
      <c r="E2906" s="39" t="s">
        <v>1665</v>
      </c>
      <c r="F2906" s="11" t="s">
        <v>1700</v>
      </c>
      <c r="G2906" s="39" t="s">
        <v>767</v>
      </c>
      <c r="H2906" s="7">
        <v>0</v>
      </c>
      <c r="I2906" s="7">
        <v>0</v>
      </c>
      <c r="J2906" s="17">
        <v>0</v>
      </c>
      <c r="K2906" s="17"/>
      <c r="L2906" s="7">
        <f t="shared" si="1231"/>
        <v>0</v>
      </c>
      <c r="M2906" s="8">
        <v>1</v>
      </c>
      <c r="N2906" s="8" t="str">
        <f t="shared" si="1232"/>
        <v/>
      </c>
      <c r="O2906" s="11" t="s">
        <v>1702</v>
      </c>
      <c r="P2906" s="16" t="str">
        <f t="shared" si="1233"/>
        <v>05-Mar-1904</v>
      </c>
      <c r="R2906" s="16" t="str">
        <f t="shared" si="1221"/>
        <v/>
      </c>
      <c r="S2906" s="16" t="str">
        <f t="shared" si="1221"/>
        <v/>
      </c>
      <c r="T2906" s="11"/>
      <c r="U2906" s="46" t="str">
        <f t="shared" si="1219"/>
        <v/>
      </c>
      <c r="V2906" s="46">
        <f t="shared" si="1219"/>
        <v>0</v>
      </c>
      <c r="W2906" s="46" t="str">
        <f t="shared" si="1219"/>
        <v/>
      </c>
      <c r="X2906" s="46" t="str">
        <f t="shared" si="1219"/>
        <v/>
      </c>
    </row>
    <row r="2907" spans="2:24" x14ac:dyDescent="0.25">
      <c r="B2907" s="11" t="str">
        <f t="shared" si="1230"/>
        <v>LLRN-10APR1904</v>
      </c>
      <c r="C2907" s="11" t="s">
        <v>89</v>
      </c>
      <c r="D2907" s="11" t="s">
        <v>1699</v>
      </c>
      <c r="E2907" s="39" t="s">
        <v>1666</v>
      </c>
      <c r="F2907" s="11" t="s">
        <v>1700</v>
      </c>
      <c r="G2907" s="39" t="s">
        <v>1657</v>
      </c>
      <c r="H2907" s="7">
        <v>0</v>
      </c>
      <c r="I2907" s="7">
        <v>0</v>
      </c>
      <c r="J2907" s="17">
        <v>1</v>
      </c>
      <c r="K2907" s="17"/>
      <c r="L2907" s="7">
        <f t="shared" si="1231"/>
        <v>1</v>
      </c>
      <c r="M2907" s="8">
        <v>1</v>
      </c>
      <c r="N2907" s="8">
        <f t="shared" si="1232"/>
        <v>1</v>
      </c>
      <c r="O2907" s="11" t="s">
        <v>1702</v>
      </c>
      <c r="P2907" s="16" t="str">
        <f t="shared" si="1233"/>
        <v>10-Apr-1904</v>
      </c>
      <c r="R2907" s="16" t="str">
        <f t="shared" si="1221"/>
        <v>x</v>
      </c>
      <c r="S2907" s="16" t="str">
        <f t="shared" si="1221"/>
        <v>x</v>
      </c>
      <c r="T2907" s="11"/>
      <c r="U2907" s="46" t="str">
        <f t="shared" si="1219"/>
        <v/>
      </c>
      <c r="V2907" s="46">
        <f t="shared" si="1219"/>
        <v>1</v>
      </c>
      <c r="W2907" s="46" t="str">
        <f t="shared" si="1219"/>
        <v/>
      </c>
      <c r="X2907" s="46" t="str">
        <f t="shared" si="1219"/>
        <v/>
      </c>
    </row>
    <row r="2908" spans="2:24" x14ac:dyDescent="0.25">
      <c r="B2908" s="11" t="str">
        <f t="shared" si="1230"/>
        <v>LLRN-07MAY1904</v>
      </c>
      <c r="C2908" s="11" t="s">
        <v>89</v>
      </c>
      <c r="D2908" s="11" t="s">
        <v>1699</v>
      </c>
      <c r="E2908" s="39" t="s">
        <v>1667</v>
      </c>
      <c r="F2908" s="11" t="s">
        <v>1700</v>
      </c>
      <c r="G2908" s="39" t="s">
        <v>770</v>
      </c>
      <c r="H2908" s="7">
        <v>0</v>
      </c>
      <c r="I2908" s="7">
        <v>0</v>
      </c>
      <c r="J2908" s="17">
        <v>16</v>
      </c>
      <c r="K2908" s="17"/>
      <c r="L2908" s="7">
        <f t="shared" si="1231"/>
        <v>16</v>
      </c>
      <c r="M2908" s="8">
        <v>1</v>
      </c>
      <c r="N2908" s="8">
        <f t="shared" si="1232"/>
        <v>1</v>
      </c>
      <c r="O2908" s="11" t="s">
        <v>1702</v>
      </c>
      <c r="P2908" s="16" t="str">
        <f t="shared" si="1233"/>
        <v>07-May-1904</v>
      </c>
      <c r="R2908" s="16" t="str">
        <f t="shared" si="1221"/>
        <v>x</v>
      </c>
      <c r="S2908" s="16" t="str">
        <f t="shared" si="1221"/>
        <v>x</v>
      </c>
      <c r="T2908" s="11"/>
      <c r="U2908" s="46" t="str">
        <f t="shared" si="1219"/>
        <v/>
      </c>
      <c r="V2908" s="46">
        <f t="shared" si="1219"/>
        <v>16</v>
      </c>
      <c r="W2908" s="46" t="str">
        <f t="shared" si="1219"/>
        <v/>
      </c>
      <c r="X2908" s="46" t="str">
        <f t="shared" si="1219"/>
        <v/>
      </c>
    </row>
    <row r="2909" spans="2:24" x14ac:dyDescent="0.25">
      <c r="B2909" s="11" t="str">
        <f t="shared" si="1230"/>
        <v>LLRN-04JUN1904</v>
      </c>
      <c r="C2909" s="11" t="s">
        <v>89</v>
      </c>
      <c r="D2909" s="11" t="s">
        <v>1699</v>
      </c>
      <c r="E2909" s="39" t="s">
        <v>1668</v>
      </c>
      <c r="F2909" s="11" t="s">
        <v>1700</v>
      </c>
      <c r="G2909" s="39" t="s">
        <v>1658</v>
      </c>
      <c r="H2909" s="7">
        <v>0</v>
      </c>
      <c r="I2909" s="7">
        <v>3</v>
      </c>
      <c r="J2909" s="17">
        <v>26</v>
      </c>
      <c r="K2909" s="17"/>
      <c r="L2909" s="7">
        <f t="shared" si="1231"/>
        <v>29</v>
      </c>
      <c r="M2909" s="8">
        <v>1</v>
      </c>
      <c r="N2909" s="8">
        <f t="shared" si="1232"/>
        <v>1</v>
      </c>
      <c r="O2909" s="11" t="s">
        <v>1702</v>
      </c>
      <c r="P2909" s="16" t="str">
        <f t="shared" si="1233"/>
        <v>04-Jun-1904</v>
      </c>
      <c r="R2909" s="16" t="str">
        <f t="shared" si="1221"/>
        <v>x</v>
      </c>
      <c r="S2909" s="16" t="str">
        <f t="shared" si="1221"/>
        <v>x</v>
      </c>
      <c r="T2909" s="11"/>
      <c r="U2909" s="46" t="str">
        <f t="shared" si="1219"/>
        <v/>
      </c>
      <c r="V2909" s="46">
        <f t="shared" si="1219"/>
        <v>29</v>
      </c>
      <c r="W2909" s="46" t="str">
        <f t="shared" si="1219"/>
        <v/>
      </c>
      <c r="X2909" s="46" t="str">
        <f t="shared" si="1219"/>
        <v/>
      </c>
    </row>
    <row r="2910" spans="2:24" x14ac:dyDescent="0.25">
      <c r="B2910" s="11" t="str">
        <f t="shared" si="1230"/>
        <v>LLRN-01JUL1904</v>
      </c>
      <c r="C2910" s="11" t="s">
        <v>89</v>
      </c>
      <c r="D2910" s="11" t="s">
        <v>1699</v>
      </c>
      <c r="E2910" s="39" t="s">
        <v>1669</v>
      </c>
      <c r="F2910" s="11" t="s">
        <v>1700</v>
      </c>
      <c r="G2910" s="39" t="s">
        <v>1659</v>
      </c>
      <c r="H2910" s="7">
        <v>0</v>
      </c>
      <c r="I2910" s="7">
        <v>0</v>
      </c>
      <c r="J2910" s="17">
        <v>20</v>
      </c>
      <c r="K2910" s="17"/>
      <c r="L2910" s="7">
        <f t="shared" si="1231"/>
        <v>20</v>
      </c>
      <c r="M2910" s="8">
        <v>1</v>
      </c>
      <c r="N2910" s="8">
        <f t="shared" si="1232"/>
        <v>1</v>
      </c>
      <c r="O2910" s="11" t="s">
        <v>1702</v>
      </c>
      <c r="P2910" s="16" t="str">
        <f t="shared" si="1233"/>
        <v>01-Jul-1904</v>
      </c>
      <c r="R2910" s="16" t="str">
        <f t="shared" si="1221"/>
        <v>x</v>
      </c>
      <c r="S2910" s="16" t="str">
        <f t="shared" si="1221"/>
        <v>x</v>
      </c>
      <c r="T2910" s="11"/>
      <c r="U2910" s="46" t="str">
        <f t="shared" si="1219"/>
        <v/>
      </c>
      <c r="V2910" s="46">
        <f t="shared" si="1219"/>
        <v>20</v>
      </c>
      <c r="W2910" s="46" t="str">
        <f t="shared" si="1219"/>
        <v/>
      </c>
      <c r="X2910" s="46" t="str">
        <f t="shared" si="1219"/>
        <v/>
      </c>
    </row>
    <row r="2911" spans="2:24" x14ac:dyDescent="0.25">
      <c r="B2911" s="11" t="str">
        <f t="shared" ref="B2911:B2918" si="1234">CONCATENATE("LLRN","-",LEFT(P2911,2),UPPER(MID(P2911,4,3)),RIGHT(P2911,4))</f>
        <v>LLRN-20AUG1904</v>
      </c>
      <c r="C2911" s="11" t="s">
        <v>89</v>
      </c>
      <c r="D2911" s="11" t="s">
        <v>1699</v>
      </c>
      <c r="E2911" s="39" t="s">
        <v>1670</v>
      </c>
      <c r="F2911" s="11" t="s">
        <v>1700</v>
      </c>
      <c r="G2911" s="39" t="s">
        <v>773</v>
      </c>
      <c r="H2911" s="7">
        <v>0</v>
      </c>
      <c r="I2911" s="7">
        <v>0</v>
      </c>
      <c r="J2911" s="17">
        <v>2</v>
      </c>
      <c r="K2911" s="17"/>
      <c r="L2911" s="7">
        <f t="shared" ref="L2911:L2918" si="1235">SUM(H2911:K2911)</f>
        <v>2</v>
      </c>
      <c r="M2911" s="8">
        <v>1</v>
      </c>
      <c r="N2911" s="8">
        <f t="shared" ref="N2911:N2918" si="1236">IF(L2911&gt;0,1,"")</f>
        <v>1</v>
      </c>
      <c r="O2911" s="11" t="s">
        <v>1702</v>
      </c>
      <c r="P2911" s="16" t="str">
        <f t="shared" ref="P2911:P2918" si="1237">IF(LEN(G2911)=10,CONCATENATE("0",G2911),G2911)</f>
        <v>20-Aug-1904</v>
      </c>
      <c r="R2911" s="16" t="str">
        <f t="shared" si="1221"/>
        <v>x</v>
      </c>
      <c r="S2911" s="16" t="str">
        <f t="shared" si="1221"/>
        <v>x</v>
      </c>
      <c r="T2911" s="11"/>
      <c r="U2911" s="46" t="str">
        <f t="shared" si="1219"/>
        <v/>
      </c>
      <c r="V2911" s="46">
        <f t="shared" si="1219"/>
        <v>2</v>
      </c>
      <c r="W2911" s="46" t="str">
        <f t="shared" si="1219"/>
        <v/>
      </c>
      <c r="X2911" s="46" t="str">
        <f t="shared" si="1219"/>
        <v/>
      </c>
    </row>
    <row r="2912" spans="2:24" x14ac:dyDescent="0.25">
      <c r="B2912" s="11" t="str">
        <f t="shared" si="1234"/>
        <v>LLRN-17SEP1904</v>
      </c>
      <c r="C2912" s="11" t="s">
        <v>89</v>
      </c>
      <c r="D2912" s="11" t="s">
        <v>1699</v>
      </c>
      <c r="E2912" s="39" t="s">
        <v>1671</v>
      </c>
      <c r="F2912" s="11" t="s">
        <v>1700</v>
      </c>
      <c r="G2912" s="39" t="s">
        <v>774</v>
      </c>
      <c r="H2912" s="7">
        <v>0</v>
      </c>
      <c r="I2912" s="7">
        <v>0</v>
      </c>
      <c r="J2912" s="17">
        <v>12</v>
      </c>
      <c r="K2912" s="17"/>
      <c r="L2912" s="7">
        <f t="shared" si="1235"/>
        <v>12</v>
      </c>
      <c r="M2912" s="8">
        <v>1</v>
      </c>
      <c r="N2912" s="8">
        <f t="shared" si="1236"/>
        <v>1</v>
      </c>
      <c r="O2912" s="11" t="s">
        <v>1702</v>
      </c>
      <c r="P2912" s="16" t="str">
        <f t="shared" si="1237"/>
        <v>17-Sep-1904</v>
      </c>
      <c r="R2912" s="16" t="str">
        <f t="shared" si="1221"/>
        <v>x</v>
      </c>
      <c r="S2912" s="16" t="str">
        <f t="shared" si="1221"/>
        <v>x</v>
      </c>
      <c r="T2912" s="11"/>
      <c r="U2912" s="46" t="str">
        <f t="shared" si="1219"/>
        <v/>
      </c>
      <c r="V2912" s="46">
        <f t="shared" si="1219"/>
        <v>12</v>
      </c>
      <c r="W2912" s="46" t="str">
        <f t="shared" si="1219"/>
        <v/>
      </c>
      <c r="X2912" s="46" t="str">
        <f t="shared" si="1219"/>
        <v/>
      </c>
    </row>
    <row r="2913" spans="2:24" x14ac:dyDescent="0.25">
      <c r="B2913" s="11" t="str">
        <f t="shared" si="1234"/>
        <v>LLRN-15OCT1904</v>
      </c>
      <c r="C2913" s="11" t="s">
        <v>89</v>
      </c>
      <c r="D2913" s="11" t="s">
        <v>1699</v>
      </c>
      <c r="E2913" s="39" t="s">
        <v>1770</v>
      </c>
      <c r="F2913" s="11" t="s">
        <v>1700</v>
      </c>
      <c r="G2913" s="39" t="s">
        <v>1660</v>
      </c>
      <c r="H2913" s="7">
        <v>0</v>
      </c>
      <c r="I2913" s="7">
        <v>0</v>
      </c>
      <c r="J2913" s="17">
        <v>0</v>
      </c>
      <c r="K2913" s="17"/>
      <c r="L2913" s="7">
        <f t="shared" si="1235"/>
        <v>0</v>
      </c>
      <c r="M2913" s="8">
        <v>1</v>
      </c>
      <c r="N2913" s="8" t="str">
        <f t="shared" si="1236"/>
        <v/>
      </c>
      <c r="O2913" s="11" t="s">
        <v>1702</v>
      </c>
      <c r="P2913" s="16" t="str">
        <f t="shared" si="1237"/>
        <v>15-Oct-1904</v>
      </c>
      <c r="R2913" s="16" t="str">
        <f t="shared" si="1221"/>
        <v/>
      </c>
      <c r="S2913" s="16" t="str">
        <f t="shared" si="1221"/>
        <v/>
      </c>
      <c r="T2913" s="11"/>
      <c r="U2913" s="46" t="str">
        <f t="shared" si="1219"/>
        <v/>
      </c>
      <c r="V2913" s="46">
        <f t="shared" si="1219"/>
        <v>0</v>
      </c>
      <c r="W2913" s="46" t="str">
        <f t="shared" si="1219"/>
        <v/>
      </c>
      <c r="X2913" s="46" t="str">
        <f t="shared" si="1219"/>
        <v/>
      </c>
    </row>
    <row r="2914" spans="2:24" x14ac:dyDescent="0.25">
      <c r="B2914" s="11" t="str">
        <f t="shared" si="1234"/>
        <v>LLRN-12NOV1904</v>
      </c>
      <c r="C2914" s="11" t="s">
        <v>89</v>
      </c>
      <c r="D2914" s="11" t="s">
        <v>1699</v>
      </c>
      <c r="E2914" s="39" t="s">
        <v>1772</v>
      </c>
      <c r="F2914" s="11" t="s">
        <v>1700</v>
      </c>
      <c r="G2914" s="39" t="s">
        <v>1661</v>
      </c>
      <c r="H2914" s="7">
        <v>0</v>
      </c>
      <c r="I2914" s="7">
        <v>0</v>
      </c>
      <c r="J2914" s="17">
        <v>2</v>
      </c>
      <c r="K2914" s="17"/>
      <c r="L2914" s="7">
        <f t="shared" si="1235"/>
        <v>2</v>
      </c>
      <c r="M2914" s="8">
        <v>1</v>
      </c>
      <c r="N2914" s="8">
        <f t="shared" si="1236"/>
        <v>1</v>
      </c>
      <c r="O2914" s="11" t="s">
        <v>1702</v>
      </c>
      <c r="P2914" s="16" t="str">
        <f t="shared" si="1237"/>
        <v>12-Nov-1904</v>
      </c>
      <c r="R2914" s="16" t="str">
        <f t="shared" si="1221"/>
        <v>x</v>
      </c>
      <c r="S2914" s="16" t="str">
        <f t="shared" si="1221"/>
        <v>x</v>
      </c>
      <c r="T2914" s="11"/>
      <c r="U2914" s="46" t="str">
        <f t="shared" si="1219"/>
        <v/>
      </c>
      <c r="V2914" s="46">
        <f t="shared" si="1219"/>
        <v>2</v>
      </c>
      <c r="W2914" s="46" t="str">
        <f t="shared" si="1219"/>
        <v/>
      </c>
      <c r="X2914" s="46" t="str">
        <f t="shared" si="1219"/>
        <v/>
      </c>
    </row>
    <row r="2915" spans="2:24" x14ac:dyDescent="0.25">
      <c r="B2915" s="11" t="str">
        <f t="shared" si="1234"/>
        <v>LLRN-11DEC1904</v>
      </c>
      <c r="C2915" s="11" t="s">
        <v>89</v>
      </c>
      <c r="D2915" s="11" t="s">
        <v>1699</v>
      </c>
      <c r="E2915" s="39" t="s">
        <v>1340</v>
      </c>
      <c r="F2915" s="11" t="s">
        <v>1700</v>
      </c>
      <c r="G2915" s="39" t="s">
        <v>1662</v>
      </c>
      <c r="H2915" s="7">
        <v>0</v>
      </c>
      <c r="I2915" s="7">
        <v>0</v>
      </c>
      <c r="J2915" s="17">
        <v>9</v>
      </c>
      <c r="K2915" s="17"/>
      <c r="L2915" s="7">
        <f t="shared" si="1235"/>
        <v>9</v>
      </c>
      <c r="M2915" s="8">
        <v>1</v>
      </c>
      <c r="N2915" s="8">
        <f t="shared" si="1236"/>
        <v>1</v>
      </c>
      <c r="O2915" s="11" t="s">
        <v>1702</v>
      </c>
      <c r="P2915" s="16" t="str">
        <f t="shared" si="1237"/>
        <v>11-Dec-1904</v>
      </c>
      <c r="R2915" s="16" t="str">
        <f t="shared" si="1221"/>
        <v>x</v>
      </c>
      <c r="S2915" s="16" t="str">
        <f t="shared" si="1221"/>
        <v>x</v>
      </c>
      <c r="T2915" s="11"/>
      <c r="U2915" s="46" t="str">
        <f t="shared" si="1219"/>
        <v/>
      </c>
      <c r="V2915" s="46">
        <f t="shared" si="1219"/>
        <v>9</v>
      </c>
      <c r="W2915" s="46" t="str">
        <f t="shared" si="1219"/>
        <v/>
      </c>
      <c r="X2915" s="46" t="str">
        <f t="shared" si="1219"/>
        <v/>
      </c>
    </row>
    <row r="2916" spans="2:24" x14ac:dyDescent="0.25">
      <c r="B2916" s="11" t="str">
        <f t="shared" si="1234"/>
        <v>LLRN-04FEB1905</v>
      </c>
      <c r="C2916" s="11" t="s">
        <v>89</v>
      </c>
      <c r="D2916" s="11" t="s">
        <v>1699</v>
      </c>
      <c r="E2916" s="39" t="s">
        <v>987</v>
      </c>
      <c r="F2916" s="11" t="s">
        <v>1700</v>
      </c>
      <c r="G2916" s="39" t="s">
        <v>981</v>
      </c>
      <c r="H2916" s="7">
        <v>0</v>
      </c>
      <c r="I2916" s="7">
        <v>0</v>
      </c>
      <c r="J2916" s="17">
        <v>4</v>
      </c>
      <c r="K2916" s="17"/>
      <c r="L2916" s="7">
        <f t="shared" si="1235"/>
        <v>4</v>
      </c>
      <c r="M2916" s="8">
        <v>1</v>
      </c>
      <c r="N2916" s="8">
        <f t="shared" si="1236"/>
        <v>1</v>
      </c>
      <c r="O2916" s="11" t="s">
        <v>1702</v>
      </c>
      <c r="P2916" s="16" t="str">
        <f t="shared" si="1237"/>
        <v>04-Feb-1905</v>
      </c>
      <c r="R2916" s="16" t="str">
        <f t="shared" si="1221"/>
        <v>x</v>
      </c>
      <c r="S2916" s="16" t="str">
        <f t="shared" si="1221"/>
        <v>x</v>
      </c>
      <c r="T2916" s="11"/>
      <c r="U2916" s="46" t="str">
        <f t="shared" si="1219"/>
        <v/>
      </c>
      <c r="V2916" s="46">
        <f t="shared" si="1219"/>
        <v>4</v>
      </c>
      <c r="W2916" s="46" t="str">
        <f t="shared" si="1219"/>
        <v/>
      </c>
      <c r="X2916" s="46" t="str">
        <f t="shared" si="1219"/>
        <v/>
      </c>
    </row>
    <row r="2917" spans="2:24" x14ac:dyDescent="0.25">
      <c r="B2917" s="11" t="str">
        <f t="shared" si="1234"/>
        <v>LLRN-05MAR1905</v>
      </c>
      <c r="C2917" s="11" t="s">
        <v>89</v>
      </c>
      <c r="D2917" s="11" t="s">
        <v>1699</v>
      </c>
      <c r="E2917" s="39" t="s">
        <v>988</v>
      </c>
      <c r="F2917" s="11" t="s">
        <v>1700</v>
      </c>
      <c r="G2917" s="39" t="s">
        <v>982</v>
      </c>
      <c r="H2917" s="7">
        <v>0</v>
      </c>
      <c r="I2917" s="7">
        <v>0</v>
      </c>
      <c r="J2917" s="17">
        <v>0</v>
      </c>
      <c r="K2917" s="17"/>
      <c r="L2917" s="7">
        <f t="shared" si="1235"/>
        <v>0</v>
      </c>
      <c r="M2917" s="8">
        <v>1</v>
      </c>
      <c r="N2917" s="8" t="str">
        <f t="shared" si="1236"/>
        <v/>
      </c>
      <c r="O2917" s="11" t="s">
        <v>1702</v>
      </c>
      <c r="P2917" s="16" t="str">
        <f t="shared" si="1237"/>
        <v>05-Mar-1905</v>
      </c>
      <c r="R2917" s="16" t="str">
        <f t="shared" si="1221"/>
        <v/>
      </c>
      <c r="S2917" s="16" t="str">
        <f t="shared" si="1221"/>
        <v/>
      </c>
      <c r="T2917" s="11"/>
      <c r="U2917" s="46" t="str">
        <f t="shared" si="1219"/>
        <v/>
      </c>
      <c r="V2917" s="46">
        <f t="shared" si="1219"/>
        <v>0</v>
      </c>
      <c r="W2917" s="46" t="str">
        <f t="shared" si="1219"/>
        <v/>
      </c>
      <c r="X2917" s="46" t="str">
        <f t="shared" si="1219"/>
        <v/>
      </c>
    </row>
    <row r="2918" spans="2:24" x14ac:dyDescent="0.25">
      <c r="B2918" s="11" t="str">
        <f t="shared" si="1234"/>
        <v>LLRN-01APR1905</v>
      </c>
      <c r="C2918" s="11" t="s">
        <v>89</v>
      </c>
      <c r="D2918" s="11" t="s">
        <v>1699</v>
      </c>
      <c r="E2918" s="39" t="s">
        <v>989</v>
      </c>
      <c r="F2918" s="11" t="s">
        <v>1700</v>
      </c>
      <c r="G2918" s="39" t="s">
        <v>983</v>
      </c>
      <c r="H2918" s="7">
        <v>0</v>
      </c>
      <c r="I2918" s="7">
        <v>0</v>
      </c>
      <c r="J2918" s="17">
        <v>0</v>
      </c>
      <c r="K2918" s="17"/>
      <c r="L2918" s="7">
        <f t="shared" si="1235"/>
        <v>0</v>
      </c>
      <c r="M2918" s="8">
        <v>1</v>
      </c>
      <c r="N2918" s="8" t="str">
        <f t="shared" si="1236"/>
        <v/>
      </c>
      <c r="O2918" s="11" t="s">
        <v>1702</v>
      </c>
      <c r="P2918" s="16" t="str">
        <f t="shared" si="1237"/>
        <v>01-Apr-1905</v>
      </c>
      <c r="R2918" s="16" t="str">
        <f t="shared" si="1221"/>
        <v/>
      </c>
      <c r="S2918" s="16" t="str">
        <f t="shared" si="1221"/>
        <v/>
      </c>
      <c r="T2918" s="11"/>
      <c r="U2918" s="46" t="str">
        <f t="shared" si="1219"/>
        <v/>
      </c>
      <c r="V2918" s="46">
        <f t="shared" si="1219"/>
        <v>0</v>
      </c>
      <c r="W2918" s="46" t="str">
        <f t="shared" si="1219"/>
        <v/>
      </c>
      <c r="X2918" s="46" t="str">
        <f t="shared" si="1219"/>
        <v/>
      </c>
    </row>
    <row r="2919" spans="2:24" x14ac:dyDescent="0.25">
      <c r="B2919" s="11" t="str">
        <f t="shared" ref="B2919:B2939" si="1238">CONCATENATE("LLRN","-",LEFT(P2919,2),UPPER(MID(P2919,4,3)),RIGHT(P2919,4))</f>
        <v>LLRN-30APR1905</v>
      </c>
      <c r="C2919" s="11" t="s">
        <v>89</v>
      </c>
      <c r="D2919" s="11" t="s">
        <v>1699</v>
      </c>
      <c r="E2919" s="39" t="s">
        <v>990</v>
      </c>
      <c r="F2919" s="11" t="s">
        <v>1700</v>
      </c>
      <c r="G2919" s="39" t="s">
        <v>984</v>
      </c>
      <c r="H2919" s="7">
        <v>0</v>
      </c>
      <c r="I2919" s="7">
        <v>0</v>
      </c>
      <c r="J2919" s="17">
        <v>11</v>
      </c>
      <c r="K2919" s="17"/>
      <c r="L2919" s="7">
        <f t="shared" ref="L2919:L2939" si="1239">SUM(H2919:K2919)</f>
        <v>11</v>
      </c>
      <c r="M2919" s="8">
        <v>1</v>
      </c>
      <c r="N2919" s="8">
        <f t="shared" ref="N2919:N2939" si="1240">IF(L2919&gt;0,1,"")</f>
        <v>1</v>
      </c>
      <c r="O2919" s="11" t="s">
        <v>1702</v>
      </c>
      <c r="P2919" s="16" t="str">
        <f t="shared" ref="P2919:P2939" si="1241">IF(LEN(G2919)=10,CONCATENATE("0",G2919),G2919)</f>
        <v>30-Apr-1905</v>
      </c>
      <c r="R2919" s="16" t="str">
        <f t="shared" si="1221"/>
        <v>x</v>
      </c>
      <c r="S2919" s="16" t="str">
        <f t="shared" si="1221"/>
        <v>x</v>
      </c>
      <c r="T2919" s="11"/>
      <c r="U2919" s="46" t="str">
        <f t="shared" si="1219"/>
        <v/>
      </c>
      <c r="V2919" s="46">
        <f t="shared" si="1219"/>
        <v>11</v>
      </c>
      <c r="W2919" s="46" t="str">
        <f t="shared" si="1219"/>
        <v/>
      </c>
      <c r="X2919" s="46" t="str">
        <f t="shared" si="1219"/>
        <v/>
      </c>
    </row>
    <row r="2920" spans="2:24" x14ac:dyDescent="0.25">
      <c r="B2920" s="11" t="str">
        <f t="shared" si="1238"/>
        <v>LLRN-27MAY1905</v>
      </c>
      <c r="C2920" s="11" t="s">
        <v>89</v>
      </c>
      <c r="D2920" s="11" t="s">
        <v>1699</v>
      </c>
      <c r="E2920" s="39" t="s">
        <v>991</v>
      </c>
      <c r="F2920" s="11" t="s">
        <v>1700</v>
      </c>
      <c r="G2920" s="39" t="s">
        <v>1777</v>
      </c>
      <c r="H2920" s="7">
        <v>0</v>
      </c>
      <c r="I2920" s="7">
        <v>0</v>
      </c>
      <c r="J2920" s="17">
        <v>1</v>
      </c>
      <c r="K2920" s="17"/>
      <c r="L2920" s="7">
        <f t="shared" si="1239"/>
        <v>1</v>
      </c>
      <c r="M2920" s="8">
        <v>1</v>
      </c>
      <c r="N2920" s="8">
        <f t="shared" si="1240"/>
        <v>1</v>
      </c>
      <c r="O2920" s="11" t="s">
        <v>1702</v>
      </c>
      <c r="P2920" s="16" t="str">
        <f t="shared" si="1241"/>
        <v>27-May-1905</v>
      </c>
      <c r="R2920" s="16" t="str">
        <f t="shared" si="1221"/>
        <v>x</v>
      </c>
      <c r="S2920" s="16" t="str">
        <f t="shared" si="1221"/>
        <v>x</v>
      </c>
      <c r="U2920" s="46" t="str">
        <f t="shared" si="1219"/>
        <v/>
      </c>
      <c r="V2920" s="46">
        <f t="shared" si="1219"/>
        <v>1</v>
      </c>
      <c r="W2920" s="46" t="str">
        <f t="shared" si="1219"/>
        <v/>
      </c>
      <c r="X2920" s="46" t="str">
        <f t="shared" si="1219"/>
        <v/>
      </c>
    </row>
    <row r="2921" spans="2:24" x14ac:dyDescent="0.25">
      <c r="B2921" s="11" t="str">
        <f t="shared" si="1238"/>
        <v>LLRN-24JUN1905</v>
      </c>
      <c r="C2921" s="11" t="s">
        <v>89</v>
      </c>
      <c r="D2921" s="11" t="s">
        <v>1699</v>
      </c>
      <c r="E2921" s="39" t="s">
        <v>992</v>
      </c>
      <c r="F2921" s="11" t="s">
        <v>1700</v>
      </c>
      <c r="G2921" s="39" t="s">
        <v>985</v>
      </c>
      <c r="H2921" s="7">
        <v>0</v>
      </c>
      <c r="I2921" s="7">
        <v>0</v>
      </c>
      <c r="J2921" s="17">
        <v>8</v>
      </c>
      <c r="K2921" s="17"/>
      <c r="L2921" s="7">
        <f t="shared" si="1239"/>
        <v>8</v>
      </c>
      <c r="M2921" s="8">
        <v>1</v>
      </c>
      <c r="N2921" s="8">
        <f t="shared" si="1240"/>
        <v>1</v>
      </c>
      <c r="O2921" s="11" t="s">
        <v>1702</v>
      </c>
      <c r="P2921" s="16" t="str">
        <f t="shared" si="1241"/>
        <v>24-Jun-1905</v>
      </c>
      <c r="R2921" s="16" t="str">
        <f t="shared" si="1221"/>
        <v>x</v>
      </c>
      <c r="S2921" s="16" t="str">
        <f t="shared" si="1221"/>
        <v>x</v>
      </c>
      <c r="T2921" s="11"/>
      <c r="U2921" s="46" t="str">
        <f t="shared" si="1219"/>
        <v/>
      </c>
      <c r="V2921" s="46">
        <f t="shared" si="1219"/>
        <v>8</v>
      </c>
      <c r="W2921" s="46" t="str">
        <f t="shared" si="1219"/>
        <v/>
      </c>
      <c r="X2921" s="46" t="str">
        <f t="shared" si="1219"/>
        <v/>
      </c>
    </row>
    <row r="2922" spans="2:24" x14ac:dyDescent="0.25">
      <c r="B2922" s="11" t="str">
        <f t="shared" si="1238"/>
        <v>LLRN-22JUL1905</v>
      </c>
      <c r="C2922" s="11" t="s">
        <v>89</v>
      </c>
      <c r="D2922" s="11" t="s">
        <v>1699</v>
      </c>
      <c r="E2922" s="39" t="s">
        <v>697</v>
      </c>
      <c r="F2922" s="11" t="s">
        <v>1700</v>
      </c>
      <c r="G2922" s="39" t="s">
        <v>1779</v>
      </c>
      <c r="H2922" s="7">
        <v>0</v>
      </c>
      <c r="I2922" s="7">
        <v>0</v>
      </c>
      <c r="J2922" s="17">
        <v>4</v>
      </c>
      <c r="K2922" s="17"/>
      <c r="L2922" s="7">
        <f t="shared" si="1239"/>
        <v>4</v>
      </c>
      <c r="M2922" s="8">
        <v>1</v>
      </c>
      <c r="N2922" s="8">
        <f t="shared" si="1240"/>
        <v>1</v>
      </c>
      <c r="O2922" s="11" t="s">
        <v>1702</v>
      </c>
      <c r="P2922" s="16" t="str">
        <f t="shared" si="1241"/>
        <v>22-Jul-1905</v>
      </c>
      <c r="R2922" s="16" t="str">
        <f t="shared" si="1221"/>
        <v>x</v>
      </c>
      <c r="S2922" s="16" t="str">
        <f t="shared" si="1221"/>
        <v>x</v>
      </c>
      <c r="T2922" s="11"/>
      <c r="U2922" s="46" t="str">
        <f t="shared" si="1219"/>
        <v/>
      </c>
      <c r="V2922" s="46">
        <f t="shared" si="1219"/>
        <v>4</v>
      </c>
      <c r="W2922" s="46" t="str">
        <f t="shared" si="1219"/>
        <v/>
      </c>
      <c r="X2922" s="46" t="str">
        <f t="shared" si="1219"/>
        <v/>
      </c>
    </row>
    <row r="2923" spans="2:24" x14ac:dyDescent="0.25">
      <c r="B2923" s="11" t="str">
        <f t="shared" si="1238"/>
        <v>LLRN-02SEP1905</v>
      </c>
      <c r="C2923" s="11" t="s">
        <v>89</v>
      </c>
      <c r="D2923" s="11" t="s">
        <v>1699</v>
      </c>
      <c r="E2923" s="39" t="s">
        <v>1782</v>
      </c>
      <c r="F2923" s="11" t="s">
        <v>1700</v>
      </c>
      <c r="G2923" s="39" t="s">
        <v>793</v>
      </c>
      <c r="H2923" s="7">
        <v>0</v>
      </c>
      <c r="I2923" s="7">
        <v>0</v>
      </c>
      <c r="J2923" s="17">
        <v>0</v>
      </c>
      <c r="K2923" s="17"/>
      <c r="L2923" s="7">
        <f t="shared" si="1239"/>
        <v>0</v>
      </c>
      <c r="M2923" s="8">
        <v>1</v>
      </c>
      <c r="N2923" s="8" t="str">
        <f t="shared" si="1240"/>
        <v/>
      </c>
      <c r="O2923" s="11" t="s">
        <v>1702</v>
      </c>
      <c r="P2923" s="16" t="str">
        <f t="shared" si="1241"/>
        <v>02-Sep-1905</v>
      </c>
      <c r="R2923" s="16" t="str">
        <f t="shared" si="1221"/>
        <v/>
      </c>
      <c r="S2923" s="16" t="str">
        <f t="shared" si="1221"/>
        <v/>
      </c>
      <c r="T2923" s="11"/>
      <c r="U2923" s="46" t="str">
        <f t="shared" si="1219"/>
        <v/>
      </c>
      <c r="V2923" s="46">
        <f t="shared" si="1219"/>
        <v>0</v>
      </c>
      <c r="W2923" s="46" t="str">
        <f t="shared" si="1219"/>
        <v/>
      </c>
      <c r="X2923" s="46" t="str">
        <f t="shared" si="1219"/>
        <v/>
      </c>
    </row>
    <row r="2924" spans="2:24" x14ac:dyDescent="0.25">
      <c r="B2924" s="11" t="str">
        <f t="shared" si="1238"/>
        <v>LLRN-30SEP1905</v>
      </c>
      <c r="C2924" s="11" t="s">
        <v>89</v>
      </c>
      <c r="D2924" s="11" t="s">
        <v>1699</v>
      </c>
      <c r="E2924" s="39" t="s">
        <v>352</v>
      </c>
      <c r="F2924" s="11" t="s">
        <v>1700</v>
      </c>
      <c r="G2924" s="39" t="s">
        <v>794</v>
      </c>
      <c r="H2924" s="7">
        <v>0</v>
      </c>
      <c r="I2924" s="7">
        <v>0</v>
      </c>
      <c r="J2924" s="17">
        <v>7</v>
      </c>
      <c r="K2924" s="17"/>
      <c r="L2924" s="7">
        <f t="shared" si="1239"/>
        <v>7</v>
      </c>
      <c r="M2924" s="8">
        <v>1</v>
      </c>
      <c r="N2924" s="8">
        <f t="shared" si="1240"/>
        <v>1</v>
      </c>
      <c r="O2924" s="11" t="s">
        <v>1702</v>
      </c>
      <c r="P2924" s="16" t="str">
        <f t="shared" si="1241"/>
        <v>30-Sep-1905</v>
      </c>
      <c r="R2924" s="16" t="str">
        <f t="shared" si="1221"/>
        <v>x</v>
      </c>
      <c r="S2924" s="16" t="str">
        <f t="shared" si="1221"/>
        <v>x</v>
      </c>
      <c r="T2924" s="11"/>
      <c r="U2924" s="46" t="str">
        <f t="shared" si="1219"/>
        <v/>
      </c>
      <c r="V2924" s="46">
        <f t="shared" si="1219"/>
        <v>7</v>
      </c>
      <c r="W2924" s="46" t="str">
        <f t="shared" si="1219"/>
        <v/>
      </c>
      <c r="X2924" s="46" t="str">
        <f t="shared" si="1219"/>
        <v/>
      </c>
    </row>
    <row r="2925" spans="2:24" x14ac:dyDescent="0.25">
      <c r="B2925" s="11" t="str">
        <f t="shared" si="1238"/>
        <v>LLRN-28OCT1905</v>
      </c>
      <c r="C2925" s="11" t="s">
        <v>89</v>
      </c>
      <c r="D2925" s="11" t="s">
        <v>1699</v>
      </c>
      <c r="E2925" s="39" t="s">
        <v>2277</v>
      </c>
      <c r="F2925" s="11" t="s">
        <v>1700</v>
      </c>
      <c r="G2925" s="39" t="s">
        <v>795</v>
      </c>
      <c r="H2925" s="7">
        <v>0</v>
      </c>
      <c r="I2925" s="7">
        <v>0</v>
      </c>
      <c r="J2925" s="17">
        <v>0</v>
      </c>
      <c r="K2925" s="17"/>
      <c r="L2925" s="7">
        <f t="shared" si="1239"/>
        <v>0</v>
      </c>
      <c r="M2925" s="8">
        <v>1</v>
      </c>
      <c r="N2925" s="8" t="str">
        <f t="shared" si="1240"/>
        <v/>
      </c>
      <c r="O2925" s="11" t="s">
        <v>1702</v>
      </c>
      <c r="P2925" s="16" t="str">
        <f t="shared" si="1241"/>
        <v>28-Oct-1905</v>
      </c>
      <c r="R2925" s="16" t="str">
        <f t="shared" si="1221"/>
        <v/>
      </c>
      <c r="S2925" s="16" t="str">
        <f t="shared" si="1221"/>
        <v/>
      </c>
      <c r="T2925" s="11"/>
      <c r="U2925" s="46" t="str">
        <f t="shared" si="1219"/>
        <v/>
      </c>
      <c r="V2925" s="46">
        <f t="shared" si="1219"/>
        <v>0</v>
      </c>
      <c r="W2925" s="46" t="str">
        <f t="shared" si="1219"/>
        <v/>
      </c>
      <c r="X2925" s="46" t="str">
        <f t="shared" si="1219"/>
        <v/>
      </c>
    </row>
    <row r="2926" spans="2:24" x14ac:dyDescent="0.25">
      <c r="B2926" s="11" t="str">
        <f t="shared" si="1238"/>
        <v>LLRN-25NOV1905</v>
      </c>
      <c r="C2926" s="11" t="s">
        <v>89</v>
      </c>
      <c r="D2926" s="11" t="s">
        <v>1699</v>
      </c>
      <c r="E2926" s="39" t="s">
        <v>2278</v>
      </c>
      <c r="F2926" s="11" t="s">
        <v>1700</v>
      </c>
      <c r="G2926" s="39" t="s">
        <v>986</v>
      </c>
      <c r="H2926" s="7">
        <v>0</v>
      </c>
      <c r="I2926" s="7">
        <v>0</v>
      </c>
      <c r="J2926" s="17">
        <v>0</v>
      </c>
      <c r="K2926" s="17"/>
      <c r="L2926" s="7">
        <f t="shared" si="1239"/>
        <v>0</v>
      </c>
      <c r="M2926" s="8">
        <v>1</v>
      </c>
      <c r="N2926" s="8" t="str">
        <f t="shared" si="1240"/>
        <v/>
      </c>
      <c r="O2926" s="11" t="s">
        <v>1702</v>
      </c>
      <c r="P2926" s="16" t="str">
        <f t="shared" si="1241"/>
        <v>25-Nov-1905</v>
      </c>
      <c r="R2926" s="16" t="str">
        <f t="shared" si="1221"/>
        <v/>
      </c>
      <c r="S2926" s="16" t="str">
        <f t="shared" si="1221"/>
        <v/>
      </c>
      <c r="T2926" s="11"/>
      <c r="U2926" s="46" t="str">
        <f t="shared" si="1219"/>
        <v/>
      </c>
      <c r="V2926" s="46">
        <f t="shared" si="1219"/>
        <v>0</v>
      </c>
      <c r="W2926" s="46" t="str">
        <f t="shared" si="1219"/>
        <v/>
      </c>
      <c r="X2926" s="46" t="str">
        <f>IF($O2926=X$5,$L2926,"")</f>
        <v/>
      </c>
    </row>
    <row r="2927" spans="2:24" x14ac:dyDescent="0.25">
      <c r="B2927" s="11" t="str">
        <f t="shared" si="1238"/>
        <v>LLRN-23DEC1905</v>
      </c>
      <c r="C2927" s="11" t="s">
        <v>89</v>
      </c>
      <c r="D2927" s="11" t="s">
        <v>1699</v>
      </c>
      <c r="E2927" s="39" t="s">
        <v>2279</v>
      </c>
      <c r="F2927" s="11" t="s">
        <v>1700</v>
      </c>
      <c r="G2927" s="39" t="s">
        <v>1785</v>
      </c>
      <c r="H2927" s="7">
        <v>0</v>
      </c>
      <c r="I2927" s="7">
        <v>0</v>
      </c>
      <c r="J2927" s="17">
        <v>18</v>
      </c>
      <c r="K2927" s="17"/>
      <c r="L2927" s="7">
        <f t="shared" si="1239"/>
        <v>18</v>
      </c>
      <c r="M2927" s="8">
        <v>1</v>
      </c>
      <c r="N2927" s="8">
        <f t="shared" si="1240"/>
        <v>1</v>
      </c>
      <c r="O2927" s="11" t="s">
        <v>1702</v>
      </c>
      <c r="P2927" s="16" t="str">
        <f t="shared" si="1241"/>
        <v>23-Dec-1905</v>
      </c>
      <c r="R2927" s="16" t="str">
        <f t="shared" si="1221"/>
        <v>x</v>
      </c>
      <c r="S2927" s="16" t="str">
        <f t="shared" si="1221"/>
        <v>x</v>
      </c>
      <c r="T2927" s="11"/>
      <c r="U2927" s="46" t="str">
        <f t="shared" ref="U2927:X2990" si="1242">IF($O2927=U$5,$L2927,"")</f>
        <v/>
      </c>
      <c r="V2927" s="46">
        <f t="shared" si="1242"/>
        <v>18</v>
      </c>
      <c r="W2927" s="46" t="str">
        <f t="shared" si="1242"/>
        <v/>
      </c>
      <c r="X2927" s="46" t="str">
        <f t="shared" si="1242"/>
        <v/>
      </c>
    </row>
    <row r="2928" spans="2:24" x14ac:dyDescent="0.25">
      <c r="B2928" s="11" t="str">
        <f t="shared" ref="B2928:B2933" si="1243">CONCATENATE("LLRN","-",LEFT(P2928,2),UPPER(MID(P2928,4,3)),RIGHT(P2928,4))</f>
        <v>LLRN-11MAR1906</v>
      </c>
      <c r="C2928" s="11" t="s">
        <v>89</v>
      </c>
      <c r="D2928" s="11" t="s">
        <v>1699</v>
      </c>
      <c r="E2928" s="39" t="s">
        <v>2287</v>
      </c>
      <c r="F2928" s="11" t="s">
        <v>1700</v>
      </c>
      <c r="G2928" s="39" t="s">
        <v>2280</v>
      </c>
      <c r="H2928" s="7">
        <v>0</v>
      </c>
      <c r="I2928" s="7">
        <v>0</v>
      </c>
      <c r="J2928" s="17">
        <v>29</v>
      </c>
      <c r="K2928" s="17"/>
      <c r="L2928" s="7">
        <f t="shared" ref="L2928:L2933" si="1244">SUM(H2928:K2928)</f>
        <v>29</v>
      </c>
      <c r="M2928" s="8">
        <v>1</v>
      </c>
      <c r="N2928" s="8">
        <f t="shared" ref="N2928:N2933" si="1245">IF(L2928&gt;0,1,"")</f>
        <v>1</v>
      </c>
      <c r="O2928" s="11" t="s">
        <v>1702</v>
      </c>
      <c r="P2928" s="16" t="str">
        <f t="shared" ref="P2928:P2933" si="1246">IF(LEN(G2928)=10,CONCATENATE("0",G2928),G2928)</f>
        <v>11-Mar-1906</v>
      </c>
      <c r="R2928" s="16" t="str">
        <f t="shared" si="1221"/>
        <v>x</v>
      </c>
      <c r="S2928" s="16" t="str">
        <f t="shared" si="1221"/>
        <v>x</v>
      </c>
      <c r="U2928" s="46" t="str">
        <f t="shared" si="1242"/>
        <v/>
      </c>
      <c r="V2928" s="46">
        <f t="shared" si="1242"/>
        <v>29</v>
      </c>
      <c r="W2928" s="46" t="str">
        <f t="shared" si="1242"/>
        <v/>
      </c>
      <c r="X2928" s="46" t="str">
        <f t="shared" si="1242"/>
        <v/>
      </c>
    </row>
    <row r="2929" spans="2:26" x14ac:dyDescent="0.25">
      <c r="B2929" s="11" t="str">
        <f t="shared" si="1243"/>
        <v>LLRN-07APR1906</v>
      </c>
      <c r="C2929" s="11" t="s">
        <v>89</v>
      </c>
      <c r="D2929" s="11" t="s">
        <v>1699</v>
      </c>
      <c r="E2929" s="39" t="s">
        <v>2288</v>
      </c>
      <c r="F2929" s="11" t="s">
        <v>1700</v>
      </c>
      <c r="G2929" s="39" t="s">
        <v>343</v>
      </c>
      <c r="H2929" s="7">
        <v>0</v>
      </c>
      <c r="I2929" s="7">
        <v>0</v>
      </c>
      <c r="J2929" s="17">
        <v>0</v>
      </c>
      <c r="K2929" s="17"/>
      <c r="L2929" s="7">
        <f t="shared" si="1244"/>
        <v>0</v>
      </c>
      <c r="M2929" s="8">
        <v>1</v>
      </c>
      <c r="N2929" s="8" t="str">
        <f t="shared" si="1245"/>
        <v/>
      </c>
      <c r="O2929" s="11" t="s">
        <v>1702</v>
      </c>
      <c r="P2929" s="16" t="str">
        <f t="shared" si="1246"/>
        <v>07-Apr-1906</v>
      </c>
      <c r="R2929" s="16" t="str">
        <f t="shared" si="1221"/>
        <v/>
      </c>
      <c r="S2929" s="16" t="str">
        <f t="shared" si="1221"/>
        <v/>
      </c>
      <c r="U2929" s="46" t="str">
        <f t="shared" si="1242"/>
        <v/>
      </c>
      <c r="V2929" s="46">
        <f t="shared" si="1242"/>
        <v>0</v>
      </c>
      <c r="W2929" s="46" t="str">
        <f t="shared" si="1242"/>
        <v/>
      </c>
      <c r="X2929" s="46" t="str">
        <f t="shared" si="1242"/>
        <v/>
      </c>
    </row>
    <row r="2930" spans="2:26" x14ac:dyDescent="0.25">
      <c r="B2930" s="11" t="str">
        <f t="shared" si="1243"/>
        <v>LLRN-06MAY1906</v>
      </c>
      <c r="C2930" s="11" t="s">
        <v>89</v>
      </c>
      <c r="D2930" s="11" t="s">
        <v>1699</v>
      </c>
      <c r="E2930" s="39" t="s">
        <v>2289</v>
      </c>
      <c r="F2930" s="11" t="s">
        <v>1700</v>
      </c>
      <c r="G2930" s="39" t="s">
        <v>2281</v>
      </c>
      <c r="H2930" s="7">
        <v>0</v>
      </c>
      <c r="I2930" s="7">
        <v>1</v>
      </c>
      <c r="J2930" s="17">
        <v>9</v>
      </c>
      <c r="K2930" s="17"/>
      <c r="L2930" s="7">
        <f t="shared" si="1244"/>
        <v>10</v>
      </c>
      <c r="M2930" s="8">
        <v>1</v>
      </c>
      <c r="N2930" s="8">
        <f t="shared" si="1245"/>
        <v>1</v>
      </c>
      <c r="O2930" s="11" t="s">
        <v>1702</v>
      </c>
      <c r="P2930" s="16" t="str">
        <f t="shared" si="1246"/>
        <v>06-May-1906</v>
      </c>
      <c r="R2930" s="16" t="str">
        <f t="shared" si="1221"/>
        <v>x</v>
      </c>
      <c r="S2930" s="16" t="str">
        <f t="shared" si="1221"/>
        <v>x</v>
      </c>
      <c r="U2930" s="46" t="str">
        <f t="shared" si="1242"/>
        <v/>
      </c>
      <c r="V2930" s="46">
        <f t="shared" si="1242"/>
        <v>10</v>
      </c>
      <c r="W2930" s="46" t="str">
        <f t="shared" si="1242"/>
        <v/>
      </c>
      <c r="X2930" s="46" t="str">
        <f t="shared" si="1242"/>
        <v/>
      </c>
    </row>
    <row r="2931" spans="2:26" x14ac:dyDescent="0.25">
      <c r="B2931" s="11" t="str">
        <f t="shared" si="1243"/>
        <v>LLRN-03JUN1906</v>
      </c>
      <c r="C2931" s="11" t="s">
        <v>89</v>
      </c>
      <c r="D2931" s="11" t="s">
        <v>1699</v>
      </c>
      <c r="E2931" s="39" t="s">
        <v>2290</v>
      </c>
      <c r="F2931" s="11" t="s">
        <v>1700</v>
      </c>
      <c r="G2931" s="39" t="s">
        <v>2282</v>
      </c>
      <c r="H2931" s="7">
        <v>0</v>
      </c>
      <c r="I2931" s="7">
        <v>0</v>
      </c>
      <c r="J2931" s="17">
        <v>18</v>
      </c>
      <c r="K2931" s="17"/>
      <c r="L2931" s="7">
        <f t="shared" si="1244"/>
        <v>18</v>
      </c>
      <c r="M2931" s="8">
        <v>1</v>
      </c>
      <c r="N2931" s="8">
        <f t="shared" si="1245"/>
        <v>1</v>
      </c>
      <c r="O2931" s="11" t="s">
        <v>1702</v>
      </c>
      <c r="P2931" s="16" t="str">
        <f t="shared" si="1246"/>
        <v>03-Jun-1906</v>
      </c>
      <c r="R2931" s="16" t="str">
        <f t="shared" si="1221"/>
        <v>x</v>
      </c>
      <c r="S2931" s="16" t="str">
        <f t="shared" si="1221"/>
        <v>x</v>
      </c>
      <c r="U2931" s="46" t="str">
        <f t="shared" si="1242"/>
        <v/>
      </c>
      <c r="V2931" s="46">
        <f t="shared" si="1242"/>
        <v>18</v>
      </c>
      <c r="W2931" s="46" t="str">
        <f t="shared" si="1242"/>
        <v/>
      </c>
      <c r="X2931" s="46" t="str">
        <f t="shared" si="1242"/>
        <v/>
      </c>
    </row>
    <row r="2932" spans="2:26" x14ac:dyDescent="0.25">
      <c r="B2932" s="11" t="str">
        <f t="shared" si="1243"/>
        <v>LLRN-30JUN1906</v>
      </c>
      <c r="C2932" s="11" t="s">
        <v>89</v>
      </c>
      <c r="D2932" s="11" t="s">
        <v>1699</v>
      </c>
      <c r="E2932" s="39" t="s">
        <v>2291</v>
      </c>
      <c r="F2932" s="11" t="s">
        <v>1700</v>
      </c>
      <c r="G2932" s="39" t="s">
        <v>1795</v>
      </c>
      <c r="H2932" s="7">
        <v>0</v>
      </c>
      <c r="I2932" s="7">
        <v>0</v>
      </c>
      <c r="J2932" s="17">
        <v>20</v>
      </c>
      <c r="K2932" s="17"/>
      <c r="L2932" s="7">
        <f t="shared" si="1244"/>
        <v>20</v>
      </c>
      <c r="M2932" s="8">
        <v>1</v>
      </c>
      <c r="N2932" s="8">
        <f t="shared" si="1245"/>
        <v>1</v>
      </c>
      <c r="O2932" s="11" t="s">
        <v>1702</v>
      </c>
      <c r="P2932" s="16" t="str">
        <f t="shared" si="1246"/>
        <v>30-Jun-1906</v>
      </c>
      <c r="R2932" s="16" t="str">
        <f t="shared" si="1221"/>
        <v>x</v>
      </c>
      <c r="S2932" s="16" t="str">
        <f t="shared" si="1221"/>
        <v>x</v>
      </c>
      <c r="U2932" s="46" t="str">
        <f t="shared" si="1242"/>
        <v/>
      </c>
      <c r="V2932" s="46">
        <f t="shared" si="1242"/>
        <v>20</v>
      </c>
      <c r="W2932" s="46" t="str">
        <f t="shared" si="1242"/>
        <v/>
      </c>
      <c r="X2932" s="46" t="str">
        <f t="shared" si="1242"/>
        <v/>
      </c>
    </row>
    <row r="2933" spans="2:26" x14ac:dyDescent="0.25">
      <c r="B2933" s="11" t="str">
        <f t="shared" si="1243"/>
        <v>LLRN-28JUL1906</v>
      </c>
      <c r="C2933" s="11" t="s">
        <v>89</v>
      </c>
      <c r="D2933" s="11" t="s">
        <v>1699</v>
      </c>
      <c r="E2933" s="39" t="s">
        <v>2089</v>
      </c>
      <c r="F2933" s="11" t="s">
        <v>1700</v>
      </c>
      <c r="G2933" s="39" t="s">
        <v>2283</v>
      </c>
      <c r="H2933" s="7">
        <v>0</v>
      </c>
      <c r="I2933" s="7">
        <v>0</v>
      </c>
      <c r="J2933" s="17">
        <v>44</v>
      </c>
      <c r="K2933" s="17"/>
      <c r="L2933" s="7">
        <f t="shared" si="1244"/>
        <v>44</v>
      </c>
      <c r="M2933" s="8">
        <v>1</v>
      </c>
      <c r="N2933" s="8">
        <f t="shared" si="1245"/>
        <v>1</v>
      </c>
      <c r="O2933" s="11" t="s">
        <v>1702</v>
      </c>
      <c r="P2933" s="16" t="str">
        <f t="shared" si="1246"/>
        <v>28-Jul-1906</v>
      </c>
      <c r="R2933" s="16" t="str">
        <f t="shared" si="1221"/>
        <v>x</v>
      </c>
      <c r="S2933" s="16" t="str">
        <f t="shared" si="1221"/>
        <v>x</v>
      </c>
      <c r="U2933" s="46" t="str">
        <f t="shared" si="1242"/>
        <v/>
      </c>
      <c r="V2933" s="46">
        <f t="shared" si="1242"/>
        <v>44</v>
      </c>
      <c r="W2933" s="46" t="str">
        <f t="shared" si="1242"/>
        <v/>
      </c>
      <c r="X2933" s="46" t="str">
        <f t="shared" si="1242"/>
        <v/>
      </c>
    </row>
    <row r="2934" spans="2:26" x14ac:dyDescent="0.25">
      <c r="B2934" s="11" t="str">
        <f>CONCATENATE("LLRN","-",LEFT(P2934,2),UPPER(MID(P2934,4,3)),RIGHT(P2934,4))</f>
        <v>LLRN-08SEP1906</v>
      </c>
      <c r="C2934" s="11" t="s">
        <v>89</v>
      </c>
      <c r="D2934" s="11" t="s">
        <v>1699</v>
      </c>
      <c r="E2934" s="39" t="s">
        <v>2091</v>
      </c>
      <c r="F2934" s="11" t="s">
        <v>1700</v>
      </c>
      <c r="G2934" s="39" t="s">
        <v>1797</v>
      </c>
      <c r="H2934" s="7">
        <v>0</v>
      </c>
      <c r="I2934" s="7">
        <v>0</v>
      </c>
      <c r="J2934" s="17">
        <v>29</v>
      </c>
      <c r="K2934" s="17"/>
      <c r="L2934" s="7">
        <f>SUM(H2934:K2934)</f>
        <v>29</v>
      </c>
      <c r="M2934" s="8">
        <v>1</v>
      </c>
      <c r="N2934" s="8">
        <f>IF(L2934&gt;0,1,"")</f>
        <v>1</v>
      </c>
      <c r="O2934" s="11" t="s">
        <v>1702</v>
      </c>
      <c r="P2934" s="16" t="str">
        <f>IF(LEN(G2934)=10,CONCATENATE("0",G2934),G2934)</f>
        <v>08-Sep-1906</v>
      </c>
      <c r="R2934" s="16" t="str">
        <f t="shared" si="1221"/>
        <v>x</v>
      </c>
      <c r="S2934" s="16" t="str">
        <f t="shared" si="1221"/>
        <v>x</v>
      </c>
      <c r="U2934" s="46" t="str">
        <f t="shared" si="1242"/>
        <v/>
      </c>
      <c r="V2934" s="46">
        <f t="shared" si="1242"/>
        <v>29</v>
      </c>
      <c r="W2934" s="46" t="str">
        <f t="shared" si="1242"/>
        <v/>
      </c>
      <c r="X2934" s="46" t="str">
        <f t="shared" si="1242"/>
        <v/>
      </c>
    </row>
    <row r="2935" spans="2:26" x14ac:dyDescent="0.25">
      <c r="B2935" s="11" t="str">
        <f>CONCATENATE("LLRN","-",LEFT(P2935,2),UPPER(MID(P2935,4,3)),RIGHT(P2935,4))</f>
        <v>LLRN-05OCT1906</v>
      </c>
      <c r="C2935" s="11" t="s">
        <v>89</v>
      </c>
      <c r="D2935" s="11" t="s">
        <v>1699</v>
      </c>
      <c r="E2935" s="39" t="s">
        <v>2093</v>
      </c>
      <c r="F2935" s="11" t="s">
        <v>1700</v>
      </c>
      <c r="G2935" s="39" t="s">
        <v>2284</v>
      </c>
      <c r="H2935" s="7">
        <v>0</v>
      </c>
      <c r="I2935" s="7">
        <v>0</v>
      </c>
      <c r="J2935" s="17">
        <v>0</v>
      </c>
      <c r="K2935" s="17"/>
      <c r="L2935" s="7">
        <f>SUM(H2935:K2935)</f>
        <v>0</v>
      </c>
      <c r="M2935" s="8">
        <v>1</v>
      </c>
      <c r="N2935" s="8" t="str">
        <f>IF(L2935&gt;0,1,"")</f>
        <v/>
      </c>
      <c r="O2935" s="11" t="s">
        <v>1702</v>
      </c>
      <c r="P2935" s="16" t="str">
        <f>IF(LEN(G2935)=10,CONCATENATE("0",G2935),G2935)</f>
        <v>05-Oct-1906</v>
      </c>
      <c r="R2935" s="16" t="str">
        <f t="shared" si="1221"/>
        <v/>
      </c>
      <c r="S2935" s="16" t="str">
        <f t="shared" si="1221"/>
        <v/>
      </c>
      <c r="U2935" s="46" t="str">
        <f t="shared" si="1242"/>
        <v/>
      </c>
      <c r="V2935" s="46">
        <f t="shared" si="1242"/>
        <v>0</v>
      </c>
      <c r="W2935" s="46" t="str">
        <f t="shared" si="1242"/>
        <v/>
      </c>
      <c r="X2935" s="46" t="str">
        <f t="shared" si="1242"/>
        <v/>
      </c>
    </row>
    <row r="2936" spans="2:26" x14ac:dyDescent="0.25">
      <c r="B2936" s="11" t="str">
        <f t="shared" si="1238"/>
        <v>LLRN-05NOV1906</v>
      </c>
      <c r="C2936" s="11" t="s">
        <v>89</v>
      </c>
      <c r="D2936" s="11" t="s">
        <v>1699</v>
      </c>
      <c r="E2936" s="39" t="s">
        <v>2095</v>
      </c>
      <c r="F2936" s="11" t="s">
        <v>1700</v>
      </c>
      <c r="G2936" s="39" t="s">
        <v>2285</v>
      </c>
      <c r="H2936" s="7">
        <v>0</v>
      </c>
      <c r="I2936" s="7">
        <v>0</v>
      </c>
      <c r="J2936" s="17">
        <v>7</v>
      </c>
      <c r="K2936" s="17"/>
      <c r="L2936" s="7">
        <f t="shared" si="1239"/>
        <v>7</v>
      </c>
      <c r="M2936" s="8">
        <v>1</v>
      </c>
      <c r="N2936" s="8">
        <f t="shared" si="1240"/>
        <v>1</v>
      </c>
      <c r="O2936" s="11" t="s">
        <v>1702</v>
      </c>
      <c r="P2936" s="16" t="str">
        <f t="shared" si="1241"/>
        <v>05-Nov-1906</v>
      </c>
      <c r="R2936" s="16" t="str">
        <f t="shared" si="1221"/>
        <v>x</v>
      </c>
      <c r="S2936" s="16" t="str">
        <f t="shared" si="1221"/>
        <v>x</v>
      </c>
      <c r="U2936" s="46" t="str">
        <f t="shared" si="1242"/>
        <v/>
      </c>
      <c r="V2936" s="46">
        <f t="shared" si="1242"/>
        <v>7</v>
      </c>
      <c r="W2936" s="46" t="str">
        <f t="shared" si="1242"/>
        <v/>
      </c>
      <c r="X2936" s="46" t="str">
        <f t="shared" si="1242"/>
        <v/>
      </c>
    </row>
    <row r="2937" spans="2:26" x14ac:dyDescent="0.25">
      <c r="B2937" s="11" t="str">
        <f t="shared" si="1238"/>
        <v>LLRN-02DEC1906</v>
      </c>
      <c r="C2937" s="11" t="s">
        <v>89</v>
      </c>
      <c r="D2937" s="11" t="s">
        <v>1699</v>
      </c>
      <c r="E2937" s="39" t="s">
        <v>2052</v>
      </c>
      <c r="F2937" s="11" t="s">
        <v>1700</v>
      </c>
      <c r="G2937" s="39" t="s">
        <v>2286</v>
      </c>
      <c r="H2937" s="7">
        <v>0</v>
      </c>
      <c r="I2937" s="7">
        <v>0</v>
      </c>
      <c r="J2937" s="17">
        <v>0</v>
      </c>
      <c r="K2937" s="17"/>
      <c r="L2937" s="7">
        <f t="shared" si="1239"/>
        <v>0</v>
      </c>
      <c r="M2937" s="8">
        <v>1</v>
      </c>
      <c r="N2937" s="8" t="str">
        <f t="shared" si="1240"/>
        <v/>
      </c>
      <c r="O2937" s="11" t="s">
        <v>1702</v>
      </c>
      <c r="P2937" s="16" t="str">
        <f t="shared" si="1241"/>
        <v>02-Dec-1906</v>
      </c>
      <c r="R2937" s="16" t="str">
        <f t="shared" si="1221"/>
        <v/>
      </c>
      <c r="S2937" s="16" t="str">
        <f t="shared" si="1221"/>
        <v/>
      </c>
      <c r="U2937" s="46" t="str">
        <f t="shared" si="1242"/>
        <v/>
      </c>
      <c r="V2937" s="46">
        <f t="shared" si="1242"/>
        <v>0</v>
      </c>
      <c r="W2937" s="46" t="str">
        <f t="shared" si="1242"/>
        <v/>
      </c>
      <c r="X2937" s="46" t="str">
        <f t="shared" si="1242"/>
        <v/>
      </c>
    </row>
    <row r="2938" spans="2:26" x14ac:dyDescent="0.25">
      <c r="B2938" s="11" t="str">
        <f>CONCATENATE("LLRN","-",LEFT(P2938,2),UPPER(MID(P2938,4,3)),RIGHT(P2938,4))</f>
        <v>LLRN-29DEC1906</v>
      </c>
      <c r="C2938" s="11" t="s">
        <v>89</v>
      </c>
      <c r="D2938" s="11" t="s">
        <v>1699</v>
      </c>
      <c r="E2938" s="39" t="s">
        <v>212</v>
      </c>
      <c r="F2938" s="11" t="s">
        <v>1700</v>
      </c>
      <c r="G2938" s="39" t="s">
        <v>823</v>
      </c>
      <c r="H2938" s="7">
        <v>0</v>
      </c>
      <c r="I2938" s="7">
        <v>0</v>
      </c>
      <c r="J2938" s="17">
        <v>24</v>
      </c>
      <c r="K2938" s="17"/>
      <c r="L2938" s="7">
        <f>SUM(H2938:K2938)</f>
        <v>24</v>
      </c>
      <c r="M2938" s="8">
        <v>1</v>
      </c>
      <c r="N2938" s="8">
        <f>IF(L2938&gt;0,1,"")</f>
        <v>1</v>
      </c>
      <c r="O2938" s="11" t="s">
        <v>1702</v>
      </c>
      <c r="P2938" s="16" t="str">
        <f>IF(LEN(G2938)=10,CONCATENATE("0",G2938),G2938)</f>
        <v>29-Dec-1906</v>
      </c>
      <c r="R2938" s="16" t="str">
        <f t="shared" si="1221"/>
        <v>x</v>
      </c>
      <c r="S2938" s="16" t="str">
        <f t="shared" si="1221"/>
        <v>x</v>
      </c>
      <c r="U2938" s="46" t="str">
        <f t="shared" si="1242"/>
        <v/>
      </c>
      <c r="V2938" s="46">
        <f t="shared" si="1242"/>
        <v>24</v>
      </c>
      <c r="W2938" s="46" t="str">
        <f t="shared" si="1242"/>
        <v/>
      </c>
      <c r="X2938" s="46" t="str">
        <f t="shared" si="1242"/>
        <v/>
      </c>
    </row>
    <row r="2939" spans="2:26" x14ac:dyDescent="0.25">
      <c r="B2939" s="11" t="str">
        <f t="shared" si="1238"/>
        <v>LLRN-26JAN1907</v>
      </c>
      <c r="C2939" s="11" t="s">
        <v>89</v>
      </c>
      <c r="D2939" s="11" t="s">
        <v>1699</v>
      </c>
      <c r="E2939" s="39" t="s">
        <v>2295</v>
      </c>
      <c r="F2939" s="11" t="s">
        <v>1700</v>
      </c>
      <c r="G2939" s="39" t="s">
        <v>824</v>
      </c>
      <c r="H2939" s="7">
        <v>0</v>
      </c>
      <c r="I2939" s="7">
        <v>0</v>
      </c>
      <c r="J2939" s="17">
        <v>40</v>
      </c>
      <c r="K2939" s="17"/>
      <c r="L2939" s="7">
        <f t="shared" si="1239"/>
        <v>40</v>
      </c>
      <c r="M2939" s="8">
        <v>1</v>
      </c>
      <c r="N2939" s="8">
        <f t="shared" si="1240"/>
        <v>1</v>
      </c>
      <c r="O2939" s="11" t="s">
        <v>1702</v>
      </c>
      <c r="P2939" s="16" t="str">
        <f t="shared" si="1241"/>
        <v>26-Jan-1907</v>
      </c>
      <c r="R2939" s="16" t="str">
        <f t="shared" si="1221"/>
        <v>x</v>
      </c>
      <c r="S2939" s="16" t="str">
        <f t="shared" si="1221"/>
        <v>x</v>
      </c>
      <c r="U2939" s="46" t="str">
        <f t="shared" si="1242"/>
        <v/>
      </c>
      <c r="V2939" s="46">
        <f t="shared" si="1242"/>
        <v>40</v>
      </c>
      <c r="W2939" s="46" t="str">
        <f t="shared" si="1242"/>
        <v/>
      </c>
      <c r="X2939" s="46" t="str">
        <f t="shared" si="1242"/>
        <v/>
      </c>
    </row>
    <row r="2940" spans="2:26" x14ac:dyDescent="0.25">
      <c r="B2940" s="11" t="str">
        <f>CONCATENATE("LLRN","-",LEFT(P2940,2),UPPER(MID(P2940,4,3)),RIGHT(P2940,4))</f>
        <v>LLRN-31MAR1907</v>
      </c>
      <c r="C2940" s="11" t="s">
        <v>89</v>
      </c>
      <c r="D2940" s="11" t="s">
        <v>1699</v>
      </c>
      <c r="E2940" s="39" t="s">
        <v>827</v>
      </c>
      <c r="F2940" s="11" t="s">
        <v>1700</v>
      </c>
      <c r="G2940" s="39" t="s">
        <v>2292</v>
      </c>
      <c r="H2940" s="7">
        <v>0</v>
      </c>
      <c r="I2940" s="7">
        <v>1</v>
      </c>
      <c r="J2940" s="17">
        <v>17</v>
      </c>
      <c r="K2940" s="17"/>
      <c r="L2940" s="7">
        <f>SUM(H2940:K2940)</f>
        <v>18</v>
      </c>
      <c r="M2940" s="8">
        <v>1</v>
      </c>
      <c r="N2940" s="8">
        <f>IF(L2940&gt;0,1,"")</f>
        <v>1</v>
      </c>
      <c r="O2940" s="11" t="s">
        <v>1702</v>
      </c>
      <c r="P2940" s="16" t="str">
        <f>IF(LEN(G2940)=10,CONCATENATE("0",G2940),G2940)</f>
        <v>31-Mar-1907</v>
      </c>
      <c r="R2940" s="16" t="str">
        <f t="shared" ref="R2940:S2951" si="1247">IF($L2940&gt;0,"x","")</f>
        <v>x</v>
      </c>
      <c r="S2940" s="16" t="str">
        <f t="shared" si="1247"/>
        <v>x</v>
      </c>
      <c r="U2940" s="46" t="str">
        <f t="shared" si="1242"/>
        <v/>
      </c>
      <c r="V2940" s="46">
        <f t="shared" si="1242"/>
        <v>18</v>
      </c>
      <c r="W2940" s="46" t="str">
        <f t="shared" si="1242"/>
        <v/>
      </c>
      <c r="X2940" s="46" t="str">
        <f t="shared" si="1242"/>
        <v/>
      </c>
    </row>
    <row r="2941" spans="2:26" x14ac:dyDescent="0.25">
      <c r="B2941" s="11" t="str">
        <f t="shared" ref="B2941:B2951" si="1248">CONCATENATE("LLRN","-",LEFT(P2941,2),UPPER(MID(P2941,4,3)),RIGHT(P2941,4))</f>
        <v>LLRN-27APR1907</v>
      </c>
      <c r="C2941" s="11" t="s">
        <v>89</v>
      </c>
      <c r="D2941" s="11" t="s">
        <v>1699</v>
      </c>
      <c r="E2941" s="39" t="s">
        <v>829</v>
      </c>
      <c r="F2941" s="11" t="s">
        <v>1700</v>
      </c>
      <c r="G2941" s="39" t="s">
        <v>1455</v>
      </c>
      <c r="H2941" s="7">
        <v>0</v>
      </c>
      <c r="I2941" s="7">
        <v>0</v>
      </c>
      <c r="J2941" s="17">
        <v>6</v>
      </c>
      <c r="K2941" s="17"/>
      <c r="L2941" s="7">
        <f t="shared" ref="L2941:L2951" si="1249">SUM(H2941:K2941)</f>
        <v>6</v>
      </c>
      <c r="M2941" s="8">
        <v>1</v>
      </c>
      <c r="N2941" s="8">
        <f t="shared" ref="N2941:N2951" si="1250">IF(L2941&gt;0,1,"")</f>
        <v>1</v>
      </c>
      <c r="O2941" s="11" t="s">
        <v>1702</v>
      </c>
      <c r="P2941" s="16" t="str">
        <f t="shared" ref="P2941:P2951" si="1251">IF(LEN(G2941)=10,CONCATENATE("0",G2941),G2941)</f>
        <v>27-Apr-1907</v>
      </c>
      <c r="R2941" s="16" t="str">
        <f t="shared" si="1247"/>
        <v>x</v>
      </c>
      <c r="S2941" s="16" t="str">
        <f t="shared" si="1247"/>
        <v>x</v>
      </c>
      <c r="U2941" s="46" t="str">
        <f t="shared" si="1242"/>
        <v/>
      </c>
      <c r="V2941" s="46">
        <f t="shared" si="1242"/>
        <v>6</v>
      </c>
      <c r="W2941" s="46" t="str">
        <f t="shared" si="1242"/>
        <v/>
      </c>
      <c r="X2941" s="46" t="str">
        <f t="shared" si="1242"/>
        <v/>
      </c>
    </row>
    <row r="2942" spans="2:26" x14ac:dyDescent="0.25">
      <c r="B2942" s="11" t="str">
        <f t="shared" si="1248"/>
        <v>LLRN-26MAY1907</v>
      </c>
      <c r="C2942" s="11" t="s">
        <v>89</v>
      </c>
      <c r="D2942" s="11" t="s">
        <v>1699</v>
      </c>
      <c r="E2942" s="39" t="s">
        <v>831</v>
      </c>
      <c r="F2942" s="11" t="s">
        <v>1700</v>
      </c>
      <c r="G2942" s="39" t="s">
        <v>2293</v>
      </c>
      <c r="H2942" s="7">
        <v>0</v>
      </c>
      <c r="I2942" s="7">
        <v>2</v>
      </c>
      <c r="J2942" s="17">
        <v>35</v>
      </c>
      <c r="K2942" s="17"/>
      <c r="L2942" s="7">
        <f t="shared" si="1249"/>
        <v>37</v>
      </c>
      <c r="M2942" s="8">
        <v>1</v>
      </c>
      <c r="N2942" s="8">
        <f t="shared" si="1250"/>
        <v>1</v>
      </c>
      <c r="O2942" s="11" t="s">
        <v>1702</v>
      </c>
      <c r="P2942" s="16" t="str">
        <f t="shared" si="1251"/>
        <v>26-May-1907</v>
      </c>
      <c r="R2942" s="16" t="str">
        <f t="shared" si="1247"/>
        <v>x</v>
      </c>
      <c r="S2942" s="16" t="str">
        <f t="shared" si="1247"/>
        <v>x</v>
      </c>
      <c r="U2942" s="46" t="str">
        <f t="shared" si="1242"/>
        <v/>
      </c>
      <c r="V2942" s="46">
        <f t="shared" si="1242"/>
        <v>37</v>
      </c>
      <c r="W2942" s="46" t="str">
        <f t="shared" si="1242"/>
        <v/>
      </c>
      <c r="X2942" s="46" t="str">
        <f t="shared" si="1242"/>
        <v/>
      </c>
      <c r="Z2942" s="11" t="s">
        <v>2296</v>
      </c>
    </row>
    <row r="2943" spans="2:26" x14ac:dyDescent="0.25">
      <c r="B2943" s="11" t="str">
        <f t="shared" si="1248"/>
        <v>LLRN-16JUN1907</v>
      </c>
      <c r="C2943" s="11" t="s">
        <v>89</v>
      </c>
      <c r="D2943" s="11" t="s">
        <v>1699</v>
      </c>
      <c r="E2943" s="39" t="s">
        <v>2297</v>
      </c>
      <c r="F2943" s="11" t="s">
        <v>1700</v>
      </c>
      <c r="G2943" s="39" t="s">
        <v>2298</v>
      </c>
      <c r="H2943" s="7">
        <v>0</v>
      </c>
      <c r="I2943" s="7">
        <v>0</v>
      </c>
      <c r="J2943" s="17">
        <v>5</v>
      </c>
      <c r="K2943" s="17"/>
      <c r="L2943" s="7">
        <f t="shared" si="1249"/>
        <v>5</v>
      </c>
      <c r="M2943" s="8">
        <v>1</v>
      </c>
      <c r="N2943" s="8">
        <f t="shared" si="1250"/>
        <v>1</v>
      </c>
      <c r="O2943" s="11" t="s">
        <v>1702</v>
      </c>
      <c r="P2943" s="16" t="str">
        <f t="shared" si="1251"/>
        <v>16-Jun-1907</v>
      </c>
      <c r="R2943" s="16" t="str">
        <f t="shared" si="1247"/>
        <v>x</v>
      </c>
      <c r="S2943" s="16" t="str">
        <f t="shared" si="1247"/>
        <v>x</v>
      </c>
      <c r="U2943" s="46" t="str">
        <f t="shared" si="1242"/>
        <v/>
      </c>
      <c r="V2943" s="46">
        <f t="shared" si="1242"/>
        <v>5</v>
      </c>
      <c r="W2943" s="46" t="str">
        <f t="shared" si="1242"/>
        <v/>
      </c>
      <c r="X2943" s="46" t="str">
        <f t="shared" si="1242"/>
        <v/>
      </c>
    </row>
    <row r="2944" spans="2:26" x14ac:dyDescent="0.25">
      <c r="B2944" s="11" t="str">
        <f t="shared" si="1248"/>
        <v>LLRN-03AUG1907</v>
      </c>
      <c r="C2944" s="11" t="s">
        <v>89</v>
      </c>
      <c r="D2944" s="11" t="s">
        <v>1699</v>
      </c>
      <c r="E2944" s="39" t="s">
        <v>2299</v>
      </c>
      <c r="F2944" s="11" t="s">
        <v>1700</v>
      </c>
      <c r="G2944" s="39" t="s">
        <v>833</v>
      </c>
      <c r="H2944" s="7">
        <v>0</v>
      </c>
      <c r="I2944" s="7">
        <v>0</v>
      </c>
      <c r="J2944" s="17">
        <v>87</v>
      </c>
      <c r="K2944" s="17"/>
      <c r="L2944" s="7">
        <f t="shared" si="1249"/>
        <v>87</v>
      </c>
      <c r="M2944" s="8">
        <v>1</v>
      </c>
      <c r="N2944" s="8">
        <f t="shared" si="1250"/>
        <v>1</v>
      </c>
      <c r="O2944" s="11" t="s">
        <v>1702</v>
      </c>
      <c r="P2944" s="16" t="str">
        <f t="shared" si="1251"/>
        <v>03-Aug-1907</v>
      </c>
      <c r="R2944" s="16" t="str">
        <f t="shared" si="1247"/>
        <v>x</v>
      </c>
      <c r="S2944" s="16" t="str">
        <f t="shared" si="1247"/>
        <v>x</v>
      </c>
      <c r="T2944" s="11"/>
      <c r="U2944" s="46" t="str">
        <f t="shared" si="1242"/>
        <v/>
      </c>
      <c r="V2944" s="46">
        <f t="shared" si="1242"/>
        <v>87</v>
      </c>
      <c r="W2944" s="46" t="str">
        <f t="shared" si="1242"/>
        <v/>
      </c>
      <c r="X2944" s="46" t="str">
        <f t="shared" si="1242"/>
        <v/>
      </c>
    </row>
    <row r="2945" spans="2:24" x14ac:dyDescent="0.25">
      <c r="B2945" s="11" t="str">
        <f t="shared" si="1248"/>
        <v>LLRN-31AUG1907</v>
      </c>
      <c r="C2945" s="11" t="s">
        <v>89</v>
      </c>
      <c r="D2945" s="11" t="s">
        <v>1699</v>
      </c>
      <c r="E2945" s="39" t="s">
        <v>1806</v>
      </c>
      <c r="F2945" s="11" t="s">
        <v>1700</v>
      </c>
      <c r="G2945" s="39" t="s">
        <v>1459</v>
      </c>
      <c r="H2945" s="7">
        <v>0</v>
      </c>
      <c r="I2945" s="7">
        <v>0</v>
      </c>
      <c r="J2945" s="17">
        <v>38</v>
      </c>
      <c r="K2945" s="17"/>
      <c r="L2945" s="7">
        <f t="shared" si="1249"/>
        <v>38</v>
      </c>
      <c r="M2945" s="8">
        <v>1</v>
      </c>
      <c r="N2945" s="8">
        <f t="shared" si="1250"/>
        <v>1</v>
      </c>
      <c r="O2945" s="11" t="s">
        <v>1702</v>
      </c>
      <c r="P2945" s="16" t="str">
        <f t="shared" si="1251"/>
        <v>31-Aug-1907</v>
      </c>
      <c r="R2945" s="16" t="str">
        <f t="shared" si="1247"/>
        <v>x</v>
      </c>
      <c r="S2945" s="16" t="str">
        <f t="shared" si="1247"/>
        <v>x</v>
      </c>
      <c r="T2945" s="11"/>
      <c r="U2945" s="46" t="str">
        <f t="shared" si="1242"/>
        <v/>
      </c>
      <c r="V2945" s="46">
        <f t="shared" si="1242"/>
        <v>38</v>
      </c>
      <c r="W2945" s="46" t="str">
        <f t="shared" si="1242"/>
        <v/>
      </c>
      <c r="X2945" s="46" t="str">
        <f t="shared" si="1242"/>
        <v/>
      </c>
    </row>
    <row r="2946" spans="2:24" x14ac:dyDescent="0.25">
      <c r="B2946" s="11" t="str">
        <f t="shared" si="1248"/>
        <v>LLRN-21SEP1907</v>
      </c>
      <c r="C2946" s="11" t="s">
        <v>89</v>
      </c>
      <c r="D2946" s="11" t="s">
        <v>1699</v>
      </c>
      <c r="E2946" s="39" t="s">
        <v>834</v>
      </c>
      <c r="F2946" s="11" t="s">
        <v>1700</v>
      </c>
      <c r="G2946" s="39" t="s">
        <v>1460</v>
      </c>
      <c r="H2946" s="7">
        <v>0</v>
      </c>
      <c r="I2946" s="7">
        <v>0</v>
      </c>
      <c r="J2946" s="17">
        <v>0</v>
      </c>
      <c r="K2946" s="17"/>
      <c r="L2946" s="7">
        <f t="shared" si="1249"/>
        <v>0</v>
      </c>
      <c r="M2946" s="8">
        <v>1</v>
      </c>
      <c r="N2946" s="8" t="str">
        <f t="shared" si="1250"/>
        <v/>
      </c>
      <c r="O2946" s="11" t="s">
        <v>1702</v>
      </c>
      <c r="P2946" s="16" t="str">
        <f t="shared" si="1251"/>
        <v>21-Sep-1907</v>
      </c>
      <c r="R2946" s="16" t="str">
        <f t="shared" si="1247"/>
        <v/>
      </c>
      <c r="S2946" s="16" t="str">
        <f t="shared" si="1247"/>
        <v/>
      </c>
      <c r="T2946" s="11"/>
      <c r="U2946" s="46" t="str">
        <f t="shared" si="1242"/>
        <v/>
      </c>
      <c r="V2946" s="46">
        <f t="shared" si="1242"/>
        <v>0</v>
      </c>
      <c r="W2946" s="46" t="str">
        <f t="shared" si="1242"/>
        <v/>
      </c>
      <c r="X2946" s="46" t="str">
        <f t="shared" si="1242"/>
        <v/>
      </c>
    </row>
    <row r="2947" spans="2:24" x14ac:dyDescent="0.25">
      <c r="B2947" s="11" t="str">
        <f t="shared" si="1248"/>
        <v>LLRN-19OCT1907</v>
      </c>
      <c r="C2947" s="11" t="s">
        <v>89</v>
      </c>
      <c r="D2947" s="11" t="s">
        <v>1699</v>
      </c>
      <c r="E2947" s="39" t="s">
        <v>1808</v>
      </c>
      <c r="F2947" s="11" t="s">
        <v>1700</v>
      </c>
      <c r="G2947" s="39" t="s">
        <v>1461</v>
      </c>
      <c r="H2947" s="7">
        <v>0</v>
      </c>
      <c r="I2947" s="7">
        <v>0</v>
      </c>
      <c r="J2947" s="17">
        <v>0</v>
      </c>
      <c r="K2947" s="17"/>
      <c r="L2947" s="7">
        <f t="shared" si="1249"/>
        <v>0</v>
      </c>
      <c r="M2947" s="8">
        <v>1</v>
      </c>
      <c r="N2947" s="8" t="str">
        <f t="shared" si="1250"/>
        <v/>
      </c>
      <c r="O2947" s="11" t="s">
        <v>1702</v>
      </c>
      <c r="P2947" s="16" t="str">
        <f t="shared" si="1251"/>
        <v>19-Oct-1907</v>
      </c>
      <c r="R2947" s="16" t="str">
        <f t="shared" si="1247"/>
        <v/>
      </c>
      <c r="S2947" s="16" t="str">
        <f t="shared" si="1247"/>
        <v/>
      </c>
      <c r="T2947" s="11"/>
      <c r="U2947" s="46" t="str">
        <f t="shared" si="1242"/>
        <v/>
      </c>
      <c r="V2947" s="46">
        <f t="shared" si="1242"/>
        <v>0</v>
      </c>
      <c r="W2947" s="46" t="str">
        <f t="shared" si="1242"/>
        <v/>
      </c>
      <c r="X2947" s="46" t="str">
        <f t="shared" si="1242"/>
        <v/>
      </c>
    </row>
    <row r="2948" spans="2:24" x14ac:dyDescent="0.25">
      <c r="B2948" s="11" t="str">
        <f t="shared" si="1248"/>
        <v>LLRN-16NOV1907</v>
      </c>
      <c r="C2948" s="11" t="s">
        <v>89</v>
      </c>
      <c r="D2948" s="11" t="s">
        <v>1699</v>
      </c>
      <c r="E2948" s="39" t="s">
        <v>2300</v>
      </c>
      <c r="F2948" s="11" t="s">
        <v>1700</v>
      </c>
      <c r="G2948" s="39" t="s">
        <v>1462</v>
      </c>
      <c r="H2948" s="7">
        <v>0</v>
      </c>
      <c r="I2948" s="7">
        <v>0</v>
      </c>
      <c r="J2948" s="17">
        <v>47</v>
      </c>
      <c r="K2948" s="17"/>
      <c r="L2948" s="7">
        <f t="shared" si="1249"/>
        <v>47</v>
      </c>
      <c r="M2948" s="8">
        <v>1</v>
      </c>
      <c r="N2948" s="8">
        <f t="shared" si="1250"/>
        <v>1</v>
      </c>
      <c r="O2948" s="11" t="s">
        <v>1702</v>
      </c>
      <c r="P2948" s="16" t="str">
        <f t="shared" si="1251"/>
        <v>16-Nov-1907</v>
      </c>
      <c r="R2948" s="16" t="str">
        <f t="shared" si="1247"/>
        <v>x</v>
      </c>
      <c r="S2948" s="16" t="str">
        <f t="shared" si="1247"/>
        <v>x</v>
      </c>
      <c r="T2948" s="11"/>
      <c r="U2948" s="46" t="str">
        <f t="shared" si="1242"/>
        <v/>
      </c>
      <c r="V2948" s="46">
        <f t="shared" si="1242"/>
        <v>47</v>
      </c>
      <c r="W2948" s="46" t="str">
        <f t="shared" si="1242"/>
        <v/>
      </c>
      <c r="X2948" s="46" t="str">
        <f t="shared" si="1242"/>
        <v/>
      </c>
    </row>
    <row r="2949" spans="2:24" x14ac:dyDescent="0.25">
      <c r="B2949" s="11" t="str">
        <f t="shared" si="1248"/>
        <v>LLRN-16DEC1907</v>
      </c>
      <c r="C2949" s="11" t="s">
        <v>89</v>
      </c>
      <c r="D2949" s="11" t="s">
        <v>1699</v>
      </c>
      <c r="E2949" s="39" t="s">
        <v>2301</v>
      </c>
      <c r="F2949" s="11" t="s">
        <v>1700</v>
      </c>
      <c r="G2949" s="39" t="s">
        <v>2294</v>
      </c>
      <c r="H2949" s="7">
        <v>0</v>
      </c>
      <c r="I2949" s="7">
        <v>5</v>
      </c>
      <c r="J2949" s="17">
        <v>91</v>
      </c>
      <c r="K2949" s="17"/>
      <c r="L2949" s="7">
        <f t="shared" si="1249"/>
        <v>96</v>
      </c>
      <c r="M2949" s="8">
        <v>1</v>
      </c>
      <c r="N2949" s="8">
        <f t="shared" si="1250"/>
        <v>1</v>
      </c>
      <c r="O2949" s="11" t="s">
        <v>1702</v>
      </c>
      <c r="P2949" s="16" t="str">
        <f t="shared" si="1251"/>
        <v>16-Dec-1907</v>
      </c>
      <c r="R2949" s="16" t="str">
        <f t="shared" si="1247"/>
        <v>x</v>
      </c>
      <c r="S2949" s="16" t="str">
        <f t="shared" si="1247"/>
        <v>x</v>
      </c>
      <c r="T2949" s="11"/>
      <c r="U2949" s="46" t="str">
        <f t="shared" si="1242"/>
        <v/>
      </c>
      <c r="V2949" s="46">
        <f t="shared" si="1242"/>
        <v>96</v>
      </c>
      <c r="W2949" s="46" t="str">
        <f t="shared" si="1242"/>
        <v/>
      </c>
      <c r="X2949" s="46" t="str">
        <f t="shared" si="1242"/>
        <v/>
      </c>
    </row>
    <row r="2950" spans="2:24" x14ac:dyDescent="0.25">
      <c r="B2950" s="11" t="str">
        <f t="shared" si="1248"/>
        <v>LLRN-11JAN1908</v>
      </c>
      <c r="C2950" s="11" t="s">
        <v>89</v>
      </c>
      <c r="D2950" s="11" t="s">
        <v>1699</v>
      </c>
      <c r="E2950" s="39" t="s">
        <v>2302</v>
      </c>
      <c r="F2950" s="11" t="s">
        <v>1700</v>
      </c>
      <c r="G2950" s="39" t="s">
        <v>840</v>
      </c>
      <c r="H2950" s="7">
        <v>0</v>
      </c>
      <c r="I2950" s="7">
        <v>2</v>
      </c>
      <c r="J2950" s="17">
        <v>7</v>
      </c>
      <c r="K2950" s="17"/>
      <c r="L2950" s="7">
        <f t="shared" si="1249"/>
        <v>9</v>
      </c>
      <c r="M2950" s="8">
        <v>1</v>
      </c>
      <c r="N2950" s="8">
        <f t="shared" si="1250"/>
        <v>1</v>
      </c>
      <c r="O2950" s="11" t="s">
        <v>1702</v>
      </c>
      <c r="P2950" s="16" t="str">
        <f t="shared" si="1251"/>
        <v>11-Jan-1908</v>
      </c>
      <c r="R2950" s="16" t="str">
        <f t="shared" si="1247"/>
        <v>x</v>
      </c>
      <c r="S2950" s="16" t="str">
        <f t="shared" si="1247"/>
        <v>x</v>
      </c>
      <c r="T2950" s="11"/>
      <c r="U2950" s="46" t="str">
        <f t="shared" si="1242"/>
        <v/>
      </c>
      <c r="V2950" s="46">
        <f t="shared" si="1242"/>
        <v>9</v>
      </c>
      <c r="W2950" s="46" t="str">
        <f t="shared" si="1242"/>
        <v/>
      </c>
      <c r="X2950" s="46" t="str">
        <f t="shared" si="1242"/>
        <v/>
      </c>
    </row>
    <row r="2951" spans="2:24" x14ac:dyDescent="0.25">
      <c r="B2951" s="11" t="str">
        <f t="shared" si="1248"/>
        <v>LLRN-08FEB1908</v>
      </c>
      <c r="C2951" s="11" t="s">
        <v>89</v>
      </c>
      <c r="D2951" s="11" t="s">
        <v>1699</v>
      </c>
      <c r="E2951" s="39" t="s">
        <v>2303</v>
      </c>
      <c r="F2951" s="11" t="s">
        <v>1700</v>
      </c>
      <c r="G2951" s="39" t="s">
        <v>842</v>
      </c>
      <c r="H2951" s="7">
        <v>0</v>
      </c>
      <c r="I2951" s="7">
        <v>0</v>
      </c>
      <c r="J2951" s="17">
        <v>14</v>
      </c>
      <c r="K2951" s="17"/>
      <c r="L2951" s="7">
        <f t="shared" si="1249"/>
        <v>14</v>
      </c>
      <c r="M2951" s="8">
        <v>1</v>
      </c>
      <c r="N2951" s="8">
        <f t="shared" si="1250"/>
        <v>1</v>
      </c>
      <c r="O2951" s="11" t="s">
        <v>1702</v>
      </c>
      <c r="P2951" s="16" t="str">
        <f t="shared" si="1251"/>
        <v>08-Feb-1908</v>
      </c>
      <c r="R2951" s="16" t="str">
        <f t="shared" si="1247"/>
        <v>x</v>
      </c>
      <c r="S2951" s="16" t="str">
        <f t="shared" si="1247"/>
        <v>x</v>
      </c>
      <c r="T2951" s="11"/>
      <c r="U2951" s="46" t="str">
        <f t="shared" si="1242"/>
        <v/>
      </c>
      <c r="V2951" s="46">
        <f t="shared" si="1242"/>
        <v>14</v>
      </c>
      <c r="W2951" s="46" t="str">
        <f t="shared" si="1242"/>
        <v/>
      </c>
      <c r="X2951" s="46" t="str">
        <f t="shared" si="1242"/>
        <v/>
      </c>
    </row>
    <row r="2952" spans="2:24" x14ac:dyDescent="0.25">
      <c r="B2952" s="11" t="str">
        <f>CONCATENATE("LLRN","-",LEFT(P2952,2),UPPER(MID(P2952,4,3)),RIGHT(P2952,4))</f>
        <v>LLRN-12APR1908</v>
      </c>
      <c r="C2952" s="11" t="s">
        <v>89</v>
      </c>
      <c r="D2952" s="11" t="s">
        <v>1699</v>
      </c>
      <c r="E2952" s="39" t="s">
        <v>90</v>
      </c>
      <c r="F2952" s="11" t="s">
        <v>1700</v>
      </c>
      <c r="G2952" s="39" t="s">
        <v>91</v>
      </c>
      <c r="H2952" s="7">
        <v>0</v>
      </c>
      <c r="I2952" s="7">
        <v>2</v>
      </c>
      <c r="J2952" s="17">
        <v>23</v>
      </c>
      <c r="K2952" s="17"/>
      <c r="L2952" s="7">
        <f>SUM(H2952:K2952)</f>
        <v>25</v>
      </c>
      <c r="M2952" s="8">
        <v>1</v>
      </c>
      <c r="N2952" s="8">
        <f>IF(L2952&gt;0,1,"")</f>
        <v>1</v>
      </c>
      <c r="O2952" s="11" t="s">
        <v>1702</v>
      </c>
      <c r="P2952" s="16" t="str">
        <f>IF(LEN(G2952)=10,CONCATENATE("0",G2952),G2952)</f>
        <v>12-Apr-1908</v>
      </c>
      <c r="R2952" s="16" t="str">
        <f>IF($L2952&gt;0,"x","")</f>
        <v>x</v>
      </c>
      <c r="S2952" s="16" t="str">
        <f>IF($L2952&gt;0,"x","")</f>
        <v>x</v>
      </c>
      <c r="T2952" s="11"/>
      <c r="U2952" s="46" t="str">
        <f t="shared" si="1242"/>
        <v/>
      </c>
      <c r="V2952" s="46">
        <f t="shared" si="1242"/>
        <v>25</v>
      </c>
      <c r="W2952" s="46" t="str">
        <f t="shared" si="1242"/>
        <v/>
      </c>
      <c r="X2952" s="46" t="str">
        <f t="shared" si="1242"/>
        <v/>
      </c>
    </row>
    <row r="2953" spans="2:24" x14ac:dyDescent="0.25">
      <c r="B2953" s="11" t="str">
        <f>CONCATENATE("LLRN","-",LEFT(P2953,2),UPPER(MID(P2953,4,3)),RIGHT(P2953,4))</f>
        <v>LLRN-09MAY1908</v>
      </c>
      <c r="C2953" s="11" t="s">
        <v>89</v>
      </c>
      <c r="D2953" s="11" t="s">
        <v>1699</v>
      </c>
      <c r="E2953" s="39" t="s">
        <v>1211</v>
      </c>
      <c r="F2953" s="11" t="s">
        <v>1700</v>
      </c>
      <c r="G2953" s="39" t="s">
        <v>1821</v>
      </c>
      <c r="H2953" s="7">
        <v>0</v>
      </c>
      <c r="I2953" s="7">
        <v>0</v>
      </c>
      <c r="J2953" s="17">
        <v>11</v>
      </c>
      <c r="K2953" s="17"/>
      <c r="L2953" s="7">
        <f>SUM(H2953:K2953)</f>
        <v>11</v>
      </c>
      <c r="M2953" s="8">
        <v>1</v>
      </c>
      <c r="N2953" s="8">
        <f>IF(L2953&gt;0,1,"")</f>
        <v>1</v>
      </c>
      <c r="O2953" s="11" t="s">
        <v>1702</v>
      </c>
      <c r="P2953" s="16" t="str">
        <f>IF(LEN(G2953)=10,CONCATENATE("0",G2953),G2953)</f>
        <v>09-May-1908</v>
      </c>
      <c r="R2953" s="16" t="str">
        <f t="shared" ref="R2953:S2971" si="1252">IF($L2953&gt;0,"x","")</f>
        <v>x</v>
      </c>
      <c r="S2953" s="16" t="str">
        <f t="shared" si="1252"/>
        <v>x</v>
      </c>
      <c r="T2953" s="11"/>
      <c r="U2953" s="46" t="str">
        <f t="shared" si="1242"/>
        <v/>
      </c>
      <c r="V2953" s="46">
        <f t="shared" si="1242"/>
        <v>11</v>
      </c>
      <c r="W2953" s="46" t="str">
        <f t="shared" si="1242"/>
        <v/>
      </c>
      <c r="X2953" s="46" t="str">
        <f t="shared" si="1242"/>
        <v/>
      </c>
    </row>
    <row r="2954" spans="2:24" x14ac:dyDescent="0.25">
      <c r="B2954" s="11" t="str">
        <f t="shared" ref="B2954:B2963" si="1253">CONCATENATE("LLRN","-",LEFT(P2954,2),UPPER(MID(P2954,4,3)),RIGHT(P2954,4))</f>
        <v>LLRN-06JUN1908</v>
      </c>
      <c r="C2954" s="11" t="s">
        <v>89</v>
      </c>
      <c r="D2954" s="11" t="s">
        <v>1699</v>
      </c>
      <c r="E2954" s="39" t="s">
        <v>922</v>
      </c>
      <c r="F2954" s="11" t="s">
        <v>1700</v>
      </c>
      <c r="G2954" s="39" t="s">
        <v>1471</v>
      </c>
      <c r="H2954" s="7">
        <v>0</v>
      </c>
      <c r="I2954" s="7">
        <v>0</v>
      </c>
      <c r="J2954" s="17">
        <v>24</v>
      </c>
      <c r="K2954" s="17"/>
      <c r="L2954" s="7">
        <f t="shared" ref="L2954:L2963" si="1254">SUM(H2954:K2954)</f>
        <v>24</v>
      </c>
      <c r="M2954" s="8">
        <v>1</v>
      </c>
      <c r="N2954" s="8">
        <f t="shared" ref="N2954:N2963" si="1255">IF(L2954&gt;0,1,"")</f>
        <v>1</v>
      </c>
      <c r="O2954" s="11" t="s">
        <v>1702</v>
      </c>
      <c r="P2954" s="16" t="str">
        <f t="shared" ref="P2954:P2963" si="1256">IF(LEN(G2954)=10,CONCATENATE("0",G2954),G2954)</f>
        <v>06-Jun-1908</v>
      </c>
      <c r="R2954" s="16" t="str">
        <f t="shared" si="1252"/>
        <v>x</v>
      </c>
      <c r="S2954" s="16" t="str">
        <f t="shared" si="1252"/>
        <v>x</v>
      </c>
      <c r="T2954" s="11"/>
      <c r="U2954" s="46" t="str">
        <f t="shared" si="1242"/>
        <v/>
      </c>
      <c r="V2954" s="46">
        <f t="shared" si="1242"/>
        <v>24</v>
      </c>
      <c r="W2954" s="46" t="str">
        <f t="shared" si="1242"/>
        <v/>
      </c>
      <c r="X2954" s="46" t="str">
        <f t="shared" si="1242"/>
        <v/>
      </c>
    </row>
    <row r="2955" spans="2:24" x14ac:dyDescent="0.25">
      <c r="B2955" s="11" t="str">
        <f t="shared" si="1253"/>
        <v>LLRN-27JUN1908</v>
      </c>
      <c r="C2955" s="11" t="s">
        <v>89</v>
      </c>
      <c r="D2955" s="11" t="s">
        <v>1699</v>
      </c>
      <c r="E2955" s="39" t="s">
        <v>2305</v>
      </c>
      <c r="F2955" s="11" t="s">
        <v>1700</v>
      </c>
      <c r="G2955" s="39" t="s">
        <v>1823</v>
      </c>
      <c r="H2955" s="7">
        <v>0</v>
      </c>
      <c r="I2955" s="7">
        <v>3</v>
      </c>
      <c r="J2955" s="17">
        <v>16</v>
      </c>
      <c r="K2955" s="17"/>
      <c r="L2955" s="7">
        <f t="shared" si="1254"/>
        <v>19</v>
      </c>
      <c r="M2955" s="8">
        <v>1</v>
      </c>
      <c r="N2955" s="8">
        <f t="shared" si="1255"/>
        <v>1</v>
      </c>
      <c r="O2955" s="11" t="s">
        <v>1702</v>
      </c>
      <c r="P2955" s="16" t="str">
        <f t="shared" si="1256"/>
        <v>27-Jun-1908</v>
      </c>
      <c r="R2955" s="16" t="str">
        <f t="shared" si="1252"/>
        <v>x</v>
      </c>
      <c r="S2955" s="16" t="str">
        <f t="shared" si="1252"/>
        <v>x</v>
      </c>
      <c r="T2955" s="11"/>
      <c r="U2955" s="46" t="str">
        <f t="shared" si="1242"/>
        <v/>
      </c>
      <c r="V2955" s="46">
        <f t="shared" si="1242"/>
        <v>19</v>
      </c>
      <c r="W2955" s="46" t="str">
        <f t="shared" si="1242"/>
        <v/>
      </c>
      <c r="X2955" s="46" t="str">
        <f t="shared" si="1242"/>
        <v/>
      </c>
    </row>
    <row r="2956" spans="2:24" x14ac:dyDescent="0.25">
      <c r="B2956" s="11" t="str">
        <f t="shared" si="1253"/>
        <v>LLRN-15AUG1908</v>
      </c>
      <c r="C2956" s="11" t="s">
        <v>89</v>
      </c>
      <c r="D2956" s="11" t="s">
        <v>1699</v>
      </c>
      <c r="E2956" s="39" t="s">
        <v>2306</v>
      </c>
      <c r="F2956" s="11" t="s">
        <v>1700</v>
      </c>
      <c r="G2956" s="39" t="s">
        <v>1825</v>
      </c>
      <c r="H2956" s="7">
        <v>0</v>
      </c>
      <c r="I2956" s="7">
        <v>0</v>
      </c>
      <c r="J2956" s="17">
        <v>18</v>
      </c>
      <c r="K2956" s="17"/>
      <c r="L2956" s="7">
        <f t="shared" si="1254"/>
        <v>18</v>
      </c>
      <c r="M2956" s="8">
        <v>1</v>
      </c>
      <c r="N2956" s="8">
        <f t="shared" si="1255"/>
        <v>1</v>
      </c>
      <c r="O2956" s="11" t="s">
        <v>1702</v>
      </c>
      <c r="P2956" s="16" t="str">
        <f t="shared" si="1256"/>
        <v>15-Aug-1908</v>
      </c>
      <c r="R2956" s="16" t="str">
        <f t="shared" si="1252"/>
        <v>x</v>
      </c>
      <c r="S2956" s="16" t="str">
        <f t="shared" si="1252"/>
        <v>x</v>
      </c>
      <c r="T2956" s="11"/>
      <c r="U2956" s="46" t="str">
        <f t="shared" si="1242"/>
        <v/>
      </c>
      <c r="V2956" s="46">
        <f t="shared" si="1242"/>
        <v>18</v>
      </c>
      <c r="W2956" s="46" t="str">
        <f t="shared" si="1242"/>
        <v/>
      </c>
      <c r="X2956" s="46" t="str">
        <f t="shared" si="1242"/>
        <v/>
      </c>
    </row>
    <row r="2957" spans="2:24" x14ac:dyDescent="0.25">
      <c r="B2957" s="11" t="str">
        <f t="shared" si="1253"/>
        <v>LLRN-12SEP1908</v>
      </c>
      <c r="C2957" s="11" t="s">
        <v>89</v>
      </c>
      <c r="D2957" s="11" t="s">
        <v>1699</v>
      </c>
      <c r="E2957" s="39" t="s">
        <v>1215</v>
      </c>
      <c r="F2957" s="11" t="s">
        <v>1700</v>
      </c>
      <c r="G2957" s="39" t="s">
        <v>1473</v>
      </c>
      <c r="H2957" s="7">
        <v>0</v>
      </c>
      <c r="I2957" s="7">
        <v>0</v>
      </c>
      <c r="J2957" s="17">
        <v>19</v>
      </c>
      <c r="K2957" s="17"/>
      <c r="L2957" s="7">
        <f t="shared" si="1254"/>
        <v>19</v>
      </c>
      <c r="M2957" s="8">
        <v>1</v>
      </c>
      <c r="N2957" s="8">
        <f t="shared" si="1255"/>
        <v>1</v>
      </c>
      <c r="O2957" s="11" t="s">
        <v>1702</v>
      </c>
      <c r="P2957" s="16" t="str">
        <f t="shared" si="1256"/>
        <v>12-Sep-1908</v>
      </c>
      <c r="R2957" s="16" t="str">
        <f t="shared" si="1252"/>
        <v>x</v>
      </c>
      <c r="S2957" s="16" t="str">
        <f t="shared" si="1252"/>
        <v>x</v>
      </c>
      <c r="T2957" s="11"/>
      <c r="U2957" s="46" t="str">
        <f t="shared" si="1242"/>
        <v/>
      </c>
      <c r="V2957" s="46">
        <f t="shared" si="1242"/>
        <v>19</v>
      </c>
      <c r="W2957" s="46" t="str">
        <f t="shared" si="1242"/>
        <v/>
      </c>
      <c r="X2957" s="46" t="str">
        <f t="shared" si="1242"/>
        <v/>
      </c>
    </row>
    <row r="2958" spans="2:24" x14ac:dyDescent="0.25">
      <c r="B2958" s="11" t="str">
        <f t="shared" si="1253"/>
        <v>LLRN-03OCT1908</v>
      </c>
      <c r="C2958" s="11" t="s">
        <v>89</v>
      </c>
      <c r="D2958" s="11" t="s">
        <v>1699</v>
      </c>
      <c r="E2958" s="39" t="s">
        <v>1216</v>
      </c>
      <c r="F2958" s="11" t="s">
        <v>1700</v>
      </c>
      <c r="G2958" s="39" t="s">
        <v>1827</v>
      </c>
      <c r="H2958" s="7">
        <v>0</v>
      </c>
      <c r="I2958" s="7">
        <v>1</v>
      </c>
      <c r="J2958" s="17">
        <v>32</v>
      </c>
      <c r="K2958" s="17"/>
      <c r="L2958" s="7">
        <f t="shared" si="1254"/>
        <v>33</v>
      </c>
      <c r="M2958" s="8">
        <v>1</v>
      </c>
      <c r="N2958" s="8">
        <f t="shared" si="1255"/>
        <v>1</v>
      </c>
      <c r="O2958" s="11" t="s">
        <v>1702</v>
      </c>
      <c r="P2958" s="16" t="str">
        <f t="shared" si="1256"/>
        <v>03-Oct-1908</v>
      </c>
      <c r="R2958" s="16" t="str">
        <f t="shared" si="1252"/>
        <v>x</v>
      </c>
      <c r="S2958" s="16" t="str">
        <f t="shared" si="1252"/>
        <v>x</v>
      </c>
      <c r="T2958" s="11"/>
      <c r="U2958" s="46" t="str">
        <f t="shared" si="1242"/>
        <v/>
      </c>
      <c r="V2958" s="46">
        <f t="shared" si="1242"/>
        <v>33</v>
      </c>
      <c r="W2958" s="46" t="str">
        <f t="shared" si="1242"/>
        <v/>
      </c>
      <c r="X2958" s="46" t="str">
        <f t="shared" si="1242"/>
        <v/>
      </c>
    </row>
    <row r="2959" spans="2:24" x14ac:dyDescent="0.25">
      <c r="B2959" s="11" t="str">
        <f t="shared" si="1253"/>
        <v>LLRN-31OCT1908</v>
      </c>
      <c r="C2959" s="11" t="s">
        <v>89</v>
      </c>
      <c r="D2959" s="11" t="s">
        <v>1699</v>
      </c>
      <c r="E2959" s="39" t="s">
        <v>1217</v>
      </c>
      <c r="F2959" s="11" t="s">
        <v>1700</v>
      </c>
      <c r="G2959" s="39" t="s">
        <v>1829</v>
      </c>
      <c r="H2959" s="7">
        <v>1</v>
      </c>
      <c r="I2959" s="7">
        <v>1</v>
      </c>
      <c r="J2959" s="17">
        <v>61</v>
      </c>
      <c r="K2959" s="17"/>
      <c r="L2959" s="7">
        <f t="shared" si="1254"/>
        <v>63</v>
      </c>
      <c r="M2959" s="8">
        <v>1</v>
      </c>
      <c r="N2959" s="8">
        <f t="shared" si="1255"/>
        <v>1</v>
      </c>
      <c r="O2959" s="11" t="s">
        <v>1702</v>
      </c>
      <c r="P2959" s="16" t="str">
        <f t="shared" si="1256"/>
        <v>31-Oct-1908</v>
      </c>
      <c r="R2959" s="16" t="str">
        <f t="shared" si="1252"/>
        <v>x</v>
      </c>
      <c r="S2959" s="16" t="str">
        <f t="shared" si="1252"/>
        <v>x</v>
      </c>
      <c r="T2959" s="11"/>
      <c r="U2959" s="46" t="str">
        <f t="shared" si="1242"/>
        <v/>
      </c>
      <c r="V2959" s="46">
        <f t="shared" si="1242"/>
        <v>63</v>
      </c>
      <c r="W2959" s="46" t="str">
        <f t="shared" si="1242"/>
        <v/>
      </c>
      <c r="X2959" s="46" t="str">
        <f t="shared" si="1242"/>
        <v/>
      </c>
    </row>
    <row r="2960" spans="2:24" x14ac:dyDescent="0.25">
      <c r="B2960" s="11" t="str">
        <f t="shared" si="1253"/>
        <v>LLRN-28NOV1908</v>
      </c>
      <c r="C2960" s="11" t="s">
        <v>89</v>
      </c>
      <c r="D2960" s="11" t="s">
        <v>1699</v>
      </c>
      <c r="E2960" s="39" t="s">
        <v>1218</v>
      </c>
      <c r="F2960" s="11" t="s">
        <v>1700</v>
      </c>
      <c r="G2960" s="39" t="s">
        <v>1831</v>
      </c>
      <c r="H2960" s="7">
        <v>0</v>
      </c>
      <c r="I2960" s="7">
        <v>0</v>
      </c>
      <c r="J2960" s="17">
        <v>0</v>
      </c>
      <c r="K2960" s="17"/>
      <c r="L2960" s="7">
        <f t="shared" si="1254"/>
        <v>0</v>
      </c>
      <c r="M2960" s="8">
        <v>1</v>
      </c>
      <c r="N2960" s="8" t="str">
        <f t="shared" si="1255"/>
        <v/>
      </c>
      <c r="O2960" s="11" t="s">
        <v>1702</v>
      </c>
      <c r="P2960" s="16" t="str">
        <f t="shared" si="1256"/>
        <v>28-Nov-1908</v>
      </c>
      <c r="R2960" s="16" t="str">
        <f t="shared" si="1252"/>
        <v/>
      </c>
      <c r="S2960" s="16" t="str">
        <f t="shared" si="1252"/>
        <v/>
      </c>
      <c r="T2960" s="11"/>
      <c r="U2960" s="46" t="str">
        <f t="shared" si="1242"/>
        <v/>
      </c>
      <c r="V2960" s="46">
        <f t="shared" si="1242"/>
        <v>0</v>
      </c>
      <c r="W2960" s="46" t="str">
        <f t="shared" si="1242"/>
        <v/>
      </c>
      <c r="X2960" s="46" t="str">
        <f t="shared" si="1242"/>
        <v/>
      </c>
    </row>
    <row r="2961" spans="2:24" x14ac:dyDescent="0.25">
      <c r="B2961" s="11" t="str">
        <f t="shared" si="1253"/>
        <v>LLRN-27DEC1908</v>
      </c>
      <c r="C2961" s="11" t="s">
        <v>89</v>
      </c>
      <c r="D2961" s="11" t="s">
        <v>1699</v>
      </c>
      <c r="E2961" s="39" t="s">
        <v>2307</v>
      </c>
      <c r="F2961" s="11" t="s">
        <v>1700</v>
      </c>
      <c r="G2961" s="39" t="s">
        <v>2304</v>
      </c>
      <c r="H2961" s="7">
        <v>0</v>
      </c>
      <c r="I2961" s="7">
        <v>0</v>
      </c>
      <c r="J2961" s="17">
        <v>38</v>
      </c>
      <c r="K2961" s="17"/>
      <c r="L2961" s="7">
        <f t="shared" si="1254"/>
        <v>38</v>
      </c>
      <c r="M2961" s="8">
        <v>1</v>
      </c>
      <c r="N2961" s="8">
        <f t="shared" si="1255"/>
        <v>1</v>
      </c>
      <c r="O2961" s="11" t="s">
        <v>1702</v>
      </c>
      <c r="P2961" s="16" t="str">
        <f t="shared" si="1256"/>
        <v>27-Dec-1908</v>
      </c>
      <c r="R2961" s="16" t="str">
        <f t="shared" si="1252"/>
        <v>x</v>
      </c>
      <c r="S2961" s="16" t="str">
        <f t="shared" si="1252"/>
        <v>x</v>
      </c>
      <c r="T2961" s="11"/>
      <c r="U2961" s="46" t="str">
        <f t="shared" si="1242"/>
        <v/>
      </c>
      <c r="V2961" s="46">
        <f t="shared" si="1242"/>
        <v>38</v>
      </c>
      <c r="W2961" s="46" t="str">
        <f t="shared" si="1242"/>
        <v/>
      </c>
      <c r="X2961" s="46" t="str">
        <f t="shared" si="1242"/>
        <v/>
      </c>
    </row>
    <row r="2962" spans="2:24" x14ac:dyDescent="0.25">
      <c r="B2962" s="11" t="str">
        <f t="shared" si="1253"/>
        <v>LLRN-25JAN1909</v>
      </c>
      <c r="C2962" s="11" t="s">
        <v>89</v>
      </c>
      <c r="D2962" s="11" t="s">
        <v>1699</v>
      </c>
      <c r="E2962" s="39" t="s">
        <v>1476</v>
      </c>
      <c r="F2962" s="11" t="s">
        <v>1700</v>
      </c>
      <c r="G2962" s="39" t="s">
        <v>2308</v>
      </c>
      <c r="H2962" s="7">
        <v>0</v>
      </c>
      <c r="I2962" s="7">
        <v>0</v>
      </c>
      <c r="J2962" s="17">
        <v>2</v>
      </c>
      <c r="K2962" s="17"/>
      <c r="L2962" s="7">
        <f t="shared" si="1254"/>
        <v>2</v>
      </c>
      <c r="M2962" s="8">
        <v>1</v>
      </c>
      <c r="N2962" s="8">
        <f t="shared" si="1255"/>
        <v>1</v>
      </c>
      <c r="O2962" s="11" t="s">
        <v>1702</v>
      </c>
      <c r="P2962" s="16" t="str">
        <f t="shared" si="1256"/>
        <v>25-Jan-1909</v>
      </c>
      <c r="R2962" s="16" t="str">
        <f t="shared" si="1252"/>
        <v>x</v>
      </c>
      <c r="S2962" s="16" t="str">
        <f t="shared" si="1252"/>
        <v>x</v>
      </c>
      <c r="T2962" s="11"/>
      <c r="U2962" s="46" t="str">
        <f t="shared" si="1242"/>
        <v/>
      </c>
      <c r="V2962" s="46">
        <f t="shared" si="1242"/>
        <v>2</v>
      </c>
      <c r="W2962" s="46" t="str">
        <f t="shared" si="1242"/>
        <v/>
      </c>
      <c r="X2962" s="46" t="str">
        <f t="shared" si="1242"/>
        <v/>
      </c>
    </row>
    <row r="2963" spans="2:24" x14ac:dyDescent="0.25">
      <c r="B2963" s="11" t="str">
        <f t="shared" si="1253"/>
        <v>LLRN-04APR1909</v>
      </c>
      <c r="C2963" s="11" t="s">
        <v>89</v>
      </c>
      <c r="D2963" s="11" t="s">
        <v>1699</v>
      </c>
      <c r="E2963" s="39" t="s">
        <v>2312</v>
      </c>
      <c r="F2963" s="11" t="s">
        <v>1700</v>
      </c>
      <c r="G2963" s="39" t="s">
        <v>2309</v>
      </c>
      <c r="H2963" s="7">
        <v>0</v>
      </c>
      <c r="I2963" s="7">
        <v>0</v>
      </c>
      <c r="J2963" s="17">
        <v>9</v>
      </c>
      <c r="K2963" s="17"/>
      <c r="L2963" s="7">
        <f t="shared" si="1254"/>
        <v>9</v>
      </c>
      <c r="M2963" s="8">
        <v>1</v>
      </c>
      <c r="N2963" s="8">
        <f t="shared" si="1255"/>
        <v>1</v>
      </c>
      <c r="O2963" s="11" t="s">
        <v>1702</v>
      </c>
      <c r="P2963" s="16" t="str">
        <f t="shared" si="1256"/>
        <v>04-Apr-1909</v>
      </c>
      <c r="R2963" s="16" t="str">
        <f t="shared" si="1252"/>
        <v>x</v>
      </c>
      <c r="S2963" s="16" t="str">
        <f t="shared" si="1252"/>
        <v>x</v>
      </c>
      <c r="T2963" s="11"/>
      <c r="U2963" s="46" t="str">
        <f t="shared" si="1242"/>
        <v/>
      </c>
      <c r="V2963" s="46">
        <f t="shared" si="1242"/>
        <v>9</v>
      </c>
      <c r="W2963" s="46" t="str">
        <f t="shared" si="1242"/>
        <v/>
      </c>
      <c r="X2963" s="46" t="str">
        <f t="shared" si="1242"/>
        <v/>
      </c>
    </row>
    <row r="2964" spans="2:24" x14ac:dyDescent="0.25">
      <c r="B2964" s="11" t="str">
        <f t="shared" ref="B2964:B2970" si="1257">CONCATENATE("LLRN","-",LEFT(P2964,2),UPPER(MID(P2964,4,3)),RIGHT(P2964,4))</f>
        <v>LLRN-02MAY1909</v>
      </c>
      <c r="C2964" s="11" t="s">
        <v>89</v>
      </c>
      <c r="D2964" s="11" t="s">
        <v>1699</v>
      </c>
      <c r="E2964" s="39" t="s">
        <v>95</v>
      </c>
      <c r="F2964" s="11" t="s">
        <v>1700</v>
      </c>
      <c r="G2964" s="39" t="s">
        <v>2310</v>
      </c>
      <c r="H2964" s="7">
        <v>2</v>
      </c>
      <c r="I2964" s="7">
        <v>0</v>
      </c>
      <c r="J2964" s="17">
        <v>0</v>
      </c>
      <c r="K2964" s="17"/>
      <c r="L2964" s="7">
        <f t="shared" ref="L2964:L2970" si="1258">SUM(H2964:K2964)</f>
        <v>2</v>
      </c>
      <c r="M2964" s="8">
        <v>1</v>
      </c>
      <c r="N2964" s="8">
        <f t="shared" ref="N2964:N2970" si="1259">IF(L2964&gt;0,1,"")</f>
        <v>1</v>
      </c>
      <c r="O2964" s="11" t="s">
        <v>1702</v>
      </c>
      <c r="P2964" s="16" t="str">
        <f t="shared" ref="P2964:P2970" si="1260">IF(LEN(G2964)=10,CONCATENATE("0",G2964),G2964)</f>
        <v>02-May-1909</v>
      </c>
      <c r="R2964" s="16" t="str">
        <f t="shared" si="1252"/>
        <v>x</v>
      </c>
      <c r="S2964" s="16" t="str">
        <f t="shared" si="1252"/>
        <v>x</v>
      </c>
      <c r="T2964" s="11"/>
      <c r="U2964" s="46" t="str">
        <f t="shared" si="1242"/>
        <v/>
      </c>
      <c r="V2964" s="46">
        <f t="shared" si="1242"/>
        <v>2</v>
      </c>
      <c r="W2964" s="46" t="str">
        <f t="shared" si="1242"/>
        <v/>
      </c>
      <c r="X2964" s="46" t="str">
        <f t="shared" si="1242"/>
        <v/>
      </c>
    </row>
    <row r="2965" spans="2:24" x14ac:dyDescent="0.25">
      <c r="B2965" s="11" t="str">
        <f t="shared" si="1257"/>
        <v>LLRN-29MAY1909</v>
      </c>
      <c r="C2965" s="11" t="s">
        <v>89</v>
      </c>
      <c r="D2965" s="11" t="s">
        <v>1699</v>
      </c>
      <c r="E2965" s="39" t="s">
        <v>934</v>
      </c>
      <c r="F2965" s="11" t="s">
        <v>1700</v>
      </c>
      <c r="G2965" s="39" t="s">
        <v>1239</v>
      </c>
      <c r="H2965" s="7">
        <v>0</v>
      </c>
      <c r="I2965" s="7">
        <v>0</v>
      </c>
      <c r="J2965" s="17">
        <v>8</v>
      </c>
      <c r="K2965" s="17"/>
      <c r="L2965" s="7">
        <f t="shared" si="1258"/>
        <v>8</v>
      </c>
      <c r="M2965" s="8">
        <v>1</v>
      </c>
      <c r="N2965" s="8">
        <f t="shared" si="1259"/>
        <v>1</v>
      </c>
      <c r="O2965" s="11" t="s">
        <v>1702</v>
      </c>
      <c r="P2965" s="16" t="str">
        <f t="shared" si="1260"/>
        <v>29-May-1909</v>
      </c>
      <c r="R2965" s="16" t="str">
        <f t="shared" si="1252"/>
        <v>x</v>
      </c>
      <c r="S2965" s="16" t="str">
        <f t="shared" si="1252"/>
        <v>x</v>
      </c>
      <c r="T2965" s="11"/>
      <c r="U2965" s="46" t="str">
        <f t="shared" si="1242"/>
        <v/>
      </c>
      <c r="V2965" s="46">
        <f t="shared" si="1242"/>
        <v>8</v>
      </c>
      <c r="W2965" s="46" t="str">
        <f t="shared" si="1242"/>
        <v/>
      </c>
      <c r="X2965" s="46" t="str">
        <f t="shared" si="1242"/>
        <v/>
      </c>
    </row>
    <row r="2966" spans="2:24" x14ac:dyDescent="0.25">
      <c r="B2966" s="11" t="str">
        <f t="shared" si="1257"/>
        <v>LLRN-19JUN1909</v>
      </c>
      <c r="C2966" s="11" t="s">
        <v>89</v>
      </c>
      <c r="D2966" s="11" t="s">
        <v>1699</v>
      </c>
      <c r="E2966" s="39" t="s">
        <v>2313</v>
      </c>
      <c r="F2966" s="11" t="s">
        <v>1700</v>
      </c>
      <c r="G2966" s="39" t="s">
        <v>935</v>
      </c>
      <c r="H2966" s="7">
        <v>0</v>
      </c>
      <c r="I2966" s="7">
        <v>0</v>
      </c>
      <c r="J2966" s="17">
        <v>19</v>
      </c>
      <c r="K2966" s="17"/>
      <c r="L2966" s="7">
        <f t="shared" si="1258"/>
        <v>19</v>
      </c>
      <c r="M2966" s="8">
        <v>1</v>
      </c>
      <c r="N2966" s="8">
        <f t="shared" si="1259"/>
        <v>1</v>
      </c>
      <c r="O2966" s="11" t="s">
        <v>1702</v>
      </c>
      <c r="P2966" s="16" t="str">
        <f t="shared" si="1260"/>
        <v>19-Jun-1909</v>
      </c>
      <c r="R2966" s="16" t="str">
        <f t="shared" si="1252"/>
        <v>x</v>
      </c>
      <c r="S2966" s="16" t="str">
        <f t="shared" si="1252"/>
        <v>x</v>
      </c>
      <c r="T2966" s="11"/>
      <c r="U2966" s="46" t="str">
        <f t="shared" si="1242"/>
        <v/>
      </c>
      <c r="V2966" s="46">
        <f t="shared" si="1242"/>
        <v>19</v>
      </c>
      <c r="W2966" s="46" t="str">
        <f t="shared" si="1242"/>
        <v/>
      </c>
      <c r="X2966" s="46" t="str">
        <f t="shared" si="1242"/>
        <v/>
      </c>
    </row>
    <row r="2967" spans="2:24" x14ac:dyDescent="0.25">
      <c r="B2967" s="11" t="str">
        <f t="shared" si="1257"/>
        <v>LLRN-24JUL1909</v>
      </c>
      <c r="C2967" s="11" t="s">
        <v>89</v>
      </c>
      <c r="D2967" s="11" t="s">
        <v>1699</v>
      </c>
      <c r="E2967" s="39" t="s">
        <v>2314</v>
      </c>
      <c r="F2967" s="11" t="s">
        <v>1700</v>
      </c>
      <c r="G2967" s="39" t="s">
        <v>1483</v>
      </c>
      <c r="H2967" s="7">
        <v>0</v>
      </c>
      <c r="I2967" s="7">
        <v>0</v>
      </c>
      <c r="J2967" s="17">
        <v>0</v>
      </c>
      <c r="K2967" s="17"/>
      <c r="L2967" s="7">
        <f t="shared" si="1258"/>
        <v>0</v>
      </c>
      <c r="M2967" s="8">
        <v>1</v>
      </c>
      <c r="N2967" s="8" t="str">
        <f t="shared" si="1259"/>
        <v/>
      </c>
      <c r="O2967" s="11" t="s">
        <v>1702</v>
      </c>
      <c r="P2967" s="16" t="str">
        <f t="shared" si="1260"/>
        <v>24-Jul-1909</v>
      </c>
      <c r="R2967" s="16" t="str">
        <f t="shared" si="1252"/>
        <v/>
      </c>
      <c r="S2967" s="16" t="str">
        <f t="shared" si="1252"/>
        <v/>
      </c>
      <c r="T2967" s="11"/>
      <c r="U2967" s="46" t="str">
        <f t="shared" si="1242"/>
        <v/>
      </c>
      <c r="V2967" s="46">
        <f t="shared" si="1242"/>
        <v>0</v>
      </c>
      <c r="W2967" s="46" t="str">
        <f t="shared" si="1242"/>
        <v/>
      </c>
      <c r="X2967" s="46" t="str">
        <f t="shared" si="1242"/>
        <v/>
      </c>
    </row>
    <row r="2968" spans="2:24" x14ac:dyDescent="0.25">
      <c r="B2968" s="11" t="str">
        <f t="shared" si="1257"/>
        <v>LLRN-21AUG1909</v>
      </c>
      <c r="C2968" s="11" t="s">
        <v>89</v>
      </c>
      <c r="D2968" s="11" t="s">
        <v>1699</v>
      </c>
      <c r="E2968" s="39" t="s">
        <v>2315</v>
      </c>
      <c r="F2968" s="11" t="s">
        <v>1700</v>
      </c>
      <c r="G2968" s="39" t="s">
        <v>1843</v>
      </c>
      <c r="H2968" s="7">
        <v>0</v>
      </c>
      <c r="I2968" s="7">
        <v>0</v>
      </c>
      <c r="J2968" s="17">
        <v>3</v>
      </c>
      <c r="K2968" s="17"/>
      <c r="L2968" s="7">
        <f t="shared" si="1258"/>
        <v>3</v>
      </c>
      <c r="M2968" s="8">
        <v>1</v>
      </c>
      <c r="N2968" s="8">
        <f t="shared" si="1259"/>
        <v>1</v>
      </c>
      <c r="O2968" s="11" t="s">
        <v>1702</v>
      </c>
      <c r="P2968" s="16" t="str">
        <f t="shared" si="1260"/>
        <v>21-Aug-1909</v>
      </c>
      <c r="R2968" s="16" t="str">
        <f t="shared" si="1252"/>
        <v>x</v>
      </c>
      <c r="S2968" s="16" t="str">
        <f t="shared" si="1252"/>
        <v>x</v>
      </c>
      <c r="T2968" s="11"/>
      <c r="U2968" s="46" t="str">
        <f t="shared" si="1242"/>
        <v/>
      </c>
      <c r="V2968" s="46">
        <f t="shared" si="1242"/>
        <v>3</v>
      </c>
      <c r="W2968" s="46" t="str">
        <f t="shared" si="1242"/>
        <v/>
      </c>
      <c r="X2968" s="46" t="str">
        <f t="shared" si="1242"/>
        <v/>
      </c>
    </row>
    <row r="2969" spans="2:24" x14ac:dyDescent="0.25">
      <c r="B2969" s="11" t="str">
        <f t="shared" si="1257"/>
        <v>LLRN-18SEP1909</v>
      </c>
      <c r="C2969" s="11" t="s">
        <v>89</v>
      </c>
      <c r="D2969" s="11" t="s">
        <v>1699</v>
      </c>
      <c r="E2969" s="39" t="s">
        <v>1479</v>
      </c>
      <c r="F2969" s="11" t="s">
        <v>1700</v>
      </c>
      <c r="G2969" s="39" t="s">
        <v>936</v>
      </c>
      <c r="H2969" s="7">
        <v>0</v>
      </c>
      <c r="I2969" s="7">
        <v>2</v>
      </c>
      <c r="J2969" s="17">
        <v>10</v>
      </c>
      <c r="K2969" s="17"/>
      <c r="L2969" s="7">
        <f t="shared" si="1258"/>
        <v>12</v>
      </c>
      <c r="M2969" s="8">
        <v>1</v>
      </c>
      <c r="N2969" s="8">
        <f t="shared" si="1259"/>
        <v>1</v>
      </c>
      <c r="O2969" s="11" t="s">
        <v>1702</v>
      </c>
      <c r="P2969" s="16" t="str">
        <f t="shared" si="1260"/>
        <v>18-Sep-1909</v>
      </c>
      <c r="R2969" s="16" t="str">
        <f t="shared" si="1252"/>
        <v>x</v>
      </c>
      <c r="S2969" s="16" t="str">
        <f t="shared" si="1252"/>
        <v>x</v>
      </c>
      <c r="T2969" s="11"/>
      <c r="U2969" s="46" t="str">
        <f t="shared" si="1242"/>
        <v/>
      </c>
      <c r="V2969" s="46">
        <f t="shared" si="1242"/>
        <v>12</v>
      </c>
      <c r="W2969" s="46" t="str">
        <f t="shared" si="1242"/>
        <v/>
      </c>
      <c r="X2969" s="46" t="str">
        <f t="shared" si="1242"/>
        <v/>
      </c>
    </row>
    <row r="2970" spans="2:24" x14ac:dyDescent="0.25">
      <c r="B2970" s="11" t="str">
        <f t="shared" si="1257"/>
        <v>LLRN-12DEC1909</v>
      </c>
      <c r="C2970" s="11" t="s">
        <v>89</v>
      </c>
      <c r="D2970" s="11" t="s">
        <v>1699</v>
      </c>
      <c r="E2970" s="39" t="s">
        <v>2316</v>
      </c>
      <c r="F2970" s="11" t="s">
        <v>1700</v>
      </c>
      <c r="G2970" s="39" t="s">
        <v>2311</v>
      </c>
      <c r="H2970" s="7">
        <v>0</v>
      </c>
      <c r="I2970" s="7">
        <v>0</v>
      </c>
      <c r="J2970" s="17">
        <v>11</v>
      </c>
      <c r="K2970" s="17"/>
      <c r="L2970" s="7">
        <f t="shared" si="1258"/>
        <v>11</v>
      </c>
      <c r="M2970" s="8">
        <v>1</v>
      </c>
      <c r="N2970" s="8">
        <f t="shared" si="1259"/>
        <v>1</v>
      </c>
      <c r="O2970" s="11" t="s">
        <v>1702</v>
      </c>
      <c r="P2970" s="16" t="str">
        <f t="shared" si="1260"/>
        <v>12-Dec-1909</v>
      </c>
      <c r="R2970" s="16" t="str">
        <f t="shared" si="1252"/>
        <v>x</v>
      </c>
      <c r="S2970" s="16" t="str">
        <f t="shared" si="1252"/>
        <v>x</v>
      </c>
      <c r="T2970" s="11"/>
      <c r="U2970" s="46" t="str">
        <f t="shared" si="1242"/>
        <v/>
      </c>
      <c r="V2970" s="46">
        <f t="shared" si="1242"/>
        <v>11</v>
      </c>
      <c r="W2970" s="46" t="str">
        <f t="shared" si="1242"/>
        <v/>
      </c>
      <c r="X2970" s="46" t="str">
        <f t="shared" si="1242"/>
        <v/>
      </c>
    </row>
    <row r="2971" spans="2:24" x14ac:dyDescent="0.25">
      <c r="B2971" s="11" t="str">
        <f>CONCATENATE("LLRN","-",LEFT(P2971,2),UPPER(MID(P2971,4,3)),RIGHT(P2971,4))</f>
        <v>LLRN-17JAN1910</v>
      </c>
      <c r="C2971" s="11" t="s">
        <v>89</v>
      </c>
      <c r="D2971" s="11" t="s">
        <v>1699</v>
      </c>
      <c r="E2971" s="39" t="s">
        <v>2326</v>
      </c>
      <c r="F2971" s="11" t="s">
        <v>1700</v>
      </c>
      <c r="G2971" s="39" t="s">
        <v>2320</v>
      </c>
      <c r="H2971" s="7">
        <v>0</v>
      </c>
      <c r="I2971" s="7">
        <v>0</v>
      </c>
      <c r="J2971" s="17">
        <v>0</v>
      </c>
      <c r="K2971" s="17"/>
      <c r="L2971" s="7">
        <f>SUM(H2971:K2971)</f>
        <v>0</v>
      </c>
      <c r="M2971" s="8">
        <v>1</v>
      </c>
      <c r="N2971" s="8" t="str">
        <f>IF(L2971&gt;0,1,"")</f>
        <v/>
      </c>
      <c r="O2971" s="11" t="s">
        <v>1702</v>
      </c>
      <c r="P2971" s="16" t="str">
        <f>IF(LEN(G2971)=10,CONCATENATE("0",G2971),G2971)</f>
        <v>17-Jan-1910</v>
      </c>
      <c r="R2971" s="16" t="str">
        <f t="shared" si="1252"/>
        <v/>
      </c>
      <c r="S2971" s="16" t="str">
        <f t="shared" si="1252"/>
        <v/>
      </c>
      <c r="T2971" s="11"/>
      <c r="U2971" s="46" t="str">
        <f t="shared" si="1242"/>
        <v/>
      </c>
      <c r="V2971" s="46">
        <f t="shared" si="1242"/>
        <v>0</v>
      </c>
      <c r="W2971" s="46" t="str">
        <f t="shared" si="1242"/>
        <v/>
      </c>
      <c r="X2971" s="46" t="str">
        <f t="shared" si="1242"/>
        <v/>
      </c>
    </row>
    <row r="2972" spans="2:24" x14ac:dyDescent="0.25">
      <c r="B2972" s="11" t="str">
        <f>CONCATENATE("LLRN","-",LEFT(P2972,2),UPPER(MID(P2972,4,3)),RIGHT(P2972,4))</f>
        <v>LLRN-07MAR1910</v>
      </c>
      <c r="C2972" s="11" t="s">
        <v>89</v>
      </c>
      <c r="D2972" s="11" t="s">
        <v>1699</v>
      </c>
      <c r="E2972" s="39" t="s">
        <v>2327</v>
      </c>
      <c r="F2972" s="11" t="s">
        <v>1700</v>
      </c>
      <c r="G2972" s="39" t="s">
        <v>2321</v>
      </c>
      <c r="H2972" s="7">
        <v>0</v>
      </c>
      <c r="I2972" s="7">
        <v>0</v>
      </c>
      <c r="J2972" s="17">
        <v>0</v>
      </c>
      <c r="K2972" s="17"/>
      <c r="L2972" s="7">
        <f>SUM(H2972:K2972)</f>
        <v>0</v>
      </c>
      <c r="M2972" s="8">
        <v>1</v>
      </c>
      <c r="N2972" s="8" t="str">
        <f>IF(L2972&gt;0,1,"")</f>
        <v/>
      </c>
      <c r="O2972" s="11" t="s">
        <v>1702</v>
      </c>
      <c r="P2972" s="16" t="str">
        <f>IF(LEN(G2972)=10,CONCATENATE("0",G2972),G2972)</f>
        <v>07-Mar-1910</v>
      </c>
      <c r="R2972" s="16" t="str">
        <f t="shared" ref="R2972:S2995" si="1261">IF($L2972&gt;0,"x","")</f>
        <v/>
      </c>
      <c r="S2972" s="16" t="str">
        <f t="shared" si="1261"/>
        <v/>
      </c>
      <c r="T2972" s="11"/>
      <c r="U2972" s="46" t="str">
        <f t="shared" si="1242"/>
        <v/>
      </c>
      <c r="V2972" s="46">
        <f t="shared" si="1242"/>
        <v>0</v>
      </c>
      <c r="W2972" s="46" t="str">
        <f t="shared" si="1242"/>
        <v/>
      </c>
      <c r="X2972" s="46" t="str">
        <f t="shared" si="1242"/>
        <v/>
      </c>
    </row>
    <row r="2973" spans="2:24" x14ac:dyDescent="0.25">
      <c r="B2973" s="11" t="str">
        <f t="shared" ref="B2973:B2988" si="1262">CONCATENATE("LLRN","-",LEFT(P2973,2),UPPER(MID(P2973,4,3)),RIGHT(P2973,4))</f>
        <v>LLRN-02APR1910</v>
      </c>
      <c r="C2973" s="11" t="s">
        <v>89</v>
      </c>
      <c r="D2973" s="11" t="s">
        <v>1699</v>
      </c>
      <c r="E2973" s="39" t="s">
        <v>1490</v>
      </c>
      <c r="F2973" s="11" t="s">
        <v>1700</v>
      </c>
      <c r="G2973" s="39" t="s">
        <v>1249</v>
      </c>
      <c r="H2973" s="7">
        <v>0</v>
      </c>
      <c r="I2973" s="7">
        <v>0</v>
      </c>
      <c r="J2973" s="17">
        <v>0</v>
      </c>
      <c r="K2973" s="17"/>
      <c r="L2973" s="7">
        <f t="shared" ref="L2973:L2988" si="1263">SUM(H2973:K2973)</f>
        <v>0</v>
      </c>
      <c r="M2973" s="8">
        <v>1</v>
      </c>
      <c r="N2973" s="8" t="str">
        <f t="shared" ref="N2973:N2988" si="1264">IF(L2973&gt;0,1,"")</f>
        <v/>
      </c>
      <c r="O2973" s="11" t="s">
        <v>1702</v>
      </c>
      <c r="P2973" s="16" t="str">
        <f t="shared" ref="P2973:P2988" si="1265">IF(LEN(G2973)=10,CONCATENATE("0",G2973),G2973)</f>
        <v>02-Apr-1910</v>
      </c>
      <c r="R2973" s="16" t="str">
        <f t="shared" si="1261"/>
        <v/>
      </c>
      <c r="S2973" s="16" t="str">
        <f t="shared" si="1261"/>
        <v/>
      </c>
      <c r="T2973" s="11"/>
      <c r="U2973" s="46" t="str">
        <f t="shared" si="1242"/>
        <v/>
      </c>
      <c r="V2973" s="46">
        <f t="shared" si="1242"/>
        <v>0</v>
      </c>
      <c r="W2973" s="46" t="str">
        <f t="shared" si="1242"/>
        <v/>
      </c>
      <c r="X2973" s="46" t="str">
        <f t="shared" si="1242"/>
        <v/>
      </c>
    </row>
    <row r="2974" spans="2:24" x14ac:dyDescent="0.25">
      <c r="B2974" s="11" t="str">
        <f t="shared" si="1262"/>
        <v>LLRN-29APR1910</v>
      </c>
      <c r="C2974" s="11" t="s">
        <v>89</v>
      </c>
      <c r="D2974" s="11" t="s">
        <v>1699</v>
      </c>
      <c r="E2974" s="39" t="s">
        <v>2328</v>
      </c>
      <c r="F2974" s="11" t="s">
        <v>1700</v>
      </c>
      <c r="G2974" s="39" t="s">
        <v>2322</v>
      </c>
      <c r="H2974" s="7">
        <v>0</v>
      </c>
      <c r="I2974" s="7">
        <v>0</v>
      </c>
      <c r="J2974" s="17">
        <v>0</v>
      </c>
      <c r="K2974" s="17"/>
      <c r="L2974" s="7">
        <f t="shared" si="1263"/>
        <v>0</v>
      </c>
      <c r="M2974" s="8">
        <v>1</v>
      </c>
      <c r="N2974" s="8" t="str">
        <f t="shared" si="1264"/>
        <v/>
      </c>
      <c r="O2974" s="11" t="s">
        <v>1702</v>
      </c>
      <c r="P2974" s="16" t="str">
        <f t="shared" si="1265"/>
        <v>29-Apr-1910</v>
      </c>
      <c r="R2974" s="16" t="str">
        <f t="shared" si="1261"/>
        <v/>
      </c>
      <c r="S2974" s="16" t="str">
        <f t="shared" si="1261"/>
        <v/>
      </c>
      <c r="T2974" s="11"/>
      <c r="U2974" s="46" t="str">
        <f t="shared" si="1242"/>
        <v/>
      </c>
      <c r="V2974" s="46">
        <f t="shared" si="1242"/>
        <v>0</v>
      </c>
      <c r="W2974" s="46" t="str">
        <f t="shared" si="1242"/>
        <v/>
      </c>
      <c r="X2974" s="46" t="str">
        <f t="shared" si="1242"/>
        <v/>
      </c>
    </row>
    <row r="2975" spans="2:24" x14ac:dyDescent="0.25">
      <c r="B2975" s="11" t="str">
        <f t="shared" si="1262"/>
        <v>LLRN-28MAY1910</v>
      </c>
      <c r="C2975" s="11" t="s">
        <v>89</v>
      </c>
      <c r="D2975" s="11" t="s">
        <v>1699</v>
      </c>
      <c r="E2975" s="39" t="s">
        <v>2329</v>
      </c>
      <c r="F2975" s="11" t="s">
        <v>1700</v>
      </c>
      <c r="G2975" s="39" t="s">
        <v>1499</v>
      </c>
      <c r="H2975" s="7">
        <v>0</v>
      </c>
      <c r="I2975" s="7">
        <v>0</v>
      </c>
      <c r="J2975" s="17">
        <v>16</v>
      </c>
      <c r="K2975" s="17"/>
      <c r="L2975" s="7">
        <f t="shared" si="1263"/>
        <v>16</v>
      </c>
      <c r="M2975" s="8">
        <v>1</v>
      </c>
      <c r="N2975" s="8">
        <f t="shared" si="1264"/>
        <v>1</v>
      </c>
      <c r="O2975" s="11" t="s">
        <v>1702</v>
      </c>
      <c r="P2975" s="16" t="str">
        <f t="shared" si="1265"/>
        <v>28-May-1910</v>
      </c>
      <c r="R2975" s="16" t="str">
        <f t="shared" si="1261"/>
        <v>x</v>
      </c>
      <c r="S2975" s="16" t="str">
        <f t="shared" si="1261"/>
        <v>x</v>
      </c>
      <c r="T2975" s="11"/>
      <c r="U2975" s="46" t="str">
        <f t="shared" si="1242"/>
        <v/>
      </c>
      <c r="V2975" s="46">
        <f t="shared" si="1242"/>
        <v>16</v>
      </c>
      <c r="W2975" s="46" t="str">
        <f t="shared" si="1242"/>
        <v/>
      </c>
      <c r="X2975" s="46" t="str">
        <f t="shared" si="1242"/>
        <v/>
      </c>
    </row>
    <row r="2976" spans="2:24" x14ac:dyDescent="0.25">
      <c r="B2976" s="11" t="str">
        <f t="shared" si="1262"/>
        <v>LLRN-17JUN1910</v>
      </c>
      <c r="C2976" s="11" t="s">
        <v>89</v>
      </c>
      <c r="D2976" s="11" t="s">
        <v>1699</v>
      </c>
      <c r="E2976" s="39" t="s">
        <v>947</v>
      </c>
      <c r="F2976" s="11" t="s">
        <v>1700</v>
      </c>
      <c r="G2976" s="39" t="s">
        <v>2323</v>
      </c>
      <c r="H2976" s="7">
        <v>0</v>
      </c>
      <c r="I2976" s="7">
        <v>2</v>
      </c>
      <c r="J2976" s="17">
        <v>7</v>
      </c>
      <c r="K2976" s="17"/>
      <c r="L2976" s="7">
        <f t="shared" si="1263"/>
        <v>9</v>
      </c>
      <c r="M2976" s="8">
        <v>1</v>
      </c>
      <c r="N2976" s="8">
        <f t="shared" si="1264"/>
        <v>1</v>
      </c>
      <c r="O2976" s="11" t="s">
        <v>1702</v>
      </c>
      <c r="P2976" s="16" t="str">
        <f t="shared" si="1265"/>
        <v>17-Jun-1910</v>
      </c>
      <c r="R2976" s="16" t="str">
        <f t="shared" si="1261"/>
        <v>x</v>
      </c>
      <c r="S2976" s="16" t="str">
        <f t="shared" si="1261"/>
        <v>x</v>
      </c>
      <c r="T2976" s="11"/>
      <c r="U2976" s="46" t="str">
        <f t="shared" si="1242"/>
        <v/>
      </c>
      <c r="V2976" s="46">
        <f t="shared" si="1242"/>
        <v>9</v>
      </c>
      <c r="W2976" s="46" t="str">
        <f t="shared" si="1242"/>
        <v/>
      </c>
      <c r="X2976" s="46" t="str">
        <f t="shared" si="1242"/>
        <v/>
      </c>
    </row>
    <row r="2977" spans="2:24" x14ac:dyDescent="0.25">
      <c r="B2977" s="11" t="str">
        <f t="shared" si="1262"/>
        <v>LLRN-16JUL1910</v>
      </c>
      <c r="C2977" s="11" t="s">
        <v>89</v>
      </c>
      <c r="D2977" s="11" t="s">
        <v>1699</v>
      </c>
      <c r="E2977" s="39" t="s">
        <v>948</v>
      </c>
      <c r="F2977" s="11" t="s">
        <v>1700</v>
      </c>
      <c r="G2977" s="39" t="s">
        <v>1501</v>
      </c>
      <c r="H2977" s="7">
        <v>0</v>
      </c>
      <c r="I2977" s="7">
        <v>0</v>
      </c>
      <c r="J2977" s="17">
        <v>6</v>
      </c>
      <c r="K2977" s="17"/>
      <c r="L2977" s="7">
        <f t="shared" si="1263"/>
        <v>6</v>
      </c>
      <c r="M2977" s="8">
        <v>1</v>
      </c>
      <c r="N2977" s="8">
        <f t="shared" si="1264"/>
        <v>1</v>
      </c>
      <c r="O2977" s="11" t="s">
        <v>1702</v>
      </c>
      <c r="P2977" s="16" t="str">
        <f t="shared" si="1265"/>
        <v>16-Jul-1910</v>
      </c>
      <c r="R2977" s="16" t="str">
        <f t="shared" si="1261"/>
        <v>x</v>
      </c>
      <c r="S2977" s="16" t="str">
        <f t="shared" si="1261"/>
        <v>x</v>
      </c>
      <c r="T2977" s="11"/>
      <c r="U2977" s="46" t="str">
        <f t="shared" si="1242"/>
        <v/>
      </c>
      <c r="V2977" s="46">
        <f t="shared" si="1242"/>
        <v>6</v>
      </c>
      <c r="W2977" s="46" t="str">
        <f t="shared" si="1242"/>
        <v/>
      </c>
      <c r="X2977" s="46" t="str">
        <f t="shared" si="1242"/>
        <v/>
      </c>
    </row>
    <row r="2978" spans="2:24" x14ac:dyDescent="0.25">
      <c r="B2978" s="11" t="str">
        <f t="shared" si="1262"/>
        <v>LLRN-28AUG1910</v>
      </c>
      <c r="C2978" s="11" t="s">
        <v>89</v>
      </c>
      <c r="D2978" s="11" t="s">
        <v>1699</v>
      </c>
      <c r="E2978" s="39" t="s">
        <v>950</v>
      </c>
      <c r="F2978" s="11" t="s">
        <v>1700</v>
      </c>
      <c r="G2978" s="39" t="s">
        <v>1253</v>
      </c>
      <c r="H2978" s="7">
        <v>0</v>
      </c>
      <c r="I2978" s="7">
        <v>0</v>
      </c>
      <c r="J2978" s="17">
        <v>5</v>
      </c>
      <c r="K2978" s="17"/>
      <c r="L2978" s="7">
        <f t="shared" si="1263"/>
        <v>5</v>
      </c>
      <c r="M2978" s="8">
        <v>1</v>
      </c>
      <c r="N2978" s="8">
        <f t="shared" si="1264"/>
        <v>1</v>
      </c>
      <c r="O2978" s="11" t="s">
        <v>1702</v>
      </c>
      <c r="P2978" s="16" t="str">
        <f t="shared" si="1265"/>
        <v>28-Aug-1910</v>
      </c>
      <c r="R2978" s="16" t="str">
        <f t="shared" si="1261"/>
        <v>x</v>
      </c>
      <c r="S2978" s="16" t="str">
        <f t="shared" si="1261"/>
        <v>x</v>
      </c>
      <c r="T2978" s="11"/>
      <c r="U2978" s="46" t="str">
        <f t="shared" si="1242"/>
        <v/>
      </c>
      <c r="V2978" s="46">
        <f t="shared" si="1242"/>
        <v>5</v>
      </c>
      <c r="W2978" s="46" t="str">
        <f t="shared" si="1242"/>
        <v/>
      </c>
      <c r="X2978" s="46" t="str">
        <f t="shared" si="1242"/>
        <v/>
      </c>
    </row>
    <row r="2979" spans="2:24" x14ac:dyDescent="0.25">
      <c r="B2979" s="11" t="str">
        <f t="shared" si="1262"/>
        <v>LLRN-18SEP1910</v>
      </c>
      <c r="C2979" s="11" t="s">
        <v>89</v>
      </c>
      <c r="D2979" s="11" t="s">
        <v>1699</v>
      </c>
      <c r="E2979" s="39" t="s">
        <v>2330</v>
      </c>
      <c r="F2979" s="11" t="s">
        <v>1700</v>
      </c>
      <c r="G2979" s="39" t="s">
        <v>2324</v>
      </c>
      <c r="H2979" s="7">
        <v>0</v>
      </c>
      <c r="I2979" s="7">
        <v>0</v>
      </c>
      <c r="J2979" s="17">
        <v>12</v>
      </c>
      <c r="K2979" s="17"/>
      <c r="L2979" s="7">
        <f t="shared" si="1263"/>
        <v>12</v>
      </c>
      <c r="M2979" s="8">
        <v>1</v>
      </c>
      <c r="N2979" s="8">
        <f t="shared" si="1264"/>
        <v>1</v>
      </c>
      <c r="O2979" s="11" t="s">
        <v>1702</v>
      </c>
      <c r="P2979" s="16" t="str">
        <f t="shared" si="1265"/>
        <v>18-Sep-1910</v>
      </c>
      <c r="R2979" s="16" t="str">
        <f t="shared" si="1261"/>
        <v>x</v>
      </c>
      <c r="S2979" s="16" t="str">
        <f t="shared" si="1261"/>
        <v>x</v>
      </c>
      <c r="T2979" s="11"/>
      <c r="U2979" s="46" t="str">
        <f t="shared" si="1242"/>
        <v/>
      </c>
      <c r="V2979" s="46">
        <f t="shared" si="1242"/>
        <v>12</v>
      </c>
      <c r="W2979" s="46" t="str">
        <f t="shared" si="1242"/>
        <v/>
      </c>
      <c r="X2979" s="46" t="str">
        <f t="shared" si="1242"/>
        <v/>
      </c>
    </row>
    <row r="2980" spans="2:24" x14ac:dyDescent="0.25">
      <c r="B2980" s="11" t="str">
        <f t="shared" si="1262"/>
        <v>LLRN-15OCT1910</v>
      </c>
      <c r="C2980" s="11" t="s">
        <v>89</v>
      </c>
      <c r="D2980" s="11" t="s">
        <v>1699</v>
      </c>
      <c r="E2980" s="39" t="s">
        <v>1493</v>
      </c>
      <c r="F2980" s="11" t="s">
        <v>1700</v>
      </c>
      <c r="G2980" s="39" t="s">
        <v>1865</v>
      </c>
      <c r="H2980" s="7">
        <v>0</v>
      </c>
      <c r="I2980" s="7">
        <v>0</v>
      </c>
      <c r="J2980" s="17">
        <v>0</v>
      </c>
      <c r="K2980" s="17"/>
      <c r="L2980" s="7">
        <f t="shared" si="1263"/>
        <v>0</v>
      </c>
      <c r="M2980" s="8">
        <v>1</v>
      </c>
      <c r="N2980" s="8" t="str">
        <f t="shared" si="1264"/>
        <v/>
      </c>
      <c r="O2980" s="11" t="s">
        <v>1702</v>
      </c>
      <c r="P2980" s="16" t="str">
        <f t="shared" si="1265"/>
        <v>15-Oct-1910</v>
      </c>
      <c r="R2980" s="16" t="str">
        <f t="shared" si="1261"/>
        <v/>
      </c>
      <c r="S2980" s="16" t="str">
        <f t="shared" si="1261"/>
        <v/>
      </c>
      <c r="T2980" s="11"/>
      <c r="U2980" s="46" t="str">
        <f t="shared" si="1242"/>
        <v/>
      </c>
      <c r="V2980" s="46">
        <f t="shared" si="1242"/>
        <v>0</v>
      </c>
      <c r="W2980" s="46" t="str">
        <f t="shared" si="1242"/>
        <v/>
      </c>
      <c r="X2980" s="46" t="str">
        <f t="shared" si="1242"/>
        <v/>
      </c>
    </row>
    <row r="2981" spans="2:24" x14ac:dyDescent="0.25">
      <c r="B2981" s="11" t="str">
        <f t="shared" si="1262"/>
        <v>LLRN-12NOV1910</v>
      </c>
      <c r="C2981" s="11" t="s">
        <v>89</v>
      </c>
      <c r="D2981" s="11" t="s">
        <v>1699</v>
      </c>
      <c r="E2981" s="39" t="s">
        <v>1494</v>
      </c>
      <c r="F2981" s="11" t="s">
        <v>1700</v>
      </c>
      <c r="G2981" s="39" t="s">
        <v>1867</v>
      </c>
      <c r="H2981" s="7">
        <v>0</v>
      </c>
      <c r="I2981" s="7">
        <v>0</v>
      </c>
      <c r="J2981" s="17">
        <v>0</v>
      </c>
      <c r="K2981" s="17"/>
      <c r="L2981" s="7">
        <f t="shared" si="1263"/>
        <v>0</v>
      </c>
      <c r="M2981" s="8">
        <v>1</v>
      </c>
      <c r="N2981" s="8" t="str">
        <f t="shared" si="1264"/>
        <v/>
      </c>
      <c r="O2981" s="11" t="s">
        <v>1702</v>
      </c>
      <c r="P2981" s="16" t="str">
        <f t="shared" si="1265"/>
        <v>12-Nov-1910</v>
      </c>
      <c r="R2981" s="16" t="str">
        <f t="shared" si="1261"/>
        <v/>
      </c>
      <c r="S2981" s="16" t="str">
        <f t="shared" si="1261"/>
        <v/>
      </c>
      <c r="T2981" s="11"/>
      <c r="U2981" s="46" t="str">
        <f t="shared" si="1242"/>
        <v/>
      </c>
      <c r="V2981" s="46">
        <f t="shared" si="1242"/>
        <v>0</v>
      </c>
      <c r="W2981" s="46" t="str">
        <f t="shared" si="1242"/>
        <v/>
      </c>
      <c r="X2981" s="46" t="str">
        <f t="shared" si="1242"/>
        <v/>
      </c>
    </row>
    <row r="2982" spans="2:24" x14ac:dyDescent="0.25">
      <c r="B2982" s="11" t="str">
        <f t="shared" si="1262"/>
        <v>LLRN-11DEC1910</v>
      </c>
      <c r="C2982" s="11" t="s">
        <v>89</v>
      </c>
      <c r="D2982" s="11" t="s">
        <v>1699</v>
      </c>
      <c r="E2982" s="39" t="s">
        <v>1495</v>
      </c>
      <c r="F2982" s="11" t="s">
        <v>1700</v>
      </c>
      <c r="G2982" s="39" t="s">
        <v>2325</v>
      </c>
      <c r="H2982" s="7">
        <v>0</v>
      </c>
      <c r="I2982" s="7">
        <v>0</v>
      </c>
      <c r="J2982" s="17">
        <v>0</v>
      </c>
      <c r="K2982" s="17"/>
      <c r="L2982" s="7">
        <f t="shared" si="1263"/>
        <v>0</v>
      </c>
      <c r="M2982" s="8">
        <v>1</v>
      </c>
      <c r="N2982" s="8" t="str">
        <f t="shared" si="1264"/>
        <v/>
      </c>
      <c r="O2982" s="11" t="s">
        <v>1702</v>
      </c>
      <c r="P2982" s="16" t="str">
        <f t="shared" si="1265"/>
        <v>11-Dec-1910</v>
      </c>
      <c r="R2982" s="16" t="str">
        <f t="shared" si="1261"/>
        <v/>
      </c>
      <c r="S2982" s="16" t="str">
        <f t="shared" si="1261"/>
        <v/>
      </c>
      <c r="T2982" s="11"/>
      <c r="U2982" s="46" t="str">
        <f t="shared" si="1242"/>
        <v/>
      </c>
      <c r="V2982" s="46">
        <f t="shared" si="1242"/>
        <v>0</v>
      </c>
      <c r="W2982" s="46" t="str">
        <f t="shared" si="1242"/>
        <v/>
      </c>
      <c r="X2982" s="46" t="str">
        <f t="shared" si="1242"/>
        <v/>
      </c>
    </row>
    <row r="2983" spans="2:24" x14ac:dyDescent="0.25">
      <c r="B2983" s="11" t="str">
        <f t="shared" si="1262"/>
        <v>LLRN-31DEC1910</v>
      </c>
      <c r="C2983" s="11" t="s">
        <v>89</v>
      </c>
      <c r="D2983" s="11" t="s">
        <v>1699</v>
      </c>
      <c r="E2983" s="39" t="s">
        <v>2331</v>
      </c>
      <c r="F2983" s="11" t="s">
        <v>1700</v>
      </c>
      <c r="G2983" s="39" t="s">
        <v>1514</v>
      </c>
      <c r="H2983" s="7">
        <v>0</v>
      </c>
      <c r="I2983" s="7">
        <v>2</v>
      </c>
      <c r="J2983" s="17">
        <v>21</v>
      </c>
      <c r="K2983" s="17"/>
      <c r="L2983" s="7">
        <f t="shared" si="1263"/>
        <v>23</v>
      </c>
      <c r="M2983" s="8">
        <v>1</v>
      </c>
      <c r="N2983" s="8">
        <f t="shared" si="1264"/>
        <v>1</v>
      </c>
      <c r="O2983" s="11" t="s">
        <v>1702</v>
      </c>
      <c r="P2983" s="16" t="str">
        <f t="shared" si="1265"/>
        <v>31-Dec-1910</v>
      </c>
      <c r="R2983" s="16" t="str">
        <f t="shared" si="1261"/>
        <v>x</v>
      </c>
      <c r="S2983" s="16" t="str">
        <f t="shared" si="1261"/>
        <v>x</v>
      </c>
      <c r="T2983" s="11"/>
      <c r="U2983" s="46" t="str">
        <f t="shared" si="1242"/>
        <v/>
      </c>
      <c r="V2983" s="46">
        <f t="shared" si="1242"/>
        <v>23</v>
      </c>
      <c r="W2983" s="46" t="str">
        <f t="shared" si="1242"/>
        <v/>
      </c>
      <c r="X2983" s="46" t="str">
        <f t="shared" si="1242"/>
        <v/>
      </c>
    </row>
    <row r="2984" spans="2:24" x14ac:dyDescent="0.25">
      <c r="B2984" s="11" t="str">
        <f t="shared" si="1262"/>
        <v>LLRN-05MAR1911</v>
      </c>
      <c r="C2984" s="11" t="s">
        <v>89</v>
      </c>
      <c r="D2984" s="11" t="s">
        <v>1699</v>
      </c>
      <c r="E2984" s="39" t="s">
        <v>2338</v>
      </c>
      <c r="F2984" s="11" t="s">
        <v>1700</v>
      </c>
      <c r="G2984" s="39" t="s">
        <v>2332</v>
      </c>
      <c r="H2984" s="7">
        <v>0</v>
      </c>
      <c r="I2984" s="7">
        <v>0</v>
      </c>
      <c r="J2984" s="17">
        <v>3</v>
      </c>
      <c r="K2984" s="17"/>
      <c r="L2984" s="7">
        <f t="shared" si="1263"/>
        <v>3</v>
      </c>
      <c r="M2984" s="8">
        <v>1</v>
      </c>
      <c r="N2984" s="8">
        <f t="shared" si="1264"/>
        <v>1</v>
      </c>
      <c r="O2984" s="11" t="s">
        <v>1702</v>
      </c>
      <c r="P2984" s="16" t="str">
        <f t="shared" si="1265"/>
        <v>05-Mar-1911</v>
      </c>
      <c r="R2984" s="16" t="str">
        <f t="shared" si="1261"/>
        <v>x</v>
      </c>
      <c r="S2984" s="16" t="str">
        <f t="shared" si="1261"/>
        <v>x</v>
      </c>
      <c r="T2984" s="11"/>
      <c r="U2984" s="46" t="str">
        <f t="shared" si="1242"/>
        <v/>
      </c>
      <c r="V2984" s="46">
        <f t="shared" si="1242"/>
        <v>3</v>
      </c>
      <c r="W2984" s="46" t="str">
        <f t="shared" si="1242"/>
        <v/>
      </c>
      <c r="X2984" s="46" t="str">
        <f t="shared" si="1242"/>
        <v/>
      </c>
    </row>
    <row r="2985" spans="2:24" x14ac:dyDescent="0.25">
      <c r="B2985" s="11" t="str">
        <f t="shared" si="1262"/>
        <v>LLRN-01APR1911</v>
      </c>
      <c r="C2985" s="11" t="s">
        <v>89</v>
      </c>
      <c r="D2985" s="11" t="s">
        <v>1699</v>
      </c>
      <c r="E2985" s="39" t="s">
        <v>1504</v>
      </c>
      <c r="F2985" s="11" t="s">
        <v>1700</v>
      </c>
      <c r="G2985" s="39" t="s">
        <v>899</v>
      </c>
      <c r="H2985" s="7">
        <v>0</v>
      </c>
      <c r="I2985" s="7">
        <v>0</v>
      </c>
      <c r="J2985" s="17">
        <v>2</v>
      </c>
      <c r="K2985" s="17"/>
      <c r="L2985" s="7">
        <f t="shared" si="1263"/>
        <v>2</v>
      </c>
      <c r="M2985" s="8">
        <v>1</v>
      </c>
      <c r="N2985" s="8">
        <f t="shared" si="1264"/>
        <v>1</v>
      </c>
      <c r="O2985" s="11" t="s">
        <v>1702</v>
      </c>
      <c r="P2985" s="16" t="str">
        <f t="shared" si="1265"/>
        <v>01-Apr-1911</v>
      </c>
      <c r="R2985" s="16" t="str">
        <f t="shared" si="1261"/>
        <v>x</v>
      </c>
      <c r="S2985" s="16" t="str">
        <f t="shared" si="1261"/>
        <v>x</v>
      </c>
      <c r="T2985" s="11"/>
      <c r="U2985" s="46" t="str">
        <f t="shared" si="1242"/>
        <v/>
      </c>
      <c r="V2985" s="46">
        <f t="shared" si="1242"/>
        <v>2</v>
      </c>
      <c r="W2985" s="46" t="str">
        <f t="shared" si="1242"/>
        <v/>
      </c>
      <c r="X2985" s="46" t="str">
        <f t="shared" si="1242"/>
        <v/>
      </c>
    </row>
    <row r="2986" spans="2:24" x14ac:dyDescent="0.25">
      <c r="B2986" s="11" t="str">
        <f t="shared" si="1262"/>
        <v>LLRN-30APR1911</v>
      </c>
      <c r="C2986" s="11" t="s">
        <v>89</v>
      </c>
      <c r="D2986" s="11" t="s">
        <v>1699</v>
      </c>
      <c r="E2986" s="39" t="s">
        <v>1505</v>
      </c>
      <c r="F2986" s="11" t="s">
        <v>1700</v>
      </c>
      <c r="G2986" s="39" t="s">
        <v>2333</v>
      </c>
      <c r="H2986" s="7">
        <v>0</v>
      </c>
      <c r="I2986" s="7">
        <v>1</v>
      </c>
      <c r="J2986" s="17">
        <v>2</v>
      </c>
      <c r="K2986" s="17"/>
      <c r="L2986" s="7">
        <f t="shared" si="1263"/>
        <v>3</v>
      </c>
      <c r="M2986" s="8">
        <v>1</v>
      </c>
      <c r="N2986" s="8">
        <f t="shared" si="1264"/>
        <v>1</v>
      </c>
      <c r="O2986" s="11" t="s">
        <v>1702</v>
      </c>
      <c r="P2986" s="16" t="str">
        <f t="shared" si="1265"/>
        <v>30-Apr-1911</v>
      </c>
      <c r="R2986" s="16" t="str">
        <f t="shared" si="1261"/>
        <v>x</v>
      </c>
      <c r="S2986" s="16" t="str">
        <f t="shared" si="1261"/>
        <v>x</v>
      </c>
      <c r="T2986" s="11"/>
      <c r="U2986" s="46" t="str">
        <f t="shared" si="1242"/>
        <v/>
      </c>
      <c r="V2986" s="46">
        <f t="shared" si="1242"/>
        <v>3</v>
      </c>
      <c r="W2986" s="46" t="str">
        <f t="shared" si="1242"/>
        <v/>
      </c>
      <c r="X2986" s="46" t="str">
        <f t="shared" si="1242"/>
        <v/>
      </c>
    </row>
    <row r="2987" spans="2:24" x14ac:dyDescent="0.25">
      <c r="B2987" s="11" t="str">
        <f t="shared" si="1262"/>
        <v>LLRN-27MAY1911</v>
      </c>
      <c r="C2987" s="11" t="s">
        <v>89</v>
      </c>
      <c r="D2987" s="11" t="s">
        <v>1699</v>
      </c>
      <c r="E2987" s="39" t="s">
        <v>2339</v>
      </c>
      <c r="F2987" s="11" t="s">
        <v>1700</v>
      </c>
      <c r="G2987" s="39" t="s">
        <v>1267</v>
      </c>
      <c r="H2987" s="7">
        <v>0</v>
      </c>
      <c r="I2987" s="7">
        <v>0</v>
      </c>
      <c r="J2987" s="17">
        <v>8</v>
      </c>
      <c r="K2987" s="17"/>
      <c r="L2987" s="7">
        <f t="shared" si="1263"/>
        <v>8</v>
      </c>
      <c r="M2987" s="8">
        <v>1</v>
      </c>
      <c r="N2987" s="8">
        <f t="shared" si="1264"/>
        <v>1</v>
      </c>
      <c r="O2987" s="11" t="s">
        <v>1702</v>
      </c>
      <c r="P2987" s="16" t="str">
        <f t="shared" si="1265"/>
        <v>27-May-1911</v>
      </c>
      <c r="R2987" s="16" t="str">
        <f t="shared" si="1261"/>
        <v>x</v>
      </c>
      <c r="S2987" s="16" t="str">
        <f t="shared" si="1261"/>
        <v>x</v>
      </c>
      <c r="T2987" s="11"/>
      <c r="U2987" s="46" t="str">
        <f t="shared" si="1242"/>
        <v/>
      </c>
      <c r="V2987" s="46">
        <f t="shared" si="1242"/>
        <v>8</v>
      </c>
      <c r="W2987" s="46" t="str">
        <f t="shared" si="1242"/>
        <v/>
      </c>
      <c r="X2987" s="46" t="str">
        <f t="shared" si="1242"/>
        <v/>
      </c>
    </row>
    <row r="2988" spans="2:24" x14ac:dyDescent="0.25">
      <c r="B2988" s="11" t="str">
        <f t="shared" si="1262"/>
        <v>LLRN-17JUN1911</v>
      </c>
      <c r="C2988" s="11" t="s">
        <v>89</v>
      </c>
      <c r="D2988" s="11" t="s">
        <v>1699</v>
      </c>
      <c r="E2988" s="39" t="s">
        <v>972</v>
      </c>
      <c r="F2988" s="11" t="s">
        <v>1700</v>
      </c>
      <c r="G2988" s="39" t="s">
        <v>1268</v>
      </c>
      <c r="H2988" s="7">
        <v>0</v>
      </c>
      <c r="I2988" s="7">
        <v>0</v>
      </c>
      <c r="J2988" s="17">
        <v>7</v>
      </c>
      <c r="K2988" s="17"/>
      <c r="L2988" s="7">
        <f t="shared" si="1263"/>
        <v>7</v>
      </c>
      <c r="M2988" s="8">
        <v>1</v>
      </c>
      <c r="N2988" s="8">
        <f t="shared" si="1264"/>
        <v>1</v>
      </c>
      <c r="O2988" s="11" t="s">
        <v>1702</v>
      </c>
      <c r="P2988" s="16" t="str">
        <f t="shared" si="1265"/>
        <v>17-Jun-1911</v>
      </c>
      <c r="R2988" s="16" t="str">
        <f t="shared" si="1261"/>
        <v>x</v>
      </c>
      <c r="S2988" s="16" t="str">
        <f t="shared" si="1261"/>
        <v>x</v>
      </c>
      <c r="T2988" s="11"/>
      <c r="U2988" s="46" t="str">
        <f t="shared" si="1242"/>
        <v/>
      </c>
      <c r="V2988" s="46">
        <f t="shared" si="1242"/>
        <v>7</v>
      </c>
      <c r="W2988" s="46" t="str">
        <f t="shared" si="1242"/>
        <v/>
      </c>
      <c r="X2988" s="46" t="str">
        <f t="shared" si="1242"/>
        <v/>
      </c>
    </row>
    <row r="2989" spans="2:24" x14ac:dyDescent="0.25">
      <c r="B2989" s="11" t="str">
        <f t="shared" ref="B2989:B2995" si="1266">CONCATENATE("LLRN","-",LEFT(P2989,2),UPPER(MID(P2989,4,3)),RIGHT(P2989,4))</f>
        <v>LLRN-15JUL1911</v>
      </c>
      <c r="C2989" s="11" t="s">
        <v>89</v>
      </c>
      <c r="D2989" s="11" t="s">
        <v>1699</v>
      </c>
      <c r="E2989" s="39" t="s">
        <v>1507</v>
      </c>
      <c r="F2989" s="11" t="s">
        <v>1700</v>
      </c>
      <c r="G2989" s="39" t="s">
        <v>2334</v>
      </c>
      <c r="H2989" s="7">
        <v>0</v>
      </c>
      <c r="I2989" s="7">
        <v>1</v>
      </c>
      <c r="J2989" s="17">
        <v>31</v>
      </c>
      <c r="K2989" s="17"/>
      <c r="L2989" s="7">
        <f t="shared" ref="L2989:L2995" si="1267">SUM(H2989:K2989)</f>
        <v>32</v>
      </c>
      <c r="M2989" s="8">
        <v>1</v>
      </c>
      <c r="N2989" s="8">
        <f t="shared" ref="N2989:N2995" si="1268">IF(L2989&gt;0,1,"")</f>
        <v>1</v>
      </c>
      <c r="O2989" s="11" t="s">
        <v>1702</v>
      </c>
      <c r="P2989" s="16" t="str">
        <f t="shared" ref="P2989:P2995" si="1269">IF(LEN(G2989)=10,CONCATENATE("0",G2989),G2989)</f>
        <v>15-Jul-1911</v>
      </c>
      <c r="R2989" s="16" t="str">
        <f t="shared" si="1261"/>
        <v>x</v>
      </c>
      <c r="S2989" s="16" t="str">
        <f t="shared" si="1261"/>
        <v>x</v>
      </c>
      <c r="T2989" s="11"/>
      <c r="U2989" s="46" t="str">
        <f t="shared" si="1242"/>
        <v/>
      </c>
      <c r="V2989" s="46">
        <f t="shared" si="1242"/>
        <v>32</v>
      </c>
      <c r="W2989" s="46" t="str">
        <f t="shared" si="1242"/>
        <v/>
      </c>
      <c r="X2989" s="46" t="str">
        <f t="shared" si="1242"/>
        <v/>
      </c>
    </row>
    <row r="2990" spans="2:24" x14ac:dyDescent="0.25">
      <c r="B2990" s="11" t="str">
        <f t="shared" si="1266"/>
        <v>LLRN-12AUG1911</v>
      </c>
      <c r="C2990" s="11" t="s">
        <v>89</v>
      </c>
      <c r="D2990" s="11" t="s">
        <v>1699</v>
      </c>
      <c r="E2990" s="39" t="s">
        <v>1258</v>
      </c>
      <c r="F2990" s="11" t="s">
        <v>1700</v>
      </c>
      <c r="G2990" s="39" t="s">
        <v>901</v>
      </c>
      <c r="H2990" s="7">
        <v>0</v>
      </c>
      <c r="I2990" s="7">
        <v>0</v>
      </c>
      <c r="J2990" s="17">
        <v>46</v>
      </c>
      <c r="K2990" s="17"/>
      <c r="L2990" s="7">
        <f t="shared" si="1267"/>
        <v>46</v>
      </c>
      <c r="M2990" s="8">
        <v>1</v>
      </c>
      <c r="N2990" s="8">
        <f t="shared" si="1268"/>
        <v>1</v>
      </c>
      <c r="O2990" s="11" t="s">
        <v>1702</v>
      </c>
      <c r="P2990" s="16" t="str">
        <f t="shared" si="1269"/>
        <v>12-Aug-1911</v>
      </c>
      <c r="R2990" s="16" t="str">
        <f t="shared" si="1261"/>
        <v>x</v>
      </c>
      <c r="S2990" s="16" t="str">
        <f t="shared" si="1261"/>
        <v>x</v>
      </c>
      <c r="T2990" s="11"/>
      <c r="U2990" s="46" t="str">
        <f t="shared" si="1242"/>
        <v/>
      </c>
      <c r="V2990" s="46">
        <f t="shared" si="1242"/>
        <v>46</v>
      </c>
      <c r="W2990" s="46" t="str">
        <f t="shared" si="1242"/>
        <v/>
      </c>
      <c r="X2990" s="46" t="str">
        <f>IF($O2990=X$5,$L2990,"")</f>
        <v/>
      </c>
    </row>
    <row r="2991" spans="2:24" x14ac:dyDescent="0.25">
      <c r="B2991" s="11" t="str">
        <f t="shared" si="1266"/>
        <v>LLRN-16SEP1911</v>
      </c>
      <c r="C2991" s="11" t="s">
        <v>89</v>
      </c>
      <c r="D2991" s="11" t="s">
        <v>1699</v>
      </c>
      <c r="E2991" s="39" t="s">
        <v>1509</v>
      </c>
      <c r="F2991" s="11" t="s">
        <v>1700</v>
      </c>
      <c r="G2991" s="39" t="s">
        <v>1271</v>
      </c>
      <c r="H2991" s="7">
        <v>2</v>
      </c>
      <c r="I2991" s="7">
        <v>0</v>
      </c>
      <c r="J2991" s="17">
        <v>6</v>
      </c>
      <c r="K2991" s="17"/>
      <c r="L2991" s="7">
        <f t="shared" si="1267"/>
        <v>8</v>
      </c>
      <c r="M2991" s="8">
        <v>1</v>
      </c>
      <c r="N2991" s="8">
        <f t="shared" si="1268"/>
        <v>1</v>
      </c>
      <c r="O2991" s="11" t="s">
        <v>1702</v>
      </c>
      <c r="P2991" s="16" t="str">
        <f t="shared" si="1269"/>
        <v>16-Sep-1911</v>
      </c>
      <c r="R2991" s="16" t="str">
        <f t="shared" si="1261"/>
        <v>x</v>
      </c>
      <c r="S2991" s="16" t="str">
        <f t="shared" si="1261"/>
        <v>x</v>
      </c>
      <c r="T2991" s="11"/>
      <c r="U2991" s="46" t="str">
        <f t="shared" ref="U2991:X3054" si="1270">IF($O2991=U$5,$L2991,"")</f>
        <v/>
      </c>
      <c r="V2991" s="46">
        <f t="shared" si="1270"/>
        <v>8</v>
      </c>
      <c r="W2991" s="46" t="str">
        <f t="shared" si="1270"/>
        <v/>
      </c>
      <c r="X2991" s="46" t="str">
        <f t="shared" si="1270"/>
        <v/>
      </c>
    </row>
    <row r="2992" spans="2:24" x14ac:dyDescent="0.25">
      <c r="B2992" s="11" t="str">
        <f t="shared" si="1266"/>
        <v>LLRN-08OCT1911</v>
      </c>
      <c r="C2992" s="11" t="s">
        <v>89</v>
      </c>
      <c r="D2992" s="11" t="s">
        <v>1699</v>
      </c>
      <c r="E2992" s="39" t="s">
        <v>974</v>
      </c>
      <c r="F2992" s="11" t="s">
        <v>1700</v>
      </c>
      <c r="G2992" s="39" t="s">
        <v>2335</v>
      </c>
      <c r="H2992" s="7">
        <v>0</v>
      </c>
      <c r="I2992" s="7">
        <v>0</v>
      </c>
      <c r="J2992" s="17">
        <v>1</v>
      </c>
      <c r="K2992" s="17"/>
      <c r="L2992" s="7">
        <f t="shared" si="1267"/>
        <v>1</v>
      </c>
      <c r="M2992" s="8">
        <v>1</v>
      </c>
      <c r="N2992" s="8">
        <f t="shared" si="1268"/>
        <v>1</v>
      </c>
      <c r="O2992" s="11" t="s">
        <v>1702</v>
      </c>
      <c r="P2992" s="16" t="str">
        <f t="shared" si="1269"/>
        <v>08-Oct-1911</v>
      </c>
      <c r="R2992" s="16" t="str">
        <f t="shared" si="1261"/>
        <v>x</v>
      </c>
      <c r="S2992" s="16" t="str">
        <f t="shared" si="1261"/>
        <v>x</v>
      </c>
      <c r="T2992" s="11"/>
      <c r="U2992" s="46" t="str">
        <f t="shared" si="1270"/>
        <v/>
      </c>
      <c r="V2992" s="46">
        <f t="shared" si="1270"/>
        <v>1</v>
      </c>
      <c r="W2992" s="46" t="str">
        <f t="shared" si="1270"/>
        <v/>
      </c>
      <c r="X2992" s="46" t="str">
        <f t="shared" si="1270"/>
        <v/>
      </c>
    </row>
    <row r="2993" spans="2:24" x14ac:dyDescent="0.25">
      <c r="B2993" s="11" t="str">
        <f t="shared" si="1266"/>
        <v>LLRN-05NOV1911</v>
      </c>
      <c r="C2993" s="11" t="s">
        <v>89</v>
      </c>
      <c r="D2993" s="11" t="s">
        <v>1699</v>
      </c>
      <c r="E2993" s="39" t="s">
        <v>975</v>
      </c>
      <c r="F2993" s="11" t="s">
        <v>1700</v>
      </c>
      <c r="G2993" s="39" t="s">
        <v>2336</v>
      </c>
      <c r="H2993" s="7">
        <v>0</v>
      </c>
      <c r="I2993" s="7">
        <v>0</v>
      </c>
      <c r="J2993" s="17">
        <v>12</v>
      </c>
      <c r="K2993" s="17"/>
      <c r="L2993" s="7">
        <f t="shared" si="1267"/>
        <v>12</v>
      </c>
      <c r="M2993" s="8">
        <v>1</v>
      </c>
      <c r="N2993" s="8">
        <f t="shared" si="1268"/>
        <v>1</v>
      </c>
      <c r="O2993" s="11" t="s">
        <v>1702</v>
      </c>
      <c r="P2993" s="16" t="str">
        <f t="shared" si="1269"/>
        <v>05-Nov-1911</v>
      </c>
      <c r="R2993" s="16" t="str">
        <f t="shared" si="1261"/>
        <v>x</v>
      </c>
      <c r="S2993" s="16" t="str">
        <f t="shared" si="1261"/>
        <v>x</v>
      </c>
      <c r="T2993" s="11"/>
      <c r="U2993" s="46" t="str">
        <f t="shared" si="1270"/>
        <v/>
      </c>
      <c r="V2993" s="46">
        <f t="shared" si="1270"/>
        <v>12</v>
      </c>
      <c r="W2993" s="46" t="str">
        <f t="shared" si="1270"/>
        <v/>
      </c>
      <c r="X2993" s="46" t="str">
        <f t="shared" si="1270"/>
        <v/>
      </c>
    </row>
    <row r="2994" spans="2:24" x14ac:dyDescent="0.25">
      <c r="B2994" s="11" t="str">
        <f t="shared" si="1266"/>
        <v>LLRN-03DEC1911</v>
      </c>
      <c r="C2994" s="11" t="s">
        <v>89</v>
      </c>
      <c r="D2994" s="11" t="s">
        <v>1699</v>
      </c>
      <c r="E2994" s="39" t="s">
        <v>976</v>
      </c>
      <c r="F2994" s="11" t="s">
        <v>1700</v>
      </c>
      <c r="G2994" s="39" t="s">
        <v>2337</v>
      </c>
      <c r="H2994" s="7">
        <v>0</v>
      </c>
      <c r="I2994" s="7">
        <v>0</v>
      </c>
      <c r="J2994" s="17">
        <v>3</v>
      </c>
      <c r="K2994" s="17"/>
      <c r="L2994" s="7">
        <f t="shared" si="1267"/>
        <v>3</v>
      </c>
      <c r="M2994" s="8">
        <v>1</v>
      </c>
      <c r="N2994" s="8">
        <f t="shared" si="1268"/>
        <v>1</v>
      </c>
      <c r="O2994" s="11" t="s">
        <v>1702</v>
      </c>
      <c r="P2994" s="16" t="str">
        <f t="shared" si="1269"/>
        <v>03-Dec-1911</v>
      </c>
      <c r="R2994" s="16" t="str">
        <f t="shared" si="1261"/>
        <v>x</v>
      </c>
      <c r="S2994" s="16" t="str">
        <f t="shared" si="1261"/>
        <v>x</v>
      </c>
      <c r="T2994" s="11"/>
      <c r="U2994" s="46" t="str">
        <f t="shared" si="1270"/>
        <v/>
      </c>
      <c r="V2994" s="46">
        <f t="shared" si="1270"/>
        <v>3</v>
      </c>
      <c r="W2994" s="46" t="str">
        <f t="shared" si="1270"/>
        <v/>
      </c>
      <c r="X2994" s="46" t="str">
        <f t="shared" si="1270"/>
        <v/>
      </c>
    </row>
    <row r="2995" spans="2:24" x14ac:dyDescent="0.25">
      <c r="B2995" s="11" t="str">
        <f t="shared" si="1266"/>
        <v>LLRN-02JAN1912</v>
      </c>
      <c r="C2995" s="11" t="s">
        <v>89</v>
      </c>
      <c r="D2995" s="11" t="s">
        <v>1699</v>
      </c>
      <c r="E2995" s="39" t="s">
        <v>1601</v>
      </c>
      <c r="F2995" s="11" t="s">
        <v>1700</v>
      </c>
      <c r="G2995" s="39" t="s">
        <v>2340</v>
      </c>
      <c r="H2995" s="7">
        <v>0</v>
      </c>
      <c r="I2995" s="7">
        <v>0</v>
      </c>
      <c r="J2995" s="17">
        <v>52</v>
      </c>
      <c r="K2995" s="17"/>
      <c r="L2995" s="7">
        <f t="shared" si="1267"/>
        <v>52</v>
      </c>
      <c r="M2995" s="8">
        <v>1</v>
      </c>
      <c r="N2995" s="8">
        <f t="shared" si="1268"/>
        <v>1</v>
      </c>
      <c r="O2995" s="11" t="s">
        <v>1702</v>
      </c>
      <c r="P2995" s="16" t="str">
        <f t="shared" si="1269"/>
        <v>02-Jan-1912</v>
      </c>
      <c r="R2995" s="16" t="str">
        <f t="shared" si="1261"/>
        <v>x</v>
      </c>
      <c r="S2995" s="16" t="str">
        <f t="shared" si="1261"/>
        <v>x</v>
      </c>
      <c r="T2995" s="11"/>
      <c r="U2995" s="46" t="str">
        <f t="shared" si="1270"/>
        <v/>
      </c>
      <c r="V2995" s="46">
        <f t="shared" si="1270"/>
        <v>52</v>
      </c>
      <c r="W2995" s="46" t="str">
        <f t="shared" si="1270"/>
        <v/>
      </c>
      <c r="X2995" s="46" t="str">
        <f t="shared" si="1270"/>
        <v/>
      </c>
    </row>
    <row r="2996" spans="2:24" x14ac:dyDescent="0.25">
      <c r="B2996" s="11" t="str">
        <f t="shared" ref="B2996:B3014" si="1271">CONCATENATE("LLRN","-",LEFT(P2996,2),UPPER(MID(P2996,4,3)),RIGHT(P2996,4))</f>
        <v>LLRN-28JAN1912</v>
      </c>
      <c r="C2996" s="11" t="s">
        <v>89</v>
      </c>
      <c r="D2996" s="11" t="s">
        <v>1699</v>
      </c>
      <c r="E2996" s="39" t="s">
        <v>1325</v>
      </c>
      <c r="F2996" s="11" t="s">
        <v>1700</v>
      </c>
      <c r="G2996" s="39" t="s">
        <v>2341</v>
      </c>
      <c r="H2996" s="7">
        <v>0</v>
      </c>
      <c r="I2996" s="7">
        <v>0</v>
      </c>
      <c r="J2996" s="17">
        <v>1</v>
      </c>
      <c r="K2996" s="17"/>
      <c r="L2996" s="7">
        <f t="shared" ref="L2996:L3014" si="1272">SUM(H2996:K2996)</f>
        <v>1</v>
      </c>
      <c r="M2996" s="8">
        <v>1</v>
      </c>
      <c r="N2996" s="8">
        <f t="shared" ref="N2996:N3014" si="1273">IF(L2996&gt;0,1,"")</f>
        <v>1</v>
      </c>
      <c r="O2996" s="11" t="s">
        <v>1702</v>
      </c>
      <c r="P2996" s="16" t="str">
        <f t="shared" ref="P2996:P3014" si="1274">IF(LEN(G2996)=10,CONCATENATE("0",G2996),G2996)</f>
        <v>28-Jan-1912</v>
      </c>
      <c r="R2996" s="16" t="str">
        <f t="shared" ref="R2996:S3015" si="1275">IF($L2996&gt;0,"x","")</f>
        <v>x</v>
      </c>
      <c r="S2996" s="16" t="str">
        <f t="shared" si="1275"/>
        <v>x</v>
      </c>
      <c r="T2996" s="11"/>
      <c r="U2996" s="46" t="str">
        <f t="shared" si="1270"/>
        <v/>
      </c>
      <c r="V2996" s="46">
        <f t="shared" si="1270"/>
        <v>1</v>
      </c>
      <c r="W2996" s="46" t="str">
        <f t="shared" si="1270"/>
        <v/>
      </c>
      <c r="X2996" s="46" t="str">
        <f t="shared" si="1270"/>
        <v/>
      </c>
    </row>
    <row r="2997" spans="2:24" x14ac:dyDescent="0.25">
      <c r="B2997" s="11" t="str">
        <f t="shared" si="1271"/>
        <v>LLRN-12AUG1912</v>
      </c>
      <c r="C2997" s="11" t="s">
        <v>89</v>
      </c>
      <c r="D2997" s="11" t="s">
        <v>1699</v>
      </c>
      <c r="E2997" s="39" t="s">
        <v>1002</v>
      </c>
      <c r="F2997" s="11" t="s">
        <v>1700</v>
      </c>
      <c r="G2997" s="39" t="s">
        <v>2342</v>
      </c>
      <c r="H2997" s="7">
        <v>0</v>
      </c>
      <c r="I2997" s="7">
        <v>4</v>
      </c>
      <c r="J2997" s="17">
        <v>9</v>
      </c>
      <c r="K2997" s="17"/>
      <c r="L2997" s="7">
        <f t="shared" si="1272"/>
        <v>13</v>
      </c>
      <c r="M2997" s="8">
        <v>1</v>
      </c>
      <c r="N2997" s="8">
        <f t="shared" si="1273"/>
        <v>1</v>
      </c>
      <c r="O2997" s="11" t="s">
        <v>1702</v>
      </c>
      <c r="P2997" s="16" t="str">
        <f t="shared" si="1274"/>
        <v>12-Aug-1912</v>
      </c>
      <c r="R2997" s="16" t="str">
        <f t="shared" si="1275"/>
        <v>x</v>
      </c>
      <c r="S2997" s="16" t="str">
        <f t="shared" si="1275"/>
        <v>x</v>
      </c>
      <c r="T2997" s="11"/>
      <c r="U2997" s="46" t="str">
        <f t="shared" si="1270"/>
        <v/>
      </c>
      <c r="V2997" s="46">
        <f t="shared" si="1270"/>
        <v>13</v>
      </c>
      <c r="W2997" s="46" t="str">
        <f t="shared" si="1270"/>
        <v/>
      </c>
      <c r="X2997" s="46" t="str">
        <f t="shared" si="1270"/>
        <v/>
      </c>
    </row>
    <row r="2998" spans="2:24" x14ac:dyDescent="0.25">
      <c r="B2998" s="11" t="str">
        <f t="shared" si="1271"/>
        <v>LLRN-03SEP1912</v>
      </c>
      <c r="C2998" s="11" t="s">
        <v>89</v>
      </c>
      <c r="D2998" s="11" t="s">
        <v>1699</v>
      </c>
      <c r="E2998" s="39" t="s">
        <v>2346</v>
      </c>
      <c r="F2998" s="11" t="s">
        <v>1700</v>
      </c>
      <c r="G2998" s="39" t="s">
        <v>2343</v>
      </c>
      <c r="H2998" s="7">
        <v>0</v>
      </c>
      <c r="I2998" s="7">
        <v>0</v>
      </c>
      <c r="J2998" s="17">
        <v>2</v>
      </c>
      <c r="K2998" s="17"/>
      <c r="L2998" s="7">
        <f t="shared" si="1272"/>
        <v>2</v>
      </c>
      <c r="M2998" s="8">
        <v>1</v>
      </c>
      <c r="N2998" s="8">
        <f t="shared" si="1273"/>
        <v>1</v>
      </c>
      <c r="O2998" s="11" t="s">
        <v>1702</v>
      </c>
      <c r="P2998" s="16" t="str">
        <f t="shared" si="1274"/>
        <v>03-Sep-1912</v>
      </c>
      <c r="R2998" s="16" t="str">
        <f t="shared" si="1275"/>
        <v>x</v>
      </c>
      <c r="S2998" s="16" t="str">
        <f t="shared" si="1275"/>
        <v>x</v>
      </c>
      <c r="T2998" s="11"/>
      <c r="U2998" s="46" t="str">
        <f t="shared" si="1270"/>
        <v/>
      </c>
      <c r="V2998" s="46">
        <f t="shared" si="1270"/>
        <v>2</v>
      </c>
      <c r="W2998" s="46" t="str">
        <f t="shared" si="1270"/>
        <v/>
      </c>
      <c r="X2998" s="46" t="str">
        <f t="shared" si="1270"/>
        <v/>
      </c>
    </row>
    <row r="2999" spans="2:24" x14ac:dyDescent="0.25">
      <c r="B2999" s="11" t="str">
        <f t="shared" si="1271"/>
        <v>LLRN-28SEP1912</v>
      </c>
      <c r="C2999" s="11" t="s">
        <v>89</v>
      </c>
      <c r="D2999" s="11" t="s">
        <v>1699</v>
      </c>
      <c r="E2999" s="39" t="s">
        <v>1528</v>
      </c>
      <c r="F2999" s="11" t="s">
        <v>1700</v>
      </c>
      <c r="G2999" s="39" t="s">
        <v>1330</v>
      </c>
      <c r="H2999" s="7">
        <v>0</v>
      </c>
      <c r="I2999" s="7">
        <v>0</v>
      </c>
      <c r="J2999" s="17">
        <v>9</v>
      </c>
      <c r="K2999" s="17"/>
      <c r="L2999" s="7">
        <f t="shared" si="1272"/>
        <v>9</v>
      </c>
      <c r="M2999" s="8">
        <v>1</v>
      </c>
      <c r="N2999" s="8">
        <f t="shared" si="1273"/>
        <v>1</v>
      </c>
      <c r="O2999" s="11" t="s">
        <v>1702</v>
      </c>
      <c r="P2999" s="16" t="str">
        <f t="shared" si="1274"/>
        <v>28-Sep-1912</v>
      </c>
      <c r="R2999" s="16" t="str">
        <f t="shared" si="1275"/>
        <v>x</v>
      </c>
      <c r="S2999" s="16" t="str">
        <f t="shared" si="1275"/>
        <v>x</v>
      </c>
      <c r="T2999" s="11"/>
      <c r="U2999" s="46" t="str">
        <f t="shared" si="1270"/>
        <v/>
      </c>
      <c r="V2999" s="46">
        <f t="shared" si="1270"/>
        <v>9</v>
      </c>
      <c r="W2999" s="46" t="str">
        <f t="shared" si="1270"/>
        <v/>
      </c>
      <c r="X2999" s="46" t="str">
        <f t="shared" si="1270"/>
        <v/>
      </c>
    </row>
    <row r="3000" spans="2:24" x14ac:dyDescent="0.25">
      <c r="B3000" s="11" t="str">
        <f t="shared" si="1271"/>
        <v>LLRN-10NOV1912</v>
      </c>
      <c r="C3000" s="11" t="s">
        <v>89</v>
      </c>
      <c r="D3000" s="11" t="s">
        <v>1699</v>
      </c>
      <c r="E3000" s="39" t="s">
        <v>2347</v>
      </c>
      <c r="F3000" s="11" t="s">
        <v>1700</v>
      </c>
      <c r="G3000" s="39" t="s">
        <v>2344</v>
      </c>
      <c r="H3000" s="7">
        <v>0</v>
      </c>
      <c r="I3000" s="7">
        <v>0</v>
      </c>
      <c r="J3000" s="17">
        <v>16</v>
      </c>
      <c r="K3000" s="17"/>
      <c r="L3000" s="7">
        <f t="shared" si="1272"/>
        <v>16</v>
      </c>
      <c r="M3000" s="8">
        <v>1</v>
      </c>
      <c r="N3000" s="8">
        <f t="shared" si="1273"/>
        <v>1</v>
      </c>
      <c r="O3000" s="11" t="s">
        <v>1702</v>
      </c>
      <c r="P3000" s="16" t="str">
        <f t="shared" si="1274"/>
        <v>10-Nov-1912</v>
      </c>
      <c r="R3000" s="16" t="str">
        <f t="shared" si="1275"/>
        <v>x</v>
      </c>
      <c r="S3000" s="16" t="str">
        <f t="shared" si="1275"/>
        <v>x</v>
      </c>
      <c r="T3000" s="11"/>
      <c r="U3000" s="46" t="str">
        <f t="shared" si="1270"/>
        <v/>
      </c>
      <c r="V3000" s="46">
        <f t="shared" si="1270"/>
        <v>16</v>
      </c>
      <c r="W3000" s="46" t="str">
        <f t="shared" si="1270"/>
        <v/>
      </c>
      <c r="X3000" s="46" t="str">
        <f t="shared" si="1270"/>
        <v/>
      </c>
    </row>
    <row r="3001" spans="2:24" x14ac:dyDescent="0.25">
      <c r="B3001" s="11" t="str">
        <f t="shared" si="1271"/>
        <v>LLRN-09DEC1912</v>
      </c>
      <c r="C3001" s="11" t="s">
        <v>89</v>
      </c>
      <c r="D3001" s="11" t="s">
        <v>1699</v>
      </c>
      <c r="E3001" s="39" t="s">
        <v>1006</v>
      </c>
      <c r="F3001" s="11" t="s">
        <v>1700</v>
      </c>
      <c r="G3001" s="39" t="s">
        <v>2345</v>
      </c>
      <c r="H3001" s="7">
        <v>0</v>
      </c>
      <c r="I3001" s="7">
        <v>0</v>
      </c>
      <c r="J3001" s="17">
        <v>0</v>
      </c>
      <c r="K3001" s="17"/>
      <c r="L3001" s="7">
        <f t="shared" si="1272"/>
        <v>0</v>
      </c>
      <c r="M3001" s="8">
        <v>1</v>
      </c>
      <c r="N3001" s="8" t="str">
        <f t="shared" si="1273"/>
        <v/>
      </c>
      <c r="O3001" s="11" t="s">
        <v>1702</v>
      </c>
      <c r="P3001" s="16" t="str">
        <f t="shared" si="1274"/>
        <v>09-Dec-1912</v>
      </c>
      <c r="R3001" s="16" t="str">
        <f t="shared" si="1275"/>
        <v/>
      </c>
      <c r="S3001" s="16" t="str">
        <f t="shared" si="1275"/>
        <v/>
      </c>
      <c r="T3001" s="11"/>
      <c r="U3001" s="46" t="str">
        <f t="shared" si="1270"/>
        <v/>
      </c>
      <c r="V3001" s="46">
        <f t="shared" si="1270"/>
        <v>0</v>
      </c>
      <c r="W3001" s="46" t="str">
        <f t="shared" si="1270"/>
        <v/>
      </c>
      <c r="X3001" s="46" t="str">
        <f t="shared" si="1270"/>
        <v/>
      </c>
    </row>
    <row r="3002" spans="2:24" x14ac:dyDescent="0.25">
      <c r="B3002" s="11" t="str">
        <f t="shared" si="1271"/>
        <v>LLRN-20JAN1913</v>
      </c>
      <c r="C3002" s="11" t="s">
        <v>89</v>
      </c>
      <c r="D3002" s="11" t="s">
        <v>1699</v>
      </c>
      <c r="E3002" s="39" t="s">
        <v>2358</v>
      </c>
      <c r="F3002" s="11" t="s">
        <v>1700</v>
      </c>
      <c r="G3002" s="39" t="s">
        <v>2359</v>
      </c>
      <c r="H3002" s="7">
        <v>0</v>
      </c>
      <c r="I3002" s="7">
        <v>0</v>
      </c>
      <c r="J3002" s="17">
        <v>48</v>
      </c>
      <c r="K3002" s="17"/>
      <c r="L3002" s="7">
        <f t="shared" si="1272"/>
        <v>48</v>
      </c>
      <c r="M3002" s="8">
        <v>1</v>
      </c>
      <c r="N3002" s="8">
        <f t="shared" si="1273"/>
        <v>1</v>
      </c>
      <c r="O3002" s="11" t="s">
        <v>1702</v>
      </c>
      <c r="P3002" s="16" t="str">
        <f t="shared" si="1274"/>
        <v>20-Jan-1913</v>
      </c>
      <c r="R3002" s="16" t="str">
        <f t="shared" si="1275"/>
        <v>x</v>
      </c>
      <c r="S3002" s="16" t="str">
        <f t="shared" si="1275"/>
        <v>x</v>
      </c>
      <c r="T3002" s="11"/>
      <c r="U3002" s="46" t="str">
        <f t="shared" si="1270"/>
        <v/>
      </c>
      <c r="V3002" s="46">
        <f t="shared" si="1270"/>
        <v>48</v>
      </c>
      <c r="W3002" s="46" t="str">
        <f t="shared" si="1270"/>
        <v/>
      </c>
      <c r="X3002" s="46" t="str">
        <f t="shared" si="1270"/>
        <v/>
      </c>
    </row>
    <row r="3003" spans="2:24" x14ac:dyDescent="0.25">
      <c r="B3003" s="11" t="str">
        <f t="shared" si="1271"/>
        <v>LLRN-10FEB1913</v>
      </c>
      <c r="C3003" s="11" t="s">
        <v>89</v>
      </c>
      <c r="D3003" s="11" t="s">
        <v>1699</v>
      </c>
      <c r="E3003" s="39" t="s">
        <v>1019</v>
      </c>
      <c r="F3003" s="11" t="s">
        <v>1700</v>
      </c>
      <c r="G3003" s="39" t="s">
        <v>2348</v>
      </c>
      <c r="H3003" s="7">
        <v>0</v>
      </c>
      <c r="I3003" s="7">
        <v>1</v>
      </c>
      <c r="J3003" s="17">
        <v>3</v>
      </c>
      <c r="K3003" s="17"/>
      <c r="L3003" s="7">
        <f t="shared" si="1272"/>
        <v>4</v>
      </c>
      <c r="M3003" s="8">
        <v>1</v>
      </c>
      <c r="N3003" s="8">
        <f t="shared" si="1273"/>
        <v>1</v>
      </c>
      <c r="O3003" s="11" t="s">
        <v>1702</v>
      </c>
      <c r="P3003" s="16" t="str">
        <f t="shared" si="1274"/>
        <v>10-Feb-1913</v>
      </c>
      <c r="R3003" s="16" t="str">
        <f t="shared" si="1275"/>
        <v>x</v>
      </c>
      <c r="S3003" s="16" t="str">
        <f t="shared" si="1275"/>
        <v>x</v>
      </c>
      <c r="T3003" s="11"/>
      <c r="U3003" s="46" t="str">
        <f t="shared" si="1270"/>
        <v/>
      </c>
      <c r="V3003" s="46">
        <f t="shared" si="1270"/>
        <v>4</v>
      </c>
      <c r="W3003" s="46" t="str">
        <f t="shared" si="1270"/>
        <v/>
      </c>
      <c r="X3003" s="46" t="str">
        <f t="shared" si="1270"/>
        <v/>
      </c>
    </row>
    <row r="3004" spans="2:24" x14ac:dyDescent="0.25">
      <c r="B3004" s="11" t="str">
        <f>CONCATENATE("LLRN","-",LEFT(P3004,2),UPPER(MID(P3004,4,3)),RIGHT(P3004,4))</f>
        <v>LLRN-03MAR1913</v>
      </c>
      <c r="C3004" s="11" t="s">
        <v>89</v>
      </c>
      <c r="D3004" s="11" t="s">
        <v>1699</v>
      </c>
      <c r="E3004" s="39" t="s">
        <v>1673</v>
      </c>
      <c r="F3004" s="11" t="s">
        <v>1700</v>
      </c>
      <c r="G3004" s="39" t="s">
        <v>2349</v>
      </c>
      <c r="H3004" s="7">
        <v>0</v>
      </c>
      <c r="I3004" s="7">
        <v>0</v>
      </c>
      <c r="J3004" s="17">
        <v>1</v>
      </c>
      <c r="K3004" s="17"/>
      <c r="L3004" s="7">
        <f>SUM(H3004:K3004)</f>
        <v>1</v>
      </c>
      <c r="M3004" s="8">
        <v>1</v>
      </c>
      <c r="N3004" s="8">
        <f>IF(L3004&gt;0,1,"")</f>
        <v>1</v>
      </c>
      <c r="O3004" s="11" t="s">
        <v>1702</v>
      </c>
      <c r="P3004" s="16" t="str">
        <f>IF(LEN(G3004)=10,CONCATENATE("0",G3004),G3004)</f>
        <v>03-Mar-1913</v>
      </c>
      <c r="R3004" s="16" t="str">
        <f t="shared" si="1275"/>
        <v>x</v>
      </c>
      <c r="S3004" s="16" t="str">
        <f t="shared" si="1275"/>
        <v>x</v>
      </c>
      <c r="T3004" s="11"/>
      <c r="U3004" s="46" t="str">
        <f t="shared" si="1270"/>
        <v/>
      </c>
      <c r="V3004" s="46">
        <f t="shared" si="1270"/>
        <v>1</v>
      </c>
      <c r="W3004" s="46" t="str">
        <f t="shared" si="1270"/>
        <v/>
      </c>
      <c r="X3004" s="46" t="str">
        <f t="shared" si="1270"/>
        <v/>
      </c>
    </row>
    <row r="3005" spans="2:24" x14ac:dyDescent="0.25">
      <c r="B3005" s="11" t="str">
        <f>CONCATENATE("LLRN","-",LEFT(P3005,2),UPPER(MID(P3005,4,3)),RIGHT(P3005,4))</f>
        <v>LLRN-06APR1913</v>
      </c>
      <c r="C3005" s="11" t="s">
        <v>89</v>
      </c>
      <c r="D3005" s="11" t="s">
        <v>1699</v>
      </c>
      <c r="E3005" s="39" t="s">
        <v>2360</v>
      </c>
      <c r="F3005" s="11" t="s">
        <v>1700</v>
      </c>
      <c r="G3005" s="39" t="s">
        <v>2350</v>
      </c>
      <c r="H3005" s="7">
        <v>0</v>
      </c>
      <c r="I3005" s="7">
        <v>0</v>
      </c>
      <c r="J3005" s="17">
        <v>1</v>
      </c>
      <c r="K3005" s="17"/>
      <c r="L3005" s="7">
        <f>SUM(H3005:K3005)</f>
        <v>1</v>
      </c>
      <c r="M3005" s="8">
        <v>1</v>
      </c>
      <c r="N3005" s="8">
        <f>IF(L3005&gt;0,1,"")</f>
        <v>1</v>
      </c>
      <c r="O3005" s="11" t="s">
        <v>1702</v>
      </c>
      <c r="P3005" s="16" t="str">
        <f>IF(LEN(G3005)=10,CONCATENATE("0",G3005),G3005)</f>
        <v>06-Apr-1913</v>
      </c>
      <c r="R3005" s="16" t="str">
        <f t="shared" si="1275"/>
        <v>x</v>
      </c>
      <c r="S3005" s="16" t="str">
        <f t="shared" si="1275"/>
        <v>x</v>
      </c>
      <c r="T3005" s="11"/>
      <c r="U3005" s="46" t="str">
        <f t="shared" si="1270"/>
        <v/>
      </c>
      <c r="V3005" s="46">
        <f t="shared" si="1270"/>
        <v>1</v>
      </c>
      <c r="W3005" s="46" t="str">
        <f t="shared" si="1270"/>
        <v/>
      </c>
      <c r="X3005" s="46" t="str">
        <f t="shared" si="1270"/>
        <v/>
      </c>
    </row>
    <row r="3006" spans="2:24" x14ac:dyDescent="0.25">
      <c r="B3006" s="11" t="str">
        <f>CONCATENATE("LLRN","-",LEFT(P3006,2),UPPER(MID(P3006,4,3)),RIGHT(P3006,4))</f>
        <v>LLRN-04MAY1913</v>
      </c>
      <c r="C3006" s="11" t="s">
        <v>89</v>
      </c>
      <c r="D3006" s="11" t="s">
        <v>1699</v>
      </c>
      <c r="E3006" s="39" t="s">
        <v>2361</v>
      </c>
      <c r="F3006" s="11" t="s">
        <v>1700</v>
      </c>
      <c r="G3006" s="39" t="s">
        <v>2351</v>
      </c>
      <c r="H3006" s="7">
        <v>0</v>
      </c>
      <c r="I3006" s="7">
        <v>2</v>
      </c>
      <c r="J3006" s="17">
        <v>2</v>
      </c>
      <c r="K3006" s="17"/>
      <c r="L3006" s="7">
        <f>SUM(H3006:K3006)</f>
        <v>4</v>
      </c>
      <c r="M3006" s="8">
        <v>1</v>
      </c>
      <c r="N3006" s="8">
        <f>IF(L3006&gt;0,1,"")</f>
        <v>1</v>
      </c>
      <c r="O3006" s="11" t="s">
        <v>1702</v>
      </c>
      <c r="P3006" s="16" t="str">
        <f>IF(LEN(G3006)=10,CONCATENATE("0",G3006),G3006)</f>
        <v>04-May-1913</v>
      </c>
      <c r="R3006" s="16" t="str">
        <f t="shared" si="1275"/>
        <v>x</v>
      </c>
      <c r="S3006" s="16" t="str">
        <f t="shared" si="1275"/>
        <v>x</v>
      </c>
      <c r="T3006" s="11"/>
      <c r="U3006" s="46" t="str">
        <f t="shared" si="1270"/>
        <v/>
      </c>
      <c r="V3006" s="46">
        <f t="shared" si="1270"/>
        <v>4</v>
      </c>
      <c r="W3006" s="46" t="str">
        <f t="shared" si="1270"/>
        <v/>
      </c>
      <c r="X3006" s="46" t="str">
        <f t="shared" si="1270"/>
        <v/>
      </c>
    </row>
    <row r="3007" spans="2:24" x14ac:dyDescent="0.25">
      <c r="B3007" s="11" t="str">
        <f>CONCATENATE("LLRN","-",LEFT(P3007,2),UPPER(MID(P3007,4,3)),RIGHT(P3007,4))</f>
        <v>LLRN-25MAY1913</v>
      </c>
      <c r="C3007" s="11" t="s">
        <v>89</v>
      </c>
      <c r="D3007" s="11" t="s">
        <v>1699</v>
      </c>
      <c r="E3007" s="39" t="s">
        <v>1286</v>
      </c>
      <c r="F3007" s="11" t="s">
        <v>1700</v>
      </c>
      <c r="G3007" s="39" t="s">
        <v>2352</v>
      </c>
      <c r="H3007" s="7">
        <v>0</v>
      </c>
      <c r="I3007" s="7">
        <v>0</v>
      </c>
      <c r="J3007" s="17">
        <v>1</v>
      </c>
      <c r="K3007" s="17"/>
      <c r="L3007" s="7">
        <f>SUM(H3007:K3007)</f>
        <v>1</v>
      </c>
      <c r="M3007" s="8">
        <v>1</v>
      </c>
      <c r="N3007" s="8">
        <f>IF(L3007&gt;0,1,"")</f>
        <v>1</v>
      </c>
      <c r="O3007" s="11" t="s">
        <v>1702</v>
      </c>
      <c r="P3007" s="16" t="str">
        <f>IF(LEN(G3007)=10,CONCATENATE("0",G3007),G3007)</f>
        <v>25-May-1913</v>
      </c>
      <c r="R3007" s="16" t="str">
        <f t="shared" si="1275"/>
        <v>x</v>
      </c>
      <c r="S3007" s="16" t="str">
        <f t="shared" si="1275"/>
        <v>x</v>
      </c>
      <c r="T3007" s="11"/>
      <c r="U3007" s="46" t="str">
        <f t="shared" si="1270"/>
        <v/>
      </c>
      <c r="V3007" s="46">
        <f t="shared" si="1270"/>
        <v>1</v>
      </c>
      <c r="W3007" s="46" t="str">
        <f t="shared" si="1270"/>
        <v/>
      </c>
      <c r="X3007" s="46" t="str">
        <f t="shared" si="1270"/>
        <v/>
      </c>
    </row>
    <row r="3008" spans="2:24" x14ac:dyDescent="0.25">
      <c r="B3008" s="11" t="str">
        <f>CONCATENATE("LLRN","-",LEFT(P3008,2),UPPER(MID(P3008,4,3)),RIGHT(P3008,4))</f>
        <v>LLRN-13JUL1913</v>
      </c>
      <c r="C3008" s="11" t="s">
        <v>89</v>
      </c>
      <c r="D3008" s="11" t="s">
        <v>1699</v>
      </c>
      <c r="E3008" s="39" t="s">
        <v>1288</v>
      </c>
      <c r="F3008" s="11" t="s">
        <v>1700</v>
      </c>
      <c r="G3008" s="39" t="s">
        <v>2353</v>
      </c>
      <c r="H3008" s="7">
        <v>0</v>
      </c>
      <c r="I3008" s="7">
        <v>0</v>
      </c>
      <c r="J3008" s="17">
        <v>8</v>
      </c>
      <c r="K3008" s="17"/>
      <c r="L3008" s="7">
        <f>SUM(H3008:K3008)</f>
        <v>8</v>
      </c>
      <c r="M3008" s="8">
        <v>1</v>
      </c>
      <c r="N3008" s="8">
        <f>IF(L3008&gt;0,1,"")</f>
        <v>1</v>
      </c>
      <c r="O3008" s="11" t="s">
        <v>1702</v>
      </c>
      <c r="P3008" s="16" t="str">
        <f>IF(LEN(G3008)=10,CONCATENATE("0",G3008),G3008)</f>
        <v>13-Jul-1913</v>
      </c>
      <c r="R3008" s="16" t="str">
        <f t="shared" si="1275"/>
        <v>x</v>
      </c>
      <c r="S3008" s="16" t="str">
        <f t="shared" si="1275"/>
        <v>x</v>
      </c>
      <c r="T3008" s="11"/>
      <c r="U3008" s="46" t="str">
        <f t="shared" si="1270"/>
        <v/>
      </c>
      <c r="V3008" s="46">
        <f t="shared" si="1270"/>
        <v>8</v>
      </c>
      <c r="W3008" s="46" t="str">
        <f t="shared" si="1270"/>
        <v/>
      </c>
      <c r="X3008" s="46" t="str">
        <f t="shared" si="1270"/>
        <v/>
      </c>
    </row>
    <row r="3009" spans="2:24" x14ac:dyDescent="0.25">
      <c r="B3009" s="11" t="str">
        <f t="shared" si="1271"/>
        <v>LLRN-03AUG1913</v>
      </c>
      <c r="C3009" s="11" t="s">
        <v>89</v>
      </c>
      <c r="D3009" s="11" t="s">
        <v>1699</v>
      </c>
      <c r="E3009" s="39" t="s">
        <v>2101</v>
      </c>
      <c r="F3009" s="11" t="s">
        <v>1700</v>
      </c>
      <c r="G3009" s="39" t="s">
        <v>2354</v>
      </c>
      <c r="H3009" s="7">
        <v>0</v>
      </c>
      <c r="I3009" s="7">
        <v>0</v>
      </c>
      <c r="J3009" s="17">
        <v>17</v>
      </c>
      <c r="K3009" s="17"/>
      <c r="L3009" s="7">
        <f t="shared" si="1272"/>
        <v>17</v>
      </c>
      <c r="M3009" s="8">
        <v>1</v>
      </c>
      <c r="N3009" s="8">
        <f t="shared" si="1273"/>
        <v>1</v>
      </c>
      <c r="O3009" s="11" t="s">
        <v>1702</v>
      </c>
      <c r="P3009" s="16" t="str">
        <f t="shared" si="1274"/>
        <v>03-Aug-1913</v>
      </c>
      <c r="R3009" s="16" t="str">
        <f t="shared" si="1275"/>
        <v>x</v>
      </c>
      <c r="S3009" s="16" t="str">
        <f t="shared" si="1275"/>
        <v>x</v>
      </c>
      <c r="T3009" s="11"/>
      <c r="U3009" s="46" t="str">
        <f t="shared" si="1270"/>
        <v/>
      </c>
      <c r="V3009" s="46">
        <f t="shared" si="1270"/>
        <v>17</v>
      </c>
      <c r="W3009" s="46" t="str">
        <f t="shared" si="1270"/>
        <v/>
      </c>
      <c r="X3009" s="46" t="str">
        <f t="shared" si="1270"/>
        <v/>
      </c>
    </row>
    <row r="3010" spans="2:24" x14ac:dyDescent="0.25">
      <c r="B3010" s="11" t="str">
        <f t="shared" si="1271"/>
        <v>LLRN-24AUG1913</v>
      </c>
      <c r="C3010" s="11" t="s">
        <v>89</v>
      </c>
      <c r="D3010" s="11" t="s">
        <v>1699</v>
      </c>
      <c r="E3010" s="39" t="s">
        <v>1024</v>
      </c>
      <c r="F3010" s="11" t="s">
        <v>1700</v>
      </c>
      <c r="G3010" s="39" t="s">
        <v>2355</v>
      </c>
      <c r="H3010" s="7">
        <v>0</v>
      </c>
      <c r="I3010" s="7">
        <v>0</v>
      </c>
      <c r="J3010" s="17">
        <v>15</v>
      </c>
      <c r="K3010" s="17"/>
      <c r="L3010" s="7">
        <f t="shared" si="1272"/>
        <v>15</v>
      </c>
      <c r="M3010" s="8">
        <v>1</v>
      </c>
      <c r="N3010" s="8">
        <f t="shared" si="1273"/>
        <v>1</v>
      </c>
      <c r="O3010" s="11" t="s">
        <v>1702</v>
      </c>
      <c r="P3010" s="16" t="str">
        <f t="shared" si="1274"/>
        <v>24-Aug-1913</v>
      </c>
      <c r="R3010" s="16" t="str">
        <f t="shared" si="1275"/>
        <v>x</v>
      </c>
      <c r="S3010" s="16" t="str">
        <f t="shared" si="1275"/>
        <v>x</v>
      </c>
      <c r="T3010" s="11"/>
      <c r="U3010" s="46" t="str">
        <f t="shared" si="1270"/>
        <v/>
      </c>
      <c r="V3010" s="46">
        <f t="shared" si="1270"/>
        <v>15</v>
      </c>
      <c r="W3010" s="46" t="str">
        <f t="shared" si="1270"/>
        <v/>
      </c>
      <c r="X3010" s="46" t="str">
        <f t="shared" si="1270"/>
        <v/>
      </c>
    </row>
    <row r="3011" spans="2:24" x14ac:dyDescent="0.25">
      <c r="B3011" s="11" t="str">
        <f t="shared" si="1271"/>
        <v>LLRN-05OCT1913</v>
      </c>
      <c r="C3011" s="11" t="s">
        <v>89</v>
      </c>
      <c r="D3011" s="11" t="s">
        <v>1699</v>
      </c>
      <c r="E3011" s="39" t="s">
        <v>2362</v>
      </c>
      <c r="F3011" s="11" t="s">
        <v>1700</v>
      </c>
      <c r="G3011" s="39" t="s">
        <v>2356</v>
      </c>
      <c r="H3011" s="7">
        <v>0</v>
      </c>
      <c r="I3011" s="7">
        <v>7</v>
      </c>
      <c r="J3011" s="17">
        <v>4</v>
      </c>
      <c r="K3011" s="17"/>
      <c r="L3011" s="7">
        <f t="shared" si="1272"/>
        <v>11</v>
      </c>
      <c r="M3011" s="8">
        <v>1</v>
      </c>
      <c r="N3011" s="8">
        <f t="shared" si="1273"/>
        <v>1</v>
      </c>
      <c r="O3011" s="11" t="s">
        <v>1702</v>
      </c>
      <c r="P3011" s="16" t="str">
        <f t="shared" si="1274"/>
        <v>05-Oct-1913</v>
      </c>
      <c r="R3011" s="16" t="str">
        <f t="shared" si="1275"/>
        <v>x</v>
      </c>
      <c r="S3011" s="16" t="str">
        <f t="shared" si="1275"/>
        <v>x</v>
      </c>
      <c r="T3011" s="11"/>
      <c r="U3011" s="46" t="str">
        <f t="shared" si="1270"/>
        <v/>
      </c>
      <c r="V3011" s="46">
        <f t="shared" si="1270"/>
        <v>11</v>
      </c>
      <c r="W3011" s="46" t="str">
        <f t="shared" si="1270"/>
        <v/>
      </c>
      <c r="X3011" s="46" t="str">
        <f t="shared" si="1270"/>
        <v/>
      </c>
    </row>
    <row r="3012" spans="2:24" x14ac:dyDescent="0.25">
      <c r="B3012" s="11" t="str">
        <f t="shared" si="1271"/>
        <v>LLRN-01NOV1913</v>
      </c>
      <c r="C3012" s="11" t="s">
        <v>89</v>
      </c>
      <c r="D3012" s="11" t="s">
        <v>1699</v>
      </c>
      <c r="E3012" s="39" t="s">
        <v>2363</v>
      </c>
      <c r="F3012" s="11" t="s">
        <v>1700</v>
      </c>
      <c r="G3012" s="39" t="s">
        <v>1679</v>
      </c>
      <c r="H3012" s="7">
        <v>1</v>
      </c>
      <c r="I3012" s="7">
        <v>7</v>
      </c>
      <c r="J3012" s="17">
        <v>7</v>
      </c>
      <c r="K3012" s="17"/>
      <c r="L3012" s="7">
        <f t="shared" si="1272"/>
        <v>15</v>
      </c>
      <c r="M3012" s="8">
        <v>1</v>
      </c>
      <c r="N3012" s="8">
        <f t="shared" si="1273"/>
        <v>1</v>
      </c>
      <c r="O3012" s="11" t="s">
        <v>1702</v>
      </c>
      <c r="P3012" s="16" t="str">
        <f t="shared" si="1274"/>
        <v>01-Nov-1913</v>
      </c>
      <c r="R3012" s="16" t="str">
        <f t="shared" si="1275"/>
        <v>x</v>
      </c>
      <c r="S3012" s="16" t="str">
        <f t="shared" si="1275"/>
        <v>x</v>
      </c>
      <c r="T3012" s="11"/>
      <c r="U3012" s="46" t="str">
        <f t="shared" si="1270"/>
        <v/>
      </c>
      <c r="V3012" s="46">
        <f t="shared" si="1270"/>
        <v>15</v>
      </c>
      <c r="W3012" s="46" t="str">
        <f t="shared" si="1270"/>
        <v/>
      </c>
      <c r="X3012" s="46" t="str">
        <f t="shared" si="1270"/>
        <v/>
      </c>
    </row>
    <row r="3013" spans="2:24" x14ac:dyDescent="0.25">
      <c r="B3013" s="11" t="str">
        <f t="shared" si="1271"/>
        <v>LLRN-29NOV1913</v>
      </c>
      <c r="C3013" s="11" t="s">
        <v>89</v>
      </c>
      <c r="D3013" s="11" t="s">
        <v>1699</v>
      </c>
      <c r="E3013" s="39" t="s">
        <v>2364</v>
      </c>
      <c r="F3013" s="11" t="s">
        <v>1700</v>
      </c>
      <c r="G3013" s="39" t="s">
        <v>1682</v>
      </c>
      <c r="H3013" s="7">
        <v>0</v>
      </c>
      <c r="I3013" s="7">
        <v>0</v>
      </c>
      <c r="J3013" s="17">
        <v>9</v>
      </c>
      <c r="K3013" s="17"/>
      <c r="L3013" s="7">
        <f t="shared" si="1272"/>
        <v>9</v>
      </c>
      <c r="M3013" s="8">
        <v>1</v>
      </c>
      <c r="N3013" s="8">
        <f t="shared" si="1273"/>
        <v>1</v>
      </c>
      <c r="O3013" s="11" t="s">
        <v>1702</v>
      </c>
      <c r="P3013" s="16" t="str">
        <f t="shared" si="1274"/>
        <v>29-Nov-1913</v>
      </c>
      <c r="R3013" s="16" t="str">
        <f t="shared" si="1275"/>
        <v>x</v>
      </c>
      <c r="S3013" s="16" t="str">
        <f t="shared" si="1275"/>
        <v>x</v>
      </c>
      <c r="T3013" s="11"/>
      <c r="U3013" s="46" t="str">
        <f t="shared" si="1270"/>
        <v/>
      </c>
      <c r="V3013" s="46">
        <f t="shared" si="1270"/>
        <v>9</v>
      </c>
      <c r="W3013" s="46" t="str">
        <f t="shared" si="1270"/>
        <v/>
      </c>
      <c r="X3013" s="46" t="str">
        <f t="shared" si="1270"/>
        <v/>
      </c>
    </row>
    <row r="3014" spans="2:24" x14ac:dyDescent="0.25">
      <c r="B3014" s="11" t="str">
        <f t="shared" si="1271"/>
        <v>LLRN-21DEC1913</v>
      </c>
      <c r="C3014" s="11" t="s">
        <v>89</v>
      </c>
      <c r="D3014" s="11" t="s">
        <v>1699</v>
      </c>
      <c r="E3014" s="39" t="s">
        <v>1028</v>
      </c>
      <c r="F3014" s="11" t="s">
        <v>1700</v>
      </c>
      <c r="G3014" s="39" t="s">
        <v>2357</v>
      </c>
      <c r="H3014" s="7">
        <v>0</v>
      </c>
      <c r="I3014" s="7">
        <v>0</v>
      </c>
      <c r="J3014" s="17">
        <v>28</v>
      </c>
      <c r="K3014" s="17"/>
      <c r="L3014" s="7">
        <f t="shared" si="1272"/>
        <v>28</v>
      </c>
      <c r="M3014" s="8">
        <v>1</v>
      </c>
      <c r="N3014" s="8">
        <f t="shared" si="1273"/>
        <v>1</v>
      </c>
      <c r="O3014" s="11" t="s">
        <v>1702</v>
      </c>
      <c r="P3014" s="16" t="str">
        <f t="shared" si="1274"/>
        <v>21-Dec-1913</v>
      </c>
      <c r="R3014" s="16" t="str">
        <f t="shared" si="1275"/>
        <v>x</v>
      </c>
      <c r="S3014" s="16" t="str">
        <f t="shared" si="1275"/>
        <v>x</v>
      </c>
      <c r="T3014" s="11"/>
      <c r="U3014" s="46" t="str">
        <f t="shared" si="1270"/>
        <v/>
      </c>
      <c r="V3014" s="46">
        <f t="shared" si="1270"/>
        <v>28</v>
      </c>
      <c r="W3014" s="46" t="str">
        <f t="shared" si="1270"/>
        <v/>
      </c>
      <c r="X3014" s="46" t="str">
        <f t="shared" si="1270"/>
        <v/>
      </c>
    </row>
    <row r="3015" spans="2:24" x14ac:dyDescent="0.25">
      <c r="B3015" s="11" t="str">
        <f>CONCATENATE("LLRN","-",LEFT(P3015,2),UPPER(MID(P3015,4,3)),RIGHT(P3015,4))</f>
        <v>LLRN-10JAN1914</v>
      </c>
      <c r="C3015" s="11" t="s">
        <v>89</v>
      </c>
      <c r="D3015" s="11" t="s">
        <v>1699</v>
      </c>
      <c r="E3015" s="39" t="s">
        <v>2370</v>
      </c>
      <c r="F3015" s="11" t="s">
        <v>1700</v>
      </c>
      <c r="G3015" s="39" t="s">
        <v>1306</v>
      </c>
      <c r="H3015" s="7">
        <v>0</v>
      </c>
      <c r="I3015" s="7">
        <v>1</v>
      </c>
      <c r="J3015" s="17">
        <v>34</v>
      </c>
      <c r="K3015" s="17"/>
      <c r="L3015" s="7">
        <f>SUM(H3015:K3015)</f>
        <v>35</v>
      </c>
      <c r="M3015" s="8">
        <v>1</v>
      </c>
      <c r="N3015" s="8">
        <f>IF(L3015&gt;0,1,"")</f>
        <v>1</v>
      </c>
      <c r="O3015" s="11" t="s">
        <v>1702</v>
      </c>
      <c r="P3015" s="16" t="str">
        <f>IF(LEN(G3015)=10,CONCATENATE("0",G3015),G3015)</f>
        <v>10-Jan-1914</v>
      </c>
      <c r="R3015" s="16" t="str">
        <f t="shared" si="1275"/>
        <v>x</v>
      </c>
      <c r="S3015" s="16" t="str">
        <f t="shared" si="1275"/>
        <v>x</v>
      </c>
      <c r="T3015" s="11"/>
      <c r="U3015" s="46" t="str">
        <f t="shared" si="1270"/>
        <v/>
      </c>
      <c r="V3015" s="46">
        <f t="shared" si="1270"/>
        <v>35</v>
      </c>
      <c r="W3015" s="46" t="str">
        <f t="shared" si="1270"/>
        <v/>
      </c>
      <c r="X3015" s="46" t="str">
        <f t="shared" si="1270"/>
        <v/>
      </c>
    </row>
    <row r="3016" spans="2:24" x14ac:dyDescent="0.25">
      <c r="B3016" s="11" t="str">
        <f t="shared" ref="B3016:B3032" si="1276">CONCATENATE("LLRN","-",LEFT(P3016,2),UPPER(MID(P3016,4,3)),RIGHT(P3016,4))</f>
        <v>LLRN-24FEB1914</v>
      </c>
      <c r="C3016" s="11" t="s">
        <v>89</v>
      </c>
      <c r="D3016" s="11" t="s">
        <v>1699</v>
      </c>
      <c r="E3016" s="39" t="s">
        <v>1351</v>
      </c>
      <c r="F3016" s="11" t="s">
        <v>1700</v>
      </c>
      <c r="G3016" s="39" t="s">
        <v>2365</v>
      </c>
      <c r="H3016" s="7">
        <v>0</v>
      </c>
      <c r="I3016" s="7">
        <v>0</v>
      </c>
      <c r="J3016" s="17">
        <v>3</v>
      </c>
      <c r="K3016" s="17"/>
      <c r="L3016" s="7">
        <f t="shared" ref="L3016:L3032" si="1277">SUM(H3016:K3016)</f>
        <v>3</v>
      </c>
      <c r="M3016" s="8">
        <v>1</v>
      </c>
      <c r="N3016" s="8">
        <f t="shared" ref="N3016:N3032" si="1278">IF(L3016&gt;0,1,"")</f>
        <v>1</v>
      </c>
      <c r="O3016" s="11" t="s">
        <v>1702</v>
      </c>
      <c r="P3016" s="16" t="str">
        <f t="shared" ref="P3016:P3032" si="1279">IF(LEN(G3016)=10,CONCATENATE("0",G3016),G3016)</f>
        <v>24-Feb-1914</v>
      </c>
      <c r="R3016" s="16" t="str">
        <f t="shared" ref="R3016:S3041" si="1280">IF($L3016&gt;0,"x","")</f>
        <v>x</v>
      </c>
      <c r="S3016" s="16" t="str">
        <f t="shared" si="1280"/>
        <v>x</v>
      </c>
      <c r="T3016" s="11"/>
      <c r="U3016" s="46" t="str">
        <f t="shared" si="1270"/>
        <v/>
      </c>
      <c r="V3016" s="46">
        <f t="shared" si="1270"/>
        <v>3</v>
      </c>
      <c r="W3016" s="46" t="str">
        <f t="shared" si="1270"/>
        <v/>
      </c>
      <c r="X3016" s="46" t="str">
        <f t="shared" si="1270"/>
        <v/>
      </c>
    </row>
    <row r="3017" spans="2:24" x14ac:dyDescent="0.25">
      <c r="B3017" s="11" t="str">
        <f t="shared" si="1276"/>
        <v>LLRN-15MAR1914</v>
      </c>
      <c r="C3017" s="11" t="s">
        <v>89</v>
      </c>
      <c r="D3017" s="11" t="s">
        <v>1699</v>
      </c>
      <c r="E3017" s="39" t="s">
        <v>2371</v>
      </c>
      <c r="F3017" s="11" t="s">
        <v>1700</v>
      </c>
      <c r="G3017" s="39" t="s">
        <v>1936</v>
      </c>
      <c r="H3017" s="7">
        <v>0</v>
      </c>
      <c r="I3017" s="7">
        <v>0</v>
      </c>
      <c r="J3017" s="17">
        <v>0</v>
      </c>
      <c r="K3017" s="17"/>
      <c r="L3017" s="7">
        <f t="shared" si="1277"/>
        <v>0</v>
      </c>
      <c r="M3017" s="8">
        <v>1</v>
      </c>
      <c r="N3017" s="8" t="str">
        <f t="shared" si="1278"/>
        <v/>
      </c>
      <c r="O3017" s="11" t="s">
        <v>1702</v>
      </c>
      <c r="P3017" s="16" t="str">
        <f t="shared" si="1279"/>
        <v>15-Mar-1914</v>
      </c>
      <c r="R3017" s="16" t="str">
        <f t="shared" si="1280"/>
        <v/>
      </c>
      <c r="S3017" s="16" t="str">
        <f t="shared" si="1280"/>
        <v/>
      </c>
      <c r="T3017" s="11"/>
      <c r="U3017" s="46" t="str">
        <f t="shared" si="1270"/>
        <v/>
      </c>
      <c r="V3017" s="46">
        <f t="shared" si="1270"/>
        <v>0</v>
      </c>
      <c r="W3017" s="46" t="str">
        <f t="shared" si="1270"/>
        <v/>
      </c>
      <c r="X3017" s="46" t="str">
        <f t="shared" si="1270"/>
        <v/>
      </c>
    </row>
    <row r="3018" spans="2:24" x14ac:dyDescent="0.25">
      <c r="B3018" s="11" t="str">
        <f t="shared" si="1276"/>
        <v>LLRN-13APR1914</v>
      </c>
      <c r="C3018" s="11" t="s">
        <v>89</v>
      </c>
      <c r="D3018" s="11" t="s">
        <v>1699</v>
      </c>
      <c r="E3018" s="39" t="s">
        <v>2372</v>
      </c>
      <c r="F3018" s="11" t="s">
        <v>1700</v>
      </c>
      <c r="G3018" s="39" t="s">
        <v>2366</v>
      </c>
      <c r="H3018" s="7">
        <v>0</v>
      </c>
      <c r="I3018" s="7">
        <v>0</v>
      </c>
      <c r="J3018" s="17">
        <v>0</v>
      </c>
      <c r="K3018" s="17"/>
      <c r="L3018" s="7">
        <f t="shared" si="1277"/>
        <v>0</v>
      </c>
      <c r="M3018" s="8">
        <v>1</v>
      </c>
      <c r="N3018" s="8" t="str">
        <f t="shared" si="1278"/>
        <v/>
      </c>
      <c r="O3018" s="11" t="s">
        <v>1702</v>
      </c>
      <c r="P3018" s="16" t="str">
        <f t="shared" si="1279"/>
        <v>13-Apr-1914</v>
      </c>
      <c r="R3018" s="16" t="str">
        <f t="shared" si="1280"/>
        <v/>
      </c>
      <c r="S3018" s="16" t="str">
        <f t="shared" si="1280"/>
        <v/>
      </c>
      <c r="T3018" s="11"/>
      <c r="U3018" s="46" t="str">
        <f t="shared" si="1270"/>
        <v/>
      </c>
      <c r="V3018" s="46">
        <f t="shared" si="1270"/>
        <v>0</v>
      </c>
      <c r="W3018" s="46" t="str">
        <f t="shared" si="1270"/>
        <v/>
      </c>
      <c r="X3018" s="46" t="str">
        <f t="shared" si="1270"/>
        <v/>
      </c>
    </row>
    <row r="3019" spans="2:24" x14ac:dyDescent="0.25">
      <c r="B3019" s="11" t="str">
        <f t="shared" si="1276"/>
        <v>LLRN-09MAY1914</v>
      </c>
      <c r="C3019" s="11" t="s">
        <v>89</v>
      </c>
      <c r="D3019" s="11" t="s">
        <v>1699</v>
      </c>
      <c r="E3019" s="39" t="s">
        <v>2373</v>
      </c>
      <c r="F3019" s="11" t="s">
        <v>1700</v>
      </c>
      <c r="G3019" s="39" t="s">
        <v>1032</v>
      </c>
      <c r="H3019" s="7">
        <v>0</v>
      </c>
      <c r="I3019" s="7">
        <v>0</v>
      </c>
      <c r="J3019" s="17">
        <v>2</v>
      </c>
      <c r="K3019" s="17"/>
      <c r="L3019" s="7">
        <f t="shared" si="1277"/>
        <v>2</v>
      </c>
      <c r="M3019" s="8">
        <v>1</v>
      </c>
      <c r="N3019" s="8">
        <f t="shared" si="1278"/>
        <v>1</v>
      </c>
      <c r="O3019" s="11" t="s">
        <v>1702</v>
      </c>
      <c r="P3019" s="16" t="str">
        <f t="shared" si="1279"/>
        <v>09-May-1914</v>
      </c>
      <c r="R3019" s="16" t="str">
        <f t="shared" si="1280"/>
        <v>x</v>
      </c>
      <c r="S3019" s="16" t="str">
        <f t="shared" si="1280"/>
        <v>x</v>
      </c>
      <c r="T3019" s="11"/>
      <c r="U3019" s="46" t="str">
        <f t="shared" si="1270"/>
        <v/>
      </c>
      <c r="V3019" s="46">
        <f t="shared" si="1270"/>
        <v>2</v>
      </c>
      <c r="W3019" s="46" t="str">
        <f t="shared" si="1270"/>
        <v/>
      </c>
      <c r="X3019" s="46" t="str">
        <f t="shared" si="1270"/>
        <v/>
      </c>
    </row>
    <row r="3020" spans="2:24" x14ac:dyDescent="0.25">
      <c r="B3020" s="11" t="str">
        <f t="shared" si="1276"/>
        <v>LLRN-31MAY1914</v>
      </c>
      <c r="C3020" s="11" t="s">
        <v>89</v>
      </c>
      <c r="D3020" s="11" t="s">
        <v>1699</v>
      </c>
      <c r="E3020" s="39" t="s">
        <v>2374</v>
      </c>
      <c r="F3020" s="11" t="s">
        <v>1700</v>
      </c>
      <c r="G3020" s="39" t="s">
        <v>2367</v>
      </c>
      <c r="H3020" s="7">
        <v>0</v>
      </c>
      <c r="I3020" s="7">
        <v>0</v>
      </c>
      <c r="J3020" s="17">
        <v>4</v>
      </c>
      <c r="K3020" s="17"/>
      <c r="L3020" s="7">
        <f t="shared" si="1277"/>
        <v>4</v>
      </c>
      <c r="M3020" s="8">
        <v>1</v>
      </c>
      <c r="N3020" s="8">
        <f t="shared" si="1278"/>
        <v>1</v>
      </c>
      <c r="O3020" s="11" t="s">
        <v>1702</v>
      </c>
      <c r="P3020" s="16" t="str">
        <f t="shared" si="1279"/>
        <v>31-May-1914</v>
      </c>
      <c r="R3020" s="16" t="str">
        <f t="shared" si="1280"/>
        <v>x</v>
      </c>
      <c r="S3020" s="16" t="str">
        <f t="shared" si="1280"/>
        <v>x</v>
      </c>
      <c r="T3020" s="11"/>
      <c r="U3020" s="46" t="str">
        <f t="shared" si="1270"/>
        <v/>
      </c>
      <c r="V3020" s="46">
        <f t="shared" si="1270"/>
        <v>4</v>
      </c>
      <c r="W3020" s="46" t="str">
        <f t="shared" si="1270"/>
        <v/>
      </c>
      <c r="X3020" s="46" t="str">
        <f t="shared" si="1270"/>
        <v/>
      </c>
    </row>
    <row r="3021" spans="2:24" x14ac:dyDescent="0.25">
      <c r="B3021" s="11" t="str">
        <f t="shared" si="1276"/>
        <v>LLRN-05JUL1914</v>
      </c>
      <c r="C3021" s="11" t="s">
        <v>89</v>
      </c>
      <c r="D3021" s="11" t="s">
        <v>1699</v>
      </c>
      <c r="E3021" s="39" t="s">
        <v>2375</v>
      </c>
      <c r="F3021" s="11" t="s">
        <v>1700</v>
      </c>
      <c r="G3021" s="39" t="s">
        <v>2368</v>
      </c>
      <c r="H3021" s="7">
        <v>0</v>
      </c>
      <c r="I3021" s="7">
        <v>0</v>
      </c>
      <c r="J3021" s="17">
        <v>8</v>
      </c>
      <c r="K3021" s="17"/>
      <c r="L3021" s="7">
        <f t="shared" si="1277"/>
        <v>8</v>
      </c>
      <c r="M3021" s="8">
        <v>1</v>
      </c>
      <c r="N3021" s="8">
        <f t="shared" si="1278"/>
        <v>1</v>
      </c>
      <c r="O3021" s="11" t="s">
        <v>1702</v>
      </c>
      <c r="P3021" s="16" t="str">
        <f t="shared" si="1279"/>
        <v>05-Jul-1914</v>
      </c>
      <c r="R3021" s="16" t="str">
        <f t="shared" si="1280"/>
        <v>x</v>
      </c>
      <c r="S3021" s="16" t="str">
        <f t="shared" si="1280"/>
        <v>x</v>
      </c>
      <c r="T3021" s="11"/>
      <c r="U3021" s="46" t="str">
        <f t="shared" si="1270"/>
        <v/>
      </c>
      <c r="V3021" s="46">
        <f t="shared" si="1270"/>
        <v>8</v>
      </c>
      <c r="W3021" s="46" t="str">
        <f t="shared" si="1270"/>
        <v/>
      </c>
      <c r="X3021" s="46" t="str">
        <f t="shared" si="1270"/>
        <v/>
      </c>
    </row>
    <row r="3022" spans="2:24" x14ac:dyDescent="0.25">
      <c r="B3022" s="11" t="str">
        <f t="shared" si="1276"/>
        <v>LLRN-02AUG1914</v>
      </c>
      <c r="C3022" s="11" t="s">
        <v>89</v>
      </c>
      <c r="D3022" s="11" t="s">
        <v>1699</v>
      </c>
      <c r="E3022" s="39" t="s">
        <v>1353</v>
      </c>
      <c r="F3022" s="11" t="s">
        <v>1700</v>
      </c>
      <c r="G3022" s="39" t="s">
        <v>2369</v>
      </c>
      <c r="H3022" s="7">
        <v>0</v>
      </c>
      <c r="I3022" s="7">
        <v>0</v>
      </c>
      <c r="J3022" s="17">
        <v>0</v>
      </c>
      <c r="K3022" s="17"/>
      <c r="L3022" s="7">
        <f t="shared" si="1277"/>
        <v>0</v>
      </c>
      <c r="M3022" s="8">
        <v>1</v>
      </c>
      <c r="N3022" s="8" t="str">
        <f t="shared" si="1278"/>
        <v/>
      </c>
      <c r="O3022" s="11" t="s">
        <v>1702</v>
      </c>
      <c r="P3022" s="16" t="str">
        <f t="shared" si="1279"/>
        <v>02-Aug-1914</v>
      </c>
      <c r="R3022" s="16" t="str">
        <f t="shared" si="1280"/>
        <v/>
      </c>
      <c r="S3022" s="16" t="str">
        <f t="shared" si="1280"/>
        <v/>
      </c>
      <c r="T3022" s="11"/>
      <c r="U3022" s="46" t="str">
        <f t="shared" si="1270"/>
        <v/>
      </c>
      <c r="V3022" s="46">
        <f t="shared" si="1270"/>
        <v>0</v>
      </c>
      <c r="W3022" s="46" t="str">
        <f t="shared" si="1270"/>
        <v/>
      </c>
      <c r="X3022" s="46" t="str">
        <f t="shared" si="1270"/>
        <v/>
      </c>
    </row>
    <row r="3023" spans="2:24" x14ac:dyDescent="0.25">
      <c r="B3023" s="11" t="str">
        <f t="shared" si="1276"/>
        <v>LLRN-07MAY1918</v>
      </c>
      <c r="C3023" s="11" t="s">
        <v>89</v>
      </c>
      <c r="D3023" s="11" t="s">
        <v>1956</v>
      </c>
      <c r="E3023" s="39" t="s">
        <v>2383</v>
      </c>
      <c r="F3023" s="11" t="s">
        <v>1700</v>
      </c>
      <c r="G3023" s="39" t="s">
        <v>2376</v>
      </c>
      <c r="H3023" s="7">
        <v>2</v>
      </c>
      <c r="I3023" s="7">
        <v>0</v>
      </c>
      <c r="J3023" s="17">
        <v>1</v>
      </c>
      <c r="K3023" s="17"/>
      <c r="L3023" s="7">
        <f t="shared" si="1277"/>
        <v>3</v>
      </c>
      <c r="M3023" s="8">
        <v>1</v>
      </c>
      <c r="N3023" s="8">
        <f t="shared" si="1278"/>
        <v>1</v>
      </c>
      <c r="O3023" s="11" t="s">
        <v>1702</v>
      </c>
      <c r="P3023" s="16" t="str">
        <f t="shared" si="1279"/>
        <v>07-May-1918</v>
      </c>
      <c r="R3023" s="16" t="str">
        <f t="shared" si="1280"/>
        <v>x</v>
      </c>
      <c r="S3023" s="16" t="str">
        <f t="shared" si="1280"/>
        <v>x</v>
      </c>
      <c r="T3023" s="11"/>
      <c r="U3023" s="46" t="str">
        <f t="shared" si="1270"/>
        <v/>
      </c>
      <c r="V3023" s="46">
        <f t="shared" si="1270"/>
        <v>3</v>
      </c>
      <c r="W3023" s="46" t="str">
        <f t="shared" si="1270"/>
        <v/>
      </c>
      <c r="X3023" s="46" t="str">
        <f t="shared" si="1270"/>
        <v/>
      </c>
    </row>
    <row r="3024" spans="2:24" x14ac:dyDescent="0.25">
      <c r="B3024" s="11" t="str">
        <f t="shared" si="1276"/>
        <v>LLRN-09JUN1918</v>
      </c>
      <c r="C3024" s="11" t="s">
        <v>89</v>
      </c>
      <c r="D3024" s="11" t="s">
        <v>1956</v>
      </c>
      <c r="E3024" s="39" t="s">
        <v>2384</v>
      </c>
      <c r="F3024" s="11" t="s">
        <v>1700</v>
      </c>
      <c r="G3024" s="39" t="s">
        <v>2377</v>
      </c>
      <c r="H3024" s="7">
        <v>0</v>
      </c>
      <c r="I3024" s="7">
        <v>0</v>
      </c>
      <c r="J3024" s="17">
        <v>5</v>
      </c>
      <c r="K3024" s="17"/>
      <c r="L3024" s="7">
        <f t="shared" si="1277"/>
        <v>5</v>
      </c>
      <c r="M3024" s="8">
        <v>1</v>
      </c>
      <c r="N3024" s="8">
        <f t="shared" si="1278"/>
        <v>1</v>
      </c>
      <c r="O3024" s="11" t="s">
        <v>1702</v>
      </c>
      <c r="P3024" s="16" t="str">
        <f t="shared" si="1279"/>
        <v>09-Jun-1918</v>
      </c>
      <c r="R3024" s="16" t="str">
        <f t="shared" si="1280"/>
        <v>x</v>
      </c>
      <c r="S3024" s="16" t="str">
        <f t="shared" si="1280"/>
        <v>x</v>
      </c>
      <c r="T3024" s="11"/>
      <c r="U3024" s="46" t="str">
        <f t="shared" si="1270"/>
        <v/>
      </c>
      <c r="V3024" s="46">
        <f t="shared" si="1270"/>
        <v>5</v>
      </c>
      <c r="W3024" s="46" t="str">
        <f t="shared" si="1270"/>
        <v/>
      </c>
      <c r="X3024" s="46" t="str">
        <f t="shared" si="1270"/>
        <v/>
      </c>
    </row>
    <row r="3025" spans="2:24" x14ac:dyDescent="0.25">
      <c r="B3025" s="11" t="str">
        <f t="shared" si="1276"/>
        <v>LLRN-10JUL1918</v>
      </c>
      <c r="C3025" s="11" t="s">
        <v>89</v>
      </c>
      <c r="D3025" s="11" t="s">
        <v>1956</v>
      </c>
      <c r="E3025" s="39" t="s">
        <v>2385</v>
      </c>
      <c r="F3025" s="11" t="s">
        <v>1700</v>
      </c>
      <c r="G3025" s="39" t="s">
        <v>2378</v>
      </c>
      <c r="H3025" s="7">
        <v>1</v>
      </c>
      <c r="I3025" s="7">
        <v>0</v>
      </c>
      <c r="J3025" s="17">
        <v>0</v>
      </c>
      <c r="K3025" s="17"/>
      <c r="L3025" s="7">
        <f t="shared" si="1277"/>
        <v>1</v>
      </c>
      <c r="M3025" s="8">
        <v>1</v>
      </c>
      <c r="N3025" s="8">
        <f t="shared" si="1278"/>
        <v>1</v>
      </c>
      <c r="O3025" s="11" t="s">
        <v>1702</v>
      </c>
      <c r="P3025" s="16" t="str">
        <f t="shared" si="1279"/>
        <v>10-Jul-1918</v>
      </c>
      <c r="R3025" s="16" t="str">
        <f t="shared" si="1280"/>
        <v>x</v>
      </c>
      <c r="S3025" s="16" t="str">
        <f t="shared" si="1280"/>
        <v>x</v>
      </c>
      <c r="T3025" s="11"/>
      <c r="U3025" s="46" t="str">
        <f t="shared" si="1270"/>
        <v/>
      </c>
      <c r="V3025" s="46">
        <f t="shared" si="1270"/>
        <v>1</v>
      </c>
      <c r="W3025" s="46" t="str">
        <f t="shared" si="1270"/>
        <v/>
      </c>
      <c r="X3025" s="46" t="str">
        <f t="shared" si="1270"/>
        <v/>
      </c>
    </row>
    <row r="3026" spans="2:24" x14ac:dyDescent="0.25">
      <c r="B3026" s="11" t="str">
        <f t="shared" si="1276"/>
        <v>LLRN-17AUG1918</v>
      </c>
      <c r="C3026" s="11" t="s">
        <v>89</v>
      </c>
      <c r="D3026" s="11" t="s">
        <v>1956</v>
      </c>
      <c r="E3026" s="39" t="s">
        <v>2386</v>
      </c>
      <c r="F3026" s="11" t="s">
        <v>1700</v>
      </c>
      <c r="G3026" s="39" t="s">
        <v>2379</v>
      </c>
      <c r="H3026" s="7">
        <v>0</v>
      </c>
      <c r="I3026" s="7">
        <v>0</v>
      </c>
      <c r="J3026" s="17">
        <v>0</v>
      </c>
      <c r="K3026" s="17"/>
      <c r="L3026" s="7">
        <f t="shared" si="1277"/>
        <v>0</v>
      </c>
      <c r="M3026" s="8">
        <v>1</v>
      </c>
      <c r="N3026" s="8" t="str">
        <f t="shared" si="1278"/>
        <v/>
      </c>
      <c r="O3026" s="11" t="s">
        <v>1702</v>
      </c>
      <c r="P3026" s="16" t="str">
        <f t="shared" si="1279"/>
        <v>17-Aug-1918</v>
      </c>
      <c r="R3026" s="16" t="str">
        <f t="shared" si="1280"/>
        <v/>
      </c>
      <c r="S3026" s="16" t="str">
        <f t="shared" si="1280"/>
        <v/>
      </c>
      <c r="T3026" s="11"/>
      <c r="U3026" s="46" t="str">
        <f t="shared" si="1270"/>
        <v/>
      </c>
      <c r="V3026" s="46">
        <f t="shared" si="1270"/>
        <v>0</v>
      </c>
      <c r="W3026" s="46" t="str">
        <f t="shared" si="1270"/>
        <v/>
      </c>
      <c r="X3026" s="46" t="str">
        <f t="shared" si="1270"/>
        <v/>
      </c>
    </row>
    <row r="3027" spans="2:24" x14ac:dyDescent="0.25">
      <c r="B3027" s="11" t="str">
        <f t="shared" si="1276"/>
        <v>LLRN-19SEP1918</v>
      </c>
      <c r="C3027" s="11" t="s">
        <v>89</v>
      </c>
      <c r="D3027" s="11" t="s">
        <v>1956</v>
      </c>
      <c r="E3027" s="39" t="s">
        <v>2387</v>
      </c>
      <c r="F3027" s="11" t="s">
        <v>1700</v>
      </c>
      <c r="G3027" s="39" t="s">
        <v>2380</v>
      </c>
      <c r="H3027" s="7">
        <v>0</v>
      </c>
      <c r="I3027" s="7">
        <v>1</v>
      </c>
      <c r="J3027" s="17">
        <v>1</v>
      </c>
      <c r="K3027" s="17"/>
      <c r="L3027" s="7">
        <f t="shared" si="1277"/>
        <v>2</v>
      </c>
      <c r="M3027" s="8">
        <v>1</v>
      </c>
      <c r="N3027" s="8">
        <f t="shared" si="1278"/>
        <v>1</v>
      </c>
      <c r="O3027" s="11" t="s">
        <v>1702</v>
      </c>
      <c r="P3027" s="16" t="str">
        <f t="shared" si="1279"/>
        <v>19-Sep-1918</v>
      </c>
      <c r="R3027" s="16" t="str">
        <f t="shared" si="1280"/>
        <v>x</v>
      </c>
      <c r="S3027" s="16" t="str">
        <f t="shared" si="1280"/>
        <v>x</v>
      </c>
      <c r="T3027" s="11"/>
      <c r="U3027" s="46" t="str">
        <f t="shared" si="1270"/>
        <v/>
      </c>
      <c r="V3027" s="46">
        <f t="shared" si="1270"/>
        <v>2</v>
      </c>
      <c r="W3027" s="46" t="str">
        <f t="shared" si="1270"/>
        <v/>
      </c>
      <c r="X3027" s="46" t="str">
        <f t="shared" si="1270"/>
        <v/>
      </c>
    </row>
    <row r="3028" spans="2:24" x14ac:dyDescent="0.25">
      <c r="B3028" s="11" t="str">
        <f t="shared" si="1276"/>
        <v>LLRN-03NOV1918</v>
      </c>
      <c r="C3028" s="11" t="s">
        <v>89</v>
      </c>
      <c r="D3028" s="11" t="s">
        <v>1956</v>
      </c>
      <c r="E3028" s="39" t="s">
        <v>2388</v>
      </c>
      <c r="F3028" s="11" t="s">
        <v>1700</v>
      </c>
      <c r="G3028" s="39" t="s">
        <v>2381</v>
      </c>
      <c r="H3028" s="7">
        <v>0</v>
      </c>
      <c r="I3028" s="7">
        <v>0</v>
      </c>
      <c r="J3028" s="17">
        <v>0</v>
      </c>
      <c r="K3028" s="17"/>
      <c r="L3028" s="7">
        <f t="shared" si="1277"/>
        <v>0</v>
      </c>
      <c r="M3028" s="8">
        <v>1</v>
      </c>
      <c r="N3028" s="8" t="str">
        <f t="shared" si="1278"/>
        <v/>
      </c>
      <c r="O3028" s="11" t="s">
        <v>1702</v>
      </c>
      <c r="P3028" s="16" t="str">
        <f t="shared" si="1279"/>
        <v>03-Nov-1918</v>
      </c>
      <c r="R3028" s="16" t="str">
        <f t="shared" si="1280"/>
        <v/>
      </c>
      <c r="S3028" s="16" t="str">
        <f t="shared" si="1280"/>
        <v/>
      </c>
      <c r="T3028" s="11"/>
      <c r="U3028" s="46" t="str">
        <f t="shared" si="1270"/>
        <v/>
      </c>
      <c r="V3028" s="46">
        <f t="shared" si="1270"/>
        <v>0</v>
      </c>
      <c r="W3028" s="46" t="str">
        <f t="shared" si="1270"/>
        <v/>
      </c>
      <c r="X3028" s="46" t="str">
        <f t="shared" si="1270"/>
        <v/>
      </c>
    </row>
    <row r="3029" spans="2:24" x14ac:dyDescent="0.25">
      <c r="B3029" s="11" t="str">
        <f t="shared" si="1276"/>
        <v>LLRN-16DEC1918</v>
      </c>
      <c r="C3029" s="11" t="s">
        <v>89</v>
      </c>
      <c r="D3029" s="11" t="s">
        <v>1956</v>
      </c>
      <c r="E3029" s="39" t="s">
        <v>2389</v>
      </c>
      <c r="F3029" s="11" t="s">
        <v>1700</v>
      </c>
      <c r="G3029" s="39" t="s">
        <v>2382</v>
      </c>
      <c r="H3029" s="7">
        <v>0</v>
      </c>
      <c r="I3029" s="7">
        <v>0</v>
      </c>
      <c r="J3029" s="17">
        <v>0</v>
      </c>
      <c r="K3029" s="17"/>
      <c r="L3029" s="7">
        <f t="shared" si="1277"/>
        <v>0</v>
      </c>
      <c r="M3029" s="8">
        <v>1</v>
      </c>
      <c r="N3029" s="8" t="str">
        <f t="shared" si="1278"/>
        <v/>
      </c>
      <c r="O3029" s="11" t="s">
        <v>1702</v>
      </c>
      <c r="P3029" s="16" t="str">
        <f t="shared" si="1279"/>
        <v>16-Dec-1918</v>
      </c>
      <c r="R3029" s="16" t="str">
        <f t="shared" si="1280"/>
        <v/>
      </c>
      <c r="S3029" s="16" t="str">
        <f t="shared" si="1280"/>
        <v/>
      </c>
      <c r="T3029" s="11"/>
      <c r="U3029" s="46" t="str">
        <f t="shared" si="1270"/>
        <v/>
      </c>
      <c r="V3029" s="46">
        <f t="shared" si="1270"/>
        <v>0</v>
      </c>
      <c r="W3029" s="46" t="str">
        <f t="shared" si="1270"/>
        <v/>
      </c>
      <c r="X3029" s="46" t="str">
        <f t="shared" si="1270"/>
        <v/>
      </c>
    </row>
    <row r="3030" spans="2:24" x14ac:dyDescent="0.25">
      <c r="B3030" s="11" t="str">
        <f t="shared" si="1276"/>
        <v>LLRN-28JAN1919</v>
      </c>
      <c r="C3030" s="11" t="s">
        <v>89</v>
      </c>
      <c r="D3030" s="11" t="s">
        <v>1956</v>
      </c>
      <c r="E3030" s="39" t="s">
        <v>2401</v>
      </c>
      <c r="F3030" s="11" t="s">
        <v>1700</v>
      </c>
      <c r="G3030" s="39" t="s">
        <v>2390</v>
      </c>
      <c r="H3030" s="7">
        <v>0</v>
      </c>
      <c r="I3030" s="7">
        <v>0</v>
      </c>
      <c r="J3030" s="17">
        <v>0</v>
      </c>
      <c r="K3030" s="17"/>
      <c r="L3030" s="7">
        <f t="shared" si="1277"/>
        <v>0</v>
      </c>
      <c r="M3030" s="8">
        <v>1</v>
      </c>
      <c r="N3030" s="8" t="str">
        <f t="shared" si="1278"/>
        <v/>
      </c>
      <c r="O3030" s="11" t="s">
        <v>1702</v>
      </c>
      <c r="P3030" s="16" t="str">
        <f t="shared" si="1279"/>
        <v>28-Jan-1919</v>
      </c>
      <c r="R3030" s="16" t="str">
        <f t="shared" si="1280"/>
        <v/>
      </c>
      <c r="S3030" s="16" t="str">
        <f t="shared" si="1280"/>
        <v/>
      </c>
      <c r="T3030" s="11"/>
      <c r="U3030" s="46" t="str">
        <f t="shared" si="1270"/>
        <v/>
      </c>
      <c r="V3030" s="46">
        <f t="shared" si="1270"/>
        <v>0</v>
      </c>
      <c r="W3030" s="46" t="str">
        <f t="shared" si="1270"/>
        <v/>
      </c>
      <c r="X3030" s="46" t="str">
        <f t="shared" si="1270"/>
        <v/>
      </c>
    </row>
    <row r="3031" spans="2:24" x14ac:dyDescent="0.25">
      <c r="B3031" s="11" t="str">
        <f t="shared" si="1276"/>
        <v>LLRN-03MAR1919</v>
      </c>
      <c r="C3031" s="11" t="s">
        <v>89</v>
      </c>
      <c r="D3031" s="11" t="s">
        <v>1699</v>
      </c>
      <c r="E3031" s="39" t="s">
        <v>2402</v>
      </c>
      <c r="F3031" s="11" t="s">
        <v>1700</v>
      </c>
      <c r="G3031" s="39" t="s">
        <v>2391</v>
      </c>
      <c r="H3031" s="7">
        <v>0</v>
      </c>
      <c r="I3031" s="7">
        <v>0</v>
      </c>
      <c r="J3031" s="17">
        <v>0</v>
      </c>
      <c r="K3031" s="17"/>
      <c r="L3031" s="7">
        <f t="shared" si="1277"/>
        <v>0</v>
      </c>
      <c r="M3031" s="8">
        <v>1</v>
      </c>
      <c r="N3031" s="8" t="str">
        <f t="shared" si="1278"/>
        <v/>
      </c>
      <c r="O3031" s="11" t="s">
        <v>1702</v>
      </c>
      <c r="P3031" s="16" t="str">
        <f t="shared" si="1279"/>
        <v>03-Mar-1919</v>
      </c>
      <c r="R3031" s="16" t="str">
        <f t="shared" si="1280"/>
        <v/>
      </c>
      <c r="S3031" s="16" t="str">
        <f t="shared" si="1280"/>
        <v/>
      </c>
      <c r="T3031" s="11"/>
      <c r="U3031" s="46" t="str">
        <f t="shared" si="1270"/>
        <v/>
      </c>
      <c r="V3031" s="46">
        <f t="shared" si="1270"/>
        <v>0</v>
      </c>
      <c r="W3031" s="46" t="str">
        <f t="shared" si="1270"/>
        <v/>
      </c>
      <c r="X3031" s="46" t="str">
        <f t="shared" si="1270"/>
        <v/>
      </c>
    </row>
    <row r="3032" spans="2:24" x14ac:dyDescent="0.25">
      <c r="B3032" s="11" t="str">
        <f t="shared" si="1276"/>
        <v>LLRN-31MAR1919</v>
      </c>
      <c r="C3032" s="11" t="s">
        <v>89</v>
      </c>
      <c r="D3032" s="11" t="s">
        <v>1699</v>
      </c>
      <c r="E3032" s="39" t="s">
        <v>2403</v>
      </c>
      <c r="F3032" s="11" t="s">
        <v>1700</v>
      </c>
      <c r="G3032" s="39" t="s">
        <v>2392</v>
      </c>
      <c r="H3032" s="7">
        <v>0</v>
      </c>
      <c r="I3032" s="7">
        <v>0</v>
      </c>
      <c r="J3032" s="17">
        <v>5</v>
      </c>
      <c r="K3032" s="17"/>
      <c r="L3032" s="7">
        <f t="shared" si="1277"/>
        <v>5</v>
      </c>
      <c r="M3032" s="8">
        <v>1</v>
      </c>
      <c r="N3032" s="8">
        <f t="shared" si="1278"/>
        <v>1</v>
      </c>
      <c r="O3032" s="11" t="s">
        <v>1702</v>
      </c>
      <c r="P3032" s="16" t="str">
        <f t="shared" si="1279"/>
        <v>31-Mar-1919</v>
      </c>
      <c r="R3032" s="16" t="str">
        <f t="shared" si="1280"/>
        <v>x</v>
      </c>
      <c r="S3032" s="16" t="str">
        <f t="shared" si="1280"/>
        <v>x</v>
      </c>
      <c r="T3032" s="11"/>
      <c r="U3032" s="46" t="str">
        <f t="shared" si="1270"/>
        <v/>
      </c>
      <c r="V3032" s="46">
        <f t="shared" si="1270"/>
        <v>5</v>
      </c>
      <c r="W3032" s="46" t="str">
        <f t="shared" si="1270"/>
        <v/>
      </c>
      <c r="X3032" s="46" t="str">
        <f t="shared" si="1270"/>
        <v/>
      </c>
    </row>
    <row r="3033" spans="2:24" x14ac:dyDescent="0.25">
      <c r="B3033" s="11" t="str">
        <f t="shared" ref="B3033:B3040" si="1281">CONCATENATE("LLRN","-",LEFT(P3033,2),UPPER(MID(P3033,4,3)),RIGHT(P3033,4))</f>
        <v>LLRN-28APR1919</v>
      </c>
      <c r="C3033" s="11" t="s">
        <v>89</v>
      </c>
      <c r="D3033" s="11" t="s">
        <v>1699</v>
      </c>
      <c r="E3033" s="39" t="s">
        <v>2404</v>
      </c>
      <c r="F3033" s="11" t="s">
        <v>1700</v>
      </c>
      <c r="G3033" s="39" t="s">
        <v>2393</v>
      </c>
      <c r="H3033" s="7">
        <v>0</v>
      </c>
      <c r="I3033" s="7">
        <v>0</v>
      </c>
      <c r="J3033" s="17">
        <v>0</v>
      </c>
      <c r="K3033" s="17"/>
      <c r="L3033" s="7">
        <f t="shared" ref="L3033:L3040" si="1282">SUM(H3033:K3033)</f>
        <v>0</v>
      </c>
      <c r="M3033" s="8">
        <v>1</v>
      </c>
      <c r="N3033" s="8" t="str">
        <f t="shared" ref="N3033:N3040" si="1283">IF(L3033&gt;0,1,"")</f>
        <v/>
      </c>
      <c r="O3033" s="11" t="s">
        <v>1702</v>
      </c>
      <c r="P3033" s="16" t="str">
        <f t="shared" ref="P3033:P3040" si="1284">IF(LEN(G3033)=10,CONCATENATE("0",G3033),G3033)</f>
        <v>28-Apr-1919</v>
      </c>
      <c r="R3033" s="16" t="str">
        <f t="shared" si="1280"/>
        <v/>
      </c>
      <c r="S3033" s="16" t="str">
        <f t="shared" si="1280"/>
        <v/>
      </c>
      <c r="T3033" s="11"/>
      <c r="U3033" s="46" t="str">
        <f t="shared" si="1270"/>
        <v/>
      </c>
      <c r="V3033" s="46">
        <f t="shared" si="1270"/>
        <v>0</v>
      </c>
      <c r="W3033" s="46" t="str">
        <f t="shared" si="1270"/>
        <v/>
      </c>
      <c r="X3033" s="46" t="str">
        <f t="shared" si="1270"/>
        <v/>
      </c>
    </row>
    <row r="3034" spans="2:24" x14ac:dyDescent="0.25">
      <c r="B3034" s="11" t="str">
        <f t="shared" si="1281"/>
        <v>LLRN-01JUN1919</v>
      </c>
      <c r="C3034" s="11" t="s">
        <v>89</v>
      </c>
      <c r="D3034" s="11" t="s">
        <v>1699</v>
      </c>
      <c r="E3034" s="39" t="s">
        <v>2405</v>
      </c>
      <c r="F3034" s="11" t="s">
        <v>1700</v>
      </c>
      <c r="G3034" s="39" t="s">
        <v>2394</v>
      </c>
      <c r="H3034" s="7">
        <v>0</v>
      </c>
      <c r="I3034" s="7">
        <v>1</v>
      </c>
      <c r="J3034" s="17">
        <v>0</v>
      </c>
      <c r="K3034" s="17"/>
      <c r="L3034" s="7">
        <f t="shared" si="1282"/>
        <v>1</v>
      </c>
      <c r="M3034" s="8">
        <v>1</v>
      </c>
      <c r="N3034" s="8">
        <f t="shared" si="1283"/>
        <v>1</v>
      </c>
      <c r="O3034" s="11" t="s">
        <v>1702</v>
      </c>
      <c r="P3034" s="16" t="str">
        <f t="shared" si="1284"/>
        <v>01-Jun-1919</v>
      </c>
      <c r="R3034" s="16" t="str">
        <f t="shared" si="1280"/>
        <v>x</v>
      </c>
      <c r="S3034" s="16" t="str">
        <f t="shared" si="1280"/>
        <v>x</v>
      </c>
      <c r="T3034" s="11"/>
      <c r="U3034" s="46" t="str">
        <f t="shared" si="1270"/>
        <v/>
      </c>
      <c r="V3034" s="46">
        <f t="shared" si="1270"/>
        <v>1</v>
      </c>
      <c r="W3034" s="46" t="str">
        <f t="shared" si="1270"/>
        <v/>
      </c>
      <c r="X3034" s="46" t="str">
        <f t="shared" si="1270"/>
        <v/>
      </c>
    </row>
    <row r="3035" spans="2:24" x14ac:dyDescent="0.25">
      <c r="B3035" s="11" t="str">
        <f t="shared" si="1281"/>
        <v>LLRN-30JUN1919</v>
      </c>
      <c r="C3035" s="11" t="s">
        <v>89</v>
      </c>
      <c r="D3035" s="11" t="s">
        <v>1699</v>
      </c>
      <c r="E3035" s="39" t="s">
        <v>2406</v>
      </c>
      <c r="F3035" s="11" t="s">
        <v>1700</v>
      </c>
      <c r="G3035" s="39" t="s">
        <v>2395</v>
      </c>
      <c r="H3035" s="7">
        <v>0</v>
      </c>
      <c r="I3035" s="7">
        <v>0</v>
      </c>
      <c r="J3035" s="17">
        <v>2</v>
      </c>
      <c r="K3035" s="17"/>
      <c r="L3035" s="7">
        <f t="shared" si="1282"/>
        <v>2</v>
      </c>
      <c r="M3035" s="8">
        <v>1</v>
      </c>
      <c r="N3035" s="8">
        <f t="shared" si="1283"/>
        <v>1</v>
      </c>
      <c r="O3035" s="11" t="s">
        <v>1702</v>
      </c>
      <c r="P3035" s="16" t="str">
        <f t="shared" si="1284"/>
        <v>30-Jun-1919</v>
      </c>
      <c r="R3035" s="16" t="str">
        <f t="shared" si="1280"/>
        <v>x</v>
      </c>
      <c r="S3035" s="16" t="str">
        <f t="shared" si="1280"/>
        <v>x</v>
      </c>
      <c r="T3035" s="11"/>
      <c r="U3035" s="46" t="str">
        <f t="shared" si="1270"/>
        <v/>
      </c>
      <c r="V3035" s="46">
        <f t="shared" si="1270"/>
        <v>2</v>
      </c>
      <c r="W3035" s="46" t="str">
        <f t="shared" si="1270"/>
        <v/>
      </c>
      <c r="X3035" s="46" t="str">
        <f t="shared" si="1270"/>
        <v/>
      </c>
    </row>
    <row r="3036" spans="2:24" x14ac:dyDescent="0.25">
      <c r="B3036" s="11" t="str">
        <f t="shared" si="1281"/>
        <v>LLRN-28JUL1919</v>
      </c>
      <c r="C3036" s="11" t="s">
        <v>89</v>
      </c>
      <c r="D3036" s="11" t="s">
        <v>1699</v>
      </c>
      <c r="E3036" s="39" t="s">
        <v>2407</v>
      </c>
      <c r="F3036" s="11" t="s">
        <v>1700</v>
      </c>
      <c r="G3036" s="39" t="s">
        <v>2396</v>
      </c>
      <c r="H3036" s="7">
        <v>1</v>
      </c>
      <c r="I3036" s="7">
        <v>0</v>
      </c>
      <c r="J3036" s="17">
        <v>0</v>
      </c>
      <c r="K3036" s="17"/>
      <c r="L3036" s="7">
        <f t="shared" si="1282"/>
        <v>1</v>
      </c>
      <c r="M3036" s="8">
        <v>1</v>
      </c>
      <c r="N3036" s="8">
        <f t="shared" si="1283"/>
        <v>1</v>
      </c>
      <c r="O3036" s="11" t="s">
        <v>1702</v>
      </c>
      <c r="P3036" s="16" t="str">
        <f t="shared" si="1284"/>
        <v>28-Jul-1919</v>
      </c>
      <c r="R3036" s="16" t="str">
        <f t="shared" si="1280"/>
        <v>x</v>
      </c>
      <c r="S3036" s="16" t="str">
        <f t="shared" si="1280"/>
        <v>x</v>
      </c>
      <c r="T3036" s="11"/>
      <c r="U3036" s="46" t="str">
        <f t="shared" si="1270"/>
        <v/>
      </c>
      <c r="V3036" s="46">
        <f t="shared" si="1270"/>
        <v>1</v>
      </c>
      <c r="W3036" s="46" t="str">
        <f t="shared" si="1270"/>
        <v/>
      </c>
      <c r="X3036" s="46" t="str">
        <f t="shared" si="1270"/>
        <v/>
      </c>
    </row>
    <row r="3037" spans="2:24" x14ac:dyDescent="0.25">
      <c r="B3037" s="11" t="str">
        <f t="shared" si="1281"/>
        <v>LLRN-25AUG1919</v>
      </c>
      <c r="C3037" s="11" t="s">
        <v>89</v>
      </c>
      <c r="D3037" s="11" t="s">
        <v>1699</v>
      </c>
      <c r="E3037" s="39" t="s">
        <v>2408</v>
      </c>
      <c r="F3037" s="11" t="s">
        <v>1700</v>
      </c>
      <c r="G3037" s="39" t="s">
        <v>2397</v>
      </c>
      <c r="H3037" s="7">
        <v>0</v>
      </c>
      <c r="I3037" s="7">
        <v>0</v>
      </c>
      <c r="J3037" s="17">
        <v>3</v>
      </c>
      <c r="K3037" s="17"/>
      <c r="L3037" s="7">
        <f t="shared" si="1282"/>
        <v>3</v>
      </c>
      <c r="M3037" s="8">
        <v>1</v>
      </c>
      <c r="N3037" s="8">
        <f t="shared" si="1283"/>
        <v>1</v>
      </c>
      <c r="O3037" s="11" t="s">
        <v>1702</v>
      </c>
      <c r="P3037" s="16" t="str">
        <f t="shared" si="1284"/>
        <v>25-Aug-1919</v>
      </c>
      <c r="R3037" s="16" t="str">
        <f t="shared" si="1280"/>
        <v>x</v>
      </c>
      <c r="S3037" s="16" t="str">
        <f t="shared" si="1280"/>
        <v>x</v>
      </c>
      <c r="T3037" s="11"/>
      <c r="U3037" s="46" t="str">
        <f t="shared" si="1270"/>
        <v/>
      </c>
      <c r="V3037" s="46">
        <f t="shared" si="1270"/>
        <v>3</v>
      </c>
      <c r="W3037" s="46" t="str">
        <f t="shared" si="1270"/>
        <v/>
      </c>
      <c r="X3037" s="46" t="str">
        <f t="shared" si="1270"/>
        <v/>
      </c>
    </row>
    <row r="3038" spans="2:24" x14ac:dyDescent="0.25">
      <c r="B3038" s="11" t="str">
        <f t="shared" si="1281"/>
        <v>LLRN-22SEP1919</v>
      </c>
      <c r="C3038" s="11" t="s">
        <v>89</v>
      </c>
      <c r="D3038" s="11" t="s">
        <v>1699</v>
      </c>
      <c r="E3038" s="39" t="s">
        <v>2409</v>
      </c>
      <c r="F3038" s="11" t="s">
        <v>1700</v>
      </c>
      <c r="G3038" s="39" t="s">
        <v>2398</v>
      </c>
      <c r="H3038" s="7">
        <v>1</v>
      </c>
      <c r="I3038" s="7">
        <v>0</v>
      </c>
      <c r="J3038" s="17">
        <v>3</v>
      </c>
      <c r="K3038" s="17"/>
      <c r="L3038" s="7">
        <f t="shared" si="1282"/>
        <v>4</v>
      </c>
      <c r="M3038" s="8">
        <v>1</v>
      </c>
      <c r="N3038" s="8">
        <f t="shared" si="1283"/>
        <v>1</v>
      </c>
      <c r="O3038" s="11" t="s">
        <v>1702</v>
      </c>
      <c r="P3038" s="16" t="str">
        <f t="shared" si="1284"/>
        <v>22-Sep-1919</v>
      </c>
      <c r="R3038" s="16" t="str">
        <f t="shared" si="1280"/>
        <v>x</v>
      </c>
      <c r="S3038" s="16" t="str">
        <f t="shared" si="1280"/>
        <v>x</v>
      </c>
      <c r="T3038" s="11"/>
      <c r="U3038" s="46" t="str">
        <f t="shared" si="1270"/>
        <v/>
      </c>
      <c r="V3038" s="46">
        <f t="shared" si="1270"/>
        <v>4</v>
      </c>
      <c r="W3038" s="46" t="str">
        <f t="shared" si="1270"/>
        <v/>
      </c>
      <c r="X3038" s="46" t="str">
        <f t="shared" si="1270"/>
        <v/>
      </c>
    </row>
    <row r="3039" spans="2:24" x14ac:dyDescent="0.25">
      <c r="B3039" s="11" t="str">
        <f t="shared" si="1281"/>
        <v>LLRN-27OCT1919</v>
      </c>
      <c r="C3039" s="11" t="s">
        <v>89</v>
      </c>
      <c r="D3039" s="11" t="s">
        <v>1699</v>
      </c>
      <c r="E3039" s="39" t="s">
        <v>1121</v>
      </c>
      <c r="F3039" s="11" t="s">
        <v>1700</v>
      </c>
      <c r="G3039" s="39" t="s">
        <v>2399</v>
      </c>
      <c r="H3039" s="7">
        <v>1</v>
      </c>
      <c r="I3039" s="7">
        <v>1</v>
      </c>
      <c r="J3039" s="17">
        <v>3</v>
      </c>
      <c r="K3039" s="17"/>
      <c r="L3039" s="7">
        <f t="shared" si="1282"/>
        <v>5</v>
      </c>
      <c r="M3039" s="8">
        <v>1</v>
      </c>
      <c r="N3039" s="8">
        <f t="shared" si="1283"/>
        <v>1</v>
      </c>
      <c r="O3039" s="11" t="s">
        <v>1702</v>
      </c>
      <c r="P3039" s="16" t="str">
        <f t="shared" si="1284"/>
        <v>27-Oct-1919</v>
      </c>
      <c r="R3039" s="16" t="str">
        <f t="shared" si="1280"/>
        <v>x</v>
      </c>
      <c r="S3039" s="16" t="str">
        <f t="shared" si="1280"/>
        <v>x</v>
      </c>
      <c r="T3039" s="11"/>
      <c r="U3039" s="46" t="str">
        <f t="shared" si="1270"/>
        <v/>
      </c>
      <c r="V3039" s="46">
        <f t="shared" si="1270"/>
        <v>5</v>
      </c>
      <c r="W3039" s="46" t="str">
        <f t="shared" si="1270"/>
        <v/>
      </c>
      <c r="X3039" s="46" t="str">
        <f t="shared" si="1270"/>
        <v/>
      </c>
    </row>
    <row r="3040" spans="2:24" x14ac:dyDescent="0.25">
      <c r="B3040" s="11" t="str">
        <f t="shared" si="1281"/>
        <v>LLRN-05DEC1919</v>
      </c>
      <c r="C3040" s="11" t="s">
        <v>89</v>
      </c>
      <c r="D3040" s="11" t="s">
        <v>1699</v>
      </c>
      <c r="E3040" s="39" t="s">
        <v>2410</v>
      </c>
      <c r="F3040" s="11" t="s">
        <v>1700</v>
      </c>
      <c r="G3040" s="39" t="s">
        <v>2400</v>
      </c>
      <c r="H3040" s="7">
        <v>0</v>
      </c>
      <c r="I3040" s="7">
        <v>1</v>
      </c>
      <c r="J3040" s="17">
        <v>2</v>
      </c>
      <c r="K3040" s="17"/>
      <c r="L3040" s="7">
        <f t="shared" si="1282"/>
        <v>3</v>
      </c>
      <c r="M3040" s="8">
        <v>1</v>
      </c>
      <c r="N3040" s="8">
        <f t="shared" si="1283"/>
        <v>1</v>
      </c>
      <c r="O3040" s="11" t="s">
        <v>1702</v>
      </c>
      <c r="P3040" s="16" t="str">
        <f t="shared" si="1284"/>
        <v>05-Dec-1919</v>
      </c>
      <c r="R3040" s="16" t="str">
        <f t="shared" si="1280"/>
        <v>x</v>
      </c>
      <c r="S3040" s="16" t="str">
        <f t="shared" si="1280"/>
        <v>x</v>
      </c>
      <c r="U3040" s="46" t="str">
        <f t="shared" si="1270"/>
        <v/>
      </c>
      <c r="V3040" s="46">
        <f t="shared" si="1270"/>
        <v>3</v>
      </c>
      <c r="W3040" s="46" t="str">
        <f t="shared" si="1270"/>
        <v/>
      </c>
      <c r="X3040" s="46" t="str">
        <f t="shared" si="1270"/>
        <v/>
      </c>
    </row>
    <row r="3041" spans="2:26" x14ac:dyDescent="0.25">
      <c r="B3041" s="11" t="str">
        <f t="shared" ref="B3041:B3054" si="1285">CONCATENATE("LLRN","-",LEFT(P3041,2),UPPER(MID(P3041,4,3)),RIGHT(P3041,4))</f>
        <v>LLRN-19JAN1920</v>
      </c>
      <c r="C3041" s="11" t="s">
        <v>89</v>
      </c>
      <c r="D3041" s="11" t="s">
        <v>1699</v>
      </c>
      <c r="E3041" s="39" t="s">
        <v>2411</v>
      </c>
      <c r="F3041" s="11" t="s">
        <v>1700</v>
      </c>
      <c r="G3041" s="39" t="s">
        <v>2412</v>
      </c>
      <c r="H3041" s="7">
        <v>1</v>
      </c>
      <c r="I3041" s="7">
        <v>0</v>
      </c>
      <c r="J3041" s="17">
        <v>1</v>
      </c>
      <c r="K3041" s="17"/>
      <c r="L3041" s="7">
        <f t="shared" ref="L3041:L3054" si="1286">SUM(H3041:K3041)</f>
        <v>2</v>
      </c>
      <c r="M3041" s="8">
        <v>1</v>
      </c>
      <c r="N3041" s="8">
        <f t="shared" ref="N3041:N3054" si="1287">IF(L3041&gt;0,1,"")</f>
        <v>1</v>
      </c>
      <c r="O3041" s="11" t="s">
        <v>1702</v>
      </c>
      <c r="P3041" s="16" t="str">
        <f t="shared" ref="P3041:P3054" si="1288">IF(LEN(G3041)=10,CONCATENATE("0",G3041),G3041)</f>
        <v>19-Jan-1920</v>
      </c>
      <c r="R3041" s="16" t="str">
        <f t="shared" si="1280"/>
        <v>x</v>
      </c>
      <c r="S3041" s="16" t="str">
        <f t="shared" si="1280"/>
        <v>x</v>
      </c>
      <c r="U3041" s="46" t="str">
        <f t="shared" si="1270"/>
        <v/>
      </c>
      <c r="V3041" s="46">
        <f t="shared" si="1270"/>
        <v>2</v>
      </c>
      <c r="W3041" s="46" t="str">
        <f t="shared" si="1270"/>
        <v/>
      </c>
      <c r="X3041" s="46" t="str">
        <f t="shared" si="1270"/>
        <v/>
      </c>
    </row>
    <row r="3042" spans="2:26" x14ac:dyDescent="0.25">
      <c r="B3042" s="11" t="str">
        <f>CONCATENATE("LLRN","-",LEFT(P3042,2),UPPER(MID(P3042,4,3)),RIGHT(P3042,4))</f>
        <v>LLRN-30MAR1920</v>
      </c>
      <c r="C3042" s="11" t="s">
        <v>89</v>
      </c>
      <c r="D3042" s="11" t="s">
        <v>1699</v>
      </c>
      <c r="E3042" s="39" t="s">
        <v>2420</v>
      </c>
      <c r="F3042" s="11" t="s">
        <v>1700</v>
      </c>
      <c r="G3042" s="39" t="s">
        <v>2413</v>
      </c>
      <c r="H3042" s="7">
        <v>1</v>
      </c>
      <c r="I3042" s="7">
        <v>0</v>
      </c>
      <c r="J3042" s="17">
        <v>12</v>
      </c>
      <c r="K3042" s="17"/>
      <c r="L3042" s="7">
        <f>SUM(H3042:K3042)</f>
        <v>13</v>
      </c>
      <c r="M3042" s="8">
        <v>1</v>
      </c>
      <c r="N3042" s="8">
        <f>IF(L3042&gt;0,1,"")</f>
        <v>1</v>
      </c>
      <c r="O3042" s="11" t="s">
        <v>1702</v>
      </c>
      <c r="P3042" s="16" t="str">
        <f>IF(LEN(G3042)=10,CONCATENATE("0",G3042),G3042)</f>
        <v>30-Mar-1920</v>
      </c>
      <c r="R3042" s="16" t="str">
        <f t="shared" ref="R3042:S3055" si="1289">IF($L3042&gt;0,"x","")</f>
        <v>x</v>
      </c>
      <c r="S3042" s="16" t="str">
        <f t="shared" si="1289"/>
        <v>x</v>
      </c>
      <c r="U3042" s="46" t="str">
        <f t="shared" si="1270"/>
        <v/>
      </c>
      <c r="V3042" s="46">
        <f t="shared" si="1270"/>
        <v>13</v>
      </c>
      <c r="W3042" s="46" t="str">
        <f t="shared" si="1270"/>
        <v/>
      </c>
      <c r="X3042" s="46" t="str">
        <f t="shared" si="1270"/>
        <v/>
      </c>
    </row>
    <row r="3043" spans="2:26" x14ac:dyDescent="0.25">
      <c r="B3043" s="11" t="str">
        <f>CONCATENATE("LLRN","-",LEFT(P3043,2),UPPER(MID(P3043,4,3)),RIGHT(P3043,4))</f>
        <v>LLRN-25APR1920</v>
      </c>
      <c r="C3043" s="11" t="s">
        <v>89</v>
      </c>
      <c r="D3043" s="11" t="s">
        <v>1699</v>
      </c>
      <c r="E3043" s="39" t="s">
        <v>2421</v>
      </c>
      <c r="F3043" s="11" t="s">
        <v>1700</v>
      </c>
      <c r="G3043" s="39" t="s">
        <v>2414</v>
      </c>
      <c r="H3043" s="7">
        <v>0</v>
      </c>
      <c r="I3043" s="7">
        <v>2</v>
      </c>
      <c r="J3043" s="17">
        <v>2</v>
      </c>
      <c r="K3043" s="17"/>
      <c r="L3043" s="7">
        <f>SUM(H3043:K3043)</f>
        <v>4</v>
      </c>
      <c r="M3043" s="8">
        <v>1</v>
      </c>
      <c r="N3043" s="8">
        <f>IF(L3043&gt;0,1,"")</f>
        <v>1</v>
      </c>
      <c r="O3043" s="11" t="s">
        <v>1702</v>
      </c>
      <c r="P3043" s="16" t="str">
        <f>IF(LEN(G3043)=10,CONCATENATE("0",G3043),G3043)</f>
        <v>25-Apr-1920</v>
      </c>
      <c r="R3043" s="16" t="str">
        <f t="shared" si="1289"/>
        <v>x</v>
      </c>
      <c r="S3043" s="16" t="str">
        <f t="shared" si="1289"/>
        <v>x</v>
      </c>
      <c r="U3043" s="46" t="str">
        <f t="shared" si="1270"/>
        <v/>
      </c>
      <c r="V3043" s="46">
        <f t="shared" si="1270"/>
        <v>4</v>
      </c>
      <c r="W3043" s="46" t="str">
        <f t="shared" si="1270"/>
        <v/>
      </c>
      <c r="X3043" s="46" t="str">
        <f t="shared" si="1270"/>
        <v/>
      </c>
    </row>
    <row r="3044" spans="2:26" x14ac:dyDescent="0.25">
      <c r="B3044" s="11" t="str">
        <f>CONCATENATE("LLRN","-",LEFT(P3044,2),UPPER(MID(P3044,4,3)),RIGHT(P3044,4))</f>
        <v>LLRN-31MAY1920</v>
      </c>
      <c r="C3044" s="11" t="s">
        <v>89</v>
      </c>
      <c r="D3044" s="11" t="s">
        <v>1699</v>
      </c>
      <c r="E3044" s="39" t="s">
        <v>2422</v>
      </c>
      <c r="F3044" s="11" t="s">
        <v>1700</v>
      </c>
      <c r="G3044" s="39" t="s">
        <v>2415</v>
      </c>
      <c r="H3044" s="7">
        <v>0</v>
      </c>
      <c r="I3044" s="7">
        <v>0</v>
      </c>
      <c r="J3044" s="17">
        <v>16</v>
      </c>
      <c r="K3044" s="17"/>
      <c r="L3044" s="7">
        <f>SUM(H3044:K3044)</f>
        <v>16</v>
      </c>
      <c r="M3044" s="8">
        <v>1</v>
      </c>
      <c r="N3044" s="8">
        <f>IF(L3044&gt;0,1,"")</f>
        <v>1</v>
      </c>
      <c r="O3044" s="11" t="s">
        <v>1702</v>
      </c>
      <c r="P3044" s="16" t="str">
        <f>IF(LEN(G3044)=10,CONCATENATE("0",G3044),G3044)</f>
        <v>31-May-1920</v>
      </c>
      <c r="R3044" s="16" t="str">
        <f t="shared" si="1289"/>
        <v>x</v>
      </c>
      <c r="S3044" s="16" t="str">
        <f t="shared" si="1289"/>
        <v>x</v>
      </c>
      <c r="U3044" s="46" t="str">
        <f t="shared" si="1270"/>
        <v/>
      </c>
      <c r="V3044" s="46">
        <f t="shared" si="1270"/>
        <v>16</v>
      </c>
      <c r="W3044" s="46" t="str">
        <f t="shared" si="1270"/>
        <v/>
      </c>
      <c r="X3044" s="46" t="str">
        <f t="shared" si="1270"/>
        <v/>
      </c>
    </row>
    <row r="3045" spans="2:26" x14ac:dyDescent="0.25">
      <c r="B3045" s="11" t="str">
        <f>CONCATENATE("LLRN","-",LEFT(P3045,2),UPPER(MID(P3045,4,3)),RIGHT(P3045,4))</f>
        <v>LLRN-05JUL1920</v>
      </c>
      <c r="C3045" s="11" t="s">
        <v>89</v>
      </c>
      <c r="D3045" s="11" t="s">
        <v>1699</v>
      </c>
      <c r="E3045" s="39" t="s">
        <v>2423</v>
      </c>
      <c r="F3045" s="11" t="s">
        <v>1700</v>
      </c>
      <c r="G3045" s="39" t="s">
        <v>2416</v>
      </c>
      <c r="H3045" s="7">
        <v>0</v>
      </c>
      <c r="I3045" s="7">
        <v>11</v>
      </c>
      <c r="J3045" s="17">
        <v>4</v>
      </c>
      <c r="K3045" s="17"/>
      <c r="L3045" s="7">
        <f>SUM(H3045:K3045)</f>
        <v>15</v>
      </c>
      <c r="M3045" s="8">
        <v>1</v>
      </c>
      <c r="N3045" s="8">
        <f>IF(L3045&gt;0,1,"")</f>
        <v>1</v>
      </c>
      <c r="O3045" s="11" t="s">
        <v>1702</v>
      </c>
      <c r="P3045" s="16" t="str">
        <f>IF(LEN(G3045)=10,CONCATENATE("0",G3045),G3045)</f>
        <v>05-Jul-1920</v>
      </c>
      <c r="R3045" s="16" t="str">
        <f t="shared" si="1289"/>
        <v>x</v>
      </c>
      <c r="S3045" s="16" t="str">
        <f t="shared" si="1289"/>
        <v>x</v>
      </c>
      <c r="U3045" s="46" t="str">
        <f t="shared" si="1270"/>
        <v/>
      </c>
      <c r="V3045" s="46">
        <f t="shared" si="1270"/>
        <v>15</v>
      </c>
      <c r="W3045" s="46" t="str">
        <f t="shared" si="1270"/>
        <v/>
      </c>
      <c r="X3045" s="46" t="str">
        <f t="shared" si="1270"/>
        <v/>
      </c>
    </row>
    <row r="3046" spans="2:26" x14ac:dyDescent="0.25">
      <c r="B3046" s="11" t="str">
        <f t="shared" si="1285"/>
        <v>LLRN-16AUG1920</v>
      </c>
      <c r="C3046" s="11" t="s">
        <v>89</v>
      </c>
      <c r="D3046" s="11" t="s">
        <v>1699</v>
      </c>
      <c r="E3046" s="39" t="s">
        <v>2424</v>
      </c>
      <c r="F3046" s="11" t="s">
        <v>1700</v>
      </c>
      <c r="G3046" s="39" t="s">
        <v>2417</v>
      </c>
      <c r="H3046" s="7">
        <v>0</v>
      </c>
      <c r="I3046" s="7">
        <v>0</v>
      </c>
      <c r="J3046" s="17">
        <v>21</v>
      </c>
      <c r="K3046" s="17"/>
      <c r="L3046" s="7">
        <f t="shared" si="1286"/>
        <v>21</v>
      </c>
      <c r="M3046" s="8">
        <v>1</v>
      </c>
      <c r="N3046" s="8">
        <f t="shared" si="1287"/>
        <v>1</v>
      </c>
      <c r="O3046" s="11" t="s">
        <v>1702</v>
      </c>
      <c r="P3046" s="16" t="str">
        <f t="shared" si="1288"/>
        <v>16-Aug-1920</v>
      </c>
      <c r="R3046" s="16" t="str">
        <f t="shared" si="1289"/>
        <v>x</v>
      </c>
      <c r="S3046" s="16" t="str">
        <f t="shared" si="1289"/>
        <v>x</v>
      </c>
      <c r="U3046" s="46" t="str">
        <f t="shared" si="1270"/>
        <v/>
      </c>
      <c r="V3046" s="46">
        <f t="shared" si="1270"/>
        <v>21</v>
      </c>
      <c r="W3046" s="46" t="str">
        <f t="shared" si="1270"/>
        <v/>
      </c>
      <c r="X3046" s="46" t="str">
        <f t="shared" si="1270"/>
        <v/>
      </c>
    </row>
    <row r="3047" spans="2:26" x14ac:dyDescent="0.25">
      <c r="B3047" s="11" t="str">
        <f t="shared" si="1285"/>
        <v>LLRN-13SEP1920</v>
      </c>
      <c r="C3047" s="11" t="s">
        <v>89</v>
      </c>
      <c r="D3047" s="11" t="s">
        <v>1699</v>
      </c>
      <c r="E3047" s="39" t="s">
        <v>2425</v>
      </c>
      <c r="F3047" s="11" t="s">
        <v>1700</v>
      </c>
      <c r="G3047" s="39" t="s">
        <v>2038</v>
      </c>
      <c r="H3047" s="7">
        <v>0</v>
      </c>
      <c r="I3047" s="7">
        <v>0</v>
      </c>
      <c r="J3047" s="17">
        <v>28</v>
      </c>
      <c r="K3047" s="17"/>
      <c r="L3047" s="7">
        <f t="shared" si="1286"/>
        <v>28</v>
      </c>
      <c r="M3047" s="8">
        <v>1</v>
      </c>
      <c r="N3047" s="8">
        <f t="shared" si="1287"/>
        <v>1</v>
      </c>
      <c r="O3047" s="11" t="s">
        <v>1702</v>
      </c>
      <c r="P3047" s="16" t="str">
        <f t="shared" si="1288"/>
        <v>13-Sep-1920</v>
      </c>
      <c r="R3047" s="16" t="str">
        <f t="shared" si="1289"/>
        <v>x</v>
      </c>
      <c r="S3047" s="16" t="str">
        <f t="shared" si="1289"/>
        <v>x</v>
      </c>
      <c r="U3047" s="46" t="str">
        <f t="shared" si="1270"/>
        <v/>
      </c>
      <c r="V3047" s="46">
        <f t="shared" si="1270"/>
        <v>28</v>
      </c>
      <c r="W3047" s="46" t="str">
        <f t="shared" si="1270"/>
        <v/>
      </c>
      <c r="X3047" s="46" t="str">
        <f t="shared" si="1270"/>
        <v/>
      </c>
    </row>
    <row r="3048" spans="2:26" x14ac:dyDescent="0.25">
      <c r="B3048" s="11" t="str">
        <f t="shared" si="1285"/>
        <v>LLRN-11OCT1920</v>
      </c>
      <c r="C3048" s="11" t="s">
        <v>89</v>
      </c>
      <c r="D3048" s="11" t="s">
        <v>1699</v>
      </c>
      <c r="E3048" s="39" t="s">
        <v>2426</v>
      </c>
      <c r="F3048" s="11" t="s">
        <v>1700</v>
      </c>
      <c r="G3048" s="39" t="s">
        <v>2418</v>
      </c>
      <c r="H3048" s="7">
        <v>0</v>
      </c>
      <c r="I3048" s="7">
        <v>0</v>
      </c>
      <c r="J3048" s="17">
        <v>4</v>
      </c>
      <c r="K3048" s="17"/>
      <c r="L3048" s="7">
        <f t="shared" si="1286"/>
        <v>4</v>
      </c>
      <c r="M3048" s="8">
        <v>1</v>
      </c>
      <c r="N3048" s="8">
        <f t="shared" si="1287"/>
        <v>1</v>
      </c>
      <c r="O3048" s="11" t="s">
        <v>1702</v>
      </c>
      <c r="P3048" s="16" t="str">
        <f t="shared" si="1288"/>
        <v>11-Oct-1920</v>
      </c>
      <c r="R3048" s="16" t="str">
        <f t="shared" si="1289"/>
        <v>x</v>
      </c>
      <c r="S3048" s="16" t="str">
        <f t="shared" si="1289"/>
        <v>x</v>
      </c>
      <c r="U3048" s="46" t="str">
        <f t="shared" si="1270"/>
        <v/>
      </c>
      <c r="V3048" s="46">
        <f t="shared" si="1270"/>
        <v>4</v>
      </c>
      <c r="W3048" s="46" t="str">
        <f t="shared" si="1270"/>
        <v/>
      </c>
      <c r="X3048" s="46" t="str">
        <f t="shared" si="1270"/>
        <v/>
      </c>
    </row>
    <row r="3049" spans="2:26" x14ac:dyDescent="0.25">
      <c r="B3049" s="11" t="str">
        <f t="shared" si="1285"/>
        <v>LLRN-08NOV1920</v>
      </c>
      <c r="C3049" s="11" t="s">
        <v>89</v>
      </c>
      <c r="D3049" s="11" t="s">
        <v>1699</v>
      </c>
      <c r="E3049" s="39" t="s">
        <v>2427</v>
      </c>
      <c r="F3049" s="11" t="s">
        <v>1700</v>
      </c>
      <c r="G3049" s="39" t="s">
        <v>2419</v>
      </c>
      <c r="H3049" s="7">
        <v>2</v>
      </c>
      <c r="I3049" s="7">
        <v>0</v>
      </c>
      <c r="J3049" s="17">
        <v>11</v>
      </c>
      <c r="K3049" s="17"/>
      <c r="L3049" s="7">
        <f t="shared" si="1286"/>
        <v>13</v>
      </c>
      <c r="M3049" s="8">
        <v>1</v>
      </c>
      <c r="N3049" s="8">
        <f t="shared" si="1287"/>
        <v>1</v>
      </c>
      <c r="O3049" s="11" t="s">
        <v>1702</v>
      </c>
      <c r="P3049" s="16" t="str">
        <f t="shared" si="1288"/>
        <v>08-Nov-1920</v>
      </c>
      <c r="R3049" s="16" t="str">
        <f t="shared" si="1289"/>
        <v>x</v>
      </c>
      <c r="S3049" s="16" t="str">
        <f t="shared" si="1289"/>
        <v>x</v>
      </c>
      <c r="U3049" s="46" t="str">
        <f t="shared" si="1270"/>
        <v/>
      </c>
      <c r="V3049" s="46">
        <f t="shared" si="1270"/>
        <v>13</v>
      </c>
      <c r="W3049" s="46" t="str">
        <f t="shared" si="1270"/>
        <v/>
      </c>
      <c r="X3049" s="46" t="str">
        <f t="shared" si="1270"/>
        <v/>
      </c>
    </row>
    <row r="3050" spans="2:26" x14ac:dyDescent="0.25">
      <c r="B3050" s="11" t="str">
        <f t="shared" si="1285"/>
        <v>LLRN-07DEC1920</v>
      </c>
      <c r="C3050" s="11" t="s">
        <v>89</v>
      </c>
      <c r="D3050" s="11" t="s">
        <v>1699</v>
      </c>
      <c r="E3050" s="39" t="s">
        <v>2428</v>
      </c>
      <c r="F3050" s="11" t="s">
        <v>1700</v>
      </c>
      <c r="G3050" s="39" t="s">
        <v>2043</v>
      </c>
      <c r="H3050" s="7">
        <v>0</v>
      </c>
      <c r="I3050" s="7">
        <v>0</v>
      </c>
      <c r="J3050" s="17">
        <v>9</v>
      </c>
      <c r="K3050" s="17"/>
      <c r="L3050" s="7">
        <f t="shared" si="1286"/>
        <v>9</v>
      </c>
      <c r="M3050" s="8">
        <v>1</v>
      </c>
      <c r="N3050" s="8">
        <f t="shared" si="1287"/>
        <v>1</v>
      </c>
      <c r="O3050" s="11" t="s">
        <v>1702</v>
      </c>
      <c r="P3050" s="16" t="str">
        <f t="shared" si="1288"/>
        <v>07-Dec-1920</v>
      </c>
      <c r="R3050" s="16" t="str">
        <f t="shared" si="1289"/>
        <v>x</v>
      </c>
      <c r="S3050" s="16" t="str">
        <f t="shared" si="1289"/>
        <v>x</v>
      </c>
      <c r="U3050" s="46" t="str">
        <f t="shared" si="1270"/>
        <v/>
      </c>
      <c r="V3050" s="46">
        <f t="shared" si="1270"/>
        <v>9</v>
      </c>
      <c r="W3050" s="46" t="str">
        <f t="shared" si="1270"/>
        <v/>
      </c>
      <c r="X3050" s="46" t="str">
        <f t="shared" si="1270"/>
        <v/>
      </c>
    </row>
    <row r="3051" spans="2:26" x14ac:dyDescent="0.25">
      <c r="B3051" s="11" t="str">
        <f t="shared" si="1285"/>
        <v>LLRN-04JAN1921</v>
      </c>
      <c r="C3051" s="11" t="s">
        <v>89</v>
      </c>
      <c r="D3051" s="11" t="s">
        <v>1699</v>
      </c>
      <c r="E3051" s="39" t="s">
        <v>2431</v>
      </c>
      <c r="F3051" s="11" t="s">
        <v>1700</v>
      </c>
      <c r="G3051" s="39" t="s">
        <v>2054</v>
      </c>
      <c r="H3051" s="7">
        <v>1</v>
      </c>
      <c r="I3051" s="7">
        <v>1</v>
      </c>
      <c r="J3051" s="17">
        <v>5</v>
      </c>
      <c r="K3051" s="17"/>
      <c r="L3051" s="7">
        <f t="shared" si="1286"/>
        <v>7</v>
      </c>
      <c r="M3051" s="8">
        <v>1</v>
      </c>
      <c r="N3051" s="8">
        <f t="shared" si="1287"/>
        <v>1</v>
      </c>
      <c r="O3051" s="11" t="s">
        <v>1702</v>
      </c>
      <c r="P3051" s="16" t="str">
        <f t="shared" si="1288"/>
        <v>04-Jan-1921</v>
      </c>
      <c r="R3051" s="16" t="str">
        <f t="shared" si="1289"/>
        <v>x</v>
      </c>
      <c r="S3051" s="16" t="str">
        <f t="shared" si="1289"/>
        <v>x</v>
      </c>
      <c r="U3051" s="46" t="str">
        <f t="shared" si="1270"/>
        <v/>
      </c>
      <c r="V3051" s="46">
        <f t="shared" si="1270"/>
        <v>7</v>
      </c>
      <c r="W3051" s="46" t="str">
        <f t="shared" si="1270"/>
        <v/>
      </c>
      <c r="X3051" s="46" t="str">
        <f t="shared" si="1270"/>
        <v/>
      </c>
    </row>
    <row r="3052" spans="2:26" x14ac:dyDescent="0.25">
      <c r="B3052" s="11" t="str">
        <f t="shared" si="1285"/>
        <v>LLRN-31JAN1921</v>
      </c>
      <c r="C3052" s="11" t="s">
        <v>89</v>
      </c>
      <c r="D3052" s="11" t="s">
        <v>1699</v>
      </c>
      <c r="E3052" s="39" t="s">
        <v>2433</v>
      </c>
      <c r="F3052" s="11" t="s">
        <v>1700</v>
      </c>
      <c r="G3052" s="39" t="s">
        <v>2432</v>
      </c>
      <c r="H3052" s="7">
        <v>0</v>
      </c>
      <c r="I3052" s="7">
        <v>2</v>
      </c>
      <c r="J3052" s="17">
        <v>6</v>
      </c>
      <c r="K3052" s="17"/>
      <c r="L3052" s="7">
        <f t="shared" si="1286"/>
        <v>8</v>
      </c>
      <c r="M3052" s="8">
        <v>1</v>
      </c>
      <c r="N3052" s="8">
        <f t="shared" si="1287"/>
        <v>1</v>
      </c>
      <c r="O3052" s="11" t="s">
        <v>1702</v>
      </c>
      <c r="P3052" s="16" t="str">
        <f t="shared" si="1288"/>
        <v>31-Jan-1921</v>
      </c>
      <c r="R3052" s="16" t="str">
        <f t="shared" si="1289"/>
        <v>x</v>
      </c>
      <c r="S3052" s="16" t="str">
        <f t="shared" si="1289"/>
        <v>x</v>
      </c>
      <c r="U3052" s="46" t="str">
        <f t="shared" si="1270"/>
        <v/>
      </c>
      <c r="V3052" s="46">
        <f t="shared" si="1270"/>
        <v>8</v>
      </c>
      <c r="W3052" s="46" t="str">
        <f t="shared" si="1270"/>
        <v/>
      </c>
      <c r="X3052" s="46" t="str">
        <f t="shared" si="1270"/>
        <v/>
      </c>
    </row>
    <row r="3053" spans="2:26" x14ac:dyDescent="0.25">
      <c r="B3053" s="11" t="str">
        <f t="shared" si="1285"/>
        <v>LLRN-28MAR1921</v>
      </c>
      <c r="C3053" s="11" t="s">
        <v>89</v>
      </c>
      <c r="D3053" s="11" t="s">
        <v>1699</v>
      </c>
      <c r="E3053" s="39" t="s">
        <v>2434</v>
      </c>
      <c r="F3053" s="11" t="s">
        <v>1700</v>
      </c>
      <c r="G3053" s="39" t="s">
        <v>2429</v>
      </c>
      <c r="H3053" s="7">
        <v>0</v>
      </c>
      <c r="I3053" s="7">
        <v>5</v>
      </c>
      <c r="J3053" s="17">
        <v>6</v>
      </c>
      <c r="K3053" s="17"/>
      <c r="L3053" s="7">
        <f t="shared" si="1286"/>
        <v>11</v>
      </c>
      <c r="M3053" s="8">
        <v>1</v>
      </c>
      <c r="N3053" s="8">
        <f t="shared" si="1287"/>
        <v>1</v>
      </c>
      <c r="O3053" s="11" t="s">
        <v>1702</v>
      </c>
      <c r="P3053" s="16" t="str">
        <f t="shared" si="1288"/>
        <v>28-Mar-1921</v>
      </c>
      <c r="R3053" s="16" t="str">
        <f t="shared" si="1289"/>
        <v>x</v>
      </c>
      <c r="S3053" s="16" t="str">
        <f t="shared" si="1289"/>
        <v>x</v>
      </c>
      <c r="U3053" s="46" t="str">
        <f t="shared" si="1270"/>
        <v/>
      </c>
      <c r="V3053" s="46">
        <f t="shared" si="1270"/>
        <v>11</v>
      </c>
      <c r="W3053" s="46" t="str">
        <f t="shared" si="1270"/>
        <v/>
      </c>
      <c r="X3053" s="46" t="str">
        <f t="shared" si="1270"/>
        <v/>
      </c>
    </row>
    <row r="3054" spans="2:26" x14ac:dyDescent="0.25">
      <c r="B3054" s="11" t="str">
        <f t="shared" si="1285"/>
        <v>LLRN-25APR1921</v>
      </c>
      <c r="C3054" s="11" t="s">
        <v>89</v>
      </c>
      <c r="D3054" s="11" t="s">
        <v>1699</v>
      </c>
      <c r="E3054" s="39" t="s">
        <v>2435</v>
      </c>
      <c r="F3054" s="11" t="s">
        <v>1700</v>
      </c>
      <c r="G3054" s="39" t="s">
        <v>2430</v>
      </c>
      <c r="H3054" s="7">
        <v>0</v>
      </c>
      <c r="I3054" s="7">
        <v>0</v>
      </c>
      <c r="J3054" s="17">
        <v>14</v>
      </c>
      <c r="K3054" s="17"/>
      <c r="L3054" s="7">
        <f t="shared" si="1286"/>
        <v>14</v>
      </c>
      <c r="M3054" s="8">
        <v>1</v>
      </c>
      <c r="N3054" s="8">
        <f t="shared" si="1287"/>
        <v>1</v>
      </c>
      <c r="O3054" s="11" t="s">
        <v>1702</v>
      </c>
      <c r="P3054" s="16" t="str">
        <f t="shared" si="1288"/>
        <v>25-Apr-1921</v>
      </c>
      <c r="R3054" s="16" t="str">
        <f t="shared" si="1289"/>
        <v>x</v>
      </c>
      <c r="S3054" s="16" t="str">
        <f t="shared" si="1289"/>
        <v>x</v>
      </c>
      <c r="U3054" s="46" t="str">
        <f t="shared" si="1270"/>
        <v/>
      </c>
      <c r="V3054" s="46">
        <f t="shared" si="1270"/>
        <v>14</v>
      </c>
      <c r="W3054" s="46" t="str">
        <f t="shared" si="1270"/>
        <v/>
      </c>
      <c r="X3054" s="46" t="str">
        <f>IF($O3054=X$5,$L3054,"")</f>
        <v/>
      </c>
      <c r="Z3054" s="11" t="s">
        <v>1593</v>
      </c>
    </row>
    <row r="3055" spans="2:26" x14ac:dyDescent="0.25">
      <c r="B3055" s="11" t="str">
        <f>CONCATENATE("LLRN","-",LEFT(P3055,2),UPPER(MID(P3055,4,3)),RIGHT(P3055,4))</f>
        <v>LLRN-23MAY1921</v>
      </c>
      <c r="C3055" s="11" t="s">
        <v>89</v>
      </c>
      <c r="D3055" s="11" t="s">
        <v>1699</v>
      </c>
      <c r="E3055" s="39" t="s">
        <v>4790</v>
      </c>
      <c r="F3055" s="11" t="s">
        <v>1700</v>
      </c>
      <c r="G3055" s="39" t="s">
        <v>6118</v>
      </c>
      <c r="H3055" s="7">
        <v>0</v>
      </c>
      <c r="I3055" s="7">
        <v>0</v>
      </c>
      <c r="J3055" s="17">
        <v>13</v>
      </c>
      <c r="K3055" s="17"/>
      <c r="L3055" s="7">
        <f>SUM(H3055:K3055)</f>
        <v>13</v>
      </c>
      <c r="M3055" s="8">
        <v>1</v>
      </c>
      <c r="N3055" s="8">
        <f>IF(L3055&gt;0,1,"")</f>
        <v>1</v>
      </c>
      <c r="O3055" s="11" t="s">
        <v>1702</v>
      </c>
      <c r="P3055" s="16" t="str">
        <f>IF(LEN(G3055)=10,CONCATENATE("0",G3055),G3055)</f>
        <v>23-May-1921</v>
      </c>
      <c r="R3055" s="16" t="str">
        <f t="shared" si="1289"/>
        <v>x</v>
      </c>
      <c r="S3055" s="16" t="str">
        <f t="shared" si="1289"/>
        <v>x</v>
      </c>
      <c r="U3055" s="46" t="str">
        <f>IF($O3055=U$5,$L3055,"")</f>
        <v/>
      </c>
      <c r="V3055" s="46">
        <f>IF($O3055=V$5,$L3055,"")</f>
        <v>13</v>
      </c>
      <c r="W3055" s="46" t="str">
        <f>IF($O3055=W$5,$L3055,"")</f>
        <v/>
      </c>
      <c r="X3055" s="46" t="str">
        <f>IF($O3055=X$5,$L3055,"")</f>
        <v/>
      </c>
    </row>
    <row r="3056" spans="2:26" x14ac:dyDescent="0.25">
      <c r="N3056" s="8" t="str">
        <f>IF(R3056="x",1,"")</f>
        <v/>
      </c>
      <c r="U3056" s="46" t="str">
        <f t="shared" ref="U3056:X3119" si="1290">IF($O3056=U$5,$L3056,"")</f>
        <v/>
      </c>
      <c r="V3056" s="46" t="str">
        <f t="shared" si="1290"/>
        <v/>
      </c>
      <c r="W3056" s="46" t="str">
        <f t="shared" si="1290"/>
        <v/>
      </c>
      <c r="X3056" s="46" t="str">
        <f t="shared" si="1290"/>
        <v/>
      </c>
    </row>
    <row r="3057" spans="2:26" s="18" customFormat="1" x14ac:dyDescent="0.25">
      <c r="E3057" s="40"/>
      <c r="G3057" s="40"/>
      <c r="H3057" s="7">
        <f t="shared" ref="H3057:N3057" si="1291">SUM(H2880:H3056)</f>
        <v>17</v>
      </c>
      <c r="I3057" s="7">
        <f t="shared" si="1291"/>
        <v>76</v>
      </c>
      <c r="J3057" s="7">
        <f>SUM(J2880:J3056)</f>
        <v>1757</v>
      </c>
      <c r="K3057" s="7">
        <f t="shared" si="1291"/>
        <v>0</v>
      </c>
      <c r="L3057" s="7">
        <f t="shared" si="1291"/>
        <v>1850</v>
      </c>
      <c r="M3057" s="7">
        <f t="shared" si="1291"/>
        <v>176</v>
      </c>
      <c r="N3057" s="7">
        <f t="shared" si="1291"/>
        <v>134</v>
      </c>
      <c r="P3057" s="13"/>
      <c r="Q3057" s="13"/>
      <c r="R3057" s="16"/>
      <c r="S3057" s="13"/>
      <c r="T3057" s="15"/>
      <c r="U3057" s="46" t="str">
        <f t="shared" si="1290"/>
        <v/>
      </c>
      <c r="V3057" s="46" t="str">
        <f t="shared" si="1290"/>
        <v/>
      </c>
      <c r="W3057" s="46" t="str">
        <f t="shared" si="1290"/>
        <v/>
      </c>
      <c r="X3057" s="46" t="str">
        <f t="shared" si="1290"/>
        <v/>
      </c>
      <c r="Z3057" s="11"/>
    </row>
    <row r="3058" spans="2:26" x14ac:dyDescent="0.25">
      <c r="B3058" s="18"/>
      <c r="C3058" s="18"/>
      <c r="D3058" s="18"/>
      <c r="E3058" s="40"/>
      <c r="F3058" s="18"/>
      <c r="G3058" s="40"/>
      <c r="N3058" s="8" t="str">
        <f>IF(R3058="x",1,"")</f>
        <v/>
      </c>
      <c r="O3058" s="18"/>
      <c r="P3058" s="13"/>
      <c r="Q3058" s="13"/>
      <c r="R3058" s="13"/>
      <c r="S3058" s="13"/>
      <c r="T3058" s="15"/>
      <c r="U3058" s="46" t="str">
        <f t="shared" si="1290"/>
        <v/>
      </c>
      <c r="V3058" s="46" t="str">
        <f t="shared" si="1290"/>
        <v/>
      </c>
      <c r="W3058" s="46" t="str">
        <f t="shared" si="1290"/>
        <v/>
      </c>
      <c r="X3058" s="46" t="str">
        <f t="shared" si="1290"/>
        <v/>
      </c>
    </row>
    <row r="3059" spans="2:26" x14ac:dyDescent="0.25">
      <c r="B3059" s="18"/>
      <c r="C3059" s="18"/>
      <c r="D3059" s="18"/>
      <c r="E3059" s="40"/>
      <c r="F3059" s="18"/>
      <c r="G3059" s="40"/>
      <c r="N3059" s="8" t="str">
        <f>IF(R3059="x",1,"")</f>
        <v/>
      </c>
      <c r="O3059" s="18"/>
      <c r="P3059" s="13"/>
      <c r="Q3059" s="13"/>
      <c r="R3059" s="13"/>
      <c r="S3059" s="13"/>
      <c r="T3059" s="15"/>
      <c r="U3059" s="46" t="str">
        <f t="shared" si="1290"/>
        <v/>
      </c>
      <c r="V3059" s="46" t="str">
        <f t="shared" si="1290"/>
        <v/>
      </c>
      <c r="W3059" s="46" t="str">
        <f t="shared" si="1290"/>
        <v/>
      </c>
      <c r="X3059" s="46" t="str">
        <f t="shared" si="1290"/>
        <v/>
      </c>
    </row>
    <row r="3060" spans="2:26" x14ac:dyDescent="0.25">
      <c r="B3060" s="11" t="str">
        <f>CONCATENATE("LNAV","-",LEFT(P3060,2),UPPER(MID(P3060,4,3)),RIGHT(P3060,4))</f>
        <v>LNAV-23MAY1898</v>
      </c>
      <c r="C3060" s="11" t="s">
        <v>686</v>
      </c>
      <c r="D3060" s="11" t="s">
        <v>1699</v>
      </c>
      <c r="E3060" s="39" t="s">
        <v>3230</v>
      </c>
      <c r="F3060" s="11" t="s">
        <v>1700</v>
      </c>
      <c r="G3060" s="39" t="s">
        <v>3231</v>
      </c>
      <c r="J3060" s="17">
        <v>18</v>
      </c>
      <c r="K3060" s="17"/>
      <c r="L3060" s="7">
        <f>SUM(H3060:K3060)</f>
        <v>18</v>
      </c>
      <c r="M3060" s="8">
        <v>1</v>
      </c>
      <c r="N3060" s="8">
        <f>IF(L3060&gt;0,1,"")</f>
        <v>1</v>
      </c>
      <c r="O3060" s="11" t="s">
        <v>1702</v>
      </c>
      <c r="P3060" s="16" t="str">
        <f>IF(LEN(G3060)=10,CONCATENATE("0",G3060),G3060)</f>
        <v>23-May-1898</v>
      </c>
      <c r="R3060" s="16" t="str">
        <f>IF($L3060&gt;0,"x","")</f>
        <v>x</v>
      </c>
      <c r="S3060" s="16" t="str">
        <f>IF($L3060&gt;0,"x","")</f>
        <v>x</v>
      </c>
      <c r="U3060" s="46" t="str">
        <f t="shared" si="1290"/>
        <v/>
      </c>
      <c r="V3060" s="46">
        <f t="shared" si="1290"/>
        <v>18</v>
      </c>
      <c r="W3060" s="46" t="str">
        <f t="shared" si="1290"/>
        <v/>
      </c>
      <c r="X3060" s="46" t="str">
        <f t="shared" si="1290"/>
        <v/>
      </c>
    </row>
    <row r="3061" spans="2:26" x14ac:dyDescent="0.25">
      <c r="B3061" s="11" t="str">
        <f>CONCATENATE("LNAV","-",LEFT(P3061,2),UPPER(MID(P3061,4,3)),RIGHT(P3061,4))</f>
        <v>LNAV-12SEP1898</v>
      </c>
      <c r="C3061" s="11" t="s">
        <v>686</v>
      </c>
      <c r="D3061" s="11" t="s">
        <v>1699</v>
      </c>
      <c r="E3061" s="39" t="s">
        <v>640</v>
      </c>
      <c r="F3061" s="11" t="s">
        <v>1700</v>
      </c>
      <c r="G3061" s="39" t="s">
        <v>3548</v>
      </c>
      <c r="J3061" s="17">
        <v>7</v>
      </c>
      <c r="K3061" s="17"/>
      <c r="L3061" s="7">
        <f>SUM(H3061:K3061)</f>
        <v>7</v>
      </c>
      <c r="M3061" s="8">
        <v>1</v>
      </c>
      <c r="N3061" s="8">
        <f>IF(L3061&gt;0,1,"")</f>
        <v>1</v>
      </c>
      <c r="O3061" s="11" t="s">
        <v>1702</v>
      </c>
      <c r="P3061" s="16" t="str">
        <f>IF(LEN(G3061)=10,CONCATENATE("0",G3061),G3061)</f>
        <v>12-Sep-1898</v>
      </c>
      <c r="R3061" s="16" t="str">
        <f>IF($L3061&gt;0,"x","")</f>
        <v>x</v>
      </c>
      <c r="S3061" s="16" t="str">
        <f>IF($L3061&gt;0,"x","")</f>
        <v>x</v>
      </c>
      <c r="U3061" s="46" t="str">
        <f t="shared" si="1290"/>
        <v/>
      </c>
      <c r="V3061" s="46">
        <f t="shared" si="1290"/>
        <v>7</v>
      </c>
      <c r="W3061" s="46" t="str">
        <f t="shared" si="1290"/>
        <v/>
      </c>
      <c r="X3061" s="46" t="str">
        <f t="shared" si="1290"/>
        <v/>
      </c>
    </row>
    <row r="3062" spans="2:26" x14ac:dyDescent="0.25">
      <c r="N3062" s="8" t="str">
        <f>IF(R3062="x",1,"")</f>
        <v/>
      </c>
      <c r="U3062" s="46" t="str">
        <f t="shared" si="1290"/>
        <v/>
      </c>
      <c r="V3062" s="46" t="str">
        <f t="shared" si="1290"/>
        <v/>
      </c>
      <c r="W3062" s="46" t="str">
        <f t="shared" si="1290"/>
        <v/>
      </c>
      <c r="X3062" s="46" t="str">
        <f t="shared" si="1290"/>
        <v/>
      </c>
    </row>
    <row r="3063" spans="2:26" x14ac:dyDescent="0.25">
      <c r="B3063" s="18"/>
      <c r="C3063" s="18"/>
      <c r="D3063" s="18"/>
      <c r="E3063" s="40"/>
      <c r="F3063" s="18"/>
      <c r="G3063" s="40"/>
      <c r="H3063" s="7">
        <f t="shared" ref="H3063:N3063" si="1292">SUM(H3060:H3062)</f>
        <v>0</v>
      </c>
      <c r="I3063" s="7">
        <f t="shared" si="1292"/>
        <v>0</v>
      </c>
      <c r="J3063" s="7">
        <f>SUM(J3060:J3062)</f>
        <v>25</v>
      </c>
      <c r="K3063" s="7">
        <f t="shared" si="1292"/>
        <v>0</v>
      </c>
      <c r="L3063" s="7">
        <f t="shared" si="1292"/>
        <v>25</v>
      </c>
      <c r="M3063" s="7">
        <f t="shared" si="1292"/>
        <v>2</v>
      </c>
      <c r="N3063" s="7">
        <f t="shared" si="1292"/>
        <v>2</v>
      </c>
      <c r="O3063" s="18"/>
      <c r="P3063" s="13"/>
      <c r="Q3063" s="13"/>
      <c r="S3063" s="13"/>
      <c r="T3063" s="15"/>
      <c r="U3063" s="46" t="str">
        <f t="shared" si="1290"/>
        <v/>
      </c>
      <c r="V3063" s="46" t="str">
        <f t="shared" si="1290"/>
        <v/>
      </c>
      <c r="W3063" s="46" t="str">
        <f t="shared" si="1290"/>
        <v/>
      </c>
      <c r="X3063" s="46" t="str">
        <f t="shared" si="1290"/>
        <v/>
      </c>
    </row>
    <row r="3064" spans="2:26" s="18" customFormat="1" x14ac:dyDescent="0.25">
      <c r="E3064" s="40"/>
      <c r="G3064" s="40"/>
      <c r="H3064" s="7"/>
      <c r="I3064" s="7"/>
      <c r="J3064" s="7"/>
      <c r="K3064" s="7"/>
      <c r="L3064" s="7"/>
      <c r="M3064" s="8"/>
      <c r="N3064" s="8" t="str">
        <f>IF(R3064="x",1,"")</f>
        <v/>
      </c>
      <c r="P3064" s="13"/>
      <c r="Q3064" s="13"/>
      <c r="R3064" s="13"/>
      <c r="S3064" s="13"/>
      <c r="T3064" s="15"/>
      <c r="U3064" s="46" t="str">
        <f t="shared" si="1290"/>
        <v/>
      </c>
      <c r="V3064" s="46" t="str">
        <f t="shared" si="1290"/>
        <v/>
      </c>
      <c r="W3064" s="46" t="str">
        <f t="shared" si="1290"/>
        <v/>
      </c>
      <c r="X3064" s="46" t="str">
        <f t="shared" si="1290"/>
        <v/>
      </c>
      <c r="Z3064" s="11"/>
    </row>
    <row r="3065" spans="2:26" s="18" customFormat="1" x14ac:dyDescent="0.25">
      <c r="E3065" s="40"/>
      <c r="G3065" s="40"/>
      <c r="H3065" s="7"/>
      <c r="I3065" s="7"/>
      <c r="J3065" s="7"/>
      <c r="K3065" s="7"/>
      <c r="L3065" s="7"/>
      <c r="M3065" s="8"/>
      <c r="N3065" s="8" t="str">
        <f>IF(R3065="x",1,"")</f>
        <v/>
      </c>
      <c r="P3065" s="13"/>
      <c r="Q3065" s="13"/>
      <c r="R3065" s="13"/>
      <c r="S3065" s="13"/>
      <c r="T3065" s="15"/>
      <c r="U3065" s="46" t="str">
        <f t="shared" si="1290"/>
        <v/>
      </c>
      <c r="V3065" s="46" t="str">
        <f t="shared" si="1290"/>
        <v/>
      </c>
      <c r="W3065" s="46" t="str">
        <f t="shared" si="1290"/>
        <v/>
      </c>
      <c r="X3065" s="46" t="str">
        <f t="shared" si="1290"/>
        <v/>
      </c>
      <c r="Z3065" s="11"/>
    </row>
    <row r="3066" spans="2:26" x14ac:dyDescent="0.25">
      <c r="B3066" s="11" t="str">
        <f>CONCATENATE("LNRM","-",LEFT(P3066,2),UPPER(MID(P3066,4,3)),RIGHT(P3066,4))</f>
        <v>LNRM-05JAN1892</v>
      </c>
      <c r="C3066" s="11" t="s">
        <v>122</v>
      </c>
      <c r="D3066" s="11" t="s">
        <v>1699</v>
      </c>
      <c r="F3066" s="11" t="s">
        <v>1700</v>
      </c>
      <c r="G3066" s="39" t="s">
        <v>517</v>
      </c>
      <c r="H3066" s="7">
        <v>0</v>
      </c>
      <c r="I3066" s="7">
        <v>0</v>
      </c>
      <c r="J3066" s="17">
        <v>0</v>
      </c>
      <c r="K3066" s="17"/>
      <c r="L3066" s="7">
        <f>SUM(H3066:K3066)</f>
        <v>0</v>
      </c>
      <c r="M3066" s="8">
        <v>1</v>
      </c>
      <c r="N3066" s="8" t="str">
        <f>IF(L3066&gt;0,1,"")</f>
        <v/>
      </c>
      <c r="O3066" s="11" t="s">
        <v>1702</v>
      </c>
      <c r="P3066" s="16" t="str">
        <f>IF(LEN(G3066)=10,CONCATENATE("0",G3066),G3066)</f>
        <v>05-Jan-1892</v>
      </c>
      <c r="R3066" s="16" t="str">
        <f t="shared" ref="R3066:S3123" si="1293">IF($L3066&gt;0,"x","")</f>
        <v/>
      </c>
      <c r="S3066" s="16" t="str">
        <f t="shared" si="1293"/>
        <v/>
      </c>
      <c r="U3066" s="46" t="str">
        <f t="shared" si="1290"/>
        <v/>
      </c>
      <c r="V3066" s="46">
        <f t="shared" si="1290"/>
        <v>0</v>
      </c>
      <c r="W3066" s="46" t="str">
        <f t="shared" si="1290"/>
        <v/>
      </c>
      <c r="X3066" s="46" t="str">
        <f t="shared" si="1290"/>
        <v/>
      </c>
      <c r="Z3066" s="11" t="s">
        <v>596</v>
      </c>
    </row>
    <row r="3067" spans="2:26" x14ac:dyDescent="0.25">
      <c r="B3067" s="11" t="str">
        <f t="shared" ref="B3067:B3077" si="1294">CONCATENATE("LNRM","-",LEFT(P3067,2),UPPER(MID(P3067,4,3)),RIGHT(P3067,4))</f>
        <v>LNRM-09FEB1892</v>
      </c>
      <c r="C3067" s="11" t="s">
        <v>122</v>
      </c>
      <c r="D3067" s="11" t="s">
        <v>1699</v>
      </c>
      <c r="F3067" s="11" t="s">
        <v>1700</v>
      </c>
      <c r="G3067" s="39" t="s">
        <v>518</v>
      </c>
      <c r="H3067" s="7">
        <v>0</v>
      </c>
      <c r="I3067" s="7">
        <v>0</v>
      </c>
      <c r="J3067" s="17">
        <v>0</v>
      </c>
      <c r="K3067" s="17"/>
      <c r="L3067" s="7">
        <f t="shared" ref="L3067:L3077" si="1295">SUM(H3067:K3067)</f>
        <v>0</v>
      </c>
      <c r="M3067" s="8">
        <v>1</v>
      </c>
      <c r="N3067" s="8" t="str">
        <f t="shared" ref="N3067:N3077" si="1296">IF(L3067&gt;0,1,"")</f>
        <v/>
      </c>
      <c r="O3067" s="11" t="s">
        <v>1702</v>
      </c>
      <c r="P3067" s="16" t="str">
        <f t="shared" ref="P3067:P3077" si="1297">IF(LEN(G3067)=10,CONCATENATE("0",G3067),G3067)</f>
        <v>09-Feb-1892</v>
      </c>
      <c r="R3067" s="16" t="str">
        <f t="shared" si="1293"/>
        <v/>
      </c>
      <c r="S3067" s="16" t="str">
        <f t="shared" si="1293"/>
        <v/>
      </c>
      <c r="U3067" s="46" t="str">
        <f t="shared" si="1290"/>
        <v/>
      </c>
      <c r="V3067" s="46">
        <f t="shared" si="1290"/>
        <v>0</v>
      </c>
      <c r="W3067" s="46" t="str">
        <f t="shared" si="1290"/>
        <v/>
      </c>
      <c r="X3067" s="46" t="str">
        <f t="shared" si="1290"/>
        <v/>
      </c>
    </row>
    <row r="3068" spans="2:26" x14ac:dyDescent="0.25">
      <c r="B3068" s="11" t="str">
        <f t="shared" si="1294"/>
        <v>LNRM-15MAR1892</v>
      </c>
      <c r="C3068" s="11" t="s">
        <v>122</v>
      </c>
      <c r="D3068" s="11" t="s">
        <v>1699</v>
      </c>
      <c r="F3068" s="11" t="s">
        <v>1700</v>
      </c>
      <c r="G3068" s="39" t="s">
        <v>519</v>
      </c>
      <c r="H3068" s="7">
        <v>0</v>
      </c>
      <c r="I3068" s="7">
        <v>0</v>
      </c>
      <c r="J3068" s="17">
        <v>0</v>
      </c>
      <c r="K3068" s="17"/>
      <c r="L3068" s="7">
        <f t="shared" si="1295"/>
        <v>0</v>
      </c>
      <c r="M3068" s="8">
        <v>1</v>
      </c>
      <c r="N3068" s="8" t="str">
        <f t="shared" si="1296"/>
        <v/>
      </c>
      <c r="O3068" s="11" t="s">
        <v>1702</v>
      </c>
      <c r="P3068" s="16" t="str">
        <f t="shared" si="1297"/>
        <v>15-Mar-1892</v>
      </c>
      <c r="R3068" s="16" t="str">
        <f t="shared" si="1293"/>
        <v/>
      </c>
      <c r="S3068" s="16" t="str">
        <f t="shared" si="1293"/>
        <v/>
      </c>
      <c r="U3068" s="46" t="str">
        <f t="shared" si="1290"/>
        <v/>
      </c>
      <c r="V3068" s="46">
        <f t="shared" si="1290"/>
        <v>0</v>
      </c>
      <c r="W3068" s="46" t="str">
        <f t="shared" si="1290"/>
        <v/>
      </c>
      <c r="X3068" s="46" t="str">
        <f t="shared" si="1290"/>
        <v/>
      </c>
    </row>
    <row r="3069" spans="2:26" x14ac:dyDescent="0.25">
      <c r="B3069" s="11" t="str">
        <f t="shared" si="1294"/>
        <v>LNRM-27DEC1892</v>
      </c>
      <c r="C3069" s="11" t="s">
        <v>122</v>
      </c>
      <c r="D3069" s="11" t="s">
        <v>1699</v>
      </c>
      <c r="F3069" s="11" t="s">
        <v>1700</v>
      </c>
      <c r="G3069" s="39" t="s">
        <v>520</v>
      </c>
      <c r="H3069" s="7">
        <v>0</v>
      </c>
      <c r="I3069" s="7">
        <v>0</v>
      </c>
      <c r="J3069" s="17">
        <v>0</v>
      </c>
      <c r="K3069" s="17"/>
      <c r="L3069" s="7">
        <f t="shared" si="1295"/>
        <v>0</v>
      </c>
      <c r="M3069" s="8">
        <v>1</v>
      </c>
      <c r="N3069" s="8" t="str">
        <f t="shared" si="1296"/>
        <v/>
      </c>
      <c r="O3069" s="11" t="s">
        <v>1702</v>
      </c>
      <c r="P3069" s="16" t="str">
        <f t="shared" si="1297"/>
        <v>27-Dec-1892</v>
      </c>
      <c r="R3069" s="16" t="str">
        <f t="shared" si="1293"/>
        <v/>
      </c>
      <c r="S3069" s="16" t="str">
        <f t="shared" si="1293"/>
        <v/>
      </c>
      <c r="U3069" s="46" t="str">
        <f t="shared" si="1290"/>
        <v/>
      </c>
      <c r="V3069" s="46">
        <f t="shared" si="1290"/>
        <v>0</v>
      </c>
      <c r="W3069" s="46" t="str">
        <f t="shared" si="1290"/>
        <v/>
      </c>
      <c r="X3069" s="46" t="str">
        <f t="shared" si="1290"/>
        <v/>
      </c>
    </row>
    <row r="3070" spans="2:26" x14ac:dyDescent="0.25">
      <c r="B3070" s="11" t="str">
        <f t="shared" si="1294"/>
        <v>LNRM-23JAN1893</v>
      </c>
      <c r="C3070" s="11" t="s">
        <v>122</v>
      </c>
      <c r="D3070" s="11" t="s">
        <v>1699</v>
      </c>
      <c r="F3070" s="11" t="s">
        <v>1700</v>
      </c>
      <c r="G3070" s="39" t="s">
        <v>521</v>
      </c>
      <c r="H3070" s="7">
        <v>0</v>
      </c>
      <c r="I3070" s="7">
        <v>0</v>
      </c>
      <c r="J3070" s="17">
        <v>0</v>
      </c>
      <c r="K3070" s="17"/>
      <c r="L3070" s="7">
        <f t="shared" si="1295"/>
        <v>0</v>
      </c>
      <c r="M3070" s="8">
        <v>1</v>
      </c>
      <c r="N3070" s="8" t="str">
        <f t="shared" si="1296"/>
        <v/>
      </c>
      <c r="O3070" s="11" t="s">
        <v>1702</v>
      </c>
      <c r="P3070" s="16" t="str">
        <f t="shared" si="1297"/>
        <v>23-Jan-1893</v>
      </c>
      <c r="R3070" s="16" t="str">
        <f t="shared" si="1293"/>
        <v/>
      </c>
      <c r="S3070" s="16" t="str">
        <f t="shared" si="1293"/>
        <v/>
      </c>
      <c r="U3070" s="46" t="str">
        <f t="shared" si="1290"/>
        <v/>
      </c>
      <c r="V3070" s="46">
        <f t="shared" si="1290"/>
        <v>0</v>
      </c>
      <c r="W3070" s="46" t="str">
        <f t="shared" si="1290"/>
        <v/>
      </c>
      <c r="X3070" s="46" t="str">
        <f t="shared" si="1290"/>
        <v/>
      </c>
    </row>
    <row r="3071" spans="2:26" x14ac:dyDescent="0.25">
      <c r="B3071" s="11" t="str">
        <f t="shared" si="1294"/>
        <v>LNRM-23FEB1893</v>
      </c>
      <c r="C3071" s="11" t="s">
        <v>122</v>
      </c>
      <c r="D3071" s="11" t="s">
        <v>1699</v>
      </c>
      <c r="F3071" s="11" t="s">
        <v>1700</v>
      </c>
      <c r="G3071" s="39" t="s">
        <v>522</v>
      </c>
      <c r="H3071" s="7">
        <v>0</v>
      </c>
      <c r="I3071" s="7">
        <v>0</v>
      </c>
      <c r="J3071" s="17">
        <v>0</v>
      </c>
      <c r="K3071" s="17"/>
      <c r="L3071" s="7">
        <f t="shared" si="1295"/>
        <v>0</v>
      </c>
      <c r="M3071" s="8">
        <v>1</v>
      </c>
      <c r="N3071" s="8" t="str">
        <f t="shared" si="1296"/>
        <v/>
      </c>
      <c r="O3071" s="11" t="s">
        <v>1702</v>
      </c>
      <c r="P3071" s="16" t="str">
        <f t="shared" si="1297"/>
        <v>23-Feb-1893</v>
      </c>
      <c r="R3071" s="16" t="str">
        <f t="shared" si="1293"/>
        <v/>
      </c>
      <c r="S3071" s="16" t="str">
        <f t="shared" si="1293"/>
        <v/>
      </c>
      <c r="U3071" s="46" t="str">
        <f t="shared" si="1290"/>
        <v/>
      </c>
      <c r="V3071" s="46">
        <f t="shared" si="1290"/>
        <v>0</v>
      </c>
      <c r="W3071" s="46" t="str">
        <f t="shared" si="1290"/>
        <v/>
      </c>
      <c r="X3071" s="46" t="str">
        <f t="shared" si="1290"/>
        <v/>
      </c>
    </row>
    <row r="3072" spans="2:26" x14ac:dyDescent="0.25">
      <c r="B3072" s="11" t="str">
        <f t="shared" si="1294"/>
        <v>LNRM-31MAR1893</v>
      </c>
      <c r="C3072" s="11" t="s">
        <v>122</v>
      </c>
      <c r="D3072" s="11" t="s">
        <v>1699</v>
      </c>
      <c r="F3072" s="11" t="s">
        <v>1700</v>
      </c>
      <c r="G3072" s="39" t="s">
        <v>523</v>
      </c>
      <c r="H3072" s="7">
        <v>0</v>
      </c>
      <c r="I3072" s="7">
        <v>0</v>
      </c>
      <c r="J3072" s="17">
        <v>0</v>
      </c>
      <c r="K3072" s="17"/>
      <c r="L3072" s="7">
        <f t="shared" si="1295"/>
        <v>0</v>
      </c>
      <c r="M3072" s="8">
        <v>1</v>
      </c>
      <c r="N3072" s="8" t="str">
        <f t="shared" si="1296"/>
        <v/>
      </c>
      <c r="O3072" s="11" t="s">
        <v>1702</v>
      </c>
      <c r="P3072" s="16" t="str">
        <f t="shared" si="1297"/>
        <v>31-Mar-1893</v>
      </c>
      <c r="R3072" s="16" t="str">
        <f t="shared" si="1293"/>
        <v/>
      </c>
      <c r="S3072" s="16" t="str">
        <f t="shared" si="1293"/>
        <v/>
      </c>
      <c r="U3072" s="46" t="str">
        <f t="shared" si="1290"/>
        <v/>
      </c>
      <c r="V3072" s="46">
        <f t="shared" si="1290"/>
        <v>0</v>
      </c>
      <c r="W3072" s="46" t="str">
        <f t="shared" si="1290"/>
        <v/>
      </c>
      <c r="X3072" s="46" t="str">
        <f t="shared" si="1290"/>
        <v/>
      </c>
    </row>
    <row r="3073" spans="2:24" x14ac:dyDescent="0.25">
      <c r="B3073" s="11" t="str">
        <f t="shared" si="1294"/>
        <v>LNRM-14AUG1893</v>
      </c>
      <c r="C3073" s="11" t="s">
        <v>122</v>
      </c>
      <c r="D3073" s="11" t="s">
        <v>1699</v>
      </c>
      <c r="F3073" s="11" t="s">
        <v>1700</v>
      </c>
      <c r="G3073" s="39" t="s">
        <v>217</v>
      </c>
      <c r="H3073" s="7">
        <v>0</v>
      </c>
      <c r="I3073" s="7">
        <v>0</v>
      </c>
      <c r="J3073" s="17">
        <v>0</v>
      </c>
      <c r="K3073" s="17"/>
      <c r="L3073" s="7">
        <f t="shared" si="1295"/>
        <v>0</v>
      </c>
      <c r="M3073" s="8">
        <v>1</v>
      </c>
      <c r="N3073" s="8" t="str">
        <f t="shared" si="1296"/>
        <v/>
      </c>
      <c r="O3073" s="11" t="s">
        <v>1702</v>
      </c>
      <c r="P3073" s="16" t="str">
        <f t="shared" si="1297"/>
        <v>14-Aug-1893</v>
      </c>
      <c r="R3073" s="16" t="str">
        <f t="shared" si="1293"/>
        <v/>
      </c>
      <c r="S3073" s="16" t="str">
        <f t="shared" si="1293"/>
        <v/>
      </c>
      <c r="T3073" s="11"/>
      <c r="U3073" s="46" t="str">
        <f t="shared" si="1290"/>
        <v/>
      </c>
      <c r="V3073" s="46">
        <f t="shared" si="1290"/>
        <v>0</v>
      </c>
      <c r="W3073" s="46" t="str">
        <f t="shared" si="1290"/>
        <v/>
      </c>
      <c r="X3073" s="46" t="str">
        <f t="shared" si="1290"/>
        <v/>
      </c>
    </row>
    <row r="3074" spans="2:24" x14ac:dyDescent="0.25">
      <c r="B3074" s="11" t="str">
        <f t="shared" si="1294"/>
        <v>LNRM-02JUL1894</v>
      </c>
      <c r="C3074" s="11" t="s">
        <v>122</v>
      </c>
      <c r="D3074" s="11" t="s">
        <v>1699</v>
      </c>
      <c r="F3074" s="11" t="s">
        <v>1700</v>
      </c>
      <c r="G3074" s="39" t="s">
        <v>524</v>
      </c>
      <c r="H3074" s="7">
        <v>0</v>
      </c>
      <c r="I3074" s="7">
        <v>0</v>
      </c>
      <c r="J3074" s="17">
        <v>0</v>
      </c>
      <c r="K3074" s="17"/>
      <c r="L3074" s="7">
        <f t="shared" si="1295"/>
        <v>0</v>
      </c>
      <c r="M3074" s="8">
        <v>1</v>
      </c>
      <c r="N3074" s="8" t="str">
        <f t="shared" si="1296"/>
        <v/>
      </c>
      <c r="O3074" s="11" t="s">
        <v>1702</v>
      </c>
      <c r="P3074" s="16" t="str">
        <f t="shared" si="1297"/>
        <v>02-Jul-1894</v>
      </c>
      <c r="R3074" s="16" t="str">
        <f t="shared" si="1293"/>
        <v/>
      </c>
      <c r="S3074" s="16" t="str">
        <f t="shared" si="1293"/>
        <v/>
      </c>
      <c r="T3074" s="11"/>
      <c r="U3074" s="46" t="str">
        <f t="shared" si="1290"/>
        <v/>
      </c>
      <c r="V3074" s="46">
        <f t="shared" si="1290"/>
        <v>0</v>
      </c>
      <c r="W3074" s="46" t="str">
        <f t="shared" si="1290"/>
        <v/>
      </c>
      <c r="X3074" s="46" t="str">
        <f t="shared" si="1290"/>
        <v/>
      </c>
    </row>
    <row r="3075" spans="2:24" x14ac:dyDescent="0.25">
      <c r="B3075" s="11" t="str">
        <f t="shared" si="1294"/>
        <v>LNRM-30JUL1894</v>
      </c>
      <c r="C3075" s="11" t="s">
        <v>122</v>
      </c>
      <c r="D3075" s="11" t="s">
        <v>1699</v>
      </c>
      <c r="F3075" s="11" t="s">
        <v>1700</v>
      </c>
      <c r="G3075" s="39" t="s">
        <v>525</v>
      </c>
      <c r="H3075" s="7">
        <v>0</v>
      </c>
      <c r="I3075" s="7">
        <v>0</v>
      </c>
      <c r="J3075" s="17">
        <v>2</v>
      </c>
      <c r="K3075" s="17"/>
      <c r="L3075" s="7">
        <f t="shared" si="1295"/>
        <v>2</v>
      </c>
      <c r="M3075" s="8">
        <v>1</v>
      </c>
      <c r="N3075" s="8">
        <f t="shared" si="1296"/>
        <v>1</v>
      </c>
      <c r="O3075" s="11" t="s">
        <v>1702</v>
      </c>
      <c r="P3075" s="16" t="str">
        <f t="shared" si="1297"/>
        <v>30-Jul-1894</v>
      </c>
      <c r="R3075" s="16" t="str">
        <f t="shared" si="1293"/>
        <v>x</v>
      </c>
      <c r="S3075" s="16" t="str">
        <f t="shared" si="1293"/>
        <v>x</v>
      </c>
      <c r="T3075" s="11"/>
      <c r="U3075" s="46" t="str">
        <f t="shared" si="1290"/>
        <v/>
      </c>
      <c r="V3075" s="46">
        <f t="shared" si="1290"/>
        <v>2</v>
      </c>
      <c r="W3075" s="46" t="str">
        <f t="shared" si="1290"/>
        <v/>
      </c>
      <c r="X3075" s="46" t="str">
        <f t="shared" si="1290"/>
        <v/>
      </c>
    </row>
    <row r="3076" spans="2:24" x14ac:dyDescent="0.25">
      <c r="B3076" s="11" t="str">
        <f t="shared" si="1294"/>
        <v>LNRM-27AUG1894</v>
      </c>
      <c r="C3076" s="11" t="s">
        <v>122</v>
      </c>
      <c r="D3076" s="11" t="s">
        <v>1699</v>
      </c>
      <c r="F3076" s="11" t="s">
        <v>1700</v>
      </c>
      <c r="G3076" s="39" t="s">
        <v>222</v>
      </c>
      <c r="H3076" s="7">
        <v>0</v>
      </c>
      <c r="I3076" s="7">
        <v>0</v>
      </c>
      <c r="J3076" s="17">
        <v>0</v>
      </c>
      <c r="K3076" s="17"/>
      <c r="L3076" s="7">
        <f t="shared" si="1295"/>
        <v>0</v>
      </c>
      <c r="M3076" s="8">
        <v>1</v>
      </c>
      <c r="N3076" s="8" t="str">
        <f t="shared" si="1296"/>
        <v/>
      </c>
      <c r="O3076" s="11" t="s">
        <v>1702</v>
      </c>
      <c r="P3076" s="16" t="str">
        <f t="shared" si="1297"/>
        <v>27-Aug-1894</v>
      </c>
      <c r="R3076" s="16" t="str">
        <f t="shared" si="1293"/>
        <v/>
      </c>
      <c r="S3076" s="16" t="str">
        <f t="shared" si="1293"/>
        <v/>
      </c>
      <c r="T3076" s="11"/>
      <c r="U3076" s="46" t="str">
        <f t="shared" si="1290"/>
        <v/>
      </c>
      <c r="V3076" s="46">
        <f t="shared" si="1290"/>
        <v>0</v>
      </c>
      <c r="W3076" s="46" t="str">
        <f t="shared" si="1290"/>
        <v/>
      </c>
      <c r="X3076" s="46" t="str">
        <f t="shared" si="1290"/>
        <v/>
      </c>
    </row>
    <row r="3077" spans="2:24" x14ac:dyDescent="0.25">
      <c r="B3077" s="11" t="str">
        <f t="shared" si="1294"/>
        <v>LNRM-17DEC1894</v>
      </c>
      <c r="C3077" s="11" t="s">
        <v>122</v>
      </c>
      <c r="D3077" s="11" t="s">
        <v>1699</v>
      </c>
      <c r="F3077" s="11" t="s">
        <v>1700</v>
      </c>
      <c r="G3077" s="39" t="s">
        <v>526</v>
      </c>
      <c r="H3077" s="7">
        <v>0</v>
      </c>
      <c r="I3077" s="7">
        <v>0</v>
      </c>
      <c r="J3077" s="17">
        <v>0</v>
      </c>
      <c r="K3077" s="17"/>
      <c r="L3077" s="7">
        <f t="shared" si="1295"/>
        <v>0</v>
      </c>
      <c r="M3077" s="8">
        <v>1</v>
      </c>
      <c r="N3077" s="8" t="str">
        <f t="shared" si="1296"/>
        <v/>
      </c>
      <c r="O3077" s="11" t="s">
        <v>1702</v>
      </c>
      <c r="P3077" s="16" t="str">
        <f t="shared" si="1297"/>
        <v>17-Dec-1894</v>
      </c>
      <c r="R3077" s="16" t="str">
        <f t="shared" si="1293"/>
        <v/>
      </c>
      <c r="S3077" s="16" t="str">
        <f t="shared" si="1293"/>
        <v/>
      </c>
      <c r="T3077" s="11"/>
      <c r="U3077" s="46" t="str">
        <f t="shared" si="1290"/>
        <v/>
      </c>
      <c r="V3077" s="46">
        <f t="shared" si="1290"/>
        <v>0</v>
      </c>
      <c r="W3077" s="46" t="str">
        <f t="shared" si="1290"/>
        <v/>
      </c>
      <c r="X3077" s="46" t="str">
        <f t="shared" si="1290"/>
        <v/>
      </c>
    </row>
    <row r="3078" spans="2:24" x14ac:dyDescent="0.25">
      <c r="B3078" s="11" t="str">
        <f>CONCATENATE("LNRM","-",LEFT(P3078,2),UPPER(MID(P3078,4,3)),RIGHT(P3078,4))</f>
        <v>LNRM-14JAN1895</v>
      </c>
      <c r="C3078" s="11" t="s">
        <v>122</v>
      </c>
      <c r="D3078" s="11" t="s">
        <v>1699</v>
      </c>
      <c r="F3078" s="11" t="s">
        <v>1700</v>
      </c>
      <c r="G3078" s="39" t="s">
        <v>527</v>
      </c>
      <c r="H3078" s="7">
        <v>0</v>
      </c>
      <c r="I3078" s="7">
        <v>0</v>
      </c>
      <c r="J3078" s="17">
        <v>0</v>
      </c>
      <c r="K3078" s="17"/>
      <c r="L3078" s="7">
        <f>SUM(H3078:K3078)</f>
        <v>0</v>
      </c>
      <c r="M3078" s="8">
        <v>1</v>
      </c>
      <c r="N3078" s="8" t="str">
        <f>IF(L3078&gt;0,1,"")</f>
        <v/>
      </c>
      <c r="O3078" s="11" t="s">
        <v>1702</v>
      </c>
      <c r="P3078" s="16" t="str">
        <f>IF(LEN(G3078)=10,CONCATENATE("0",G3078),G3078)</f>
        <v>14-Jan-1895</v>
      </c>
      <c r="R3078" s="16" t="str">
        <f t="shared" si="1293"/>
        <v/>
      </c>
      <c r="S3078" s="16" t="str">
        <f t="shared" si="1293"/>
        <v/>
      </c>
      <c r="T3078" s="11"/>
      <c r="U3078" s="46" t="str">
        <f t="shared" si="1290"/>
        <v/>
      </c>
      <c r="V3078" s="46">
        <f t="shared" si="1290"/>
        <v>0</v>
      </c>
      <c r="W3078" s="46" t="str">
        <f t="shared" si="1290"/>
        <v/>
      </c>
      <c r="X3078" s="46" t="str">
        <f t="shared" si="1290"/>
        <v/>
      </c>
    </row>
    <row r="3079" spans="2:24" x14ac:dyDescent="0.25">
      <c r="B3079" s="11" t="str">
        <f t="shared" ref="B3079:B3088" si="1298">CONCATENATE("LNRM","-",LEFT(P3079,2),UPPER(MID(P3079,4,3)),RIGHT(P3079,4))</f>
        <v>LNRM-11FEB1895</v>
      </c>
      <c r="C3079" s="11" t="s">
        <v>122</v>
      </c>
      <c r="D3079" s="11" t="s">
        <v>1699</v>
      </c>
      <c r="F3079" s="11" t="s">
        <v>1700</v>
      </c>
      <c r="G3079" s="39" t="s">
        <v>528</v>
      </c>
      <c r="H3079" s="7">
        <v>0</v>
      </c>
      <c r="I3079" s="7">
        <v>0</v>
      </c>
      <c r="J3079" s="17">
        <v>0</v>
      </c>
      <c r="K3079" s="17"/>
      <c r="L3079" s="7">
        <f t="shared" ref="L3079:L3088" si="1299">SUM(H3079:K3079)</f>
        <v>0</v>
      </c>
      <c r="M3079" s="8">
        <v>1</v>
      </c>
      <c r="N3079" s="8" t="str">
        <f t="shared" ref="N3079:N3088" si="1300">IF(L3079&gt;0,1,"")</f>
        <v/>
      </c>
      <c r="O3079" s="11" t="s">
        <v>1702</v>
      </c>
      <c r="P3079" s="16" t="str">
        <f t="shared" ref="P3079:P3088" si="1301">IF(LEN(G3079)=10,CONCATENATE("0",G3079),G3079)</f>
        <v>11-Feb-1895</v>
      </c>
      <c r="R3079" s="16" t="str">
        <f t="shared" si="1293"/>
        <v/>
      </c>
      <c r="S3079" s="16" t="str">
        <f t="shared" si="1293"/>
        <v/>
      </c>
      <c r="T3079" s="11"/>
      <c r="U3079" s="46" t="str">
        <f t="shared" si="1290"/>
        <v/>
      </c>
      <c r="V3079" s="46">
        <f t="shared" si="1290"/>
        <v>0</v>
      </c>
      <c r="W3079" s="46" t="str">
        <f t="shared" si="1290"/>
        <v/>
      </c>
      <c r="X3079" s="46" t="str">
        <f t="shared" si="1290"/>
        <v/>
      </c>
    </row>
    <row r="3080" spans="2:24" x14ac:dyDescent="0.25">
      <c r="B3080" s="11" t="str">
        <f t="shared" si="1298"/>
        <v>LNRM-12MAR1895</v>
      </c>
      <c r="C3080" s="11" t="s">
        <v>122</v>
      </c>
      <c r="D3080" s="11" t="s">
        <v>1699</v>
      </c>
      <c r="F3080" s="11" t="s">
        <v>1700</v>
      </c>
      <c r="G3080" s="39" t="s">
        <v>529</v>
      </c>
      <c r="H3080" s="7">
        <v>0</v>
      </c>
      <c r="I3080" s="7">
        <v>0</v>
      </c>
      <c r="J3080" s="17">
        <v>1</v>
      </c>
      <c r="K3080" s="17"/>
      <c r="L3080" s="7">
        <f t="shared" si="1299"/>
        <v>1</v>
      </c>
      <c r="M3080" s="8">
        <v>1</v>
      </c>
      <c r="N3080" s="8">
        <f t="shared" si="1300"/>
        <v>1</v>
      </c>
      <c r="O3080" s="11" t="s">
        <v>1702</v>
      </c>
      <c r="P3080" s="16" t="str">
        <f t="shared" si="1301"/>
        <v>12-Mar-1895</v>
      </c>
      <c r="R3080" s="16" t="str">
        <f t="shared" si="1293"/>
        <v>x</v>
      </c>
      <c r="S3080" s="16" t="str">
        <f t="shared" si="1293"/>
        <v>x</v>
      </c>
      <c r="T3080" s="11"/>
      <c r="U3080" s="46" t="str">
        <f t="shared" si="1290"/>
        <v/>
      </c>
      <c r="V3080" s="46">
        <f t="shared" si="1290"/>
        <v>1</v>
      </c>
      <c r="W3080" s="46" t="str">
        <f t="shared" si="1290"/>
        <v/>
      </c>
      <c r="X3080" s="46" t="str">
        <f t="shared" si="1290"/>
        <v/>
      </c>
    </row>
    <row r="3081" spans="2:24" x14ac:dyDescent="0.25">
      <c r="B3081" s="11" t="str">
        <f t="shared" si="1298"/>
        <v>LNRM-08APR1895</v>
      </c>
      <c r="C3081" s="11" t="s">
        <v>122</v>
      </c>
      <c r="D3081" s="11" t="s">
        <v>1699</v>
      </c>
      <c r="F3081" s="11" t="s">
        <v>1700</v>
      </c>
      <c r="G3081" s="39" t="s">
        <v>530</v>
      </c>
      <c r="H3081" s="7">
        <v>0</v>
      </c>
      <c r="I3081" s="7">
        <v>1</v>
      </c>
      <c r="J3081" s="17">
        <v>0</v>
      </c>
      <c r="K3081" s="17"/>
      <c r="L3081" s="7">
        <f t="shared" si="1299"/>
        <v>1</v>
      </c>
      <c r="M3081" s="8">
        <v>1</v>
      </c>
      <c r="N3081" s="8">
        <f t="shared" si="1300"/>
        <v>1</v>
      </c>
      <c r="O3081" s="11" t="s">
        <v>1702</v>
      </c>
      <c r="P3081" s="16" t="str">
        <f t="shared" si="1301"/>
        <v>08-Apr-1895</v>
      </c>
      <c r="R3081" s="16" t="str">
        <f t="shared" si="1293"/>
        <v>x</v>
      </c>
      <c r="S3081" s="16" t="str">
        <f t="shared" si="1293"/>
        <v>x</v>
      </c>
      <c r="T3081" s="11"/>
      <c r="U3081" s="46" t="str">
        <f t="shared" si="1290"/>
        <v/>
      </c>
      <c r="V3081" s="46">
        <f t="shared" si="1290"/>
        <v>1</v>
      </c>
      <c r="W3081" s="46" t="str">
        <f t="shared" si="1290"/>
        <v/>
      </c>
      <c r="X3081" s="46" t="str">
        <f t="shared" si="1290"/>
        <v/>
      </c>
    </row>
    <row r="3082" spans="2:24" x14ac:dyDescent="0.25">
      <c r="B3082" s="11" t="str">
        <f t="shared" si="1298"/>
        <v>LNRM-06MAY1895</v>
      </c>
      <c r="C3082" s="11" t="s">
        <v>122</v>
      </c>
      <c r="D3082" s="11" t="s">
        <v>1699</v>
      </c>
      <c r="F3082" s="11" t="s">
        <v>1700</v>
      </c>
      <c r="G3082" s="39" t="s">
        <v>531</v>
      </c>
      <c r="H3082" s="7">
        <v>0</v>
      </c>
      <c r="I3082" s="7">
        <v>0</v>
      </c>
      <c r="J3082" s="17">
        <v>0</v>
      </c>
      <c r="K3082" s="17"/>
      <c r="L3082" s="7">
        <f t="shared" si="1299"/>
        <v>0</v>
      </c>
      <c r="M3082" s="8">
        <v>1</v>
      </c>
      <c r="N3082" s="8" t="str">
        <f t="shared" si="1300"/>
        <v/>
      </c>
      <c r="O3082" s="11" t="s">
        <v>1702</v>
      </c>
      <c r="P3082" s="16" t="str">
        <f t="shared" si="1301"/>
        <v>06-May-1895</v>
      </c>
      <c r="R3082" s="16" t="str">
        <f t="shared" si="1293"/>
        <v/>
      </c>
      <c r="S3082" s="16" t="str">
        <f t="shared" si="1293"/>
        <v/>
      </c>
      <c r="T3082" s="11"/>
      <c r="U3082" s="46" t="str">
        <f t="shared" si="1290"/>
        <v/>
      </c>
      <c r="V3082" s="46">
        <f t="shared" si="1290"/>
        <v>0</v>
      </c>
      <c r="W3082" s="46" t="str">
        <f t="shared" si="1290"/>
        <v/>
      </c>
      <c r="X3082" s="46" t="str">
        <f t="shared" si="1290"/>
        <v/>
      </c>
    </row>
    <row r="3083" spans="2:24" x14ac:dyDescent="0.25">
      <c r="B3083" s="11" t="str">
        <f t="shared" si="1298"/>
        <v>LNRM-17JUN1895</v>
      </c>
      <c r="C3083" s="11" t="s">
        <v>122</v>
      </c>
      <c r="D3083" s="11" t="s">
        <v>1699</v>
      </c>
      <c r="F3083" s="11" t="s">
        <v>1700</v>
      </c>
      <c r="G3083" s="39" t="s">
        <v>532</v>
      </c>
      <c r="H3083" s="7">
        <v>0</v>
      </c>
      <c r="I3083" s="7">
        <v>0</v>
      </c>
      <c r="J3083" s="17">
        <v>0</v>
      </c>
      <c r="K3083" s="17"/>
      <c r="L3083" s="7">
        <f t="shared" si="1299"/>
        <v>0</v>
      </c>
      <c r="M3083" s="8">
        <v>1</v>
      </c>
      <c r="N3083" s="8" t="str">
        <f t="shared" si="1300"/>
        <v/>
      </c>
      <c r="O3083" s="11" t="s">
        <v>1702</v>
      </c>
      <c r="P3083" s="16" t="str">
        <f t="shared" si="1301"/>
        <v>17-Jun-1895</v>
      </c>
      <c r="R3083" s="16" t="str">
        <f t="shared" si="1293"/>
        <v/>
      </c>
      <c r="S3083" s="16" t="str">
        <f t="shared" si="1293"/>
        <v/>
      </c>
      <c r="T3083" s="11"/>
      <c r="U3083" s="46" t="str">
        <f t="shared" si="1290"/>
        <v/>
      </c>
      <c r="V3083" s="46">
        <f t="shared" si="1290"/>
        <v>0</v>
      </c>
      <c r="W3083" s="46" t="str">
        <f t="shared" si="1290"/>
        <v/>
      </c>
      <c r="X3083" s="46" t="str">
        <f t="shared" si="1290"/>
        <v/>
      </c>
    </row>
    <row r="3084" spans="2:24" x14ac:dyDescent="0.25">
      <c r="B3084" s="11" t="str">
        <f t="shared" si="1298"/>
        <v>LNRM-15JUL1895</v>
      </c>
      <c r="C3084" s="11" t="s">
        <v>122</v>
      </c>
      <c r="D3084" s="11" t="s">
        <v>1699</v>
      </c>
      <c r="F3084" s="11" t="s">
        <v>1700</v>
      </c>
      <c r="G3084" s="39" t="s">
        <v>533</v>
      </c>
      <c r="H3084" s="7">
        <v>0</v>
      </c>
      <c r="I3084" s="7">
        <v>0</v>
      </c>
      <c r="J3084" s="17">
        <v>0</v>
      </c>
      <c r="K3084" s="17"/>
      <c r="L3084" s="7">
        <f t="shared" si="1299"/>
        <v>0</v>
      </c>
      <c r="M3084" s="8">
        <v>1</v>
      </c>
      <c r="N3084" s="8" t="str">
        <f t="shared" si="1300"/>
        <v/>
      </c>
      <c r="O3084" s="11" t="s">
        <v>1702</v>
      </c>
      <c r="P3084" s="16" t="str">
        <f t="shared" si="1301"/>
        <v>15-Jul-1895</v>
      </c>
      <c r="R3084" s="16" t="str">
        <f t="shared" si="1293"/>
        <v/>
      </c>
      <c r="S3084" s="16" t="str">
        <f t="shared" si="1293"/>
        <v/>
      </c>
      <c r="T3084" s="11"/>
      <c r="U3084" s="46" t="str">
        <f t="shared" si="1290"/>
        <v/>
      </c>
      <c r="V3084" s="46">
        <f t="shared" si="1290"/>
        <v>0</v>
      </c>
      <c r="W3084" s="46" t="str">
        <f t="shared" si="1290"/>
        <v/>
      </c>
      <c r="X3084" s="46" t="str">
        <f t="shared" si="1290"/>
        <v/>
      </c>
    </row>
    <row r="3085" spans="2:24" x14ac:dyDescent="0.25">
      <c r="B3085" s="11" t="str">
        <f t="shared" si="1298"/>
        <v>LNRM-12AUG1895</v>
      </c>
      <c r="C3085" s="11" t="s">
        <v>122</v>
      </c>
      <c r="D3085" s="11" t="s">
        <v>1699</v>
      </c>
      <c r="F3085" s="11" t="s">
        <v>1700</v>
      </c>
      <c r="G3085" s="39" t="s">
        <v>534</v>
      </c>
      <c r="H3085" s="7">
        <v>1</v>
      </c>
      <c r="I3085" s="7">
        <v>0</v>
      </c>
      <c r="J3085" s="17">
        <v>3</v>
      </c>
      <c r="K3085" s="17"/>
      <c r="L3085" s="7">
        <f t="shared" si="1299"/>
        <v>4</v>
      </c>
      <c r="M3085" s="8">
        <v>1</v>
      </c>
      <c r="N3085" s="8">
        <f t="shared" si="1300"/>
        <v>1</v>
      </c>
      <c r="O3085" s="11" t="s">
        <v>1702</v>
      </c>
      <c r="P3085" s="16" t="str">
        <f t="shared" si="1301"/>
        <v>12-Aug-1895</v>
      </c>
      <c r="R3085" s="16" t="str">
        <f t="shared" si="1293"/>
        <v>x</v>
      </c>
      <c r="S3085" s="16" t="str">
        <f t="shared" si="1293"/>
        <v>x</v>
      </c>
      <c r="T3085" s="11"/>
      <c r="U3085" s="46" t="str">
        <f t="shared" si="1290"/>
        <v/>
      </c>
      <c r="V3085" s="46">
        <f t="shared" si="1290"/>
        <v>4</v>
      </c>
      <c r="W3085" s="46" t="str">
        <f t="shared" si="1290"/>
        <v/>
      </c>
      <c r="X3085" s="46" t="str">
        <f t="shared" si="1290"/>
        <v/>
      </c>
    </row>
    <row r="3086" spans="2:24" x14ac:dyDescent="0.25">
      <c r="B3086" s="11" t="str">
        <f t="shared" si="1298"/>
        <v>LNRM-02DEC1895</v>
      </c>
      <c r="C3086" s="11" t="s">
        <v>122</v>
      </c>
      <c r="D3086" s="11" t="s">
        <v>1699</v>
      </c>
      <c r="F3086" s="11" t="s">
        <v>1700</v>
      </c>
      <c r="G3086" s="39" t="s">
        <v>535</v>
      </c>
      <c r="H3086" s="7">
        <v>0</v>
      </c>
      <c r="I3086" s="7">
        <v>0</v>
      </c>
      <c r="J3086" s="17">
        <v>14</v>
      </c>
      <c r="K3086" s="17"/>
      <c r="L3086" s="7">
        <f t="shared" si="1299"/>
        <v>14</v>
      </c>
      <c r="M3086" s="8">
        <v>1</v>
      </c>
      <c r="N3086" s="8">
        <f t="shared" si="1300"/>
        <v>1</v>
      </c>
      <c r="O3086" s="11" t="s">
        <v>1702</v>
      </c>
      <c r="P3086" s="16" t="str">
        <f t="shared" si="1301"/>
        <v>02-Dec-1895</v>
      </c>
      <c r="R3086" s="16" t="str">
        <f t="shared" si="1293"/>
        <v>x</v>
      </c>
      <c r="S3086" s="16" t="str">
        <f t="shared" si="1293"/>
        <v>x</v>
      </c>
      <c r="T3086" s="11"/>
      <c r="U3086" s="46" t="str">
        <f t="shared" si="1290"/>
        <v/>
      </c>
      <c r="V3086" s="46">
        <f t="shared" si="1290"/>
        <v>14</v>
      </c>
      <c r="W3086" s="46" t="str">
        <f t="shared" si="1290"/>
        <v/>
      </c>
      <c r="X3086" s="46" t="str">
        <f t="shared" si="1290"/>
        <v/>
      </c>
    </row>
    <row r="3087" spans="2:24" x14ac:dyDescent="0.25">
      <c r="B3087" s="11" t="str">
        <f t="shared" si="1298"/>
        <v>LNRM-30DEC1895</v>
      </c>
      <c r="C3087" s="11" t="s">
        <v>122</v>
      </c>
      <c r="D3087" s="11" t="s">
        <v>1699</v>
      </c>
      <c r="F3087" s="11" t="s">
        <v>1700</v>
      </c>
      <c r="G3087" s="39" t="s">
        <v>536</v>
      </c>
      <c r="H3087" s="7">
        <v>0</v>
      </c>
      <c r="I3087" s="7">
        <v>0</v>
      </c>
      <c r="J3087" s="17">
        <v>1</v>
      </c>
      <c r="K3087" s="17"/>
      <c r="L3087" s="7">
        <f t="shared" si="1299"/>
        <v>1</v>
      </c>
      <c r="M3087" s="8">
        <v>1</v>
      </c>
      <c r="N3087" s="8">
        <f t="shared" si="1300"/>
        <v>1</v>
      </c>
      <c r="O3087" s="11" t="s">
        <v>1702</v>
      </c>
      <c r="P3087" s="16" t="str">
        <f t="shared" si="1301"/>
        <v>30-Dec-1895</v>
      </c>
      <c r="R3087" s="16" t="str">
        <f t="shared" si="1293"/>
        <v>x</v>
      </c>
      <c r="S3087" s="16" t="str">
        <f t="shared" si="1293"/>
        <v>x</v>
      </c>
      <c r="T3087" s="11"/>
      <c r="U3087" s="46" t="str">
        <f t="shared" si="1290"/>
        <v/>
      </c>
      <c r="V3087" s="46">
        <f t="shared" si="1290"/>
        <v>1</v>
      </c>
      <c r="W3087" s="46" t="str">
        <f t="shared" si="1290"/>
        <v/>
      </c>
      <c r="X3087" s="46" t="str">
        <f t="shared" si="1290"/>
        <v/>
      </c>
    </row>
    <row r="3088" spans="2:24" x14ac:dyDescent="0.25">
      <c r="B3088" s="11" t="str">
        <f t="shared" si="1298"/>
        <v>LNRM-17FEB1896</v>
      </c>
      <c r="C3088" s="11" t="s">
        <v>122</v>
      </c>
      <c r="D3088" s="11" t="s">
        <v>1699</v>
      </c>
      <c r="F3088" s="11" t="s">
        <v>1700</v>
      </c>
      <c r="G3088" s="39" t="s">
        <v>537</v>
      </c>
      <c r="H3088" s="7">
        <v>0</v>
      </c>
      <c r="I3088" s="7">
        <v>0</v>
      </c>
      <c r="J3088" s="17">
        <v>1</v>
      </c>
      <c r="K3088" s="17"/>
      <c r="L3088" s="7">
        <f t="shared" si="1299"/>
        <v>1</v>
      </c>
      <c r="M3088" s="8">
        <v>1</v>
      </c>
      <c r="N3088" s="8">
        <f t="shared" si="1300"/>
        <v>1</v>
      </c>
      <c r="O3088" s="11" t="s">
        <v>1702</v>
      </c>
      <c r="P3088" s="16" t="str">
        <f t="shared" si="1301"/>
        <v>17-Feb-1896</v>
      </c>
      <c r="R3088" s="16" t="str">
        <f t="shared" si="1293"/>
        <v>x</v>
      </c>
      <c r="S3088" s="16" t="str">
        <f t="shared" si="1293"/>
        <v>x</v>
      </c>
      <c r="T3088" s="11"/>
      <c r="U3088" s="46" t="str">
        <f t="shared" si="1290"/>
        <v/>
      </c>
      <c r="V3088" s="46">
        <f t="shared" si="1290"/>
        <v>1</v>
      </c>
      <c r="W3088" s="46" t="str">
        <f t="shared" si="1290"/>
        <v/>
      </c>
      <c r="X3088" s="46" t="str">
        <f t="shared" si="1290"/>
        <v/>
      </c>
    </row>
    <row r="3089" spans="2:24" x14ac:dyDescent="0.25">
      <c r="B3089" s="11" t="str">
        <f>CONCATENATE("LNRM","-",LEFT(P3089,2),UPPER(MID(P3089,4,3)),RIGHT(P3089,4))</f>
        <v>LNRM-23MAR1896</v>
      </c>
      <c r="C3089" s="11" t="s">
        <v>122</v>
      </c>
      <c r="D3089" s="11" t="s">
        <v>1699</v>
      </c>
      <c r="F3089" s="11" t="s">
        <v>1700</v>
      </c>
      <c r="G3089" s="39" t="s">
        <v>538</v>
      </c>
      <c r="H3089" s="7">
        <v>0</v>
      </c>
      <c r="I3089" s="7">
        <v>0</v>
      </c>
      <c r="J3089" s="17">
        <v>2</v>
      </c>
      <c r="K3089" s="17"/>
      <c r="L3089" s="7">
        <f>SUM(H3089:K3089)</f>
        <v>2</v>
      </c>
      <c r="M3089" s="8">
        <v>1</v>
      </c>
      <c r="N3089" s="8">
        <f>IF(L3089&gt;0,1,"")</f>
        <v>1</v>
      </c>
      <c r="O3089" s="11" t="s">
        <v>1702</v>
      </c>
      <c r="P3089" s="16" t="str">
        <f>IF(LEN(G3089)=10,CONCATENATE("0",G3089),G3089)</f>
        <v>23-Mar-1896</v>
      </c>
      <c r="R3089" s="16" t="str">
        <f t="shared" si="1293"/>
        <v>x</v>
      </c>
      <c r="S3089" s="16" t="str">
        <f t="shared" si="1293"/>
        <v>x</v>
      </c>
      <c r="T3089" s="11"/>
      <c r="U3089" s="46" t="str">
        <f t="shared" si="1290"/>
        <v/>
      </c>
      <c r="V3089" s="46">
        <f t="shared" si="1290"/>
        <v>2</v>
      </c>
      <c r="W3089" s="46" t="str">
        <f t="shared" si="1290"/>
        <v/>
      </c>
      <c r="X3089" s="46" t="str">
        <f t="shared" si="1290"/>
        <v/>
      </c>
    </row>
    <row r="3090" spans="2:24" x14ac:dyDescent="0.25">
      <c r="B3090" s="11" t="str">
        <f t="shared" ref="B3090:B3096" si="1302">CONCATENATE("LNRM","-",LEFT(P3090,2),UPPER(MID(P3090,4,3)),RIGHT(P3090,4))</f>
        <v>LNRM-18MAY1896</v>
      </c>
      <c r="C3090" s="11" t="s">
        <v>122</v>
      </c>
      <c r="D3090" s="11" t="s">
        <v>1699</v>
      </c>
      <c r="F3090" s="11" t="s">
        <v>1700</v>
      </c>
      <c r="G3090" s="39" t="s">
        <v>2146</v>
      </c>
      <c r="H3090" s="7">
        <v>0</v>
      </c>
      <c r="I3090" s="7">
        <v>0</v>
      </c>
      <c r="J3090" s="17">
        <v>1</v>
      </c>
      <c r="K3090" s="17"/>
      <c r="L3090" s="7">
        <f t="shared" ref="L3090:L3096" si="1303">SUM(H3090:K3090)</f>
        <v>1</v>
      </c>
      <c r="M3090" s="8">
        <v>1</v>
      </c>
      <c r="N3090" s="8">
        <f t="shared" ref="N3090:N3096" si="1304">IF(L3090&gt;0,1,"")</f>
        <v>1</v>
      </c>
      <c r="O3090" s="11" t="s">
        <v>1702</v>
      </c>
      <c r="P3090" s="16" t="str">
        <f t="shared" ref="P3090:P3096" si="1305">IF(LEN(G3090)=10,CONCATENATE("0",G3090),G3090)</f>
        <v>18-May-1896</v>
      </c>
      <c r="R3090" s="16" t="str">
        <f t="shared" si="1293"/>
        <v>x</v>
      </c>
      <c r="S3090" s="16" t="str">
        <f t="shared" si="1293"/>
        <v>x</v>
      </c>
      <c r="T3090" s="11"/>
      <c r="U3090" s="46" t="str">
        <f t="shared" si="1290"/>
        <v/>
      </c>
      <c r="V3090" s="46">
        <f t="shared" si="1290"/>
        <v>1</v>
      </c>
      <c r="W3090" s="46" t="str">
        <f t="shared" si="1290"/>
        <v/>
      </c>
      <c r="X3090" s="46" t="str">
        <f t="shared" si="1290"/>
        <v/>
      </c>
    </row>
    <row r="3091" spans="2:24" x14ac:dyDescent="0.25">
      <c r="B3091" s="11" t="str">
        <f t="shared" si="1302"/>
        <v>LNRM-13JUL1896</v>
      </c>
      <c r="C3091" s="11" t="s">
        <v>122</v>
      </c>
      <c r="D3091" s="11" t="s">
        <v>1699</v>
      </c>
      <c r="F3091" s="11" t="s">
        <v>1700</v>
      </c>
      <c r="G3091" s="39" t="s">
        <v>539</v>
      </c>
      <c r="H3091" s="7">
        <v>0</v>
      </c>
      <c r="I3091" s="7">
        <v>1</v>
      </c>
      <c r="J3091" s="17">
        <v>14</v>
      </c>
      <c r="K3091" s="17"/>
      <c r="L3091" s="7">
        <f t="shared" si="1303"/>
        <v>15</v>
      </c>
      <c r="M3091" s="8">
        <v>1</v>
      </c>
      <c r="N3091" s="8">
        <f t="shared" si="1304"/>
        <v>1</v>
      </c>
      <c r="O3091" s="11" t="s">
        <v>1702</v>
      </c>
      <c r="P3091" s="16" t="str">
        <f t="shared" si="1305"/>
        <v>13-Jul-1896</v>
      </c>
      <c r="R3091" s="16" t="str">
        <f t="shared" si="1293"/>
        <v>x</v>
      </c>
      <c r="S3091" s="16" t="str">
        <f t="shared" si="1293"/>
        <v>x</v>
      </c>
      <c r="T3091" s="11"/>
      <c r="U3091" s="46" t="str">
        <f t="shared" si="1290"/>
        <v/>
      </c>
      <c r="V3091" s="46">
        <f t="shared" si="1290"/>
        <v>15</v>
      </c>
      <c r="W3091" s="46" t="str">
        <f t="shared" si="1290"/>
        <v/>
      </c>
      <c r="X3091" s="46" t="str">
        <f t="shared" si="1290"/>
        <v/>
      </c>
    </row>
    <row r="3092" spans="2:24" x14ac:dyDescent="0.25">
      <c r="B3092" s="11" t="str">
        <f t="shared" si="1302"/>
        <v>LNRM-10AUG1896</v>
      </c>
      <c r="C3092" s="11" t="s">
        <v>122</v>
      </c>
      <c r="D3092" s="11" t="s">
        <v>1699</v>
      </c>
      <c r="F3092" s="11" t="s">
        <v>1700</v>
      </c>
      <c r="G3092" s="39" t="s">
        <v>180</v>
      </c>
      <c r="H3092" s="7">
        <v>0</v>
      </c>
      <c r="I3092" s="7">
        <v>0</v>
      </c>
      <c r="J3092" s="17">
        <v>16</v>
      </c>
      <c r="K3092" s="17"/>
      <c r="L3092" s="7">
        <f t="shared" si="1303"/>
        <v>16</v>
      </c>
      <c r="M3092" s="8">
        <v>1</v>
      </c>
      <c r="N3092" s="8">
        <f t="shared" si="1304"/>
        <v>1</v>
      </c>
      <c r="O3092" s="11" t="s">
        <v>1702</v>
      </c>
      <c r="P3092" s="16" t="str">
        <f t="shared" si="1305"/>
        <v>10-Aug-1896</v>
      </c>
      <c r="R3092" s="16" t="str">
        <f t="shared" si="1293"/>
        <v>x</v>
      </c>
      <c r="S3092" s="16" t="str">
        <f t="shared" si="1293"/>
        <v>x</v>
      </c>
      <c r="T3092" s="11"/>
      <c r="U3092" s="46" t="str">
        <f t="shared" si="1290"/>
        <v/>
      </c>
      <c r="V3092" s="46">
        <f t="shared" si="1290"/>
        <v>16</v>
      </c>
      <c r="W3092" s="46" t="str">
        <f t="shared" si="1290"/>
        <v/>
      </c>
      <c r="X3092" s="46" t="str">
        <f t="shared" si="1290"/>
        <v/>
      </c>
    </row>
    <row r="3093" spans="2:24" x14ac:dyDescent="0.25">
      <c r="B3093" s="11" t="str">
        <f t="shared" si="1302"/>
        <v>LNRM-07SEP1896</v>
      </c>
      <c r="C3093" s="11" t="s">
        <v>122</v>
      </c>
      <c r="D3093" s="11" t="s">
        <v>1699</v>
      </c>
      <c r="F3093" s="11" t="s">
        <v>1700</v>
      </c>
      <c r="G3093" s="39" t="s">
        <v>540</v>
      </c>
      <c r="H3093" s="7">
        <v>0</v>
      </c>
      <c r="I3093" s="7">
        <v>0</v>
      </c>
      <c r="J3093" s="17">
        <v>3</v>
      </c>
      <c r="K3093" s="17"/>
      <c r="L3093" s="7">
        <f t="shared" si="1303"/>
        <v>3</v>
      </c>
      <c r="M3093" s="8">
        <v>1</v>
      </c>
      <c r="N3093" s="8">
        <f t="shared" si="1304"/>
        <v>1</v>
      </c>
      <c r="O3093" s="11" t="s">
        <v>1702</v>
      </c>
      <c r="P3093" s="16" t="str">
        <f t="shared" si="1305"/>
        <v>07-Sep-1896</v>
      </c>
      <c r="R3093" s="16" t="str">
        <f t="shared" si="1293"/>
        <v>x</v>
      </c>
      <c r="S3093" s="16" t="str">
        <f t="shared" si="1293"/>
        <v>x</v>
      </c>
      <c r="T3093" s="11"/>
      <c r="U3093" s="46" t="str">
        <f t="shared" si="1290"/>
        <v/>
      </c>
      <c r="V3093" s="46">
        <f t="shared" si="1290"/>
        <v>3</v>
      </c>
      <c r="W3093" s="46" t="str">
        <f t="shared" si="1290"/>
        <v/>
      </c>
      <c r="X3093" s="46" t="str">
        <f t="shared" si="1290"/>
        <v/>
      </c>
    </row>
    <row r="3094" spans="2:24" x14ac:dyDescent="0.25">
      <c r="B3094" s="11" t="str">
        <f t="shared" si="1302"/>
        <v>LNRM-04JAN1897</v>
      </c>
      <c r="C3094" s="11" t="s">
        <v>122</v>
      </c>
      <c r="D3094" s="11" t="s">
        <v>1699</v>
      </c>
      <c r="F3094" s="11" t="s">
        <v>1700</v>
      </c>
      <c r="G3094" s="39" t="s">
        <v>541</v>
      </c>
      <c r="H3094" s="7">
        <v>0</v>
      </c>
      <c r="I3094" s="7">
        <v>0</v>
      </c>
      <c r="J3094" s="17">
        <v>9</v>
      </c>
      <c r="K3094" s="17"/>
      <c r="L3094" s="7">
        <f t="shared" si="1303"/>
        <v>9</v>
      </c>
      <c r="M3094" s="8">
        <v>1</v>
      </c>
      <c r="N3094" s="8">
        <f t="shared" si="1304"/>
        <v>1</v>
      </c>
      <c r="O3094" s="11" t="s">
        <v>1702</v>
      </c>
      <c r="P3094" s="16" t="str">
        <f t="shared" si="1305"/>
        <v>04-Jan-1897</v>
      </c>
      <c r="R3094" s="16" t="str">
        <f t="shared" si="1293"/>
        <v>x</v>
      </c>
      <c r="S3094" s="16" t="str">
        <f t="shared" si="1293"/>
        <v>x</v>
      </c>
      <c r="T3094" s="11"/>
      <c r="U3094" s="46" t="str">
        <f t="shared" si="1290"/>
        <v/>
      </c>
      <c r="V3094" s="46">
        <f t="shared" si="1290"/>
        <v>9</v>
      </c>
      <c r="W3094" s="46" t="str">
        <f t="shared" si="1290"/>
        <v/>
      </c>
      <c r="X3094" s="46" t="str">
        <f t="shared" si="1290"/>
        <v/>
      </c>
    </row>
    <row r="3095" spans="2:24" x14ac:dyDescent="0.25">
      <c r="B3095" s="11" t="str">
        <f t="shared" si="1302"/>
        <v>LNRM-08FEB1897</v>
      </c>
      <c r="C3095" s="11" t="s">
        <v>122</v>
      </c>
      <c r="D3095" s="11" t="s">
        <v>1699</v>
      </c>
      <c r="F3095" s="11" t="s">
        <v>1700</v>
      </c>
      <c r="G3095" s="39" t="s">
        <v>542</v>
      </c>
      <c r="H3095" s="7">
        <v>0</v>
      </c>
      <c r="I3095" s="7">
        <v>0</v>
      </c>
      <c r="J3095" s="17">
        <v>11</v>
      </c>
      <c r="K3095" s="17"/>
      <c r="L3095" s="7">
        <f t="shared" si="1303"/>
        <v>11</v>
      </c>
      <c r="M3095" s="8">
        <v>1</v>
      </c>
      <c r="N3095" s="8">
        <f t="shared" si="1304"/>
        <v>1</v>
      </c>
      <c r="O3095" s="11" t="s">
        <v>1702</v>
      </c>
      <c r="P3095" s="16" t="str">
        <f t="shared" si="1305"/>
        <v>08-Feb-1897</v>
      </c>
      <c r="R3095" s="16" t="str">
        <f t="shared" si="1293"/>
        <v>x</v>
      </c>
      <c r="S3095" s="16" t="str">
        <f t="shared" si="1293"/>
        <v>x</v>
      </c>
      <c r="T3095" s="11"/>
      <c r="U3095" s="46" t="str">
        <f t="shared" si="1290"/>
        <v/>
      </c>
      <c r="V3095" s="46">
        <f t="shared" si="1290"/>
        <v>11</v>
      </c>
      <c r="W3095" s="46" t="str">
        <f t="shared" si="1290"/>
        <v/>
      </c>
      <c r="X3095" s="46" t="str">
        <f t="shared" si="1290"/>
        <v/>
      </c>
    </row>
    <row r="3096" spans="2:24" x14ac:dyDescent="0.25">
      <c r="B3096" s="11" t="str">
        <f t="shared" si="1302"/>
        <v>LNRM-15MAR1897</v>
      </c>
      <c r="C3096" s="11" t="s">
        <v>122</v>
      </c>
      <c r="D3096" s="11" t="s">
        <v>1699</v>
      </c>
      <c r="F3096" s="11" t="s">
        <v>1700</v>
      </c>
      <c r="G3096" s="39" t="s">
        <v>543</v>
      </c>
      <c r="H3096" s="7">
        <v>0</v>
      </c>
      <c r="I3096" s="7">
        <v>0</v>
      </c>
      <c r="J3096" s="17">
        <v>3</v>
      </c>
      <c r="K3096" s="17"/>
      <c r="L3096" s="7">
        <f t="shared" si="1303"/>
        <v>3</v>
      </c>
      <c r="M3096" s="8">
        <v>1</v>
      </c>
      <c r="N3096" s="8">
        <f t="shared" si="1304"/>
        <v>1</v>
      </c>
      <c r="O3096" s="11" t="s">
        <v>1702</v>
      </c>
      <c r="P3096" s="16" t="str">
        <f t="shared" si="1305"/>
        <v>15-Mar-1897</v>
      </c>
      <c r="R3096" s="16" t="str">
        <f t="shared" si="1293"/>
        <v>x</v>
      </c>
      <c r="S3096" s="16" t="str">
        <f t="shared" si="1293"/>
        <v>x</v>
      </c>
      <c r="T3096" s="11"/>
      <c r="U3096" s="46" t="str">
        <f t="shared" si="1290"/>
        <v/>
      </c>
      <c r="V3096" s="46">
        <f t="shared" si="1290"/>
        <v>3</v>
      </c>
      <c r="W3096" s="46" t="str">
        <f t="shared" si="1290"/>
        <v/>
      </c>
      <c r="X3096" s="46" t="str">
        <f t="shared" si="1290"/>
        <v/>
      </c>
    </row>
    <row r="3097" spans="2:24" x14ac:dyDescent="0.25">
      <c r="B3097" s="11" t="str">
        <f t="shared" ref="B3097:B3106" si="1306">CONCATENATE("LNRM","-",LEFT(P3097,2),UPPER(MID(P3097,4,3)),RIGHT(P3097,4))</f>
        <v>LNRM-12APR1897</v>
      </c>
      <c r="C3097" s="11" t="s">
        <v>122</v>
      </c>
      <c r="D3097" s="11" t="s">
        <v>1699</v>
      </c>
      <c r="F3097" s="11" t="s">
        <v>1700</v>
      </c>
      <c r="G3097" s="39" t="s">
        <v>544</v>
      </c>
      <c r="H3097" s="7">
        <v>0</v>
      </c>
      <c r="I3097" s="7">
        <v>0</v>
      </c>
      <c r="J3097" s="17">
        <v>14</v>
      </c>
      <c r="K3097" s="17"/>
      <c r="L3097" s="7">
        <f t="shared" ref="L3097:L3106" si="1307">SUM(H3097:K3097)</f>
        <v>14</v>
      </c>
      <c r="M3097" s="8">
        <v>1</v>
      </c>
      <c r="N3097" s="8">
        <f t="shared" ref="N3097:N3106" si="1308">IF(L3097&gt;0,1,"")</f>
        <v>1</v>
      </c>
      <c r="O3097" s="11" t="s">
        <v>1702</v>
      </c>
      <c r="P3097" s="16" t="str">
        <f t="shared" ref="P3097:P3106" si="1309">IF(LEN(G3097)=10,CONCATENATE("0",G3097),G3097)</f>
        <v>12-Apr-1897</v>
      </c>
      <c r="R3097" s="16" t="str">
        <f t="shared" si="1293"/>
        <v>x</v>
      </c>
      <c r="S3097" s="16" t="str">
        <f t="shared" si="1293"/>
        <v>x</v>
      </c>
      <c r="T3097" s="11"/>
      <c r="U3097" s="46" t="str">
        <f t="shared" si="1290"/>
        <v/>
      </c>
      <c r="V3097" s="46">
        <f t="shared" si="1290"/>
        <v>14</v>
      </c>
      <c r="W3097" s="46" t="str">
        <f t="shared" si="1290"/>
        <v/>
      </c>
      <c r="X3097" s="46" t="str">
        <f t="shared" si="1290"/>
        <v/>
      </c>
    </row>
    <row r="3098" spans="2:24" x14ac:dyDescent="0.25">
      <c r="B3098" s="11" t="str">
        <f t="shared" si="1306"/>
        <v>LNRM-11JUL1897</v>
      </c>
      <c r="C3098" s="11" t="s">
        <v>122</v>
      </c>
      <c r="D3098" s="11" t="s">
        <v>1699</v>
      </c>
      <c r="E3098" s="39" t="s">
        <v>548</v>
      </c>
      <c r="F3098" s="11" t="s">
        <v>1700</v>
      </c>
      <c r="G3098" s="39" t="s">
        <v>545</v>
      </c>
      <c r="J3098" s="17">
        <v>15</v>
      </c>
      <c r="K3098" s="17"/>
      <c r="L3098" s="7">
        <f t="shared" si="1307"/>
        <v>15</v>
      </c>
      <c r="M3098" s="8">
        <v>1</v>
      </c>
      <c r="N3098" s="8">
        <f t="shared" si="1308"/>
        <v>1</v>
      </c>
      <c r="O3098" s="11" t="s">
        <v>1702</v>
      </c>
      <c r="P3098" s="16" t="str">
        <f t="shared" si="1309"/>
        <v>11-Jul-1897</v>
      </c>
      <c r="R3098" s="16" t="str">
        <f t="shared" si="1293"/>
        <v>x</v>
      </c>
      <c r="S3098" s="16" t="str">
        <f t="shared" si="1293"/>
        <v>x</v>
      </c>
      <c r="T3098" s="11"/>
      <c r="U3098" s="46" t="str">
        <f t="shared" si="1290"/>
        <v/>
      </c>
      <c r="V3098" s="46">
        <f t="shared" si="1290"/>
        <v>15</v>
      </c>
      <c r="W3098" s="46" t="str">
        <f t="shared" si="1290"/>
        <v/>
      </c>
      <c r="X3098" s="46" t="str">
        <f t="shared" si="1290"/>
        <v/>
      </c>
    </row>
    <row r="3099" spans="2:24" x14ac:dyDescent="0.25">
      <c r="B3099" s="11" t="str">
        <f t="shared" si="1306"/>
        <v>LNRM-08AUG1897</v>
      </c>
      <c r="C3099" s="11" t="s">
        <v>122</v>
      </c>
      <c r="D3099" s="11" t="s">
        <v>1699</v>
      </c>
      <c r="E3099" s="39" t="s">
        <v>550</v>
      </c>
      <c r="F3099" s="11" t="s">
        <v>1700</v>
      </c>
      <c r="G3099" s="39" t="s">
        <v>546</v>
      </c>
      <c r="J3099" s="17">
        <v>0</v>
      </c>
      <c r="K3099" s="17"/>
      <c r="L3099" s="7">
        <f t="shared" si="1307"/>
        <v>0</v>
      </c>
      <c r="M3099" s="8">
        <v>1</v>
      </c>
      <c r="N3099" s="8" t="str">
        <f t="shared" si="1308"/>
        <v/>
      </c>
      <c r="O3099" s="11" t="s">
        <v>1702</v>
      </c>
      <c r="P3099" s="16" t="str">
        <f t="shared" si="1309"/>
        <v>08-Aug-1897</v>
      </c>
      <c r="R3099" s="16" t="str">
        <f t="shared" si="1293"/>
        <v/>
      </c>
      <c r="S3099" s="16" t="str">
        <f t="shared" si="1293"/>
        <v/>
      </c>
      <c r="T3099" s="11"/>
      <c r="U3099" s="46" t="str">
        <f t="shared" si="1290"/>
        <v/>
      </c>
      <c r="V3099" s="46">
        <f t="shared" si="1290"/>
        <v>0</v>
      </c>
      <c r="W3099" s="46" t="str">
        <f t="shared" si="1290"/>
        <v/>
      </c>
      <c r="X3099" s="46" t="str">
        <f t="shared" si="1290"/>
        <v/>
      </c>
    </row>
    <row r="3100" spans="2:24" x14ac:dyDescent="0.25">
      <c r="B3100" s="11" t="str">
        <f t="shared" si="1306"/>
        <v>LNRM-20DEC1897</v>
      </c>
      <c r="C3100" s="11" t="s">
        <v>122</v>
      </c>
      <c r="D3100" s="11" t="s">
        <v>1699</v>
      </c>
      <c r="E3100" s="39" t="s">
        <v>549</v>
      </c>
      <c r="F3100" s="11" t="s">
        <v>1700</v>
      </c>
      <c r="G3100" s="39" t="s">
        <v>547</v>
      </c>
      <c r="J3100" s="17">
        <v>10</v>
      </c>
      <c r="K3100" s="17"/>
      <c r="L3100" s="7">
        <f t="shared" si="1307"/>
        <v>10</v>
      </c>
      <c r="M3100" s="8">
        <v>1</v>
      </c>
      <c r="N3100" s="8">
        <f t="shared" si="1308"/>
        <v>1</v>
      </c>
      <c r="O3100" s="11" t="s">
        <v>1702</v>
      </c>
      <c r="P3100" s="16" t="str">
        <f t="shared" si="1309"/>
        <v>20-Dec-1897</v>
      </c>
      <c r="R3100" s="16" t="str">
        <f t="shared" si="1293"/>
        <v>x</v>
      </c>
      <c r="S3100" s="16" t="str">
        <f t="shared" si="1293"/>
        <v>x</v>
      </c>
      <c r="T3100" s="11"/>
      <c r="U3100" s="46" t="str">
        <f t="shared" si="1290"/>
        <v/>
      </c>
      <c r="V3100" s="46">
        <f t="shared" si="1290"/>
        <v>10</v>
      </c>
      <c r="W3100" s="46" t="str">
        <f t="shared" si="1290"/>
        <v/>
      </c>
      <c r="X3100" s="46" t="str">
        <f t="shared" si="1290"/>
        <v/>
      </c>
    </row>
    <row r="3101" spans="2:24" x14ac:dyDescent="0.25">
      <c r="B3101" s="11" t="str">
        <f t="shared" si="1306"/>
        <v>LNRM-17JAN1898</v>
      </c>
      <c r="C3101" s="11" t="s">
        <v>122</v>
      </c>
      <c r="D3101" s="11" t="s">
        <v>1699</v>
      </c>
      <c r="E3101" s="39" t="s">
        <v>560</v>
      </c>
      <c r="F3101" s="11" t="s">
        <v>1700</v>
      </c>
      <c r="G3101" s="39" t="s">
        <v>551</v>
      </c>
      <c r="J3101" s="17">
        <v>0</v>
      </c>
      <c r="K3101" s="17"/>
      <c r="L3101" s="7">
        <f t="shared" si="1307"/>
        <v>0</v>
      </c>
      <c r="M3101" s="8">
        <v>1</v>
      </c>
      <c r="N3101" s="8" t="str">
        <f t="shared" si="1308"/>
        <v/>
      </c>
      <c r="O3101" s="11" t="s">
        <v>1702</v>
      </c>
      <c r="P3101" s="16" t="str">
        <f t="shared" si="1309"/>
        <v>17-Jan-1898</v>
      </c>
      <c r="R3101" s="16" t="str">
        <f t="shared" si="1293"/>
        <v/>
      </c>
      <c r="S3101" s="16" t="str">
        <f t="shared" si="1293"/>
        <v/>
      </c>
      <c r="T3101" s="11"/>
      <c r="U3101" s="46" t="str">
        <f t="shared" si="1290"/>
        <v/>
      </c>
      <c r="V3101" s="46">
        <f t="shared" si="1290"/>
        <v>0</v>
      </c>
      <c r="W3101" s="46" t="str">
        <f t="shared" si="1290"/>
        <v/>
      </c>
      <c r="X3101" s="46" t="str">
        <f t="shared" si="1290"/>
        <v/>
      </c>
    </row>
    <row r="3102" spans="2:24" x14ac:dyDescent="0.25">
      <c r="B3102" s="11" t="str">
        <f t="shared" si="1306"/>
        <v>LNRM-14FEB1898</v>
      </c>
      <c r="C3102" s="11" t="s">
        <v>122</v>
      </c>
      <c r="D3102" s="11" t="s">
        <v>1699</v>
      </c>
      <c r="E3102" s="39" t="s">
        <v>561</v>
      </c>
      <c r="F3102" s="11" t="s">
        <v>1700</v>
      </c>
      <c r="G3102" s="39" t="s">
        <v>552</v>
      </c>
      <c r="J3102" s="17">
        <v>0</v>
      </c>
      <c r="K3102" s="17"/>
      <c r="L3102" s="7">
        <f t="shared" si="1307"/>
        <v>0</v>
      </c>
      <c r="M3102" s="8">
        <v>1</v>
      </c>
      <c r="N3102" s="8" t="str">
        <f t="shared" si="1308"/>
        <v/>
      </c>
      <c r="O3102" s="11" t="s">
        <v>1702</v>
      </c>
      <c r="P3102" s="16" t="str">
        <f t="shared" si="1309"/>
        <v>14-Feb-1898</v>
      </c>
      <c r="R3102" s="16" t="str">
        <f t="shared" si="1293"/>
        <v/>
      </c>
      <c r="S3102" s="16" t="str">
        <f t="shared" si="1293"/>
        <v/>
      </c>
      <c r="T3102" s="11"/>
      <c r="U3102" s="46" t="str">
        <f t="shared" si="1290"/>
        <v/>
      </c>
      <c r="V3102" s="46">
        <f t="shared" si="1290"/>
        <v>0</v>
      </c>
      <c r="W3102" s="46" t="str">
        <f t="shared" si="1290"/>
        <v/>
      </c>
      <c r="X3102" s="46" t="str">
        <f t="shared" si="1290"/>
        <v/>
      </c>
    </row>
    <row r="3103" spans="2:24" x14ac:dyDescent="0.25">
      <c r="B3103" s="11" t="str">
        <f t="shared" si="1306"/>
        <v>LNRM-14MAR1898</v>
      </c>
      <c r="C3103" s="11" t="s">
        <v>122</v>
      </c>
      <c r="D3103" s="11" t="s">
        <v>1699</v>
      </c>
      <c r="E3103" s="39" t="s">
        <v>562</v>
      </c>
      <c r="F3103" s="11" t="s">
        <v>1700</v>
      </c>
      <c r="G3103" s="39" t="s">
        <v>553</v>
      </c>
      <c r="J3103" s="17">
        <v>6</v>
      </c>
      <c r="K3103" s="17"/>
      <c r="L3103" s="7">
        <f t="shared" si="1307"/>
        <v>6</v>
      </c>
      <c r="M3103" s="8">
        <v>1</v>
      </c>
      <c r="N3103" s="8">
        <f t="shared" si="1308"/>
        <v>1</v>
      </c>
      <c r="O3103" s="11" t="s">
        <v>1702</v>
      </c>
      <c r="P3103" s="16" t="str">
        <f t="shared" si="1309"/>
        <v>14-Mar-1898</v>
      </c>
      <c r="R3103" s="16" t="str">
        <f t="shared" si="1293"/>
        <v>x</v>
      </c>
      <c r="S3103" s="16" t="str">
        <f t="shared" si="1293"/>
        <v>x</v>
      </c>
      <c r="T3103" s="11"/>
      <c r="U3103" s="46" t="str">
        <f t="shared" si="1290"/>
        <v/>
      </c>
      <c r="V3103" s="46">
        <f t="shared" si="1290"/>
        <v>6</v>
      </c>
      <c r="W3103" s="46" t="str">
        <f t="shared" si="1290"/>
        <v/>
      </c>
      <c r="X3103" s="46" t="str">
        <f t="shared" si="1290"/>
        <v/>
      </c>
    </row>
    <row r="3104" spans="2:24" x14ac:dyDescent="0.25">
      <c r="B3104" s="11" t="str">
        <f t="shared" si="1306"/>
        <v>LNRM-26APR1898</v>
      </c>
      <c r="C3104" s="11" t="s">
        <v>122</v>
      </c>
      <c r="D3104" s="11" t="s">
        <v>1699</v>
      </c>
      <c r="E3104" s="39" t="s">
        <v>563</v>
      </c>
      <c r="F3104" s="11" t="s">
        <v>1700</v>
      </c>
      <c r="G3104" s="39" t="s">
        <v>554</v>
      </c>
      <c r="J3104" s="17">
        <v>0</v>
      </c>
      <c r="K3104" s="17"/>
      <c r="L3104" s="7">
        <f t="shared" si="1307"/>
        <v>0</v>
      </c>
      <c r="M3104" s="8">
        <v>1</v>
      </c>
      <c r="N3104" s="8" t="str">
        <f t="shared" si="1308"/>
        <v/>
      </c>
      <c r="O3104" s="11" t="s">
        <v>1702</v>
      </c>
      <c r="P3104" s="16" t="str">
        <f t="shared" si="1309"/>
        <v>26-Apr-1898</v>
      </c>
      <c r="R3104" s="16" t="str">
        <f t="shared" si="1293"/>
        <v/>
      </c>
      <c r="S3104" s="16" t="str">
        <f t="shared" si="1293"/>
        <v/>
      </c>
      <c r="T3104" s="11"/>
      <c r="U3104" s="46" t="str">
        <f t="shared" si="1290"/>
        <v/>
      </c>
      <c r="V3104" s="46">
        <f t="shared" si="1290"/>
        <v>0</v>
      </c>
      <c r="W3104" s="46" t="str">
        <f t="shared" si="1290"/>
        <v/>
      </c>
      <c r="X3104" s="46" t="str">
        <f t="shared" si="1290"/>
        <v/>
      </c>
    </row>
    <row r="3105" spans="2:24" x14ac:dyDescent="0.25">
      <c r="B3105" s="11" t="str">
        <f t="shared" si="1306"/>
        <v>LNRM-15AUG1898</v>
      </c>
      <c r="C3105" s="11" t="s">
        <v>122</v>
      </c>
      <c r="D3105" s="11" t="s">
        <v>1699</v>
      </c>
      <c r="E3105" s="39" t="s">
        <v>564</v>
      </c>
      <c r="F3105" s="11" t="s">
        <v>1700</v>
      </c>
      <c r="G3105" s="39" t="s">
        <v>555</v>
      </c>
      <c r="J3105" s="17">
        <v>10</v>
      </c>
      <c r="K3105" s="17"/>
      <c r="L3105" s="7">
        <f t="shared" si="1307"/>
        <v>10</v>
      </c>
      <c r="M3105" s="8">
        <v>1</v>
      </c>
      <c r="N3105" s="8">
        <f t="shared" si="1308"/>
        <v>1</v>
      </c>
      <c r="O3105" s="11" t="s">
        <v>1702</v>
      </c>
      <c r="P3105" s="16" t="str">
        <f t="shared" si="1309"/>
        <v>15-Aug-1898</v>
      </c>
      <c r="R3105" s="16" t="str">
        <f t="shared" si="1293"/>
        <v>x</v>
      </c>
      <c r="S3105" s="16" t="str">
        <f t="shared" si="1293"/>
        <v>x</v>
      </c>
      <c r="T3105" s="11"/>
      <c r="U3105" s="46" t="str">
        <f t="shared" si="1290"/>
        <v/>
      </c>
      <c r="V3105" s="46">
        <f t="shared" si="1290"/>
        <v>10</v>
      </c>
      <c r="W3105" s="46" t="str">
        <f t="shared" si="1290"/>
        <v/>
      </c>
      <c r="X3105" s="46" t="str">
        <f t="shared" si="1290"/>
        <v/>
      </c>
    </row>
    <row r="3106" spans="2:24" x14ac:dyDescent="0.25">
      <c r="B3106" s="11" t="str">
        <f t="shared" si="1306"/>
        <v>LNRM-19SEP1898</v>
      </c>
      <c r="C3106" s="11" t="s">
        <v>122</v>
      </c>
      <c r="D3106" s="11" t="s">
        <v>1699</v>
      </c>
      <c r="E3106" s="39" t="s">
        <v>565</v>
      </c>
      <c r="F3106" s="11" t="s">
        <v>1700</v>
      </c>
      <c r="G3106" s="39" t="s">
        <v>556</v>
      </c>
      <c r="J3106" s="17">
        <v>7</v>
      </c>
      <c r="K3106" s="17"/>
      <c r="L3106" s="7">
        <f t="shared" si="1307"/>
        <v>7</v>
      </c>
      <c r="M3106" s="8">
        <v>1</v>
      </c>
      <c r="N3106" s="8">
        <f t="shared" si="1308"/>
        <v>1</v>
      </c>
      <c r="O3106" s="11" t="s">
        <v>1702</v>
      </c>
      <c r="P3106" s="16" t="str">
        <f t="shared" si="1309"/>
        <v>19-Sep-1898</v>
      </c>
      <c r="R3106" s="16" t="str">
        <f t="shared" si="1293"/>
        <v>x</v>
      </c>
      <c r="S3106" s="16" t="str">
        <f t="shared" si="1293"/>
        <v>x</v>
      </c>
      <c r="T3106" s="11"/>
      <c r="U3106" s="46" t="str">
        <f t="shared" si="1290"/>
        <v/>
      </c>
      <c r="V3106" s="46">
        <f t="shared" si="1290"/>
        <v>7</v>
      </c>
      <c r="W3106" s="46" t="str">
        <f t="shared" si="1290"/>
        <v/>
      </c>
      <c r="X3106" s="46" t="str">
        <f t="shared" si="1290"/>
        <v/>
      </c>
    </row>
    <row r="3107" spans="2:24" x14ac:dyDescent="0.25">
      <c r="B3107" s="11" t="str">
        <f t="shared" ref="B3107:B3123" si="1310">CONCATENATE("LNRM","-",LEFT(P3107,2),UPPER(MID(P3107,4,3)),RIGHT(P3107,4))</f>
        <v>LNRM-21OCT1898</v>
      </c>
      <c r="C3107" s="11" t="s">
        <v>122</v>
      </c>
      <c r="D3107" s="11" t="s">
        <v>1699</v>
      </c>
      <c r="E3107" s="39" t="s">
        <v>566</v>
      </c>
      <c r="F3107" s="11" t="s">
        <v>1700</v>
      </c>
      <c r="G3107" s="39" t="s">
        <v>557</v>
      </c>
      <c r="J3107" s="17">
        <v>30</v>
      </c>
      <c r="K3107" s="17"/>
      <c r="L3107" s="7">
        <f t="shared" ref="L3107:L3123" si="1311">SUM(H3107:K3107)</f>
        <v>30</v>
      </c>
      <c r="M3107" s="8">
        <v>1</v>
      </c>
      <c r="N3107" s="8">
        <f t="shared" ref="N3107:N3123" si="1312">IF(L3107&gt;0,1,"")</f>
        <v>1</v>
      </c>
      <c r="O3107" s="11" t="s">
        <v>1702</v>
      </c>
      <c r="P3107" s="16" t="str">
        <f t="shared" ref="P3107:P3123" si="1313">IF(LEN(G3107)=10,CONCATENATE("0",G3107),G3107)</f>
        <v>21-Oct-1898</v>
      </c>
      <c r="R3107" s="16" t="str">
        <f t="shared" si="1293"/>
        <v>x</v>
      </c>
      <c r="S3107" s="16" t="str">
        <f t="shared" si="1293"/>
        <v>x</v>
      </c>
      <c r="T3107" s="11"/>
      <c r="U3107" s="46" t="str">
        <f t="shared" si="1290"/>
        <v/>
      </c>
      <c r="V3107" s="46">
        <f t="shared" si="1290"/>
        <v>30</v>
      </c>
      <c r="W3107" s="46" t="str">
        <f t="shared" si="1290"/>
        <v/>
      </c>
      <c r="X3107" s="46" t="str">
        <f t="shared" si="1290"/>
        <v/>
      </c>
    </row>
    <row r="3108" spans="2:24" x14ac:dyDescent="0.25">
      <c r="B3108" s="11" t="str">
        <f t="shared" si="1310"/>
        <v>LNRM-25NOV1898</v>
      </c>
      <c r="C3108" s="11" t="s">
        <v>122</v>
      </c>
      <c r="D3108" s="11" t="s">
        <v>1699</v>
      </c>
      <c r="E3108" s="39" t="s">
        <v>567</v>
      </c>
      <c r="F3108" s="11" t="s">
        <v>1700</v>
      </c>
      <c r="G3108" s="39" t="s">
        <v>558</v>
      </c>
      <c r="J3108" s="17">
        <v>37</v>
      </c>
      <c r="K3108" s="17"/>
      <c r="L3108" s="7">
        <f t="shared" si="1311"/>
        <v>37</v>
      </c>
      <c r="M3108" s="8">
        <v>1</v>
      </c>
      <c r="N3108" s="8">
        <f t="shared" si="1312"/>
        <v>1</v>
      </c>
      <c r="O3108" s="11" t="s">
        <v>1702</v>
      </c>
      <c r="P3108" s="16" t="str">
        <f t="shared" si="1313"/>
        <v>25-Nov-1898</v>
      </c>
      <c r="R3108" s="16" t="str">
        <f t="shared" si="1293"/>
        <v>x</v>
      </c>
      <c r="S3108" s="16" t="str">
        <f t="shared" si="1293"/>
        <v>x</v>
      </c>
      <c r="T3108" s="11"/>
      <c r="U3108" s="46" t="str">
        <f t="shared" si="1290"/>
        <v/>
      </c>
      <c r="V3108" s="46">
        <f t="shared" si="1290"/>
        <v>37</v>
      </c>
      <c r="W3108" s="46" t="str">
        <f t="shared" si="1290"/>
        <v/>
      </c>
      <c r="X3108" s="46" t="str">
        <f t="shared" si="1290"/>
        <v/>
      </c>
    </row>
    <row r="3109" spans="2:24" x14ac:dyDescent="0.25">
      <c r="B3109" s="11" t="str">
        <f t="shared" si="1310"/>
        <v>LNRM-27DEC1898</v>
      </c>
      <c r="C3109" s="11" t="s">
        <v>122</v>
      </c>
      <c r="D3109" s="11" t="s">
        <v>1699</v>
      </c>
      <c r="E3109" s="39" t="s">
        <v>568</v>
      </c>
      <c r="F3109" s="11" t="s">
        <v>1700</v>
      </c>
      <c r="G3109" s="39" t="s">
        <v>559</v>
      </c>
      <c r="J3109" s="17">
        <v>20</v>
      </c>
      <c r="K3109" s="17"/>
      <c r="L3109" s="7">
        <f t="shared" si="1311"/>
        <v>20</v>
      </c>
      <c r="M3109" s="8">
        <v>1</v>
      </c>
      <c r="N3109" s="8">
        <f t="shared" si="1312"/>
        <v>1</v>
      </c>
      <c r="O3109" s="11" t="s">
        <v>1702</v>
      </c>
      <c r="P3109" s="16" t="str">
        <f t="shared" si="1313"/>
        <v>27-Dec-1898</v>
      </c>
      <c r="R3109" s="16" t="str">
        <f t="shared" si="1293"/>
        <v>x</v>
      </c>
      <c r="S3109" s="16" t="str">
        <f t="shared" si="1293"/>
        <v>x</v>
      </c>
      <c r="T3109" s="11"/>
      <c r="U3109" s="46" t="str">
        <f t="shared" si="1290"/>
        <v/>
      </c>
      <c r="V3109" s="46">
        <f t="shared" si="1290"/>
        <v>20</v>
      </c>
      <c r="W3109" s="46" t="str">
        <f t="shared" si="1290"/>
        <v/>
      </c>
      <c r="X3109" s="46" t="str">
        <f t="shared" si="1290"/>
        <v/>
      </c>
    </row>
    <row r="3110" spans="2:24" x14ac:dyDescent="0.25">
      <c r="B3110" s="11" t="str">
        <f t="shared" si="1310"/>
        <v>LNRM-24JAN1899</v>
      </c>
      <c r="C3110" s="11" t="s">
        <v>122</v>
      </c>
      <c r="D3110" s="11" t="s">
        <v>1699</v>
      </c>
      <c r="F3110" s="11" t="s">
        <v>1700</v>
      </c>
      <c r="G3110" s="39" t="s">
        <v>569</v>
      </c>
      <c r="J3110" s="17">
        <v>6</v>
      </c>
      <c r="K3110" s="17"/>
      <c r="L3110" s="7">
        <f t="shared" si="1311"/>
        <v>6</v>
      </c>
      <c r="M3110" s="8">
        <v>1</v>
      </c>
      <c r="N3110" s="8">
        <f t="shared" si="1312"/>
        <v>1</v>
      </c>
      <c r="O3110" s="11" t="s">
        <v>1702</v>
      </c>
      <c r="P3110" s="16" t="str">
        <f t="shared" si="1313"/>
        <v>24-Jan-1899</v>
      </c>
      <c r="R3110" s="16" t="str">
        <f t="shared" si="1293"/>
        <v>x</v>
      </c>
      <c r="S3110" s="16" t="str">
        <f t="shared" si="1293"/>
        <v>x</v>
      </c>
      <c r="T3110" s="11"/>
      <c r="U3110" s="46" t="str">
        <f t="shared" si="1290"/>
        <v/>
      </c>
      <c r="V3110" s="46">
        <f t="shared" si="1290"/>
        <v>6</v>
      </c>
      <c r="W3110" s="46" t="str">
        <f t="shared" si="1290"/>
        <v/>
      </c>
      <c r="X3110" s="46" t="str">
        <f t="shared" si="1290"/>
        <v/>
      </c>
    </row>
    <row r="3111" spans="2:24" x14ac:dyDescent="0.25">
      <c r="B3111" s="11" t="str">
        <f t="shared" si="1310"/>
        <v>LNRM-28FEB1899</v>
      </c>
      <c r="C3111" s="11" t="s">
        <v>122</v>
      </c>
      <c r="D3111" s="11" t="s">
        <v>1699</v>
      </c>
      <c r="E3111" s="39" t="s">
        <v>579</v>
      </c>
      <c r="F3111" s="11" t="s">
        <v>1700</v>
      </c>
      <c r="G3111" s="39" t="s">
        <v>580</v>
      </c>
      <c r="J3111" s="17">
        <v>2</v>
      </c>
      <c r="K3111" s="17"/>
      <c r="L3111" s="7">
        <f t="shared" si="1311"/>
        <v>2</v>
      </c>
      <c r="M3111" s="8">
        <v>1</v>
      </c>
      <c r="N3111" s="8">
        <f t="shared" si="1312"/>
        <v>1</v>
      </c>
      <c r="O3111" s="11" t="s">
        <v>1702</v>
      </c>
      <c r="P3111" s="16" t="str">
        <f t="shared" si="1313"/>
        <v>28-Feb-1899</v>
      </c>
      <c r="R3111" s="16" t="str">
        <f t="shared" si="1293"/>
        <v>x</v>
      </c>
      <c r="S3111" s="16" t="str">
        <f t="shared" si="1293"/>
        <v>x</v>
      </c>
      <c r="T3111" s="11"/>
      <c r="U3111" s="46" t="str">
        <f t="shared" si="1290"/>
        <v/>
      </c>
      <c r="V3111" s="46">
        <f t="shared" si="1290"/>
        <v>2</v>
      </c>
      <c r="W3111" s="46" t="str">
        <f t="shared" si="1290"/>
        <v/>
      </c>
      <c r="X3111" s="46" t="str">
        <f t="shared" si="1290"/>
        <v/>
      </c>
    </row>
    <row r="3112" spans="2:24" x14ac:dyDescent="0.25">
      <c r="B3112" s="11" t="str">
        <f t="shared" si="1310"/>
        <v>LNRM-27MAR1899</v>
      </c>
      <c r="C3112" s="11" t="s">
        <v>122</v>
      </c>
      <c r="D3112" s="11" t="s">
        <v>1699</v>
      </c>
      <c r="E3112" s="39" t="s">
        <v>581</v>
      </c>
      <c r="F3112" s="11" t="s">
        <v>1700</v>
      </c>
      <c r="G3112" s="39" t="s">
        <v>570</v>
      </c>
      <c r="J3112" s="17">
        <v>1</v>
      </c>
      <c r="K3112" s="17"/>
      <c r="L3112" s="7">
        <f t="shared" si="1311"/>
        <v>1</v>
      </c>
      <c r="M3112" s="8">
        <v>1</v>
      </c>
      <c r="N3112" s="8">
        <f t="shared" si="1312"/>
        <v>1</v>
      </c>
      <c r="O3112" s="11" t="s">
        <v>1702</v>
      </c>
      <c r="P3112" s="16" t="str">
        <f t="shared" si="1313"/>
        <v>27-Mar-1899</v>
      </c>
      <c r="R3112" s="16" t="str">
        <f t="shared" si="1293"/>
        <v>x</v>
      </c>
      <c r="S3112" s="16" t="str">
        <f t="shared" si="1293"/>
        <v>x</v>
      </c>
      <c r="T3112" s="11"/>
      <c r="U3112" s="46" t="str">
        <f t="shared" si="1290"/>
        <v/>
      </c>
      <c r="V3112" s="46">
        <f t="shared" si="1290"/>
        <v>1</v>
      </c>
      <c r="W3112" s="46" t="str">
        <f t="shared" si="1290"/>
        <v/>
      </c>
      <c r="X3112" s="46" t="str">
        <f t="shared" si="1290"/>
        <v/>
      </c>
    </row>
    <row r="3113" spans="2:24" x14ac:dyDescent="0.25">
      <c r="B3113" s="11" t="str">
        <f t="shared" si="1310"/>
        <v>LNRM-01MAY1899</v>
      </c>
      <c r="C3113" s="11" t="s">
        <v>122</v>
      </c>
      <c r="D3113" s="11" t="s">
        <v>1699</v>
      </c>
      <c r="E3113" s="39" t="s">
        <v>582</v>
      </c>
      <c r="F3113" s="11" t="s">
        <v>1700</v>
      </c>
      <c r="G3113" s="39" t="s">
        <v>571</v>
      </c>
      <c r="J3113" s="17">
        <v>5</v>
      </c>
      <c r="K3113" s="17"/>
      <c r="L3113" s="7">
        <f t="shared" si="1311"/>
        <v>5</v>
      </c>
      <c r="M3113" s="8">
        <v>1</v>
      </c>
      <c r="N3113" s="8">
        <f t="shared" si="1312"/>
        <v>1</v>
      </c>
      <c r="O3113" s="11" t="s">
        <v>1702</v>
      </c>
      <c r="P3113" s="16" t="str">
        <f t="shared" si="1313"/>
        <v>01-May-1899</v>
      </c>
      <c r="R3113" s="16" t="str">
        <f t="shared" si="1293"/>
        <v>x</v>
      </c>
      <c r="S3113" s="16" t="str">
        <f t="shared" si="1293"/>
        <v>x</v>
      </c>
      <c r="T3113" s="11"/>
      <c r="U3113" s="46" t="str">
        <f t="shared" si="1290"/>
        <v/>
      </c>
      <c r="V3113" s="46">
        <f t="shared" si="1290"/>
        <v>5</v>
      </c>
      <c r="W3113" s="46" t="str">
        <f t="shared" si="1290"/>
        <v/>
      </c>
      <c r="X3113" s="46" t="str">
        <f t="shared" si="1290"/>
        <v/>
      </c>
    </row>
    <row r="3114" spans="2:24" x14ac:dyDescent="0.25">
      <c r="B3114" s="11" t="str">
        <f t="shared" si="1310"/>
        <v>LNRM-10JUL1899</v>
      </c>
      <c r="C3114" s="11" t="s">
        <v>122</v>
      </c>
      <c r="D3114" s="11" t="s">
        <v>1699</v>
      </c>
      <c r="E3114" s="39" t="s">
        <v>583</v>
      </c>
      <c r="F3114" s="11" t="s">
        <v>1700</v>
      </c>
      <c r="G3114" s="39" t="s">
        <v>572</v>
      </c>
      <c r="J3114" s="17">
        <v>8</v>
      </c>
      <c r="K3114" s="17"/>
      <c r="L3114" s="7">
        <f t="shared" si="1311"/>
        <v>8</v>
      </c>
      <c r="M3114" s="8">
        <v>1</v>
      </c>
      <c r="N3114" s="8">
        <f t="shared" si="1312"/>
        <v>1</v>
      </c>
      <c r="O3114" s="11" t="s">
        <v>1702</v>
      </c>
      <c r="P3114" s="16" t="str">
        <f t="shared" si="1313"/>
        <v>10-Jul-1899</v>
      </c>
      <c r="R3114" s="16" t="str">
        <f t="shared" si="1293"/>
        <v>x</v>
      </c>
      <c r="S3114" s="16" t="str">
        <f t="shared" si="1293"/>
        <v>x</v>
      </c>
      <c r="T3114" s="11"/>
      <c r="U3114" s="46" t="str">
        <f t="shared" si="1290"/>
        <v/>
      </c>
      <c r="V3114" s="46">
        <f t="shared" si="1290"/>
        <v>8</v>
      </c>
      <c r="W3114" s="46" t="str">
        <f t="shared" si="1290"/>
        <v/>
      </c>
      <c r="X3114" s="46" t="str">
        <f t="shared" si="1290"/>
        <v/>
      </c>
    </row>
    <row r="3115" spans="2:24" x14ac:dyDescent="0.25">
      <c r="B3115" s="11" t="str">
        <f t="shared" ref="B3115:B3122" si="1314">CONCATENATE("LNRM","-",LEFT(P3115,2),UPPER(MID(P3115,4,3)),RIGHT(P3115,4))</f>
        <v>LNRM-21AUG1899</v>
      </c>
      <c r="C3115" s="11" t="s">
        <v>122</v>
      </c>
      <c r="D3115" s="11" t="s">
        <v>1699</v>
      </c>
      <c r="E3115" s="39" t="s">
        <v>584</v>
      </c>
      <c r="F3115" s="11" t="s">
        <v>1700</v>
      </c>
      <c r="G3115" s="39" t="s">
        <v>573</v>
      </c>
      <c r="J3115" s="17">
        <v>1</v>
      </c>
      <c r="K3115" s="17"/>
      <c r="L3115" s="7">
        <f t="shared" ref="L3115:L3122" si="1315">SUM(H3115:K3115)</f>
        <v>1</v>
      </c>
      <c r="M3115" s="8">
        <v>1</v>
      </c>
      <c r="N3115" s="8">
        <f t="shared" ref="N3115:N3122" si="1316">IF(L3115&gt;0,1,"")</f>
        <v>1</v>
      </c>
      <c r="O3115" s="11" t="s">
        <v>1702</v>
      </c>
      <c r="P3115" s="16" t="str">
        <f t="shared" ref="P3115:P3122" si="1317">IF(LEN(G3115)=10,CONCATENATE("0",G3115),G3115)</f>
        <v>21-Aug-1899</v>
      </c>
      <c r="R3115" s="16" t="str">
        <f t="shared" si="1293"/>
        <v>x</v>
      </c>
      <c r="S3115" s="16" t="str">
        <f t="shared" si="1293"/>
        <v>x</v>
      </c>
      <c r="T3115" s="11"/>
      <c r="U3115" s="46" t="str">
        <f t="shared" si="1290"/>
        <v/>
      </c>
      <c r="V3115" s="46">
        <f t="shared" si="1290"/>
        <v>1</v>
      </c>
      <c r="W3115" s="46" t="str">
        <f t="shared" si="1290"/>
        <v/>
      </c>
      <c r="X3115" s="46" t="str">
        <f t="shared" si="1290"/>
        <v/>
      </c>
    </row>
    <row r="3116" spans="2:24" x14ac:dyDescent="0.25">
      <c r="B3116" s="11" t="str">
        <f t="shared" si="1314"/>
        <v>LNRM-02OCT1899</v>
      </c>
      <c r="C3116" s="11" t="s">
        <v>122</v>
      </c>
      <c r="D3116" s="11" t="s">
        <v>1699</v>
      </c>
      <c r="E3116" s="39" t="s">
        <v>585</v>
      </c>
      <c r="F3116" s="11" t="s">
        <v>1700</v>
      </c>
      <c r="G3116" s="39" t="s">
        <v>574</v>
      </c>
      <c r="J3116" s="17">
        <v>21</v>
      </c>
      <c r="K3116" s="17"/>
      <c r="L3116" s="7">
        <f t="shared" si="1315"/>
        <v>21</v>
      </c>
      <c r="M3116" s="8">
        <v>1</v>
      </c>
      <c r="N3116" s="8">
        <f t="shared" si="1316"/>
        <v>1</v>
      </c>
      <c r="O3116" s="11" t="s">
        <v>1702</v>
      </c>
      <c r="P3116" s="16" t="str">
        <f t="shared" si="1317"/>
        <v>02-Oct-1899</v>
      </c>
      <c r="R3116" s="16" t="str">
        <f t="shared" si="1293"/>
        <v>x</v>
      </c>
      <c r="S3116" s="16" t="str">
        <f t="shared" si="1293"/>
        <v>x</v>
      </c>
      <c r="T3116" s="11"/>
      <c r="U3116" s="46" t="str">
        <f t="shared" si="1290"/>
        <v/>
      </c>
      <c r="V3116" s="46">
        <f t="shared" si="1290"/>
        <v>21</v>
      </c>
      <c r="W3116" s="46" t="str">
        <f t="shared" si="1290"/>
        <v/>
      </c>
      <c r="X3116" s="46" t="str">
        <f t="shared" si="1290"/>
        <v/>
      </c>
    </row>
    <row r="3117" spans="2:24" x14ac:dyDescent="0.25">
      <c r="B3117" s="11" t="str">
        <f t="shared" si="1314"/>
        <v>LNRM-26NOV1899</v>
      </c>
      <c r="C3117" s="11" t="s">
        <v>122</v>
      </c>
      <c r="D3117" s="11" t="s">
        <v>1699</v>
      </c>
      <c r="E3117" s="39" t="s">
        <v>586</v>
      </c>
      <c r="F3117" s="11" t="s">
        <v>1700</v>
      </c>
      <c r="G3117" s="39" t="s">
        <v>575</v>
      </c>
      <c r="J3117" s="17">
        <v>11</v>
      </c>
      <c r="K3117" s="17"/>
      <c r="L3117" s="7">
        <f t="shared" si="1315"/>
        <v>11</v>
      </c>
      <c r="M3117" s="8">
        <v>1</v>
      </c>
      <c r="N3117" s="8">
        <f t="shared" si="1316"/>
        <v>1</v>
      </c>
      <c r="O3117" s="11" t="s">
        <v>1702</v>
      </c>
      <c r="P3117" s="16" t="str">
        <f t="shared" si="1317"/>
        <v>26-Nov-1899</v>
      </c>
      <c r="R3117" s="16" t="str">
        <f t="shared" si="1293"/>
        <v>x</v>
      </c>
      <c r="S3117" s="16" t="str">
        <f t="shared" si="1293"/>
        <v>x</v>
      </c>
      <c r="T3117" s="11"/>
      <c r="U3117" s="46" t="str">
        <f t="shared" si="1290"/>
        <v/>
      </c>
      <c r="V3117" s="46">
        <f t="shared" si="1290"/>
        <v>11</v>
      </c>
      <c r="W3117" s="46" t="str">
        <f t="shared" si="1290"/>
        <v/>
      </c>
      <c r="X3117" s="46" t="str">
        <f t="shared" si="1290"/>
        <v/>
      </c>
    </row>
    <row r="3118" spans="2:24" x14ac:dyDescent="0.25">
      <c r="B3118" s="11" t="str">
        <f t="shared" si="1314"/>
        <v>LNRM-01JAN1900</v>
      </c>
      <c r="C3118" s="11" t="s">
        <v>122</v>
      </c>
      <c r="D3118" s="11" t="s">
        <v>1699</v>
      </c>
      <c r="E3118" s="39" t="s">
        <v>588</v>
      </c>
      <c r="F3118" s="11" t="s">
        <v>1700</v>
      </c>
      <c r="G3118" s="39" t="s">
        <v>587</v>
      </c>
      <c r="J3118" s="17">
        <v>7</v>
      </c>
      <c r="K3118" s="17"/>
      <c r="L3118" s="7">
        <f t="shared" si="1315"/>
        <v>7</v>
      </c>
      <c r="M3118" s="8">
        <v>1</v>
      </c>
      <c r="N3118" s="8">
        <f t="shared" si="1316"/>
        <v>1</v>
      </c>
      <c r="O3118" s="11" t="s">
        <v>1702</v>
      </c>
      <c r="P3118" s="16" t="str">
        <f t="shared" si="1317"/>
        <v>01-Jan-1900</v>
      </c>
      <c r="R3118" s="16" t="str">
        <f t="shared" si="1293"/>
        <v>x</v>
      </c>
      <c r="S3118" s="16" t="str">
        <f t="shared" si="1293"/>
        <v>x</v>
      </c>
      <c r="T3118" s="11"/>
      <c r="U3118" s="46" t="str">
        <f t="shared" si="1290"/>
        <v/>
      </c>
      <c r="V3118" s="46">
        <f t="shared" si="1290"/>
        <v>7</v>
      </c>
      <c r="W3118" s="46" t="str">
        <f t="shared" si="1290"/>
        <v/>
      </c>
      <c r="X3118" s="46" t="str">
        <f t="shared" si="1290"/>
        <v/>
      </c>
    </row>
    <row r="3119" spans="2:24" x14ac:dyDescent="0.25">
      <c r="B3119" s="11" t="str">
        <f t="shared" si="1314"/>
        <v>LNRM-29JAN1900</v>
      </c>
      <c r="C3119" s="11" t="s">
        <v>122</v>
      </c>
      <c r="D3119" s="11" t="s">
        <v>1699</v>
      </c>
      <c r="E3119" s="39" t="s">
        <v>589</v>
      </c>
      <c r="F3119" s="11" t="s">
        <v>1700</v>
      </c>
      <c r="G3119" s="39" t="s">
        <v>590</v>
      </c>
      <c r="J3119" s="17">
        <v>7</v>
      </c>
      <c r="K3119" s="17"/>
      <c r="L3119" s="7">
        <f t="shared" si="1315"/>
        <v>7</v>
      </c>
      <c r="M3119" s="8">
        <v>1</v>
      </c>
      <c r="N3119" s="8">
        <f t="shared" si="1316"/>
        <v>1</v>
      </c>
      <c r="O3119" s="11" t="s">
        <v>1702</v>
      </c>
      <c r="P3119" s="16" t="str">
        <f t="shared" si="1317"/>
        <v>29-Jan-1900</v>
      </c>
      <c r="R3119" s="16" t="str">
        <f t="shared" si="1293"/>
        <v>x</v>
      </c>
      <c r="S3119" s="16" t="str">
        <f t="shared" si="1293"/>
        <v>x</v>
      </c>
      <c r="T3119" s="11"/>
      <c r="U3119" s="46" t="str">
        <f t="shared" si="1290"/>
        <v/>
      </c>
      <c r="V3119" s="46">
        <f t="shared" si="1290"/>
        <v>7</v>
      </c>
      <c r="W3119" s="46" t="str">
        <f t="shared" si="1290"/>
        <v/>
      </c>
      <c r="X3119" s="46" t="str">
        <f>IF($O3119=X$5,$L3119,"")</f>
        <v/>
      </c>
    </row>
    <row r="3120" spans="2:24" x14ac:dyDescent="0.25">
      <c r="B3120" s="11" t="str">
        <f t="shared" si="1314"/>
        <v>LNRM-27FEB1900</v>
      </c>
      <c r="C3120" s="11" t="s">
        <v>122</v>
      </c>
      <c r="D3120" s="11" t="s">
        <v>1699</v>
      </c>
      <c r="E3120" s="39" t="s">
        <v>591</v>
      </c>
      <c r="F3120" s="11" t="s">
        <v>1700</v>
      </c>
      <c r="G3120" s="39" t="s">
        <v>576</v>
      </c>
      <c r="J3120" s="17">
        <v>0</v>
      </c>
      <c r="K3120" s="17"/>
      <c r="L3120" s="7">
        <f t="shared" si="1315"/>
        <v>0</v>
      </c>
      <c r="M3120" s="8">
        <v>1</v>
      </c>
      <c r="N3120" s="8" t="str">
        <f t="shared" si="1316"/>
        <v/>
      </c>
      <c r="O3120" s="11" t="s">
        <v>1702</v>
      </c>
      <c r="P3120" s="16" t="str">
        <f t="shared" si="1317"/>
        <v>27-Feb-1900</v>
      </c>
      <c r="R3120" s="16" t="str">
        <f t="shared" si="1293"/>
        <v/>
      </c>
      <c r="S3120" s="16" t="str">
        <f t="shared" si="1293"/>
        <v/>
      </c>
      <c r="T3120" s="11"/>
      <c r="U3120" s="46" t="str">
        <f t="shared" ref="U3120:X3183" si="1318">IF($O3120=U$5,$L3120,"")</f>
        <v/>
      </c>
      <c r="V3120" s="46">
        <f t="shared" si="1318"/>
        <v>0</v>
      </c>
      <c r="W3120" s="46" t="str">
        <f t="shared" si="1318"/>
        <v/>
      </c>
      <c r="X3120" s="46" t="str">
        <f t="shared" si="1318"/>
        <v/>
      </c>
    </row>
    <row r="3121" spans="2:26" x14ac:dyDescent="0.25">
      <c r="B3121" s="11" t="str">
        <f t="shared" si="1314"/>
        <v>LNRM-25DEC1900</v>
      </c>
      <c r="C3121" s="11" t="s">
        <v>122</v>
      </c>
      <c r="D3121" s="11" t="s">
        <v>1699</v>
      </c>
      <c r="E3121" s="39" t="s">
        <v>592</v>
      </c>
      <c r="F3121" s="11" t="s">
        <v>1700</v>
      </c>
      <c r="G3121" s="39" t="s">
        <v>577</v>
      </c>
      <c r="J3121" s="17">
        <v>27</v>
      </c>
      <c r="K3121" s="17"/>
      <c r="L3121" s="7">
        <f t="shared" si="1315"/>
        <v>27</v>
      </c>
      <c r="M3121" s="8">
        <v>1</v>
      </c>
      <c r="N3121" s="8">
        <f t="shared" si="1316"/>
        <v>1</v>
      </c>
      <c r="O3121" s="11" t="s">
        <v>1702</v>
      </c>
      <c r="P3121" s="16" t="str">
        <f t="shared" si="1317"/>
        <v>25-Dec-1900</v>
      </c>
      <c r="R3121" s="16" t="str">
        <f t="shared" si="1293"/>
        <v>x</v>
      </c>
      <c r="S3121" s="16" t="str">
        <f t="shared" si="1293"/>
        <v>x</v>
      </c>
      <c r="U3121" s="46" t="str">
        <f t="shared" si="1318"/>
        <v/>
      </c>
      <c r="V3121" s="46">
        <f t="shared" si="1318"/>
        <v>27</v>
      </c>
      <c r="W3121" s="46" t="str">
        <f t="shared" si="1318"/>
        <v/>
      </c>
      <c r="X3121" s="46" t="str">
        <f t="shared" si="1318"/>
        <v/>
      </c>
    </row>
    <row r="3122" spans="2:26" x14ac:dyDescent="0.25">
      <c r="B3122" s="11" t="str">
        <f t="shared" si="1314"/>
        <v>LNRM-08JUL1901</v>
      </c>
      <c r="C3122" s="11" t="s">
        <v>122</v>
      </c>
      <c r="D3122" s="11" t="s">
        <v>1699</v>
      </c>
      <c r="E3122" s="39" t="s">
        <v>594</v>
      </c>
      <c r="F3122" s="11" t="s">
        <v>1700</v>
      </c>
      <c r="G3122" s="39" t="s">
        <v>593</v>
      </c>
      <c r="J3122" s="17">
        <v>19</v>
      </c>
      <c r="K3122" s="17"/>
      <c r="L3122" s="7">
        <f t="shared" si="1315"/>
        <v>19</v>
      </c>
      <c r="M3122" s="8">
        <v>1</v>
      </c>
      <c r="N3122" s="8">
        <f t="shared" si="1316"/>
        <v>1</v>
      </c>
      <c r="O3122" s="11" t="s">
        <v>1702</v>
      </c>
      <c r="P3122" s="16" t="str">
        <f t="shared" si="1317"/>
        <v>08-Jul-1901</v>
      </c>
      <c r="R3122" s="16" t="str">
        <f t="shared" si="1293"/>
        <v>x</v>
      </c>
      <c r="S3122" s="16" t="str">
        <f t="shared" si="1293"/>
        <v>x</v>
      </c>
      <c r="U3122" s="46" t="str">
        <f t="shared" si="1318"/>
        <v/>
      </c>
      <c r="V3122" s="46">
        <f t="shared" si="1318"/>
        <v>19</v>
      </c>
      <c r="W3122" s="46" t="str">
        <f t="shared" si="1318"/>
        <v/>
      </c>
      <c r="X3122" s="46" t="str">
        <f t="shared" si="1318"/>
        <v/>
      </c>
    </row>
    <row r="3123" spans="2:26" x14ac:dyDescent="0.25">
      <c r="B3123" s="11" t="str">
        <f t="shared" si="1310"/>
        <v>LNRM-05AUG1901</v>
      </c>
      <c r="C3123" s="11" t="s">
        <v>122</v>
      </c>
      <c r="D3123" s="11" t="s">
        <v>1699</v>
      </c>
      <c r="E3123" s="39" t="s">
        <v>595</v>
      </c>
      <c r="F3123" s="11" t="s">
        <v>1700</v>
      </c>
      <c r="G3123" s="39" t="s">
        <v>578</v>
      </c>
      <c r="J3123" s="17">
        <v>10</v>
      </c>
      <c r="K3123" s="17"/>
      <c r="L3123" s="7">
        <f t="shared" si="1311"/>
        <v>10</v>
      </c>
      <c r="M3123" s="8">
        <v>1</v>
      </c>
      <c r="N3123" s="8">
        <f t="shared" si="1312"/>
        <v>1</v>
      </c>
      <c r="O3123" s="11" t="s">
        <v>1702</v>
      </c>
      <c r="P3123" s="16" t="str">
        <f t="shared" si="1313"/>
        <v>05-Aug-1901</v>
      </c>
      <c r="R3123" s="16" t="str">
        <f t="shared" si="1293"/>
        <v>x</v>
      </c>
      <c r="S3123" s="16" t="str">
        <f t="shared" si="1293"/>
        <v>x</v>
      </c>
      <c r="U3123" s="46" t="str">
        <f t="shared" si="1318"/>
        <v/>
      </c>
      <c r="V3123" s="46">
        <f t="shared" si="1318"/>
        <v>10</v>
      </c>
      <c r="W3123" s="46" t="str">
        <f t="shared" si="1318"/>
        <v/>
      </c>
      <c r="X3123" s="46" t="str">
        <f t="shared" si="1318"/>
        <v/>
      </c>
    </row>
    <row r="3124" spans="2:26" x14ac:dyDescent="0.25">
      <c r="J3124" s="17"/>
      <c r="K3124" s="17"/>
      <c r="U3124" s="46" t="str">
        <f t="shared" si="1318"/>
        <v/>
      </c>
      <c r="V3124" s="46" t="str">
        <f t="shared" si="1318"/>
        <v/>
      </c>
      <c r="W3124" s="46" t="str">
        <f t="shared" si="1318"/>
        <v/>
      </c>
      <c r="X3124" s="46" t="str">
        <f t="shared" si="1318"/>
        <v/>
      </c>
    </row>
    <row r="3125" spans="2:26" s="18" customFormat="1" x14ac:dyDescent="0.25">
      <c r="E3125" s="40"/>
      <c r="G3125" s="40"/>
      <c r="H3125" s="7">
        <f t="shared" ref="H3125:N3125" si="1319">SUM(H3066:H3124)</f>
        <v>1</v>
      </c>
      <c r="I3125" s="7">
        <f t="shared" si="1319"/>
        <v>2</v>
      </c>
      <c r="J3125" s="7">
        <f>SUM(J3066:J3124)</f>
        <v>355</v>
      </c>
      <c r="K3125" s="7">
        <f t="shared" si="1319"/>
        <v>0</v>
      </c>
      <c r="L3125" s="7">
        <f t="shared" si="1319"/>
        <v>358</v>
      </c>
      <c r="M3125" s="7">
        <f t="shared" si="1319"/>
        <v>58</v>
      </c>
      <c r="N3125" s="7">
        <f t="shared" si="1319"/>
        <v>37</v>
      </c>
      <c r="P3125" s="13"/>
      <c r="Q3125" s="13"/>
      <c r="R3125" s="16"/>
      <c r="S3125" s="13"/>
      <c r="T3125" s="15"/>
      <c r="U3125" s="46" t="str">
        <f t="shared" si="1318"/>
        <v/>
      </c>
      <c r="V3125" s="46" t="str">
        <f t="shared" si="1318"/>
        <v/>
      </c>
      <c r="W3125" s="46" t="str">
        <f t="shared" si="1318"/>
        <v/>
      </c>
      <c r="X3125" s="46" t="str">
        <f t="shared" si="1318"/>
        <v/>
      </c>
      <c r="Z3125" s="11"/>
    </row>
    <row r="3126" spans="2:26" s="18" customFormat="1" x14ac:dyDescent="0.25">
      <c r="E3126" s="40"/>
      <c r="G3126" s="40"/>
      <c r="H3126" s="7"/>
      <c r="I3126" s="7"/>
      <c r="J3126" s="7"/>
      <c r="K3126" s="7"/>
      <c r="L3126" s="7"/>
      <c r="M3126" s="8"/>
      <c r="N3126" s="8" t="str">
        <f>IF(R3126="x",1,"")</f>
        <v/>
      </c>
      <c r="P3126" s="13"/>
      <c r="Q3126" s="13"/>
      <c r="R3126" s="13"/>
      <c r="S3126" s="13"/>
      <c r="T3126" s="15"/>
      <c r="U3126" s="46" t="str">
        <f t="shared" si="1318"/>
        <v/>
      </c>
      <c r="V3126" s="46" t="str">
        <f t="shared" si="1318"/>
        <v/>
      </c>
      <c r="W3126" s="46" t="str">
        <f t="shared" si="1318"/>
        <v/>
      </c>
      <c r="X3126" s="46" t="str">
        <f t="shared" si="1318"/>
        <v/>
      </c>
      <c r="Z3126" s="11"/>
    </row>
    <row r="3127" spans="2:26" s="18" customFormat="1" x14ac:dyDescent="0.25">
      <c r="E3127" s="40"/>
      <c r="G3127" s="40"/>
      <c r="H3127" s="7"/>
      <c r="I3127" s="7"/>
      <c r="J3127" s="7"/>
      <c r="K3127" s="7"/>
      <c r="L3127" s="7"/>
      <c r="M3127" s="8"/>
      <c r="N3127" s="8" t="str">
        <f>IF(R3127="x",1,"")</f>
        <v/>
      </c>
      <c r="P3127" s="13"/>
      <c r="Q3127" s="13"/>
      <c r="R3127" s="13"/>
      <c r="S3127" s="13"/>
      <c r="T3127" s="15"/>
      <c r="U3127" s="46" t="str">
        <f t="shared" si="1318"/>
        <v/>
      </c>
      <c r="V3127" s="46" t="str">
        <f t="shared" si="1318"/>
        <v/>
      </c>
      <c r="W3127" s="46" t="str">
        <f t="shared" si="1318"/>
        <v/>
      </c>
      <c r="X3127" s="46" t="str">
        <f t="shared" si="1318"/>
        <v/>
      </c>
      <c r="Z3127" s="11"/>
    </row>
    <row r="3128" spans="2:26" x14ac:dyDescent="0.25">
      <c r="B3128" s="11" t="str">
        <f t="shared" ref="B3128:B3135" si="1320">CONCATENATE("LPRV","-",LEFT(P3128,2),UPPER(MID(P3128,4,3)),RIGHT(P3128,4))</f>
        <v>LPRV-27APR1906</v>
      </c>
      <c r="C3128" s="11" t="s">
        <v>2053</v>
      </c>
      <c r="D3128" s="11" t="s">
        <v>1699</v>
      </c>
      <c r="E3128" s="39" t="s">
        <v>2082</v>
      </c>
      <c r="F3128" s="11" t="s">
        <v>1700</v>
      </c>
      <c r="G3128" s="39" t="s">
        <v>2083</v>
      </c>
      <c r="H3128" s="7">
        <v>0</v>
      </c>
      <c r="I3128" s="7">
        <v>0</v>
      </c>
      <c r="J3128" s="17">
        <v>0</v>
      </c>
      <c r="K3128" s="17"/>
      <c r="L3128" s="7">
        <f t="shared" ref="L3128:L3135" si="1321">SUM(H3128:K3128)</f>
        <v>0</v>
      </c>
      <c r="M3128" s="8">
        <v>1</v>
      </c>
      <c r="N3128" s="8" t="str">
        <f t="shared" ref="N3128:N3136" si="1322">IF(L3128&gt;0,1,"")</f>
        <v/>
      </c>
      <c r="O3128" s="11" t="s">
        <v>1702</v>
      </c>
      <c r="P3128" s="16" t="str">
        <f t="shared" ref="P3128:P3135" si="1323">IF(LEN(G3128)=10,CONCATENATE("0",G3128),G3128)</f>
        <v>27-Apr-1906</v>
      </c>
      <c r="R3128" s="16" t="str">
        <f t="shared" ref="R3128:S3143" si="1324">IF($L3128&gt;0,"x","")</f>
        <v/>
      </c>
      <c r="S3128" s="16" t="str">
        <f t="shared" si="1324"/>
        <v/>
      </c>
      <c r="U3128" s="46" t="str">
        <f t="shared" si="1318"/>
        <v/>
      </c>
      <c r="V3128" s="46">
        <f t="shared" si="1318"/>
        <v>0</v>
      </c>
      <c r="W3128" s="46" t="str">
        <f t="shared" si="1318"/>
        <v/>
      </c>
      <c r="X3128" s="46" t="str">
        <f t="shared" si="1318"/>
        <v/>
      </c>
      <c r="Z3128" s="11" t="s">
        <v>1316</v>
      </c>
    </row>
    <row r="3129" spans="2:26" x14ac:dyDescent="0.25">
      <c r="B3129" s="11" t="str">
        <f t="shared" si="1320"/>
        <v>LPRV-25MAY1906</v>
      </c>
      <c r="C3129" s="11" t="s">
        <v>2053</v>
      </c>
      <c r="D3129" s="11" t="s">
        <v>1699</v>
      </c>
      <c r="E3129" s="39" t="s">
        <v>2084</v>
      </c>
      <c r="F3129" s="11" t="s">
        <v>1700</v>
      </c>
      <c r="G3129" s="39" t="s">
        <v>2085</v>
      </c>
      <c r="H3129" s="7">
        <v>0</v>
      </c>
      <c r="I3129" s="7">
        <v>1</v>
      </c>
      <c r="J3129" s="17">
        <v>56</v>
      </c>
      <c r="K3129" s="17"/>
      <c r="L3129" s="7">
        <f t="shared" si="1321"/>
        <v>57</v>
      </c>
      <c r="M3129" s="8">
        <v>1</v>
      </c>
      <c r="N3129" s="8">
        <f t="shared" si="1322"/>
        <v>1</v>
      </c>
      <c r="O3129" s="11" t="s">
        <v>1702</v>
      </c>
      <c r="P3129" s="16" t="str">
        <f t="shared" si="1323"/>
        <v>25-May-1906</v>
      </c>
      <c r="R3129" s="16" t="str">
        <f t="shared" si="1324"/>
        <v>x</v>
      </c>
      <c r="S3129" s="16" t="str">
        <f t="shared" si="1324"/>
        <v>x</v>
      </c>
      <c r="U3129" s="46" t="str">
        <f t="shared" si="1318"/>
        <v/>
      </c>
      <c r="V3129" s="46">
        <f t="shared" si="1318"/>
        <v>57</v>
      </c>
      <c r="W3129" s="46" t="str">
        <f t="shared" si="1318"/>
        <v/>
      </c>
      <c r="X3129" s="46" t="str">
        <f t="shared" si="1318"/>
        <v/>
      </c>
    </row>
    <row r="3130" spans="2:26" x14ac:dyDescent="0.25">
      <c r="B3130" s="11" t="str">
        <f t="shared" si="1320"/>
        <v>LPRV-22JUN1906</v>
      </c>
      <c r="C3130" s="11" t="s">
        <v>2053</v>
      </c>
      <c r="D3130" s="11" t="s">
        <v>1699</v>
      </c>
      <c r="E3130" s="39" t="s">
        <v>2086</v>
      </c>
      <c r="F3130" s="11" t="s">
        <v>1700</v>
      </c>
      <c r="G3130" s="39" t="s">
        <v>2087</v>
      </c>
      <c r="H3130" s="7">
        <v>0</v>
      </c>
      <c r="I3130" s="7">
        <v>1</v>
      </c>
      <c r="J3130" s="17">
        <v>14</v>
      </c>
      <c r="K3130" s="17"/>
      <c r="L3130" s="7">
        <f t="shared" si="1321"/>
        <v>15</v>
      </c>
      <c r="M3130" s="8">
        <v>1</v>
      </c>
      <c r="N3130" s="8">
        <f t="shared" si="1322"/>
        <v>1</v>
      </c>
      <c r="O3130" s="11" t="s">
        <v>1702</v>
      </c>
      <c r="P3130" s="16" t="str">
        <f t="shared" si="1323"/>
        <v>22-Jun-1906</v>
      </c>
      <c r="R3130" s="16" t="str">
        <f t="shared" si="1324"/>
        <v>x</v>
      </c>
      <c r="S3130" s="16" t="str">
        <f t="shared" si="1324"/>
        <v>x</v>
      </c>
      <c r="U3130" s="46" t="str">
        <f t="shared" si="1318"/>
        <v/>
      </c>
      <c r="V3130" s="46">
        <f t="shared" si="1318"/>
        <v>15</v>
      </c>
      <c r="W3130" s="46" t="str">
        <f t="shared" si="1318"/>
        <v/>
      </c>
      <c r="X3130" s="46" t="str">
        <f t="shared" si="1318"/>
        <v/>
      </c>
    </row>
    <row r="3131" spans="2:26" x14ac:dyDescent="0.25">
      <c r="B3131" s="11" t="str">
        <f t="shared" si="1320"/>
        <v>LPRV-21JUL1906</v>
      </c>
      <c r="C3131" s="11" t="s">
        <v>2053</v>
      </c>
      <c r="D3131" s="11" t="s">
        <v>1699</v>
      </c>
      <c r="E3131" s="39" t="s">
        <v>2088</v>
      </c>
      <c r="F3131" s="11" t="s">
        <v>1700</v>
      </c>
      <c r="G3131" s="39" t="s">
        <v>2089</v>
      </c>
      <c r="H3131" s="7">
        <v>1</v>
      </c>
      <c r="I3131" s="7">
        <v>0</v>
      </c>
      <c r="J3131" s="17">
        <v>8</v>
      </c>
      <c r="K3131" s="17"/>
      <c r="L3131" s="7">
        <f t="shared" si="1321"/>
        <v>9</v>
      </c>
      <c r="M3131" s="8">
        <v>1</v>
      </c>
      <c r="N3131" s="8">
        <f t="shared" si="1322"/>
        <v>1</v>
      </c>
      <c r="O3131" s="11" t="s">
        <v>1702</v>
      </c>
      <c r="P3131" s="16" t="str">
        <f t="shared" si="1323"/>
        <v>21-Jul-1906</v>
      </c>
      <c r="R3131" s="16" t="str">
        <f t="shared" si="1324"/>
        <v>x</v>
      </c>
      <c r="S3131" s="16" t="str">
        <f t="shared" si="1324"/>
        <v>x</v>
      </c>
      <c r="U3131" s="46" t="str">
        <f t="shared" si="1318"/>
        <v/>
      </c>
      <c r="V3131" s="46">
        <f t="shared" si="1318"/>
        <v>9</v>
      </c>
      <c r="W3131" s="46" t="str">
        <f t="shared" si="1318"/>
        <v/>
      </c>
      <c r="X3131" s="46" t="str">
        <f t="shared" si="1318"/>
        <v/>
      </c>
    </row>
    <row r="3132" spans="2:26" x14ac:dyDescent="0.25">
      <c r="B3132" s="11" t="str">
        <f t="shared" si="1320"/>
        <v>LPRV-01SEP1906</v>
      </c>
      <c r="C3132" s="11" t="s">
        <v>2053</v>
      </c>
      <c r="D3132" s="11" t="s">
        <v>1699</v>
      </c>
      <c r="E3132" s="39" t="s">
        <v>2090</v>
      </c>
      <c r="F3132" s="11" t="s">
        <v>1700</v>
      </c>
      <c r="G3132" s="39" t="s">
        <v>2091</v>
      </c>
      <c r="H3132" s="7">
        <v>0</v>
      </c>
      <c r="I3132" s="7">
        <v>0</v>
      </c>
      <c r="J3132" s="17">
        <v>0</v>
      </c>
      <c r="K3132" s="17"/>
      <c r="L3132" s="7">
        <f t="shared" si="1321"/>
        <v>0</v>
      </c>
      <c r="M3132" s="8">
        <v>1</v>
      </c>
      <c r="N3132" s="8" t="str">
        <f t="shared" si="1322"/>
        <v/>
      </c>
      <c r="O3132" s="11" t="s">
        <v>1702</v>
      </c>
      <c r="P3132" s="16" t="str">
        <f t="shared" si="1323"/>
        <v>01-Sep-1906</v>
      </c>
      <c r="R3132" s="16" t="str">
        <f t="shared" si="1324"/>
        <v/>
      </c>
      <c r="S3132" s="16" t="str">
        <f t="shared" si="1324"/>
        <v/>
      </c>
      <c r="U3132" s="46" t="str">
        <f t="shared" si="1318"/>
        <v/>
      </c>
      <c r="V3132" s="46">
        <f t="shared" si="1318"/>
        <v>0</v>
      </c>
      <c r="W3132" s="46" t="str">
        <f t="shared" si="1318"/>
        <v/>
      </c>
      <c r="X3132" s="46" t="str">
        <f t="shared" si="1318"/>
        <v/>
      </c>
    </row>
    <row r="3133" spans="2:26" x14ac:dyDescent="0.25">
      <c r="B3133" s="11" t="str">
        <f t="shared" si="1320"/>
        <v>LPRV-29SEP1906</v>
      </c>
      <c r="C3133" s="11" t="s">
        <v>2053</v>
      </c>
      <c r="D3133" s="11" t="s">
        <v>1699</v>
      </c>
      <c r="E3133" s="39" t="s">
        <v>2092</v>
      </c>
      <c r="F3133" s="11" t="s">
        <v>1700</v>
      </c>
      <c r="G3133" s="39" t="s">
        <v>2093</v>
      </c>
      <c r="H3133" s="7">
        <v>0</v>
      </c>
      <c r="I3133" s="7">
        <v>0</v>
      </c>
      <c r="J3133" s="17">
        <v>16</v>
      </c>
      <c r="K3133" s="17"/>
      <c r="L3133" s="7">
        <f t="shared" si="1321"/>
        <v>16</v>
      </c>
      <c r="M3133" s="8">
        <v>1</v>
      </c>
      <c r="N3133" s="8">
        <f t="shared" si="1322"/>
        <v>1</v>
      </c>
      <c r="O3133" s="11" t="s">
        <v>1702</v>
      </c>
      <c r="P3133" s="16" t="str">
        <f t="shared" si="1323"/>
        <v>29-Sep-1906</v>
      </c>
      <c r="R3133" s="16" t="str">
        <f t="shared" si="1324"/>
        <v>x</v>
      </c>
      <c r="S3133" s="16" t="str">
        <f t="shared" si="1324"/>
        <v>x</v>
      </c>
      <c r="U3133" s="46" t="str">
        <f t="shared" si="1318"/>
        <v/>
      </c>
      <c r="V3133" s="46">
        <f t="shared" si="1318"/>
        <v>16</v>
      </c>
      <c r="W3133" s="46" t="str">
        <f t="shared" si="1318"/>
        <v/>
      </c>
      <c r="X3133" s="46" t="str">
        <f t="shared" si="1318"/>
        <v/>
      </c>
    </row>
    <row r="3134" spans="2:26" x14ac:dyDescent="0.25">
      <c r="B3134" s="11" t="str">
        <f t="shared" si="1320"/>
        <v>LPRV-27OCT1906</v>
      </c>
      <c r="C3134" s="11" t="s">
        <v>2053</v>
      </c>
      <c r="D3134" s="11" t="s">
        <v>1699</v>
      </c>
      <c r="E3134" s="39" t="s">
        <v>2094</v>
      </c>
      <c r="F3134" s="11" t="s">
        <v>1700</v>
      </c>
      <c r="G3134" s="39" t="s">
        <v>2095</v>
      </c>
      <c r="H3134" s="7">
        <v>0</v>
      </c>
      <c r="I3134" s="7">
        <v>0</v>
      </c>
      <c r="J3134" s="17">
        <v>4</v>
      </c>
      <c r="K3134" s="17"/>
      <c r="L3134" s="7">
        <f t="shared" si="1321"/>
        <v>4</v>
      </c>
      <c r="M3134" s="8">
        <v>1</v>
      </c>
      <c r="N3134" s="8">
        <f t="shared" si="1322"/>
        <v>1</v>
      </c>
      <c r="O3134" s="11" t="s">
        <v>1702</v>
      </c>
      <c r="P3134" s="16" t="str">
        <f t="shared" si="1323"/>
        <v>27-Oct-1906</v>
      </c>
      <c r="R3134" s="16" t="str">
        <f t="shared" si="1324"/>
        <v>x</v>
      </c>
      <c r="S3134" s="16" t="str">
        <f t="shared" si="1324"/>
        <v>x</v>
      </c>
      <c r="U3134" s="46" t="str">
        <f t="shared" si="1318"/>
        <v/>
      </c>
      <c r="V3134" s="46">
        <f t="shared" si="1318"/>
        <v>4</v>
      </c>
      <c r="W3134" s="46" t="str">
        <f t="shared" si="1318"/>
        <v/>
      </c>
      <c r="X3134" s="46" t="str">
        <f t="shared" si="1318"/>
        <v/>
      </c>
    </row>
    <row r="3135" spans="2:26" x14ac:dyDescent="0.25">
      <c r="B3135" s="11" t="str">
        <f t="shared" si="1320"/>
        <v>LPRV-24NOV1906</v>
      </c>
      <c r="C3135" s="11" t="s">
        <v>2053</v>
      </c>
      <c r="D3135" s="11" t="s">
        <v>1699</v>
      </c>
      <c r="E3135" s="39" t="s">
        <v>2051</v>
      </c>
      <c r="F3135" s="11" t="s">
        <v>1700</v>
      </c>
      <c r="G3135" s="39" t="s">
        <v>2052</v>
      </c>
      <c r="H3135" s="7">
        <v>0</v>
      </c>
      <c r="I3135" s="7">
        <v>0</v>
      </c>
      <c r="J3135" s="17">
        <v>25</v>
      </c>
      <c r="K3135" s="17"/>
      <c r="L3135" s="7">
        <f t="shared" si="1321"/>
        <v>25</v>
      </c>
      <c r="M3135" s="8">
        <v>1</v>
      </c>
      <c r="N3135" s="8">
        <f t="shared" si="1322"/>
        <v>1</v>
      </c>
      <c r="O3135" s="11" t="s">
        <v>1702</v>
      </c>
      <c r="P3135" s="16" t="str">
        <f t="shared" si="1323"/>
        <v>24-Nov-1906</v>
      </c>
      <c r="R3135" s="16" t="str">
        <f t="shared" si="1324"/>
        <v>x</v>
      </c>
      <c r="S3135" s="16" t="str">
        <f t="shared" si="1324"/>
        <v>x</v>
      </c>
      <c r="U3135" s="46" t="str">
        <f t="shared" si="1318"/>
        <v/>
      </c>
      <c r="V3135" s="46">
        <f t="shared" si="1318"/>
        <v>25</v>
      </c>
      <c r="W3135" s="46" t="str">
        <f t="shared" si="1318"/>
        <v/>
      </c>
      <c r="X3135" s="46" t="str">
        <f t="shared" si="1318"/>
        <v/>
      </c>
    </row>
    <row r="3136" spans="2:26" x14ac:dyDescent="0.25">
      <c r="B3136" s="11" t="str">
        <f>CONCATENATE("LPRV","-",LEFT(P3136,2),UPPER(MID(P3136,4,3)),RIGHT(P3136,4))</f>
        <v>LPRV-22DEC1906</v>
      </c>
      <c r="C3136" s="11" t="s">
        <v>2053</v>
      </c>
      <c r="D3136" s="11" t="s">
        <v>1699</v>
      </c>
      <c r="E3136" s="39" t="s">
        <v>1195</v>
      </c>
      <c r="F3136" s="11" t="s">
        <v>1700</v>
      </c>
      <c r="G3136" s="39" t="s">
        <v>212</v>
      </c>
      <c r="H3136" s="7">
        <v>2</v>
      </c>
      <c r="I3136" s="7">
        <v>0</v>
      </c>
      <c r="J3136" s="17">
        <v>8</v>
      </c>
      <c r="K3136" s="17"/>
      <c r="L3136" s="7">
        <f>SUM(H3136:K3136)</f>
        <v>10</v>
      </c>
      <c r="M3136" s="8">
        <v>1</v>
      </c>
      <c r="N3136" s="8">
        <f t="shared" si="1322"/>
        <v>1</v>
      </c>
      <c r="O3136" s="11" t="s">
        <v>1702</v>
      </c>
      <c r="P3136" s="16" t="str">
        <f>IF(LEN(G3136)=10,CONCATENATE("0",G3136),G3136)</f>
        <v>22-Dec-1906</v>
      </c>
      <c r="R3136" s="16" t="str">
        <f t="shared" si="1324"/>
        <v>x</v>
      </c>
      <c r="S3136" s="16" t="str">
        <f t="shared" si="1324"/>
        <v>x</v>
      </c>
      <c r="U3136" s="46" t="str">
        <f t="shared" si="1318"/>
        <v/>
      </c>
      <c r="V3136" s="46">
        <f t="shared" si="1318"/>
        <v>10</v>
      </c>
      <c r="W3136" s="46" t="str">
        <f t="shared" si="1318"/>
        <v/>
      </c>
      <c r="X3136" s="46" t="str">
        <f t="shared" si="1318"/>
        <v/>
      </c>
    </row>
    <row r="3137" spans="2:24" x14ac:dyDescent="0.25">
      <c r="B3137" s="11" t="str">
        <f t="shared" ref="B3137:B3148" si="1325">CONCATENATE("LPRV","-",LEFT(P3137,2),UPPER(MID(P3137,4,3)),RIGHT(P3137,4))</f>
        <v>LPRV-23FEB1907</v>
      </c>
      <c r="C3137" s="11" t="s">
        <v>2053</v>
      </c>
      <c r="D3137" s="11" t="s">
        <v>1699</v>
      </c>
      <c r="E3137" s="39" t="s">
        <v>1199</v>
      </c>
      <c r="F3137" s="11" t="s">
        <v>1700</v>
      </c>
      <c r="G3137" s="39" t="s">
        <v>825</v>
      </c>
      <c r="H3137" s="7">
        <v>0</v>
      </c>
      <c r="I3137" s="7">
        <v>0</v>
      </c>
      <c r="J3137" s="17">
        <v>16</v>
      </c>
      <c r="K3137" s="17"/>
      <c r="L3137" s="7">
        <f t="shared" ref="L3137:L3148" si="1326">SUM(H3137:K3137)</f>
        <v>16</v>
      </c>
      <c r="M3137" s="8">
        <v>1</v>
      </c>
      <c r="N3137" s="8">
        <f t="shared" ref="N3137:N3148" si="1327">IF(L3137&gt;0,1,"")</f>
        <v>1</v>
      </c>
      <c r="O3137" s="11" t="s">
        <v>1702</v>
      </c>
      <c r="P3137" s="16" t="str">
        <f t="shared" ref="P3137:P3148" si="1328">IF(LEN(G3137)=10,CONCATENATE("0",G3137),G3137)</f>
        <v>23-Feb-1907</v>
      </c>
      <c r="R3137" s="16" t="str">
        <f t="shared" si="1324"/>
        <v>x</v>
      </c>
      <c r="S3137" s="16" t="str">
        <f t="shared" si="1324"/>
        <v>x</v>
      </c>
      <c r="T3137" s="11"/>
      <c r="U3137" s="46" t="str">
        <f t="shared" si="1318"/>
        <v/>
      </c>
      <c r="V3137" s="46">
        <f t="shared" si="1318"/>
        <v>16</v>
      </c>
      <c r="W3137" s="46" t="str">
        <f t="shared" si="1318"/>
        <v/>
      </c>
      <c r="X3137" s="46" t="str">
        <f t="shared" si="1318"/>
        <v/>
      </c>
    </row>
    <row r="3138" spans="2:24" x14ac:dyDescent="0.25">
      <c r="B3138" s="11" t="str">
        <f t="shared" si="1325"/>
        <v>LPRV-23MAR1907</v>
      </c>
      <c r="C3138" s="11" t="s">
        <v>2053</v>
      </c>
      <c r="D3138" s="11" t="s">
        <v>1699</v>
      </c>
      <c r="E3138" s="39" t="s">
        <v>1200</v>
      </c>
      <c r="F3138" s="11" t="s">
        <v>1700</v>
      </c>
      <c r="G3138" s="39" t="s">
        <v>827</v>
      </c>
      <c r="H3138" s="7">
        <v>2</v>
      </c>
      <c r="I3138" s="7">
        <v>0</v>
      </c>
      <c r="J3138" s="17">
        <v>3</v>
      </c>
      <c r="K3138" s="17"/>
      <c r="L3138" s="7">
        <f t="shared" si="1326"/>
        <v>5</v>
      </c>
      <c r="M3138" s="8">
        <v>1</v>
      </c>
      <c r="N3138" s="8">
        <f t="shared" si="1327"/>
        <v>1</v>
      </c>
      <c r="O3138" s="11" t="s">
        <v>1702</v>
      </c>
      <c r="P3138" s="16" t="str">
        <f t="shared" si="1328"/>
        <v>23-Mar-1907</v>
      </c>
      <c r="R3138" s="16" t="str">
        <f t="shared" si="1324"/>
        <v>x</v>
      </c>
      <c r="S3138" s="16" t="str">
        <f t="shared" si="1324"/>
        <v>x</v>
      </c>
      <c r="T3138" s="11"/>
      <c r="U3138" s="46" t="str">
        <f t="shared" si="1318"/>
        <v/>
      </c>
      <c r="V3138" s="46">
        <f t="shared" si="1318"/>
        <v>5</v>
      </c>
      <c r="W3138" s="46" t="str">
        <f t="shared" si="1318"/>
        <v/>
      </c>
      <c r="X3138" s="46" t="str">
        <f t="shared" si="1318"/>
        <v/>
      </c>
    </row>
    <row r="3139" spans="2:24" x14ac:dyDescent="0.25">
      <c r="B3139" s="11" t="str">
        <f t="shared" si="1325"/>
        <v>LPRV-20APR1907</v>
      </c>
      <c r="C3139" s="11" t="s">
        <v>2053</v>
      </c>
      <c r="D3139" s="11" t="s">
        <v>1699</v>
      </c>
      <c r="E3139" s="39" t="s">
        <v>1201</v>
      </c>
      <c r="F3139" s="11" t="s">
        <v>1700</v>
      </c>
      <c r="G3139" s="39" t="s">
        <v>829</v>
      </c>
      <c r="H3139" s="7">
        <v>0</v>
      </c>
      <c r="I3139" s="7">
        <v>0</v>
      </c>
      <c r="J3139" s="17">
        <v>0</v>
      </c>
      <c r="K3139" s="17"/>
      <c r="L3139" s="7">
        <f t="shared" si="1326"/>
        <v>0</v>
      </c>
      <c r="M3139" s="8">
        <v>1</v>
      </c>
      <c r="N3139" s="8" t="str">
        <f t="shared" si="1327"/>
        <v/>
      </c>
      <c r="O3139" s="11" t="s">
        <v>1702</v>
      </c>
      <c r="P3139" s="16" t="str">
        <f t="shared" si="1328"/>
        <v>20-Apr-1907</v>
      </c>
      <c r="R3139" s="16" t="str">
        <f t="shared" si="1324"/>
        <v/>
      </c>
      <c r="S3139" s="16" t="str">
        <f t="shared" si="1324"/>
        <v/>
      </c>
      <c r="T3139" s="11"/>
      <c r="U3139" s="46" t="str">
        <f t="shared" si="1318"/>
        <v/>
      </c>
      <c r="V3139" s="46">
        <f t="shared" si="1318"/>
        <v>0</v>
      </c>
      <c r="W3139" s="46" t="str">
        <f t="shared" si="1318"/>
        <v/>
      </c>
      <c r="X3139" s="46" t="str">
        <f t="shared" si="1318"/>
        <v/>
      </c>
    </row>
    <row r="3140" spans="2:24" x14ac:dyDescent="0.25">
      <c r="B3140" s="11" t="str">
        <f t="shared" si="1325"/>
        <v>LPRV-19MAY1907</v>
      </c>
      <c r="C3140" s="11" t="s">
        <v>2053</v>
      </c>
      <c r="D3140" s="11" t="s">
        <v>1699</v>
      </c>
      <c r="E3140" s="39" t="s">
        <v>1202</v>
      </c>
      <c r="F3140" s="11" t="s">
        <v>1700</v>
      </c>
      <c r="G3140" s="39" t="s">
        <v>1196</v>
      </c>
      <c r="H3140" s="7">
        <v>0</v>
      </c>
      <c r="I3140" s="7">
        <v>0</v>
      </c>
      <c r="J3140" s="17">
        <v>0</v>
      </c>
      <c r="K3140" s="17"/>
      <c r="L3140" s="7">
        <f t="shared" si="1326"/>
        <v>0</v>
      </c>
      <c r="M3140" s="8">
        <v>1</v>
      </c>
      <c r="N3140" s="8" t="str">
        <f t="shared" si="1327"/>
        <v/>
      </c>
      <c r="O3140" s="11" t="s">
        <v>1702</v>
      </c>
      <c r="P3140" s="16" t="str">
        <f t="shared" si="1328"/>
        <v>19-May-1907</v>
      </c>
      <c r="R3140" s="16" t="str">
        <f t="shared" si="1324"/>
        <v/>
      </c>
      <c r="S3140" s="16" t="str">
        <f t="shared" si="1324"/>
        <v/>
      </c>
      <c r="T3140" s="11"/>
      <c r="U3140" s="46" t="str">
        <f t="shared" si="1318"/>
        <v/>
      </c>
      <c r="V3140" s="46">
        <f t="shared" si="1318"/>
        <v>0</v>
      </c>
      <c r="W3140" s="46" t="str">
        <f t="shared" si="1318"/>
        <v/>
      </c>
      <c r="X3140" s="46" t="str">
        <f t="shared" si="1318"/>
        <v/>
      </c>
    </row>
    <row r="3141" spans="2:24" x14ac:dyDescent="0.25">
      <c r="B3141" s="11" t="str">
        <f t="shared" si="1325"/>
        <v>LPRV-13JUN1907</v>
      </c>
      <c r="C3141" s="11" t="s">
        <v>2053</v>
      </c>
      <c r="D3141" s="11" t="s">
        <v>1699</v>
      </c>
      <c r="E3141" s="39" t="s">
        <v>1203</v>
      </c>
      <c r="F3141" s="11" t="s">
        <v>1700</v>
      </c>
      <c r="G3141" s="39" t="s">
        <v>1197</v>
      </c>
      <c r="H3141" s="7">
        <v>0</v>
      </c>
      <c r="I3141" s="7">
        <v>1</v>
      </c>
      <c r="J3141" s="17">
        <v>7</v>
      </c>
      <c r="K3141" s="17"/>
      <c r="L3141" s="7">
        <f t="shared" si="1326"/>
        <v>8</v>
      </c>
      <c r="M3141" s="8">
        <v>1</v>
      </c>
      <c r="N3141" s="8">
        <f t="shared" si="1327"/>
        <v>1</v>
      </c>
      <c r="O3141" s="11" t="s">
        <v>1702</v>
      </c>
      <c r="P3141" s="16" t="str">
        <f t="shared" si="1328"/>
        <v>13-Jun-1907</v>
      </c>
      <c r="R3141" s="16" t="str">
        <f t="shared" si="1324"/>
        <v>x</v>
      </c>
      <c r="S3141" s="16" t="str">
        <f t="shared" si="1324"/>
        <v>x</v>
      </c>
      <c r="T3141" s="11"/>
      <c r="U3141" s="46" t="str">
        <f t="shared" si="1318"/>
        <v/>
      </c>
      <c r="V3141" s="46">
        <f t="shared" si="1318"/>
        <v>8</v>
      </c>
      <c r="W3141" s="46" t="str">
        <f t="shared" si="1318"/>
        <v/>
      </c>
      <c r="X3141" s="46" t="str">
        <f t="shared" si="1318"/>
        <v/>
      </c>
    </row>
    <row r="3142" spans="2:24" x14ac:dyDescent="0.25">
      <c r="B3142" s="11" t="str">
        <f t="shared" si="1325"/>
        <v>LPRV-06JUL1907</v>
      </c>
      <c r="C3142" s="11" t="s">
        <v>2053</v>
      </c>
      <c r="D3142" s="11" t="s">
        <v>1699</v>
      </c>
      <c r="E3142" s="39" t="s">
        <v>1204</v>
      </c>
      <c r="F3142" s="11" t="s">
        <v>1700</v>
      </c>
      <c r="G3142" s="39" t="s">
        <v>832</v>
      </c>
      <c r="H3142" s="7">
        <v>0</v>
      </c>
      <c r="I3142" s="7">
        <v>0</v>
      </c>
      <c r="J3142" s="17">
        <v>70</v>
      </c>
      <c r="K3142" s="17"/>
      <c r="L3142" s="7">
        <f t="shared" si="1326"/>
        <v>70</v>
      </c>
      <c r="M3142" s="8">
        <v>1</v>
      </c>
      <c r="N3142" s="8">
        <f t="shared" si="1327"/>
        <v>1</v>
      </c>
      <c r="O3142" s="11" t="s">
        <v>1702</v>
      </c>
      <c r="P3142" s="16" t="str">
        <f t="shared" si="1328"/>
        <v>06-Jul-1907</v>
      </c>
      <c r="R3142" s="16" t="str">
        <f t="shared" si="1324"/>
        <v>x</v>
      </c>
      <c r="S3142" s="16" t="str">
        <f t="shared" si="1324"/>
        <v>x</v>
      </c>
      <c r="T3142" s="11"/>
      <c r="U3142" s="46" t="str">
        <f t="shared" si="1318"/>
        <v/>
      </c>
      <c r="V3142" s="46">
        <f t="shared" si="1318"/>
        <v>70</v>
      </c>
      <c r="W3142" s="46" t="str">
        <f t="shared" si="1318"/>
        <v/>
      </c>
      <c r="X3142" s="46" t="str">
        <f t="shared" si="1318"/>
        <v/>
      </c>
    </row>
    <row r="3143" spans="2:24" x14ac:dyDescent="0.25">
      <c r="B3143" s="11" t="str">
        <f t="shared" si="1325"/>
        <v>LPRV-17AUG1907</v>
      </c>
      <c r="C3143" s="11" t="s">
        <v>2053</v>
      </c>
      <c r="D3143" s="11" t="s">
        <v>1699</v>
      </c>
      <c r="E3143" s="39" t="s">
        <v>1205</v>
      </c>
      <c r="F3143" s="11" t="s">
        <v>1700</v>
      </c>
      <c r="G3143" s="39" t="s">
        <v>1805</v>
      </c>
      <c r="H3143" s="7">
        <v>0</v>
      </c>
      <c r="I3143" s="7">
        <v>0</v>
      </c>
      <c r="J3143" s="17">
        <v>74</v>
      </c>
      <c r="K3143" s="17"/>
      <c r="L3143" s="7">
        <f t="shared" si="1326"/>
        <v>74</v>
      </c>
      <c r="M3143" s="8">
        <v>1</v>
      </c>
      <c r="N3143" s="8">
        <f t="shared" si="1327"/>
        <v>1</v>
      </c>
      <c r="O3143" s="11" t="s">
        <v>1702</v>
      </c>
      <c r="P3143" s="16" t="str">
        <f t="shared" si="1328"/>
        <v>17-Aug-1907</v>
      </c>
      <c r="R3143" s="16" t="str">
        <f t="shared" si="1324"/>
        <v>x</v>
      </c>
      <c r="S3143" s="16" t="str">
        <f t="shared" si="1324"/>
        <v>x</v>
      </c>
      <c r="T3143" s="11"/>
      <c r="U3143" s="46" t="str">
        <f t="shared" si="1318"/>
        <v/>
      </c>
      <c r="V3143" s="46">
        <f t="shared" si="1318"/>
        <v>74</v>
      </c>
      <c r="W3143" s="46" t="str">
        <f t="shared" si="1318"/>
        <v/>
      </c>
      <c r="X3143" s="46" t="str">
        <f t="shared" si="1318"/>
        <v/>
      </c>
    </row>
    <row r="3144" spans="2:24" x14ac:dyDescent="0.25">
      <c r="B3144" s="11" t="str">
        <f t="shared" si="1325"/>
        <v>LPRV-14SEP1907</v>
      </c>
      <c r="C3144" s="11" t="s">
        <v>2053</v>
      </c>
      <c r="D3144" s="11" t="s">
        <v>1699</v>
      </c>
      <c r="E3144" s="39" t="s">
        <v>1206</v>
      </c>
      <c r="F3144" s="11" t="s">
        <v>1700</v>
      </c>
      <c r="G3144" s="39" t="s">
        <v>834</v>
      </c>
      <c r="H3144" s="7">
        <v>1</v>
      </c>
      <c r="I3144" s="7">
        <v>0</v>
      </c>
      <c r="J3144" s="17">
        <v>44</v>
      </c>
      <c r="K3144" s="17"/>
      <c r="L3144" s="7">
        <f t="shared" si="1326"/>
        <v>45</v>
      </c>
      <c r="M3144" s="8">
        <v>1</v>
      </c>
      <c r="N3144" s="8">
        <f t="shared" si="1327"/>
        <v>1</v>
      </c>
      <c r="O3144" s="11" t="s">
        <v>1702</v>
      </c>
      <c r="P3144" s="16" t="str">
        <f t="shared" si="1328"/>
        <v>14-Sep-1907</v>
      </c>
      <c r="R3144" s="16" t="str">
        <f t="shared" ref="R3144:S3159" si="1329">IF($L3144&gt;0,"x","")</f>
        <v>x</v>
      </c>
      <c r="S3144" s="16" t="str">
        <f t="shared" si="1329"/>
        <v>x</v>
      </c>
      <c r="T3144" s="11"/>
      <c r="U3144" s="46" t="str">
        <f t="shared" si="1318"/>
        <v/>
      </c>
      <c r="V3144" s="46">
        <f t="shared" si="1318"/>
        <v>45</v>
      </c>
      <c r="W3144" s="46" t="str">
        <f t="shared" si="1318"/>
        <v/>
      </c>
      <c r="X3144" s="46" t="str">
        <f t="shared" si="1318"/>
        <v/>
      </c>
    </row>
    <row r="3145" spans="2:24" x14ac:dyDescent="0.25">
      <c r="B3145" s="11" t="str">
        <f t="shared" si="1325"/>
        <v>LPRV-05OCT1907</v>
      </c>
      <c r="C3145" s="11" t="s">
        <v>2053</v>
      </c>
      <c r="D3145" s="11" t="s">
        <v>1699</v>
      </c>
      <c r="E3145" s="39" t="s">
        <v>1207</v>
      </c>
      <c r="F3145" s="11" t="s">
        <v>1700</v>
      </c>
      <c r="G3145" s="39" t="s">
        <v>1807</v>
      </c>
      <c r="H3145" s="7">
        <v>0</v>
      </c>
      <c r="I3145" s="7">
        <v>0</v>
      </c>
      <c r="J3145" s="17">
        <v>15</v>
      </c>
      <c r="K3145" s="17"/>
      <c r="L3145" s="7">
        <f t="shared" si="1326"/>
        <v>15</v>
      </c>
      <c r="M3145" s="8">
        <v>1</v>
      </c>
      <c r="N3145" s="8">
        <f t="shared" si="1327"/>
        <v>1</v>
      </c>
      <c r="O3145" s="11" t="s">
        <v>1702</v>
      </c>
      <c r="P3145" s="16" t="str">
        <f t="shared" si="1328"/>
        <v>05-Oct-1907</v>
      </c>
      <c r="R3145" s="16" t="str">
        <f t="shared" si="1329"/>
        <v>x</v>
      </c>
      <c r="S3145" s="16" t="str">
        <f t="shared" si="1329"/>
        <v>x</v>
      </c>
      <c r="T3145" s="11"/>
      <c r="U3145" s="46" t="str">
        <f t="shared" si="1318"/>
        <v/>
      </c>
      <c r="V3145" s="46">
        <f t="shared" si="1318"/>
        <v>15</v>
      </c>
      <c r="W3145" s="46" t="str">
        <f t="shared" si="1318"/>
        <v/>
      </c>
      <c r="X3145" s="46" t="str">
        <f t="shared" si="1318"/>
        <v/>
      </c>
    </row>
    <row r="3146" spans="2:24" x14ac:dyDescent="0.25">
      <c r="B3146" s="11" t="str">
        <f t="shared" si="1325"/>
        <v>LPRV-02NOV1907</v>
      </c>
      <c r="C3146" s="11" t="s">
        <v>2053</v>
      </c>
      <c r="D3146" s="11" t="s">
        <v>1699</v>
      </c>
      <c r="E3146" s="39" t="s">
        <v>1208</v>
      </c>
      <c r="F3146" s="11" t="s">
        <v>1700</v>
      </c>
      <c r="G3146" s="39" t="s">
        <v>1809</v>
      </c>
      <c r="H3146" s="7">
        <v>0</v>
      </c>
      <c r="I3146" s="7">
        <v>0</v>
      </c>
      <c r="J3146" s="17">
        <v>20</v>
      </c>
      <c r="K3146" s="17"/>
      <c r="L3146" s="7">
        <f t="shared" si="1326"/>
        <v>20</v>
      </c>
      <c r="M3146" s="8">
        <v>1</v>
      </c>
      <c r="N3146" s="8">
        <f t="shared" si="1327"/>
        <v>1</v>
      </c>
      <c r="O3146" s="11" t="s">
        <v>1702</v>
      </c>
      <c r="P3146" s="16" t="str">
        <f t="shared" si="1328"/>
        <v>02-Nov-1907</v>
      </c>
      <c r="R3146" s="16" t="str">
        <f t="shared" si="1329"/>
        <v>x</v>
      </c>
      <c r="S3146" s="16" t="str">
        <f t="shared" si="1329"/>
        <v>x</v>
      </c>
      <c r="T3146" s="11"/>
      <c r="U3146" s="46" t="str">
        <f t="shared" si="1318"/>
        <v/>
      </c>
      <c r="V3146" s="46">
        <f t="shared" si="1318"/>
        <v>20</v>
      </c>
      <c r="W3146" s="46" t="str">
        <f t="shared" si="1318"/>
        <v/>
      </c>
      <c r="X3146" s="46" t="str">
        <f t="shared" si="1318"/>
        <v/>
      </c>
    </row>
    <row r="3147" spans="2:24" x14ac:dyDescent="0.25">
      <c r="B3147" s="11" t="str">
        <f t="shared" si="1325"/>
        <v>LPRV-30NOV1907</v>
      </c>
      <c r="C3147" s="11" t="s">
        <v>2053</v>
      </c>
      <c r="D3147" s="11" t="s">
        <v>1699</v>
      </c>
      <c r="E3147" s="39" t="s">
        <v>1209</v>
      </c>
      <c r="F3147" s="11" t="s">
        <v>1700</v>
      </c>
      <c r="G3147" s="39" t="s">
        <v>1811</v>
      </c>
      <c r="H3147" s="7">
        <v>0</v>
      </c>
      <c r="I3147" s="7">
        <v>3</v>
      </c>
      <c r="J3147" s="17">
        <v>26</v>
      </c>
      <c r="K3147" s="17"/>
      <c r="L3147" s="7">
        <f t="shared" si="1326"/>
        <v>29</v>
      </c>
      <c r="M3147" s="8">
        <v>1</v>
      </c>
      <c r="N3147" s="8">
        <f t="shared" si="1327"/>
        <v>1</v>
      </c>
      <c r="O3147" s="11" t="s">
        <v>1702</v>
      </c>
      <c r="P3147" s="16" t="str">
        <f t="shared" si="1328"/>
        <v>30-Nov-1907</v>
      </c>
      <c r="R3147" s="16" t="str">
        <f t="shared" si="1329"/>
        <v>x</v>
      </c>
      <c r="S3147" s="16" t="str">
        <f t="shared" si="1329"/>
        <v>x</v>
      </c>
      <c r="T3147" s="11"/>
      <c r="U3147" s="46" t="str">
        <f t="shared" si="1318"/>
        <v/>
      </c>
      <c r="V3147" s="46">
        <f t="shared" si="1318"/>
        <v>29</v>
      </c>
      <c r="W3147" s="46" t="str">
        <f t="shared" si="1318"/>
        <v/>
      </c>
      <c r="X3147" s="46" t="str">
        <f t="shared" si="1318"/>
        <v/>
      </c>
    </row>
    <row r="3148" spans="2:24" x14ac:dyDescent="0.25">
      <c r="B3148" s="11" t="str">
        <f t="shared" si="1325"/>
        <v>LPRV-28DEC1907</v>
      </c>
      <c r="C3148" s="11" t="s">
        <v>2053</v>
      </c>
      <c r="D3148" s="11" t="s">
        <v>1699</v>
      </c>
      <c r="E3148" s="39" t="s">
        <v>1210</v>
      </c>
      <c r="F3148" s="11" t="s">
        <v>1700</v>
      </c>
      <c r="G3148" s="39" t="s">
        <v>1198</v>
      </c>
      <c r="H3148" s="7">
        <v>0</v>
      </c>
      <c r="I3148" s="7">
        <v>0</v>
      </c>
      <c r="J3148" s="17">
        <v>51</v>
      </c>
      <c r="K3148" s="17"/>
      <c r="L3148" s="7">
        <f t="shared" si="1326"/>
        <v>51</v>
      </c>
      <c r="M3148" s="8">
        <v>1</v>
      </c>
      <c r="N3148" s="8">
        <f t="shared" si="1327"/>
        <v>1</v>
      </c>
      <c r="O3148" s="11" t="s">
        <v>1702</v>
      </c>
      <c r="P3148" s="16" t="str">
        <f t="shared" si="1328"/>
        <v>28-Dec-1907</v>
      </c>
      <c r="R3148" s="16" t="str">
        <f t="shared" si="1329"/>
        <v>x</v>
      </c>
      <c r="S3148" s="16" t="str">
        <f t="shared" si="1329"/>
        <v>x</v>
      </c>
      <c r="T3148" s="11"/>
      <c r="U3148" s="46" t="str">
        <f t="shared" si="1318"/>
        <v/>
      </c>
      <c r="V3148" s="46">
        <f t="shared" si="1318"/>
        <v>51</v>
      </c>
      <c r="W3148" s="46" t="str">
        <f t="shared" si="1318"/>
        <v/>
      </c>
      <c r="X3148" s="46" t="str">
        <f t="shared" si="1318"/>
        <v/>
      </c>
    </row>
    <row r="3149" spans="2:24" x14ac:dyDescent="0.25">
      <c r="B3149" s="11" t="str">
        <f>CONCATENATE("LPRV","-",LEFT(P3149,2),UPPER(MID(P3149,4,3)),RIGHT(P3149,4))</f>
        <v>LPRV-07MAR1908</v>
      </c>
      <c r="C3149" s="11" t="s">
        <v>2053</v>
      </c>
      <c r="D3149" s="11" t="s">
        <v>1699</v>
      </c>
      <c r="E3149" s="39" t="s">
        <v>1220</v>
      </c>
      <c r="F3149" s="11" t="s">
        <v>1700</v>
      </c>
      <c r="G3149" s="39" t="s">
        <v>843</v>
      </c>
      <c r="H3149" s="7">
        <v>0</v>
      </c>
      <c r="I3149" s="7">
        <v>0</v>
      </c>
      <c r="J3149" s="17">
        <v>53</v>
      </c>
      <c r="K3149" s="17"/>
      <c r="L3149" s="7">
        <f>SUM(H3149:K3149)</f>
        <v>53</v>
      </c>
      <c r="M3149" s="8">
        <v>1</v>
      </c>
      <c r="N3149" s="8">
        <f>IF(L3149&gt;0,1,"")</f>
        <v>1</v>
      </c>
      <c r="O3149" s="11" t="s">
        <v>1702</v>
      </c>
      <c r="P3149" s="16" t="str">
        <f>IF(LEN(G3149)=10,CONCATENATE("0",G3149),G3149)</f>
        <v>07-Mar-1908</v>
      </c>
      <c r="R3149" s="16" t="str">
        <f t="shared" si="1329"/>
        <v>x</v>
      </c>
      <c r="S3149" s="16" t="str">
        <f t="shared" si="1329"/>
        <v>x</v>
      </c>
      <c r="T3149" s="11"/>
      <c r="U3149" s="46" t="str">
        <f t="shared" si="1318"/>
        <v/>
      </c>
      <c r="V3149" s="46">
        <f t="shared" si="1318"/>
        <v>53</v>
      </c>
      <c r="W3149" s="46" t="str">
        <f t="shared" si="1318"/>
        <v/>
      </c>
      <c r="X3149" s="46" t="str">
        <f t="shared" si="1318"/>
        <v/>
      </c>
    </row>
    <row r="3150" spans="2:24" x14ac:dyDescent="0.25">
      <c r="B3150" s="11" t="str">
        <f t="shared" ref="B3150:B3159" si="1330">CONCATENATE("LPRV","-",LEFT(P3150,2),UPPER(MID(P3150,4,3)),RIGHT(P3150,4))</f>
        <v>LPRV-04APR1908</v>
      </c>
      <c r="C3150" s="11" t="s">
        <v>2053</v>
      </c>
      <c r="D3150" s="11" t="s">
        <v>1699</v>
      </c>
      <c r="E3150" s="39" t="s">
        <v>1221</v>
      </c>
      <c r="F3150" s="11" t="s">
        <v>1700</v>
      </c>
      <c r="G3150" s="39" t="s">
        <v>90</v>
      </c>
      <c r="H3150" s="7">
        <v>0</v>
      </c>
      <c r="I3150" s="7">
        <v>0</v>
      </c>
      <c r="J3150" s="17">
        <v>22</v>
      </c>
      <c r="K3150" s="17"/>
      <c r="L3150" s="7">
        <f t="shared" ref="L3150:L3159" si="1331">SUM(H3150:K3150)</f>
        <v>22</v>
      </c>
      <c r="M3150" s="8">
        <v>1</v>
      </c>
      <c r="N3150" s="8">
        <f t="shared" ref="N3150:N3159" si="1332">IF(L3150&gt;0,1,"")</f>
        <v>1</v>
      </c>
      <c r="O3150" s="11" t="s">
        <v>1702</v>
      </c>
      <c r="P3150" s="16" t="str">
        <f t="shared" ref="P3150:P3159" si="1333">IF(LEN(G3150)=10,CONCATENATE("0",G3150),G3150)</f>
        <v>04-Apr-1908</v>
      </c>
      <c r="R3150" s="16" t="str">
        <f t="shared" si="1329"/>
        <v>x</v>
      </c>
      <c r="S3150" s="16" t="str">
        <f t="shared" si="1329"/>
        <v>x</v>
      </c>
      <c r="T3150" s="11"/>
      <c r="U3150" s="46" t="str">
        <f t="shared" si="1318"/>
        <v/>
      </c>
      <c r="V3150" s="46">
        <f t="shared" si="1318"/>
        <v>22</v>
      </c>
      <c r="W3150" s="46" t="str">
        <f t="shared" si="1318"/>
        <v/>
      </c>
      <c r="X3150" s="46" t="str">
        <f t="shared" si="1318"/>
        <v/>
      </c>
    </row>
    <row r="3151" spans="2:24" x14ac:dyDescent="0.25">
      <c r="B3151" s="11" t="str">
        <f t="shared" si="1330"/>
        <v>LPRV-02MAY1908</v>
      </c>
      <c r="C3151" s="11" t="s">
        <v>2053</v>
      </c>
      <c r="D3151" s="11" t="s">
        <v>1699</v>
      </c>
      <c r="E3151" s="39" t="s">
        <v>1222</v>
      </c>
      <c r="F3151" s="11" t="s">
        <v>1700</v>
      </c>
      <c r="G3151" s="39" t="s">
        <v>1211</v>
      </c>
      <c r="H3151" s="7">
        <v>0</v>
      </c>
      <c r="I3151" s="7">
        <v>0</v>
      </c>
      <c r="J3151" s="17">
        <v>12</v>
      </c>
      <c r="K3151" s="17"/>
      <c r="L3151" s="7">
        <f t="shared" si="1331"/>
        <v>12</v>
      </c>
      <c r="M3151" s="8">
        <v>1</v>
      </c>
      <c r="N3151" s="8">
        <f t="shared" si="1332"/>
        <v>1</v>
      </c>
      <c r="O3151" s="11" t="s">
        <v>1702</v>
      </c>
      <c r="P3151" s="16" t="str">
        <f t="shared" si="1333"/>
        <v>02-May-1908</v>
      </c>
      <c r="R3151" s="16" t="str">
        <f t="shared" si="1329"/>
        <v>x</v>
      </c>
      <c r="S3151" s="16" t="str">
        <f t="shared" si="1329"/>
        <v>x</v>
      </c>
      <c r="T3151" s="11"/>
      <c r="U3151" s="46" t="str">
        <f t="shared" si="1318"/>
        <v/>
      </c>
      <c r="V3151" s="46">
        <f t="shared" si="1318"/>
        <v>12</v>
      </c>
      <c r="W3151" s="46" t="str">
        <f t="shared" si="1318"/>
        <v/>
      </c>
      <c r="X3151" s="46" t="str">
        <f t="shared" si="1318"/>
        <v/>
      </c>
    </row>
    <row r="3152" spans="2:24" x14ac:dyDescent="0.25">
      <c r="B3152" s="11" t="str">
        <f t="shared" si="1330"/>
        <v>LPRV-31MAY1908</v>
      </c>
      <c r="C3152" s="11" t="s">
        <v>2053</v>
      </c>
      <c r="D3152" s="11" t="s">
        <v>1699</v>
      </c>
      <c r="E3152" s="39" t="s">
        <v>1223</v>
      </c>
      <c r="F3152" s="11" t="s">
        <v>1700</v>
      </c>
      <c r="G3152" s="39" t="s">
        <v>1212</v>
      </c>
      <c r="H3152" s="7">
        <v>0</v>
      </c>
      <c r="I3152" s="7">
        <v>0</v>
      </c>
      <c r="J3152" s="17">
        <v>22</v>
      </c>
      <c r="K3152" s="17"/>
      <c r="L3152" s="7">
        <f t="shared" si="1331"/>
        <v>22</v>
      </c>
      <c r="M3152" s="8">
        <v>1</v>
      </c>
      <c r="N3152" s="8">
        <f t="shared" si="1332"/>
        <v>1</v>
      </c>
      <c r="O3152" s="11" t="s">
        <v>1702</v>
      </c>
      <c r="P3152" s="16" t="str">
        <f t="shared" si="1333"/>
        <v>31-May-1908</v>
      </c>
      <c r="R3152" s="16" t="str">
        <f t="shared" si="1329"/>
        <v>x</v>
      </c>
      <c r="S3152" s="16" t="str">
        <f t="shared" si="1329"/>
        <v>x</v>
      </c>
      <c r="T3152" s="11"/>
      <c r="U3152" s="46" t="str">
        <f t="shared" si="1318"/>
        <v/>
      </c>
      <c r="V3152" s="46">
        <f t="shared" si="1318"/>
        <v>22</v>
      </c>
      <c r="W3152" s="46" t="str">
        <f t="shared" si="1318"/>
        <v/>
      </c>
      <c r="X3152" s="46" t="str">
        <f t="shared" si="1318"/>
        <v/>
      </c>
    </row>
    <row r="3153" spans="2:24" x14ac:dyDescent="0.25">
      <c r="B3153" s="11" t="str">
        <f t="shared" si="1330"/>
        <v>LPRV-19JUN1908</v>
      </c>
      <c r="C3153" s="11" t="s">
        <v>2053</v>
      </c>
      <c r="D3153" s="11" t="s">
        <v>1699</v>
      </c>
      <c r="E3153" s="39" t="s">
        <v>1224</v>
      </c>
      <c r="F3153" s="11" t="s">
        <v>1700</v>
      </c>
      <c r="G3153" s="39" t="s">
        <v>1213</v>
      </c>
      <c r="H3153" s="7">
        <v>0</v>
      </c>
      <c r="I3153" s="7">
        <v>0</v>
      </c>
      <c r="J3153" s="17">
        <v>15</v>
      </c>
      <c r="K3153" s="17"/>
      <c r="L3153" s="7">
        <f t="shared" si="1331"/>
        <v>15</v>
      </c>
      <c r="M3153" s="8">
        <v>1</v>
      </c>
      <c r="N3153" s="8">
        <f t="shared" si="1332"/>
        <v>1</v>
      </c>
      <c r="O3153" s="11" t="s">
        <v>1702</v>
      </c>
      <c r="P3153" s="16" t="str">
        <f t="shared" si="1333"/>
        <v>19-Jun-1908</v>
      </c>
      <c r="R3153" s="16" t="str">
        <f t="shared" si="1329"/>
        <v>x</v>
      </c>
      <c r="S3153" s="16" t="str">
        <f t="shared" si="1329"/>
        <v>x</v>
      </c>
      <c r="T3153" s="11"/>
      <c r="U3153" s="46" t="str">
        <f t="shared" si="1318"/>
        <v/>
      </c>
      <c r="V3153" s="46">
        <f t="shared" si="1318"/>
        <v>15</v>
      </c>
      <c r="W3153" s="46" t="str">
        <f t="shared" si="1318"/>
        <v/>
      </c>
      <c r="X3153" s="46" t="str">
        <f t="shared" si="1318"/>
        <v/>
      </c>
    </row>
    <row r="3154" spans="2:24" x14ac:dyDescent="0.25">
      <c r="B3154" s="11" t="str">
        <f t="shared" si="1330"/>
        <v>LPRV-17JUL1908</v>
      </c>
      <c r="C3154" s="11" t="s">
        <v>2053</v>
      </c>
      <c r="D3154" s="11" t="s">
        <v>1699</v>
      </c>
      <c r="E3154" s="39" t="s">
        <v>1225</v>
      </c>
      <c r="F3154" s="11" t="s">
        <v>1700</v>
      </c>
      <c r="G3154" s="39" t="s">
        <v>1214</v>
      </c>
      <c r="H3154" s="7">
        <v>0</v>
      </c>
      <c r="I3154" s="7">
        <v>0</v>
      </c>
      <c r="J3154" s="17">
        <v>26</v>
      </c>
      <c r="K3154" s="17"/>
      <c r="L3154" s="7">
        <f t="shared" si="1331"/>
        <v>26</v>
      </c>
      <c r="M3154" s="8">
        <v>1</v>
      </c>
      <c r="N3154" s="8">
        <f t="shared" si="1332"/>
        <v>1</v>
      </c>
      <c r="O3154" s="11" t="s">
        <v>1702</v>
      </c>
      <c r="P3154" s="16" t="str">
        <f t="shared" si="1333"/>
        <v>17-Jul-1908</v>
      </c>
      <c r="R3154" s="16" t="str">
        <f t="shared" si="1329"/>
        <v>x</v>
      </c>
      <c r="S3154" s="16" t="str">
        <f t="shared" si="1329"/>
        <v>x</v>
      </c>
      <c r="T3154" s="11"/>
      <c r="U3154" s="46" t="str">
        <f t="shared" si="1318"/>
        <v/>
      </c>
      <c r="V3154" s="46">
        <f t="shared" si="1318"/>
        <v>26</v>
      </c>
      <c r="W3154" s="46" t="str">
        <f t="shared" si="1318"/>
        <v/>
      </c>
      <c r="X3154" s="46" t="str">
        <f t="shared" si="1318"/>
        <v/>
      </c>
    </row>
    <row r="3155" spans="2:24" x14ac:dyDescent="0.25">
      <c r="B3155" s="11" t="str">
        <f t="shared" si="1330"/>
        <v>LPRV-05SEP1908</v>
      </c>
      <c r="C3155" s="11" t="s">
        <v>2053</v>
      </c>
      <c r="D3155" s="11" t="s">
        <v>1699</v>
      </c>
      <c r="E3155" s="39" t="s">
        <v>1226</v>
      </c>
      <c r="F3155" s="11" t="s">
        <v>1700</v>
      </c>
      <c r="G3155" s="39" t="s">
        <v>1215</v>
      </c>
      <c r="H3155" s="7">
        <v>0</v>
      </c>
      <c r="I3155" s="7">
        <v>0</v>
      </c>
      <c r="J3155" s="17">
        <v>11</v>
      </c>
      <c r="K3155" s="17"/>
      <c r="L3155" s="7">
        <f t="shared" si="1331"/>
        <v>11</v>
      </c>
      <c r="M3155" s="8">
        <v>1</v>
      </c>
      <c r="N3155" s="8">
        <f t="shared" si="1332"/>
        <v>1</v>
      </c>
      <c r="O3155" s="11" t="s">
        <v>1702</v>
      </c>
      <c r="P3155" s="16" t="str">
        <f t="shared" si="1333"/>
        <v>05-Sep-1908</v>
      </c>
      <c r="R3155" s="16" t="str">
        <f t="shared" si="1329"/>
        <v>x</v>
      </c>
      <c r="S3155" s="16" t="str">
        <f t="shared" si="1329"/>
        <v>x</v>
      </c>
      <c r="T3155" s="11"/>
      <c r="U3155" s="46" t="str">
        <f t="shared" si="1318"/>
        <v/>
      </c>
      <c r="V3155" s="46">
        <f t="shared" si="1318"/>
        <v>11</v>
      </c>
      <c r="W3155" s="46" t="str">
        <f t="shared" si="1318"/>
        <v/>
      </c>
      <c r="X3155" s="46" t="str">
        <f t="shared" si="1318"/>
        <v/>
      </c>
    </row>
    <row r="3156" spans="2:24" x14ac:dyDescent="0.25">
      <c r="B3156" s="11" t="str">
        <f t="shared" si="1330"/>
        <v>LPRV-26SEP1908</v>
      </c>
      <c r="C3156" s="11" t="s">
        <v>2053</v>
      </c>
      <c r="D3156" s="11" t="s">
        <v>1699</v>
      </c>
      <c r="E3156" s="39" t="s">
        <v>923</v>
      </c>
      <c r="F3156" s="11" t="s">
        <v>1700</v>
      </c>
      <c r="G3156" s="39" t="s">
        <v>1216</v>
      </c>
      <c r="H3156" s="7">
        <v>1</v>
      </c>
      <c r="I3156" s="7">
        <v>0</v>
      </c>
      <c r="J3156" s="17">
        <v>48</v>
      </c>
      <c r="K3156" s="17"/>
      <c r="L3156" s="7">
        <f t="shared" si="1331"/>
        <v>49</v>
      </c>
      <c r="M3156" s="8">
        <v>1</v>
      </c>
      <c r="N3156" s="8">
        <f t="shared" si="1332"/>
        <v>1</v>
      </c>
      <c r="O3156" s="11" t="s">
        <v>1702</v>
      </c>
      <c r="P3156" s="16" t="str">
        <f t="shared" si="1333"/>
        <v>26-Sep-1908</v>
      </c>
      <c r="R3156" s="16" t="str">
        <f t="shared" si="1329"/>
        <v>x</v>
      </c>
      <c r="S3156" s="16" t="str">
        <f t="shared" si="1329"/>
        <v>x</v>
      </c>
      <c r="T3156" s="11"/>
      <c r="U3156" s="46" t="str">
        <f t="shared" si="1318"/>
        <v/>
      </c>
      <c r="V3156" s="46">
        <f t="shared" si="1318"/>
        <v>49</v>
      </c>
      <c r="W3156" s="46" t="str">
        <f t="shared" si="1318"/>
        <v/>
      </c>
      <c r="X3156" s="46" t="str">
        <f t="shared" si="1318"/>
        <v/>
      </c>
    </row>
    <row r="3157" spans="2:24" x14ac:dyDescent="0.25">
      <c r="B3157" s="11" t="str">
        <f t="shared" si="1330"/>
        <v>LPRV-24OCT1908</v>
      </c>
      <c r="C3157" s="11" t="s">
        <v>2053</v>
      </c>
      <c r="D3157" s="11" t="s">
        <v>1699</v>
      </c>
      <c r="E3157" s="39" t="s">
        <v>924</v>
      </c>
      <c r="F3157" s="11" t="s">
        <v>1700</v>
      </c>
      <c r="G3157" s="39" t="s">
        <v>1217</v>
      </c>
      <c r="H3157" s="7">
        <v>2</v>
      </c>
      <c r="I3157" s="7">
        <v>0</v>
      </c>
      <c r="J3157" s="17">
        <v>0</v>
      </c>
      <c r="K3157" s="17"/>
      <c r="L3157" s="7">
        <f t="shared" si="1331"/>
        <v>2</v>
      </c>
      <c r="M3157" s="8">
        <v>1</v>
      </c>
      <c r="N3157" s="8">
        <f t="shared" si="1332"/>
        <v>1</v>
      </c>
      <c r="O3157" s="11" t="s">
        <v>1702</v>
      </c>
      <c r="P3157" s="16" t="str">
        <f t="shared" si="1333"/>
        <v>24-Oct-1908</v>
      </c>
      <c r="R3157" s="16" t="str">
        <f t="shared" si="1329"/>
        <v>x</v>
      </c>
      <c r="S3157" s="16" t="str">
        <f t="shared" si="1329"/>
        <v>x</v>
      </c>
      <c r="T3157" s="11"/>
      <c r="U3157" s="46" t="str">
        <f t="shared" si="1318"/>
        <v/>
      </c>
      <c r="V3157" s="46">
        <f t="shared" si="1318"/>
        <v>2</v>
      </c>
      <c r="W3157" s="46" t="str">
        <f t="shared" si="1318"/>
        <v/>
      </c>
      <c r="X3157" s="46" t="str">
        <f t="shared" si="1318"/>
        <v/>
      </c>
    </row>
    <row r="3158" spans="2:24" x14ac:dyDescent="0.25">
      <c r="B3158" s="11" t="str">
        <f t="shared" si="1330"/>
        <v>LPRV-21NOV1908</v>
      </c>
      <c r="C3158" s="11" t="s">
        <v>2053</v>
      </c>
      <c r="D3158" s="11" t="s">
        <v>1699</v>
      </c>
      <c r="E3158" s="39" t="s">
        <v>1227</v>
      </c>
      <c r="F3158" s="11" t="s">
        <v>1700</v>
      </c>
      <c r="G3158" s="39" t="s">
        <v>1218</v>
      </c>
      <c r="H3158" s="7">
        <v>0</v>
      </c>
      <c r="I3158" s="7">
        <v>0</v>
      </c>
      <c r="J3158" s="17">
        <v>84</v>
      </c>
      <c r="K3158" s="17"/>
      <c r="L3158" s="7">
        <f t="shared" si="1331"/>
        <v>84</v>
      </c>
      <c r="M3158" s="8">
        <v>1</v>
      </c>
      <c r="N3158" s="8">
        <f t="shared" si="1332"/>
        <v>1</v>
      </c>
      <c r="O3158" s="11" t="s">
        <v>1702</v>
      </c>
      <c r="P3158" s="16" t="str">
        <f t="shared" si="1333"/>
        <v>21-Nov-1908</v>
      </c>
      <c r="R3158" s="16" t="str">
        <f t="shared" si="1329"/>
        <v>x</v>
      </c>
      <c r="S3158" s="16" t="str">
        <f t="shared" si="1329"/>
        <v>x</v>
      </c>
      <c r="T3158" s="11"/>
      <c r="U3158" s="46" t="str">
        <f t="shared" si="1318"/>
        <v/>
      </c>
      <c r="V3158" s="46">
        <f t="shared" si="1318"/>
        <v>84</v>
      </c>
      <c r="W3158" s="46" t="str">
        <f t="shared" si="1318"/>
        <v/>
      </c>
      <c r="X3158" s="46" t="str">
        <f t="shared" si="1318"/>
        <v/>
      </c>
    </row>
    <row r="3159" spans="2:24" x14ac:dyDescent="0.25">
      <c r="B3159" s="11" t="str">
        <f t="shared" si="1330"/>
        <v>LPRV-20DEC1908</v>
      </c>
      <c r="C3159" s="11" t="s">
        <v>2053</v>
      </c>
      <c r="D3159" s="11" t="s">
        <v>1699</v>
      </c>
      <c r="E3159" s="39" t="s">
        <v>1228</v>
      </c>
      <c r="F3159" s="11" t="s">
        <v>1700</v>
      </c>
      <c r="G3159" s="39" t="s">
        <v>1219</v>
      </c>
      <c r="H3159" s="7">
        <v>0</v>
      </c>
      <c r="I3159" s="7">
        <v>0</v>
      </c>
      <c r="J3159" s="17">
        <v>0</v>
      </c>
      <c r="K3159" s="17"/>
      <c r="L3159" s="7">
        <f t="shared" si="1331"/>
        <v>0</v>
      </c>
      <c r="M3159" s="8">
        <v>1</v>
      </c>
      <c r="N3159" s="8" t="str">
        <f t="shared" si="1332"/>
        <v/>
      </c>
      <c r="O3159" s="11" t="s">
        <v>1702</v>
      </c>
      <c r="P3159" s="16" t="str">
        <f t="shared" si="1333"/>
        <v>20-Dec-1908</v>
      </c>
      <c r="R3159" s="16" t="str">
        <f t="shared" si="1329"/>
        <v/>
      </c>
      <c r="S3159" s="16" t="str">
        <f t="shared" si="1329"/>
        <v/>
      </c>
      <c r="T3159" s="11"/>
      <c r="U3159" s="46" t="str">
        <f t="shared" si="1318"/>
        <v/>
      </c>
      <c r="V3159" s="46">
        <f t="shared" si="1318"/>
        <v>0</v>
      </c>
      <c r="W3159" s="46" t="str">
        <f t="shared" si="1318"/>
        <v/>
      </c>
      <c r="X3159" s="46" t="str">
        <f t="shared" si="1318"/>
        <v/>
      </c>
    </row>
    <row r="3160" spans="2:24" x14ac:dyDescent="0.25">
      <c r="B3160" s="11" t="str">
        <f>CONCATENATE("LPRV","-",LEFT(P3160,2),UPPER(MID(P3160,4,3)),RIGHT(P3160,4))</f>
        <v>LPRV-13FEB1909</v>
      </c>
      <c r="C3160" s="11" t="s">
        <v>2053</v>
      </c>
      <c r="D3160" s="11" t="s">
        <v>1699</v>
      </c>
      <c r="E3160" s="39" t="s">
        <v>1235</v>
      </c>
      <c r="F3160" s="11" t="s">
        <v>1700</v>
      </c>
      <c r="G3160" s="39" t="s">
        <v>932</v>
      </c>
      <c r="H3160" s="7">
        <v>0</v>
      </c>
      <c r="I3160" s="7">
        <v>0</v>
      </c>
      <c r="J3160" s="17">
        <v>8</v>
      </c>
      <c r="K3160" s="17"/>
      <c r="L3160" s="7">
        <f>SUM(H3160:K3160)</f>
        <v>8</v>
      </c>
      <c r="M3160" s="8">
        <v>1</v>
      </c>
      <c r="N3160" s="8">
        <f>IF(L3160&gt;0,1,"")</f>
        <v>1</v>
      </c>
      <c r="O3160" s="11" t="s">
        <v>1702</v>
      </c>
      <c r="P3160" s="16" t="str">
        <f>IF(LEN(G3160)=10,CONCATENATE("0",G3160),G3160)</f>
        <v>13-Feb-1909</v>
      </c>
      <c r="R3160" s="16" t="str">
        <f t="shared" ref="R3160:S3180" si="1334">IF($L3160&gt;0,"x","")</f>
        <v>x</v>
      </c>
      <c r="S3160" s="16" t="str">
        <f t="shared" si="1334"/>
        <v>x</v>
      </c>
      <c r="T3160" s="11"/>
      <c r="U3160" s="46" t="str">
        <f t="shared" si="1318"/>
        <v/>
      </c>
      <c r="V3160" s="46">
        <f t="shared" si="1318"/>
        <v>8</v>
      </c>
      <c r="W3160" s="46" t="str">
        <f t="shared" si="1318"/>
        <v/>
      </c>
      <c r="X3160" s="46" t="str">
        <f t="shared" si="1318"/>
        <v/>
      </c>
    </row>
    <row r="3161" spans="2:24" x14ac:dyDescent="0.25">
      <c r="B3161" s="11" t="str">
        <f t="shared" ref="B3161:B3176" si="1335">CONCATENATE("LPRV","-",LEFT(P3161,2),UPPER(MID(P3161,4,3)),RIGHT(P3161,4))</f>
        <v>LPRV-13MAR1909</v>
      </c>
      <c r="C3161" s="11" t="s">
        <v>2053</v>
      </c>
      <c r="D3161" s="11" t="s">
        <v>1699</v>
      </c>
      <c r="E3161" s="39" t="s">
        <v>1236</v>
      </c>
      <c r="F3161" s="11" t="s">
        <v>1700</v>
      </c>
      <c r="G3161" s="39" t="s">
        <v>933</v>
      </c>
      <c r="H3161" s="7">
        <v>0</v>
      </c>
      <c r="I3161" s="7">
        <v>0</v>
      </c>
      <c r="J3161" s="17">
        <v>2</v>
      </c>
      <c r="K3161" s="17"/>
      <c r="L3161" s="7">
        <f t="shared" ref="L3161:L3176" si="1336">SUM(H3161:K3161)</f>
        <v>2</v>
      </c>
      <c r="M3161" s="8">
        <v>1</v>
      </c>
      <c r="N3161" s="8">
        <f t="shared" ref="N3161:N3176" si="1337">IF(L3161&gt;0,1,"")</f>
        <v>1</v>
      </c>
      <c r="O3161" s="11" t="s">
        <v>1702</v>
      </c>
      <c r="P3161" s="16" t="str">
        <f t="shared" ref="P3161:P3176" si="1338">IF(LEN(G3161)=10,CONCATENATE("0",G3161),G3161)</f>
        <v>13-Mar-1909</v>
      </c>
      <c r="R3161" s="16" t="str">
        <f t="shared" si="1334"/>
        <v>x</v>
      </c>
      <c r="S3161" s="16" t="str">
        <f t="shared" si="1334"/>
        <v>x</v>
      </c>
      <c r="T3161" s="11"/>
      <c r="U3161" s="46" t="str">
        <f t="shared" si="1318"/>
        <v/>
      </c>
      <c r="V3161" s="46">
        <f t="shared" si="1318"/>
        <v>2</v>
      </c>
      <c r="W3161" s="46" t="str">
        <f t="shared" si="1318"/>
        <v/>
      </c>
      <c r="X3161" s="46" t="str">
        <f t="shared" si="1318"/>
        <v/>
      </c>
    </row>
    <row r="3162" spans="2:24" x14ac:dyDescent="0.25">
      <c r="B3162" s="11" t="str">
        <f t="shared" si="1335"/>
        <v>LPRV-11APR1909</v>
      </c>
      <c r="C3162" s="11" t="s">
        <v>2053</v>
      </c>
      <c r="D3162" s="11" t="s">
        <v>1699</v>
      </c>
      <c r="E3162" s="39" t="s">
        <v>1237</v>
      </c>
      <c r="F3162" s="11" t="s">
        <v>1700</v>
      </c>
      <c r="G3162" s="39" t="s">
        <v>1229</v>
      </c>
      <c r="H3162" s="7">
        <v>0</v>
      </c>
      <c r="I3162" s="7">
        <v>0</v>
      </c>
      <c r="J3162" s="17">
        <v>0</v>
      </c>
      <c r="K3162" s="17"/>
      <c r="L3162" s="7">
        <f t="shared" si="1336"/>
        <v>0</v>
      </c>
      <c r="M3162" s="8">
        <v>1</v>
      </c>
      <c r="N3162" s="8" t="str">
        <f t="shared" si="1337"/>
        <v/>
      </c>
      <c r="O3162" s="11" t="s">
        <v>1702</v>
      </c>
      <c r="P3162" s="16" t="str">
        <f t="shared" si="1338"/>
        <v>11-Apr-1909</v>
      </c>
      <c r="R3162" s="16" t="str">
        <f t="shared" si="1334"/>
        <v/>
      </c>
      <c r="S3162" s="16" t="str">
        <f t="shared" si="1334"/>
        <v/>
      </c>
      <c r="T3162" s="11"/>
      <c r="U3162" s="46" t="str">
        <f t="shared" si="1318"/>
        <v/>
      </c>
      <c r="V3162" s="46">
        <f t="shared" si="1318"/>
        <v>0</v>
      </c>
      <c r="W3162" s="46" t="str">
        <f t="shared" si="1318"/>
        <v/>
      </c>
      <c r="X3162" s="46" t="str">
        <f t="shared" si="1318"/>
        <v/>
      </c>
    </row>
    <row r="3163" spans="2:24" x14ac:dyDescent="0.25">
      <c r="B3163" s="11" t="str">
        <f t="shared" si="1335"/>
        <v>LPRV-08MAY1909</v>
      </c>
      <c r="C3163" s="11" t="s">
        <v>2053</v>
      </c>
      <c r="D3163" s="11" t="s">
        <v>1699</v>
      </c>
      <c r="E3163" s="39" t="s">
        <v>1238</v>
      </c>
      <c r="F3163" s="11" t="s">
        <v>1700</v>
      </c>
      <c r="G3163" s="39" t="s">
        <v>1230</v>
      </c>
      <c r="H3163" s="7">
        <v>3</v>
      </c>
      <c r="I3163" s="7">
        <v>0</v>
      </c>
      <c r="J3163" s="17">
        <v>0</v>
      </c>
      <c r="K3163" s="17"/>
      <c r="L3163" s="7">
        <f t="shared" si="1336"/>
        <v>3</v>
      </c>
      <c r="M3163" s="8">
        <v>1</v>
      </c>
      <c r="N3163" s="8">
        <f t="shared" si="1337"/>
        <v>1</v>
      </c>
      <c r="O3163" s="11" t="s">
        <v>1702</v>
      </c>
      <c r="P3163" s="16" t="str">
        <f t="shared" si="1338"/>
        <v>08-May-1909</v>
      </c>
      <c r="R3163" s="16" t="str">
        <f t="shared" si="1334"/>
        <v>x</v>
      </c>
      <c r="S3163" s="16" t="str">
        <f t="shared" si="1334"/>
        <v>x</v>
      </c>
      <c r="T3163" s="11"/>
      <c r="U3163" s="46" t="str">
        <f t="shared" si="1318"/>
        <v/>
      </c>
      <c r="V3163" s="46">
        <f t="shared" si="1318"/>
        <v>3</v>
      </c>
      <c r="W3163" s="46" t="str">
        <f t="shared" si="1318"/>
        <v/>
      </c>
      <c r="X3163" s="46" t="str">
        <f t="shared" si="1318"/>
        <v/>
      </c>
    </row>
    <row r="3164" spans="2:24" x14ac:dyDescent="0.25">
      <c r="B3164" s="11" t="str">
        <f t="shared" si="1335"/>
        <v>LPRV-04JUN1909</v>
      </c>
      <c r="C3164" s="11" t="s">
        <v>2053</v>
      </c>
      <c r="D3164" s="11" t="s">
        <v>1699</v>
      </c>
      <c r="E3164" s="39" t="s">
        <v>1239</v>
      </c>
      <c r="F3164" s="11" t="s">
        <v>1700</v>
      </c>
      <c r="G3164" s="39" t="s">
        <v>1231</v>
      </c>
      <c r="H3164" s="7">
        <v>0</v>
      </c>
      <c r="I3164" s="7">
        <v>0</v>
      </c>
      <c r="J3164" s="17">
        <v>0</v>
      </c>
      <c r="K3164" s="17"/>
      <c r="L3164" s="7">
        <f t="shared" si="1336"/>
        <v>0</v>
      </c>
      <c r="M3164" s="8">
        <v>1</v>
      </c>
      <c r="N3164" s="8" t="str">
        <f t="shared" si="1337"/>
        <v/>
      </c>
      <c r="O3164" s="11" t="s">
        <v>1702</v>
      </c>
      <c r="P3164" s="16" t="str">
        <f t="shared" si="1338"/>
        <v>04-Jun-1909</v>
      </c>
      <c r="R3164" s="16" t="str">
        <f t="shared" si="1334"/>
        <v/>
      </c>
      <c r="S3164" s="16" t="str">
        <f t="shared" si="1334"/>
        <v/>
      </c>
      <c r="T3164" s="11"/>
      <c r="U3164" s="46" t="str">
        <f t="shared" si="1318"/>
        <v/>
      </c>
      <c r="V3164" s="46">
        <f t="shared" si="1318"/>
        <v>0</v>
      </c>
      <c r="W3164" s="46" t="str">
        <f t="shared" si="1318"/>
        <v/>
      </c>
      <c r="X3164" s="46" t="str">
        <f t="shared" si="1318"/>
        <v/>
      </c>
    </row>
    <row r="3165" spans="2:24" x14ac:dyDescent="0.25">
      <c r="B3165" s="11" t="str">
        <f t="shared" si="1335"/>
        <v>LPRV-26JUN1909</v>
      </c>
      <c r="C3165" s="11" t="s">
        <v>2053</v>
      </c>
      <c r="D3165" s="11" t="s">
        <v>1699</v>
      </c>
      <c r="E3165" s="39" t="s">
        <v>935</v>
      </c>
      <c r="F3165" s="11" t="s">
        <v>1700</v>
      </c>
      <c r="G3165" s="39" t="s">
        <v>1232</v>
      </c>
      <c r="H3165" s="7">
        <v>0</v>
      </c>
      <c r="I3165" s="7">
        <v>0</v>
      </c>
      <c r="J3165" s="17">
        <v>19</v>
      </c>
      <c r="K3165" s="17"/>
      <c r="L3165" s="7">
        <f t="shared" si="1336"/>
        <v>19</v>
      </c>
      <c r="M3165" s="8">
        <v>1</v>
      </c>
      <c r="N3165" s="8">
        <f t="shared" si="1337"/>
        <v>1</v>
      </c>
      <c r="O3165" s="11" t="s">
        <v>1702</v>
      </c>
      <c r="P3165" s="16" t="str">
        <f t="shared" si="1338"/>
        <v>26-Jun-1909</v>
      </c>
      <c r="R3165" s="16" t="str">
        <f t="shared" si="1334"/>
        <v>x</v>
      </c>
      <c r="S3165" s="16" t="str">
        <f t="shared" si="1334"/>
        <v>x</v>
      </c>
      <c r="T3165" s="11"/>
      <c r="U3165" s="46" t="str">
        <f t="shared" si="1318"/>
        <v/>
      </c>
      <c r="V3165" s="46">
        <f t="shared" si="1318"/>
        <v>19</v>
      </c>
      <c r="W3165" s="46" t="str">
        <f t="shared" si="1318"/>
        <v/>
      </c>
      <c r="X3165" s="46" t="str">
        <f t="shared" si="1318"/>
        <v/>
      </c>
    </row>
    <row r="3166" spans="2:24" x14ac:dyDescent="0.25">
      <c r="B3166" s="11" t="str">
        <f t="shared" si="1335"/>
        <v>LPRV-04SEP1909</v>
      </c>
      <c r="C3166" s="11" t="s">
        <v>2053</v>
      </c>
      <c r="D3166" s="11" t="s">
        <v>1699</v>
      </c>
      <c r="E3166" s="39" t="s">
        <v>87</v>
      </c>
      <c r="F3166" s="11" t="s">
        <v>1700</v>
      </c>
      <c r="G3166" s="39" t="s">
        <v>1233</v>
      </c>
      <c r="H3166" s="7">
        <v>0</v>
      </c>
      <c r="I3166" s="7">
        <v>0</v>
      </c>
      <c r="J3166" s="17">
        <v>0</v>
      </c>
      <c r="K3166" s="17"/>
      <c r="L3166" s="7">
        <f t="shared" si="1336"/>
        <v>0</v>
      </c>
      <c r="M3166" s="8">
        <v>1</v>
      </c>
      <c r="N3166" s="8" t="str">
        <f t="shared" si="1337"/>
        <v/>
      </c>
      <c r="O3166" s="11" t="s">
        <v>1702</v>
      </c>
      <c r="P3166" s="16" t="str">
        <f t="shared" si="1338"/>
        <v>04-Sep-1909</v>
      </c>
      <c r="R3166" s="16" t="str">
        <f t="shared" si="1334"/>
        <v/>
      </c>
      <c r="S3166" s="16" t="str">
        <f t="shared" si="1334"/>
        <v/>
      </c>
      <c r="T3166" s="11"/>
      <c r="U3166" s="46" t="str">
        <f t="shared" si="1318"/>
        <v/>
      </c>
      <c r="V3166" s="46">
        <f t="shared" si="1318"/>
        <v>0</v>
      </c>
      <c r="W3166" s="46" t="str">
        <f t="shared" si="1318"/>
        <v/>
      </c>
      <c r="X3166" s="46" t="str">
        <f t="shared" si="1318"/>
        <v/>
      </c>
    </row>
    <row r="3167" spans="2:24" x14ac:dyDescent="0.25">
      <c r="B3167" s="11" t="str">
        <f t="shared" si="1335"/>
        <v>LPRV-26SEP1909</v>
      </c>
      <c r="C3167" s="11" t="s">
        <v>2053</v>
      </c>
      <c r="D3167" s="11" t="s">
        <v>1699</v>
      </c>
      <c r="E3167" s="39" t="s">
        <v>936</v>
      </c>
      <c r="F3167" s="11" t="s">
        <v>1700</v>
      </c>
      <c r="G3167" s="39" t="s">
        <v>1234</v>
      </c>
      <c r="H3167" s="7">
        <v>1</v>
      </c>
      <c r="I3167" s="7">
        <v>0</v>
      </c>
      <c r="J3167" s="17">
        <v>0</v>
      </c>
      <c r="K3167" s="17"/>
      <c r="L3167" s="7">
        <f t="shared" si="1336"/>
        <v>1</v>
      </c>
      <c r="M3167" s="8">
        <v>1</v>
      </c>
      <c r="N3167" s="8">
        <f t="shared" si="1337"/>
        <v>1</v>
      </c>
      <c r="O3167" s="11" t="s">
        <v>1702</v>
      </c>
      <c r="P3167" s="16" t="str">
        <f t="shared" si="1338"/>
        <v>26-Sep-1909</v>
      </c>
      <c r="R3167" s="16" t="str">
        <f t="shared" si="1334"/>
        <v>x</v>
      </c>
      <c r="S3167" s="16" t="str">
        <f t="shared" si="1334"/>
        <v>x</v>
      </c>
      <c r="T3167" s="11"/>
      <c r="U3167" s="46" t="str">
        <f t="shared" si="1318"/>
        <v/>
      </c>
      <c r="V3167" s="46">
        <f t="shared" si="1318"/>
        <v>1</v>
      </c>
      <c r="W3167" s="46" t="str">
        <f t="shared" si="1318"/>
        <v/>
      </c>
      <c r="X3167" s="46" t="str">
        <f t="shared" si="1318"/>
        <v/>
      </c>
    </row>
    <row r="3168" spans="2:24" x14ac:dyDescent="0.25">
      <c r="B3168" s="11" t="str">
        <f t="shared" si="1335"/>
        <v>LPRV-23OCT1909</v>
      </c>
      <c r="C3168" s="11" t="s">
        <v>2053</v>
      </c>
      <c r="D3168" s="11" t="s">
        <v>1699</v>
      </c>
      <c r="E3168" s="39" t="s">
        <v>1240</v>
      </c>
      <c r="F3168" s="11" t="s">
        <v>1700</v>
      </c>
      <c r="G3168" s="39" t="s">
        <v>1847</v>
      </c>
      <c r="H3168" s="7">
        <v>0</v>
      </c>
      <c r="I3168" s="7">
        <v>0</v>
      </c>
      <c r="J3168" s="17">
        <v>1</v>
      </c>
      <c r="K3168" s="17"/>
      <c r="L3168" s="7">
        <f t="shared" si="1336"/>
        <v>1</v>
      </c>
      <c r="M3168" s="8">
        <v>1</v>
      </c>
      <c r="N3168" s="8">
        <f t="shared" si="1337"/>
        <v>1</v>
      </c>
      <c r="O3168" s="11" t="s">
        <v>1702</v>
      </c>
      <c r="P3168" s="16" t="str">
        <f t="shared" si="1338"/>
        <v>23-Oct-1909</v>
      </c>
      <c r="R3168" s="16" t="str">
        <f t="shared" si="1334"/>
        <v>x</v>
      </c>
      <c r="S3168" s="16" t="str">
        <f t="shared" si="1334"/>
        <v>x</v>
      </c>
      <c r="T3168" s="11"/>
      <c r="U3168" s="46" t="str">
        <f t="shared" si="1318"/>
        <v/>
      </c>
      <c r="V3168" s="46">
        <f t="shared" si="1318"/>
        <v>1</v>
      </c>
      <c r="W3168" s="46" t="str">
        <f t="shared" si="1318"/>
        <v/>
      </c>
      <c r="X3168" s="46" t="str">
        <f t="shared" si="1318"/>
        <v/>
      </c>
    </row>
    <row r="3169" spans="2:24" x14ac:dyDescent="0.25">
      <c r="B3169" s="11" t="str">
        <f t="shared" si="1335"/>
        <v>LPRV-20NOV1909</v>
      </c>
      <c r="C3169" s="11" t="s">
        <v>2053</v>
      </c>
      <c r="D3169" s="11" t="s">
        <v>1699</v>
      </c>
      <c r="E3169" s="39" t="s">
        <v>1241</v>
      </c>
      <c r="F3169" s="11" t="s">
        <v>1700</v>
      </c>
      <c r="G3169" s="39" t="s">
        <v>1849</v>
      </c>
      <c r="H3169" s="7">
        <v>0</v>
      </c>
      <c r="I3169" s="7">
        <v>0</v>
      </c>
      <c r="J3169" s="17">
        <v>0</v>
      </c>
      <c r="K3169" s="17"/>
      <c r="L3169" s="7">
        <f t="shared" si="1336"/>
        <v>0</v>
      </c>
      <c r="M3169" s="8">
        <v>1</v>
      </c>
      <c r="N3169" s="8" t="str">
        <f t="shared" si="1337"/>
        <v/>
      </c>
      <c r="O3169" s="11" t="s">
        <v>1702</v>
      </c>
      <c r="P3169" s="16" t="str">
        <f t="shared" si="1338"/>
        <v>20-Nov-1909</v>
      </c>
      <c r="R3169" s="16" t="str">
        <f t="shared" si="1334"/>
        <v/>
      </c>
      <c r="S3169" s="16" t="str">
        <f t="shared" si="1334"/>
        <v/>
      </c>
      <c r="T3169" s="11"/>
      <c r="U3169" s="46" t="str">
        <f t="shared" si="1318"/>
        <v/>
      </c>
      <c r="V3169" s="46">
        <f t="shared" si="1318"/>
        <v>0</v>
      </c>
      <c r="W3169" s="46" t="str">
        <f t="shared" si="1318"/>
        <v/>
      </c>
      <c r="X3169" s="46" t="str">
        <f t="shared" si="1318"/>
        <v/>
      </c>
    </row>
    <row r="3170" spans="2:24" x14ac:dyDescent="0.25">
      <c r="B3170" s="11" t="str">
        <f t="shared" si="1335"/>
        <v>LPRV-18DEC1909</v>
      </c>
      <c r="C3170" s="11" t="s">
        <v>2053</v>
      </c>
      <c r="D3170" s="11" t="s">
        <v>1699</v>
      </c>
      <c r="E3170" s="39" t="s">
        <v>1242</v>
      </c>
      <c r="F3170" s="11" t="s">
        <v>1700</v>
      </c>
      <c r="G3170" s="39" t="s">
        <v>1851</v>
      </c>
      <c r="H3170" s="7">
        <v>0</v>
      </c>
      <c r="I3170" s="7">
        <v>2</v>
      </c>
      <c r="J3170" s="17">
        <v>32</v>
      </c>
      <c r="K3170" s="17"/>
      <c r="L3170" s="7">
        <f t="shared" si="1336"/>
        <v>34</v>
      </c>
      <c r="M3170" s="8">
        <v>1</v>
      </c>
      <c r="N3170" s="8">
        <f t="shared" si="1337"/>
        <v>1</v>
      </c>
      <c r="O3170" s="11" t="s">
        <v>1702</v>
      </c>
      <c r="P3170" s="16" t="str">
        <f t="shared" si="1338"/>
        <v>18-Dec-1909</v>
      </c>
      <c r="R3170" s="16" t="str">
        <f t="shared" si="1334"/>
        <v>x</v>
      </c>
      <c r="S3170" s="16" t="str">
        <f t="shared" si="1334"/>
        <v>x</v>
      </c>
      <c r="T3170" s="11"/>
      <c r="U3170" s="46" t="str">
        <f t="shared" si="1318"/>
        <v/>
      </c>
      <c r="V3170" s="46">
        <f t="shared" si="1318"/>
        <v>34</v>
      </c>
      <c r="W3170" s="46" t="str">
        <f t="shared" si="1318"/>
        <v/>
      </c>
      <c r="X3170" s="46" t="str">
        <f t="shared" si="1318"/>
        <v/>
      </c>
    </row>
    <row r="3171" spans="2:24" x14ac:dyDescent="0.25">
      <c r="B3171" s="11" t="str">
        <f t="shared" si="1335"/>
        <v>LPRV-13FEB1910</v>
      </c>
      <c r="C3171" s="11" t="s">
        <v>2053</v>
      </c>
      <c r="D3171" s="11" t="s">
        <v>1699</v>
      </c>
      <c r="E3171" s="39" t="s">
        <v>1247</v>
      </c>
      <c r="F3171" s="11" t="s">
        <v>1700</v>
      </c>
      <c r="G3171" s="39" t="s">
        <v>1243</v>
      </c>
      <c r="H3171" s="7">
        <v>0</v>
      </c>
      <c r="I3171" s="7">
        <v>0</v>
      </c>
      <c r="J3171" s="17">
        <v>0</v>
      </c>
      <c r="K3171" s="17"/>
      <c r="L3171" s="7">
        <f t="shared" si="1336"/>
        <v>0</v>
      </c>
      <c r="M3171" s="8">
        <v>1</v>
      </c>
      <c r="N3171" s="8" t="str">
        <f t="shared" si="1337"/>
        <v/>
      </c>
      <c r="O3171" s="11" t="s">
        <v>1702</v>
      </c>
      <c r="P3171" s="16" t="str">
        <f t="shared" si="1338"/>
        <v>13-Feb-1910</v>
      </c>
      <c r="R3171" s="16" t="str">
        <f t="shared" si="1334"/>
        <v/>
      </c>
      <c r="S3171" s="16" t="str">
        <f t="shared" si="1334"/>
        <v/>
      </c>
      <c r="T3171" s="11"/>
      <c r="U3171" s="46" t="str">
        <f t="shared" si="1318"/>
        <v/>
      </c>
      <c r="V3171" s="46">
        <f t="shared" si="1318"/>
        <v>0</v>
      </c>
      <c r="W3171" s="46" t="str">
        <f t="shared" si="1318"/>
        <v/>
      </c>
      <c r="X3171" s="46" t="str">
        <f t="shared" si="1318"/>
        <v/>
      </c>
    </row>
    <row r="3172" spans="2:24" x14ac:dyDescent="0.25">
      <c r="B3172" s="11" t="str">
        <f t="shared" si="1335"/>
        <v>LPRV-12MAR1910</v>
      </c>
      <c r="C3172" s="11" t="s">
        <v>2053</v>
      </c>
      <c r="D3172" s="11" t="s">
        <v>1699</v>
      </c>
      <c r="E3172" s="39" t="s">
        <v>1248</v>
      </c>
      <c r="F3172" s="11" t="s">
        <v>1700</v>
      </c>
      <c r="G3172" s="39" t="s">
        <v>1855</v>
      </c>
      <c r="H3172" s="7">
        <v>0</v>
      </c>
      <c r="I3172" s="7">
        <v>1</v>
      </c>
      <c r="J3172" s="17">
        <v>0</v>
      </c>
      <c r="K3172" s="17"/>
      <c r="L3172" s="7">
        <f t="shared" si="1336"/>
        <v>1</v>
      </c>
      <c r="M3172" s="8">
        <v>1</v>
      </c>
      <c r="N3172" s="8">
        <f t="shared" si="1337"/>
        <v>1</v>
      </c>
      <c r="O3172" s="11" t="s">
        <v>1702</v>
      </c>
      <c r="P3172" s="16" t="str">
        <f t="shared" si="1338"/>
        <v>12-Mar-1910</v>
      </c>
      <c r="R3172" s="16" t="str">
        <f t="shared" si="1334"/>
        <v>x</v>
      </c>
      <c r="S3172" s="16" t="str">
        <f t="shared" si="1334"/>
        <v>x</v>
      </c>
      <c r="T3172" s="11"/>
      <c r="U3172" s="46" t="str">
        <f t="shared" si="1318"/>
        <v/>
      </c>
      <c r="V3172" s="46">
        <f t="shared" si="1318"/>
        <v>1</v>
      </c>
      <c r="W3172" s="46" t="str">
        <f t="shared" si="1318"/>
        <v/>
      </c>
      <c r="X3172" s="46" t="str">
        <f t="shared" si="1318"/>
        <v/>
      </c>
    </row>
    <row r="3173" spans="2:24" x14ac:dyDescent="0.25">
      <c r="B3173" s="11" t="str">
        <f t="shared" si="1335"/>
        <v>LPRV-09APR1910</v>
      </c>
      <c r="C3173" s="11" t="s">
        <v>2053</v>
      </c>
      <c r="D3173" s="11" t="s">
        <v>1699</v>
      </c>
      <c r="E3173" s="39" t="s">
        <v>1249</v>
      </c>
      <c r="F3173" s="11" t="s">
        <v>1700</v>
      </c>
      <c r="G3173" s="39" t="s">
        <v>1858</v>
      </c>
      <c r="H3173" s="7">
        <v>0</v>
      </c>
      <c r="I3173" s="7">
        <v>0</v>
      </c>
      <c r="J3173" s="17">
        <v>0</v>
      </c>
      <c r="K3173" s="17"/>
      <c r="L3173" s="7">
        <f t="shared" si="1336"/>
        <v>0</v>
      </c>
      <c r="M3173" s="8">
        <v>1</v>
      </c>
      <c r="N3173" s="8" t="str">
        <f t="shared" si="1337"/>
        <v/>
      </c>
      <c r="O3173" s="11" t="s">
        <v>1702</v>
      </c>
      <c r="P3173" s="16" t="str">
        <f t="shared" si="1338"/>
        <v>09-Apr-1910</v>
      </c>
      <c r="R3173" s="16" t="str">
        <f t="shared" si="1334"/>
        <v/>
      </c>
      <c r="S3173" s="16" t="str">
        <f t="shared" si="1334"/>
        <v/>
      </c>
      <c r="T3173" s="11"/>
      <c r="U3173" s="46" t="str">
        <f t="shared" si="1318"/>
        <v/>
      </c>
      <c r="V3173" s="46">
        <f t="shared" si="1318"/>
        <v>0</v>
      </c>
      <c r="W3173" s="46" t="str">
        <f t="shared" si="1318"/>
        <v/>
      </c>
      <c r="X3173" s="46" t="str">
        <f t="shared" si="1318"/>
        <v/>
      </c>
    </row>
    <row r="3174" spans="2:24" x14ac:dyDescent="0.25">
      <c r="B3174" s="11" t="str">
        <f t="shared" si="1335"/>
        <v>LPRV-11JUN1910</v>
      </c>
      <c r="C3174" s="11" t="s">
        <v>2053</v>
      </c>
      <c r="D3174" s="11" t="s">
        <v>1699</v>
      </c>
      <c r="E3174" s="39" t="s">
        <v>1250</v>
      </c>
      <c r="F3174" s="11" t="s">
        <v>1700</v>
      </c>
      <c r="G3174" s="39" t="s">
        <v>947</v>
      </c>
      <c r="H3174" s="7">
        <v>0</v>
      </c>
      <c r="I3174" s="7">
        <v>0</v>
      </c>
      <c r="J3174" s="17">
        <v>15</v>
      </c>
      <c r="K3174" s="17"/>
      <c r="L3174" s="7">
        <f t="shared" si="1336"/>
        <v>15</v>
      </c>
      <c r="M3174" s="8">
        <v>1</v>
      </c>
      <c r="N3174" s="8">
        <f t="shared" si="1337"/>
        <v>1</v>
      </c>
      <c r="O3174" s="11" t="s">
        <v>1702</v>
      </c>
      <c r="P3174" s="16" t="str">
        <f t="shared" si="1338"/>
        <v>11-Jun-1910</v>
      </c>
      <c r="R3174" s="16" t="str">
        <f t="shared" si="1334"/>
        <v>x</v>
      </c>
      <c r="S3174" s="16" t="str">
        <f t="shared" si="1334"/>
        <v>x</v>
      </c>
      <c r="T3174" s="11"/>
      <c r="U3174" s="46" t="str">
        <f t="shared" si="1318"/>
        <v/>
      </c>
      <c r="V3174" s="46">
        <f t="shared" si="1318"/>
        <v>15</v>
      </c>
      <c r="W3174" s="46" t="str">
        <f t="shared" si="1318"/>
        <v/>
      </c>
      <c r="X3174" s="46" t="str">
        <f t="shared" si="1318"/>
        <v/>
      </c>
    </row>
    <row r="3175" spans="2:24" x14ac:dyDescent="0.25">
      <c r="B3175" s="11" t="str">
        <f t="shared" si="1335"/>
        <v>LPRV-02JUL1910</v>
      </c>
      <c r="C3175" s="11" t="s">
        <v>2053</v>
      </c>
      <c r="D3175" s="11" t="s">
        <v>1699</v>
      </c>
      <c r="E3175" s="39" t="s">
        <v>1251</v>
      </c>
      <c r="F3175" s="11" t="s">
        <v>1700</v>
      </c>
      <c r="G3175" s="39" t="s">
        <v>893</v>
      </c>
      <c r="H3175" s="7">
        <v>0</v>
      </c>
      <c r="I3175" s="7">
        <v>6</v>
      </c>
      <c r="J3175" s="17">
        <v>24</v>
      </c>
      <c r="K3175" s="17"/>
      <c r="L3175" s="7">
        <f t="shared" si="1336"/>
        <v>30</v>
      </c>
      <c r="M3175" s="8">
        <v>1</v>
      </c>
      <c r="N3175" s="8">
        <f t="shared" si="1337"/>
        <v>1</v>
      </c>
      <c r="O3175" s="11" t="s">
        <v>1702</v>
      </c>
      <c r="P3175" s="16" t="str">
        <f t="shared" si="1338"/>
        <v>02-Jul-1910</v>
      </c>
      <c r="R3175" s="16" t="str">
        <f t="shared" si="1334"/>
        <v>x</v>
      </c>
      <c r="S3175" s="16" t="str">
        <f t="shared" si="1334"/>
        <v>x</v>
      </c>
      <c r="T3175" s="11"/>
      <c r="U3175" s="46" t="str">
        <f t="shared" si="1318"/>
        <v/>
      </c>
      <c r="V3175" s="46">
        <f t="shared" si="1318"/>
        <v>30</v>
      </c>
      <c r="W3175" s="46" t="str">
        <f t="shared" si="1318"/>
        <v/>
      </c>
      <c r="X3175" s="46" t="str">
        <f t="shared" si="1318"/>
        <v/>
      </c>
    </row>
    <row r="3176" spans="2:24" x14ac:dyDescent="0.25">
      <c r="B3176" s="11" t="str">
        <f t="shared" si="1335"/>
        <v>LPRV-13AUG1910</v>
      </c>
      <c r="C3176" s="11" t="s">
        <v>2053</v>
      </c>
      <c r="D3176" s="11" t="s">
        <v>1699</v>
      </c>
      <c r="E3176" s="39" t="s">
        <v>1252</v>
      </c>
      <c r="F3176" s="11" t="s">
        <v>1700</v>
      </c>
      <c r="G3176" s="39" t="s">
        <v>1863</v>
      </c>
      <c r="H3176" s="7">
        <v>0</v>
      </c>
      <c r="I3176" s="7">
        <v>1</v>
      </c>
      <c r="J3176" s="17">
        <v>21</v>
      </c>
      <c r="K3176" s="17"/>
      <c r="L3176" s="7">
        <f t="shared" si="1336"/>
        <v>22</v>
      </c>
      <c r="M3176" s="8">
        <v>1</v>
      </c>
      <c r="N3176" s="8">
        <f t="shared" si="1337"/>
        <v>1</v>
      </c>
      <c r="O3176" s="11" t="s">
        <v>1702</v>
      </c>
      <c r="P3176" s="16" t="str">
        <f t="shared" si="1338"/>
        <v>13-Aug-1910</v>
      </c>
      <c r="R3176" s="16" t="str">
        <f t="shared" si="1334"/>
        <v>x</v>
      </c>
      <c r="S3176" s="16" t="str">
        <f t="shared" si="1334"/>
        <v>x</v>
      </c>
      <c r="T3176" s="11"/>
      <c r="U3176" s="46" t="str">
        <f t="shared" si="1318"/>
        <v/>
      </c>
      <c r="V3176" s="46">
        <f t="shared" si="1318"/>
        <v>22</v>
      </c>
      <c r="W3176" s="46" t="str">
        <f t="shared" si="1318"/>
        <v/>
      </c>
      <c r="X3176" s="46" t="str">
        <f t="shared" si="1318"/>
        <v/>
      </c>
    </row>
    <row r="3177" spans="2:24" x14ac:dyDescent="0.25">
      <c r="B3177" s="11" t="str">
        <f>CONCATENATE("LPRV","-",LEFT(P3177,2),UPPER(MID(P3177,4,3)),RIGHT(P3177,4))</f>
        <v>LPRV-04SEP1910</v>
      </c>
      <c r="C3177" s="11" t="s">
        <v>2053</v>
      </c>
      <c r="D3177" s="11" t="s">
        <v>1699</v>
      </c>
      <c r="E3177" s="39" t="s">
        <v>1253</v>
      </c>
      <c r="F3177" s="11" t="s">
        <v>1700</v>
      </c>
      <c r="G3177" s="39" t="s">
        <v>1244</v>
      </c>
      <c r="H3177" s="7">
        <v>0</v>
      </c>
      <c r="I3177" s="7">
        <v>0</v>
      </c>
      <c r="J3177" s="17">
        <v>9</v>
      </c>
      <c r="K3177" s="17"/>
      <c r="L3177" s="7">
        <f>SUM(H3177:K3177)</f>
        <v>9</v>
      </c>
      <c r="M3177" s="8">
        <v>1</v>
      </c>
      <c r="N3177" s="8">
        <f>IF(L3177&gt;0,1,"")</f>
        <v>1</v>
      </c>
      <c r="O3177" s="11" t="s">
        <v>1702</v>
      </c>
      <c r="P3177" s="16" t="str">
        <f>IF(LEN(G3177)=10,CONCATENATE("0",G3177),G3177)</f>
        <v>04-Sep-1910</v>
      </c>
      <c r="R3177" s="16" t="str">
        <f t="shared" si="1334"/>
        <v>x</v>
      </c>
      <c r="S3177" s="16" t="str">
        <f t="shared" si="1334"/>
        <v>x</v>
      </c>
      <c r="T3177" s="11"/>
      <c r="U3177" s="46" t="str">
        <f t="shared" si="1318"/>
        <v/>
      </c>
      <c r="V3177" s="46">
        <f t="shared" si="1318"/>
        <v>9</v>
      </c>
      <c r="W3177" s="46" t="str">
        <f t="shared" si="1318"/>
        <v/>
      </c>
      <c r="X3177" s="46" t="str">
        <f t="shared" si="1318"/>
        <v/>
      </c>
    </row>
    <row r="3178" spans="2:24" x14ac:dyDescent="0.25">
      <c r="B3178" s="11" t="str">
        <f>CONCATENATE("LPRV","-",LEFT(P3178,2),UPPER(MID(P3178,4,3)),RIGHT(P3178,4))</f>
        <v>LPRV-01OCT1910</v>
      </c>
      <c r="C3178" s="11" t="s">
        <v>2053</v>
      </c>
      <c r="D3178" s="11" t="s">
        <v>1699</v>
      </c>
      <c r="E3178" s="39" t="s">
        <v>1917</v>
      </c>
      <c r="F3178" s="11" t="s">
        <v>1700</v>
      </c>
      <c r="G3178" s="39" t="s">
        <v>1245</v>
      </c>
      <c r="H3178" s="7">
        <v>0</v>
      </c>
      <c r="I3178" s="7">
        <v>0</v>
      </c>
      <c r="J3178" s="17">
        <v>0</v>
      </c>
      <c r="K3178" s="17"/>
      <c r="L3178" s="7">
        <f>SUM(H3178:K3178)</f>
        <v>0</v>
      </c>
      <c r="M3178" s="8">
        <v>1</v>
      </c>
      <c r="N3178" s="8" t="str">
        <f>IF(L3178&gt;0,1,"")</f>
        <v/>
      </c>
      <c r="O3178" s="11" t="s">
        <v>1702</v>
      </c>
      <c r="P3178" s="16" t="str">
        <f>IF(LEN(G3178)=10,CONCATENATE("0",G3178),G3178)</f>
        <v>01-Oct-1910</v>
      </c>
      <c r="R3178" s="16" t="str">
        <f t="shared" si="1334"/>
        <v/>
      </c>
      <c r="S3178" s="16" t="str">
        <f t="shared" si="1334"/>
        <v/>
      </c>
      <c r="T3178" s="11"/>
      <c r="U3178" s="46" t="str">
        <f t="shared" si="1318"/>
        <v/>
      </c>
      <c r="V3178" s="46">
        <f t="shared" si="1318"/>
        <v>0</v>
      </c>
      <c r="W3178" s="46" t="str">
        <f t="shared" si="1318"/>
        <v/>
      </c>
      <c r="X3178" s="46" t="str">
        <f t="shared" si="1318"/>
        <v/>
      </c>
    </row>
    <row r="3179" spans="2:24" x14ac:dyDescent="0.25">
      <c r="B3179" s="11" t="str">
        <f>CONCATENATE("LPRV","-",LEFT(P3179,2),UPPER(MID(P3179,4,3)),RIGHT(P3179,4))</f>
        <v>LPRV-29OCT1910</v>
      </c>
      <c r="C3179" s="11" t="s">
        <v>2053</v>
      </c>
      <c r="D3179" s="11" t="s">
        <v>1699</v>
      </c>
      <c r="E3179" s="39" t="s">
        <v>1254</v>
      </c>
      <c r="F3179" s="11" t="s">
        <v>1700</v>
      </c>
      <c r="G3179" s="39" t="s">
        <v>1246</v>
      </c>
      <c r="H3179" s="7">
        <v>0</v>
      </c>
      <c r="I3179" s="7">
        <v>0</v>
      </c>
      <c r="J3179" s="17">
        <v>0</v>
      </c>
      <c r="K3179" s="17"/>
      <c r="L3179" s="7">
        <f>SUM(H3179:K3179)</f>
        <v>0</v>
      </c>
      <c r="M3179" s="8">
        <v>1</v>
      </c>
      <c r="N3179" s="8" t="str">
        <f>IF(L3179&gt;0,1,"")</f>
        <v/>
      </c>
      <c r="O3179" s="11" t="s">
        <v>1702</v>
      </c>
      <c r="P3179" s="16" t="str">
        <f>IF(LEN(G3179)=10,CONCATENATE("0",G3179),G3179)</f>
        <v>29-Oct-1910</v>
      </c>
      <c r="R3179" s="16" t="str">
        <f t="shared" si="1334"/>
        <v/>
      </c>
      <c r="S3179" s="16" t="str">
        <f t="shared" si="1334"/>
        <v/>
      </c>
      <c r="T3179" s="11"/>
      <c r="U3179" s="46" t="str">
        <f t="shared" si="1318"/>
        <v/>
      </c>
      <c r="V3179" s="46">
        <f t="shared" si="1318"/>
        <v>0</v>
      </c>
      <c r="W3179" s="46" t="str">
        <f t="shared" si="1318"/>
        <v/>
      </c>
      <c r="X3179" s="46" t="str">
        <f t="shared" si="1318"/>
        <v/>
      </c>
    </row>
    <row r="3180" spans="2:24" x14ac:dyDescent="0.25">
      <c r="B3180" s="11" t="str">
        <f>CONCATENATE("LPRV","-",LEFT(P3180,2),UPPER(MID(P3180,4,3)),RIGHT(P3180,4))</f>
        <v>LPRV-14JAN1911</v>
      </c>
      <c r="C3180" s="11" t="s">
        <v>2053</v>
      </c>
      <c r="D3180" s="11" t="s">
        <v>1699</v>
      </c>
      <c r="E3180" s="39" t="s">
        <v>1264</v>
      </c>
      <c r="F3180" s="11" t="s">
        <v>1700</v>
      </c>
      <c r="G3180" s="39" t="s">
        <v>897</v>
      </c>
      <c r="H3180" s="7">
        <v>0</v>
      </c>
      <c r="I3180" s="7">
        <v>0</v>
      </c>
      <c r="J3180" s="17">
        <v>8</v>
      </c>
      <c r="K3180" s="17"/>
      <c r="L3180" s="7">
        <f>SUM(H3180:K3180)</f>
        <v>8</v>
      </c>
      <c r="M3180" s="8">
        <v>1</v>
      </c>
      <c r="N3180" s="8">
        <f>IF(L3180&gt;0,1,"")</f>
        <v>1</v>
      </c>
      <c r="O3180" s="11" t="s">
        <v>1702</v>
      </c>
      <c r="P3180" s="16" t="str">
        <f>IF(LEN(G3180)=10,CONCATENATE("0",G3180),G3180)</f>
        <v>14-Jan-1911</v>
      </c>
      <c r="R3180" s="16" t="str">
        <f t="shared" si="1334"/>
        <v>x</v>
      </c>
      <c r="S3180" s="16" t="str">
        <f t="shared" si="1334"/>
        <v>x</v>
      </c>
      <c r="T3180" s="11"/>
      <c r="U3180" s="46" t="str">
        <f t="shared" si="1318"/>
        <v/>
      </c>
      <c r="V3180" s="46">
        <f t="shared" si="1318"/>
        <v>8</v>
      </c>
      <c r="W3180" s="46" t="str">
        <f t="shared" si="1318"/>
        <v/>
      </c>
      <c r="X3180" s="46" t="str">
        <f t="shared" si="1318"/>
        <v/>
      </c>
    </row>
    <row r="3181" spans="2:24" x14ac:dyDescent="0.25">
      <c r="B3181" s="11" t="str">
        <f t="shared" ref="B3181:B3192" si="1339">CONCATENATE("LPRV","-",LEFT(P3181,2),UPPER(MID(P3181,4,3)),RIGHT(P3181,4))</f>
        <v>LPRV-11FEB1911</v>
      </c>
      <c r="C3181" s="11" t="s">
        <v>2053</v>
      </c>
      <c r="D3181" s="11" t="s">
        <v>1699</v>
      </c>
      <c r="E3181" s="39" t="s">
        <v>1265</v>
      </c>
      <c r="F3181" s="11" t="s">
        <v>1700</v>
      </c>
      <c r="G3181" s="39" t="s">
        <v>1255</v>
      </c>
      <c r="H3181" s="7">
        <v>0</v>
      </c>
      <c r="I3181" s="7">
        <v>0</v>
      </c>
      <c r="J3181" s="17">
        <v>0</v>
      </c>
      <c r="K3181" s="17"/>
      <c r="L3181" s="7">
        <f t="shared" ref="L3181:L3192" si="1340">SUM(H3181:K3181)</f>
        <v>0</v>
      </c>
      <c r="M3181" s="8">
        <v>1</v>
      </c>
      <c r="N3181" s="8" t="str">
        <f t="shared" ref="N3181:N3192" si="1341">IF(L3181&gt;0,1,"")</f>
        <v/>
      </c>
      <c r="O3181" s="11" t="s">
        <v>1702</v>
      </c>
      <c r="P3181" s="16" t="str">
        <f t="shared" ref="P3181:P3192" si="1342">IF(LEN(G3181)=10,CONCATENATE("0",G3181),G3181)</f>
        <v>11-Feb-1911</v>
      </c>
      <c r="R3181" s="16" t="str">
        <f t="shared" ref="R3181:S3222" si="1343">IF($L3181&gt;0,"x","")</f>
        <v/>
      </c>
      <c r="S3181" s="16" t="str">
        <f t="shared" si="1343"/>
        <v/>
      </c>
      <c r="T3181" s="11"/>
      <c r="U3181" s="46" t="str">
        <f t="shared" si="1318"/>
        <v/>
      </c>
      <c r="V3181" s="46">
        <f t="shared" si="1318"/>
        <v>0</v>
      </c>
      <c r="W3181" s="46" t="str">
        <f t="shared" si="1318"/>
        <v/>
      </c>
      <c r="X3181" s="46" t="str">
        <f t="shared" si="1318"/>
        <v/>
      </c>
    </row>
    <row r="3182" spans="2:24" x14ac:dyDescent="0.25">
      <c r="B3182" s="11" t="str">
        <f t="shared" si="1339"/>
        <v>LPRV-11MAR1911</v>
      </c>
      <c r="C3182" s="11" t="s">
        <v>2053</v>
      </c>
      <c r="D3182" s="11" t="s">
        <v>1699</v>
      </c>
      <c r="E3182" s="39" t="s">
        <v>1266</v>
      </c>
      <c r="F3182" s="11" t="s">
        <v>1700</v>
      </c>
      <c r="G3182" s="39" t="s">
        <v>1873</v>
      </c>
      <c r="H3182" s="7">
        <v>0</v>
      </c>
      <c r="I3182" s="7">
        <v>0</v>
      </c>
      <c r="J3182" s="17">
        <v>0</v>
      </c>
      <c r="K3182" s="17"/>
      <c r="L3182" s="7">
        <f t="shared" si="1340"/>
        <v>0</v>
      </c>
      <c r="M3182" s="8">
        <v>1</v>
      </c>
      <c r="N3182" s="8" t="str">
        <f t="shared" si="1341"/>
        <v/>
      </c>
      <c r="O3182" s="11" t="s">
        <v>1702</v>
      </c>
      <c r="P3182" s="16" t="str">
        <f t="shared" si="1342"/>
        <v>11-Mar-1911</v>
      </c>
      <c r="R3182" s="16" t="str">
        <f t="shared" si="1343"/>
        <v/>
      </c>
      <c r="S3182" s="16" t="str">
        <f t="shared" si="1343"/>
        <v/>
      </c>
      <c r="T3182" s="11"/>
      <c r="U3182" s="46" t="str">
        <f t="shared" si="1318"/>
        <v/>
      </c>
      <c r="V3182" s="46">
        <f t="shared" si="1318"/>
        <v>0</v>
      </c>
      <c r="W3182" s="46" t="str">
        <f t="shared" si="1318"/>
        <v/>
      </c>
      <c r="X3182" s="46" t="str">
        <f t="shared" si="1318"/>
        <v/>
      </c>
    </row>
    <row r="3183" spans="2:24" x14ac:dyDescent="0.25">
      <c r="B3183" s="11" t="str">
        <f t="shared" si="1339"/>
        <v>LPRV-08APR1911</v>
      </c>
      <c r="C3183" s="11" t="s">
        <v>2053</v>
      </c>
      <c r="D3183" s="11" t="s">
        <v>1699</v>
      </c>
      <c r="E3183" s="39" t="s">
        <v>899</v>
      </c>
      <c r="F3183" s="11" t="s">
        <v>1700</v>
      </c>
      <c r="G3183" s="39" t="s">
        <v>1875</v>
      </c>
      <c r="H3183" s="7">
        <v>0</v>
      </c>
      <c r="I3183" s="7">
        <v>0</v>
      </c>
      <c r="J3183" s="17">
        <v>0</v>
      </c>
      <c r="K3183" s="17"/>
      <c r="L3183" s="7">
        <f t="shared" si="1340"/>
        <v>0</v>
      </c>
      <c r="M3183" s="8">
        <v>1</v>
      </c>
      <c r="N3183" s="8" t="str">
        <f t="shared" si="1341"/>
        <v/>
      </c>
      <c r="O3183" s="11" t="s">
        <v>1702</v>
      </c>
      <c r="P3183" s="16" t="str">
        <f t="shared" si="1342"/>
        <v>08-Apr-1911</v>
      </c>
      <c r="R3183" s="16" t="str">
        <f t="shared" si="1343"/>
        <v/>
      </c>
      <c r="S3183" s="16" t="str">
        <f t="shared" si="1343"/>
        <v/>
      </c>
      <c r="T3183" s="11"/>
      <c r="U3183" s="46" t="str">
        <f t="shared" si="1318"/>
        <v/>
      </c>
      <c r="V3183" s="46">
        <f t="shared" si="1318"/>
        <v>0</v>
      </c>
      <c r="W3183" s="46" t="str">
        <f t="shared" si="1318"/>
        <v/>
      </c>
      <c r="X3183" s="46" t="str">
        <f>IF($O3183=X$5,$L3183,"")</f>
        <v/>
      </c>
    </row>
    <row r="3184" spans="2:24" x14ac:dyDescent="0.25">
      <c r="B3184" s="11" t="str">
        <f t="shared" si="1339"/>
        <v>LPRV-06MAY1911</v>
      </c>
      <c r="C3184" s="11" t="s">
        <v>2053</v>
      </c>
      <c r="D3184" s="11" t="s">
        <v>1699</v>
      </c>
      <c r="E3184" s="39" t="s">
        <v>900</v>
      </c>
      <c r="F3184" s="11" t="s">
        <v>1700</v>
      </c>
      <c r="G3184" s="39" t="s">
        <v>1877</v>
      </c>
      <c r="H3184" s="7">
        <v>0</v>
      </c>
      <c r="I3184" s="7">
        <v>0</v>
      </c>
      <c r="J3184" s="17">
        <v>0</v>
      </c>
      <c r="K3184" s="17"/>
      <c r="L3184" s="7">
        <f t="shared" si="1340"/>
        <v>0</v>
      </c>
      <c r="M3184" s="8">
        <v>1</v>
      </c>
      <c r="N3184" s="8" t="str">
        <f t="shared" si="1341"/>
        <v/>
      </c>
      <c r="O3184" s="11" t="s">
        <v>1702</v>
      </c>
      <c r="P3184" s="16" t="str">
        <f t="shared" si="1342"/>
        <v>06-May-1911</v>
      </c>
      <c r="R3184" s="16" t="str">
        <f t="shared" si="1343"/>
        <v/>
      </c>
      <c r="S3184" s="16" t="str">
        <f t="shared" si="1343"/>
        <v/>
      </c>
      <c r="T3184" s="11"/>
      <c r="U3184" s="46" t="str">
        <f t="shared" ref="U3184:X3247" si="1344">IF($O3184=U$5,$L3184,"")</f>
        <v/>
      </c>
      <c r="V3184" s="46">
        <f t="shared" si="1344"/>
        <v>0</v>
      </c>
      <c r="W3184" s="46" t="str">
        <f t="shared" si="1344"/>
        <v/>
      </c>
      <c r="X3184" s="46" t="str">
        <f t="shared" si="1344"/>
        <v/>
      </c>
    </row>
    <row r="3185" spans="2:24" x14ac:dyDescent="0.25">
      <c r="B3185" s="11" t="str">
        <f t="shared" si="1339"/>
        <v>LPRV-03JUN1911</v>
      </c>
      <c r="C3185" s="11" t="s">
        <v>2053</v>
      </c>
      <c r="D3185" s="11" t="s">
        <v>1699</v>
      </c>
      <c r="E3185" s="39" t="s">
        <v>1267</v>
      </c>
      <c r="F3185" s="11" t="s">
        <v>1700</v>
      </c>
      <c r="G3185" s="39" t="s">
        <v>1256</v>
      </c>
      <c r="I3185" s="7">
        <v>0</v>
      </c>
      <c r="J3185" s="17">
        <v>1</v>
      </c>
      <c r="K3185" s="17"/>
      <c r="L3185" s="7">
        <f t="shared" si="1340"/>
        <v>1</v>
      </c>
      <c r="M3185" s="8">
        <v>1</v>
      </c>
      <c r="N3185" s="8">
        <f t="shared" si="1341"/>
        <v>1</v>
      </c>
      <c r="O3185" s="11" t="s">
        <v>1702</v>
      </c>
      <c r="P3185" s="16" t="str">
        <f t="shared" si="1342"/>
        <v>03-Jun-1911</v>
      </c>
      <c r="R3185" s="16" t="str">
        <f t="shared" si="1343"/>
        <v>x</v>
      </c>
      <c r="S3185" s="16" t="str">
        <f t="shared" si="1343"/>
        <v>x</v>
      </c>
      <c r="T3185" s="11"/>
      <c r="U3185" s="46" t="str">
        <f t="shared" si="1344"/>
        <v/>
      </c>
      <c r="V3185" s="46">
        <f t="shared" si="1344"/>
        <v>1</v>
      </c>
      <c r="W3185" s="46" t="str">
        <f t="shared" si="1344"/>
        <v/>
      </c>
      <c r="X3185" s="46" t="str">
        <f t="shared" si="1344"/>
        <v/>
      </c>
    </row>
    <row r="3186" spans="2:24" x14ac:dyDescent="0.25">
      <c r="B3186" s="11" t="str">
        <f t="shared" si="1339"/>
        <v>LPRV-26JUN1911</v>
      </c>
      <c r="C3186" s="11" t="s">
        <v>2053</v>
      </c>
      <c r="D3186" s="11" t="s">
        <v>1699</v>
      </c>
      <c r="E3186" s="39" t="s">
        <v>1268</v>
      </c>
      <c r="F3186" s="11" t="s">
        <v>1700</v>
      </c>
      <c r="G3186" s="39" t="s">
        <v>1257</v>
      </c>
      <c r="I3186" s="7">
        <v>0</v>
      </c>
      <c r="J3186" s="17">
        <v>22</v>
      </c>
      <c r="K3186" s="17"/>
      <c r="L3186" s="7">
        <f t="shared" si="1340"/>
        <v>22</v>
      </c>
      <c r="M3186" s="8">
        <v>1</v>
      </c>
      <c r="N3186" s="8">
        <f t="shared" si="1341"/>
        <v>1</v>
      </c>
      <c r="O3186" s="11" t="s">
        <v>1702</v>
      </c>
      <c r="P3186" s="16" t="str">
        <f t="shared" si="1342"/>
        <v>26-Jun-1911</v>
      </c>
      <c r="R3186" s="16" t="str">
        <f t="shared" si="1343"/>
        <v>x</v>
      </c>
      <c r="S3186" s="16" t="str">
        <f t="shared" si="1343"/>
        <v>x</v>
      </c>
      <c r="T3186" s="11"/>
      <c r="U3186" s="46" t="str">
        <f t="shared" si="1344"/>
        <v/>
      </c>
      <c r="V3186" s="46">
        <f t="shared" si="1344"/>
        <v>22</v>
      </c>
      <c r="W3186" s="46" t="str">
        <f t="shared" si="1344"/>
        <v/>
      </c>
      <c r="X3186" s="46" t="str">
        <f t="shared" si="1344"/>
        <v/>
      </c>
    </row>
    <row r="3187" spans="2:24" x14ac:dyDescent="0.25">
      <c r="B3187" s="11" t="str">
        <f t="shared" si="1339"/>
        <v>LPRV-05AUG1911</v>
      </c>
      <c r="C3187" s="11" t="s">
        <v>2053</v>
      </c>
      <c r="D3187" s="11" t="s">
        <v>1699</v>
      </c>
      <c r="E3187" s="39" t="s">
        <v>1269</v>
      </c>
      <c r="F3187" s="11" t="s">
        <v>1700</v>
      </c>
      <c r="G3187" s="39" t="s">
        <v>1258</v>
      </c>
      <c r="H3187" s="7">
        <v>0</v>
      </c>
      <c r="I3187" s="7">
        <v>0</v>
      </c>
      <c r="J3187" s="17">
        <v>22</v>
      </c>
      <c r="K3187" s="17"/>
      <c r="L3187" s="7">
        <f t="shared" si="1340"/>
        <v>22</v>
      </c>
      <c r="M3187" s="8">
        <v>1</v>
      </c>
      <c r="N3187" s="8">
        <f t="shared" si="1341"/>
        <v>1</v>
      </c>
      <c r="O3187" s="11" t="s">
        <v>1702</v>
      </c>
      <c r="P3187" s="16" t="str">
        <f t="shared" si="1342"/>
        <v>05-Aug-1911</v>
      </c>
      <c r="R3187" s="16" t="str">
        <f t="shared" si="1343"/>
        <v>x</v>
      </c>
      <c r="S3187" s="16" t="str">
        <f t="shared" si="1343"/>
        <v>x</v>
      </c>
      <c r="T3187" s="11"/>
      <c r="U3187" s="46" t="str">
        <f t="shared" si="1344"/>
        <v/>
      </c>
      <c r="V3187" s="46">
        <f t="shared" si="1344"/>
        <v>22</v>
      </c>
      <c r="W3187" s="46" t="str">
        <f t="shared" si="1344"/>
        <v/>
      </c>
      <c r="X3187" s="46" t="str">
        <f t="shared" si="1344"/>
        <v/>
      </c>
    </row>
    <row r="3188" spans="2:24" x14ac:dyDescent="0.25">
      <c r="B3188" s="11" t="str">
        <f t="shared" si="1339"/>
        <v>LPRV-02SEP1911</v>
      </c>
      <c r="C3188" s="11" t="s">
        <v>2053</v>
      </c>
      <c r="D3188" s="11" t="s">
        <v>1699</v>
      </c>
      <c r="E3188" s="39" t="s">
        <v>1270</v>
      </c>
      <c r="F3188" s="11" t="s">
        <v>1700</v>
      </c>
      <c r="G3188" s="39" t="s">
        <v>1259</v>
      </c>
      <c r="H3188" s="7">
        <v>0</v>
      </c>
      <c r="I3188" s="7">
        <v>0</v>
      </c>
      <c r="J3188" s="17">
        <v>0</v>
      </c>
      <c r="K3188" s="17"/>
      <c r="L3188" s="7">
        <f t="shared" si="1340"/>
        <v>0</v>
      </c>
      <c r="M3188" s="8">
        <v>1</v>
      </c>
      <c r="N3188" s="8" t="str">
        <f t="shared" si="1341"/>
        <v/>
      </c>
      <c r="O3188" s="11" t="s">
        <v>1702</v>
      </c>
      <c r="P3188" s="16" t="str">
        <f t="shared" si="1342"/>
        <v>02-Sep-1911</v>
      </c>
      <c r="R3188" s="16" t="str">
        <f t="shared" si="1343"/>
        <v/>
      </c>
      <c r="S3188" s="16" t="str">
        <f t="shared" si="1343"/>
        <v/>
      </c>
      <c r="T3188" s="11"/>
      <c r="U3188" s="46" t="str">
        <f t="shared" si="1344"/>
        <v/>
      </c>
      <c r="V3188" s="46">
        <f t="shared" si="1344"/>
        <v>0</v>
      </c>
      <c r="W3188" s="46" t="str">
        <f t="shared" si="1344"/>
        <v/>
      </c>
      <c r="X3188" s="46" t="str">
        <f t="shared" si="1344"/>
        <v/>
      </c>
    </row>
    <row r="3189" spans="2:24" x14ac:dyDescent="0.25">
      <c r="B3189" s="11" t="str">
        <f t="shared" si="1339"/>
        <v>LPRV-23SEP1911</v>
      </c>
      <c r="C3189" s="11" t="s">
        <v>2053</v>
      </c>
      <c r="D3189" s="11" t="s">
        <v>1699</v>
      </c>
      <c r="E3189" s="39" t="s">
        <v>1271</v>
      </c>
      <c r="F3189" s="11" t="s">
        <v>1700</v>
      </c>
      <c r="G3189" s="39" t="s">
        <v>1260</v>
      </c>
      <c r="H3189" s="7">
        <v>0</v>
      </c>
      <c r="I3189" s="7">
        <v>0</v>
      </c>
      <c r="J3189" s="17">
        <v>0</v>
      </c>
      <c r="K3189" s="17"/>
      <c r="L3189" s="7">
        <f t="shared" si="1340"/>
        <v>0</v>
      </c>
      <c r="M3189" s="8">
        <v>1</v>
      </c>
      <c r="N3189" s="8" t="str">
        <f t="shared" si="1341"/>
        <v/>
      </c>
      <c r="O3189" s="11" t="s">
        <v>1702</v>
      </c>
      <c r="P3189" s="16" t="str">
        <f t="shared" si="1342"/>
        <v>23-Sep-1911</v>
      </c>
      <c r="R3189" s="16" t="str">
        <f t="shared" si="1343"/>
        <v/>
      </c>
      <c r="S3189" s="16" t="str">
        <f t="shared" si="1343"/>
        <v/>
      </c>
      <c r="T3189" s="11"/>
      <c r="U3189" s="46" t="str">
        <f t="shared" si="1344"/>
        <v/>
      </c>
      <c r="V3189" s="46">
        <f t="shared" si="1344"/>
        <v>0</v>
      </c>
      <c r="W3189" s="46" t="str">
        <f t="shared" si="1344"/>
        <v/>
      </c>
      <c r="X3189" s="46" t="str">
        <f t="shared" si="1344"/>
        <v/>
      </c>
    </row>
    <row r="3190" spans="2:24" x14ac:dyDescent="0.25">
      <c r="B3190" s="11" t="str">
        <f t="shared" si="1339"/>
        <v>LPRV-21OCT1911</v>
      </c>
      <c r="C3190" s="11" t="s">
        <v>2053</v>
      </c>
      <c r="D3190" s="11" t="s">
        <v>1699</v>
      </c>
      <c r="E3190" s="39" t="s">
        <v>1272</v>
      </c>
      <c r="F3190" s="11" t="s">
        <v>1700</v>
      </c>
      <c r="G3190" s="39" t="s">
        <v>1261</v>
      </c>
      <c r="H3190" s="7">
        <v>1</v>
      </c>
      <c r="I3190" s="7">
        <v>0</v>
      </c>
      <c r="J3190" s="17">
        <v>0</v>
      </c>
      <c r="K3190" s="17"/>
      <c r="L3190" s="7">
        <f t="shared" si="1340"/>
        <v>1</v>
      </c>
      <c r="M3190" s="8">
        <v>1</v>
      </c>
      <c r="N3190" s="8">
        <f t="shared" si="1341"/>
        <v>1</v>
      </c>
      <c r="O3190" s="11" t="s">
        <v>1702</v>
      </c>
      <c r="P3190" s="16" t="str">
        <f t="shared" si="1342"/>
        <v>21-Oct-1911</v>
      </c>
      <c r="R3190" s="16" t="str">
        <f t="shared" si="1343"/>
        <v>x</v>
      </c>
      <c r="S3190" s="16" t="str">
        <f t="shared" si="1343"/>
        <v>x</v>
      </c>
      <c r="T3190" s="11"/>
      <c r="U3190" s="46" t="str">
        <f t="shared" si="1344"/>
        <v/>
      </c>
      <c r="V3190" s="46">
        <f t="shared" si="1344"/>
        <v>1</v>
      </c>
      <c r="W3190" s="46" t="str">
        <f t="shared" si="1344"/>
        <v/>
      </c>
      <c r="X3190" s="46" t="str">
        <f t="shared" si="1344"/>
        <v/>
      </c>
    </row>
    <row r="3191" spans="2:24" x14ac:dyDescent="0.25">
      <c r="B3191" s="11" t="str">
        <f t="shared" si="1339"/>
        <v>LPRV-19NOV1911</v>
      </c>
      <c r="C3191" s="11" t="s">
        <v>2053</v>
      </c>
      <c r="D3191" s="11" t="s">
        <v>1699</v>
      </c>
      <c r="E3191" s="39" t="s">
        <v>1273</v>
      </c>
      <c r="F3191" s="11" t="s">
        <v>1700</v>
      </c>
      <c r="G3191" s="39" t="s">
        <v>1262</v>
      </c>
      <c r="H3191" s="7">
        <v>0</v>
      </c>
      <c r="I3191" s="7">
        <v>0</v>
      </c>
      <c r="J3191" s="17">
        <v>0</v>
      </c>
      <c r="K3191" s="17"/>
      <c r="L3191" s="7">
        <f t="shared" si="1340"/>
        <v>0</v>
      </c>
      <c r="M3191" s="8">
        <v>1</v>
      </c>
      <c r="N3191" s="8" t="str">
        <f t="shared" si="1341"/>
        <v/>
      </c>
      <c r="O3191" s="11" t="s">
        <v>1702</v>
      </c>
      <c r="P3191" s="16" t="str">
        <f t="shared" si="1342"/>
        <v>19-Nov-1911</v>
      </c>
      <c r="R3191" s="16" t="str">
        <f t="shared" si="1343"/>
        <v/>
      </c>
      <c r="S3191" s="16" t="str">
        <f t="shared" si="1343"/>
        <v/>
      </c>
      <c r="T3191" s="11"/>
      <c r="U3191" s="46" t="str">
        <f t="shared" si="1344"/>
        <v/>
      </c>
      <c r="V3191" s="46">
        <f t="shared" si="1344"/>
        <v>0</v>
      </c>
      <c r="W3191" s="46" t="str">
        <f t="shared" si="1344"/>
        <v/>
      </c>
      <c r="X3191" s="46" t="str">
        <f t="shared" si="1344"/>
        <v/>
      </c>
    </row>
    <row r="3192" spans="2:24" x14ac:dyDescent="0.25">
      <c r="B3192" s="11" t="str">
        <f t="shared" si="1339"/>
        <v>LPRV-16DEC1911</v>
      </c>
      <c r="C3192" s="11" t="s">
        <v>2053</v>
      </c>
      <c r="D3192" s="11" t="s">
        <v>1699</v>
      </c>
      <c r="E3192" s="39" t="s">
        <v>1274</v>
      </c>
      <c r="F3192" s="11" t="s">
        <v>1700</v>
      </c>
      <c r="G3192" s="39" t="s">
        <v>1263</v>
      </c>
      <c r="H3192" s="7">
        <v>0</v>
      </c>
      <c r="I3192" s="7">
        <v>1</v>
      </c>
      <c r="J3192" s="17">
        <v>0</v>
      </c>
      <c r="K3192" s="17"/>
      <c r="L3192" s="7">
        <f t="shared" si="1340"/>
        <v>1</v>
      </c>
      <c r="M3192" s="8">
        <v>1</v>
      </c>
      <c r="N3192" s="8">
        <f t="shared" si="1341"/>
        <v>1</v>
      </c>
      <c r="O3192" s="11" t="s">
        <v>1702</v>
      </c>
      <c r="P3192" s="16" t="str">
        <f t="shared" si="1342"/>
        <v>16-Dec-1911</v>
      </c>
      <c r="R3192" s="16" t="str">
        <f t="shared" si="1343"/>
        <v>x</v>
      </c>
      <c r="S3192" s="16" t="str">
        <f t="shared" si="1343"/>
        <v>x</v>
      </c>
      <c r="T3192" s="11"/>
      <c r="U3192" s="46" t="str">
        <f t="shared" si="1344"/>
        <v/>
      </c>
      <c r="V3192" s="46">
        <f t="shared" si="1344"/>
        <v>1</v>
      </c>
      <c r="W3192" s="46" t="str">
        <f t="shared" si="1344"/>
        <v/>
      </c>
      <c r="X3192" s="46" t="str">
        <f t="shared" si="1344"/>
        <v/>
      </c>
    </row>
    <row r="3193" spans="2:24" x14ac:dyDescent="0.25">
      <c r="B3193" s="11" t="str">
        <f t="shared" ref="B3193:B3202" si="1345">CONCATENATE("LPRV","-",LEFT(P3193,2),UPPER(MID(P3193,4,3)),RIGHT(P3193,4))</f>
        <v>LPRV-10FEB1912</v>
      </c>
      <c r="C3193" s="11" t="s">
        <v>2053</v>
      </c>
      <c r="D3193" s="11" t="s">
        <v>1699</v>
      </c>
      <c r="E3193" s="39" t="s">
        <v>1277</v>
      </c>
      <c r="F3193" s="11" t="s">
        <v>1700</v>
      </c>
      <c r="G3193" s="39" t="s">
        <v>998</v>
      </c>
      <c r="H3193" s="7">
        <v>0</v>
      </c>
      <c r="I3193" s="7">
        <v>0</v>
      </c>
      <c r="J3193" s="17">
        <v>4</v>
      </c>
      <c r="K3193" s="17"/>
      <c r="L3193" s="7">
        <f t="shared" ref="L3193:L3202" si="1346">SUM(H3193:K3193)</f>
        <v>4</v>
      </c>
      <c r="M3193" s="8">
        <v>1</v>
      </c>
      <c r="N3193" s="8">
        <f t="shared" ref="N3193:N3202" si="1347">IF(L3193&gt;0,1,"")</f>
        <v>1</v>
      </c>
      <c r="O3193" s="11" t="s">
        <v>1702</v>
      </c>
      <c r="P3193" s="16" t="str">
        <f t="shared" ref="P3193:P3202" si="1348">IF(LEN(G3193)=10,CONCATENATE("0",G3193),G3193)</f>
        <v>10-Feb-1912</v>
      </c>
      <c r="R3193" s="16" t="str">
        <f t="shared" si="1343"/>
        <v>x</v>
      </c>
      <c r="S3193" s="16" t="str">
        <f t="shared" si="1343"/>
        <v>x</v>
      </c>
      <c r="T3193" s="11"/>
      <c r="U3193" s="46" t="str">
        <f t="shared" si="1344"/>
        <v/>
      </c>
      <c r="V3193" s="46">
        <f t="shared" si="1344"/>
        <v>4</v>
      </c>
      <c r="W3193" s="46" t="str">
        <f t="shared" si="1344"/>
        <v/>
      </c>
      <c r="X3193" s="46" t="str">
        <f t="shared" si="1344"/>
        <v/>
      </c>
    </row>
    <row r="3194" spans="2:24" x14ac:dyDescent="0.25">
      <c r="B3194" s="11" t="str">
        <f t="shared" si="1345"/>
        <v>LPRV-10MAR1912</v>
      </c>
      <c r="C3194" s="11" t="s">
        <v>2053</v>
      </c>
      <c r="D3194" s="11" t="s">
        <v>1699</v>
      </c>
      <c r="E3194" s="39" t="s">
        <v>1278</v>
      </c>
      <c r="F3194" s="11" t="s">
        <v>1700</v>
      </c>
      <c r="G3194" s="39" t="s">
        <v>999</v>
      </c>
      <c r="H3194" s="7">
        <v>0</v>
      </c>
      <c r="I3194" s="7">
        <v>0</v>
      </c>
      <c r="J3194" s="17">
        <v>0</v>
      </c>
      <c r="K3194" s="17"/>
      <c r="L3194" s="7">
        <f t="shared" si="1346"/>
        <v>0</v>
      </c>
      <c r="M3194" s="8">
        <v>1</v>
      </c>
      <c r="N3194" s="8" t="str">
        <f t="shared" si="1347"/>
        <v/>
      </c>
      <c r="O3194" s="11" t="s">
        <v>1702</v>
      </c>
      <c r="P3194" s="16" t="str">
        <f t="shared" si="1348"/>
        <v>10-Mar-1912</v>
      </c>
      <c r="R3194" s="16" t="str">
        <f t="shared" si="1343"/>
        <v/>
      </c>
      <c r="S3194" s="16" t="str">
        <f t="shared" si="1343"/>
        <v/>
      </c>
      <c r="T3194" s="11"/>
      <c r="U3194" s="46" t="str">
        <f t="shared" si="1344"/>
        <v/>
      </c>
      <c r="V3194" s="46">
        <f t="shared" si="1344"/>
        <v>0</v>
      </c>
      <c r="W3194" s="46" t="str">
        <f t="shared" si="1344"/>
        <v/>
      </c>
      <c r="X3194" s="46" t="str">
        <f t="shared" si="1344"/>
        <v/>
      </c>
    </row>
    <row r="3195" spans="2:24" x14ac:dyDescent="0.25">
      <c r="B3195" s="11" t="str">
        <f t="shared" si="1345"/>
        <v>LPRV-06APR1912</v>
      </c>
      <c r="C3195" s="11" t="s">
        <v>2053</v>
      </c>
      <c r="D3195" s="11" t="s">
        <v>1699</v>
      </c>
      <c r="E3195" s="39" t="s">
        <v>1279</v>
      </c>
      <c r="F3195" s="11" t="s">
        <v>1700</v>
      </c>
      <c r="G3195" s="39" t="s">
        <v>2049</v>
      </c>
      <c r="H3195" s="7">
        <v>0</v>
      </c>
      <c r="I3195" s="7">
        <v>0</v>
      </c>
      <c r="J3195" s="17">
        <v>2</v>
      </c>
      <c r="K3195" s="17"/>
      <c r="L3195" s="7">
        <f t="shared" si="1346"/>
        <v>2</v>
      </c>
      <c r="M3195" s="8">
        <v>1</v>
      </c>
      <c r="N3195" s="8">
        <f t="shared" si="1347"/>
        <v>1</v>
      </c>
      <c r="O3195" s="11" t="s">
        <v>1702</v>
      </c>
      <c r="P3195" s="16" t="str">
        <f t="shared" si="1348"/>
        <v>06-Apr-1912</v>
      </c>
      <c r="R3195" s="16" t="str">
        <f t="shared" si="1343"/>
        <v>x</v>
      </c>
      <c r="S3195" s="16" t="str">
        <f t="shared" si="1343"/>
        <v>x</v>
      </c>
      <c r="T3195" s="11"/>
      <c r="U3195" s="46" t="str">
        <f t="shared" si="1344"/>
        <v/>
      </c>
      <c r="V3195" s="46">
        <f t="shared" si="1344"/>
        <v>2</v>
      </c>
      <c r="W3195" s="46" t="str">
        <f t="shared" si="1344"/>
        <v/>
      </c>
      <c r="X3195" s="46" t="str">
        <f t="shared" si="1344"/>
        <v/>
      </c>
    </row>
    <row r="3196" spans="2:24" x14ac:dyDescent="0.25">
      <c r="B3196" s="11" t="str">
        <f t="shared" si="1345"/>
        <v>LPRV-04MAY1912</v>
      </c>
      <c r="C3196" s="11" t="s">
        <v>2053</v>
      </c>
      <c r="D3196" s="11" t="s">
        <v>1699</v>
      </c>
      <c r="E3196" s="39" t="s">
        <v>1280</v>
      </c>
      <c r="F3196" s="11" t="s">
        <v>1700</v>
      </c>
      <c r="G3196" s="39" t="s">
        <v>913</v>
      </c>
      <c r="H3196" s="7">
        <v>0</v>
      </c>
      <c r="I3196" s="7">
        <v>2</v>
      </c>
      <c r="J3196" s="17">
        <v>15</v>
      </c>
      <c r="K3196" s="17"/>
      <c r="L3196" s="7">
        <f t="shared" si="1346"/>
        <v>17</v>
      </c>
      <c r="M3196" s="8">
        <v>1</v>
      </c>
      <c r="N3196" s="8">
        <f t="shared" si="1347"/>
        <v>1</v>
      </c>
      <c r="O3196" s="11" t="s">
        <v>1702</v>
      </c>
      <c r="P3196" s="16" t="str">
        <f t="shared" si="1348"/>
        <v>04-May-1912</v>
      </c>
      <c r="R3196" s="16" t="str">
        <f t="shared" si="1343"/>
        <v>x</v>
      </c>
      <c r="S3196" s="16" t="str">
        <f t="shared" si="1343"/>
        <v>x</v>
      </c>
      <c r="T3196" s="11"/>
      <c r="U3196" s="46" t="str">
        <f t="shared" si="1344"/>
        <v/>
      </c>
      <c r="V3196" s="46">
        <f t="shared" si="1344"/>
        <v>17</v>
      </c>
      <c r="W3196" s="46" t="str">
        <f t="shared" si="1344"/>
        <v/>
      </c>
      <c r="X3196" s="46" t="str">
        <f t="shared" si="1344"/>
        <v/>
      </c>
    </row>
    <row r="3197" spans="2:24" x14ac:dyDescent="0.25">
      <c r="B3197" s="11" t="str">
        <f t="shared" si="1345"/>
        <v>LPRV-01JUN1912</v>
      </c>
      <c r="C3197" s="11" t="s">
        <v>2053</v>
      </c>
      <c r="D3197" s="11" t="s">
        <v>1699</v>
      </c>
      <c r="E3197" s="39" t="s">
        <v>1000</v>
      </c>
      <c r="F3197" s="11" t="s">
        <v>1700</v>
      </c>
      <c r="G3197" s="39" t="s">
        <v>1275</v>
      </c>
      <c r="H3197" s="7">
        <v>0</v>
      </c>
      <c r="I3197" s="7">
        <v>0</v>
      </c>
      <c r="J3197" s="17">
        <v>1</v>
      </c>
      <c r="K3197" s="17"/>
      <c r="L3197" s="7">
        <f t="shared" si="1346"/>
        <v>1</v>
      </c>
      <c r="M3197" s="8">
        <v>1</v>
      </c>
      <c r="N3197" s="8">
        <f t="shared" si="1347"/>
        <v>1</v>
      </c>
      <c r="O3197" s="11" t="s">
        <v>1702</v>
      </c>
      <c r="P3197" s="16" t="str">
        <f t="shared" si="1348"/>
        <v>01-Jun-1912</v>
      </c>
      <c r="R3197" s="16" t="str">
        <f t="shared" si="1343"/>
        <v>x</v>
      </c>
      <c r="S3197" s="16" t="str">
        <f t="shared" si="1343"/>
        <v>x</v>
      </c>
      <c r="T3197" s="11"/>
      <c r="U3197" s="46" t="str">
        <f t="shared" si="1344"/>
        <v/>
      </c>
      <c r="V3197" s="46">
        <f t="shared" si="1344"/>
        <v>1</v>
      </c>
      <c r="W3197" s="46" t="str">
        <f t="shared" si="1344"/>
        <v/>
      </c>
      <c r="X3197" s="46" t="str">
        <f t="shared" si="1344"/>
        <v/>
      </c>
    </row>
    <row r="3198" spans="2:24" x14ac:dyDescent="0.25">
      <c r="B3198" s="11" t="str">
        <f t="shared" si="1345"/>
        <v>LPRV-24JUN1912</v>
      </c>
      <c r="C3198" s="11" t="s">
        <v>2053</v>
      </c>
      <c r="D3198" s="11" t="s">
        <v>1699</v>
      </c>
      <c r="E3198" s="39" t="s">
        <v>1281</v>
      </c>
      <c r="F3198" s="11" t="s">
        <v>1700</v>
      </c>
      <c r="G3198" s="39" t="s">
        <v>1276</v>
      </c>
      <c r="H3198" s="7">
        <v>0</v>
      </c>
      <c r="I3198" s="7">
        <v>0</v>
      </c>
      <c r="J3198" s="17">
        <v>0</v>
      </c>
      <c r="K3198" s="17"/>
      <c r="L3198" s="7">
        <f t="shared" si="1346"/>
        <v>0</v>
      </c>
      <c r="M3198" s="8">
        <v>1</v>
      </c>
      <c r="N3198" s="8" t="str">
        <f t="shared" si="1347"/>
        <v/>
      </c>
      <c r="O3198" s="11" t="s">
        <v>1702</v>
      </c>
      <c r="P3198" s="16" t="str">
        <f t="shared" si="1348"/>
        <v>24-Jun-1912</v>
      </c>
      <c r="R3198" s="16" t="str">
        <f t="shared" si="1343"/>
        <v/>
      </c>
      <c r="S3198" s="16" t="str">
        <f t="shared" si="1343"/>
        <v/>
      </c>
      <c r="T3198" s="11"/>
      <c r="U3198" s="46" t="str">
        <f t="shared" si="1344"/>
        <v/>
      </c>
      <c r="V3198" s="46">
        <f t="shared" si="1344"/>
        <v>0</v>
      </c>
      <c r="W3198" s="46" t="str">
        <f t="shared" si="1344"/>
        <v/>
      </c>
      <c r="X3198" s="46" t="str">
        <f t="shared" si="1344"/>
        <v/>
      </c>
    </row>
    <row r="3199" spans="2:24" x14ac:dyDescent="0.25">
      <c r="B3199" s="11" t="str">
        <f t="shared" si="1345"/>
        <v>LPRV-24AUG1912</v>
      </c>
      <c r="C3199" s="11" t="s">
        <v>2053</v>
      </c>
      <c r="D3199" s="11" t="s">
        <v>1699</v>
      </c>
      <c r="E3199" s="39" t="s">
        <v>1901</v>
      </c>
      <c r="F3199" s="11" t="s">
        <v>1700</v>
      </c>
      <c r="G3199" s="39" t="s">
        <v>1282</v>
      </c>
      <c r="H3199" s="7">
        <v>0</v>
      </c>
      <c r="I3199" s="7">
        <v>1</v>
      </c>
      <c r="J3199" s="17">
        <v>5</v>
      </c>
      <c r="K3199" s="17"/>
      <c r="L3199" s="7">
        <f t="shared" si="1346"/>
        <v>6</v>
      </c>
      <c r="M3199" s="8">
        <v>1</v>
      </c>
      <c r="N3199" s="8">
        <f t="shared" si="1347"/>
        <v>1</v>
      </c>
      <c r="O3199" s="11" t="s">
        <v>1702</v>
      </c>
      <c r="P3199" s="16" t="str">
        <f t="shared" si="1348"/>
        <v>24-Aug-1912</v>
      </c>
      <c r="R3199" s="16" t="str">
        <f t="shared" si="1343"/>
        <v>x</v>
      </c>
      <c r="S3199" s="16" t="str">
        <f t="shared" si="1343"/>
        <v>x</v>
      </c>
      <c r="T3199" s="11"/>
      <c r="U3199" s="46" t="str">
        <f t="shared" si="1344"/>
        <v/>
      </c>
      <c r="V3199" s="46">
        <f t="shared" si="1344"/>
        <v>6</v>
      </c>
      <c r="W3199" s="46" t="str">
        <f t="shared" si="1344"/>
        <v/>
      </c>
      <c r="X3199" s="46" t="str">
        <f t="shared" si="1344"/>
        <v/>
      </c>
    </row>
    <row r="3200" spans="2:24" x14ac:dyDescent="0.25">
      <c r="B3200" s="11" t="str">
        <f t="shared" si="1345"/>
        <v>LPRV-14SEP1912</v>
      </c>
      <c r="C3200" s="11" t="s">
        <v>2053</v>
      </c>
      <c r="D3200" s="11" t="s">
        <v>1699</v>
      </c>
      <c r="E3200" s="39" t="s">
        <v>1001</v>
      </c>
      <c r="F3200" s="11" t="s">
        <v>1700</v>
      </c>
      <c r="G3200" s="39" t="s">
        <v>1903</v>
      </c>
      <c r="H3200" s="7">
        <v>0</v>
      </c>
      <c r="I3200" s="7">
        <v>0</v>
      </c>
      <c r="J3200" s="17">
        <v>7</v>
      </c>
      <c r="K3200" s="17"/>
      <c r="L3200" s="7">
        <f t="shared" si="1346"/>
        <v>7</v>
      </c>
      <c r="M3200" s="8">
        <v>1</v>
      </c>
      <c r="N3200" s="8">
        <f t="shared" si="1347"/>
        <v>1</v>
      </c>
      <c r="O3200" s="11" t="s">
        <v>1702</v>
      </c>
      <c r="P3200" s="16" t="str">
        <f t="shared" si="1348"/>
        <v>14-Sep-1912</v>
      </c>
      <c r="R3200" s="16" t="str">
        <f t="shared" si="1343"/>
        <v>x</v>
      </c>
      <c r="S3200" s="16" t="str">
        <f t="shared" si="1343"/>
        <v>x</v>
      </c>
      <c r="T3200" s="11"/>
      <c r="U3200" s="46" t="str">
        <f t="shared" si="1344"/>
        <v/>
      </c>
      <c r="V3200" s="46">
        <f t="shared" si="1344"/>
        <v>7</v>
      </c>
      <c r="W3200" s="46" t="str">
        <f t="shared" si="1344"/>
        <v/>
      </c>
      <c r="X3200" s="46" t="str">
        <f t="shared" si="1344"/>
        <v/>
      </c>
    </row>
    <row r="3201" spans="2:24" x14ac:dyDescent="0.25">
      <c r="B3201" s="11" t="str">
        <f t="shared" si="1345"/>
        <v>LPRV-12OCT1912</v>
      </c>
      <c r="C3201" s="11" t="s">
        <v>2053</v>
      </c>
      <c r="D3201" s="11" t="s">
        <v>1699</v>
      </c>
      <c r="E3201" s="39" t="s">
        <v>1003</v>
      </c>
      <c r="F3201" s="11" t="s">
        <v>1700</v>
      </c>
      <c r="G3201" s="39" t="s">
        <v>1910</v>
      </c>
      <c r="H3201" s="7">
        <v>2</v>
      </c>
      <c r="I3201" s="7">
        <v>0</v>
      </c>
      <c r="J3201" s="17">
        <v>16</v>
      </c>
      <c r="K3201" s="17"/>
      <c r="L3201" s="7">
        <f t="shared" si="1346"/>
        <v>18</v>
      </c>
      <c r="M3201" s="8">
        <v>1</v>
      </c>
      <c r="N3201" s="8">
        <f t="shared" si="1347"/>
        <v>1</v>
      </c>
      <c r="O3201" s="11" t="s">
        <v>1702</v>
      </c>
      <c r="P3201" s="16" t="str">
        <f t="shared" si="1348"/>
        <v>12-Oct-1912</v>
      </c>
      <c r="R3201" s="16" t="str">
        <f t="shared" si="1343"/>
        <v>x</v>
      </c>
      <c r="S3201" s="16" t="str">
        <f t="shared" si="1343"/>
        <v>x</v>
      </c>
      <c r="T3201" s="11"/>
      <c r="U3201" s="46" t="str">
        <f t="shared" si="1344"/>
        <v/>
      </c>
      <c r="V3201" s="46">
        <f t="shared" si="1344"/>
        <v>18</v>
      </c>
      <c r="W3201" s="46" t="str">
        <f t="shared" si="1344"/>
        <v/>
      </c>
      <c r="X3201" s="46" t="str">
        <f t="shared" si="1344"/>
        <v/>
      </c>
    </row>
    <row r="3202" spans="2:24" x14ac:dyDescent="0.25">
      <c r="B3202" s="11" t="str">
        <f t="shared" si="1345"/>
        <v>LPRV-02NOV1912</v>
      </c>
      <c r="C3202" s="11" t="s">
        <v>2053</v>
      </c>
      <c r="D3202" s="11" t="s">
        <v>1699</v>
      </c>
      <c r="E3202" s="39" t="s">
        <v>1283</v>
      </c>
      <c r="F3202" s="11" t="s">
        <v>1700</v>
      </c>
      <c r="G3202" s="39" t="s">
        <v>1005</v>
      </c>
      <c r="H3202" s="7">
        <v>0</v>
      </c>
      <c r="I3202" s="7">
        <v>0</v>
      </c>
      <c r="J3202" s="17">
        <v>3</v>
      </c>
      <c r="K3202" s="17"/>
      <c r="L3202" s="7">
        <f t="shared" si="1346"/>
        <v>3</v>
      </c>
      <c r="M3202" s="8">
        <v>1</v>
      </c>
      <c r="N3202" s="8">
        <f t="shared" si="1347"/>
        <v>1</v>
      </c>
      <c r="O3202" s="11" t="s">
        <v>1702</v>
      </c>
      <c r="P3202" s="16" t="str">
        <f t="shared" si="1348"/>
        <v>02-Nov-1912</v>
      </c>
      <c r="R3202" s="16" t="str">
        <f t="shared" si="1343"/>
        <v>x</v>
      </c>
      <c r="S3202" s="16" t="str">
        <f t="shared" si="1343"/>
        <v>x</v>
      </c>
      <c r="T3202" s="11"/>
      <c r="U3202" s="46" t="str">
        <f t="shared" si="1344"/>
        <v/>
      </c>
      <c r="V3202" s="46">
        <f t="shared" si="1344"/>
        <v>3</v>
      </c>
      <c r="W3202" s="46" t="str">
        <f t="shared" si="1344"/>
        <v/>
      </c>
      <c r="X3202" s="46" t="str">
        <f t="shared" si="1344"/>
        <v/>
      </c>
    </row>
    <row r="3203" spans="2:24" x14ac:dyDescent="0.25">
      <c r="B3203" s="11" t="str">
        <f>CONCATENATE("LPRV","-",LEFT(P3203,2),UPPER(MID(P3203,4,3)),RIGHT(P3203,4))</f>
        <v>LPRV-22DEC1912</v>
      </c>
      <c r="C3203" s="11" t="s">
        <v>2053</v>
      </c>
      <c r="D3203" s="11" t="s">
        <v>1699</v>
      </c>
      <c r="E3203" s="39" t="s">
        <v>192</v>
      </c>
      <c r="F3203" s="11" t="s">
        <v>1700</v>
      </c>
      <c r="G3203" s="39" t="s">
        <v>193</v>
      </c>
      <c r="H3203" s="7">
        <v>0</v>
      </c>
      <c r="I3203" s="7">
        <v>0</v>
      </c>
      <c r="J3203" s="17">
        <v>13</v>
      </c>
      <c r="K3203" s="17"/>
      <c r="L3203" s="7">
        <f>SUM(H3203:K3203)</f>
        <v>13</v>
      </c>
      <c r="M3203" s="8">
        <v>1</v>
      </c>
      <c r="N3203" s="8">
        <f>IF(L3203&gt;0,1,"")</f>
        <v>1</v>
      </c>
      <c r="O3203" s="11" t="s">
        <v>194</v>
      </c>
      <c r="P3203" s="16" t="str">
        <f>IF(LEN(G3203)=10,CONCATENATE("0",G3203),G3203)</f>
        <v>22-Dec-1912</v>
      </c>
      <c r="R3203" s="16" t="str">
        <f t="shared" si="1343"/>
        <v>x</v>
      </c>
      <c r="S3203" s="16" t="str">
        <f t="shared" si="1343"/>
        <v>x</v>
      </c>
      <c r="T3203" s="11"/>
      <c r="U3203" s="46" t="str">
        <f t="shared" si="1344"/>
        <v/>
      </c>
      <c r="V3203" s="46" t="str">
        <f t="shared" si="1344"/>
        <v/>
      </c>
      <c r="W3203" s="46">
        <f t="shared" si="1344"/>
        <v>13</v>
      </c>
      <c r="X3203" s="46" t="str">
        <f t="shared" si="1344"/>
        <v/>
      </c>
    </row>
    <row r="3204" spans="2:24" x14ac:dyDescent="0.25">
      <c r="B3204" s="11" t="str">
        <f>CONCATENATE("LPRV","-",LEFT(P3204,2),UPPER(MID(P3204,4,3)),RIGHT(P3204,4))</f>
        <v>LPRV-13JAN1913</v>
      </c>
      <c r="C3204" s="11" t="s">
        <v>2053</v>
      </c>
      <c r="D3204" s="11" t="s">
        <v>1699</v>
      </c>
      <c r="E3204" s="39" t="s">
        <v>1018</v>
      </c>
      <c r="F3204" s="11" t="s">
        <v>1700</v>
      </c>
      <c r="G3204" s="39" t="s">
        <v>1284</v>
      </c>
      <c r="I3204" s="7">
        <v>0</v>
      </c>
      <c r="J3204" s="17">
        <v>20</v>
      </c>
      <c r="K3204" s="17"/>
      <c r="L3204" s="7">
        <f>SUM(H3204:K3204)</f>
        <v>20</v>
      </c>
      <c r="M3204" s="8">
        <v>1</v>
      </c>
      <c r="N3204" s="8">
        <f>IF(L3204&gt;0,1,"")</f>
        <v>1</v>
      </c>
      <c r="O3204" s="11" t="s">
        <v>1702</v>
      </c>
      <c r="P3204" s="16" t="str">
        <f>IF(LEN(G3204)=10,CONCATENATE("0",G3204),G3204)</f>
        <v>13-Jan-1913</v>
      </c>
      <c r="R3204" s="16" t="str">
        <f t="shared" si="1343"/>
        <v>x</v>
      </c>
      <c r="S3204" s="16" t="str">
        <f t="shared" si="1343"/>
        <v>x</v>
      </c>
      <c r="T3204" s="11"/>
      <c r="U3204" s="46" t="str">
        <f t="shared" si="1344"/>
        <v/>
      </c>
      <c r="V3204" s="46">
        <f t="shared" si="1344"/>
        <v>20</v>
      </c>
      <c r="W3204" s="46" t="str">
        <f t="shared" si="1344"/>
        <v/>
      </c>
      <c r="X3204" s="46" t="str">
        <f t="shared" si="1344"/>
        <v/>
      </c>
    </row>
    <row r="3205" spans="2:24" x14ac:dyDescent="0.25">
      <c r="B3205" s="11" t="str">
        <f t="shared" ref="B3205:B3210" si="1349">CONCATENATE("LPRV","-",LEFT(P3205,2),UPPER(MID(P3205,4,3)),RIGHT(P3205,4))</f>
        <v>LPRV-15FEB1913</v>
      </c>
      <c r="C3205" s="11" t="s">
        <v>2053</v>
      </c>
      <c r="D3205" s="11" t="s">
        <v>1699</v>
      </c>
      <c r="E3205" s="39" t="s">
        <v>1292</v>
      </c>
      <c r="F3205" s="11" t="s">
        <v>1700</v>
      </c>
      <c r="G3205" s="39" t="s">
        <v>1293</v>
      </c>
      <c r="H3205" s="7">
        <v>0</v>
      </c>
      <c r="I3205" s="7">
        <v>0</v>
      </c>
      <c r="J3205" s="17">
        <v>2</v>
      </c>
      <c r="K3205" s="17"/>
      <c r="L3205" s="7">
        <f t="shared" ref="L3205:L3210" si="1350">SUM(H3205:K3205)</f>
        <v>2</v>
      </c>
      <c r="M3205" s="8">
        <v>1</v>
      </c>
      <c r="N3205" s="8">
        <f t="shared" ref="N3205:N3210" si="1351">IF(L3205&gt;0,1,"")</f>
        <v>1</v>
      </c>
      <c r="O3205" s="11" t="s">
        <v>1702</v>
      </c>
      <c r="P3205" s="16" t="str">
        <f t="shared" ref="P3205:P3210" si="1352">IF(LEN(G3205)=10,CONCATENATE("0",G3205),G3205)</f>
        <v>15-Feb-1913</v>
      </c>
      <c r="R3205" s="16" t="str">
        <f t="shared" si="1343"/>
        <v>x</v>
      </c>
      <c r="S3205" s="16" t="str">
        <f t="shared" si="1343"/>
        <v>x</v>
      </c>
      <c r="T3205" s="11"/>
      <c r="U3205" s="46" t="str">
        <f t="shared" si="1344"/>
        <v/>
      </c>
      <c r="V3205" s="46">
        <f t="shared" si="1344"/>
        <v>2</v>
      </c>
      <c r="W3205" s="46" t="str">
        <f t="shared" si="1344"/>
        <v/>
      </c>
      <c r="X3205" s="46" t="str">
        <f t="shared" si="1344"/>
        <v/>
      </c>
    </row>
    <row r="3206" spans="2:24" x14ac:dyDescent="0.25">
      <c r="B3206" s="11" t="str">
        <f t="shared" si="1349"/>
        <v>LPRV-16MAR1913</v>
      </c>
      <c r="C3206" s="11" t="s">
        <v>2053</v>
      </c>
      <c r="D3206" s="11" t="s">
        <v>1699</v>
      </c>
      <c r="E3206" s="39" t="s">
        <v>1294</v>
      </c>
      <c r="F3206" s="11" t="s">
        <v>1700</v>
      </c>
      <c r="G3206" s="39" t="s">
        <v>1285</v>
      </c>
      <c r="I3206" s="7">
        <v>0</v>
      </c>
      <c r="J3206" s="17">
        <v>0</v>
      </c>
      <c r="K3206" s="17"/>
      <c r="L3206" s="7">
        <f t="shared" si="1350"/>
        <v>0</v>
      </c>
      <c r="M3206" s="8">
        <v>1</v>
      </c>
      <c r="N3206" s="8" t="str">
        <f t="shared" si="1351"/>
        <v/>
      </c>
      <c r="O3206" s="11" t="s">
        <v>1702</v>
      </c>
      <c r="P3206" s="16" t="str">
        <f t="shared" si="1352"/>
        <v>16-Mar-1913</v>
      </c>
      <c r="R3206" s="16" t="str">
        <f t="shared" si="1343"/>
        <v/>
      </c>
      <c r="S3206" s="16" t="str">
        <f t="shared" si="1343"/>
        <v/>
      </c>
      <c r="T3206" s="11"/>
      <c r="U3206" s="46" t="str">
        <f t="shared" si="1344"/>
        <v/>
      </c>
      <c r="V3206" s="46">
        <f t="shared" si="1344"/>
        <v>0</v>
      </c>
      <c r="W3206" s="46" t="str">
        <f t="shared" si="1344"/>
        <v/>
      </c>
      <c r="X3206" s="46" t="str">
        <f t="shared" si="1344"/>
        <v/>
      </c>
    </row>
    <row r="3207" spans="2:24" x14ac:dyDescent="0.25">
      <c r="B3207" s="11" t="str">
        <f t="shared" si="1349"/>
        <v>LPRV-19APR1913</v>
      </c>
      <c r="C3207" s="11" t="s">
        <v>2053</v>
      </c>
      <c r="D3207" s="11" t="s">
        <v>1699</v>
      </c>
      <c r="E3207" s="39" t="s">
        <v>1295</v>
      </c>
      <c r="F3207" s="11" t="s">
        <v>1700</v>
      </c>
      <c r="G3207" s="39" t="s">
        <v>1924</v>
      </c>
      <c r="H3207" s="7">
        <v>0</v>
      </c>
      <c r="I3207" s="7">
        <v>0</v>
      </c>
      <c r="J3207" s="17">
        <v>0</v>
      </c>
      <c r="K3207" s="17"/>
      <c r="L3207" s="7">
        <f t="shared" si="1350"/>
        <v>0</v>
      </c>
      <c r="M3207" s="8">
        <v>1</v>
      </c>
      <c r="N3207" s="8" t="str">
        <f t="shared" si="1351"/>
        <v/>
      </c>
      <c r="O3207" s="11" t="s">
        <v>1702</v>
      </c>
      <c r="P3207" s="16" t="str">
        <f t="shared" si="1352"/>
        <v>19-Apr-1913</v>
      </c>
      <c r="R3207" s="16" t="str">
        <f t="shared" si="1343"/>
        <v/>
      </c>
      <c r="S3207" s="16" t="str">
        <f t="shared" si="1343"/>
        <v/>
      </c>
      <c r="T3207" s="11"/>
      <c r="U3207" s="46" t="str">
        <f t="shared" si="1344"/>
        <v/>
      </c>
      <c r="V3207" s="46">
        <f t="shared" si="1344"/>
        <v>0</v>
      </c>
      <c r="W3207" s="46" t="str">
        <f t="shared" si="1344"/>
        <v/>
      </c>
      <c r="X3207" s="46" t="str">
        <f t="shared" si="1344"/>
        <v/>
      </c>
    </row>
    <row r="3208" spans="2:24" x14ac:dyDescent="0.25">
      <c r="B3208" s="11" t="str">
        <f t="shared" si="1349"/>
        <v>LPRV-17MAY1913</v>
      </c>
      <c r="C3208" s="11" t="s">
        <v>2053</v>
      </c>
      <c r="D3208" s="11" t="s">
        <v>1699</v>
      </c>
      <c r="E3208" s="39" t="s">
        <v>1296</v>
      </c>
      <c r="F3208" s="11" t="s">
        <v>1700</v>
      </c>
      <c r="G3208" s="39" t="s">
        <v>1286</v>
      </c>
      <c r="H3208" s="7">
        <v>0</v>
      </c>
      <c r="I3208" s="7">
        <v>0</v>
      </c>
      <c r="J3208" s="17">
        <v>3</v>
      </c>
      <c r="K3208" s="17"/>
      <c r="L3208" s="7">
        <f t="shared" si="1350"/>
        <v>3</v>
      </c>
      <c r="M3208" s="8">
        <v>1</v>
      </c>
      <c r="N3208" s="8">
        <f t="shared" si="1351"/>
        <v>1</v>
      </c>
      <c r="O3208" s="11" t="s">
        <v>1702</v>
      </c>
      <c r="P3208" s="16" t="str">
        <f t="shared" si="1352"/>
        <v>17-May-1913</v>
      </c>
      <c r="R3208" s="16" t="str">
        <f t="shared" si="1343"/>
        <v>x</v>
      </c>
      <c r="S3208" s="16" t="str">
        <f t="shared" si="1343"/>
        <v>x</v>
      </c>
      <c r="T3208" s="11"/>
      <c r="U3208" s="46" t="str">
        <f t="shared" si="1344"/>
        <v/>
      </c>
      <c r="V3208" s="46">
        <f t="shared" si="1344"/>
        <v>3</v>
      </c>
      <c r="W3208" s="46" t="str">
        <f t="shared" si="1344"/>
        <v/>
      </c>
      <c r="X3208" s="46" t="str">
        <f t="shared" si="1344"/>
        <v/>
      </c>
    </row>
    <row r="3209" spans="2:24" x14ac:dyDescent="0.25">
      <c r="B3209" s="11" t="str">
        <f t="shared" si="1349"/>
        <v>LPRV-08JUN1913</v>
      </c>
      <c r="C3209" s="11" t="s">
        <v>2053</v>
      </c>
      <c r="D3209" s="11" t="s">
        <v>1699</v>
      </c>
      <c r="E3209" s="39" t="s">
        <v>1298</v>
      </c>
      <c r="F3209" s="11" t="s">
        <v>1700</v>
      </c>
      <c r="G3209" s="39" t="s">
        <v>1287</v>
      </c>
      <c r="H3209" s="7">
        <v>0</v>
      </c>
      <c r="I3209" s="7">
        <v>4</v>
      </c>
      <c r="J3209" s="17">
        <v>0</v>
      </c>
      <c r="K3209" s="17"/>
      <c r="L3209" s="7">
        <f t="shared" si="1350"/>
        <v>4</v>
      </c>
      <c r="M3209" s="8">
        <v>1</v>
      </c>
      <c r="N3209" s="8">
        <f t="shared" si="1351"/>
        <v>1</v>
      </c>
      <c r="O3209" s="11" t="s">
        <v>1702</v>
      </c>
      <c r="P3209" s="16" t="str">
        <f t="shared" si="1352"/>
        <v>08-Jun-1913</v>
      </c>
      <c r="R3209" s="16" t="str">
        <f t="shared" si="1343"/>
        <v>x</v>
      </c>
      <c r="S3209" s="16" t="str">
        <f t="shared" si="1343"/>
        <v>x</v>
      </c>
      <c r="T3209" s="11"/>
      <c r="U3209" s="46" t="str">
        <f t="shared" si="1344"/>
        <v/>
      </c>
      <c r="V3209" s="46">
        <f t="shared" si="1344"/>
        <v>4</v>
      </c>
      <c r="W3209" s="46" t="str">
        <f t="shared" si="1344"/>
        <v/>
      </c>
      <c r="X3209" s="46" t="str">
        <f t="shared" si="1344"/>
        <v/>
      </c>
    </row>
    <row r="3210" spans="2:24" x14ac:dyDescent="0.25">
      <c r="B3210" s="11" t="str">
        <f t="shared" si="1349"/>
        <v>LPRV-05JUL1913</v>
      </c>
      <c r="C3210" s="11" t="s">
        <v>2053</v>
      </c>
      <c r="D3210" s="11" t="s">
        <v>1699</v>
      </c>
      <c r="E3210" s="39" t="s">
        <v>1297</v>
      </c>
      <c r="F3210" s="11" t="s">
        <v>1700</v>
      </c>
      <c r="G3210" s="39" t="s">
        <v>1288</v>
      </c>
      <c r="H3210" s="7">
        <v>0</v>
      </c>
      <c r="I3210" s="7">
        <v>0</v>
      </c>
      <c r="J3210" s="17">
        <v>19</v>
      </c>
      <c r="K3210" s="17"/>
      <c r="L3210" s="7">
        <f t="shared" si="1350"/>
        <v>19</v>
      </c>
      <c r="M3210" s="8">
        <v>1</v>
      </c>
      <c r="N3210" s="8">
        <f t="shared" si="1351"/>
        <v>1</v>
      </c>
      <c r="O3210" s="11" t="s">
        <v>1702</v>
      </c>
      <c r="P3210" s="16" t="str">
        <f t="shared" si="1352"/>
        <v>05-Jul-1913</v>
      </c>
      <c r="R3210" s="16" t="str">
        <f t="shared" si="1343"/>
        <v>x</v>
      </c>
      <c r="S3210" s="16" t="str">
        <f t="shared" si="1343"/>
        <v>x</v>
      </c>
      <c r="T3210" s="11"/>
      <c r="U3210" s="46" t="str">
        <f t="shared" si="1344"/>
        <v/>
      </c>
      <c r="V3210" s="46">
        <f t="shared" si="1344"/>
        <v>19</v>
      </c>
      <c r="W3210" s="46" t="str">
        <f t="shared" si="1344"/>
        <v/>
      </c>
      <c r="X3210" s="46" t="str">
        <f t="shared" si="1344"/>
        <v/>
      </c>
    </row>
    <row r="3211" spans="2:24" x14ac:dyDescent="0.25">
      <c r="B3211" s="11" t="str">
        <f>CONCATENATE("LPRV","-",LEFT(P3211,2),UPPER(MID(P3211,4,3)),RIGHT(P3211,4))</f>
        <v>LPRV-26JUL1913</v>
      </c>
      <c r="C3211" s="11" t="s">
        <v>2053</v>
      </c>
      <c r="D3211" s="11" t="s">
        <v>1699</v>
      </c>
      <c r="E3211" s="39" t="s">
        <v>2100</v>
      </c>
      <c r="F3211" s="11" t="s">
        <v>1700</v>
      </c>
      <c r="G3211" s="39" t="s">
        <v>2101</v>
      </c>
      <c r="H3211" s="7">
        <v>0</v>
      </c>
      <c r="I3211" s="7">
        <v>0</v>
      </c>
      <c r="J3211" s="17">
        <v>33</v>
      </c>
      <c r="K3211" s="17"/>
      <c r="L3211" s="7">
        <f>SUM(H3211:K3211)</f>
        <v>33</v>
      </c>
      <c r="M3211" s="8">
        <v>1</v>
      </c>
      <c r="N3211" s="8">
        <f>IF(L3211&gt;0,1,"")</f>
        <v>1</v>
      </c>
      <c r="O3211" s="11" t="s">
        <v>1702</v>
      </c>
      <c r="P3211" s="16" t="str">
        <f>IF(LEN(G3211)=10,CONCATENATE("0",G3211),G3211)</f>
        <v>26-Jul-1913</v>
      </c>
      <c r="R3211" s="16" t="str">
        <f t="shared" si="1343"/>
        <v>x</v>
      </c>
      <c r="S3211" s="16" t="str">
        <f t="shared" si="1343"/>
        <v>x</v>
      </c>
      <c r="T3211" s="11"/>
      <c r="U3211" s="46" t="str">
        <f t="shared" si="1344"/>
        <v/>
      </c>
      <c r="V3211" s="46">
        <f t="shared" si="1344"/>
        <v>33</v>
      </c>
      <c r="W3211" s="46" t="str">
        <f t="shared" si="1344"/>
        <v/>
      </c>
      <c r="X3211" s="46" t="str">
        <f t="shared" si="1344"/>
        <v/>
      </c>
    </row>
    <row r="3212" spans="2:24" x14ac:dyDescent="0.25">
      <c r="B3212" s="11" t="str">
        <f>CONCATENATE("LPRV","-",LEFT(P3212,2),UPPER(MID(P3212,4,3)),RIGHT(P3212,4))</f>
        <v>LPRV-30AUG1913</v>
      </c>
      <c r="C3212" s="11" t="s">
        <v>2053</v>
      </c>
      <c r="D3212" s="11" t="s">
        <v>1699</v>
      </c>
      <c r="E3212" s="39" t="s">
        <v>1299</v>
      </c>
      <c r="F3212" s="11" t="s">
        <v>1700</v>
      </c>
      <c r="G3212" s="39" t="s">
        <v>1289</v>
      </c>
      <c r="H3212" s="7">
        <v>0</v>
      </c>
      <c r="I3212" s="7">
        <v>0</v>
      </c>
      <c r="J3212" s="17">
        <v>0</v>
      </c>
      <c r="K3212" s="17"/>
      <c r="L3212" s="7">
        <f>SUM(H3212:K3212)</f>
        <v>0</v>
      </c>
      <c r="M3212" s="8">
        <v>1</v>
      </c>
      <c r="N3212" s="8" t="str">
        <f>IF(L3212&gt;0,1,"")</f>
        <v/>
      </c>
      <c r="O3212" s="11" t="s">
        <v>1702</v>
      </c>
      <c r="P3212" s="16" t="str">
        <f>IF(LEN(G3212)=10,CONCATENATE("0",G3212),G3212)</f>
        <v>30-Aug-1913</v>
      </c>
      <c r="R3212" s="16" t="str">
        <f t="shared" si="1343"/>
        <v/>
      </c>
      <c r="S3212" s="16" t="str">
        <f t="shared" si="1343"/>
        <v/>
      </c>
      <c r="T3212" s="11"/>
      <c r="U3212" s="46" t="str">
        <f t="shared" si="1344"/>
        <v/>
      </c>
      <c r="V3212" s="46">
        <f t="shared" si="1344"/>
        <v>0</v>
      </c>
      <c r="W3212" s="46" t="str">
        <f t="shared" si="1344"/>
        <v/>
      </c>
      <c r="X3212" s="46" t="str">
        <f t="shared" si="1344"/>
        <v/>
      </c>
    </row>
    <row r="3213" spans="2:24" x14ac:dyDescent="0.25">
      <c r="B3213" s="11" t="str">
        <f>CONCATENATE("LPRV","-",LEFT(P3213,2),UPPER(MID(P3213,4,3)),RIGHT(P3213,4))</f>
        <v>LPRV-21SEP1913</v>
      </c>
      <c r="C3213" s="11" t="s">
        <v>2053</v>
      </c>
      <c r="D3213" s="11" t="s">
        <v>1699</v>
      </c>
      <c r="E3213" s="39" t="s">
        <v>1025</v>
      </c>
      <c r="F3213" s="11" t="s">
        <v>1700</v>
      </c>
      <c r="G3213" s="39" t="s">
        <v>1290</v>
      </c>
      <c r="H3213" s="7">
        <v>0</v>
      </c>
      <c r="I3213" s="7">
        <v>0</v>
      </c>
      <c r="J3213" s="17">
        <v>2</v>
      </c>
      <c r="K3213" s="17"/>
      <c r="L3213" s="7">
        <f>SUM(H3213:K3213)</f>
        <v>2</v>
      </c>
      <c r="M3213" s="8">
        <v>1</v>
      </c>
      <c r="N3213" s="8">
        <f>IF(L3213&gt;0,1,"")</f>
        <v>1</v>
      </c>
      <c r="O3213" s="11" t="s">
        <v>1702</v>
      </c>
      <c r="P3213" s="16" t="str">
        <f>IF(LEN(G3213)=10,CONCATENATE("0",G3213),G3213)</f>
        <v>21-Sep-1913</v>
      </c>
      <c r="R3213" s="16" t="str">
        <f t="shared" si="1343"/>
        <v>x</v>
      </c>
      <c r="S3213" s="16" t="str">
        <f t="shared" si="1343"/>
        <v>x</v>
      </c>
      <c r="T3213" s="11"/>
      <c r="U3213" s="46" t="str">
        <f t="shared" si="1344"/>
        <v/>
      </c>
      <c r="V3213" s="46">
        <f t="shared" si="1344"/>
        <v>2</v>
      </c>
      <c r="W3213" s="46" t="str">
        <f t="shared" si="1344"/>
        <v/>
      </c>
      <c r="X3213" s="46" t="str">
        <f t="shared" si="1344"/>
        <v/>
      </c>
    </row>
    <row r="3214" spans="2:24" x14ac:dyDescent="0.25">
      <c r="B3214" s="11" t="str">
        <f>CONCATENATE("LPRV","-",LEFT(P3214,2),UPPER(MID(P3214,4,3)),RIGHT(P3214,4))</f>
        <v>LPRV-18OCT1913</v>
      </c>
      <c r="C3214" s="11" t="s">
        <v>2053</v>
      </c>
      <c r="D3214" s="11" t="s">
        <v>1699</v>
      </c>
      <c r="E3214" s="39" t="s">
        <v>1026</v>
      </c>
      <c r="F3214" s="11" t="s">
        <v>1700</v>
      </c>
      <c r="G3214" s="39" t="s">
        <v>1932</v>
      </c>
      <c r="H3214" s="7">
        <v>0</v>
      </c>
      <c r="I3214" s="7">
        <v>0</v>
      </c>
      <c r="J3214" s="17">
        <v>0</v>
      </c>
      <c r="K3214" s="17"/>
      <c r="L3214" s="7">
        <f>SUM(H3214:K3214)</f>
        <v>0</v>
      </c>
      <c r="M3214" s="8">
        <v>1</v>
      </c>
      <c r="N3214" s="8" t="str">
        <f>IF(L3214&gt;0,1,"")</f>
        <v/>
      </c>
      <c r="O3214" s="11" t="s">
        <v>1702</v>
      </c>
      <c r="P3214" s="16" t="str">
        <f>IF(LEN(G3214)=10,CONCATENATE("0",G3214),G3214)</f>
        <v>18-Oct-1913</v>
      </c>
      <c r="R3214" s="16" t="str">
        <f t="shared" si="1343"/>
        <v/>
      </c>
      <c r="S3214" s="16" t="str">
        <f t="shared" si="1343"/>
        <v/>
      </c>
      <c r="T3214" s="11"/>
      <c r="U3214" s="46" t="str">
        <f t="shared" si="1344"/>
        <v/>
      </c>
      <c r="V3214" s="46">
        <f t="shared" si="1344"/>
        <v>0</v>
      </c>
      <c r="W3214" s="46" t="str">
        <f t="shared" si="1344"/>
        <v/>
      </c>
      <c r="X3214" s="46" t="str">
        <f t="shared" si="1344"/>
        <v/>
      </c>
    </row>
    <row r="3215" spans="2:24" x14ac:dyDescent="0.25">
      <c r="B3215" s="11" t="str">
        <f>CONCATENATE("LPRV","-",LEFT(P3215,2),UPPER(MID(P3215,4,3)),RIGHT(P3215,4))</f>
        <v>LPRV-15NOV1913</v>
      </c>
      <c r="C3215" s="11" t="s">
        <v>2053</v>
      </c>
      <c r="D3215" s="11" t="s">
        <v>1699</v>
      </c>
      <c r="E3215" s="39" t="s">
        <v>1027</v>
      </c>
      <c r="F3215" s="11" t="s">
        <v>1700</v>
      </c>
      <c r="G3215" s="39" t="s">
        <v>1291</v>
      </c>
      <c r="H3215" s="7">
        <v>0</v>
      </c>
      <c r="I3215" s="7">
        <v>0</v>
      </c>
      <c r="J3215" s="17">
        <v>32</v>
      </c>
      <c r="K3215" s="17"/>
      <c r="L3215" s="7">
        <f>SUM(H3215:K3215)</f>
        <v>32</v>
      </c>
      <c r="M3215" s="8">
        <v>1</v>
      </c>
      <c r="N3215" s="8">
        <f>IF(L3215&gt;0,1,"")</f>
        <v>1</v>
      </c>
      <c r="O3215" s="11" t="s">
        <v>1702</v>
      </c>
      <c r="P3215" s="16" t="str">
        <f>IF(LEN(G3215)=10,CONCATENATE("0",G3215),G3215)</f>
        <v>15-Nov-1913</v>
      </c>
      <c r="R3215" s="16" t="str">
        <f t="shared" si="1343"/>
        <v>x</v>
      </c>
      <c r="S3215" s="16" t="str">
        <f t="shared" si="1343"/>
        <v>x</v>
      </c>
      <c r="T3215" s="11"/>
      <c r="U3215" s="46" t="str">
        <f t="shared" si="1344"/>
        <v/>
      </c>
      <c r="V3215" s="46">
        <f t="shared" si="1344"/>
        <v>32</v>
      </c>
      <c r="W3215" s="46" t="str">
        <f t="shared" si="1344"/>
        <v/>
      </c>
      <c r="X3215" s="46" t="str">
        <f t="shared" si="1344"/>
        <v/>
      </c>
    </row>
    <row r="3216" spans="2:24" x14ac:dyDescent="0.25">
      <c r="B3216" s="11" t="str">
        <f t="shared" ref="B3216:B3222" si="1353">CONCATENATE("LPRV","-",LEFT(P3216,2),UPPER(MID(P3216,4,3)),RIGHT(P3216,4))</f>
        <v>LPRV-18JAN1914</v>
      </c>
      <c r="C3216" s="11" t="s">
        <v>2053</v>
      </c>
      <c r="D3216" s="11" t="s">
        <v>1699</v>
      </c>
      <c r="E3216" s="39" t="s">
        <v>1306</v>
      </c>
      <c r="F3216" s="11" t="s">
        <v>1700</v>
      </c>
      <c r="G3216" s="39" t="s">
        <v>1300</v>
      </c>
      <c r="H3216" s="7">
        <v>0</v>
      </c>
      <c r="I3216" s="7">
        <v>0</v>
      </c>
      <c r="J3216" s="17">
        <v>9</v>
      </c>
      <c r="K3216" s="17"/>
      <c r="L3216" s="7">
        <f t="shared" ref="L3216:L3222" si="1354">SUM(H3216:K3216)</f>
        <v>9</v>
      </c>
      <c r="M3216" s="8">
        <v>1</v>
      </c>
      <c r="N3216" s="8">
        <f t="shared" ref="N3216:N3222" si="1355">IF(L3216&gt;0,1,"")</f>
        <v>1</v>
      </c>
      <c r="O3216" s="11" t="s">
        <v>1702</v>
      </c>
      <c r="P3216" s="16" t="str">
        <f t="shared" ref="P3216:P3222" si="1356">IF(LEN(G3216)=10,CONCATENATE("0",G3216),G3216)</f>
        <v>18-Jan-1914</v>
      </c>
      <c r="R3216" s="16" t="str">
        <f t="shared" si="1343"/>
        <v>x</v>
      </c>
      <c r="S3216" s="16" t="str">
        <f t="shared" si="1343"/>
        <v>x</v>
      </c>
      <c r="T3216" s="11"/>
      <c r="U3216" s="46" t="str">
        <f t="shared" si="1344"/>
        <v/>
      </c>
      <c r="V3216" s="46">
        <f t="shared" si="1344"/>
        <v>9</v>
      </c>
      <c r="W3216" s="46" t="str">
        <f t="shared" si="1344"/>
        <v/>
      </c>
      <c r="X3216" s="46" t="str">
        <f t="shared" si="1344"/>
        <v/>
      </c>
    </row>
    <row r="3217" spans="2:26" x14ac:dyDescent="0.25">
      <c r="B3217" s="11" t="str">
        <f t="shared" si="1353"/>
        <v>LPRV-08FEB1914</v>
      </c>
      <c r="C3217" s="11" t="s">
        <v>2053</v>
      </c>
      <c r="D3217" s="11" t="s">
        <v>1699</v>
      </c>
      <c r="E3217" s="39" t="s">
        <v>1038</v>
      </c>
      <c r="F3217" s="11" t="s">
        <v>1700</v>
      </c>
      <c r="G3217" s="39" t="s">
        <v>1301</v>
      </c>
      <c r="H3217" s="7">
        <v>0</v>
      </c>
      <c r="I3217" s="7">
        <v>0</v>
      </c>
      <c r="J3217" s="17">
        <v>3</v>
      </c>
      <c r="K3217" s="17"/>
      <c r="L3217" s="7">
        <f t="shared" si="1354"/>
        <v>3</v>
      </c>
      <c r="M3217" s="8">
        <v>1</v>
      </c>
      <c r="N3217" s="8">
        <f t="shared" si="1355"/>
        <v>1</v>
      </c>
      <c r="O3217" s="11" t="s">
        <v>1702</v>
      </c>
      <c r="P3217" s="16" t="str">
        <f t="shared" si="1356"/>
        <v>08-Feb-1914</v>
      </c>
      <c r="R3217" s="16" t="str">
        <f t="shared" si="1343"/>
        <v>x</v>
      </c>
      <c r="S3217" s="16" t="str">
        <f t="shared" si="1343"/>
        <v>x</v>
      </c>
      <c r="U3217" s="46" t="str">
        <f t="shared" si="1344"/>
        <v/>
      </c>
      <c r="V3217" s="46">
        <f t="shared" si="1344"/>
        <v>3</v>
      </c>
      <c r="W3217" s="46" t="str">
        <f t="shared" si="1344"/>
        <v/>
      </c>
      <c r="X3217" s="46" t="str">
        <f t="shared" si="1344"/>
        <v/>
      </c>
    </row>
    <row r="3218" spans="2:26" x14ac:dyDescent="0.25">
      <c r="B3218" s="11" t="str">
        <f t="shared" si="1353"/>
        <v>LPRV-02MAR1914</v>
      </c>
      <c r="C3218" s="11" t="s">
        <v>2053</v>
      </c>
      <c r="D3218" s="11" t="s">
        <v>1699</v>
      </c>
      <c r="E3218" s="39" t="s">
        <v>1312</v>
      </c>
      <c r="F3218" s="11" t="s">
        <v>1700</v>
      </c>
      <c r="G3218" s="39" t="s">
        <v>1302</v>
      </c>
      <c r="H3218" s="7">
        <v>0</v>
      </c>
      <c r="I3218" s="7">
        <v>0</v>
      </c>
      <c r="J3218" s="17">
        <v>5</v>
      </c>
      <c r="K3218" s="17"/>
      <c r="L3218" s="7">
        <f t="shared" si="1354"/>
        <v>5</v>
      </c>
      <c r="M3218" s="8">
        <v>1</v>
      </c>
      <c r="N3218" s="8">
        <f t="shared" si="1355"/>
        <v>1</v>
      </c>
      <c r="O3218" s="11" t="s">
        <v>1702</v>
      </c>
      <c r="P3218" s="16" t="str">
        <f t="shared" si="1356"/>
        <v>02-Mar-1914</v>
      </c>
      <c r="R3218" s="16" t="str">
        <f t="shared" si="1343"/>
        <v>x</v>
      </c>
      <c r="S3218" s="16" t="str">
        <f t="shared" si="1343"/>
        <v>x</v>
      </c>
      <c r="U3218" s="46" t="str">
        <f t="shared" si="1344"/>
        <v/>
      </c>
      <c r="V3218" s="46">
        <f t="shared" si="1344"/>
        <v>5</v>
      </c>
      <c r="W3218" s="46" t="str">
        <f t="shared" si="1344"/>
        <v/>
      </c>
      <c r="X3218" s="46" t="str">
        <f t="shared" si="1344"/>
        <v/>
      </c>
    </row>
    <row r="3219" spans="2:26" x14ac:dyDescent="0.25">
      <c r="B3219" s="11" t="str">
        <f t="shared" si="1353"/>
        <v>LPRV-29MAR1914</v>
      </c>
      <c r="C3219" s="11" t="s">
        <v>2053</v>
      </c>
      <c r="D3219" s="11" t="s">
        <v>1699</v>
      </c>
      <c r="E3219" s="39" t="s">
        <v>1313</v>
      </c>
      <c r="F3219" s="11" t="s">
        <v>1700</v>
      </c>
      <c r="G3219" s="39" t="s">
        <v>1937</v>
      </c>
      <c r="H3219" s="7">
        <v>0</v>
      </c>
      <c r="I3219" s="7">
        <v>0</v>
      </c>
      <c r="J3219" s="17">
        <v>0</v>
      </c>
      <c r="K3219" s="17"/>
      <c r="L3219" s="7">
        <f t="shared" si="1354"/>
        <v>0</v>
      </c>
      <c r="M3219" s="8">
        <v>1</v>
      </c>
      <c r="N3219" s="8" t="str">
        <f t="shared" si="1355"/>
        <v/>
      </c>
      <c r="O3219" s="11" t="s">
        <v>1702</v>
      </c>
      <c r="P3219" s="16" t="str">
        <f t="shared" si="1356"/>
        <v>29-Mar-1914</v>
      </c>
      <c r="R3219" s="16" t="str">
        <f t="shared" si="1343"/>
        <v/>
      </c>
      <c r="S3219" s="16" t="str">
        <f t="shared" si="1343"/>
        <v/>
      </c>
      <c r="U3219" s="46" t="str">
        <f t="shared" si="1344"/>
        <v/>
      </c>
      <c r="V3219" s="46">
        <f t="shared" si="1344"/>
        <v>0</v>
      </c>
      <c r="W3219" s="46" t="str">
        <f t="shared" si="1344"/>
        <v/>
      </c>
      <c r="X3219" s="46" t="str">
        <f t="shared" si="1344"/>
        <v/>
      </c>
    </row>
    <row r="3220" spans="2:26" x14ac:dyDescent="0.25">
      <c r="B3220" s="11" t="str">
        <f t="shared" si="1353"/>
        <v>LPRV-26APR1914</v>
      </c>
      <c r="C3220" s="11" t="s">
        <v>2053</v>
      </c>
      <c r="D3220" s="11" t="s">
        <v>1699</v>
      </c>
      <c r="E3220" s="39" t="s">
        <v>1314</v>
      </c>
      <c r="F3220" s="11" t="s">
        <v>1700</v>
      </c>
      <c r="G3220" s="39" t="s">
        <v>1303</v>
      </c>
      <c r="H3220" s="7">
        <v>0</v>
      </c>
      <c r="I3220" s="7">
        <v>0</v>
      </c>
      <c r="J3220" s="17">
        <v>0</v>
      </c>
      <c r="K3220" s="17"/>
      <c r="L3220" s="7">
        <f t="shared" si="1354"/>
        <v>0</v>
      </c>
      <c r="M3220" s="8">
        <v>1</v>
      </c>
      <c r="N3220" s="8" t="str">
        <f t="shared" si="1355"/>
        <v/>
      </c>
      <c r="O3220" s="11" t="s">
        <v>1702</v>
      </c>
      <c r="P3220" s="16" t="str">
        <f t="shared" si="1356"/>
        <v>26-Apr-1914</v>
      </c>
      <c r="R3220" s="16" t="str">
        <f t="shared" si="1343"/>
        <v/>
      </c>
      <c r="S3220" s="16" t="str">
        <f t="shared" si="1343"/>
        <v/>
      </c>
      <c r="U3220" s="46" t="str">
        <f t="shared" si="1344"/>
        <v/>
      </c>
      <c r="V3220" s="46">
        <f t="shared" si="1344"/>
        <v>0</v>
      </c>
      <c r="W3220" s="46" t="str">
        <f t="shared" si="1344"/>
        <v/>
      </c>
      <c r="X3220" s="46" t="str">
        <f t="shared" si="1344"/>
        <v/>
      </c>
    </row>
    <row r="3221" spans="2:26" x14ac:dyDescent="0.25">
      <c r="B3221" s="11" t="str">
        <f t="shared" si="1353"/>
        <v>LPRV-16MAY1914</v>
      </c>
      <c r="C3221" s="11" t="s">
        <v>2053</v>
      </c>
      <c r="D3221" s="11" t="s">
        <v>1699</v>
      </c>
      <c r="E3221" s="39" t="s">
        <v>1032</v>
      </c>
      <c r="F3221" s="11" t="s">
        <v>1700</v>
      </c>
      <c r="G3221" s="39" t="s">
        <v>1304</v>
      </c>
      <c r="H3221" s="7">
        <v>0</v>
      </c>
      <c r="I3221" s="7">
        <v>0</v>
      </c>
      <c r="J3221" s="17">
        <v>0</v>
      </c>
      <c r="K3221" s="17"/>
      <c r="L3221" s="7">
        <f t="shared" si="1354"/>
        <v>0</v>
      </c>
      <c r="M3221" s="8">
        <v>1</v>
      </c>
      <c r="N3221" s="8" t="str">
        <f t="shared" si="1355"/>
        <v/>
      </c>
      <c r="O3221" s="11" t="s">
        <v>1702</v>
      </c>
      <c r="P3221" s="16" t="str">
        <f t="shared" si="1356"/>
        <v>16-May-1914</v>
      </c>
      <c r="R3221" s="16" t="str">
        <f t="shared" si="1343"/>
        <v/>
      </c>
      <c r="S3221" s="16" t="str">
        <f t="shared" si="1343"/>
        <v/>
      </c>
      <c r="U3221" s="46" t="str">
        <f t="shared" si="1344"/>
        <v/>
      </c>
      <c r="V3221" s="46">
        <f t="shared" si="1344"/>
        <v>0</v>
      </c>
      <c r="W3221" s="46" t="str">
        <f t="shared" si="1344"/>
        <v/>
      </c>
      <c r="X3221" s="46" t="str">
        <f t="shared" si="1344"/>
        <v/>
      </c>
    </row>
    <row r="3222" spans="2:26" x14ac:dyDescent="0.25">
      <c r="B3222" s="11" t="str">
        <f t="shared" si="1353"/>
        <v>LPRV-14JUN1914</v>
      </c>
      <c r="C3222" s="11" t="s">
        <v>2053</v>
      </c>
      <c r="D3222" s="11" t="s">
        <v>1699</v>
      </c>
      <c r="E3222" s="39" t="s">
        <v>1315</v>
      </c>
      <c r="F3222" s="11" t="s">
        <v>1700</v>
      </c>
      <c r="G3222" s="39" t="s">
        <v>1305</v>
      </c>
      <c r="H3222" s="7">
        <v>0</v>
      </c>
      <c r="I3222" s="7">
        <v>0</v>
      </c>
      <c r="J3222" s="17">
        <v>0</v>
      </c>
      <c r="K3222" s="17"/>
      <c r="L3222" s="7">
        <f t="shared" si="1354"/>
        <v>0</v>
      </c>
      <c r="M3222" s="8">
        <v>1</v>
      </c>
      <c r="N3222" s="8" t="str">
        <f t="shared" si="1355"/>
        <v/>
      </c>
      <c r="O3222" s="11" t="s">
        <v>1702</v>
      </c>
      <c r="P3222" s="16" t="str">
        <f t="shared" si="1356"/>
        <v>14-Jun-1914</v>
      </c>
      <c r="R3222" s="16" t="str">
        <f t="shared" si="1343"/>
        <v/>
      </c>
      <c r="S3222" s="16" t="str">
        <f t="shared" si="1343"/>
        <v/>
      </c>
      <c r="U3222" s="46" t="str">
        <f t="shared" si="1344"/>
        <v/>
      </c>
      <c r="V3222" s="46">
        <f t="shared" si="1344"/>
        <v>0</v>
      </c>
      <c r="W3222" s="46" t="str">
        <f t="shared" si="1344"/>
        <v/>
      </c>
      <c r="X3222" s="46" t="str">
        <f t="shared" si="1344"/>
        <v/>
      </c>
    </row>
    <row r="3223" spans="2:26" x14ac:dyDescent="0.25">
      <c r="J3223" s="17"/>
      <c r="K3223" s="17"/>
      <c r="N3223" s="8" t="str">
        <f>IF(R3223="x",1,"")</f>
        <v/>
      </c>
      <c r="U3223" s="46" t="str">
        <f t="shared" si="1344"/>
        <v/>
      </c>
      <c r="V3223" s="46" t="str">
        <f t="shared" si="1344"/>
        <v/>
      </c>
      <c r="W3223" s="46" t="str">
        <f t="shared" si="1344"/>
        <v/>
      </c>
      <c r="X3223" s="46" t="str">
        <f t="shared" si="1344"/>
        <v/>
      </c>
    </row>
    <row r="3224" spans="2:26" s="18" customFormat="1" x14ac:dyDescent="0.25">
      <c r="E3224" s="40"/>
      <c r="G3224" s="40"/>
      <c r="H3224" s="7">
        <f t="shared" ref="H3224:N3224" si="1357">SUM(H3128:H3223)</f>
        <v>16</v>
      </c>
      <c r="I3224" s="7">
        <f t="shared" si="1357"/>
        <v>24</v>
      </c>
      <c r="J3224" s="7">
        <f>SUM(J3128:J3223)</f>
        <v>1128</v>
      </c>
      <c r="K3224" s="7">
        <f t="shared" si="1357"/>
        <v>0</v>
      </c>
      <c r="L3224" s="7">
        <f t="shared" si="1357"/>
        <v>1168</v>
      </c>
      <c r="M3224" s="7">
        <f t="shared" si="1357"/>
        <v>95</v>
      </c>
      <c r="N3224" s="7">
        <f t="shared" si="1357"/>
        <v>65</v>
      </c>
      <c r="P3224" s="13"/>
      <c r="Q3224" s="13"/>
      <c r="R3224" s="13"/>
      <c r="S3224" s="13"/>
      <c r="T3224" s="15"/>
      <c r="U3224" s="46" t="str">
        <f t="shared" si="1344"/>
        <v/>
      </c>
      <c r="V3224" s="46" t="str">
        <f t="shared" si="1344"/>
        <v/>
      </c>
      <c r="W3224" s="46" t="str">
        <f t="shared" si="1344"/>
        <v/>
      </c>
      <c r="X3224" s="46" t="str">
        <f t="shared" si="1344"/>
        <v/>
      </c>
      <c r="Z3224" s="11"/>
    </row>
    <row r="3225" spans="2:26" s="18" customFormat="1" x14ac:dyDescent="0.25">
      <c r="E3225" s="40"/>
      <c r="G3225" s="40"/>
      <c r="H3225" s="7"/>
      <c r="I3225" s="7"/>
      <c r="J3225" s="7"/>
      <c r="K3225" s="7"/>
      <c r="L3225" s="7"/>
      <c r="M3225" s="8"/>
      <c r="N3225" s="8" t="str">
        <f>IF(R3225="x",1,"")</f>
        <v/>
      </c>
      <c r="P3225" s="13"/>
      <c r="Q3225" s="13"/>
      <c r="R3225" s="13"/>
      <c r="S3225" s="13"/>
      <c r="T3225" s="15"/>
      <c r="U3225" s="46" t="str">
        <f t="shared" si="1344"/>
        <v/>
      </c>
      <c r="V3225" s="46" t="str">
        <f t="shared" si="1344"/>
        <v/>
      </c>
      <c r="W3225" s="46" t="str">
        <f t="shared" si="1344"/>
        <v/>
      </c>
      <c r="X3225" s="46" t="str">
        <f t="shared" si="1344"/>
        <v/>
      </c>
      <c r="Z3225" s="11"/>
    </row>
    <row r="3226" spans="2:26" s="18" customFormat="1" x14ac:dyDescent="0.25">
      <c r="E3226" s="40"/>
      <c r="G3226" s="40"/>
      <c r="H3226" s="7"/>
      <c r="I3226" s="7"/>
      <c r="J3226" s="7"/>
      <c r="K3226" s="7"/>
      <c r="L3226" s="7"/>
      <c r="M3226" s="8"/>
      <c r="N3226" s="8" t="str">
        <f>IF(R3226="x",1,"")</f>
        <v/>
      </c>
      <c r="P3226" s="13"/>
      <c r="Q3226" s="13"/>
      <c r="R3226" s="13"/>
      <c r="S3226" s="13"/>
      <c r="T3226" s="15"/>
      <c r="U3226" s="46" t="str">
        <f t="shared" si="1344"/>
        <v/>
      </c>
      <c r="V3226" s="46" t="str">
        <f t="shared" si="1344"/>
        <v/>
      </c>
      <c r="W3226" s="46" t="str">
        <f t="shared" si="1344"/>
        <v/>
      </c>
      <c r="X3226" s="46" t="str">
        <f t="shared" si="1344"/>
        <v/>
      </c>
      <c r="Z3226" s="11"/>
    </row>
    <row r="3227" spans="2:26" x14ac:dyDescent="0.25">
      <c r="B3227" s="11" t="str">
        <f>CONCATENATE("LSVO","-",LEFT(P3227,2),UPPER(MID(P3227,4,3)),RIGHT(P3227,4))</f>
        <v>LSVO-06SEP1901</v>
      </c>
      <c r="C3227" s="11" t="s">
        <v>1359</v>
      </c>
      <c r="D3227" s="11" t="s">
        <v>1699</v>
      </c>
      <c r="E3227" s="39" t="s">
        <v>1366</v>
      </c>
      <c r="F3227" s="11" t="s">
        <v>1700</v>
      </c>
      <c r="G3227" s="39" t="s">
        <v>1365</v>
      </c>
      <c r="J3227" s="17">
        <v>5</v>
      </c>
      <c r="K3227" s="17"/>
      <c r="L3227" s="7">
        <f>SUM(H3227:K3227)</f>
        <v>5</v>
      </c>
      <c r="M3227" s="8">
        <v>1</v>
      </c>
      <c r="N3227" s="8">
        <f>IF(L3227&gt;0,1,"")</f>
        <v>1</v>
      </c>
      <c r="O3227" s="11" t="s">
        <v>1702</v>
      </c>
      <c r="P3227" s="16" t="str">
        <f>IF(LEN(G3227)=10,CONCATENATE("0",G3227),G3227)</f>
        <v>06-Sep-1901</v>
      </c>
      <c r="R3227" s="16" t="str">
        <f t="shared" ref="R3227:S3283" si="1358">IF($L3227&gt;0,"x","")</f>
        <v>x</v>
      </c>
      <c r="S3227" s="16" t="str">
        <f t="shared" si="1358"/>
        <v>x</v>
      </c>
      <c r="U3227" s="46" t="str">
        <f t="shared" si="1344"/>
        <v/>
      </c>
      <c r="V3227" s="46">
        <f t="shared" si="1344"/>
        <v>5</v>
      </c>
      <c r="W3227" s="46" t="str">
        <f t="shared" si="1344"/>
        <v/>
      </c>
      <c r="X3227" s="46" t="str">
        <f t="shared" si="1344"/>
        <v/>
      </c>
      <c r="Z3227" s="11" t="s">
        <v>1607</v>
      </c>
    </row>
    <row r="3228" spans="2:26" x14ac:dyDescent="0.25">
      <c r="B3228" s="11" t="str">
        <f t="shared" ref="B3228:B3246" si="1359">CONCATENATE("LSVO","-",LEFT(P3228,2),UPPER(MID(P3228,4,3)),RIGHT(P3228,4))</f>
        <v>LSVO-05OCT1901</v>
      </c>
      <c r="C3228" s="11" t="s">
        <v>1359</v>
      </c>
      <c r="D3228" s="11" t="s">
        <v>1699</v>
      </c>
      <c r="E3228" s="39" t="s">
        <v>1367</v>
      </c>
      <c r="F3228" s="11" t="s">
        <v>1700</v>
      </c>
      <c r="G3228" s="39" t="s">
        <v>718</v>
      </c>
      <c r="J3228" s="17">
        <v>0</v>
      </c>
      <c r="K3228" s="17"/>
      <c r="L3228" s="7">
        <f t="shared" ref="L3228:L3246" si="1360">SUM(H3228:K3228)</f>
        <v>0</v>
      </c>
      <c r="M3228" s="8">
        <v>1</v>
      </c>
      <c r="N3228" s="8" t="str">
        <f t="shared" ref="N3228:N3246" si="1361">IF(L3228&gt;0,1,"")</f>
        <v/>
      </c>
      <c r="O3228" s="11" t="s">
        <v>1702</v>
      </c>
      <c r="P3228" s="16" t="str">
        <f t="shared" ref="P3228:P3246" si="1362">IF(LEN(G3228)=10,CONCATENATE("0",G3228),G3228)</f>
        <v>05-Oct-1901</v>
      </c>
      <c r="R3228" s="16" t="str">
        <f t="shared" si="1358"/>
        <v/>
      </c>
      <c r="S3228" s="16" t="str">
        <f t="shared" si="1358"/>
        <v/>
      </c>
      <c r="U3228" s="46" t="str">
        <f t="shared" si="1344"/>
        <v/>
      </c>
      <c r="V3228" s="46">
        <f t="shared" si="1344"/>
        <v>0</v>
      </c>
      <c r="W3228" s="46" t="str">
        <f t="shared" si="1344"/>
        <v/>
      </c>
      <c r="X3228" s="46" t="str">
        <f t="shared" si="1344"/>
        <v/>
      </c>
    </row>
    <row r="3229" spans="2:26" x14ac:dyDescent="0.25">
      <c r="B3229" s="11" t="str">
        <f t="shared" si="1359"/>
        <v>LSVO-13NOV1901</v>
      </c>
      <c r="C3229" s="11" t="s">
        <v>1359</v>
      </c>
      <c r="D3229" s="11" t="s">
        <v>1699</v>
      </c>
      <c r="E3229" s="39" t="s">
        <v>1368</v>
      </c>
      <c r="F3229" s="11" t="s">
        <v>1700</v>
      </c>
      <c r="G3229" s="39" t="s">
        <v>1360</v>
      </c>
      <c r="J3229" s="17">
        <v>0</v>
      </c>
      <c r="K3229" s="17"/>
      <c r="L3229" s="7">
        <f t="shared" si="1360"/>
        <v>0</v>
      </c>
      <c r="M3229" s="8">
        <v>1</v>
      </c>
      <c r="N3229" s="8" t="str">
        <f t="shared" si="1361"/>
        <v/>
      </c>
      <c r="O3229" s="11" t="s">
        <v>1702</v>
      </c>
      <c r="P3229" s="16" t="str">
        <f t="shared" si="1362"/>
        <v>13-Nov-1901</v>
      </c>
      <c r="R3229" s="16" t="str">
        <f t="shared" si="1358"/>
        <v/>
      </c>
      <c r="S3229" s="16" t="str">
        <f t="shared" si="1358"/>
        <v/>
      </c>
      <c r="U3229" s="46" t="str">
        <f t="shared" si="1344"/>
        <v/>
      </c>
      <c r="V3229" s="46">
        <f t="shared" si="1344"/>
        <v>0</v>
      </c>
      <c r="W3229" s="46" t="str">
        <f t="shared" si="1344"/>
        <v/>
      </c>
      <c r="X3229" s="46" t="str">
        <f t="shared" si="1344"/>
        <v/>
      </c>
    </row>
    <row r="3230" spans="2:26" x14ac:dyDescent="0.25">
      <c r="B3230" s="11" t="str">
        <f t="shared" si="1359"/>
        <v>LSVO-21DEC1901</v>
      </c>
      <c r="C3230" s="11" t="s">
        <v>1359</v>
      </c>
      <c r="D3230" s="11" t="s">
        <v>1699</v>
      </c>
      <c r="E3230" s="39" t="s">
        <v>1369</v>
      </c>
      <c r="F3230" s="11" t="s">
        <v>1700</v>
      </c>
      <c r="G3230" s="39" t="s">
        <v>1370</v>
      </c>
      <c r="J3230" s="17">
        <v>2</v>
      </c>
      <c r="K3230" s="17"/>
      <c r="L3230" s="7">
        <f t="shared" si="1360"/>
        <v>2</v>
      </c>
      <c r="M3230" s="8">
        <v>1</v>
      </c>
      <c r="N3230" s="8">
        <f t="shared" si="1361"/>
        <v>1</v>
      </c>
      <c r="O3230" s="11" t="s">
        <v>1702</v>
      </c>
      <c r="P3230" s="16" t="str">
        <f t="shared" si="1362"/>
        <v>21-Dec-1901</v>
      </c>
      <c r="R3230" s="16" t="str">
        <f t="shared" si="1358"/>
        <v>x</v>
      </c>
      <c r="S3230" s="16" t="str">
        <f t="shared" si="1358"/>
        <v>x</v>
      </c>
      <c r="U3230" s="46" t="str">
        <f t="shared" si="1344"/>
        <v/>
      </c>
      <c r="V3230" s="46">
        <f t="shared" si="1344"/>
        <v>2</v>
      </c>
      <c r="W3230" s="46" t="str">
        <f t="shared" si="1344"/>
        <v/>
      </c>
      <c r="X3230" s="46" t="str">
        <f t="shared" si="1344"/>
        <v/>
      </c>
    </row>
    <row r="3231" spans="2:26" x14ac:dyDescent="0.25">
      <c r="B3231" s="11" t="str">
        <f t="shared" si="1359"/>
        <v>LSVO-18JAN1902</v>
      </c>
      <c r="C3231" s="11" t="s">
        <v>1359</v>
      </c>
      <c r="D3231" s="11" t="s">
        <v>1699</v>
      </c>
      <c r="E3231" s="39" t="s">
        <v>1371</v>
      </c>
      <c r="F3231" s="11" t="s">
        <v>1700</v>
      </c>
      <c r="G3231" s="39" t="s">
        <v>1361</v>
      </c>
      <c r="J3231" s="17">
        <v>2</v>
      </c>
      <c r="K3231" s="17"/>
      <c r="L3231" s="7">
        <f t="shared" si="1360"/>
        <v>2</v>
      </c>
      <c r="M3231" s="8">
        <v>1</v>
      </c>
      <c r="N3231" s="8">
        <f t="shared" si="1361"/>
        <v>1</v>
      </c>
      <c r="O3231" s="11" t="s">
        <v>1702</v>
      </c>
      <c r="P3231" s="16" t="str">
        <f t="shared" si="1362"/>
        <v>18-Jan-1902</v>
      </c>
      <c r="R3231" s="16" t="str">
        <f t="shared" si="1358"/>
        <v>x</v>
      </c>
      <c r="S3231" s="16" t="str">
        <f t="shared" si="1358"/>
        <v>x</v>
      </c>
      <c r="U3231" s="46" t="str">
        <f t="shared" si="1344"/>
        <v/>
      </c>
      <c r="V3231" s="46">
        <f t="shared" si="1344"/>
        <v>2</v>
      </c>
      <c r="W3231" s="46" t="str">
        <f t="shared" si="1344"/>
        <v/>
      </c>
      <c r="X3231" s="46" t="str">
        <f t="shared" si="1344"/>
        <v/>
      </c>
    </row>
    <row r="3232" spans="2:26" x14ac:dyDescent="0.25">
      <c r="B3232" s="11" t="str">
        <f t="shared" si="1359"/>
        <v>LSVO-28MAR1902</v>
      </c>
      <c r="C3232" s="11" t="s">
        <v>1359</v>
      </c>
      <c r="D3232" s="11" t="s">
        <v>1699</v>
      </c>
      <c r="E3232" s="39" t="s">
        <v>726</v>
      </c>
      <c r="F3232" s="11" t="s">
        <v>1700</v>
      </c>
      <c r="G3232" s="39" t="s">
        <v>1372</v>
      </c>
      <c r="J3232" s="17">
        <v>0</v>
      </c>
      <c r="K3232" s="17"/>
      <c r="L3232" s="7">
        <f t="shared" si="1360"/>
        <v>0</v>
      </c>
      <c r="M3232" s="8">
        <v>1</v>
      </c>
      <c r="N3232" s="8" t="str">
        <f t="shared" si="1361"/>
        <v/>
      </c>
      <c r="O3232" s="11" t="s">
        <v>1702</v>
      </c>
      <c r="P3232" s="16" t="str">
        <f t="shared" si="1362"/>
        <v>28-Mar-1902</v>
      </c>
      <c r="R3232" s="16" t="str">
        <f t="shared" si="1358"/>
        <v/>
      </c>
      <c r="S3232" s="16" t="str">
        <f t="shared" si="1358"/>
        <v/>
      </c>
      <c r="U3232" s="46" t="str">
        <f t="shared" si="1344"/>
        <v/>
      </c>
      <c r="V3232" s="46">
        <f t="shared" si="1344"/>
        <v>0</v>
      </c>
      <c r="W3232" s="46" t="str">
        <f t="shared" si="1344"/>
        <v/>
      </c>
      <c r="X3232" s="46" t="str">
        <f t="shared" si="1344"/>
        <v/>
      </c>
    </row>
    <row r="3233" spans="2:24" x14ac:dyDescent="0.25">
      <c r="B3233" s="11" t="str">
        <f t="shared" si="1359"/>
        <v>LSVO-26APR1902</v>
      </c>
      <c r="C3233" s="11" t="s">
        <v>1359</v>
      </c>
      <c r="D3233" s="11" t="s">
        <v>1699</v>
      </c>
      <c r="E3233" s="39" t="s">
        <v>1373</v>
      </c>
      <c r="F3233" s="11" t="s">
        <v>1700</v>
      </c>
      <c r="G3233" s="39" t="s">
        <v>727</v>
      </c>
      <c r="J3233" s="17">
        <v>0</v>
      </c>
      <c r="K3233" s="17"/>
      <c r="L3233" s="7">
        <f t="shared" si="1360"/>
        <v>0</v>
      </c>
      <c r="M3233" s="8">
        <v>1</v>
      </c>
      <c r="N3233" s="8" t="str">
        <f t="shared" si="1361"/>
        <v/>
      </c>
      <c r="O3233" s="11" t="s">
        <v>1702</v>
      </c>
      <c r="P3233" s="16" t="str">
        <f t="shared" si="1362"/>
        <v>26-Apr-1902</v>
      </c>
      <c r="R3233" s="16" t="str">
        <f t="shared" si="1358"/>
        <v/>
      </c>
      <c r="S3233" s="16" t="str">
        <f t="shared" si="1358"/>
        <v/>
      </c>
      <c r="T3233" s="11"/>
      <c r="U3233" s="46" t="str">
        <f t="shared" si="1344"/>
        <v/>
      </c>
      <c r="V3233" s="46">
        <f t="shared" si="1344"/>
        <v>0</v>
      </c>
      <c r="W3233" s="46" t="str">
        <f t="shared" si="1344"/>
        <v/>
      </c>
      <c r="X3233" s="46" t="str">
        <f t="shared" si="1344"/>
        <v/>
      </c>
    </row>
    <row r="3234" spans="2:24" x14ac:dyDescent="0.25">
      <c r="B3234" s="11" t="str">
        <f t="shared" si="1359"/>
        <v>LSVO-23MAY1902</v>
      </c>
      <c r="C3234" s="11" t="s">
        <v>1359</v>
      </c>
      <c r="D3234" s="11" t="s">
        <v>1699</v>
      </c>
      <c r="E3234" s="39" t="s">
        <v>1374</v>
      </c>
      <c r="F3234" s="11" t="s">
        <v>1700</v>
      </c>
      <c r="G3234" s="39" t="s">
        <v>1375</v>
      </c>
      <c r="J3234" s="17">
        <v>13</v>
      </c>
      <c r="K3234" s="17"/>
      <c r="L3234" s="7">
        <f t="shared" si="1360"/>
        <v>13</v>
      </c>
      <c r="M3234" s="8">
        <v>1</v>
      </c>
      <c r="N3234" s="8">
        <f t="shared" si="1361"/>
        <v>1</v>
      </c>
      <c r="O3234" s="11" t="s">
        <v>1702</v>
      </c>
      <c r="P3234" s="16" t="str">
        <f t="shared" si="1362"/>
        <v>23-May-1902</v>
      </c>
      <c r="R3234" s="16" t="str">
        <f t="shared" si="1358"/>
        <v>x</v>
      </c>
      <c r="S3234" s="16" t="str">
        <f t="shared" si="1358"/>
        <v>x</v>
      </c>
      <c r="T3234" s="11"/>
      <c r="U3234" s="46" t="str">
        <f t="shared" si="1344"/>
        <v/>
      </c>
      <c r="V3234" s="46">
        <f t="shared" si="1344"/>
        <v>13</v>
      </c>
      <c r="W3234" s="46" t="str">
        <f t="shared" si="1344"/>
        <v/>
      </c>
      <c r="X3234" s="46" t="str">
        <f t="shared" si="1344"/>
        <v/>
      </c>
    </row>
    <row r="3235" spans="2:24" x14ac:dyDescent="0.25">
      <c r="B3235" s="11" t="str">
        <f t="shared" si="1359"/>
        <v>LSVO-21JUN1902</v>
      </c>
      <c r="C3235" s="11" t="s">
        <v>1359</v>
      </c>
      <c r="D3235" s="11" t="s">
        <v>1699</v>
      </c>
      <c r="E3235" s="39" t="s">
        <v>1376</v>
      </c>
      <c r="F3235" s="11" t="s">
        <v>1700</v>
      </c>
      <c r="G3235" s="39" t="s">
        <v>730</v>
      </c>
      <c r="J3235" s="17">
        <v>3</v>
      </c>
      <c r="K3235" s="17"/>
      <c r="L3235" s="7">
        <f t="shared" si="1360"/>
        <v>3</v>
      </c>
      <c r="M3235" s="8">
        <v>1</v>
      </c>
      <c r="N3235" s="8">
        <f t="shared" si="1361"/>
        <v>1</v>
      </c>
      <c r="O3235" s="11" t="s">
        <v>1702</v>
      </c>
      <c r="P3235" s="16" t="str">
        <f t="shared" si="1362"/>
        <v>21-Jun-1902</v>
      </c>
      <c r="R3235" s="16" t="str">
        <f t="shared" si="1358"/>
        <v>x</v>
      </c>
      <c r="S3235" s="16" t="str">
        <f t="shared" si="1358"/>
        <v>x</v>
      </c>
      <c r="T3235" s="11"/>
      <c r="U3235" s="46" t="str">
        <f t="shared" si="1344"/>
        <v/>
      </c>
      <c r="V3235" s="46">
        <f t="shared" si="1344"/>
        <v>3</v>
      </c>
      <c r="W3235" s="46" t="str">
        <f t="shared" si="1344"/>
        <v/>
      </c>
      <c r="X3235" s="46" t="str">
        <f t="shared" si="1344"/>
        <v/>
      </c>
    </row>
    <row r="3236" spans="2:24" x14ac:dyDescent="0.25">
      <c r="B3236" s="11" t="str">
        <f>CONCATENATE("LSVO","-",LEFT(P3236,2),UPPER(MID(P3236,4,3)),RIGHT(P3236,4))</f>
        <v>LSVO-19JUL1902</v>
      </c>
      <c r="C3236" s="11" t="s">
        <v>1359</v>
      </c>
      <c r="D3236" s="11" t="s">
        <v>1699</v>
      </c>
      <c r="E3236" s="39" t="s">
        <v>1744</v>
      </c>
      <c r="F3236" s="11" t="s">
        <v>1700</v>
      </c>
      <c r="G3236" s="39" t="s">
        <v>1362</v>
      </c>
      <c r="J3236" s="17">
        <v>5</v>
      </c>
      <c r="K3236" s="17"/>
      <c r="L3236" s="7">
        <f>SUM(H3236:K3236)</f>
        <v>5</v>
      </c>
      <c r="M3236" s="8">
        <v>1</v>
      </c>
      <c r="N3236" s="8">
        <f>IF(L3236&gt;0,1,"")</f>
        <v>1</v>
      </c>
      <c r="O3236" s="11" t="s">
        <v>1702</v>
      </c>
      <c r="P3236" s="16" t="str">
        <f>IF(LEN(G3236)=10,CONCATENATE("0",G3236),G3236)</f>
        <v>19-Jul-1902</v>
      </c>
      <c r="R3236" s="16" t="str">
        <f t="shared" si="1358"/>
        <v>x</v>
      </c>
      <c r="S3236" s="16" t="str">
        <f t="shared" si="1358"/>
        <v>x</v>
      </c>
      <c r="T3236" s="11"/>
      <c r="U3236" s="46" t="str">
        <f t="shared" si="1344"/>
        <v/>
      </c>
      <c r="V3236" s="46">
        <f t="shared" si="1344"/>
        <v>5</v>
      </c>
      <c r="W3236" s="46" t="str">
        <f t="shared" si="1344"/>
        <v/>
      </c>
      <c r="X3236" s="46" t="str">
        <f t="shared" si="1344"/>
        <v/>
      </c>
    </row>
    <row r="3237" spans="2:24" x14ac:dyDescent="0.25">
      <c r="B3237" s="11" t="str">
        <f>CONCATENATE("LSVO","-",LEFT(P3237,2),UPPER(MID(P3237,4,3)),RIGHT(P3237,4))</f>
        <v>LSVO-30AUG1902</v>
      </c>
      <c r="C3237" s="11" t="s">
        <v>1359</v>
      </c>
      <c r="D3237" s="11" t="s">
        <v>1699</v>
      </c>
      <c r="E3237" s="39" t="s">
        <v>1377</v>
      </c>
      <c r="F3237" s="11" t="s">
        <v>1700</v>
      </c>
      <c r="G3237" s="39" t="s">
        <v>733</v>
      </c>
      <c r="J3237" s="17">
        <v>1</v>
      </c>
      <c r="K3237" s="17"/>
      <c r="L3237" s="7">
        <f>SUM(H3237:K3237)</f>
        <v>1</v>
      </c>
      <c r="M3237" s="8">
        <v>1</v>
      </c>
      <c r="N3237" s="8">
        <f>IF(L3237&gt;0,1,"")</f>
        <v>1</v>
      </c>
      <c r="O3237" s="11" t="s">
        <v>1702</v>
      </c>
      <c r="P3237" s="16" t="str">
        <f>IF(LEN(G3237)=10,CONCATENATE("0",G3237),G3237)</f>
        <v>30-Aug-1902</v>
      </c>
      <c r="R3237" s="16" t="str">
        <f t="shared" si="1358"/>
        <v>x</v>
      </c>
      <c r="S3237" s="16" t="str">
        <f t="shared" si="1358"/>
        <v>x</v>
      </c>
      <c r="T3237" s="11"/>
      <c r="U3237" s="46" t="str">
        <f t="shared" si="1344"/>
        <v/>
      </c>
      <c r="V3237" s="46">
        <f t="shared" si="1344"/>
        <v>1</v>
      </c>
      <c r="W3237" s="46" t="str">
        <f t="shared" si="1344"/>
        <v/>
      </c>
      <c r="X3237" s="46" t="str">
        <f t="shared" si="1344"/>
        <v/>
      </c>
    </row>
    <row r="3238" spans="2:24" x14ac:dyDescent="0.25">
      <c r="B3238" s="11" t="str">
        <f>CONCATENATE("LSVO","-",LEFT(P3238,2),UPPER(MID(P3238,4,3)),RIGHT(P3238,4))</f>
        <v>LSVO-27SEP1902</v>
      </c>
      <c r="C3238" s="11" t="s">
        <v>1359</v>
      </c>
      <c r="D3238" s="11" t="s">
        <v>1699</v>
      </c>
      <c r="E3238" s="39" t="s">
        <v>1378</v>
      </c>
      <c r="F3238" s="11" t="s">
        <v>1700</v>
      </c>
      <c r="G3238" s="39" t="s">
        <v>1363</v>
      </c>
      <c r="J3238" s="17">
        <v>10</v>
      </c>
      <c r="K3238" s="17"/>
      <c r="L3238" s="7">
        <f>SUM(H3238:K3238)</f>
        <v>10</v>
      </c>
      <c r="M3238" s="8">
        <v>1</v>
      </c>
      <c r="N3238" s="8">
        <f>IF(L3238&gt;0,1,"")</f>
        <v>1</v>
      </c>
      <c r="O3238" s="11" t="s">
        <v>1702</v>
      </c>
      <c r="P3238" s="16" t="str">
        <f>IF(LEN(G3238)=10,CONCATENATE("0",G3238),G3238)</f>
        <v>27-Sep-1902</v>
      </c>
      <c r="R3238" s="16" t="str">
        <f t="shared" si="1358"/>
        <v>x</v>
      </c>
      <c r="S3238" s="16" t="str">
        <f t="shared" si="1358"/>
        <v>x</v>
      </c>
      <c r="T3238" s="11"/>
      <c r="U3238" s="46" t="str">
        <f t="shared" si="1344"/>
        <v/>
      </c>
      <c r="V3238" s="46">
        <f t="shared" si="1344"/>
        <v>10</v>
      </c>
      <c r="W3238" s="46" t="str">
        <f t="shared" si="1344"/>
        <v/>
      </c>
      <c r="X3238" s="46" t="str">
        <f t="shared" si="1344"/>
        <v/>
      </c>
    </row>
    <row r="3239" spans="2:24" x14ac:dyDescent="0.25">
      <c r="B3239" s="11" t="str">
        <f>CONCATENATE("LSVO","-",LEFT(P3239,2),UPPER(MID(P3239,4,3)),RIGHT(P3239,4))</f>
        <v>LSVO-25OCT1902</v>
      </c>
      <c r="C3239" s="11" t="s">
        <v>1359</v>
      </c>
      <c r="D3239" s="11" t="s">
        <v>1699</v>
      </c>
      <c r="E3239" s="39" t="s">
        <v>1380</v>
      </c>
      <c r="F3239" s="11" t="s">
        <v>1700</v>
      </c>
      <c r="G3239" s="39" t="s">
        <v>1379</v>
      </c>
      <c r="J3239" s="17">
        <v>0</v>
      </c>
      <c r="K3239" s="17"/>
      <c r="L3239" s="7">
        <f>SUM(H3239:K3239)</f>
        <v>0</v>
      </c>
      <c r="M3239" s="8">
        <v>1</v>
      </c>
      <c r="N3239" s="8" t="str">
        <f>IF(L3239&gt;0,1,"")</f>
        <v/>
      </c>
      <c r="O3239" s="11" t="s">
        <v>1702</v>
      </c>
      <c r="P3239" s="16" t="str">
        <f>IF(LEN(G3239)=10,CONCATENATE("0",G3239),G3239)</f>
        <v>25-Oct-1902</v>
      </c>
      <c r="R3239" s="16" t="str">
        <f t="shared" si="1358"/>
        <v/>
      </c>
      <c r="S3239" s="16" t="str">
        <f t="shared" si="1358"/>
        <v/>
      </c>
      <c r="T3239" s="11"/>
      <c r="U3239" s="46" t="str">
        <f t="shared" si="1344"/>
        <v/>
      </c>
      <c r="V3239" s="46">
        <f t="shared" si="1344"/>
        <v>0</v>
      </c>
      <c r="W3239" s="46" t="str">
        <f t="shared" si="1344"/>
        <v/>
      </c>
      <c r="X3239" s="46" t="str">
        <f t="shared" si="1344"/>
        <v/>
      </c>
    </row>
    <row r="3240" spans="2:24" x14ac:dyDescent="0.25">
      <c r="B3240" s="11" t="str">
        <f t="shared" si="1359"/>
        <v>LSVO-20DEC1902</v>
      </c>
      <c r="C3240" s="11" t="s">
        <v>1359</v>
      </c>
      <c r="D3240" s="11" t="s">
        <v>1699</v>
      </c>
      <c r="E3240" s="39" t="s">
        <v>1381</v>
      </c>
      <c r="F3240" s="11" t="s">
        <v>1700</v>
      </c>
      <c r="G3240" s="39" t="s">
        <v>1364</v>
      </c>
      <c r="J3240" s="17">
        <v>3</v>
      </c>
      <c r="K3240" s="17"/>
      <c r="L3240" s="7">
        <f t="shared" si="1360"/>
        <v>3</v>
      </c>
      <c r="M3240" s="8">
        <v>1</v>
      </c>
      <c r="N3240" s="8">
        <f t="shared" si="1361"/>
        <v>1</v>
      </c>
      <c r="O3240" s="11" t="s">
        <v>1702</v>
      </c>
      <c r="P3240" s="16" t="str">
        <f t="shared" si="1362"/>
        <v>20-Dec-1902</v>
      </c>
      <c r="R3240" s="16" t="str">
        <f t="shared" si="1358"/>
        <v>x</v>
      </c>
      <c r="S3240" s="16" t="str">
        <f t="shared" si="1358"/>
        <v>x</v>
      </c>
      <c r="T3240" s="11"/>
      <c r="U3240" s="46" t="str">
        <f t="shared" si="1344"/>
        <v/>
      </c>
      <c r="V3240" s="46">
        <f t="shared" si="1344"/>
        <v>3</v>
      </c>
      <c r="W3240" s="46" t="str">
        <f t="shared" si="1344"/>
        <v/>
      </c>
      <c r="X3240" s="46" t="str">
        <f t="shared" si="1344"/>
        <v/>
      </c>
    </row>
    <row r="3241" spans="2:24" x14ac:dyDescent="0.25">
      <c r="B3241" s="11" t="str">
        <f t="shared" si="1359"/>
        <v>LSVO-18JAN1903</v>
      </c>
      <c r="C3241" s="11" t="s">
        <v>1359</v>
      </c>
      <c r="D3241" s="11" t="s">
        <v>1699</v>
      </c>
      <c r="E3241" s="39" t="s">
        <v>1388</v>
      </c>
      <c r="F3241" s="11" t="s">
        <v>1700</v>
      </c>
      <c r="G3241" s="39" t="s">
        <v>1382</v>
      </c>
      <c r="H3241" s="7">
        <v>0</v>
      </c>
      <c r="I3241" s="7">
        <v>1</v>
      </c>
      <c r="J3241" s="17">
        <v>11</v>
      </c>
      <c r="K3241" s="17"/>
      <c r="L3241" s="7">
        <f t="shared" si="1360"/>
        <v>12</v>
      </c>
      <c r="M3241" s="8">
        <v>1</v>
      </c>
      <c r="N3241" s="8">
        <f t="shared" si="1361"/>
        <v>1</v>
      </c>
      <c r="O3241" s="11" t="s">
        <v>1702</v>
      </c>
      <c r="P3241" s="16" t="str">
        <f t="shared" si="1362"/>
        <v>18-Jan-1903</v>
      </c>
      <c r="R3241" s="16" t="str">
        <f t="shared" si="1358"/>
        <v>x</v>
      </c>
      <c r="S3241" s="16" t="str">
        <f t="shared" si="1358"/>
        <v>x</v>
      </c>
      <c r="T3241" s="11"/>
      <c r="U3241" s="46" t="str">
        <f t="shared" si="1344"/>
        <v/>
      </c>
      <c r="V3241" s="46">
        <f t="shared" si="1344"/>
        <v>12</v>
      </c>
      <c r="W3241" s="46" t="str">
        <f t="shared" si="1344"/>
        <v/>
      </c>
      <c r="X3241" s="46" t="str">
        <f t="shared" si="1344"/>
        <v/>
      </c>
    </row>
    <row r="3242" spans="2:24" x14ac:dyDescent="0.25">
      <c r="B3242" s="11" t="str">
        <f t="shared" si="1359"/>
        <v>LSVO-01MAR1903</v>
      </c>
      <c r="C3242" s="11" t="s">
        <v>1359</v>
      </c>
      <c r="D3242" s="11" t="s">
        <v>1699</v>
      </c>
      <c r="E3242" s="39" t="s">
        <v>1389</v>
      </c>
      <c r="F3242" s="11" t="s">
        <v>1700</v>
      </c>
      <c r="G3242" s="39" t="s">
        <v>1383</v>
      </c>
      <c r="H3242" s="7">
        <v>0</v>
      </c>
      <c r="I3242" s="7">
        <v>0</v>
      </c>
      <c r="J3242" s="17">
        <v>0</v>
      </c>
      <c r="K3242" s="17"/>
      <c r="L3242" s="7">
        <f t="shared" si="1360"/>
        <v>0</v>
      </c>
      <c r="M3242" s="8">
        <v>1</v>
      </c>
      <c r="N3242" s="8" t="str">
        <f t="shared" si="1361"/>
        <v/>
      </c>
      <c r="O3242" s="11" t="s">
        <v>1702</v>
      </c>
      <c r="P3242" s="16" t="str">
        <f t="shared" si="1362"/>
        <v>01-Mar-1903</v>
      </c>
      <c r="R3242" s="16" t="str">
        <f t="shared" si="1358"/>
        <v/>
      </c>
      <c r="S3242" s="16" t="str">
        <f t="shared" si="1358"/>
        <v/>
      </c>
      <c r="T3242" s="11"/>
      <c r="U3242" s="46" t="str">
        <f t="shared" si="1344"/>
        <v/>
      </c>
      <c r="V3242" s="46">
        <f t="shared" si="1344"/>
        <v>0</v>
      </c>
      <c r="W3242" s="46" t="str">
        <f t="shared" si="1344"/>
        <v/>
      </c>
      <c r="X3242" s="46" t="str">
        <f t="shared" si="1344"/>
        <v/>
      </c>
    </row>
    <row r="3243" spans="2:24" x14ac:dyDescent="0.25">
      <c r="B3243" s="11" t="str">
        <f t="shared" si="1359"/>
        <v>LSVO-29MAR1903</v>
      </c>
      <c r="C3243" s="11" t="s">
        <v>1359</v>
      </c>
      <c r="D3243" s="11" t="s">
        <v>1699</v>
      </c>
      <c r="E3243" s="39" t="s">
        <v>1390</v>
      </c>
      <c r="F3243" s="11" t="s">
        <v>1700</v>
      </c>
      <c r="G3243" s="39" t="s">
        <v>1384</v>
      </c>
      <c r="H3243" s="7">
        <v>0</v>
      </c>
      <c r="I3243" s="7">
        <v>0</v>
      </c>
      <c r="J3243" s="17">
        <v>0</v>
      </c>
      <c r="K3243" s="17"/>
      <c r="L3243" s="7">
        <f t="shared" si="1360"/>
        <v>0</v>
      </c>
      <c r="M3243" s="8">
        <v>1</v>
      </c>
      <c r="N3243" s="8" t="str">
        <f t="shared" si="1361"/>
        <v/>
      </c>
      <c r="O3243" s="11" t="s">
        <v>1702</v>
      </c>
      <c r="P3243" s="16" t="str">
        <f t="shared" si="1362"/>
        <v>29-Mar-1903</v>
      </c>
      <c r="R3243" s="16" t="str">
        <f t="shared" si="1358"/>
        <v/>
      </c>
      <c r="S3243" s="16" t="str">
        <f t="shared" si="1358"/>
        <v/>
      </c>
      <c r="T3243" s="11"/>
      <c r="U3243" s="46" t="str">
        <f t="shared" si="1344"/>
        <v/>
      </c>
      <c r="V3243" s="46">
        <f t="shared" si="1344"/>
        <v>0</v>
      </c>
      <c r="W3243" s="46" t="str">
        <f t="shared" si="1344"/>
        <v/>
      </c>
      <c r="X3243" s="46" t="str">
        <f t="shared" si="1344"/>
        <v/>
      </c>
    </row>
    <row r="3244" spans="2:24" x14ac:dyDescent="0.25">
      <c r="B3244" s="11" t="str">
        <f t="shared" si="1359"/>
        <v>LSVO-02MAY1903</v>
      </c>
      <c r="C3244" s="11" t="s">
        <v>1359</v>
      </c>
      <c r="D3244" s="11" t="s">
        <v>1699</v>
      </c>
      <c r="E3244" s="39" t="s">
        <v>1391</v>
      </c>
      <c r="F3244" s="11" t="s">
        <v>1700</v>
      </c>
      <c r="G3244" s="39" t="s">
        <v>750</v>
      </c>
      <c r="H3244" s="7">
        <v>0</v>
      </c>
      <c r="I3244" s="7">
        <v>1</v>
      </c>
      <c r="J3244" s="17">
        <v>4</v>
      </c>
      <c r="K3244" s="17"/>
      <c r="L3244" s="7">
        <f t="shared" si="1360"/>
        <v>5</v>
      </c>
      <c r="M3244" s="8">
        <v>1</v>
      </c>
      <c r="N3244" s="8">
        <f t="shared" si="1361"/>
        <v>1</v>
      </c>
      <c r="O3244" s="11" t="s">
        <v>1702</v>
      </c>
      <c r="P3244" s="16" t="str">
        <f t="shared" si="1362"/>
        <v>02-May-1903</v>
      </c>
      <c r="R3244" s="16" t="str">
        <f t="shared" si="1358"/>
        <v>x</v>
      </c>
      <c r="S3244" s="16" t="str">
        <f t="shared" si="1358"/>
        <v>x</v>
      </c>
      <c r="T3244" s="11"/>
      <c r="U3244" s="46" t="str">
        <f t="shared" si="1344"/>
        <v/>
      </c>
      <c r="V3244" s="46">
        <f t="shared" si="1344"/>
        <v>5</v>
      </c>
      <c r="W3244" s="46" t="str">
        <f t="shared" si="1344"/>
        <v/>
      </c>
      <c r="X3244" s="46" t="str">
        <f t="shared" si="1344"/>
        <v/>
      </c>
    </row>
    <row r="3245" spans="2:24" x14ac:dyDescent="0.25">
      <c r="B3245" s="11" t="str">
        <f t="shared" si="1359"/>
        <v>LSVO-31MAY1903</v>
      </c>
      <c r="C3245" s="11" t="s">
        <v>1359</v>
      </c>
      <c r="D3245" s="11" t="s">
        <v>1699</v>
      </c>
      <c r="E3245" s="39" t="s">
        <v>1392</v>
      </c>
      <c r="F3245" s="11" t="s">
        <v>1700</v>
      </c>
      <c r="G3245" s="39" t="s">
        <v>1385</v>
      </c>
      <c r="H3245" s="7">
        <v>0</v>
      </c>
      <c r="I3245" s="7">
        <v>0</v>
      </c>
      <c r="J3245" s="17">
        <v>0</v>
      </c>
      <c r="K3245" s="17"/>
      <c r="L3245" s="7">
        <f t="shared" si="1360"/>
        <v>0</v>
      </c>
      <c r="M3245" s="8">
        <v>1</v>
      </c>
      <c r="N3245" s="8" t="str">
        <f t="shared" si="1361"/>
        <v/>
      </c>
      <c r="O3245" s="11" t="s">
        <v>1702</v>
      </c>
      <c r="P3245" s="16" t="str">
        <f t="shared" si="1362"/>
        <v>31-May-1903</v>
      </c>
      <c r="R3245" s="16" t="str">
        <f t="shared" si="1358"/>
        <v/>
      </c>
      <c r="S3245" s="16" t="str">
        <f t="shared" si="1358"/>
        <v/>
      </c>
      <c r="T3245" s="11"/>
      <c r="U3245" s="46" t="str">
        <f t="shared" si="1344"/>
        <v/>
      </c>
      <c r="V3245" s="46">
        <f t="shared" si="1344"/>
        <v>0</v>
      </c>
      <c r="W3245" s="46" t="str">
        <f t="shared" si="1344"/>
        <v/>
      </c>
      <c r="X3245" s="46" t="str">
        <f t="shared" si="1344"/>
        <v/>
      </c>
    </row>
    <row r="3246" spans="2:24" x14ac:dyDescent="0.25">
      <c r="B3246" s="11" t="str">
        <f t="shared" si="1359"/>
        <v>LSVO-27JUN1903</v>
      </c>
      <c r="C3246" s="11" t="s">
        <v>1359</v>
      </c>
      <c r="D3246" s="11" t="s">
        <v>1699</v>
      </c>
      <c r="E3246" s="39" t="s">
        <v>1393</v>
      </c>
      <c r="F3246" s="11" t="s">
        <v>1700</v>
      </c>
      <c r="G3246" s="39" t="s">
        <v>1386</v>
      </c>
      <c r="H3246" s="7">
        <v>0</v>
      </c>
      <c r="I3246" s="7">
        <v>2</v>
      </c>
      <c r="J3246" s="17">
        <v>22</v>
      </c>
      <c r="K3246" s="17"/>
      <c r="L3246" s="7">
        <f t="shared" si="1360"/>
        <v>24</v>
      </c>
      <c r="M3246" s="8">
        <v>1</v>
      </c>
      <c r="N3246" s="8">
        <f t="shared" si="1361"/>
        <v>1</v>
      </c>
      <c r="O3246" s="11" t="s">
        <v>1702</v>
      </c>
      <c r="P3246" s="16" t="str">
        <f t="shared" si="1362"/>
        <v>27-Jun-1903</v>
      </c>
      <c r="R3246" s="16" t="str">
        <f t="shared" si="1358"/>
        <v>x</v>
      </c>
      <c r="S3246" s="16" t="str">
        <f t="shared" si="1358"/>
        <v>x</v>
      </c>
      <c r="U3246" s="46" t="str">
        <f t="shared" si="1344"/>
        <v/>
      </c>
      <c r="V3246" s="46">
        <f t="shared" si="1344"/>
        <v>24</v>
      </c>
      <c r="W3246" s="46" t="str">
        <f t="shared" si="1344"/>
        <v/>
      </c>
      <c r="X3246" s="46" t="str">
        <f t="shared" si="1344"/>
        <v/>
      </c>
    </row>
    <row r="3247" spans="2:24" x14ac:dyDescent="0.25">
      <c r="B3247" s="11" t="str">
        <f t="shared" ref="B3247:B3256" si="1363">CONCATENATE("LSVO","-",LEFT(P3247,2),UPPER(MID(P3247,4,3)),RIGHT(P3247,4))</f>
        <v>LSVO-15AUG1903</v>
      </c>
      <c r="C3247" s="11" t="s">
        <v>1359</v>
      </c>
      <c r="D3247" s="11" t="s">
        <v>1699</v>
      </c>
      <c r="E3247" s="39" t="s">
        <v>1394</v>
      </c>
      <c r="F3247" s="11" t="s">
        <v>1700</v>
      </c>
      <c r="G3247" s="39" t="s">
        <v>753</v>
      </c>
      <c r="H3247" s="7">
        <v>0</v>
      </c>
      <c r="I3247" s="7">
        <v>0</v>
      </c>
      <c r="J3247" s="17">
        <v>0</v>
      </c>
      <c r="K3247" s="17"/>
      <c r="L3247" s="7">
        <f t="shared" ref="L3247:L3256" si="1364">SUM(H3247:K3247)</f>
        <v>0</v>
      </c>
      <c r="M3247" s="8">
        <v>1</v>
      </c>
      <c r="N3247" s="8" t="str">
        <f t="shared" ref="N3247:N3256" si="1365">IF(L3247&gt;0,1,"")</f>
        <v/>
      </c>
      <c r="O3247" s="11" t="s">
        <v>1702</v>
      </c>
      <c r="P3247" s="16" t="str">
        <f t="shared" ref="P3247:P3256" si="1366">IF(LEN(G3247)=10,CONCATENATE("0",G3247),G3247)</f>
        <v>15-Aug-1903</v>
      </c>
      <c r="R3247" s="16" t="str">
        <f t="shared" si="1358"/>
        <v/>
      </c>
      <c r="S3247" s="16" t="str">
        <f t="shared" si="1358"/>
        <v/>
      </c>
      <c r="T3247" s="11"/>
      <c r="U3247" s="46" t="str">
        <f t="shared" si="1344"/>
        <v/>
      </c>
      <c r="V3247" s="46">
        <f t="shared" si="1344"/>
        <v>0</v>
      </c>
      <c r="W3247" s="46" t="str">
        <f t="shared" si="1344"/>
        <v/>
      </c>
      <c r="X3247" s="46" t="str">
        <f>IF($O3247=X$5,$L3247,"")</f>
        <v/>
      </c>
    </row>
    <row r="3248" spans="2:24" x14ac:dyDescent="0.25">
      <c r="B3248" s="11" t="str">
        <f t="shared" si="1363"/>
        <v>LSVO-12SEP1903</v>
      </c>
      <c r="C3248" s="11" t="s">
        <v>1359</v>
      </c>
      <c r="D3248" s="11" t="s">
        <v>1699</v>
      </c>
      <c r="E3248" s="39" t="s">
        <v>1395</v>
      </c>
      <c r="F3248" s="11" t="s">
        <v>1700</v>
      </c>
      <c r="G3248" s="39" t="s">
        <v>755</v>
      </c>
      <c r="H3248" s="7">
        <v>0</v>
      </c>
      <c r="I3248" s="7">
        <v>0</v>
      </c>
      <c r="J3248" s="17">
        <v>0</v>
      </c>
      <c r="K3248" s="17"/>
      <c r="L3248" s="7">
        <f t="shared" si="1364"/>
        <v>0</v>
      </c>
      <c r="M3248" s="8">
        <v>1</v>
      </c>
      <c r="N3248" s="8" t="str">
        <f t="shared" si="1365"/>
        <v/>
      </c>
      <c r="O3248" s="11" t="s">
        <v>1702</v>
      </c>
      <c r="P3248" s="16" t="str">
        <f t="shared" si="1366"/>
        <v>12-Sep-1903</v>
      </c>
      <c r="R3248" s="16" t="str">
        <f t="shared" si="1358"/>
        <v/>
      </c>
      <c r="S3248" s="16" t="str">
        <f t="shared" si="1358"/>
        <v/>
      </c>
      <c r="T3248" s="11"/>
      <c r="U3248" s="46" t="str">
        <f t="shared" ref="U3248:X3311" si="1367">IF($O3248=U$5,$L3248,"")</f>
        <v/>
      </c>
      <c r="V3248" s="46">
        <f t="shared" si="1367"/>
        <v>0</v>
      </c>
      <c r="W3248" s="46" t="str">
        <f t="shared" si="1367"/>
        <v/>
      </c>
      <c r="X3248" s="46" t="str">
        <f t="shared" si="1367"/>
        <v/>
      </c>
    </row>
    <row r="3249" spans="2:24" x14ac:dyDescent="0.25">
      <c r="B3249" s="11" t="str">
        <f t="shared" si="1363"/>
        <v>LSVO-10OCT1903</v>
      </c>
      <c r="C3249" s="11" t="s">
        <v>1359</v>
      </c>
      <c r="D3249" s="11" t="s">
        <v>1699</v>
      </c>
      <c r="E3249" s="39" t="s">
        <v>1396</v>
      </c>
      <c r="F3249" s="11" t="s">
        <v>1700</v>
      </c>
      <c r="G3249" s="39" t="s">
        <v>756</v>
      </c>
      <c r="H3249" s="7">
        <v>0</v>
      </c>
      <c r="I3249" s="7">
        <v>0</v>
      </c>
      <c r="J3249" s="17">
        <v>0</v>
      </c>
      <c r="K3249" s="17"/>
      <c r="L3249" s="7">
        <f t="shared" si="1364"/>
        <v>0</v>
      </c>
      <c r="M3249" s="8">
        <v>1</v>
      </c>
      <c r="N3249" s="8" t="str">
        <f t="shared" si="1365"/>
        <v/>
      </c>
      <c r="O3249" s="11" t="s">
        <v>1702</v>
      </c>
      <c r="P3249" s="16" t="str">
        <f t="shared" si="1366"/>
        <v>10-Oct-1903</v>
      </c>
      <c r="R3249" s="16" t="str">
        <f t="shared" si="1358"/>
        <v/>
      </c>
      <c r="S3249" s="16" t="str">
        <f t="shared" si="1358"/>
        <v/>
      </c>
      <c r="T3249" s="11"/>
      <c r="U3249" s="46" t="str">
        <f t="shared" si="1367"/>
        <v/>
      </c>
      <c r="V3249" s="46">
        <f t="shared" si="1367"/>
        <v>0</v>
      </c>
      <c r="W3249" s="46" t="str">
        <f t="shared" si="1367"/>
        <v/>
      </c>
      <c r="X3249" s="46" t="str">
        <f t="shared" si="1367"/>
        <v/>
      </c>
    </row>
    <row r="3250" spans="2:24" x14ac:dyDescent="0.25">
      <c r="B3250" s="11" t="str">
        <f t="shared" si="1363"/>
        <v>LSVO-14NOV1903</v>
      </c>
      <c r="C3250" s="11" t="s">
        <v>1359</v>
      </c>
      <c r="D3250" s="11" t="s">
        <v>1699</v>
      </c>
      <c r="E3250" s="39" t="s">
        <v>1397</v>
      </c>
      <c r="F3250" s="11" t="s">
        <v>1700</v>
      </c>
      <c r="G3250" s="39" t="s">
        <v>757</v>
      </c>
      <c r="H3250" s="7">
        <v>0</v>
      </c>
      <c r="I3250" s="7">
        <v>0</v>
      </c>
      <c r="J3250" s="17">
        <v>10</v>
      </c>
      <c r="K3250" s="17"/>
      <c r="L3250" s="7">
        <f t="shared" si="1364"/>
        <v>10</v>
      </c>
      <c r="M3250" s="8">
        <v>1</v>
      </c>
      <c r="N3250" s="8">
        <f t="shared" si="1365"/>
        <v>1</v>
      </c>
      <c r="O3250" s="11" t="s">
        <v>1702</v>
      </c>
      <c r="P3250" s="16" t="str">
        <f t="shared" si="1366"/>
        <v>14-Nov-1903</v>
      </c>
      <c r="R3250" s="16" t="str">
        <f t="shared" si="1358"/>
        <v>x</v>
      </c>
      <c r="S3250" s="16" t="str">
        <f t="shared" si="1358"/>
        <v>x</v>
      </c>
      <c r="T3250" s="11"/>
      <c r="U3250" s="46" t="str">
        <f t="shared" si="1367"/>
        <v/>
      </c>
      <c r="V3250" s="46">
        <f t="shared" si="1367"/>
        <v>10</v>
      </c>
      <c r="W3250" s="46" t="str">
        <f t="shared" si="1367"/>
        <v/>
      </c>
      <c r="X3250" s="46" t="str">
        <f t="shared" si="1367"/>
        <v/>
      </c>
    </row>
    <row r="3251" spans="2:24" x14ac:dyDescent="0.25">
      <c r="B3251" s="11" t="str">
        <f t="shared" si="1363"/>
        <v>LSVO-13DEC1903</v>
      </c>
      <c r="C3251" s="11" t="s">
        <v>1359</v>
      </c>
      <c r="D3251" s="11" t="s">
        <v>1699</v>
      </c>
      <c r="E3251" s="39" t="s">
        <v>1398</v>
      </c>
      <c r="F3251" s="11" t="s">
        <v>1700</v>
      </c>
      <c r="G3251" s="39" t="s">
        <v>1387</v>
      </c>
      <c r="H3251" s="7">
        <v>0</v>
      </c>
      <c r="I3251" s="7">
        <v>1</v>
      </c>
      <c r="J3251" s="17">
        <v>4</v>
      </c>
      <c r="K3251" s="17"/>
      <c r="L3251" s="7">
        <f t="shared" si="1364"/>
        <v>5</v>
      </c>
      <c r="M3251" s="8">
        <v>1</v>
      </c>
      <c r="N3251" s="8">
        <f t="shared" si="1365"/>
        <v>1</v>
      </c>
      <c r="O3251" s="11" t="s">
        <v>1702</v>
      </c>
      <c r="P3251" s="16" t="str">
        <f t="shared" si="1366"/>
        <v>13-Dec-1903</v>
      </c>
      <c r="R3251" s="16" t="str">
        <f t="shared" si="1358"/>
        <v>x</v>
      </c>
      <c r="S3251" s="16" t="str">
        <f t="shared" si="1358"/>
        <v>x</v>
      </c>
      <c r="T3251" s="11"/>
      <c r="U3251" s="46" t="str">
        <f t="shared" si="1367"/>
        <v/>
      </c>
      <c r="V3251" s="46">
        <f t="shared" si="1367"/>
        <v>5</v>
      </c>
      <c r="W3251" s="46" t="str">
        <f t="shared" si="1367"/>
        <v/>
      </c>
      <c r="X3251" s="46" t="str">
        <f t="shared" si="1367"/>
        <v/>
      </c>
    </row>
    <row r="3252" spans="2:24" x14ac:dyDescent="0.25">
      <c r="B3252" s="11" t="str">
        <f t="shared" si="1363"/>
        <v>LSVO-11JAN1904</v>
      </c>
      <c r="C3252" s="11" t="s">
        <v>1359</v>
      </c>
      <c r="D3252" s="11" t="s">
        <v>1699</v>
      </c>
      <c r="E3252" s="39" t="s">
        <v>1403</v>
      </c>
      <c r="F3252" s="11" t="s">
        <v>1700</v>
      </c>
      <c r="G3252" s="39" t="s">
        <v>1399</v>
      </c>
      <c r="H3252" s="7">
        <v>0</v>
      </c>
      <c r="I3252" s="7">
        <v>0</v>
      </c>
      <c r="J3252" s="17">
        <v>10</v>
      </c>
      <c r="K3252" s="17"/>
      <c r="L3252" s="7">
        <f t="shared" si="1364"/>
        <v>10</v>
      </c>
      <c r="M3252" s="8">
        <v>1</v>
      </c>
      <c r="N3252" s="8">
        <f t="shared" si="1365"/>
        <v>1</v>
      </c>
      <c r="O3252" s="11" t="s">
        <v>1702</v>
      </c>
      <c r="P3252" s="16" t="str">
        <f t="shared" si="1366"/>
        <v>11-Jan-1904</v>
      </c>
      <c r="R3252" s="16" t="str">
        <f t="shared" si="1358"/>
        <v>x</v>
      </c>
      <c r="S3252" s="16" t="str">
        <f t="shared" si="1358"/>
        <v>x</v>
      </c>
      <c r="T3252" s="11"/>
      <c r="U3252" s="46" t="str">
        <f t="shared" si="1367"/>
        <v/>
      </c>
      <c r="V3252" s="46">
        <f t="shared" si="1367"/>
        <v>10</v>
      </c>
      <c r="W3252" s="46" t="str">
        <f t="shared" si="1367"/>
        <v/>
      </c>
      <c r="X3252" s="46" t="str">
        <f t="shared" si="1367"/>
        <v/>
      </c>
    </row>
    <row r="3253" spans="2:24" x14ac:dyDescent="0.25">
      <c r="B3253" s="11" t="str">
        <f t="shared" si="1363"/>
        <v>LSVO-19MAR1904</v>
      </c>
      <c r="C3253" s="11" t="s">
        <v>1359</v>
      </c>
      <c r="D3253" s="11" t="s">
        <v>1699</v>
      </c>
      <c r="E3253" s="39" t="s">
        <v>1404</v>
      </c>
      <c r="F3253" s="11" t="s">
        <v>1700</v>
      </c>
      <c r="G3253" s="39" t="s">
        <v>1400</v>
      </c>
      <c r="H3253" s="7">
        <v>0</v>
      </c>
      <c r="I3253" s="7">
        <v>0</v>
      </c>
      <c r="J3253" s="17">
        <v>3</v>
      </c>
      <c r="K3253" s="17"/>
      <c r="L3253" s="7">
        <f t="shared" si="1364"/>
        <v>3</v>
      </c>
      <c r="M3253" s="8">
        <v>1</v>
      </c>
      <c r="N3253" s="8">
        <f t="shared" si="1365"/>
        <v>1</v>
      </c>
      <c r="O3253" s="11" t="s">
        <v>1702</v>
      </c>
      <c r="P3253" s="16" t="str">
        <f t="shared" si="1366"/>
        <v>19-Mar-1904</v>
      </c>
      <c r="R3253" s="16" t="str">
        <f t="shared" si="1358"/>
        <v>x</v>
      </c>
      <c r="S3253" s="16" t="str">
        <f t="shared" si="1358"/>
        <v>x</v>
      </c>
      <c r="T3253" s="11"/>
      <c r="U3253" s="46" t="str">
        <f t="shared" si="1367"/>
        <v/>
      </c>
      <c r="V3253" s="46">
        <f t="shared" si="1367"/>
        <v>3</v>
      </c>
      <c r="W3253" s="46" t="str">
        <f t="shared" si="1367"/>
        <v/>
      </c>
      <c r="X3253" s="46" t="str">
        <f t="shared" si="1367"/>
        <v/>
      </c>
    </row>
    <row r="3254" spans="2:24" x14ac:dyDescent="0.25">
      <c r="B3254" s="11" t="str">
        <f t="shared" si="1363"/>
        <v>LSVO-23APR1904</v>
      </c>
      <c r="C3254" s="11" t="s">
        <v>1359</v>
      </c>
      <c r="D3254" s="11" t="s">
        <v>1699</v>
      </c>
      <c r="E3254" s="39" t="s">
        <v>1405</v>
      </c>
      <c r="F3254" s="11" t="s">
        <v>1700</v>
      </c>
      <c r="G3254" s="39" t="s">
        <v>1761</v>
      </c>
      <c r="H3254" s="7">
        <v>0</v>
      </c>
      <c r="I3254" s="7">
        <v>0</v>
      </c>
      <c r="J3254" s="17">
        <v>0</v>
      </c>
      <c r="K3254" s="17"/>
      <c r="L3254" s="7">
        <f t="shared" si="1364"/>
        <v>0</v>
      </c>
      <c r="M3254" s="8">
        <v>1</v>
      </c>
      <c r="N3254" s="8" t="str">
        <f t="shared" si="1365"/>
        <v/>
      </c>
      <c r="O3254" s="11" t="s">
        <v>1702</v>
      </c>
      <c r="P3254" s="16" t="str">
        <f t="shared" si="1366"/>
        <v>23-Apr-1904</v>
      </c>
      <c r="R3254" s="16" t="str">
        <f t="shared" si="1358"/>
        <v/>
      </c>
      <c r="S3254" s="16" t="str">
        <f t="shared" si="1358"/>
        <v/>
      </c>
      <c r="T3254" s="11"/>
      <c r="U3254" s="46" t="str">
        <f t="shared" si="1367"/>
        <v/>
      </c>
      <c r="V3254" s="46">
        <f t="shared" si="1367"/>
        <v>0</v>
      </c>
      <c r="W3254" s="46" t="str">
        <f t="shared" si="1367"/>
        <v/>
      </c>
      <c r="X3254" s="46" t="str">
        <f t="shared" si="1367"/>
        <v/>
      </c>
    </row>
    <row r="3255" spans="2:24" x14ac:dyDescent="0.25">
      <c r="B3255" s="11" t="str">
        <f t="shared" si="1363"/>
        <v>LSVO-21MAY1904</v>
      </c>
      <c r="C3255" s="11" t="s">
        <v>1359</v>
      </c>
      <c r="D3255" s="11" t="s">
        <v>1699</v>
      </c>
      <c r="E3255" s="39" t="s">
        <v>1406</v>
      </c>
      <c r="F3255" s="11" t="s">
        <v>1700</v>
      </c>
      <c r="G3255" s="39" t="s">
        <v>1763</v>
      </c>
      <c r="H3255" s="7">
        <v>0</v>
      </c>
      <c r="I3255" s="7">
        <v>0</v>
      </c>
      <c r="J3255" s="17">
        <v>6</v>
      </c>
      <c r="K3255" s="17"/>
      <c r="L3255" s="7">
        <f t="shared" si="1364"/>
        <v>6</v>
      </c>
      <c r="M3255" s="8">
        <v>1</v>
      </c>
      <c r="N3255" s="8">
        <f t="shared" si="1365"/>
        <v>1</v>
      </c>
      <c r="O3255" s="11" t="s">
        <v>1702</v>
      </c>
      <c r="P3255" s="16" t="str">
        <f t="shared" si="1366"/>
        <v>21-May-1904</v>
      </c>
      <c r="R3255" s="16" t="str">
        <f t="shared" si="1358"/>
        <v>x</v>
      </c>
      <c r="S3255" s="16" t="str">
        <f t="shared" si="1358"/>
        <v>x</v>
      </c>
      <c r="T3255" s="11"/>
      <c r="U3255" s="46" t="str">
        <f t="shared" si="1367"/>
        <v/>
      </c>
      <c r="V3255" s="46">
        <f t="shared" si="1367"/>
        <v>6</v>
      </c>
      <c r="W3255" s="46" t="str">
        <f t="shared" si="1367"/>
        <v/>
      </c>
      <c r="X3255" s="46" t="str">
        <f t="shared" si="1367"/>
        <v/>
      </c>
    </row>
    <row r="3256" spans="2:24" x14ac:dyDescent="0.25">
      <c r="B3256" s="11" t="str">
        <f t="shared" si="1363"/>
        <v>LSVO-18JUN1904</v>
      </c>
      <c r="C3256" s="11" t="s">
        <v>1359</v>
      </c>
      <c r="D3256" s="11" t="s">
        <v>1699</v>
      </c>
      <c r="E3256" s="39" t="s">
        <v>1407</v>
      </c>
      <c r="F3256" s="11" t="s">
        <v>1700</v>
      </c>
      <c r="G3256" s="39" t="s">
        <v>1401</v>
      </c>
      <c r="H3256" s="7">
        <v>0</v>
      </c>
      <c r="I3256" s="7">
        <v>0</v>
      </c>
      <c r="J3256" s="17">
        <v>32</v>
      </c>
      <c r="K3256" s="17"/>
      <c r="L3256" s="7">
        <f t="shared" si="1364"/>
        <v>32</v>
      </c>
      <c r="M3256" s="8">
        <v>1</v>
      </c>
      <c r="N3256" s="8">
        <f t="shared" si="1365"/>
        <v>1</v>
      </c>
      <c r="O3256" s="11" t="s">
        <v>1702</v>
      </c>
      <c r="P3256" s="16" t="str">
        <f t="shared" si="1366"/>
        <v>18-Jun-1904</v>
      </c>
      <c r="R3256" s="16" t="str">
        <f t="shared" si="1358"/>
        <v>x</v>
      </c>
      <c r="S3256" s="16" t="str">
        <f t="shared" si="1358"/>
        <v>x</v>
      </c>
      <c r="T3256" s="11"/>
      <c r="U3256" s="46" t="str">
        <f t="shared" si="1367"/>
        <v/>
      </c>
      <c r="V3256" s="46">
        <f t="shared" si="1367"/>
        <v>32</v>
      </c>
      <c r="W3256" s="46" t="str">
        <f t="shared" si="1367"/>
        <v/>
      </c>
      <c r="X3256" s="46" t="str">
        <f t="shared" si="1367"/>
        <v/>
      </c>
    </row>
    <row r="3257" spans="2:24" x14ac:dyDescent="0.25">
      <c r="B3257" s="11" t="str">
        <f t="shared" ref="B3257:B3262" si="1368">CONCATENATE("LSVO","-",LEFT(P3257,2),UPPER(MID(P3257,4,3)),RIGHT(P3257,4))</f>
        <v>LSVO-16JUL1904</v>
      </c>
      <c r="C3257" s="11" t="s">
        <v>1359</v>
      </c>
      <c r="D3257" s="11" t="s">
        <v>1699</v>
      </c>
      <c r="E3257" s="39" t="s">
        <v>1766</v>
      </c>
      <c r="F3257" s="11" t="s">
        <v>1700</v>
      </c>
      <c r="G3257" s="39" t="s">
        <v>772</v>
      </c>
      <c r="H3257" s="7">
        <v>0</v>
      </c>
      <c r="I3257" s="7">
        <v>0</v>
      </c>
      <c r="J3257" s="17">
        <v>13</v>
      </c>
      <c r="K3257" s="17"/>
      <c r="L3257" s="7">
        <f t="shared" ref="L3257:L3262" si="1369">SUM(H3257:K3257)</f>
        <v>13</v>
      </c>
      <c r="M3257" s="8">
        <v>1</v>
      </c>
      <c r="N3257" s="8">
        <f t="shared" ref="N3257:N3262" si="1370">IF(L3257&gt;0,1,"")</f>
        <v>1</v>
      </c>
      <c r="O3257" s="11" t="s">
        <v>1702</v>
      </c>
      <c r="P3257" s="16" t="str">
        <f t="shared" ref="P3257:P3262" si="1371">IF(LEN(G3257)=10,CONCATENATE("0",G3257),G3257)</f>
        <v>16-Jul-1904</v>
      </c>
      <c r="R3257" s="16" t="str">
        <f t="shared" si="1358"/>
        <v>x</v>
      </c>
      <c r="S3257" s="16" t="str">
        <f t="shared" si="1358"/>
        <v>x</v>
      </c>
      <c r="T3257" s="11"/>
      <c r="U3257" s="46" t="str">
        <f t="shared" si="1367"/>
        <v/>
      </c>
      <c r="V3257" s="46">
        <f t="shared" si="1367"/>
        <v>13</v>
      </c>
      <c r="W3257" s="46" t="str">
        <f t="shared" si="1367"/>
        <v/>
      </c>
      <c r="X3257" s="46" t="str">
        <f t="shared" si="1367"/>
        <v/>
      </c>
    </row>
    <row r="3258" spans="2:24" x14ac:dyDescent="0.25">
      <c r="B3258" s="11" t="str">
        <f t="shared" si="1368"/>
        <v>LSVO-03SEP1904</v>
      </c>
      <c r="C3258" s="11" t="s">
        <v>1359</v>
      </c>
      <c r="D3258" s="11" t="s">
        <v>1699</v>
      </c>
      <c r="E3258" s="39" t="s">
        <v>1408</v>
      </c>
      <c r="F3258" s="11" t="s">
        <v>1700</v>
      </c>
      <c r="G3258" s="39" t="s">
        <v>1767</v>
      </c>
      <c r="H3258" s="7">
        <v>0</v>
      </c>
      <c r="I3258" s="7">
        <v>0</v>
      </c>
      <c r="J3258" s="17">
        <v>0</v>
      </c>
      <c r="K3258" s="17"/>
      <c r="L3258" s="7">
        <f t="shared" si="1369"/>
        <v>0</v>
      </c>
      <c r="M3258" s="8">
        <v>1</v>
      </c>
      <c r="N3258" s="8" t="str">
        <f t="shared" si="1370"/>
        <v/>
      </c>
      <c r="O3258" s="11" t="s">
        <v>1702</v>
      </c>
      <c r="P3258" s="16" t="str">
        <f t="shared" si="1371"/>
        <v>03-Sep-1904</v>
      </c>
      <c r="R3258" s="16" t="str">
        <f t="shared" si="1358"/>
        <v/>
      </c>
      <c r="S3258" s="16" t="str">
        <f t="shared" si="1358"/>
        <v/>
      </c>
      <c r="T3258" s="11"/>
      <c r="U3258" s="46" t="str">
        <f t="shared" si="1367"/>
        <v/>
      </c>
      <c r="V3258" s="46">
        <f t="shared" si="1367"/>
        <v>0</v>
      </c>
      <c r="W3258" s="46" t="str">
        <f t="shared" si="1367"/>
        <v/>
      </c>
      <c r="X3258" s="46" t="str">
        <f t="shared" si="1367"/>
        <v/>
      </c>
    </row>
    <row r="3259" spans="2:24" x14ac:dyDescent="0.25">
      <c r="B3259" s="11" t="str">
        <f t="shared" si="1368"/>
        <v>LSVO-01OCT1904</v>
      </c>
      <c r="C3259" s="11" t="s">
        <v>1359</v>
      </c>
      <c r="D3259" s="11" t="s">
        <v>1699</v>
      </c>
      <c r="E3259" s="39" t="s">
        <v>1409</v>
      </c>
      <c r="F3259" s="11" t="s">
        <v>1700</v>
      </c>
      <c r="G3259" s="39" t="s">
        <v>1769</v>
      </c>
      <c r="H3259" s="7">
        <v>0</v>
      </c>
      <c r="I3259" s="7">
        <v>0</v>
      </c>
      <c r="J3259" s="17">
        <v>0</v>
      </c>
      <c r="K3259" s="17"/>
      <c r="L3259" s="7">
        <f t="shared" si="1369"/>
        <v>0</v>
      </c>
      <c r="M3259" s="8">
        <v>1</v>
      </c>
      <c r="N3259" s="8" t="str">
        <f t="shared" si="1370"/>
        <v/>
      </c>
      <c r="O3259" s="11" t="s">
        <v>1702</v>
      </c>
      <c r="P3259" s="16" t="str">
        <f t="shared" si="1371"/>
        <v>01-Oct-1904</v>
      </c>
      <c r="R3259" s="16" t="str">
        <f t="shared" si="1358"/>
        <v/>
      </c>
      <c r="S3259" s="16" t="str">
        <f t="shared" si="1358"/>
        <v/>
      </c>
      <c r="T3259" s="11"/>
      <c r="U3259" s="46" t="str">
        <f t="shared" si="1367"/>
        <v/>
      </c>
      <c r="V3259" s="46">
        <f t="shared" si="1367"/>
        <v>0</v>
      </c>
      <c r="W3259" s="46" t="str">
        <f t="shared" si="1367"/>
        <v/>
      </c>
      <c r="X3259" s="46" t="str">
        <f t="shared" si="1367"/>
        <v/>
      </c>
    </row>
    <row r="3260" spans="2:24" x14ac:dyDescent="0.25">
      <c r="B3260" s="11" t="str">
        <f t="shared" si="1368"/>
        <v>LSVO-29OCT1904</v>
      </c>
      <c r="C3260" s="11" t="s">
        <v>1359</v>
      </c>
      <c r="D3260" s="11" t="s">
        <v>1699</v>
      </c>
      <c r="E3260" s="39" t="s">
        <v>1410</v>
      </c>
      <c r="F3260" s="11" t="s">
        <v>1700</v>
      </c>
      <c r="G3260" s="39" t="s">
        <v>1771</v>
      </c>
      <c r="H3260" s="7">
        <v>0</v>
      </c>
      <c r="I3260" s="7">
        <v>0</v>
      </c>
      <c r="J3260" s="17">
        <v>1</v>
      </c>
      <c r="K3260" s="17"/>
      <c r="L3260" s="7">
        <f t="shared" si="1369"/>
        <v>1</v>
      </c>
      <c r="M3260" s="8">
        <v>1</v>
      </c>
      <c r="N3260" s="8">
        <f t="shared" si="1370"/>
        <v>1</v>
      </c>
      <c r="O3260" s="11" t="s">
        <v>1702</v>
      </c>
      <c r="P3260" s="16" t="str">
        <f t="shared" si="1371"/>
        <v>29-Oct-1904</v>
      </c>
      <c r="R3260" s="16" t="str">
        <f t="shared" si="1358"/>
        <v>x</v>
      </c>
      <c r="S3260" s="16" t="str">
        <f t="shared" si="1358"/>
        <v>x</v>
      </c>
      <c r="T3260" s="11"/>
      <c r="U3260" s="46" t="str">
        <f t="shared" si="1367"/>
        <v/>
      </c>
      <c r="V3260" s="46">
        <f t="shared" si="1367"/>
        <v>1</v>
      </c>
      <c r="W3260" s="46" t="str">
        <f t="shared" si="1367"/>
        <v/>
      </c>
      <c r="X3260" s="46" t="str">
        <f t="shared" si="1367"/>
        <v/>
      </c>
    </row>
    <row r="3261" spans="2:24" x14ac:dyDescent="0.25">
      <c r="B3261" s="11" t="str">
        <f t="shared" si="1368"/>
        <v>LSVO-26NOV1904</v>
      </c>
      <c r="C3261" s="11" t="s">
        <v>1359</v>
      </c>
      <c r="D3261" s="11" t="s">
        <v>1699</v>
      </c>
      <c r="E3261" s="39" t="s">
        <v>1411</v>
      </c>
      <c r="F3261" s="11" t="s">
        <v>1700</v>
      </c>
      <c r="G3261" s="39" t="s">
        <v>1773</v>
      </c>
      <c r="H3261" s="7">
        <v>0</v>
      </c>
      <c r="I3261" s="7">
        <v>0</v>
      </c>
      <c r="J3261" s="17">
        <v>29</v>
      </c>
      <c r="K3261" s="17"/>
      <c r="L3261" s="7">
        <f t="shared" si="1369"/>
        <v>29</v>
      </c>
      <c r="M3261" s="8">
        <v>1</v>
      </c>
      <c r="N3261" s="8">
        <f t="shared" si="1370"/>
        <v>1</v>
      </c>
      <c r="O3261" s="11" t="s">
        <v>1702</v>
      </c>
      <c r="P3261" s="16" t="str">
        <f t="shared" si="1371"/>
        <v>26-Nov-1904</v>
      </c>
      <c r="R3261" s="16" t="str">
        <f t="shared" si="1358"/>
        <v>x</v>
      </c>
      <c r="S3261" s="16" t="str">
        <f t="shared" si="1358"/>
        <v>x</v>
      </c>
      <c r="T3261" s="11"/>
      <c r="U3261" s="46" t="str">
        <f t="shared" si="1367"/>
        <v/>
      </c>
      <c r="V3261" s="46">
        <f t="shared" si="1367"/>
        <v>29</v>
      </c>
      <c r="W3261" s="46" t="str">
        <f t="shared" si="1367"/>
        <v/>
      </c>
      <c r="X3261" s="46" t="str">
        <f t="shared" si="1367"/>
        <v/>
      </c>
    </row>
    <row r="3262" spans="2:24" x14ac:dyDescent="0.25">
      <c r="B3262" s="11" t="str">
        <f t="shared" si="1368"/>
        <v>LSVO-24DEC1904</v>
      </c>
      <c r="C3262" s="11" t="s">
        <v>1359</v>
      </c>
      <c r="D3262" s="11" t="s">
        <v>1699</v>
      </c>
      <c r="E3262" s="39" t="s">
        <v>1412</v>
      </c>
      <c r="F3262" s="11" t="s">
        <v>1700</v>
      </c>
      <c r="G3262" s="39" t="s">
        <v>1402</v>
      </c>
      <c r="H3262" s="7">
        <v>0</v>
      </c>
      <c r="I3262" s="7">
        <v>2</v>
      </c>
      <c r="J3262" s="17">
        <v>15</v>
      </c>
      <c r="K3262" s="17"/>
      <c r="L3262" s="7">
        <f t="shared" si="1369"/>
        <v>17</v>
      </c>
      <c r="M3262" s="8">
        <v>1</v>
      </c>
      <c r="N3262" s="8">
        <f t="shared" si="1370"/>
        <v>1</v>
      </c>
      <c r="O3262" s="11" t="s">
        <v>1702</v>
      </c>
      <c r="P3262" s="16" t="str">
        <f t="shared" si="1371"/>
        <v>24-Dec-1904</v>
      </c>
      <c r="R3262" s="16" t="str">
        <f t="shared" si="1358"/>
        <v>x</v>
      </c>
      <c r="S3262" s="16" t="str">
        <f t="shared" si="1358"/>
        <v>x</v>
      </c>
      <c r="T3262" s="11"/>
      <c r="U3262" s="46" t="str">
        <f t="shared" si="1367"/>
        <v/>
      </c>
      <c r="V3262" s="46">
        <f t="shared" si="1367"/>
        <v>17</v>
      </c>
      <c r="W3262" s="46" t="str">
        <f t="shared" si="1367"/>
        <v/>
      </c>
      <c r="X3262" s="46" t="str">
        <f t="shared" si="1367"/>
        <v/>
      </c>
    </row>
    <row r="3263" spans="2:24" x14ac:dyDescent="0.25">
      <c r="B3263" s="11" t="str">
        <f>CONCATENATE("LSVO","-",LEFT(P3263,2),UPPER(MID(P3263,4,3)),RIGHT(P3263,4))</f>
        <v>LSVO-22JAN1905</v>
      </c>
      <c r="C3263" s="11" t="s">
        <v>1359</v>
      </c>
      <c r="D3263" s="11" t="s">
        <v>1699</v>
      </c>
      <c r="E3263" s="39" t="s">
        <v>1416</v>
      </c>
      <c r="F3263" s="11" t="s">
        <v>1700</v>
      </c>
      <c r="G3263" s="39" t="s">
        <v>1413</v>
      </c>
      <c r="H3263" s="7">
        <v>0</v>
      </c>
      <c r="I3263" s="7">
        <v>0</v>
      </c>
      <c r="J3263" s="17">
        <v>1</v>
      </c>
      <c r="K3263" s="17"/>
      <c r="L3263" s="7">
        <f>SUM(H3263:K3263)</f>
        <v>1</v>
      </c>
      <c r="M3263" s="8">
        <v>1</v>
      </c>
      <c r="N3263" s="8">
        <f>IF(L3263&gt;0,1,"")</f>
        <v>1</v>
      </c>
      <c r="O3263" s="11" t="s">
        <v>1702</v>
      </c>
      <c r="P3263" s="16" t="str">
        <f>IF(LEN(G3263)=10,CONCATENATE("0",G3263),G3263)</f>
        <v>22-Jan-1905</v>
      </c>
      <c r="R3263" s="16" t="str">
        <f t="shared" si="1358"/>
        <v>x</v>
      </c>
      <c r="S3263" s="16" t="str">
        <f t="shared" si="1358"/>
        <v>x</v>
      </c>
      <c r="T3263" s="11"/>
      <c r="U3263" s="46" t="str">
        <f t="shared" si="1367"/>
        <v/>
      </c>
      <c r="V3263" s="46">
        <f t="shared" si="1367"/>
        <v>1</v>
      </c>
      <c r="W3263" s="46" t="str">
        <f t="shared" si="1367"/>
        <v/>
      </c>
      <c r="X3263" s="46" t="str">
        <f t="shared" si="1367"/>
        <v/>
      </c>
    </row>
    <row r="3264" spans="2:24" x14ac:dyDescent="0.25">
      <c r="B3264" s="11" t="str">
        <f>CONCATENATE("LSVO","-",LEFT(P3264,2),UPPER(MID(P3264,4,3)),RIGHT(P3264,4))</f>
        <v>LSVO-20MAR1905</v>
      </c>
      <c r="C3264" s="11" t="s">
        <v>1359</v>
      </c>
      <c r="D3264" s="11" t="s">
        <v>1699</v>
      </c>
      <c r="E3264" s="39" t="s">
        <v>1417</v>
      </c>
      <c r="F3264" s="11" t="s">
        <v>1700</v>
      </c>
      <c r="G3264" s="39" t="s">
        <v>1414</v>
      </c>
      <c r="H3264" s="7">
        <v>0</v>
      </c>
      <c r="I3264" s="7">
        <v>0</v>
      </c>
      <c r="J3264" s="17">
        <v>0</v>
      </c>
      <c r="K3264" s="17"/>
      <c r="L3264" s="7">
        <f>SUM(H3264:K3264)</f>
        <v>0</v>
      </c>
      <c r="M3264" s="8">
        <v>1</v>
      </c>
      <c r="N3264" s="8" t="str">
        <f>IF(L3264&gt;0,1,"")</f>
        <v/>
      </c>
      <c r="O3264" s="11" t="s">
        <v>1702</v>
      </c>
      <c r="P3264" s="16" t="str">
        <f>IF(LEN(G3264)=10,CONCATENATE("0",G3264),G3264)</f>
        <v>20-Mar-1905</v>
      </c>
      <c r="R3264" s="16" t="str">
        <f t="shared" si="1358"/>
        <v/>
      </c>
      <c r="S3264" s="16" t="str">
        <f t="shared" si="1358"/>
        <v/>
      </c>
      <c r="T3264" s="11"/>
      <c r="U3264" s="46" t="str">
        <f t="shared" si="1367"/>
        <v/>
      </c>
      <c r="V3264" s="46">
        <f t="shared" si="1367"/>
        <v>0</v>
      </c>
      <c r="W3264" s="46" t="str">
        <f t="shared" si="1367"/>
        <v/>
      </c>
      <c r="X3264" s="46" t="str">
        <f t="shared" si="1367"/>
        <v/>
      </c>
    </row>
    <row r="3265" spans="2:24" x14ac:dyDescent="0.25">
      <c r="B3265" s="11" t="str">
        <f>CONCATENATE("LSVO","-",LEFT(P3265,2),UPPER(MID(P3265,4,3)),RIGHT(P3265,4))</f>
        <v>LSVO-15APR1905</v>
      </c>
      <c r="C3265" s="11" t="s">
        <v>1359</v>
      </c>
      <c r="D3265" s="11" t="s">
        <v>1699</v>
      </c>
      <c r="E3265" s="39" t="s">
        <v>1418</v>
      </c>
      <c r="F3265" s="11" t="s">
        <v>1700</v>
      </c>
      <c r="G3265" s="39" t="s">
        <v>788</v>
      </c>
      <c r="H3265" s="7">
        <v>0</v>
      </c>
      <c r="I3265" s="7">
        <v>0</v>
      </c>
      <c r="J3265" s="17">
        <v>0</v>
      </c>
      <c r="K3265" s="17"/>
      <c r="L3265" s="7">
        <f>SUM(H3265:K3265)</f>
        <v>0</v>
      </c>
      <c r="M3265" s="8">
        <v>1</v>
      </c>
      <c r="N3265" s="8" t="str">
        <f>IF(L3265&gt;0,1,"")</f>
        <v/>
      </c>
      <c r="O3265" s="11" t="s">
        <v>1702</v>
      </c>
      <c r="P3265" s="16" t="str">
        <f>IF(LEN(G3265)=10,CONCATENATE("0",G3265),G3265)</f>
        <v>15-Apr-1905</v>
      </c>
      <c r="R3265" s="16" t="str">
        <f t="shared" si="1358"/>
        <v/>
      </c>
      <c r="S3265" s="16" t="str">
        <f t="shared" si="1358"/>
        <v/>
      </c>
      <c r="T3265" s="11"/>
      <c r="U3265" s="46" t="str">
        <f t="shared" si="1367"/>
        <v/>
      </c>
      <c r="V3265" s="46">
        <f t="shared" si="1367"/>
        <v>0</v>
      </c>
      <c r="W3265" s="46" t="str">
        <f t="shared" si="1367"/>
        <v/>
      </c>
      <c r="X3265" s="46" t="str">
        <f t="shared" si="1367"/>
        <v/>
      </c>
    </row>
    <row r="3266" spans="2:24" x14ac:dyDescent="0.25">
      <c r="B3266" s="11" t="str">
        <f>CONCATENATE("LSVO","-",LEFT(P3266,2),UPPER(MID(P3266,4,3)),RIGHT(P3266,4))</f>
        <v>LSVO-13MAY1905</v>
      </c>
      <c r="C3266" s="11" t="s">
        <v>1359</v>
      </c>
      <c r="D3266" s="11" t="s">
        <v>1699</v>
      </c>
      <c r="E3266" s="39" t="s">
        <v>1419</v>
      </c>
      <c r="F3266" s="11" t="s">
        <v>1700</v>
      </c>
      <c r="G3266" s="39" t="s">
        <v>789</v>
      </c>
      <c r="H3266" s="7">
        <v>0</v>
      </c>
      <c r="I3266" s="7">
        <v>1</v>
      </c>
      <c r="J3266" s="17">
        <v>0</v>
      </c>
      <c r="K3266" s="17"/>
      <c r="L3266" s="7">
        <f>SUM(H3266:K3266)</f>
        <v>1</v>
      </c>
      <c r="M3266" s="8">
        <v>1</v>
      </c>
      <c r="N3266" s="8">
        <f>IF(L3266&gt;0,1,"")</f>
        <v>1</v>
      </c>
      <c r="O3266" s="11" t="s">
        <v>1702</v>
      </c>
      <c r="P3266" s="16" t="str">
        <f>IF(LEN(G3266)=10,CONCATENATE("0",G3266),G3266)</f>
        <v>13-May-1905</v>
      </c>
      <c r="R3266" s="16" t="str">
        <f t="shared" si="1358"/>
        <v>x</v>
      </c>
      <c r="S3266" s="16" t="str">
        <f t="shared" si="1358"/>
        <v>x</v>
      </c>
      <c r="T3266" s="11"/>
      <c r="U3266" s="46" t="str">
        <f t="shared" si="1367"/>
        <v/>
      </c>
      <c r="V3266" s="46">
        <f t="shared" si="1367"/>
        <v>1</v>
      </c>
      <c r="W3266" s="46" t="str">
        <f t="shared" si="1367"/>
        <v/>
      </c>
      <c r="X3266" s="46" t="str">
        <f t="shared" si="1367"/>
        <v/>
      </c>
    </row>
    <row r="3267" spans="2:24" x14ac:dyDescent="0.25">
      <c r="B3267" s="11" t="str">
        <f t="shared" ref="B3267:B3282" si="1372">CONCATENATE("LSVO","-",LEFT(P3267,2),UPPER(MID(P3267,4,3)),RIGHT(P3267,4))</f>
        <v>LSVO-10JUN1905</v>
      </c>
      <c r="C3267" s="11" t="s">
        <v>1359</v>
      </c>
      <c r="D3267" s="11" t="s">
        <v>1699</v>
      </c>
      <c r="E3267" s="39" t="s">
        <v>1420</v>
      </c>
      <c r="F3267" s="11" t="s">
        <v>1700</v>
      </c>
      <c r="G3267" s="39" t="s">
        <v>790</v>
      </c>
      <c r="H3267" s="7">
        <v>0</v>
      </c>
      <c r="I3267" s="7">
        <v>0</v>
      </c>
      <c r="J3267" s="17">
        <v>0</v>
      </c>
      <c r="K3267" s="17"/>
      <c r="L3267" s="7">
        <f t="shared" ref="L3267:L3282" si="1373">SUM(H3267:K3267)</f>
        <v>0</v>
      </c>
      <c r="M3267" s="8">
        <v>1</v>
      </c>
      <c r="N3267" s="8" t="str">
        <f t="shared" ref="N3267:N3282" si="1374">IF(L3267&gt;0,1,"")</f>
        <v/>
      </c>
      <c r="O3267" s="11" t="s">
        <v>1702</v>
      </c>
      <c r="P3267" s="16" t="str">
        <f t="shared" ref="P3267:P3282" si="1375">IF(LEN(G3267)=10,CONCATENATE("0",G3267),G3267)</f>
        <v>10-Jun-1905</v>
      </c>
      <c r="R3267" s="16" t="str">
        <f t="shared" si="1358"/>
        <v/>
      </c>
      <c r="S3267" s="16" t="str">
        <f t="shared" si="1358"/>
        <v/>
      </c>
      <c r="T3267" s="11"/>
      <c r="U3267" s="46" t="str">
        <f t="shared" si="1367"/>
        <v/>
      </c>
      <c r="V3267" s="46">
        <f t="shared" si="1367"/>
        <v>0</v>
      </c>
      <c r="W3267" s="46" t="str">
        <f t="shared" si="1367"/>
        <v/>
      </c>
      <c r="X3267" s="46" t="str">
        <f t="shared" si="1367"/>
        <v/>
      </c>
    </row>
    <row r="3268" spans="2:24" x14ac:dyDescent="0.25">
      <c r="B3268" s="11" t="str">
        <f t="shared" si="1372"/>
        <v>LSVO-08JUL1905</v>
      </c>
      <c r="C3268" s="11" t="s">
        <v>1359</v>
      </c>
      <c r="D3268" s="11" t="s">
        <v>1699</v>
      </c>
      <c r="E3268" s="39" t="s">
        <v>1421</v>
      </c>
      <c r="F3268" s="11" t="s">
        <v>1700</v>
      </c>
      <c r="G3268" s="39" t="s">
        <v>791</v>
      </c>
      <c r="H3268" s="7">
        <v>2</v>
      </c>
      <c r="I3268" s="7">
        <v>0</v>
      </c>
      <c r="J3268" s="17">
        <v>10</v>
      </c>
      <c r="K3268" s="17"/>
      <c r="L3268" s="7">
        <f t="shared" si="1373"/>
        <v>12</v>
      </c>
      <c r="M3268" s="8">
        <v>1</v>
      </c>
      <c r="N3268" s="8">
        <f t="shared" si="1374"/>
        <v>1</v>
      </c>
      <c r="O3268" s="11" t="s">
        <v>1702</v>
      </c>
      <c r="P3268" s="16" t="str">
        <f t="shared" si="1375"/>
        <v>08-Jul-1905</v>
      </c>
      <c r="R3268" s="16" t="str">
        <f t="shared" si="1358"/>
        <v>x</v>
      </c>
      <c r="S3268" s="16" t="str">
        <f t="shared" si="1358"/>
        <v>x</v>
      </c>
      <c r="T3268" s="11"/>
      <c r="U3268" s="46" t="str">
        <f t="shared" si="1367"/>
        <v/>
      </c>
      <c r="V3268" s="46">
        <f t="shared" si="1367"/>
        <v>12</v>
      </c>
      <c r="W3268" s="46" t="str">
        <f t="shared" si="1367"/>
        <v/>
      </c>
      <c r="X3268" s="46" t="str">
        <f t="shared" si="1367"/>
        <v/>
      </c>
    </row>
    <row r="3269" spans="2:24" x14ac:dyDescent="0.25">
      <c r="B3269" s="11" t="str">
        <f t="shared" si="1372"/>
        <v>LSVO-19AUG1905</v>
      </c>
      <c r="C3269" s="11" t="s">
        <v>1359</v>
      </c>
      <c r="D3269" s="11" t="s">
        <v>1699</v>
      </c>
      <c r="E3269" s="39" t="s">
        <v>1422</v>
      </c>
      <c r="F3269" s="11" t="s">
        <v>1700</v>
      </c>
      <c r="G3269" s="39" t="s">
        <v>1781</v>
      </c>
      <c r="H3269" s="7">
        <v>0</v>
      </c>
      <c r="I3269" s="7">
        <v>0</v>
      </c>
      <c r="J3269" s="17">
        <v>5</v>
      </c>
      <c r="K3269" s="17"/>
      <c r="L3269" s="7">
        <f t="shared" si="1373"/>
        <v>5</v>
      </c>
      <c r="M3269" s="8">
        <v>1</v>
      </c>
      <c r="N3269" s="8">
        <f t="shared" si="1374"/>
        <v>1</v>
      </c>
      <c r="O3269" s="11" t="s">
        <v>1702</v>
      </c>
      <c r="P3269" s="16" t="str">
        <f t="shared" si="1375"/>
        <v>19-Aug-1905</v>
      </c>
      <c r="R3269" s="16" t="str">
        <f t="shared" si="1358"/>
        <v>x</v>
      </c>
      <c r="S3269" s="16" t="str">
        <f t="shared" si="1358"/>
        <v>x</v>
      </c>
      <c r="T3269" s="11"/>
      <c r="U3269" s="46" t="str">
        <f t="shared" si="1367"/>
        <v/>
      </c>
      <c r="V3269" s="46">
        <f t="shared" si="1367"/>
        <v>5</v>
      </c>
      <c r="W3269" s="46" t="str">
        <f t="shared" si="1367"/>
        <v/>
      </c>
      <c r="X3269" s="46" t="str">
        <f t="shared" si="1367"/>
        <v/>
      </c>
    </row>
    <row r="3270" spans="2:24" x14ac:dyDescent="0.25">
      <c r="B3270" s="11" t="str">
        <f t="shared" si="1372"/>
        <v>LSVO-15OCT1905</v>
      </c>
      <c r="C3270" s="11" t="s">
        <v>1359</v>
      </c>
      <c r="D3270" s="11" t="s">
        <v>1699</v>
      </c>
      <c r="E3270" s="39" t="s">
        <v>1423</v>
      </c>
      <c r="F3270" s="11" t="s">
        <v>1700</v>
      </c>
      <c r="G3270" s="39" t="s">
        <v>1415</v>
      </c>
      <c r="H3270" s="7">
        <v>0</v>
      </c>
      <c r="I3270" s="7">
        <v>0</v>
      </c>
      <c r="J3270" s="17">
        <v>2</v>
      </c>
      <c r="K3270" s="17"/>
      <c r="L3270" s="7">
        <f t="shared" si="1373"/>
        <v>2</v>
      </c>
      <c r="M3270" s="8">
        <v>1</v>
      </c>
      <c r="N3270" s="8">
        <f t="shared" si="1374"/>
        <v>1</v>
      </c>
      <c r="O3270" s="11" t="s">
        <v>1702</v>
      </c>
      <c r="P3270" s="16" t="str">
        <f t="shared" si="1375"/>
        <v>15-Oct-1905</v>
      </c>
      <c r="R3270" s="16" t="str">
        <f t="shared" si="1358"/>
        <v>x</v>
      </c>
      <c r="S3270" s="16" t="str">
        <f t="shared" si="1358"/>
        <v>x</v>
      </c>
      <c r="T3270" s="11"/>
      <c r="U3270" s="46" t="str">
        <f t="shared" si="1367"/>
        <v/>
      </c>
      <c r="V3270" s="46">
        <f t="shared" si="1367"/>
        <v>2</v>
      </c>
      <c r="W3270" s="46" t="str">
        <f t="shared" si="1367"/>
        <v/>
      </c>
      <c r="X3270" s="46" t="str">
        <f t="shared" si="1367"/>
        <v/>
      </c>
    </row>
    <row r="3271" spans="2:24" x14ac:dyDescent="0.25">
      <c r="B3271" s="11" t="str">
        <f t="shared" si="1372"/>
        <v>LSVO-12NOV1905</v>
      </c>
      <c r="C3271" s="11" t="s">
        <v>1359</v>
      </c>
      <c r="D3271" s="11" t="s">
        <v>1699</v>
      </c>
      <c r="E3271" s="39" t="s">
        <v>1424</v>
      </c>
      <c r="F3271" s="11" t="s">
        <v>1700</v>
      </c>
      <c r="G3271" s="39" t="s">
        <v>1425</v>
      </c>
      <c r="H3271" s="7">
        <v>0</v>
      </c>
      <c r="I3271" s="7">
        <v>0</v>
      </c>
      <c r="J3271" s="17">
        <v>0</v>
      </c>
      <c r="K3271" s="17"/>
      <c r="L3271" s="7">
        <f t="shared" si="1373"/>
        <v>0</v>
      </c>
      <c r="M3271" s="8">
        <v>1</v>
      </c>
      <c r="N3271" s="8" t="str">
        <f t="shared" si="1374"/>
        <v/>
      </c>
      <c r="O3271" s="11" t="s">
        <v>1702</v>
      </c>
      <c r="P3271" s="16" t="str">
        <f t="shared" si="1375"/>
        <v>12-Nov-1905</v>
      </c>
      <c r="R3271" s="16" t="str">
        <f t="shared" si="1358"/>
        <v/>
      </c>
      <c r="S3271" s="16" t="str">
        <f t="shared" si="1358"/>
        <v/>
      </c>
      <c r="T3271" s="11"/>
      <c r="U3271" s="46" t="str">
        <f t="shared" si="1367"/>
        <v/>
      </c>
      <c r="V3271" s="46">
        <f t="shared" si="1367"/>
        <v>0</v>
      </c>
      <c r="W3271" s="46" t="str">
        <f t="shared" si="1367"/>
        <v/>
      </c>
      <c r="X3271" s="46" t="str">
        <f t="shared" si="1367"/>
        <v/>
      </c>
    </row>
    <row r="3272" spans="2:24" x14ac:dyDescent="0.25">
      <c r="B3272" s="11" t="str">
        <f t="shared" si="1372"/>
        <v>LSVO-10DEC1905</v>
      </c>
      <c r="C3272" s="11" t="s">
        <v>1359</v>
      </c>
      <c r="D3272" s="11" t="s">
        <v>1699</v>
      </c>
      <c r="E3272" s="39" t="s">
        <v>1426</v>
      </c>
      <c r="F3272" s="11" t="s">
        <v>1700</v>
      </c>
      <c r="G3272" s="39" t="s">
        <v>1427</v>
      </c>
      <c r="H3272" s="7">
        <v>0</v>
      </c>
      <c r="I3272" s="7">
        <v>0</v>
      </c>
      <c r="J3272" s="17">
        <v>1</v>
      </c>
      <c r="K3272" s="17"/>
      <c r="L3272" s="7">
        <f t="shared" si="1373"/>
        <v>1</v>
      </c>
      <c r="M3272" s="8">
        <v>1</v>
      </c>
      <c r="N3272" s="8">
        <f t="shared" si="1374"/>
        <v>1</v>
      </c>
      <c r="O3272" s="11" t="s">
        <v>1702</v>
      </c>
      <c r="P3272" s="16" t="str">
        <f t="shared" si="1375"/>
        <v>10-Dec-1905</v>
      </c>
      <c r="R3272" s="16" t="str">
        <f t="shared" si="1358"/>
        <v>x</v>
      </c>
      <c r="S3272" s="16" t="str">
        <f t="shared" si="1358"/>
        <v>x</v>
      </c>
      <c r="T3272" s="11"/>
      <c r="U3272" s="46" t="str">
        <f t="shared" si="1367"/>
        <v/>
      </c>
      <c r="V3272" s="46">
        <f t="shared" si="1367"/>
        <v>1</v>
      </c>
      <c r="W3272" s="46" t="str">
        <f t="shared" si="1367"/>
        <v/>
      </c>
      <c r="X3272" s="46" t="str">
        <f t="shared" si="1367"/>
        <v/>
      </c>
    </row>
    <row r="3273" spans="2:24" x14ac:dyDescent="0.25">
      <c r="B3273" s="11" t="str">
        <f t="shared" si="1372"/>
        <v>LSVO-15JAN1906</v>
      </c>
      <c r="C3273" s="11" t="s">
        <v>1359</v>
      </c>
      <c r="D3273" s="11" t="s">
        <v>1699</v>
      </c>
      <c r="E3273" s="39" t="s">
        <v>1432</v>
      </c>
      <c r="F3273" s="11" t="s">
        <v>1700</v>
      </c>
      <c r="G3273" s="39" t="s">
        <v>1428</v>
      </c>
      <c r="H3273" s="7">
        <v>0</v>
      </c>
      <c r="I3273" s="7">
        <v>1</v>
      </c>
      <c r="J3273" s="17">
        <v>8</v>
      </c>
      <c r="K3273" s="17"/>
      <c r="L3273" s="7">
        <f t="shared" si="1373"/>
        <v>9</v>
      </c>
      <c r="M3273" s="8">
        <v>1</v>
      </c>
      <c r="N3273" s="8">
        <f t="shared" si="1374"/>
        <v>1</v>
      </c>
      <c r="O3273" s="11" t="s">
        <v>1702</v>
      </c>
      <c r="P3273" s="16" t="str">
        <f t="shared" si="1375"/>
        <v>15-Jan-1906</v>
      </c>
      <c r="R3273" s="16" t="str">
        <f t="shared" si="1358"/>
        <v>x</v>
      </c>
      <c r="S3273" s="16" t="str">
        <f t="shared" si="1358"/>
        <v>x</v>
      </c>
      <c r="T3273" s="11"/>
      <c r="U3273" s="46" t="str">
        <f t="shared" si="1367"/>
        <v/>
      </c>
      <c r="V3273" s="46">
        <f t="shared" si="1367"/>
        <v>9</v>
      </c>
      <c r="W3273" s="46" t="str">
        <f t="shared" si="1367"/>
        <v/>
      </c>
      <c r="X3273" s="46" t="str">
        <f t="shared" si="1367"/>
        <v/>
      </c>
    </row>
    <row r="3274" spans="2:24" x14ac:dyDescent="0.25">
      <c r="B3274" s="11" t="str">
        <f t="shared" si="1372"/>
        <v>LSVO-10FEB1906</v>
      </c>
      <c r="C3274" s="11" t="s">
        <v>1359</v>
      </c>
      <c r="D3274" s="11" t="s">
        <v>1699</v>
      </c>
      <c r="E3274" s="39" t="s">
        <v>1433</v>
      </c>
      <c r="F3274" s="11" t="s">
        <v>1700</v>
      </c>
      <c r="G3274" s="39" t="s">
        <v>805</v>
      </c>
      <c r="H3274" s="7">
        <v>0</v>
      </c>
      <c r="I3274" s="7">
        <v>0</v>
      </c>
      <c r="J3274" s="17">
        <v>8</v>
      </c>
      <c r="K3274" s="17"/>
      <c r="L3274" s="7">
        <f t="shared" si="1373"/>
        <v>8</v>
      </c>
      <c r="M3274" s="8">
        <v>1</v>
      </c>
      <c r="N3274" s="8">
        <f t="shared" si="1374"/>
        <v>1</v>
      </c>
      <c r="O3274" s="11" t="s">
        <v>1702</v>
      </c>
      <c r="P3274" s="16" t="str">
        <f t="shared" si="1375"/>
        <v>10-Feb-1906</v>
      </c>
      <c r="R3274" s="16" t="str">
        <f t="shared" si="1358"/>
        <v>x</v>
      </c>
      <c r="S3274" s="16" t="str">
        <f t="shared" si="1358"/>
        <v>x</v>
      </c>
      <c r="T3274" s="11"/>
      <c r="U3274" s="46" t="str">
        <f t="shared" si="1367"/>
        <v/>
      </c>
      <c r="V3274" s="46">
        <f t="shared" si="1367"/>
        <v>8</v>
      </c>
      <c r="W3274" s="46" t="str">
        <f t="shared" si="1367"/>
        <v/>
      </c>
      <c r="X3274" s="46" t="str">
        <f t="shared" si="1367"/>
        <v/>
      </c>
    </row>
    <row r="3275" spans="2:24" x14ac:dyDescent="0.25">
      <c r="B3275" s="11" t="str">
        <f t="shared" si="1372"/>
        <v>LSVO-24MAR1906</v>
      </c>
      <c r="C3275" s="11" t="s">
        <v>1359</v>
      </c>
      <c r="D3275" s="11" t="s">
        <v>1699</v>
      </c>
      <c r="E3275" s="39" t="s">
        <v>1434</v>
      </c>
      <c r="F3275" s="11" t="s">
        <v>1700</v>
      </c>
      <c r="G3275" s="39" t="s">
        <v>1791</v>
      </c>
      <c r="H3275" s="7">
        <v>0</v>
      </c>
      <c r="I3275" s="7">
        <v>1</v>
      </c>
      <c r="J3275" s="17">
        <v>16</v>
      </c>
      <c r="K3275" s="17"/>
      <c r="L3275" s="7">
        <f t="shared" si="1373"/>
        <v>17</v>
      </c>
      <c r="M3275" s="8">
        <v>1</v>
      </c>
      <c r="N3275" s="8">
        <f t="shared" si="1374"/>
        <v>1</v>
      </c>
      <c r="O3275" s="11" t="s">
        <v>1702</v>
      </c>
      <c r="P3275" s="16" t="str">
        <f t="shared" si="1375"/>
        <v>24-Mar-1906</v>
      </c>
      <c r="R3275" s="16" t="str">
        <f t="shared" si="1358"/>
        <v>x</v>
      </c>
      <c r="S3275" s="16" t="str">
        <f t="shared" si="1358"/>
        <v>x</v>
      </c>
      <c r="T3275" s="11"/>
      <c r="U3275" s="46" t="str">
        <f t="shared" si="1367"/>
        <v/>
      </c>
      <c r="V3275" s="46">
        <f t="shared" si="1367"/>
        <v>17</v>
      </c>
      <c r="W3275" s="46" t="str">
        <f t="shared" si="1367"/>
        <v/>
      </c>
      <c r="X3275" s="46" t="str">
        <f t="shared" si="1367"/>
        <v/>
      </c>
    </row>
    <row r="3276" spans="2:24" x14ac:dyDescent="0.25">
      <c r="B3276" s="11" t="str">
        <f t="shared" ref="B3276:B3281" si="1376">CONCATENATE("LSVO","-",LEFT(P3276,2),UPPER(MID(P3276,4,3)),RIGHT(P3276,4))</f>
        <v>LSVO-23APR1906</v>
      </c>
      <c r="C3276" s="11" t="s">
        <v>1359</v>
      </c>
      <c r="D3276" s="11" t="s">
        <v>1699</v>
      </c>
      <c r="E3276" s="39" t="s">
        <v>1435</v>
      </c>
      <c r="F3276" s="11" t="s">
        <v>1700</v>
      </c>
      <c r="G3276" s="39" t="s">
        <v>1429</v>
      </c>
      <c r="H3276" s="7">
        <v>0</v>
      </c>
      <c r="I3276" s="7">
        <v>0</v>
      </c>
      <c r="J3276" s="17">
        <v>0</v>
      </c>
      <c r="K3276" s="17"/>
      <c r="L3276" s="7">
        <f t="shared" ref="L3276:L3281" si="1377">SUM(H3276:K3276)</f>
        <v>0</v>
      </c>
      <c r="M3276" s="8">
        <v>1</v>
      </c>
      <c r="N3276" s="8" t="str">
        <f t="shared" ref="N3276:N3281" si="1378">IF(L3276&gt;0,1,"")</f>
        <v/>
      </c>
      <c r="O3276" s="11" t="s">
        <v>1702</v>
      </c>
      <c r="P3276" s="16" t="str">
        <f t="shared" ref="P3276:P3281" si="1379">IF(LEN(G3276)=10,CONCATENATE("0",G3276),G3276)</f>
        <v>23-Apr-1906</v>
      </c>
      <c r="R3276" s="16" t="str">
        <f t="shared" si="1358"/>
        <v/>
      </c>
      <c r="S3276" s="16" t="str">
        <f t="shared" si="1358"/>
        <v/>
      </c>
      <c r="T3276" s="11"/>
      <c r="U3276" s="46" t="str">
        <f t="shared" si="1367"/>
        <v/>
      </c>
      <c r="V3276" s="46">
        <f t="shared" si="1367"/>
        <v>0</v>
      </c>
      <c r="W3276" s="46" t="str">
        <f t="shared" si="1367"/>
        <v/>
      </c>
      <c r="X3276" s="46" t="str">
        <f t="shared" si="1367"/>
        <v/>
      </c>
    </row>
    <row r="3277" spans="2:24" x14ac:dyDescent="0.25">
      <c r="B3277" s="11" t="str">
        <f t="shared" si="1376"/>
        <v>LSVO-19MAY1906</v>
      </c>
      <c r="C3277" s="11" t="s">
        <v>1359</v>
      </c>
      <c r="D3277" s="11" t="s">
        <v>1699</v>
      </c>
      <c r="E3277" s="39" t="s">
        <v>1436</v>
      </c>
      <c r="F3277" s="11" t="s">
        <v>1700</v>
      </c>
      <c r="G3277" s="39" t="s">
        <v>2084</v>
      </c>
      <c r="H3277" s="7">
        <v>0</v>
      </c>
      <c r="I3277" s="7">
        <v>0</v>
      </c>
      <c r="J3277" s="17">
        <v>1</v>
      </c>
      <c r="K3277" s="17"/>
      <c r="L3277" s="7">
        <f t="shared" si="1377"/>
        <v>1</v>
      </c>
      <c r="M3277" s="8">
        <v>1</v>
      </c>
      <c r="N3277" s="8">
        <f t="shared" si="1378"/>
        <v>1</v>
      </c>
      <c r="O3277" s="11" t="s">
        <v>1702</v>
      </c>
      <c r="P3277" s="16" t="str">
        <f t="shared" si="1379"/>
        <v>19-May-1906</v>
      </c>
      <c r="R3277" s="16" t="str">
        <f t="shared" si="1358"/>
        <v>x</v>
      </c>
      <c r="S3277" s="16" t="str">
        <f t="shared" si="1358"/>
        <v>x</v>
      </c>
      <c r="T3277" s="11"/>
      <c r="U3277" s="46" t="str">
        <f t="shared" si="1367"/>
        <v/>
      </c>
      <c r="V3277" s="46">
        <f t="shared" si="1367"/>
        <v>1</v>
      </c>
      <c r="W3277" s="46" t="str">
        <f t="shared" si="1367"/>
        <v/>
      </c>
      <c r="X3277" s="46" t="str">
        <f t="shared" si="1367"/>
        <v/>
      </c>
    </row>
    <row r="3278" spans="2:24" x14ac:dyDescent="0.25">
      <c r="B3278" s="11" t="str">
        <f t="shared" si="1376"/>
        <v>LSVO-16JUN1906</v>
      </c>
      <c r="C3278" s="11" t="s">
        <v>1359</v>
      </c>
      <c r="D3278" s="11" t="s">
        <v>1699</v>
      </c>
      <c r="E3278" s="39" t="s">
        <v>1437</v>
      </c>
      <c r="F3278" s="11" t="s">
        <v>1700</v>
      </c>
      <c r="G3278" s="39" t="s">
        <v>2086</v>
      </c>
      <c r="H3278" s="7">
        <v>0</v>
      </c>
      <c r="I3278" s="7">
        <v>0</v>
      </c>
      <c r="J3278" s="17">
        <v>22</v>
      </c>
      <c r="K3278" s="17"/>
      <c r="L3278" s="7">
        <f t="shared" si="1377"/>
        <v>22</v>
      </c>
      <c r="M3278" s="8">
        <v>1</v>
      </c>
      <c r="N3278" s="8">
        <f t="shared" si="1378"/>
        <v>1</v>
      </c>
      <c r="O3278" s="11" t="s">
        <v>1702</v>
      </c>
      <c r="P3278" s="16" t="str">
        <f t="shared" si="1379"/>
        <v>16-Jun-1906</v>
      </c>
      <c r="R3278" s="16" t="str">
        <f t="shared" si="1358"/>
        <v>x</v>
      </c>
      <c r="S3278" s="16" t="str">
        <f t="shared" si="1358"/>
        <v>x</v>
      </c>
      <c r="T3278" s="11"/>
      <c r="U3278" s="46" t="str">
        <f t="shared" si="1367"/>
        <v/>
      </c>
      <c r="V3278" s="46">
        <f t="shared" si="1367"/>
        <v>22</v>
      </c>
      <c r="W3278" s="46" t="str">
        <f t="shared" si="1367"/>
        <v/>
      </c>
      <c r="X3278" s="46" t="str">
        <f t="shared" si="1367"/>
        <v/>
      </c>
    </row>
    <row r="3279" spans="2:24" x14ac:dyDescent="0.25">
      <c r="B3279" s="11" t="str">
        <f t="shared" si="1376"/>
        <v>LSVO-25AUG1906</v>
      </c>
      <c r="C3279" s="11" t="s">
        <v>1359</v>
      </c>
      <c r="D3279" s="11" t="s">
        <v>1699</v>
      </c>
      <c r="E3279" s="39" t="s">
        <v>1438</v>
      </c>
      <c r="F3279" s="11" t="s">
        <v>1700</v>
      </c>
      <c r="G3279" s="39" t="s">
        <v>2090</v>
      </c>
      <c r="H3279" s="7">
        <v>0</v>
      </c>
      <c r="I3279" s="7">
        <v>0</v>
      </c>
      <c r="J3279" s="17">
        <v>0</v>
      </c>
      <c r="K3279" s="17"/>
      <c r="L3279" s="7">
        <f t="shared" si="1377"/>
        <v>0</v>
      </c>
      <c r="M3279" s="8">
        <v>1</v>
      </c>
      <c r="N3279" s="8" t="str">
        <f t="shared" si="1378"/>
        <v/>
      </c>
      <c r="O3279" s="11" t="s">
        <v>1702</v>
      </c>
      <c r="P3279" s="16" t="str">
        <f t="shared" si="1379"/>
        <v>25-Aug-1906</v>
      </c>
      <c r="R3279" s="16" t="str">
        <f t="shared" si="1358"/>
        <v/>
      </c>
      <c r="S3279" s="16" t="str">
        <f t="shared" si="1358"/>
        <v/>
      </c>
      <c r="T3279" s="11"/>
      <c r="U3279" s="46" t="str">
        <f t="shared" si="1367"/>
        <v/>
      </c>
      <c r="V3279" s="46">
        <f t="shared" si="1367"/>
        <v>0</v>
      </c>
      <c r="W3279" s="46" t="str">
        <f t="shared" si="1367"/>
        <v/>
      </c>
      <c r="X3279" s="46" t="str">
        <f t="shared" si="1367"/>
        <v/>
      </c>
    </row>
    <row r="3280" spans="2:24" x14ac:dyDescent="0.25">
      <c r="B3280" s="11" t="str">
        <f t="shared" si="1376"/>
        <v>LSVO-25SEP1906</v>
      </c>
      <c r="C3280" s="11" t="s">
        <v>1359</v>
      </c>
      <c r="D3280" s="11" t="s">
        <v>1699</v>
      </c>
      <c r="E3280" s="39" t="s">
        <v>1439</v>
      </c>
      <c r="F3280" s="11" t="s">
        <v>1700</v>
      </c>
      <c r="G3280" s="39" t="s">
        <v>1430</v>
      </c>
      <c r="H3280" s="7">
        <v>0</v>
      </c>
      <c r="I3280" s="7">
        <v>0</v>
      </c>
      <c r="J3280" s="17">
        <v>3</v>
      </c>
      <c r="K3280" s="17"/>
      <c r="L3280" s="7">
        <f t="shared" si="1377"/>
        <v>3</v>
      </c>
      <c r="M3280" s="8">
        <v>1</v>
      </c>
      <c r="N3280" s="8">
        <f t="shared" si="1378"/>
        <v>1</v>
      </c>
      <c r="O3280" s="11" t="s">
        <v>1702</v>
      </c>
      <c r="P3280" s="16" t="str">
        <f t="shared" si="1379"/>
        <v>25-Sep-1906</v>
      </c>
      <c r="R3280" s="16" t="str">
        <f t="shared" si="1358"/>
        <v>x</v>
      </c>
      <c r="S3280" s="16" t="str">
        <f t="shared" si="1358"/>
        <v>x</v>
      </c>
      <c r="T3280" s="11"/>
      <c r="U3280" s="46" t="str">
        <f t="shared" si="1367"/>
        <v/>
      </c>
      <c r="V3280" s="46">
        <f t="shared" si="1367"/>
        <v>3</v>
      </c>
      <c r="W3280" s="46" t="str">
        <f t="shared" si="1367"/>
        <v/>
      </c>
      <c r="X3280" s="46" t="str">
        <f t="shared" si="1367"/>
        <v/>
      </c>
    </row>
    <row r="3281" spans="2:24" x14ac:dyDescent="0.25">
      <c r="B3281" s="11" t="str">
        <f t="shared" si="1376"/>
        <v>LSVO-21OCT1906</v>
      </c>
      <c r="C3281" s="11" t="s">
        <v>1359</v>
      </c>
      <c r="D3281" s="11" t="s">
        <v>1699</v>
      </c>
      <c r="E3281" s="39" t="s">
        <v>1440</v>
      </c>
      <c r="F3281" s="11" t="s">
        <v>1700</v>
      </c>
      <c r="G3281" s="39" t="s">
        <v>1431</v>
      </c>
      <c r="H3281" s="7">
        <v>0</v>
      </c>
      <c r="I3281" s="7">
        <v>0</v>
      </c>
      <c r="J3281" s="17">
        <v>13</v>
      </c>
      <c r="K3281" s="17"/>
      <c r="L3281" s="7">
        <f t="shared" si="1377"/>
        <v>13</v>
      </c>
      <c r="M3281" s="8">
        <v>1</v>
      </c>
      <c r="N3281" s="8">
        <f t="shared" si="1378"/>
        <v>1</v>
      </c>
      <c r="O3281" s="11" t="s">
        <v>1702</v>
      </c>
      <c r="P3281" s="16" t="str">
        <f t="shared" si="1379"/>
        <v>21-Oct-1906</v>
      </c>
      <c r="R3281" s="16" t="str">
        <f t="shared" si="1358"/>
        <v>x</v>
      </c>
      <c r="S3281" s="16" t="str">
        <f t="shared" si="1358"/>
        <v>x</v>
      </c>
      <c r="U3281" s="46" t="str">
        <f t="shared" si="1367"/>
        <v/>
      </c>
      <c r="V3281" s="46">
        <f t="shared" si="1367"/>
        <v>13</v>
      </c>
      <c r="W3281" s="46" t="str">
        <f t="shared" si="1367"/>
        <v/>
      </c>
      <c r="X3281" s="46" t="str">
        <f t="shared" si="1367"/>
        <v/>
      </c>
    </row>
    <row r="3282" spans="2:24" x14ac:dyDescent="0.25">
      <c r="B3282" s="11" t="str">
        <f t="shared" si="1372"/>
        <v>LSVO-17NOV1906</v>
      </c>
      <c r="C3282" s="11" t="s">
        <v>1359</v>
      </c>
      <c r="D3282" s="11" t="s">
        <v>1699</v>
      </c>
      <c r="E3282" s="39" t="s">
        <v>1441</v>
      </c>
      <c r="F3282" s="11" t="s">
        <v>1700</v>
      </c>
      <c r="G3282" s="39" t="s">
        <v>2051</v>
      </c>
      <c r="H3282" s="7">
        <v>0</v>
      </c>
      <c r="I3282" s="7">
        <v>1</v>
      </c>
      <c r="J3282" s="17">
        <v>16</v>
      </c>
      <c r="K3282" s="17"/>
      <c r="L3282" s="7">
        <f t="shared" si="1373"/>
        <v>17</v>
      </c>
      <c r="M3282" s="8">
        <v>1</v>
      </c>
      <c r="N3282" s="8">
        <f t="shared" si="1374"/>
        <v>1</v>
      </c>
      <c r="O3282" s="11" t="s">
        <v>1702</v>
      </c>
      <c r="P3282" s="16" t="str">
        <f t="shared" si="1375"/>
        <v>17-Nov-1906</v>
      </c>
      <c r="R3282" s="16" t="str">
        <f t="shared" si="1358"/>
        <v>x</v>
      </c>
      <c r="S3282" s="16" t="str">
        <f t="shared" si="1358"/>
        <v>x</v>
      </c>
      <c r="U3282" s="46" t="str">
        <f t="shared" si="1367"/>
        <v/>
      </c>
      <c r="V3282" s="46">
        <f t="shared" si="1367"/>
        <v>17</v>
      </c>
      <c r="W3282" s="46" t="str">
        <f t="shared" si="1367"/>
        <v/>
      </c>
      <c r="X3282" s="46" t="str">
        <f t="shared" si="1367"/>
        <v/>
      </c>
    </row>
    <row r="3283" spans="2:24" x14ac:dyDescent="0.25">
      <c r="B3283" s="11" t="str">
        <f>CONCATENATE("LSVO","-",LEFT(P3283,2),UPPER(MID(P3283,4,3)),RIGHT(P3283,4))</f>
        <v>LSVO-14JAN1907</v>
      </c>
      <c r="C3283" s="11" t="s">
        <v>1359</v>
      </c>
      <c r="D3283" s="11" t="s">
        <v>1699</v>
      </c>
      <c r="E3283" s="39" t="s">
        <v>1452</v>
      </c>
      <c r="F3283" s="11" t="s">
        <v>1700</v>
      </c>
      <c r="G3283" s="39" t="s">
        <v>1442</v>
      </c>
      <c r="H3283" s="7">
        <v>0</v>
      </c>
      <c r="I3283" s="7">
        <v>0</v>
      </c>
      <c r="J3283" s="17">
        <v>35</v>
      </c>
      <c r="K3283" s="17"/>
      <c r="L3283" s="7">
        <f>SUM(H3283:K3283)</f>
        <v>35</v>
      </c>
      <c r="M3283" s="8">
        <v>1</v>
      </c>
      <c r="N3283" s="8">
        <f>IF(L3283&gt;0,1,"")</f>
        <v>1</v>
      </c>
      <c r="O3283" s="11" t="s">
        <v>1702</v>
      </c>
      <c r="P3283" s="16" t="str">
        <f>IF(LEN(G3283)=10,CONCATENATE("0",G3283),G3283)</f>
        <v>14-Jan-1907</v>
      </c>
      <c r="R3283" s="16" t="str">
        <f t="shared" si="1358"/>
        <v>x</v>
      </c>
      <c r="S3283" s="16" t="str">
        <f t="shared" si="1358"/>
        <v>x</v>
      </c>
      <c r="U3283" s="46" t="str">
        <f t="shared" si="1367"/>
        <v/>
      </c>
      <c r="V3283" s="46">
        <f t="shared" si="1367"/>
        <v>35</v>
      </c>
      <c r="W3283" s="46" t="str">
        <f t="shared" si="1367"/>
        <v/>
      </c>
      <c r="X3283" s="46" t="str">
        <f t="shared" si="1367"/>
        <v/>
      </c>
    </row>
    <row r="3284" spans="2:24" x14ac:dyDescent="0.25">
      <c r="B3284" s="11" t="str">
        <f t="shared" ref="B3284:B3296" si="1380">CONCATENATE("LSVO","-",LEFT(P3284,2),UPPER(MID(P3284,4,3)),RIGHT(P3284,4))</f>
        <v>LSVO-09FEB1907</v>
      </c>
      <c r="C3284" s="11" t="s">
        <v>1359</v>
      </c>
      <c r="D3284" s="11" t="s">
        <v>1699</v>
      </c>
      <c r="E3284" s="39" t="s">
        <v>1451</v>
      </c>
      <c r="F3284" s="11" t="s">
        <v>1700</v>
      </c>
      <c r="G3284" s="39" t="s">
        <v>1443</v>
      </c>
      <c r="H3284" s="7">
        <v>0</v>
      </c>
      <c r="I3284" s="7">
        <v>0</v>
      </c>
      <c r="J3284" s="17">
        <v>28</v>
      </c>
      <c r="K3284" s="17"/>
      <c r="L3284" s="7">
        <f t="shared" ref="L3284:L3296" si="1381">SUM(H3284:K3284)</f>
        <v>28</v>
      </c>
      <c r="M3284" s="8">
        <v>1</v>
      </c>
      <c r="N3284" s="8">
        <f t="shared" ref="N3284:N3296" si="1382">IF(L3284&gt;0,1,"")</f>
        <v>1</v>
      </c>
      <c r="O3284" s="11" t="s">
        <v>1702</v>
      </c>
      <c r="P3284" s="16" t="str">
        <f t="shared" ref="P3284:P3296" si="1383">IF(LEN(G3284)=10,CONCATENATE("0",G3284),G3284)</f>
        <v>09-Feb-1907</v>
      </c>
      <c r="R3284" s="16" t="str">
        <f t="shared" ref="R3284:S3316" si="1384">IF($L3284&gt;0,"x","")</f>
        <v>x</v>
      </c>
      <c r="S3284" s="16" t="str">
        <f t="shared" si="1384"/>
        <v>x</v>
      </c>
      <c r="U3284" s="46" t="str">
        <f t="shared" si="1367"/>
        <v/>
      </c>
      <c r="V3284" s="46">
        <f t="shared" si="1367"/>
        <v>28</v>
      </c>
      <c r="W3284" s="46" t="str">
        <f t="shared" si="1367"/>
        <v/>
      </c>
      <c r="X3284" s="46" t="str">
        <f t="shared" si="1367"/>
        <v/>
      </c>
    </row>
    <row r="3285" spans="2:24" x14ac:dyDescent="0.25">
      <c r="B3285" s="11" t="str">
        <f t="shared" si="1380"/>
        <v>LSVO-10MAR1907</v>
      </c>
      <c r="C3285" s="11" t="s">
        <v>1359</v>
      </c>
      <c r="D3285" s="11" t="s">
        <v>1699</v>
      </c>
      <c r="E3285" s="39" t="s">
        <v>1453</v>
      </c>
      <c r="F3285" s="11" t="s">
        <v>1700</v>
      </c>
      <c r="G3285" s="39" t="s">
        <v>1444</v>
      </c>
      <c r="H3285" s="7">
        <v>0</v>
      </c>
      <c r="I3285" s="7">
        <v>0</v>
      </c>
      <c r="J3285" s="17">
        <v>0</v>
      </c>
      <c r="K3285" s="17"/>
      <c r="L3285" s="7">
        <f t="shared" si="1381"/>
        <v>0</v>
      </c>
      <c r="M3285" s="8">
        <v>1</v>
      </c>
      <c r="N3285" s="8" t="str">
        <f t="shared" si="1382"/>
        <v/>
      </c>
      <c r="O3285" s="11" t="s">
        <v>1702</v>
      </c>
      <c r="P3285" s="16" t="str">
        <f t="shared" si="1383"/>
        <v>10-Mar-1907</v>
      </c>
      <c r="R3285" s="16" t="str">
        <f t="shared" si="1384"/>
        <v/>
      </c>
      <c r="S3285" s="16" t="str">
        <f t="shared" si="1384"/>
        <v/>
      </c>
      <c r="U3285" s="46" t="str">
        <f t="shared" si="1367"/>
        <v/>
      </c>
      <c r="V3285" s="46">
        <f t="shared" si="1367"/>
        <v>0</v>
      </c>
      <c r="W3285" s="46" t="str">
        <f t="shared" si="1367"/>
        <v/>
      </c>
      <c r="X3285" s="46" t="str">
        <f t="shared" si="1367"/>
        <v/>
      </c>
    </row>
    <row r="3286" spans="2:24" x14ac:dyDescent="0.25">
      <c r="B3286" s="11" t="str">
        <f t="shared" si="1380"/>
        <v>LSVO-14APR1907</v>
      </c>
      <c r="C3286" s="11" t="s">
        <v>1359</v>
      </c>
      <c r="D3286" s="11" t="s">
        <v>1699</v>
      </c>
      <c r="E3286" s="39" t="s">
        <v>1454</v>
      </c>
      <c r="F3286" s="11" t="s">
        <v>1700</v>
      </c>
      <c r="G3286" s="39" t="s">
        <v>1445</v>
      </c>
      <c r="H3286" s="7">
        <v>0</v>
      </c>
      <c r="I3286" s="7">
        <v>0</v>
      </c>
      <c r="J3286" s="17">
        <v>6</v>
      </c>
      <c r="K3286" s="17"/>
      <c r="L3286" s="7">
        <f t="shared" si="1381"/>
        <v>6</v>
      </c>
      <c r="M3286" s="8">
        <v>1</v>
      </c>
      <c r="N3286" s="8">
        <f t="shared" si="1382"/>
        <v>1</v>
      </c>
      <c r="O3286" s="11" t="s">
        <v>1702</v>
      </c>
      <c r="P3286" s="16" t="str">
        <f t="shared" si="1383"/>
        <v>14-Apr-1907</v>
      </c>
      <c r="R3286" s="16" t="str">
        <f t="shared" si="1384"/>
        <v>x</v>
      </c>
      <c r="S3286" s="16" t="str">
        <f t="shared" si="1384"/>
        <v>x</v>
      </c>
      <c r="U3286" s="46" t="str">
        <f t="shared" si="1367"/>
        <v/>
      </c>
      <c r="V3286" s="46">
        <f t="shared" si="1367"/>
        <v>6</v>
      </c>
      <c r="W3286" s="46" t="str">
        <f t="shared" si="1367"/>
        <v/>
      </c>
      <c r="X3286" s="46" t="str">
        <f t="shared" si="1367"/>
        <v/>
      </c>
    </row>
    <row r="3287" spans="2:24" x14ac:dyDescent="0.25">
      <c r="B3287" s="11" t="str">
        <f t="shared" si="1380"/>
        <v>LSVO-06MAY1907</v>
      </c>
      <c r="C3287" s="11" t="s">
        <v>1359</v>
      </c>
      <c r="D3287" s="11" t="s">
        <v>1699</v>
      </c>
      <c r="E3287" s="39" t="s">
        <v>1455</v>
      </c>
      <c r="F3287" s="11" t="s">
        <v>1700</v>
      </c>
      <c r="G3287" s="39" t="s">
        <v>1446</v>
      </c>
      <c r="H3287" s="7">
        <v>0</v>
      </c>
      <c r="I3287" s="7">
        <v>2</v>
      </c>
      <c r="J3287" s="17">
        <v>9</v>
      </c>
      <c r="K3287" s="17"/>
      <c r="L3287" s="7">
        <f t="shared" si="1381"/>
        <v>11</v>
      </c>
      <c r="M3287" s="8">
        <v>1</v>
      </c>
      <c r="N3287" s="8">
        <f t="shared" si="1382"/>
        <v>1</v>
      </c>
      <c r="O3287" s="11" t="s">
        <v>1702</v>
      </c>
      <c r="P3287" s="16" t="str">
        <f t="shared" si="1383"/>
        <v>06-May-1907</v>
      </c>
      <c r="R3287" s="16" t="str">
        <f t="shared" si="1384"/>
        <v>x</v>
      </c>
      <c r="S3287" s="16" t="str">
        <f t="shared" si="1384"/>
        <v>x</v>
      </c>
      <c r="U3287" s="46" t="str">
        <f t="shared" si="1367"/>
        <v/>
      </c>
      <c r="V3287" s="46">
        <f t="shared" si="1367"/>
        <v>11</v>
      </c>
      <c r="W3287" s="46" t="str">
        <f t="shared" si="1367"/>
        <v/>
      </c>
      <c r="X3287" s="46" t="str">
        <f t="shared" si="1367"/>
        <v/>
      </c>
    </row>
    <row r="3288" spans="2:24" x14ac:dyDescent="0.25">
      <c r="B3288" s="11" t="str">
        <f t="shared" si="1380"/>
        <v>LSVO-02JUN1907</v>
      </c>
      <c r="C3288" s="11" t="s">
        <v>1359</v>
      </c>
      <c r="D3288" s="11" t="s">
        <v>1699</v>
      </c>
      <c r="E3288" s="39" t="s">
        <v>1456</v>
      </c>
      <c r="F3288" s="11" t="s">
        <v>1700</v>
      </c>
      <c r="G3288" s="39" t="s">
        <v>1447</v>
      </c>
      <c r="H3288" s="7">
        <v>0</v>
      </c>
      <c r="I3288" s="7">
        <v>1</v>
      </c>
      <c r="J3288" s="17">
        <v>11</v>
      </c>
      <c r="K3288" s="17"/>
      <c r="L3288" s="7">
        <f t="shared" si="1381"/>
        <v>12</v>
      </c>
      <c r="M3288" s="8">
        <v>1</v>
      </c>
      <c r="N3288" s="8">
        <f t="shared" si="1382"/>
        <v>1</v>
      </c>
      <c r="O3288" s="11" t="s">
        <v>1702</v>
      </c>
      <c r="P3288" s="16" t="str">
        <f t="shared" si="1383"/>
        <v>02-Jun-1907</v>
      </c>
      <c r="R3288" s="16" t="str">
        <f t="shared" si="1384"/>
        <v>x</v>
      </c>
      <c r="S3288" s="16" t="str">
        <f t="shared" si="1384"/>
        <v>x</v>
      </c>
      <c r="U3288" s="46" t="str">
        <f t="shared" si="1367"/>
        <v/>
      </c>
      <c r="V3288" s="46">
        <f t="shared" si="1367"/>
        <v>12</v>
      </c>
      <c r="W3288" s="46" t="str">
        <f t="shared" si="1367"/>
        <v/>
      </c>
      <c r="X3288" s="46" t="str">
        <f t="shared" si="1367"/>
        <v/>
      </c>
    </row>
    <row r="3289" spans="2:24" x14ac:dyDescent="0.25">
      <c r="B3289" s="11" t="str">
        <f t="shared" si="1380"/>
        <v>LSVO-23JUN1907</v>
      </c>
      <c r="C3289" s="11" t="s">
        <v>1359</v>
      </c>
      <c r="D3289" s="11" t="s">
        <v>1699</v>
      </c>
      <c r="E3289" s="39" t="s">
        <v>1457</v>
      </c>
      <c r="F3289" s="11" t="s">
        <v>1700</v>
      </c>
      <c r="G3289" s="39" t="s">
        <v>1448</v>
      </c>
      <c r="H3289" s="7">
        <v>0</v>
      </c>
      <c r="I3289" s="7">
        <v>8</v>
      </c>
      <c r="J3289" s="17">
        <v>13</v>
      </c>
      <c r="K3289" s="17"/>
      <c r="L3289" s="7">
        <f t="shared" si="1381"/>
        <v>21</v>
      </c>
      <c r="M3289" s="8">
        <v>1</v>
      </c>
      <c r="N3289" s="8">
        <f t="shared" si="1382"/>
        <v>1</v>
      </c>
      <c r="O3289" s="11" t="s">
        <v>1702</v>
      </c>
      <c r="P3289" s="16" t="str">
        <f t="shared" si="1383"/>
        <v>23-Jun-1907</v>
      </c>
      <c r="R3289" s="16" t="str">
        <f t="shared" si="1384"/>
        <v>x</v>
      </c>
      <c r="S3289" s="16" t="str">
        <f t="shared" si="1384"/>
        <v>x</v>
      </c>
      <c r="U3289" s="46" t="str">
        <f t="shared" si="1367"/>
        <v/>
      </c>
      <c r="V3289" s="46">
        <f t="shared" si="1367"/>
        <v>21</v>
      </c>
      <c r="W3289" s="46" t="str">
        <f t="shared" si="1367"/>
        <v/>
      </c>
      <c r="X3289" s="46" t="str">
        <f t="shared" si="1367"/>
        <v/>
      </c>
    </row>
    <row r="3290" spans="2:24" x14ac:dyDescent="0.25">
      <c r="B3290" s="11" t="str">
        <f t="shared" si="1380"/>
        <v>LSVO-21JUL1907</v>
      </c>
      <c r="C3290" s="11" t="s">
        <v>1359</v>
      </c>
      <c r="D3290" s="11" t="s">
        <v>1699</v>
      </c>
      <c r="E3290" s="39" t="s">
        <v>1458</v>
      </c>
      <c r="F3290" s="11" t="s">
        <v>1700</v>
      </c>
      <c r="G3290" s="39" t="s">
        <v>1449</v>
      </c>
      <c r="H3290" s="7">
        <v>0</v>
      </c>
      <c r="I3290" s="7">
        <v>0</v>
      </c>
      <c r="J3290" s="17">
        <v>29</v>
      </c>
      <c r="K3290" s="17"/>
      <c r="L3290" s="7">
        <f t="shared" si="1381"/>
        <v>29</v>
      </c>
      <c r="M3290" s="8">
        <v>1</v>
      </c>
      <c r="N3290" s="8">
        <f t="shared" si="1382"/>
        <v>1</v>
      </c>
      <c r="O3290" s="11" t="s">
        <v>1702</v>
      </c>
      <c r="P3290" s="16" t="str">
        <f t="shared" si="1383"/>
        <v>21-Jul-1907</v>
      </c>
      <c r="R3290" s="16" t="str">
        <f t="shared" si="1384"/>
        <v>x</v>
      </c>
      <c r="S3290" s="16" t="str">
        <f t="shared" si="1384"/>
        <v>x</v>
      </c>
      <c r="U3290" s="46" t="str">
        <f t="shared" si="1367"/>
        <v/>
      </c>
      <c r="V3290" s="46">
        <f t="shared" si="1367"/>
        <v>29</v>
      </c>
      <c r="W3290" s="46" t="str">
        <f t="shared" si="1367"/>
        <v/>
      </c>
      <c r="X3290" s="46" t="str">
        <f t="shared" si="1367"/>
        <v/>
      </c>
    </row>
    <row r="3291" spans="2:24" x14ac:dyDescent="0.25">
      <c r="B3291" s="11" t="str">
        <f t="shared" si="1380"/>
        <v>LSVO-09SEP1907</v>
      </c>
      <c r="C3291" s="11" t="s">
        <v>1359</v>
      </c>
      <c r="D3291" s="11" t="s">
        <v>1699</v>
      </c>
      <c r="E3291" s="39" t="s">
        <v>1459</v>
      </c>
      <c r="F3291" s="11" t="s">
        <v>1700</v>
      </c>
      <c r="G3291" s="39" t="s">
        <v>1450</v>
      </c>
      <c r="H3291" s="7">
        <v>4</v>
      </c>
      <c r="I3291" s="7">
        <v>1</v>
      </c>
      <c r="J3291" s="17">
        <v>2</v>
      </c>
      <c r="K3291" s="17"/>
      <c r="L3291" s="7">
        <f t="shared" si="1381"/>
        <v>7</v>
      </c>
      <c r="M3291" s="8">
        <v>1</v>
      </c>
      <c r="N3291" s="8">
        <f t="shared" si="1382"/>
        <v>1</v>
      </c>
      <c r="O3291" s="11" t="s">
        <v>1702</v>
      </c>
      <c r="P3291" s="16" t="str">
        <f t="shared" si="1383"/>
        <v>09-Sep-1907</v>
      </c>
      <c r="R3291" s="16" t="str">
        <f t="shared" si="1384"/>
        <v>x</v>
      </c>
      <c r="S3291" s="16" t="str">
        <f t="shared" si="1384"/>
        <v>x</v>
      </c>
      <c r="U3291" s="46" t="str">
        <f t="shared" si="1367"/>
        <v/>
      </c>
      <c r="V3291" s="46">
        <f t="shared" si="1367"/>
        <v>7</v>
      </c>
      <c r="W3291" s="46" t="str">
        <f t="shared" si="1367"/>
        <v/>
      </c>
      <c r="X3291" s="46" t="str">
        <f t="shared" si="1367"/>
        <v/>
      </c>
    </row>
    <row r="3292" spans="2:24" x14ac:dyDescent="0.25">
      <c r="B3292" s="11" t="str">
        <f t="shared" si="1380"/>
        <v>LSVO-28SEP1907</v>
      </c>
      <c r="C3292" s="11" t="s">
        <v>1359</v>
      </c>
      <c r="D3292" s="11" t="s">
        <v>1699</v>
      </c>
      <c r="E3292" s="39" t="s">
        <v>1460</v>
      </c>
      <c r="F3292" s="11" t="s">
        <v>1700</v>
      </c>
      <c r="G3292" s="39" t="s">
        <v>1207</v>
      </c>
      <c r="H3292" s="7">
        <v>1</v>
      </c>
      <c r="I3292" s="7">
        <v>0</v>
      </c>
      <c r="J3292" s="17">
        <v>34</v>
      </c>
      <c r="K3292" s="17"/>
      <c r="L3292" s="7">
        <f t="shared" si="1381"/>
        <v>35</v>
      </c>
      <c r="M3292" s="8">
        <v>1</v>
      </c>
      <c r="N3292" s="8">
        <f t="shared" si="1382"/>
        <v>1</v>
      </c>
      <c r="O3292" s="11" t="s">
        <v>1702</v>
      </c>
      <c r="P3292" s="16" t="str">
        <f t="shared" si="1383"/>
        <v>28-Sep-1907</v>
      </c>
      <c r="R3292" s="16" t="str">
        <f t="shared" si="1384"/>
        <v>x</v>
      </c>
      <c r="S3292" s="16" t="str">
        <f t="shared" si="1384"/>
        <v>x</v>
      </c>
      <c r="U3292" s="46" t="str">
        <f t="shared" si="1367"/>
        <v/>
      </c>
      <c r="V3292" s="46">
        <f t="shared" si="1367"/>
        <v>35</v>
      </c>
      <c r="W3292" s="46" t="str">
        <f t="shared" si="1367"/>
        <v/>
      </c>
      <c r="X3292" s="46" t="str">
        <f t="shared" si="1367"/>
        <v/>
      </c>
    </row>
    <row r="3293" spans="2:24" x14ac:dyDescent="0.25">
      <c r="B3293" s="11" t="str">
        <f t="shared" si="1380"/>
        <v>LSVO-26OCT1907</v>
      </c>
      <c r="C3293" s="11" t="s">
        <v>1359</v>
      </c>
      <c r="D3293" s="11" t="s">
        <v>1699</v>
      </c>
      <c r="E3293" s="39" t="s">
        <v>1461</v>
      </c>
      <c r="F3293" s="11" t="s">
        <v>1700</v>
      </c>
      <c r="G3293" s="39" t="s">
        <v>1208</v>
      </c>
      <c r="H3293" s="7">
        <v>0</v>
      </c>
      <c r="I3293" s="7">
        <v>0</v>
      </c>
      <c r="J3293" s="17">
        <v>13</v>
      </c>
      <c r="K3293" s="17"/>
      <c r="L3293" s="7">
        <f t="shared" si="1381"/>
        <v>13</v>
      </c>
      <c r="M3293" s="8">
        <v>1</v>
      </c>
      <c r="N3293" s="8">
        <f t="shared" si="1382"/>
        <v>1</v>
      </c>
      <c r="O3293" s="11" t="s">
        <v>1702</v>
      </c>
      <c r="P3293" s="16" t="str">
        <f t="shared" si="1383"/>
        <v>26-Oct-1907</v>
      </c>
      <c r="R3293" s="16" t="str">
        <f t="shared" si="1384"/>
        <v>x</v>
      </c>
      <c r="S3293" s="16" t="str">
        <f t="shared" si="1384"/>
        <v>x</v>
      </c>
      <c r="U3293" s="46" t="str">
        <f t="shared" si="1367"/>
        <v/>
      </c>
      <c r="V3293" s="46">
        <f t="shared" si="1367"/>
        <v>13</v>
      </c>
      <c r="W3293" s="46" t="str">
        <f t="shared" si="1367"/>
        <v/>
      </c>
      <c r="X3293" s="46" t="str">
        <f t="shared" si="1367"/>
        <v/>
      </c>
    </row>
    <row r="3294" spans="2:24" x14ac:dyDescent="0.25">
      <c r="B3294" s="11" t="str">
        <f t="shared" si="1380"/>
        <v>LSVO-23NOV1907</v>
      </c>
      <c r="C3294" s="11" t="s">
        <v>1359</v>
      </c>
      <c r="D3294" s="11" t="s">
        <v>1699</v>
      </c>
      <c r="E3294" s="39" t="s">
        <v>1462</v>
      </c>
      <c r="F3294" s="11" t="s">
        <v>1700</v>
      </c>
      <c r="G3294" s="39" t="s">
        <v>1209</v>
      </c>
      <c r="H3294" s="7">
        <v>0</v>
      </c>
      <c r="I3294" s="7">
        <v>2</v>
      </c>
      <c r="J3294" s="17">
        <v>21</v>
      </c>
      <c r="K3294" s="17"/>
      <c r="L3294" s="7">
        <f t="shared" si="1381"/>
        <v>23</v>
      </c>
      <c r="M3294" s="8">
        <v>1</v>
      </c>
      <c r="N3294" s="8">
        <f t="shared" si="1382"/>
        <v>1</v>
      </c>
      <c r="O3294" s="11" t="s">
        <v>1702</v>
      </c>
      <c r="P3294" s="16" t="str">
        <f t="shared" si="1383"/>
        <v>23-Nov-1907</v>
      </c>
      <c r="R3294" s="16" t="str">
        <f t="shared" si="1384"/>
        <v>x</v>
      </c>
      <c r="S3294" s="16" t="str">
        <f t="shared" si="1384"/>
        <v>x</v>
      </c>
      <c r="U3294" s="46" t="str">
        <f t="shared" si="1367"/>
        <v/>
      </c>
      <c r="V3294" s="46">
        <f t="shared" si="1367"/>
        <v>23</v>
      </c>
      <c r="W3294" s="46" t="str">
        <f t="shared" si="1367"/>
        <v/>
      </c>
      <c r="X3294" s="46" t="str">
        <f t="shared" si="1367"/>
        <v/>
      </c>
    </row>
    <row r="3295" spans="2:24" x14ac:dyDescent="0.25">
      <c r="B3295" s="11" t="str">
        <f t="shared" si="1380"/>
        <v>LSVO-02FEB1908</v>
      </c>
      <c r="C3295" s="11" t="s">
        <v>1359</v>
      </c>
      <c r="D3295" s="11" t="s">
        <v>1699</v>
      </c>
      <c r="E3295" s="39" t="s">
        <v>1467</v>
      </c>
      <c r="F3295" s="11" t="s">
        <v>1700</v>
      </c>
      <c r="G3295" s="39" t="s">
        <v>1463</v>
      </c>
      <c r="H3295" s="7">
        <v>0</v>
      </c>
      <c r="I3295" s="7">
        <v>0</v>
      </c>
      <c r="J3295" s="17">
        <v>27</v>
      </c>
      <c r="K3295" s="17"/>
      <c r="L3295" s="7">
        <f t="shared" si="1381"/>
        <v>27</v>
      </c>
      <c r="M3295" s="8">
        <v>1</v>
      </c>
      <c r="N3295" s="8">
        <f t="shared" si="1382"/>
        <v>1</v>
      </c>
      <c r="O3295" s="11" t="s">
        <v>1702</v>
      </c>
      <c r="P3295" s="16" t="str">
        <f t="shared" si="1383"/>
        <v>02-Feb-1908</v>
      </c>
      <c r="R3295" s="16" t="str">
        <f t="shared" si="1384"/>
        <v>x</v>
      </c>
      <c r="S3295" s="16" t="str">
        <f t="shared" si="1384"/>
        <v>x</v>
      </c>
      <c r="U3295" s="46" t="str">
        <f t="shared" si="1367"/>
        <v/>
      </c>
      <c r="V3295" s="46">
        <f t="shared" si="1367"/>
        <v>27</v>
      </c>
      <c r="W3295" s="46" t="str">
        <f t="shared" si="1367"/>
        <v/>
      </c>
      <c r="X3295" s="46" t="str">
        <f t="shared" si="1367"/>
        <v/>
      </c>
    </row>
    <row r="3296" spans="2:24" x14ac:dyDescent="0.25">
      <c r="B3296" s="11" t="str">
        <f t="shared" si="1380"/>
        <v>LSVO-29FEB1908</v>
      </c>
      <c r="C3296" s="11" t="s">
        <v>1359</v>
      </c>
      <c r="D3296" s="11" t="s">
        <v>1699</v>
      </c>
      <c r="E3296" s="39" t="s">
        <v>1468</v>
      </c>
      <c r="F3296" s="11" t="s">
        <v>1700</v>
      </c>
      <c r="G3296" s="39" t="s">
        <v>1220</v>
      </c>
      <c r="H3296" s="7">
        <v>0</v>
      </c>
      <c r="I3296" s="7">
        <v>0</v>
      </c>
      <c r="J3296" s="17">
        <v>22</v>
      </c>
      <c r="K3296" s="17"/>
      <c r="L3296" s="7">
        <f t="shared" si="1381"/>
        <v>22</v>
      </c>
      <c r="M3296" s="8">
        <v>1</v>
      </c>
      <c r="N3296" s="8">
        <f t="shared" si="1382"/>
        <v>1</v>
      </c>
      <c r="O3296" s="11" t="s">
        <v>1702</v>
      </c>
      <c r="P3296" s="16" t="str">
        <f t="shared" si="1383"/>
        <v>29-Feb-1908</v>
      </c>
      <c r="R3296" s="16" t="str">
        <f t="shared" si="1384"/>
        <v>x</v>
      </c>
      <c r="S3296" s="16" t="str">
        <f t="shared" si="1384"/>
        <v>x</v>
      </c>
      <c r="U3296" s="46" t="str">
        <f t="shared" si="1367"/>
        <v/>
      </c>
      <c r="V3296" s="46">
        <f t="shared" si="1367"/>
        <v>22</v>
      </c>
      <c r="W3296" s="46" t="str">
        <f t="shared" si="1367"/>
        <v/>
      </c>
      <c r="X3296" s="46" t="str">
        <f t="shared" si="1367"/>
        <v/>
      </c>
    </row>
    <row r="3297" spans="2:24" x14ac:dyDescent="0.25">
      <c r="B3297" s="11" t="str">
        <f t="shared" ref="B3297:B3314" si="1385">CONCATENATE("LSVO","-",LEFT(P3297,2),UPPER(MID(P3297,4,3)),RIGHT(P3297,4))</f>
        <v>LSVO-26APR1908</v>
      </c>
      <c r="C3297" s="11" t="s">
        <v>1359</v>
      </c>
      <c r="D3297" s="11" t="s">
        <v>1699</v>
      </c>
      <c r="E3297" s="39" t="s">
        <v>1469</v>
      </c>
      <c r="F3297" s="11" t="s">
        <v>1700</v>
      </c>
      <c r="G3297" s="39" t="s">
        <v>1464</v>
      </c>
      <c r="H3297" s="7">
        <v>0</v>
      </c>
      <c r="I3297" s="7">
        <v>1</v>
      </c>
      <c r="J3297" s="17">
        <v>10</v>
      </c>
      <c r="K3297" s="17"/>
      <c r="L3297" s="7">
        <f t="shared" ref="L3297:L3314" si="1386">SUM(H3297:K3297)</f>
        <v>11</v>
      </c>
      <c r="M3297" s="8">
        <v>1</v>
      </c>
      <c r="N3297" s="8">
        <f t="shared" ref="N3297:N3314" si="1387">IF(L3297&gt;0,1,"")</f>
        <v>1</v>
      </c>
      <c r="O3297" s="11" t="s">
        <v>1702</v>
      </c>
      <c r="P3297" s="16" t="str">
        <f t="shared" ref="P3297:P3314" si="1388">IF(LEN(G3297)=10,CONCATENATE("0",G3297),G3297)</f>
        <v>26-Apr-1908</v>
      </c>
      <c r="R3297" s="16" t="str">
        <f t="shared" si="1384"/>
        <v>x</v>
      </c>
      <c r="S3297" s="16" t="str">
        <f t="shared" si="1384"/>
        <v>x</v>
      </c>
      <c r="T3297" s="11"/>
      <c r="U3297" s="46" t="str">
        <f t="shared" si="1367"/>
        <v/>
      </c>
      <c r="V3297" s="46">
        <f t="shared" si="1367"/>
        <v>11</v>
      </c>
      <c r="W3297" s="46" t="str">
        <f t="shared" si="1367"/>
        <v/>
      </c>
      <c r="X3297" s="46" t="str">
        <f t="shared" si="1367"/>
        <v/>
      </c>
    </row>
    <row r="3298" spans="2:24" x14ac:dyDescent="0.25">
      <c r="B3298" s="11" t="str">
        <f t="shared" si="1385"/>
        <v>LSVO-24MAY1908</v>
      </c>
      <c r="C3298" s="11" t="s">
        <v>1359</v>
      </c>
      <c r="D3298" s="11" t="s">
        <v>1699</v>
      </c>
      <c r="E3298" s="39" t="s">
        <v>1470</v>
      </c>
      <c r="F3298" s="11" t="s">
        <v>1700</v>
      </c>
      <c r="G3298" s="39" t="s">
        <v>1465</v>
      </c>
      <c r="H3298" s="7">
        <v>0</v>
      </c>
      <c r="I3298" s="7">
        <v>0</v>
      </c>
      <c r="J3298" s="17">
        <v>5</v>
      </c>
      <c r="K3298" s="17"/>
      <c r="L3298" s="7">
        <f t="shared" si="1386"/>
        <v>5</v>
      </c>
      <c r="M3298" s="8">
        <v>1</v>
      </c>
      <c r="N3298" s="8">
        <f t="shared" si="1387"/>
        <v>1</v>
      </c>
      <c r="O3298" s="11" t="s">
        <v>1702</v>
      </c>
      <c r="P3298" s="16" t="str">
        <f t="shared" si="1388"/>
        <v>24-May-1908</v>
      </c>
      <c r="R3298" s="16" t="str">
        <f t="shared" si="1384"/>
        <v>x</v>
      </c>
      <c r="S3298" s="16" t="str">
        <f t="shared" si="1384"/>
        <v>x</v>
      </c>
      <c r="T3298" s="11"/>
      <c r="U3298" s="46" t="str">
        <f t="shared" si="1367"/>
        <v/>
      </c>
      <c r="V3298" s="46">
        <f t="shared" si="1367"/>
        <v>5</v>
      </c>
      <c r="W3298" s="46" t="str">
        <f t="shared" si="1367"/>
        <v/>
      </c>
      <c r="X3298" s="46" t="str">
        <f t="shared" si="1367"/>
        <v/>
      </c>
    </row>
    <row r="3299" spans="2:24" x14ac:dyDescent="0.25">
      <c r="B3299" s="11" t="str">
        <f t="shared" si="1385"/>
        <v>LSVO-13JUN1908</v>
      </c>
      <c r="C3299" s="11" t="s">
        <v>1359</v>
      </c>
      <c r="D3299" s="11" t="s">
        <v>1699</v>
      </c>
      <c r="E3299" s="39" t="s">
        <v>1471</v>
      </c>
      <c r="F3299" s="11" t="s">
        <v>1700</v>
      </c>
      <c r="G3299" s="39" t="s">
        <v>1224</v>
      </c>
      <c r="H3299" s="7">
        <v>0</v>
      </c>
      <c r="I3299" s="7">
        <v>0</v>
      </c>
      <c r="J3299" s="17">
        <v>26</v>
      </c>
      <c r="K3299" s="17"/>
      <c r="L3299" s="7">
        <f t="shared" si="1386"/>
        <v>26</v>
      </c>
      <c r="M3299" s="8">
        <v>1</v>
      </c>
      <c r="N3299" s="8">
        <f t="shared" si="1387"/>
        <v>1</v>
      </c>
      <c r="O3299" s="11" t="s">
        <v>1702</v>
      </c>
      <c r="P3299" s="16" t="str">
        <f t="shared" si="1388"/>
        <v>13-Jun-1908</v>
      </c>
      <c r="R3299" s="16" t="str">
        <f t="shared" si="1384"/>
        <v>x</v>
      </c>
      <c r="S3299" s="16" t="str">
        <f t="shared" si="1384"/>
        <v>x</v>
      </c>
      <c r="T3299" s="11"/>
      <c r="U3299" s="46" t="str">
        <f t="shared" si="1367"/>
        <v/>
      </c>
      <c r="V3299" s="46">
        <f t="shared" si="1367"/>
        <v>26</v>
      </c>
      <c r="W3299" s="46" t="str">
        <f t="shared" si="1367"/>
        <v/>
      </c>
      <c r="X3299" s="46" t="str">
        <f t="shared" si="1367"/>
        <v/>
      </c>
    </row>
    <row r="3300" spans="2:24" x14ac:dyDescent="0.25">
      <c r="B3300" s="11" t="str">
        <f t="shared" si="1385"/>
        <v>LSVO-01AUG1908</v>
      </c>
      <c r="C3300" s="11" t="s">
        <v>1359</v>
      </c>
      <c r="D3300" s="11" t="s">
        <v>1699</v>
      </c>
      <c r="E3300" s="39" t="s">
        <v>1472</v>
      </c>
      <c r="F3300" s="11" t="s">
        <v>1700</v>
      </c>
      <c r="G3300" s="39" t="s">
        <v>844</v>
      </c>
      <c r="H3300" s="7">
        <v>0</v>
      </c>
      <c r="I3300" s="7">
        <v>0</v>
      </c>
      <c r="J3300" s="17">
        <v>15</v>
      </c>
      <c r="K3300" s="17"/>
      <c r="L3300" s="7">
        <f t="shared" si="1386"/>
        <v>15</v>
      </c>
      <c r="M3300" s="8">
        <v>1</v>
      </c>
      <c r="N3300" s="8">
        <f t="shared" si="1387"/>
        <v>1</v>
      </c>
      <c r="O3300" s="11" t="s">
        <v>1702</v>
      </c>
      <c r="P3300" s="16" t="str">
        <f t="shared" si="1388"/>
        <v>01-Aug-1908</v>
      </c>
      <c r="R3300" s="16" t="str">
        <f t="shared" si="1384"/>
        <v>x</v>
      </c>
      <c r="S3300" s="16" t="str">
        <f t="shared" si="1384"/>
        <v>x</v>
      </c>
      <c r="T3300" s="11"/>
      <c r="U3300" s="46" t="str">
        <f t="shared" si="1367"/>
        <v/>
      </c>
      <c r="V3300" s="46">
        <f t="shared" si="1367"/>
        <v>15</v>
      </c>
      <c r="W3300" s="46" t="str">
        <f t="shared" si="1367"/>
        <v/>
      </c>
      <c r="X3300" s="46" t="str">
        <f t="shared" si="1367"/>
        <v/>
      </c>
    </row>
    <row r="3301" spans="2:24" x14ac:dyDescent="0.25">
      <c r="B3301" s="11" t="str">
        <f t="shared" si="1385"/>
        <v>LSVO-19SEP1908</v>
      </c>
      <c r="C3301" s="11" t="s">
        <v>1359</v>
      </c>
      <c r="D3301" s="11" t="s">
        <v>1699</v>
      </c>
      <c r="E3301" s="39" t="s">
        <v>1473</v>
      </c>
      <c r="F3301" s="11" t="s">
        <v>1700</v>
      </c>
      <c r="G3301" s="39" t="s">
        <v>1466</v>
      </c>
      <c r="H3301" s="7">
        <v>0</v>
      </c>
      <c r="I3301" s="7">
        <v>0</v>
      </c>
      <c r="J3301" s="17">
        <v>17</v>
      </c>
      <c r="K3301" s="17"/>
      <c r="L3301" s="7">
        <f t="shared" si="1386"/>
        <v>17</v>
      </c>
      <c r="M3301" s="8">
        <v>1</v>
      </c>
      <c r="N3301" s="8">
        <f t="shared" si="1387"/>
        <v>1</v>
      </c>
      <c r="O3301" s="11" t="s">
        <v>1702</v>
      </c>
      <c r="P3301" s="16" t="str">
        <f t="shared" si="1388"/>
        <v>19-Sep-1908</v>
      </c>
      <c r="R3301" s="16" t="str">
        <f t="shared" si="1384"/>
        <v>x</v>
      </c>
      <c r="S3301" s="16" t="str">
        <f t="shared" si="1384"/>
        <v>x</v>
      </c>
      <c r="T3301" s="11"/>
      <c r="U3301" s="46" t="str">
        <f t="shared" si="1367"/>
        <v/>
      </c>
      <c r="V3301" s="46">
        <f t="shared" si="1367"/>
        <v>17</v>
      </c>
      <c r="W3301" s="46" t="str">
        <f t="shared" si="1367"/>
        <v/>
      </c>
      <c r="X3301" s="46" t="str">
        <f t="shared" si="1367"/>
        <v/>
      </c>
    </row>
    <row r="3302" spans="2:24" x14ac:dyDescent="0.25">
      <c r="B3302" s="11" t="str">
        <f t="shared" si="1385"/>
        <v>LSVO-17OCT1908</v>
      </c>
      <c r="C3302" s="11" t="s">
        <v>1359</v>
      </c>
      <c r="D3302" s="11" t="s">
        <v>1699</v>
      </c>
      <c r="E3302" s="39" t="s">
        <v>1474</v>
      </c>
      <c r="F3302" s="11" t="s">
        <v>1700</v>
      </c>
      <c r="G3302" s="39" t="s">
        <v>924</v>
      </c>
      <c r="H3302" s="7">
        <v>0</v>
      </c>
      <c r="I3302" s="7">
        <v>0</v>
      </c>
      <c r="J3302" s="17">
        <v>52</v>
      </c>
      <c r="K3302" s="17"/>
      <c r="L3302" s="7">
        <f t="shared" si="1386"/>
        <v>52</v>
      </c>
      <c r="M3302" s="8">
        <v>1</v>
      </c>
      <c r="N3302" s="8">
        <f t="shared" si="1387"/>
        <v>1</v>
      </c>
      <c r="O3302" s="11" t="s">
        <v>1702</v>
      </c>
      <c r="P3302" s="16" t="str">
        <f t="shared" si="1388"/>
        <v>17-Oct-1908</v>
      </c>
      <c r="R3302" s="16" t="str">
        <f t="shared" si="1384"/>
        <v>x</v>
      </c>
      <c r="S3302" s="16" t="str">
        <f t="shared" si="1384"/>
        <v>x</v>
      </c>
      <c r="T3302" s="11"/>
      <c r="U3302" s="46" t="str">
        <f t="shared" si="1367"/>
        <v/>
      </c>
      <c r="V3302" s="46">
        <f t="shared" si="1367"/>
        <v>52</v>
      </c>
      <c r="W3302" s="46" t="str">
        <f t="shared" si="1367"/>
        <v/>
      </c>
      <c r="X3302" s="46" t="str">
        <f t="shared" si="1367"/>
        <v/>
      </c>
    </row>
    <row r="3303" spans="2:24" x14ac:dyDescent="0.25">
      <c r="B3303" s="11" t="str">
        <f t="shared" si="1385"/>
        <v>LSVO-14NOV1908</v>
      </c>
      <c r="C3303" s="11" t="s">
        <v>1359</v>
      </c>
      <c r="D3303" s="11" t="s">
        <v>1699</v>
      </c>
      <c r="E3303" s="39" t="s">
        <v>1475</v>
      </c>
      <c r="F3303" s="11" t="s">
        <v>1700</v>
      </c>
      <c r="G3303" s="39" t="s">
        <v>1227</v>
      </c>
      <c r="H3303" s="7">
        <v>0</v>
      </c>
      <c r="I3303" s="7">
        <v>0</v>
      </c>
      <c r="J3303" s="17">
        <v>51</v>
      </c>
      <c r="K3303" s="17"/>
      <c r="L3303" s="7">
        <f t="shared" si="1386"/>
        <v>51</v>
      </c>
      <c r="M3303" s="8">
        <v>1</v>
      </c>
      <c r="N3303" s="8">
        <f t="shared" si="1387"/>
        <v>1</v>
      </c>
      <c r="O3303" s="11" t="s">
        <v>1702</v>
      </c>
      <c r="P3303" s="16" t="str">
        <f t="shared" si="1388"/>
        <v>14-Nov-1908</v>
      </c>
      <c r="R3303" s="16" t="str">
        <f t="shared" si="1384"/>
        <v>x</v>
      </c>
      <c r="S3303" s="16" t="str">
        <f t="shared" si="1384"/>
        <v>x</v>
      </c>
      <c r="T3303" s="11"/>
      <c r="U3303" s="46" t="str">
        <f t="shared" si="1367"/>
        <v/>
      </c>
      <c r="V3303" s="46">
        <f t="shared" si="1367"/>
        <v>51</v>
      </c>
      <c r="W3303" s="46" t="str">
        <f t="shared" si="1367"/>
        <v/>
      </c>
      <c r="X3303" s="46" t="str">
        <f t="shared" si="1367"/>
        <v/>
      </c>
    </row>
    <row r="3304" spans="2:24" x14ac:dyDescent="0.25">
      <c r="B3304" s="11" t="str">
        <f t="shared" si="1385"/>
        <v>LSVO-16JAN1909</v>
      </c>
      <c r="C3304" s="11" t="s">
        <v>1359</v>
      </c>
      <c r="D3304" s="11" t="s">
        <v>1699</v>
      </c>
      <c r="E3304" s="39" t="s">
        <v>1480</v>
      </c>
      <c r="F3304" s="11" t="s">
        <v>1700</v>
      </c>
      <c r="G3304" s="39" t="s">
        <v>1476</v>
      </c>
      <c r="H3304" s="7">
        <v>0</v>
      </c>
      <c r="I3304" s="7">
        <v>0</v>
      </c>
      <c r="J3304" s="17">
        <v>40</v>
      </c>
      <c r="K3304" s="17"/>
      <c r="L3304" s="7">
        <f t="shared" si="1386"/>
        <v>40</v>
      </c>
      <c r="M3304" s="8">
        <v>1</v>
      </c>
      <c r="N3304" s="8">
        <f t="shared" si="1387"/>
        <v>1</v>
      </c>
      <c r="O3304" s="11" t="s">
        <v>1702</v>
      </c>
      <c r="P3304" s="16" t="str">
        <f t="shared" si="1388"/>
        <v>16-Jan-1909</v>
      </c>
      <c r="R3304" s="16" t="str">
        <f t="shared" si="1384"/>
        <v>x</v>
      </c>
      <c r="S3304" s="16" t="str">
        <f t="shared" si="1384"/>
        <v>x</v>
      </c>
      <c r="T3304" s="11"/>
      <c r="U3304" s="46" t="str">
        <f t="shared" si="1367"/>
        <v/>
      </c>
      <c r="V3304" s="46">
        <f t="shared" si="1367"/>
        <v>40</v>
      </c>
      <c r="W3304" s="46" t="str">
        <f t="shared" si="1367"/>
        <v/>
      </c>
      <c r="X3304" s="46" t="str">
        <f t="shared" si="1367"/>
        <v/>
      </c>
    </row>
    <row r="3305" spans="2:24" x14ac:dyDescent="0.25">
      <c r="B3305" s="11" t="str">
        <f t="shared" si="1385"/>
        <v>LSVO-20FEB1909</v>
      </c>
      <c r="C3305" s="11" t="s">
        <v>1359</v>
      </c>
      <c r="D3305" s="11" t="s">
        <v>1699</v>
      </c>
      <c r="E3305" s="39" t="s">
        <v>932</v>
      </c>
      <c r="F3305" s="11" t="s">
        <v>1700</v>
      </c>
      <c r="G3305" s="39" t="s">
        <v>1835</v>
      </c>
      <c r="H3305" s="7">
        <v>0</v>
      </c>
      <c r="I3305" s="7">
        <v>0</v>
      </c>
      <c r="J3305" s="17">
        <v>8</v>
      </c>
      <c r="K3305" s="17"/>
      <c r="L3305" s="7">
        <f t="shared" si="1386"/>
        <v>8</v>
      </c>
      <c r="M3305" s="8">
        <v>1</v>
      </c>
      <c r="N3305" s="8">
        <f t="shared" si="1387"/>
        <v>1</v>
      </c>
      <c r="O3305" s="11" t="s">
        <v>1702</v>
      </c>
      <c r="P3305" s="16" t="str">
        <f t="shared" si="1388"/>
        <v>20-Feb-1909</v>
      </c>
      <c r="R3305" s="16" t="str">
        <f t="shared" si="1384"/>
        <v>x</v>
      </c>
      <c r="S3305" s="16" t="str">
        <f t="shared" si="1384"/>
        <v>x</v>
      </c>
      <c r="T3305" s="11"/>
      <c r="U3305" s="46" t="str">
        <f t="shared" si="1367"/>
        <v/>
      </c>
      <c r="V3305" s="46">
        <f t="shared" si="1367"/>
        <v>8</v>
      </c>
      <c r="W3305" s="46" t="str">
        <f t="shared" si="1367"/>
        <v/>
      </c>
      <c r="X3305" s="46" t="str">
        <f t="shared" si="1367"/>
        <v/>
      </c>
    </row>
    <row r="3306" spans="2:24" x14ac:dyDescent="0.25">
      <c r="B3306" s="11" t="str">
        <f t="shared" ref="B3306:B3311" si="1389">CONCATENATE("LSVO","-",LEFT(P3306,2),UPPER(MID(P3306,4,3)),RIGHT(P3306,4))</f>
        <v>LSVO-21MAR1909</v>
      </c>
      <c r="C3306" s="11" t="s">
        <v>1359</v>
      </c>
      <c r="D3306" s="11" t="s">
        <v>1699</v>
      </c>
      <c r="E3306" s="39" t="s">
        <v>933</v>
      </c>
      <c r="F3306" s="11" t="s">
        <v>1700</v>
      </c>
      <c r="G3306" s="39" t="s">
        <v>1477</v>
      </c>
      <c r="H3306" s="7">
        <v>0</v>
      </c>
      <c r="I3306" s="7">
        <v>0</v>
      </c>
      <c r="J3306" s="17">
        <v>11</v>
      </c>
      <c r="K3306" s="17"/>
      <c r="L3306" s="7">
        <f t="shared" ref="L3306:L3311" si="1390">SUM(H3306:K3306)</f>
        <v>11</v>
      </c>
      <c r="M3306" s="8">
        <v>1</v>
      </c>
      <c r="N3306" s="8">
        <f t="shared" ref="N3306:N3311" si="1391">IF(L3306&gt;0,1,"")</f>
        <v>1</v>
      </c>
      <c r="O3306" s="11" t="s">
        <v>1702</v>
      </c>
      <c r="P3306" s="16" t="str">
        <f t="shared" ref="P3306:P3311" si="1392">IF(LEN(G3306)=10,CONCATENATE("0",G3306),G3306)</f>
        <v>21-Mar-1909</v>
      </c>
      <c r="R3306" s="16" t="str">
        <f t="shared" si="1384"/>
        <v>x</v>
      </c>
      <c r="S3306" s="16" t="str">
        <f t="shared" si="1384"/>
        <v>x</v>
      </c>
      <c r="T3306" s="11"/>
      <c r="U3306" s="46" t="str">
        <f t="shared" si="1367"/>
        <v/>
      </c>
      <c r="V3306" s="46">
        <f t="shared" si="1367"/>
        <v>11</v>
      </c>
      <c r="W3306" s="46" t="str">
        <f t="shared" si="1367"/>
        <v/>
      </c>
      <c r="X3306" s="46" t="str">
        <f t="shared" si="1367"/>
        <v/>
      </c>
    </row>
    <row r="3307" spans="2:24" x14ac:dyDescent="0.25">
      <c r="B3307" s="11" t="str">
        <f t="shared" si="1389"/>
        <v>LSVO-17APR1909</v>
      </c>
      <c r="C3307" s="11" t="s">
        <v>1359</v>
      </c>
      <c r="D3307" s="11" t="s">
        <v>1699</v>
      </c>
      <c r="E3307" s="39" t="s">
        <v>1481</v>
      </c>
      <c r="F3307" s="11" t="s">
        <v>1700</v>
      </c>
      <c r="G3307" s="39" t="s">
        <v>862</v>
      </c>
      <c r="H3307" s="7">
        <v>0</v>
      </c>
      <c r="I3307" s="7">
        <v>0</v>
      </c>
      <c r="J3307" s="17">
        <v>0</v>
      </c>
      <c r="K3307" s="17"/>
      <c r="L3307" s="7">
        <f t="shared" si="1390"/>
        <v>0</v>
      </c>
      <c r="M3307" s="8">
        <v>1</v>
      </c>
      <c r="N3307" s="8" t="str">
        <f t="shared" si="1391"/>
        <v/>
      </c>
      <c r="O3307" s="11" t="s">
        <v>1702</v>
      </c>
      <c r="P3307" s="16" t="str">
        <f t="shared" si="1392"/>
        <v>17-Apr-1909</v>
      </c>
      <c r="R3307" s="16" t="str">
        <f t="shared" si="1384"/>
        <v/>
      </c>
      <c r="S3307" s="16" t="str">
        <f t="shared" si="1384"/>
        <v/>
      </c>
      <c r="T3307" s="11"/>
      <c r="U3307" s="46" t="str">
        <f t="shared" si="1367"/>
        <v/>
      </c>
      <c r="V3307" s="46">
        <f t="shared" si="1367"/>
        <v>0</v>
      </c>
      <c r="W3307" s="46" t="str">
        <f t="shared" si="1367"/>
        <v/>
      </c>
      <c r="X3307" s="46" t="str">
        <f t="shared" si="1367"/>
        <v/>
      </c>
    </row>
    <row r="3308" spans="2:24" x14ac:dyDescent="0.25">
      <c r="B3308" s="11" t="str">
        <f t="shared" si="1389"/>
        <v>LSVO-15MAY1909</v>
      </c>
      <c r="C3308" s="11" t="s">
        <v>1359</v>
      </c>
      <c r="D3308" s="11" t="s">
        <v>1699</v>
      </c>
      <c r="E3308" s="39" t="s">
        <v>1230</v>
      </c>
      <c r="F3308" s="11" t="s">
        <v>1700</v>
      </c>
      <c r="G3308" s="39" t="s">
        <v>864</v>
      </c>
      <c r="H3308" s="7">
        <v>0</v>
      </c>
      <c r="I3308" s="7">
        <v>0</v>
      </c>
      <c r="J3308" s="17">
        <v>19</v>
      </c>
      <c r="K3308" s="17"/>
      <c r="L3308" s="7">
        <f t="shared" si="1390"/>
        <v>19</v>
      </c>
      <c r="M3308" s="8">
        <v>1</v>
      </c>
      <c r="N3308" s="8">
        <f t="shared" si="1391"/>
        <v>1</v>
      </c>
      <c r="O3308" s="11" t="s">
        <v>1702</v>
      </c>
      <c r="P3308" s="16" t="str">
        <f t="shared" si="1392"/>
        <v>15-May-1909</v>
      </c>
      <c r="R3308" s="16" t="str">
        <f t="shared" si="1384"/>
        <v>x</v>
      </c>
      <c r="S3308" s="16" t="str">
        <f t="shared" si="1384"/>
        <v>x</v>
      </c>
      <c r="T3308" s="11"/>
      <c r="U3308" s="46" t="str">
        <f t="shared" si="1367"/>
        <v/>
      </c>
      <c r="V3308" s="46">
        <f t="shared" si="1367"/>
        <v>19</v>
      </c>
      <c r="W3308" s="46" t="str">
        <f t="shared" si="1367"/>
        <v/>
      </c>
      <c r="X3308" s="46" t="str">
        <f t="shared" si="1367"/>
        <v/>
      </c>
    </row>
    <row r="3309" spans="2:24" x14ac:dyDescent="0.25">
      <c r="B3309" s="11" t="str">
        <f t="shared" si="1389"/>
        <v>LSVO-14JUN1909</v>
      </c>
      <c r="C3309" s="11" t="s">
        <v>1359</v>
      </c>
      <c r="D3309" s="11" t="s">
        <v>1699</v>
      </c>
      <c r="E3309" s="39" t="s">
        <v>1482</v>
      </c>
      <c r="F3309" s="11" t="s">
        <v>1700</v>
      </c>
      <c r="G3309" s="39" t="s">
        <v>1478</v>
      </c>
      <c r="H3309" s="7">
        <v>0</v>
      </c>
      <c r="I3309" s="7">
        <v>0</v>
      </c>
      <c r="J3309" s="17">
        <v>14</v>
      </c>
      <c r="K3309" s="17"/>
      <c r="L3309" s="7">
        <f t="shared" si="1390"/>
        <v>14</v>
      </c>
      <c r="M3309" s="8">
        <v>1</v>
      </c>
      <c r="N3309" s="8">
        <f t="shared" si="1391"/>
        <v>1</v>
      </c>
      <c r="O3309" s="11" t="s">
        <v>1702</v>
      </c>
      <c r="P3309" s="16" t="str">
        <f t="shared" si="1392"/>
        <v>14-Jun-1909</v>
      </c>
      <c r="R3309" s="16" t="str">
        <f t="shared" si="1384"/>
        <v>x</v>
      </c>
      <c r="S3309" s="16" t="str">
        <f t="shared" si="1384"/>
        <v>x</v>
      </c>
      <c r="T3309" s="11"/>
      <c r="U3309" s="46" t="str">
        <f t="shared" si="1367"/>
        <v/>
      </c>
      <c r="V3309" s="46">
        <f t="shared" si="1367"/>
        <v>14</v>
      </c>
      <c r="W3309" s="46" t="str">
        <f t="shared" si="1367"/>
        <v/>
      </c>
      <c r="X3309" s="46" t="str">
        <f t="shared" si="1367"/>
        <v/>
      </c>
    </row>
    <row r="3310" spans="2:24" x14ac:dyDescent="0.25">
      <c r="B3310" s="11" t="str">
        <f t="shared" si="1389"/>
        <v>LSVO-03JUL1909</v>
      </c>
      <c r="C3310" s="11" t="s">
        <v>1359</v>
      </c>
      <c r="D3310" s="11" t="s">
        <v>1699</v>
      </c>
      <c r="E3310" s="39" t="s">
        <v>1232</v>
      </c>
      <c r="F3310" s="11" t="s">
        <v>1700</v>
      </c>
      <c r="G3310" s="39" t="s">
        <v>1839</v>
      </c>
      <c r="H3310" s="7">
        <v>0</v>
      </c>
      <c r="I3310" s="7">
        <v>0</v>
      </c>
      <c r="J3310" s="17">
        <v>70</v>
      </c>
      <c r="K3310" s="17"/>
      <c r="L3310" s="7">
        <f t="shared" si="1390"/>
        <v>70</v>
      </c>
      <c r="M3310" s="8">
        <v>1</v>
      </c>
      <c r="N3310" s="8">
        <f t="shared" si="1391"/>
        <v>1</v>
      </c>
      <c r="O3310" s="11" t="s">
        <v>1702</v>
      </c>
      <c r="P3310" s="16" t="str">
        <f t="shared" si="1392"/>
        <v>03-Jul-1909</v>
      </c>
      <c r="R3310" s="16" t="str">
        <f t="shared" si="1384"/>
        <v>x</v>
      </c>
      <c r="S3310" s="16" t="str">
        <f t="shared" si="1384"/>
        <v>x</v>
      </c>
      <c r="T3310" s="11"/>
      <c r="U3310" s="46" t="str">
        <f t="shared" si="1367"/>
        <v/>
      </c>
      <c r="V3310" s="46">
        <f t="shared" si="1367"/>
        <v>70</v>
      </c>
      <c r="W3310" s="46" t="str">
        <f t="shared" si="1367"/>
        <v/>
      </c>
      <c r="X3310" s="46" t="str">
        <f t="shared" si="1367"/>
        <v/>
      </c>
    </row>
    <row r="3311" spans="2:24" x14ac:dyDescent="0.25">
      <c r="B3311" s="11" t="str">
        <f t="shared" si="1389"/>
        <v>LSVO-31JUL1909</v>
      </c>
      <c r="C3311" s="11" t="s">
        <v>1359</v>
      </c>
      <c r="D3311" s="11" t="s">
        <v>1699</v>
      </c>
      <c r="E3311" s="39" t="s">
        <v>1483</v>
      </c>
      <c r="F3311" s="11" t="s">
        <v>1700</v>
      </c>
      <c r="G3311" s="39" t="s">
        <v>1841</v>
      </c>
      <c r="H3311" s="7">
        <v>0</v>
      </c>
      <c r="I3311" s="7">
        <v>0</v>
      </c>
      <c r="J3311" s="17">
        <v>21</v>
      </c>
      <c r="K3311" s="17"/>
      <c r="L3311" s="7">
        <f t="shared" si="1390"/>
        <v>21</v>
      </c>
      <c r="M3311" s="8">
        <v>1</v>
      </c>
      <c r="N3311" s="8">
        <f t="shared" si="1391"/>
        <v>1</v>
      </c>
      <c r="O3311" s="11" t="s">
        <v>1702</v>
      </c>
      <c r="P3311" s="16" t="str">
        <f t="shared" si="1392"/>
        <v>31-Jul-1909</v>
      </c>
      <c r="R3311" s="16" t="str">
        <f t="shared" si="1384"/>
        <v>x</v>
      </c>
      <c r="S3311" s="16" t="str">
        <f t="shared" si="1384"/>
        <v>x</v>
      </c>
      <c r="T3311" s="11"/>
      <c r="U3311" s="46" t="str">
        <f t="shared" si="1367"/>
        <v/>
      </c>
      <c r="V3311" s="46">
        <f t="shared" si="1367"/>
        <v>21</v>
      </c>
      <c r="W3311" s="46" t="str">
        <f t="shared" si="1367"/>
        <v/>
      </c>
      <c r="X3311" s="46" t="str">
        <f>IF($O3311=X$5,$L3311,"")</f>
        <v/>
      </c>
    </row>
    <row r="3312" spans="2:24" x14ac:dyDescent="0.25">
      <c r="B3312" s="11" t="str">
        <f t="shared" si="1385"/>
        <v>LSVO-11SEP1909</v>
      </c>
      <c r="C3312" s="11" t="s">
        <v>1359</v>
      </c>
      <c r="D3312" s="11" t="s">
        <v>1699</v>
      </c>
      <c r="E3312" s="39" t="s">
        <v>1233</v>
      </c>
      <c r="F3312" s="11" t="s">
        <v>1700</v>
      </c>
      <c r="G3312" s="39" t="s">
        <v>1479</v>
      </c>
      <c r="I3312" s="7">
        <v>1</v>
      </c>
      <c r="J3312" s="17">
        <v>14</v>
      </c>
      <c r="K3312" s="17"/>
      <c r="L3312" s="7">
        <f t="shared" si="1386"/>
        <v>15</v>
      </c>
      <c r="M3312" s="8">
        <v>1</v>
      </c>
      <c r="N3312" s="8">
        <f t="shared" si="1387"/>
        <v>1</v>
      </c>
      <c r="O3312" s="11" t="s">
        <v>1702</v>
      </c>
      <c r="P3312" s="16" t="str">
        <f t="shared" si="1388"/>
        <v>11-Sep-1909</v>
      </c>
      <c r="R3312" s="16" t="str">
        <f t="shared" si="1384"/>
        <v>x</v>
      </c>
      <c r="S3312" s="16" t="str">
        <f t="shared" si="1384"/>
        <v>x</v>
      </c>
      <c r="T3312" s="11"/>
      <c r="U3312" s="46" t="str">
        <f t="shared" ref="U3312:X3375" si="1393">IF($O3312=U$5,$L3312,"")</f>
        <v/>
      </c>
      <c r="V3312" s="46">
        <f t="shared" si="1393"/>
        <v>15</v>
      </c>
      <c r="W3312" s="46" t="str">
        <f t="shared" si="1393"/>
        <v/>
      </c>
      <c r="X3312" s="46" t="str">
        <f t="shared" si="1393"/>
        <v/>
      </c>
    </row>
    <row r="3313" spans="2:24" x14ac:dyDescent="0.25">
      <c r="B3313" s="11" t="str">
        <f t="shared" si="1385"/>
        <v>LSVO-09OCT1909</v>
      </c>
      <c r="C3313" s="11" t="s">
        <v>1359</v>
      </c>
      <c r="D3313" s="11" t="s">
        <v>1699</v>
      </c>
      <c r="E3313" s="39" t="s">
        <v>1484</v>
      </c>
      <c r="F3313" s="11" t="s">
        <v>1700</v>
      </c>
      <c r="G3313" s="39" t="s">
        <v>866</v>
      </c>
      <c r="H3313" s="7">
        <v>0</v>
      </c>
      <c r="I3313" s="7">
        <v>0</v>
      </c>
      <c r="J3313" s="17">
        <v>0</v>
      </c>
      <c r="K3313" s="17"/>
      <c r="L3313" s="7">
        <f t="shared" si="1386"/>
        <v>0</v>
      </c>
      <c r="M3313" s="8">
        <v>1</v>
      </c>
      <c r="N3313" s="8" t="str">
        <f t="shared" si="1387"/>
        <v/>
      </c>
      <c r="O3313" s="11" t="s">
        <v>1702</v>
      </c>
      <c r="P3313" s="16" t="str">
        <f t="shared" si="1388"/>
        <v>09-Oct-1909</v>
      </c>
      <c r="R3313" s="16" t="str">
        <f t="shared" si="1384"/>
        <v/>
      </c>
      <c r="S3313" s="16" t="str">
        <f t="shared" si="1384"/>
        <v/>
      </c>
      <c r="T3313" s="11"/>
      <c r="U3313" s="46" t="str">
        <f t="shared" si="1393"/>
        <v/>
      </c>
      <c r="V3313" s="46">
        <f t="shared" si="1393"/>
        <v>0</v>
      </c>
      <c r="W3313" s="46" t="str">
        <f t="shared" si="1393"/>
        <v/>
      </c>
      <c r="X3313" s="46" t="str">
        <f t="shared" si="1393"/>
        <v/>
      </c>
    </row>
    <row r="3314" spans="2:24" x14ac:dyDescent="0.25">
      <c r="B3314" s="11" t="str">
        <f t="shared" si="1385"/>
        <v>LSVO-08NOV1909</v>
      </c>
      <c r="C3314" s="11" t="s">
        <v>1359</v>
      </c>
      <c r="D3314" s="11" t="s">
        <v>1699</v>
      </c>
      <c r="E3314" s="39" t="s">
        <v>1486</v>
      </c>
      <c r="F3314" s="11" t="s">
        <v>1700</v>
      </c>
      <c r="G3314" s="39" t="s">
        <v>1485</v>
      </c>
      <c r="H3314" s="7">
        <v>0</v>
      </c>
      <c r="I3314" s="7">
        <v>0</v>
      </c>
      <c r="J3314" s="17">
        <v>0</v>
      </c>
      <c r="K3314" s="17"/>
      <c r="L3314" s="7">
        <f t="shared" si="1386"/>
        <v>0</v>
      </c>
      <c r="M3314" s="8">
        <v>1</v>
      </c>
      <c r="N3314" s="8" t="str">
        <f t="shared" si="1387"/>
        <v/>
      </c>
      <c r="O3314" s="11" t="s">
        <v>1702</v>
      </c>
      <c r="P3314" s="16" t="str">
        <f t="shared" si="1388"/>
        <v>08-Nov-1909</v>
      </c>
      <c r="R3314" s="16" t="str">
        <f t="shared" si="1384"/>
        <v/>
      </c>
      <c r="S3314" s="16" t="str">
        <f t="shared" si="1384"/>
        <v/>
      </c>
      <c r="T3314" s="11"/>
      <c r="U3314" s="46" t="str">
        <f t="shared" si="1393"/>
        <v/>
      </c>
      <c r="V3314" s="46">
        <f t="shared" si="1393"/>
        <v>0</v>
      </c>
      <c r="W3314" s="46" t="str">
        <f t="shared" si="1393"/>
        <v/>
      </c>
      <c r="X3314" s="46" t="str">
        <f t="shared" si="1393"/>
        <v/>
      </c>
    </row>
    <row r="3315" spans="2:24" x14ac:dyDescent="0.25">
      <c r="B3315" s="11" t="str">
        <f>CONCATENATE("LSVO","-",LEFT(P3315,2),UPPER(MID(P3315,4,3)),RIGHT(P3315,4))</f>
        <v>LSVO-09JAN1910</v>
      </c>
      <c r="C3315" s="11" t="s">
        <v>1359</v>
      </c>
      <c r="D3315" s="11" t="s">
        <v>1699</v>
      </c>
      <c r="E3315" s="39" t="s">
        <v>1488</v>
      </c>
      <c r="F3315" s="11" t="s">
        <v>1700</v>
      </c>
      <c r="G3315" s="39" t="s">
        <v>1487</v>
      </c>
      <c r="H3315" s="7">
        <v>0</v>
      </c>
      <c r="I3315" s="7">
        <v>0</v>
      </c>
      <c r="J3315" s="17">
        <v>36</v>
      </c>
      <c r="K3315" s="17"/>
      <c r="L3315" s="7">
        <f>SUM(H3315:K3315)</f>
        <v>36</v>
      </c>
      <c r="M3315" s="8">
        <v>1</v>
      </c>
      <c r="N3315" s="8">
        <f>IF(L3315&gt;0,1,"")</f>
        <v>1</v>
      </c>
      <c r="O3315" s="11" t="s">
        <v>1702</v>
      </c>
      <c r="P3315" s="16" t="str">
        <f>IF(LEN(G3315)=10,CONCATENATE("0",G3315),G3315)</f>
        <v>09-Jan-1910</v>
      </c>
      <c r="R3315" s="16" t="str">
        <f t="shared" si="1384"/>
        <v>x</v>
      </c>
      <c r="S3315" s="16" t="str">
        <f t="shared" si="1384"/>
        <v>x</v>
      </c>
      <c r="T3315" s="11"/>
      <c r="U3315" s="46" t="str">
        <f t="shared" si="1393"/>
        <v/>
      </c>
      <c r="V3315" s="46">
        <f t="shared" si="1393"/>
        <v>36</v>
      </c>
      <c r="W3315" s="46" t="str">
        <f t="shared" si="1393"/>
        <v/>
      </c>
      <c r="X3315" s="46" t="str">
        <f t="shared" si="1393"/>
        <v/>
      </c>
    </row>
    <row r="3316" spans="2:24" x14ac:dyDescent="0.25">
      <c r="B3316" s="11" t="str">
        <f>CONCATENATE("LSVO","-",LEFT(P3316,2),UPPER(MID(P3316,4,3)),RIGHT(P3316,4))</f>
        <v>LSVO-05FEB1910</v>
      </c>
      <c r="C3316" s="11" t="s">
        <v>1359</v>
      </c>
      <c r="D3316" s="11" t="s">
        <v>1699</v>
      </c>
      <c r="E3316" s="39" t="s">
        <v>1496</v>
      </c>
      <c r="F3316" s="11" t="s">
        <v>1700</v>
      </c>
      <c r="G3316" s="39" t="s">
        <v>1247</v>
      </c>
      <c r="H3316" s="7">
        <v>0</v>
      </c>
      <c r="I3316" s="7">
        <v>0</v>
      </c>
      <c r="J3316" s="17">
        <v>23</v>
      </c>
      <c r="K3316" s="17"/>
      <c r="L3316" s="7">
        <f>SUM(H3316:K3316)</f>
        <v>23</v>
      </c>
      <c r="M3316" s="8">
        <v>1</v>
      </c>
      <c r="N3316" s="8">
        <f>IF(L3316&gt;0,1,"")</f>
        <v>1</v>
      </c>
      <c r="O3316" s="11" t="s">
        <v>1702</v>
      </c>
      <c r="P3316" s="16" t="str">
        <f>IF(LEN(G3316)=10,CONCATENATE("0",G3316),G3316)</f>
        <v>05-Feb-1910</v>
      </c>
      <c r="R3316" s="16" t="str">
        <f t="shared" si="1384"/>
        <v>x</v>
      </c>
      <c r="S3316" s="16" t="str">
        <f t="shared" si="1384"/>
        <v>x</v>
      </c>
      <c r="T3316" s="11"/>
      <c r="U3316" s="46" t="str">
        <f t="shared" si="1393"/>
        <v/>
      </c>
      <c r="V3316" s="46">
        <f t="shared" si="1393"/>
        <v>23</v>
      </c>
      <c r="W3316" s="46" t="str">
        <f t="shared" si="1393"/>
        <v/>
      </c>
      <c r="X3316" s="46" t="str">
        <f t="shared" si="1393"/>
        <v/>
      </c>
    </row>
    <row r="3317" spans="2:24" x14ac:dyDescent="0.25">
      <c r="B3317" s="11" t="str">
        <f>CONCATENATE("LSVO","-",LEFT(P3317,2),UPPER(MID(P3317,4,3)),RIGHT(P3317,4))</f>
        <v>LSVO-28FEB1910</v>
      </c>
      <c r="C3317" s="11" t="s">
        <v>1359</v>
      </c>
      <c r="D3317" s="11" t="s">
        <v>1699</v>
      </c>
      <c r="E3317" s="39" t="s">
        <v>946</v>
      </c>
      <c r="F3317" s="11" t="s">
        <v>1700</v>
      </c>
      <c r="G3317" s="39" t="s">
        <v>1489</v>
      </c>
      <c r="H3317" s="7">
        <v>0</v>
      </c>
      <c r="I3317" s="7">
        <v>0</v>
      </c>
      <c r="J3317" s="17">
        <v>9</v>
      </c>
      <c r="K3317" s="17"/>
      <c r="L3317" s="7">
        <f>SUM(H3317:K3317)</f>
        <v>9</v>
      </c>
      <c r="M3317" s="8">
        <v>1</v>
      </c>
      <c r="N3317" s="8">
        <f>IF(L3317&gt;0,1,"")</f>
        <v>1</v>
      </c>
      <c r="O3317" s="11" t="s">
        <v>1702</v>
      </c>
      <c r="P3317" s="16" t="str">
        <f>IF(LEN(G3317)=10,CONCATENATE("0",G3317),G3317)</f>
        <v>28-Feb-1910</v>
      </c>
      <c r="R3317" s="16" t="str">
        <f t="shared" ref="R3317:S3340" si="1394">IF($L3317&gt;0,"x","")</f>
        <v>x</v>
      </c>
      <c r="S3317" s="16" t="str">
        <f t="shared" si="1394"/>
        <v>x</v>
      </c>
      <c r="T3317" s="11"/>
      <c r="U3317" s="46" t="str">
        <f t="shared" si="1393"/>
        <v/>
      </c>
      <c r="V3317" s="46">
        <f t="shared" si="1393"/>
        <v>9</v>
      </c>
      <c r="W3317" s="46" t="str">
        <f t="shared" si="1393"/>
        <v/>
      </c>
      <c r="X3317" s="46" t="str">
        <f t="shared" si="1393"/>
        <v/>
      </c>
    </row>
    <row r="3318" spans="2:24" x14ac:dyDescent="0.25">
      <c r="B3318" s="11" t="str">
        <f t="shared" ref="B3318:B3332" si="1395">CONCATENATE("LSVO","-",LEFT(P3318,2),UPPER(MID(P3318,4,3)),RIGHT(P3318,4))</f>
        <v>LSVO-26MAR1910</v>
      </c>
      <c r="C3318" s="11" t="s">
        <v>1359</v>
      </c>
      <c r="D3318" s="11" t="s">
        <v>1699</v>
      </c>
      <c r="E3318" s="39" t="s">
        <v>1497</v>
      </c>
      <c r="F3318" s="11" t="s">
        <v>1700</v>
      </c>
      <c r="G3318" s="39" t="s">
        <v>1490</v>
      </c>
      <c r="H3318" s="7">
        <v>0</v>
      </c>
      <c r="I3318" s="7">
        <v>0</v>
      </c>
      <c r="J3318" s="17">
        <v>0</v>
      </c>
      <c r="K3318" s="17"/>
      <c r="L3318" s="7">
        <f t="shared" ref="L3318:L3332" si="1396">SUM(H3318:K3318)</f>
        <v>0</v>
      </c>
      <c r="M3318" s="8">
        <v>1</v>
      </c>
      <c r="N3318" s="8" t="str">
        <f t="shared" ref="N3318:N3332" si="1397">IF(L3318&gt;0,1,"")</f>
        <v/>
      </c>
      <c r="O3318" s="11" t="s">
        <v>1702</v>
      </c>
      <c r="P3318" s="16" t="str">
        <f t="shared" ref="P3318:P3332" si="1398">IF(LEN(G3318)=10,CONCATENATE("0",G3318),G3318)</f>
        <v>26-Mar-1910</v>
      </c>
      <c r="R3318" s="16" t="str">
        <f t="shared" si="1394"/>
        <v/>
      </c>
      <c r="S3318" s="16" t="str">
        <f t="shared" si="1394"/>
        <v/>
      </c>
      <c r="T3318" s="11"/>
      <c r="U3318" s="46" t="str">
        <f t="shared" si="1393"/>
        <v/>
      </c>
      <c r="V3318" s="46">
        <f t="shared" si="1393"/>
        <v>0</v>
      </c>
      <c r="W3318" s="46" t="str">
        <f t="shared" si="1393"/>
        <v/>
      </c>
      <c r="X3318" s="46" t="str">
        <f t="shared" si="1393"/>
        <v/>
      </c>
    </row>
    <row r="3319" spans="2:24" x14ac:dyDescent="0.25">
      <c r="B3319" s="11" t="str">
        <f t="shared" si="1395"/>
        <v>LSVO-07MAY1910</v>
      </c>
      <c r="C3319" s="11" t="s">
        <v>1359</v>
      </c>
      <c r="D3319" s="11" t="s">
        <v>1699</v>
      </c>
      <c r="E3319" s="39" t="s">
        <v>1498</v>
      </c>
      <c r="F3319" s="11" t="s">
        <v>1700</v>
      </c>
      <c r="G3319" s="39" t="s">
        <v>1491</v>
      </c>
      <c r="I3319" s="7">
        <v>0</v>
      </c>
      <c r="J3319" s="17">
        <v>13</v>
      </c>
      <c r="K3319" s="17"/>
      <c r="L3319" s="7">
        <f t="shared" si="1396"/>
        <v>13</v>
      </c>
      <c r="M3319" s="8">
        <v>1</v>
      </c>
      <c r="N3319" s="8">
        <f t="shared" si="1397"/>
        <v>1</v>
      </c>
      <c r="O3319" s="11" t="s">
        <v>1702</v>
      </c>
      <c r="P3319" s="16" t="str">
        <f t="shared" si="1398"/>
        <v>07-May-1910</v>
      </c>
      <c r="R3319" s="16" t="str">
        <f t="shared" si="1394"/>
        <v>x</v>
      </c>
      <c r="S3319" s="16" t="str">
        <f t="shared" si="1394"/>
        <v>x</v>
      </c>
      <c r="T3319" s="11"/>
      <c r="U3319" s="46" t="str">
        <f t="shared" si="1393"/>
        <v/>
      </c>
      <c r="V3319" s="46">
        <f t="shared" si="1393"/>
        <v>13</v>
      </c>
      <c r="W3319" s="46" t="str">
        <f t="shared" si="1393"/>
        <v/>
      </c>
      <c r="X3319" s="46" t="str">
        <f t="shared" si="1393"/>
        <v/>
      </c>
    </row>
    <row r="3320" spans="2:24" x14ac:dyDescent="0.25">
      <c r="B3320" s="11" t="str">
        <f t="shared" si="1395"/>
        <v>LSVO-04JUN1910</v>
      </c>
      <c r="C3320" s="11" t="s">
        <v>1359</v>
      </c>
      <c r="D3320" s="11" t="s">
        <v>1699</v>
      </c>
      <c r="E3320" s="39" t="s">
        <v>1499</v>
      </c>
      <c r="F3320" s="11" t="s">
        <v>1700</v>
      </c>
      <c r="G3320" s="39" t="s">
        <v>1250</v>
      </c>
      <c r="H3320" s="7">
        <v>0</v>
      </c>
      <c r="I3320" s="7">
        <v>0</v>
      </c>
      <c r="J3320" s="17">
        <v>10</v>
      </c>
      <c r="K3320" s="17"/>
      <c r="L3320" s="7">
        <f t="shared" si="1396"/>
        <v>10</v>
      </c>
      <c r="M3320" s="8">
        <v>1</v>
      </c>
      <c r="N3320" s="8">
        <f t="shared" si="1397"/>
        <v>1</v>
      </c>
      <c r="O3320" s="11" t="s">
        <v>1702</v>
      </c>
      <c r="P3320" s="16" t="str">
        <f t="shared" si="1398"/>
        <v>04-Jun-1910</v>
      </c>
      <c r="R3320" s="16" t="str">
        <f t="shared" si="1394"/>
        <v>x</v>
      </c>
      <c r="S3320" s="16" t="str">
        <f t="shared" si="1394"/>
        <v>x</v>
      </c>
      <c r="T3320" s="11"/>
      <c r="U3320" s="46" t="str">
        <f t="shared" si="1393"/>
        <v/>
      </c>
      <c r="V3320" s="46">
        <f t="shared" si="1393"/>
        <v>10</v>
      </c>
      <c r="W3320" s="46" t="str">
        <f t="shared" si="1393"/>
        <v/>
      </c>
      <c r="X3320" s="46" t="str">
        <f t="shared" si="1393"/>
        <v/>
      </c>
    </row>
    <row r="3321" spans="2:24" x14ac:dyDescent="0.25">
      <c r="B3321" s="11" t="str">
        <f t="shared" si="1395"/>
        <v>LSVO-25JUN1910</v>
      </c>
      <c r="C3321" s="11" t="s">
        <v>1359</v>
      </c>
      <c r="D3321" s="11" t="s">
        <v>1699</v>
      </c>
      <c r="E3321" s="39" t="s">
        <v>1500</v>
      </c>
      <c r="F3321" s="11" t="s">
        <v>1700</v>
      </c>
      <c r="G3321" s="39" t="s">
        <v>1251</v>
      </c>
      <c r="H3321" s="7">
        <v>0</v>
      </c>
      <c r="I3321" s="7">
        <v>0</v>
      </c>
      <c r="J3321" s="17">
        <v>26</v>
      </c>
      <c r="K3321" s="17"/>
      <c r="L3321" s="7">
        <f t="shared" si="1396"/>
        <v>26</v>
      </c>
      <c r="M3321" s="8">
        <v>1</v>
      </c>
      <c r="N3321" s="8">
        <f t="shared" si="1397"/>
        <v>1</v>
      </c>
      <c r="O3321" s="11" t="s">
        <v>1702</v>
      </c>
      <c r="P3321" s="16" t="str">
        <f t="shared" si="1398"/>
        <v>25-Jun-1910</v>
      </c>
      <c r="R3321" s="16" t="str">
        <f t="shared" si="1394"/>
        <v>x</v>
      </c>
      <c r="S3321" s="16" t="str">
        <f t="shared" si="1394"/>
        <v>x</v>
      </c>
      <c r="T3321" s="11"/>
      <c r="U3321" s="46" t="str">
        <f t="shared" si="1393"/>
        <v/>
      </c>
      <c r="V3321" s="46">
        <f t="shared" si="1393"/>
        <v>26</v>
      </c>
      <c r="W3321" s="46" t="str">
        <f t="shared" si="1393"/>
        <v/>
      </c>
      <c r="X3321" s="46" t="str">
        <f t="shared" si="1393"/>
        <v/>
      </c>
    </row>
    <row r="3322" spans="2:24" x14ac:dyDescent="0.25">
      <c r="B3322" s="11" t="str">
        <f t="shared" si="1395"/>
        <v>LSVO-23JUL1910</v>
      </c>
      <c r="C3322" s="11" t="s">
        <v>1359</v>
      </c>
      <c r="D3322" s="11" t="s">
        <v>1699</v>
      </c>
      <c r="E3322" s="39" t="s">
        <v>1501</v>
      </c>
      <c r="F3322" s="11" t="s">
        <v>1700</v>
      </c>
      <c r="G3322" s="39" t="s">
        <v>1861</v>
      </c>
      <c r="H3322" s="7">
        <v>0</v>
      </c>
      <c r="I3322" s="7">
        <v>0</v>
      </c>
      <c r="J3322" s="17">
        <v>11</v>
      </c>
      <c r="K3322" s="17"/>
      <c r="L3322" s="7">
        <f t="shared" si="1396"/>
        <v>11</v>
      </c>
      <c r="M3322" s="8">
        <v>1</v>
      </c>
      <c r="N3322" s="8">
        <f t="shared" si="1397"/>
        <v>1</v>
      </c>
      <c r="O3322" s="11" t="s">
        <v>1702</v>
      </c>
      <c r="P3322" s="16" t="str">
        <f t="shared" si="1398"/>
        <v>23-Jul-1910</v>
      </c>
      <c r="R3322" s="16" t="str">
        <f t="shared" si="1394"/>
        <v>x</v>
      </c>
      <c r="S3322" s="16" t="str">
        <f t="shared" si="1394"/>
        <v>x</v>
      </c>
      <c r="T3322" s="11"/>
      <c r="U3322" s="46" t="str">
        <f t="shared" si="1393"/>
        <v/>
      </c>
      <c r="V3322" s="46">
        <f t="shared" si="1393"/>
        <v>11</v>
      </c>
      <c r="W3322" s="46" t="str">
        <f t="shared" si="1393"/>
        <v/>
      </c>
      <c r="X3322" s="46" t="str">
        <f t="shared" si="1393"/>
        <v/>
      </c>
    </row>
    <row r="3323" spans="2:24" x14ac:dyDescent="0.25">
      <c r="B3323" s="11" t="str">
        <f t="shared" si="1395"/>
        <v>LSVO-10SEP1910</v>
      </c>
      <c r="C3323" s="11" t="s">
        <v>1359</v>
      </c>
      <c r="D3323" s="11" t="s">
        <v>1699</v>
      </c>
      <c r="E3323" s="39" t="s">
        <v>1502</v>
      </c>
      <c r="F3323" s="11" t="s">
        <v>1700</v>
      </c>
      <c r="G3323" s="39" t="s">
        <v>1492</v>
      </c>
      <c r="H3323" s="7">
        <v>0</v>
      </c>
      <c r="I3323" s="7">
        <v>0</v>
      </c>
      <c r="J3323" s="17">
        <v>20</v>
      </c>
      <c r="K3323" s="17"/>
      <c r="L3323" s="7">
        <f t="shared" si="1396"/>
        <v>20</v>
      </c>
      <c r="M3323" s="8">
        <v>1</v>
      </c>
      <c r="N3323" s="8">
        <f t="shared" si="1397"/>
        <v>1</v>
      </c>
      <c r="O3323" s="11" t="s">
        <v>1702</v>
      </c>
      <c r="P3323" s="16" t="str">
        <f t="shared" si="1398"/>
        <v>10-Sep-1910</v>
      </c>
      <c r="R3323" s="16" t="str">
        <f t="shared" si="1394"/>
        <v>x</v>
      </c>
      <c r="S3323" s="16" t="str">
        <f t="shared" si="1394"/>
        <v>x</v>
      </c>
      <c r="T3323" s="11"/>
      <c r="U3323" s="46" t="str">
        <f t="shared" si="1393"/>
        <v/>
      </c>
      <c r="V3323" s="46">
        <f t="shared" si="1393"/>
        <v>20</v>
      </c>
      <c r="W3323" s="46" t="str">
        <f t="shared" si="1393"/>
        <v/>
      </c>
      <c r="X3323" s="46" t="str">
        <f t="shared" si="1393"/>
        <v/>
      </c>
    </row>
    <row r="3324" spans="2:24" x14ac:dyDescent="0.25">
      <c r="B3324" s="11" t="str">
        <f t="shared" si="1395"/>
        <v>LSVO-08OCT1910</v>
      </c>
      <c r="C3324" s="11" t="s">
        <v>1359</v>
      </c>
      <c r="D3324" s="11" t="s">
        <v>1699</v>
      </c>
      <c r="E3324" s="39" t="s">
        <v>1245</v>
      </c>
      <c r="F3324" s="11" t="s">
        <v>1700</v>
      </c>
      <c r="G3324" s="39" t="s">
        <v>1493</v>
      </c>
      <c r="H3324" s="7">
        <v>2</v>
      </c>
      <c r="I3324" s="7">
        <v>0</v>
      </c>
      <c r="J3324" s="17">
        <v>13</v>
      </c>
      <c r="K3324" s="17"/>
      <c r="L3324" s="7">
        <f t="shared" si="1396"/>
        <v>15</v>
      </c>
      <c r="M3324" s="8">
        <v>1</v>
      </c>
      <c r="N3324" s="8">
        <f t="shared" si="1397"/>
        <v>1</v>
      </c>
      <c r="O3324" s="11" t="s">
        <v>1702</v>
      </c>
      <c r="P3324" s="16" t="str">
        <f t="shared" si="1398"/>
        <v>08-Oct-1910</v>
      </c>
      <c r="R3324" s="16" t="str">
        <f t="shared" si="1394"/>
        <v>x</v>
      </c>
      <c r="S3324" s="16" t="str">
        <f t="shared" si="1394"/>
        <v>x</v>
      </c>
      <c r="T3324" s="11"/>
      <c r="U3324" s="46" t="str">
        <f t="shared" si="1393"/>
        <v/>
      </c>
      <c r="V3324" s="46">
        <f t="shared" si="1393"/>
        <v>15</v>
      </c>
      <c r="W3324" s="46" t="str">
        <f t="shared" si="1393"/>
        <v/>
      </c>
      <c r="X3324" s="46" t="str">
        <f t="shared" si="1393"/>
        <v/>
      </c>
    </row>
    <row r="3325" spans="2:24" x14ac:dyDescent="0.25">
      <c r="B3325" s="11" t="str">
        <f t="shared" si="1395"/>
        <v>LSVO-05NOV1910</v>
      </c>
      <c r="C3325" s="11" t="s">
        <v>1359</v>
      </c>
      <c r="D3325" s="11" t="s">
        <v>1699</v>
      </c>
      <c r="E3325" s="39" t="s">
        <v>1246</v>
      </c>
      <c r="F3325" s="11" t="s">
        <v>1700</v>
      </c>
      <c r="G3325" s="39" t="s">
        <v>1494</v>
      </c>
      <c r="H3325" s="7">
        <v>0</v>
      </c>
      <c r="I3325" s="7">
        <v>0</v>
      </c>
      <c r="J3325" s="17">
        <v>0</v>
      </c>
      <c r="K3325" s="17"/>
      <c r="L3325" s="7">
        <f t="shared" si="1396"/>
        <v>0</v>
      </c>
      <c r="M3325" s="8">
        <v>1</v>
      </c>
      <c r="N3325" s="8" t="str">
        <f t="shared" si="1397"/>
        <v/>
      </c>
      <c r="O3325" s="11" t="s">
        <v>1702</v>
      </c>
      <c r="P3325" s="16" t="str">
        <f t="shared" si="1398"/>
        <v>05-Nov-1910</v>
      </c>
      <c r="R3325" s="16" t="str">
        <f t="shared" si="1394"/>
        <v/>
      </c>
      <c r="S3325" s="16" t="str">
        <f t="shared" si="1394"/>
        <v/>
      </c>
      <c r="T3325" s="11"/>
      <c r="U3325" s="46" t="str">
        <f t="shared" si="1393"/>
        <v/>
      </c>
      <c r="V3325" s="46">
        <f t="shared" si="1393"/>
        <v>0</v>
      </c>
      <c r="W3325" s="46" t="str">
        <f t="shared" si="1393"/>
        <v/>
      </c>
      <c r="X3325" s="46" t="str">
        <f t="shared" si="1393"/>
        <v/>
      </c>
    </row>
    <row r="3326" spans="2:24" x14ac:dyDescent="0.25">
      <c r="B3326" s="11" t="str">
        <f t="shared" si="1395"/>
        <v>LSVO-03DEC1910</v>
      </c>
      <c r="C3326" s="11" t="s">
        <v>1359</v>
      </c>
      <c r="D3326" s="11" t="s">
        <v>1699</v>
      </c>
      <c r="E3326" s="39" t="s">
        <v>1503</v>
      </c>
      <c r="F3326" s="11" t="s">
        <v>1700</v>
      </c>
      <c r="G3326" s="39" t="s">
        <v>1495</v>
      </c>
      <c r="H3326" s="7">
        <v>0</v>
      </c>
      <c r="I3326" s="7">
        <v>0</v>
      </c>
      <c r="J3326" s="17">
        <v>0</v>
      </c>
      <c r="K3326" s="17"/>
      <c r="L3326" s="7">
        <f t="shared" si="1396"/>
        <v>0</v>
      </c>
      <c r="M3326" s="8">
        <v>1</v>
      </c>
      <c r="N3326" s="8" t="str">
        <f t="shared" si="1397"/>
        <v/>
      </c>
      <c r="O3326" s="11" t="s">
        <v>1702</v>
      </c>
      <c r="P3326" s="16" t="str">
        <f t="shared" si="1398"/>
        <v>03-Dec-1910</v>
      </c>
      <c r="R3326" s="16" t="str">
        <f t="shared" si="1394"/>
        <v/>
      </c>
      <c r="S3326" s="16" t="str">
        <f t="shared" si="1394"/>
        <v/>
      </c>
      <c r="T3326" s="11"/>
      <c r="U3326" s="46" t="str">
        <f t="shared" si="1393"/>
        <v/>
      </c>
      <c r="V3326" s="46">
        <f t="shared" si="1393"/>
        <v>0</v>
      </c>
      <c r="W3326" s="46" t="str">
        <f t="shared" si="1393"/>
        <v/>
      </c>
      <c r="X3326" s="46" t="str">
        <f t="shared" si="1393"/>
        <v/>
      </c>
    </row>
    <row r="3327" spans="2:24" x14ac:dyDescent="0.25">
      <c r="B3327" s="11" t="str">
        <f t="shared" si="1395"/>
        <v>LSVO-07JAN1911</v>
      </c>
      <c r="C3327" s="11" t="s">
        <v>1359</v>
      </c>
      <c r="D3327" s="11" t="s">
        <v>1699</v>
      </c>
      <c r="E3327" s="39" t="s">
        <v>1514</v>
      </c>
      <c r="F3327" s="11" t="s">
        <v>1700</v>
      </c>
      <c r="G3327" s="39" t="s">
        <v>1264</v>
      </c>
      <c r="H3327" s="7">
        <v>0</v>
      </c>
      <c r="I3327" s="7">
        <v>5</v>
      </c>
      <c r="J3327" s="17">
        <v>23</v>
      </c>
      <c r="K3327" s="17"/>
      <c r="L3327" s="7">
        <f t="shared" si="1396"/>
        <v>28</v>
      </c>
      <c r="M3327" s="8">
        <v>1</v>
      </c>
      <c r="N3327" s="8">
        <f t="shared" si="1397"/>
        <v>1</v>
      </c>
      <c r="O3327" s="11" t="s">
        <v>1702</v>
      </c>
      <c r="P3327" s="16" t="str">
        <f t="shared" si="1398"/>
        <v>07-Jan-1911</v>
      </c>
      <c r="R3327" s="16" t="str">
        <f t="shared" si="1394"/>
        <v>x</v>
      </c>
      <c r="S3327" s="16" t="str">
        <f t="shared" si="1394"/>
        <v>x</v>
      </c>
      <c r="T3327" s="11"/>
      <c r="U3327" s="46" t="str">
        <f t="shared" si="1393"/>
        <v/>
      </c>
      <c r="V3327" s="46">
        <f t="shared" si="1393"/>
        <v>28</v>
      </c>
      <c r="W3327" s="46" t="str">
        <f t="shared" si="1393"/>
        <v/>
      </c>
      <c r="X3327" s="46" t="str">
        <f t="shared" si="1393"/>
        <v/>
      </c>
    </row>
    <row r="3328" spans="2:24" x14ac:dyDescent="0.25">
      <c r="B3328" s="11" t="str">
        <f t="shared" si="1395"/>
        <v>LSVO-29JAN1911</v>
      </c>
      <c r="C3328" s="11" t="s">
        <v>1359</v>
      </c>
      <c r="D3328" s="11" t="s">
        <v>1699</v>
      </c>
      <c r="E3328" s="39" t="s">
        <v>964</v>
      </c>
      <c r="F3328" s="11" t="s">
        <v>1700</v>
      </c>
      <c r="G3328" s="39" t="s">
        <v>1515</v>
      </c>
      <c r="H3328" s="7">
        <v>0</v>
      </c>
      <c r="I3328" s="7">
        <v>0</v>
      </c>
      <c r="J3328" s="17">
        <v>0</v>
      </c>
      <c r="K3328" s="17"/>
      <c r="L3328" s="7">
        <f t="shared" si="1396"/>
        <v>0</v>
      </c>
      <c r="M3328" s="8">
        <v>1</v>
      </c>
      <c r="N3328" s="8" t="str">
        <f t="shared" si="1397"/>
        <v/>
      </c>
      <c r="O3328" s="11" t="s">
        <v>1702</v>
      </c>
      <c r="P3328" s="16" t="str">
        <f t="shared" si="1398"/>
        <v>29-Jan-1911</v>
      </c>
      <c r="R3328" s="16" t="str">
        <f t="shared" si="1394"/>
        <v/>
      </c>
      <c r="S3328" s="16" t="str">
        <f t="shared" si="1394"/>
        <v/>
      </c>
      <c r="T3328" s="11"/>
      <c r="U3328" s="46" t="str">
        <f t="shared" si="1393"/>
        <v/>
      </c>
      <c r="V3328" s="46">
        <f t="shared" si="1393"/>
        <v>0</v>
      </c>
      <c r="W3328" s="46" t="str">
        <f t="shared" si="1393"/>
        <v/>
      </c>
      <c r="X3328" s="46" t="str">
        <f t="shared" si="1393"/>
        <v/>
      </c>
    </row>
    <row r="3329" spans="2:24" x14ac:dyDescent="0.25">
      <c r="B3329" s="11" t="str">
        <f t="shared" si="1395"/>
        <v>LSVO-25MAR1911</v>
      </c>
      <c r="C3329" s="11" t="s">
        <v>1359</v>
      </c>
      <c r="D3329" s="11" t="s">
        <v>1699</v>
      </c>
      <c r="E3329" s="39" t="s">
        <v>1516</v>
      </c>
      <c r="F3329" s="11" t="s">
        <v>1700</v>
      </c>
      <c r="G3329" s="39" t="s">
        <v>1504</v>
      </c>
      <c r="H3329" s="7">
        <v>0</v>
      </c>
      <c r="I3329" s="7">
        <v>0</v>
      </c>
      <c r="J3329" s="17">
        <v>0</v>
      </c>
      <c r="K3329" s="17"/>
      <c r="L3329" s="7">
        <f t="shared" si="1396"/>
        <v>0</v>
      </c>
      <c r="M3329" s="8">
        <v>1</v>
      </c>
      <c r="N3329" s="8" t="str">
        <f t="shared" si="1397"/>
        <v/>
      </c>
      <c r="O3329" s="11" t="s">
        <v>1702</v>
      </c>
      <c r="P3329" s="16" t="str">
        <f t="shared" si="1398"/>
        <v>25-Mar-1911</v>
      </c>
      <c r="R3329" s="16" t="str">
        <f t="shared" si="1394"/>
        <v/>
      </c>
      <c r="S3329" s="16" t="str">
        <f t="shared" si="1394"/>
        <v/>
      </c>
      <c r="T3329" s="11"/>
      <c r="U3329" s="46" t="str">
        <f t="shared" si="1393"/>
        <v/>
      </c>
      <c r="V3329" s="46">
        <f t="shared" si="1393"/>
        <v>0</v>
      </c>
      <c r="W3329" s="46" t="str">
        <f t="shared" si="1393"/>
        <v/>
      </c>
      <c r="X3329" s="46" t="str">
        <f t="shared" si="1393"/>
        <v/>
      </c>
    </row>
    <row r="3330" spans="2:24" x14ac:dyDescent="0.25">
      <c r="B3330" s="11" t="str">
        <f t="shared" si="1395"/>
        <v>LSVO-22APR1911</v>
      </c>
      <c r="C3330" s="11" t="s">
        <v>1359</v>
      </c>
      <c r="D3330" s="11" t="s">
        <v>1699</v>
      </c>
      <c r="E3330" s="39" t="s">
        <v>1517</v>
      </c>
      <c r="F3330" s="11" t="s">
        <v>1700</v>
      </c>
      <c r="G3330" s="39" t="s">
        <v>1505</v>
      </c>
      <c r="H3330" s="7">
        <v>0</v>
      </c>
      <c r="I3330" s="7">
        <v>0</v>
      </c>
      <c r="J3330" s="17">
        <v>0</v>
      </c>
      <c r="K3330" s="17"/>
      <c r="L3330" s="7">
        <f t="shared" si="1396"/>
        <v>0</v>
      </c>
      <c r="M3330" s="8">
        <v>1</v>
      </c>
      <c r="N3330" s="8" t="str">
        <f t="shared" si="1397"/>
        <v/>
      </c>
      <c r="O3330" s="11" t="s">
        <v>1702</v>
      </c>
      <c r="P3330" s="16" t="str">
        <f t="shared" si="1398"/>
        <v>22-Apr-1911</v>
      </c>
      <c r="R3330" s="16" t="str">
        <f t="shared" si="1394"/>
        <v/>
      </c>
      <c r="S3330" s="16" t="str">
        <f t="shared" si="1394"/>
        <v/>
      </c>
      <c r="T3330" s="11"/>
      <c r="U3330" s="46" t="str">
        <f t="shared" si="1393"/>
        <v/>
      </c>
      <c r="V3330" s="46">
        <f t="shared" si="1393"/>
        <v>0</v>
      </c>
      <c r="W3330" s="46" t="str">
        <f t="shared" si="1393"/>
        <v/>
      </c>
      <c r="X3330" s="46" t="str">
        <f t="shared" si="1393"/>
        <v/>
      </c>
    </row>
    <row r="3331" spans="2:24" x14ac:dyDescent="0.25">
      <c r="B3331" s="11" t="str">
        <f t="shared" si="1395"/>
        <v>LSVO-22MAY1911</v>
      </c>
      <c r="C3331" s="11" t="s">
        <v>1359</v>
      </c>
      <c r="D3331" s="11" t="s">
        <v>1699</v>
      </c>
      <c r="E3331" s="39" t="s">
        <v>1518</v>
      </c>
      <c r="F3331" s="11" t="s">
        <v>1700</v>
      </c>
      <c r="G3331" s="39" t="s">
        <v>1506</v>
      </c>
      <c r="H3331" s="7">
        <v>0</v>
      </c>
      <c r="I3331" s="7">
        <v>0</v>
      </c>
      <c r="J3331" s="17">
        <v>2</v>
      </c>
      <c r="K3331" s="17"/>
      <c r="L3331" s="7">
        <f t="shared" si="1396"/>
        <v>2</v>
      </c>
      <c r="M3331" s="8">
        <v>1</v>
      </c>
      <c r="N3331" s="8">
        <f t="shared" si="1397"/>
        <v>1</v>
      </c>
      <c r="O3331" s="11" t="s">
        <v>1702</v>
      </c>
      <c r="P3331" s="16" t="str">
        <f t="shared" si="1398"/>
        <v>22-May-1911</v>
      </c>
      <c r="R3331" s="16" t="str">
        <f t="shared" si="1394"/>
        <v>x</v>
      </c>
      <c r="S3331" s="16" t="str">
        <f t="shared" si="1394"/>
        <v>x</v>
      </c>
      <c r="T3331" s="11"/>
      <c r="U3331" s="46" t="str">
        <f t="shared" si="1393"/>
        <v/>
      </c>
      <c r="V3331" s="46">
        <f t="shared" si="1393"/>
        <v>2</v>
      </c>
      <c r="W3331" s="46" t="str">
        <f t="shared" si="1393"/>
        <v/>
      </c>
      <c r="X3331" s="46" t="str">
        <f t="shared" si="1393"/>
        <v/>
      </c>
    </row>
    <row r="3332" spans="2:24" x14ac:dyDescent="0.25">
      <c r="B3332" s="11" t="str">
        <f t="shared" si="1395"/>
        <v>LSVO-10JUN1911</v>
      </c>
      <c r="C3332" s="11" t="s">
        <v>1359</v>
      </c>
      <c r="D3332" s="11" t="s">
        <v>1699</v>
      </c>
      <c r="E3332" s="39" t="s">
        <v>1256</v>
      </c>
      <c r="F3332" s="11" t="s">
        <v>1700</v>
      </c>
      <c r="G3332" s="39" t="s">
        <v>972</v>
      </c>
      <c r="H3332" s="7">
        <v>0</v>
      </c>
      <c r="I3332" s="7">
        <v>1</v>
      </c>
      <c r="J3332" s="17">
        <v>17</v>
      </c>
      <c r="K3332" s="17"/>
      <c r="L3332" s="7">
        <f t="shared" si="1396"/>
        <v>18</v>
      </c>
      <c r="M3332" s="8">
        <v>1</v>
      </c>
      <c r="N3332" s="8">
        <f t="shared" si="1397"/>
        <v>1</v>
      </c>
      <c r="O3332" s="11" t="s">
        <v>1702</v>
      </c>
      <c r="P3332" s="16" t="str">
        <f t="shared" si="1398"/>
        <v>10-Jun-1911</v>
      </c>
      <c r="R3332" s="16" t="str">
        <f t="shared" si="1394"/>
        <v>x</v>
      </c>
      <c r="S3332" s="16" t="str">
        <f t="shared" si="1394"/>
        <v>x</v>
      </c>
      <c r="T3332" s="11"/>
      <c r="U3332" s="46" t="str">
        <f t="shared" si="1393"/>
        <v/>
      </c>
      <c r="V3332" s="46">
        <f t="shared" si="1393"/>
        <v>18</v>
      </c>
      <c r="W3332" s="46" t="str">
        <f t="shared" si="1393"/>
        <v/>
      </c>
      <c r="X3332" s="46" t="str">
        <f t="shared" si="1393"/>
        <v/>
      </c>
    </row>
    <row r="3333" spans="2:24" x14ac:dyDescent="0.25">
      <c r="B3333" s="11" t="str">
        <f t="shared" ref="B3333:B3342" si="1399">CONCATENATE("LSVO","-",LEFT(P3333,2),UPPER(MID(P3333,4,3)),RIGHT(P3333,4))</f>
        <v>LSVO-08JUL1911</v>
      </c>
      <c r="C3333" s="11" t="s">
        <v>1359</v>
      </c>
      <c r="D3333" s="11" t="s">
        <v>1699</v>
      </c>
      <c r="E3333" s="39" t="s">
        <v>1519</v>
      </c>
      <c r="F3333" s="11" t="s">
        <v>1700</v>
      </c>
      <c r="G3333" s="39" t="s">
        <v>1507</v>
      </c>
      <c r="H3333" s="7">
        <v>0</v>
      </c>
      <c r="I3333" s="7">
        <v>0</v>
      </c>
      <c r="J3333" s="17">
        <v>27</v>
      </c>
      <c r="K3333" s="17"/>
      <c r="L3333" s="7">
        <f t="shared" ref="L3333:L3342" si="1400">SUM(H3333:K3333)</f>
        <v>27</v>
      </c>
      <c r="M3333" s="8">
        <v>1</v>
      </c>
      <c r="N3333" s="8">
        <f t="shared" ref="N3333:N3342" si="1401">IF(L3333&gt;0,1,"")</f>
        <v>1</v>
      </c>
      <c r="O3333" s="11" t="s">
        <v>1702</v>
      </c>
      <c r="P3333" s="16" t="str">
        <f t="shared" ref="P3333:P3342" si="1402">IF(LEN(G3333)=10,CONCATENATE("0",G3333),G3333)</f>
        <v>08-Jul-1911</v>
      </c>
      <c r="R3333" s="16" t="str">
        <f t="shared" si="1394"/>
        <v>x</v>
      </c>
      <c r="S3333" s="16" t="str">
        <f t="shared" si="1394"/>
        <v>x</v>
      </c>
      <c r="T3333" s="11"/>
      <c r="U3333" s="46" t="str">
        <f t="shared" si="1393"/>
        <v/>
      </c>
      <c r="V3333" s="46">
        <f t="shared" si="1393"/>
        <v>27</v>
      </c>
      <c r="W3333" s="46" t="str">
        <f t="shared" si="1393"/>
        <v/>
      </c>
      <c r="X3333" s="46" t="str">
        <f t="shared" si="1393"/>
        <v/>
      </c>
    </row>
    <row r="3334" spans="2:24" x14ac:dyDescent="0.25">
      <c r="B3334" s="11" t="str">
        <f t="shared" si="1399"/>
        <v>LSVO-31JUL1911</v>
      </c>
      <c r="C3334" s="11" t="s">
        <v>1359</v>
      </c>
      <c r="D3334" s="11" t="s">
        <v>1699</v>
      </c>
      <c r="E3334" s="39" t="s">
        <v>1886</v>
      </c>
      <c r="F3334" s="11" t="s">
        <v>1700</v>
      </c>
      <c r="G3334" s="39" t="s">
        <v>1508</v>
      </c>
      <c r="H3334" s="7">
        <v>0</v>
      </c>
      <c r="I3334" s="7">
        <v>0</v>
      </c>
      <c r="J3334" s="17">
        <v>26</v>
      </c>
      <c r="K3334" s="17"/>
      <c r="L3334" s="7">
        <f t="shared" si="1400"/>
        <v>26</v>
      </c>
      <c r="M3334" s="8">
        <v>1</v>
      </c>
      <c r="N3334" s="8">
        <f t="shared" si="1401"/>
        <v>1</v>
      </c>
      <c r="O3334" s="11" t="s">
        <v>1702</v>
      </c>
      <c r="P3334" s="16" t="str">
        <f t="shared" si="1402"/>
        <v>31-Jul-1911</v>
      </c>
      <c r="R3334" s="16" t="str">
        <f t="shared" si="1394"/>
        <v>x</v>
      </c>
      <c r="S3334" s="16" t="str">
        <f t="shared" si="1394"/>
        <v>x</v>
      </c>
      <c r="T3334" s="11"/>
      <c r="U3334" s="46" t="str">
        <f t="shared" si="1393"/>
        <v/>
      </c>
      <c r="V3334" s="46">
        <f t="shared" si="1393"/>
        <v>26</v>
      </c>
      <c r="W3334" s="46" t="str">
        <f t="shared" si="1393"/>
        <v/>
      </c>
      <c r="X3334" s="46" t="str">
        <f t="shared" si="1393"/>
        <v/>
      </c>
    </row>
    <row r="3335" spans="2:24" x14ac:dyDescent="0.25">
      <c r="B3335" s="11" t="str">
        <f>CONCATENATE("LSVO","-",LEFT(P3335,2),UPPER(MID(P3335,4,3)),RIGHT(P3335,4))</f>
        <v>LSVO-09SEP1911</v>
      </c>
      <c r="C3335" s="11" t="s">
        <v>1359</v>
      </c>
      <c r="D3335" s="11" t="s">
        <v>1699</v>
      </c>
      <c r="E3335" s="39" t="s">
        <v>1259</v>
      </c>
      <c r="F3335" s="11" t="s">
        <v>1700</v>
      </c>
      <c r="G3335" s="39" t="s">
        <v>1509</v>
      </c>
      <c r="H3335" s="7">
        <v>1</v>
      </c>
      <c r="I3335" s="7">
        <v>0</v>
      </c>
      <c r="J3335" s="17">
        <v>1</v>
      </c>
      <c r="K3335" s="17"/>
      <c r="L3335" s="7">
        <f>SUM(H3335:K3335)</f>
        <v>2</v>
      </c>
      <c r="M3335" s="8">
        <v>1</v>
      </c>
      <c r="N3335" s="8">
        <f>IF(L3335&gt;0,1,"")</f>
        <v>1</v>
      </c>
      <c r="O3335" s="11" t="s">
        <v>1702</v>
      </c>
      <c r="P3335" s="16" t="str">
        <f>IF(LEN(G3335)=10,CONCATENATE("0",G3335),G3335)</f>
        <v>09-Sep-1911</v>
      </c>
      <c r="R3335" s="16" t="str">
        <f t="shared" si="1394"/>
        <v>x</v>
      </c>
      <c r="S3335" s="16" t="str">
        <f t="shared" si="1394"/>
        <v>x</v>
      </c>
      <c r="T3335" s="11"/>
      <c r="U3335" s="46" t="str">
        <f t="shared" si="1393"/>
        <v/>
      </c>
      <c r="V3335" s="46">
        <f t="shared" si="1393"/>
        <v>2</v>
      </c>
      <c r="W3335" s="46" t="str">
        <f t="shared" si="1393"/>
        <v/>
      </c>
      <c r="X3335" s="46" t="str">
        <f t="shared" si="1393"/>
        <v/>
      </c>
    </row>
    <row r="3336" spans="2:24" x14ac:dyDescent="0.25">
      <c r="B3336" s="11" t="str">
        <f>CONCATENATE("LSVO","-",LEFT(P3336,2),UPPER(MID(P3336,4,3)),RIGHT(P3336,4))</f>
        <v>LSVO-02OCT1911</v>
      </c>
      <c r="C3336" s="11" t="s">
        <v>1359</v>
      </c>
      <c r="D3336" s="11" t="s">
        <v>1699</v>
      </c>
      <c r="E3336" s="39" t="s">
        <v>1260</v>
      </c>
      <c r="F3336" s="11" t="s">
        <v>1700</v>
      </c>
      <c r="G3336" s="39" t="s">
        <v>1510</v>
      </c>
      <c r="H3336" s="7">
        <v>0</v>
      </c>
      <c r="I3336" s="7">
        <v>0</v>
      </c>
      <c r="J3336" s="17">
        <v>0</v>
      </c>
      <c r="K3336" s="17"/>
      <c r="L3336" s="7">
        <f>SUM(H3336:K3336)</f>
        <v>0</v>
      </c>
      <c r="M3336" s="8">
        <v>1</v>
      </c>
      <c r="N3336" s="8" t="str">
        <f>IF(L3336&gt;0,1,"")</f>
        <v/>
      </c>
      <c r="O3336" s="11" t="s">
        <v>1702</v>
      </c>
      <c r="P3336" s="16" t="str">
        <f>IF(LEN(G3336)=10,CONCATENATE("0",G3336),G3336)</f>
        <v>02-Oct-1911</v>
      </c>
      <c r="R3336" s="16" t="str">
        <f t="shared" si="1394"/>
        <v/>
      </c>
      <c r="S3336" s="16" t="str">
        <f t="shared" si="1394"/>
        <v/>
      </c>
      <c r="T3336" s="11"/>
      <c r="U3336" s="46" t="str">
        <f t="shared" si="1393"/>
        <v/>
      </c>
      <c r="V3336" s="46">
        <f t="shared" si="1393"/>
        <v>0</v>
      </c>
      <c r="W3336" s="46" t="str">
        <f t="shared" si="1393"/>
        <v/>
      </c>
      <c r="X3336" s="46" t="str">
        <f t="shared" si="1393"/>
        <v/>
      </c>
    </row>
    <row r="3337" spans="2:24" x14ac:dyDescent="0.25">
      <c r="B3337" s="11" t="str">
        <f>CONCATENATE("LSVO","-",LEFT(P3337,2),UPPER(MID(P3337,4,3)),RIGHT(P3337,4))</f>
        <v>LSVO-30OCT1911</v>
      </c>
      <c r="C3337" s="11" t="s">
        <v>1359</v>
      </c>
      <c r="D3337" s="11" t="s">
        <v>1699</v>
      </c>
      <c r="E3337" s="39" t="s">
        <v>1261</v>
      </c>
      <c r="F3337" s="11" t="s">
        <v>1700</v>
      </c>
      <c r="G3337" s="39" t="s">
        <v>1511</v>
      </c>
      <c r="H3337" s="7">
        <v>0</v>
      </c>
      <c r="I3337" s="7">
        <v>0</v>
      </c>
      <c r="J3337" s="17">
        <v>0</v>
      </c>
      <c r="K3337" s="17"/>
      <c r="L3337" s="7">
        <f>SUM(H3337:K3337)</f>
        <v>0</v>
      </c>
      <c r="M3337" s="8">
        <v>1</v>
      </c>
      <c r="N3337" s="8" t="str">
        <f>IF(L3337&gt;0,1,"")</f>
        <v/>
      </c>
      <c r="O3337" s="11" t="s">
        <v>1702</v>
      </c>
      <c r="P3337" s="16" t="str">
        <f>IF(LEN(G3337)=10,CONCATENATE("0",G3337),G3337)</f>
        <v>30-Oct-1911</v>
      </c>
      <c r="R3337" s="16" t="str">
        <f t="shared" si="1394"/>
        <v/>
      </c>
      <c r="S3337" s="16" t="str">
        <f t="shared" si="1394"/>
        <v/>
      </c>
      <c r="T3337" s="11"/>
      <c r="U3337" s="46" t="str">
        <f t="shared" si="1393"/>
        <v/>
      </c>
      <c r="V3337" s="46">
        <f t="shared" si="1393"/>
        <v>0</v>
      </c>
      <c r="W3337" s="46" t="str">
        <f t="shared" si="1393"/>
        <v/>
      </c>
      <c r="X3337" s="46" t="str">
        <f t="shared" si="1393"/>
        <v/>
      </c>
    </row>
    <row r="3338" spans="2:24" x14ac:dyDescent="0.25">
      <c r="B3338" s="11" t="str">
        <f>CONCATENATE("LSVO","-",LEFT(P3338,2),UPPER(MID(P3338,4,3)),RIGHT(P3338,4))</f>
        <v>LSVO-26NOV1911</v>
      </c>
      <c r="C3338" s="11" t="s">
        <v>1359</v>
      </c>
      <c r="D3338" s="11" t="s">
        <v>1699</v>
      </c>
      <c r="E3338" s="39" t="s">
        <v>1520</v>
      </c>
      <c r="F3338" s="11" t="s">
        <v>1700</v>
      </c>
      <c r="G3338" s="39" t="s">
        <v>1512</v>
      </c>
      <c r="H3338" s="7">
        <v>0</v>
      </c>
      <c r="I3338" s="7">
        <v>0</v>
      </c>
      <c r="J3338" s="17">
        <v>12</v>
      </c>
      <c r="K3338" s="17"/>
      <c r="L3338" s="7">
        <f>SUM(H3338:K3338)</f>
        <v>12</v>
      </c>
      <c r="M3338" s="8">
        <v>1</v>
      </c>
      <c r="N3338" s="8">
        <f>IF(L3338&gt;0,1,"")</f>
        <v>1</v>
      </c>
      <c r="O3338" s="11" t="s">
        <v>1702</v>
      </c>
      <c r="P3338" s="16" t="str">
        <f>IF(LEN(G3338)=10,CONCATENATE("0",G3338),G3338)</f>
        <v>26-Nov-1911</v>
      </c>
      <c r="R3338" s="16" t="str">
        <f t="shared" si="1394"/>
        <v>x</v>
      </c>
      <c r="S3338" s="16" t="str">
        <f t="shared" si="1394"/>
        <v>x</v>
      </c>
      <c r="T3338" s="11"/>
      <c r="U3338" s="46" t="str">
        <f t="shared" si="1393"/>
        <v/>
      </c>
      <c r="V3338" s="46">
        <f t="shared" si="1393"/>
        <v>12</v>
      </c>
      <c r="W3338" s="46" t="str">
        <f t="shared" si="1393"/>
        <v/>
      </c>
      <c r="X3338" s="46" t="str">
        <f t="shared" si="1393"/>
        <v/>
      </c>
    </row>
    <row r="3339" spans="2:24" x14ac:dyDescent="0.25">
      <c r="B3339" s="11" t="str">
        <f t="shared" si="1399"/>
        <v>LSVO-24DEC1911</v>
      </c>
      <c r="C3339" s="11" t="s">
        <v>1359</v>
      </c>
      <c r="D3339" s="11" t="s">
        <v>1699</v>
      </c>
      <c r="E3339" s="39" t="s">
        <v>1263</v>
      </c>
      <c r="F3339" s="11" t="s">
        <v>1700</v>
      </c>
      <c r="G3339" s="39" t="s">
        <v>1513</v>
      </c>
      <c r="H3339" s="7">
        <v>0</v>
      </c>
      <c r="I3339" s="7">
        <v>0</v>
      </c>
      <c r="J3339" s="17">
        <v>17</v>
      </c>
      <c r="K3339" s="17"/>
      <c r="L3339" s="7">
        <f t="shared" si="1400"/>
        <v>17</v>
      </c>
      <c r="M3339" s="8">
        <v>1</v>
      </c>
      <c r="N3339" s="8">
        <f t="shared" si="1401"/>
        <v>1</v>
      </c>
      <c r="O3339" s="11" t="s">
        <v>1702</v>
      </c>
      <c r="P3339" s="16" t="str">
        <f t="shared" si="1402"/>
        <v>24-Dec-1911</v>
      </c>
      <c r="R3339" s="16" t="str">
        <f t="shared" si="1394"/>
        <v>x</v>
      </c>
      <c r="S3339" s="16" t="str">
        <f t="shared" si="1394"/>
        <v>x</v>
      </c>
      <c r="T3339" s="11"/>
      <c r="U3339" s="46" t="str">
        <f t="shared" si="1393"/>
        <v/>
      </c>
      <c r="V3339" s="46">
        <f t="shared" si="1393"/>
        <v>17</v>
      </c>
      <c r="W3339" s="46" t="str">
        <f t="shared" si="1393"/>
        <v/>
      </c>
      <c r="X3339" s="46" t="str">
        <f t="shared" si="1393"/>
        <v/>
      </c>
    </row>
    <row r="3340" spans="2:24" x14ac:dyDescent="0.25">
      <c r="B3340" s="11" t="str">
        <f t="shared" si="1399"/>
        <v>LSVO-22JAN1912</v>
      </c>
      <c r="C3340" s="11" t="s">
        <v>1359</v>
      </c>
      <c r="D3340" s="11" t="s">
        <v>1699</v>
      </c>
      <c r="E3340" s="39" t="s">
        <v>1529</v>
      </c>
      <c r="F3340" s="11" t="s">
        <v>1700</v>
      </c>
      <c r="G3340" s="39" t="s">
        <v>1521</v>
      </c>
      <c r="H3340" s="7">
        <v>0</v>
      </c>
      <c r="I3340" s="7">
        <v>0</v>
      </c>
      <c r="J3340" s="17">
        <v>38</v>
      </c>
      <c r="K3340" s="17"/>
      <c r="L3340" s="7">
        <f t="shared" si="1400"/>
        <v>38</v>
      </c>
      <c r="M3340" s="8">
        <v>1</v>
      </c>
      <c r="N3340" s="8">
        <f t="shared" si="1401"/>
        <v>1</v>
      </c>
      <c r="O3340" s="11" t="s">
        <v>1702</v>
      </c>
      <c r="P3340" s="16" t="str">
        <f t="shared" si="1402"/>
        <v>22-Jan-1912</v>
      </c>
      <c r="R3340" s="16" t="str">
        <f t="shared" si="1394"/>
        <v>x</v>
      </c>
      <c r="S3340" s="16" t="str">
        <f t="shared" si="1394"/>
        <v>x</v>
      </c>
      <c r="T3340" s="11"/>
      <c r="U3340" s="46" t="str">
        <f t="shared" si="1393"/>
        <v/>
      </c>
      <c r="V3340" s="46">
        <f t="shared" si="1393"/>
        <v>38</v>
      </c>
      <c r="W3340" s="46" t="str">
        <f t="shared" si="1393"/>
        <v/>
      </c>
      <c r="X3340" s="46" t="str">
        <f t="shared" si="1393"/>
        <v/>
      </c>
    </row>
    <row r="3341" spans="2:24" x14ac:dyDescent="0.25">
      <c r="B3341" s="11" t="str">
        <f t="shared" si="1399"/>
        <v>LSVO-01MAR1912</v>
      </c>
      <c r="C3341" s="11" t="s">
        <v>1359</v>
      </c>
      <c r="D3341" s="11" t="s">
        <v>1699</v>
      </c>
      <c r="E3341" s="39" t="s">
        <v>1530</v>
      </c>
      <c r="F3341" s="11" t="s">
        <v>1700</v>
      </c>
      <c r="G3341" s="39" t="s">
        <v>1522</v>
      </c>
      <c r="H3341" s="7">
        <v>0</v>
      </c>
      <c r="I3341" s="7">
        <v>1</v>
      </c>
      <c r="J3341" s="17">
        <v>16</v>
      </c>
      <c r="K3341" s="17"/>
      <c r="L3341" s="7">
        <f t="shared" si="1400"/>
        <v>17</v>
      </c>
      <c r="M3341" s="8">
        <v>1</v>
      </c>
      <c r="N3341" s="8">
        <f t="shared" si="1401"/>
        <v>1</v>
      </c>
      <c r="O3341" s="11" t="s">
        <v>1702</v>
      </c>
      <c r="P3341" s="16" t="str">
        <f t="shared" si="1402"/>
        <v>01-Mar-1912</v>
      </c>
      <c r="R3341" s="16" t="str">
        <f t="shared" ref="R3341:S3360" si="1403">IF($L3341&gt;0,"x","")</f>
        <v>x</v>
      </c>
      <c r="S3341" s="16" t="str">
        <f t="shared" si="1403"/>
        <v>x</v>
      </c>
      <c r="T3341" s="11"/>
      <c r="U3341" s="46" t="str">
        <f t="shared" si="1393"/>
        <v/>
      </c>
      <c r="V3341" s="46">
        <f t="shared" si="1393"/>
        <v>17</v>
      </c>
      <c r="W3341" s="46" t="str">
        <f t="shared" si="1393"/>
        <v/>
      </c>
      <c r="X3341" s="46" t="str">
        <f t="shared" si="1393"/>
        <v/>
      </c>
    </row>
    <row r="3342" spans="2:24" x14ac:dyDescent="0.25">
      <c r="B3342" s="11" t="str">
        <f t="shared" si="1399"/>
        <v>LSVO-31MAR1912</v>
      </c>
      <c r="C3342" s="11" t="s">
        <v>1359</v>
      </c>
      <c r="D3342" s="11" t="s">
        <v>1699</v>
      </c>
      <c r="E3342" s="39" t="s">
        <v>1895</v>
      </c>
      <c r="F3342" s="11" t="s">
        <v>1700</v>
      </c>
      <c r="G3342" s="39" t="s">
        <v>1523</v>
      </c>
      <c r="H3342" s="7">
        <v>0</v>
      </c>
      <c r="I3342" s="7">
        <v>0</v>
      </c>
      <c r="J3342" s="17">
        <v>4</v>
      </c>
      <c r="K3342" s="17"/>
      <c r="L3342" s="7">
        <f t="shared" si="1400"/>
        <v>4</v>
      </c>
      <c r="M3342" s="8">
        <v>1</v>
      </c>
      <c r="N3342" s="8">
        <f t="shared" si="1401"/>
        <v>1</v>
      </c>
      <c r="O3342" s="11" t="s">
        <v>1702</v>
      </c>
      <c r="P3342" s="16" t="str">
        <f t="shared" si="1402"/>
        <v>31-Mar-1912</v>
      </c>
      <c r="R3342" s="16" t="str">
        <f t="shared" si="1403"/>
        <v>x</v>
      </c>
      <c r="S3342" s="16" t="str">
        <f t="shared" si="1403"/>
        <v>x</v>
      </c>
      <c r="T3342" s="11"/>
      <c r="U3342" s="46" t="str">
        <f t="shared" si="1393"/>
        <v/>
      </c>
      <c r="V3342" s="46">
        <f t="shared" si="1393"/>
        <v>4</v>
      </c>
      <c r="W3342" s="46" t="str">
        <f t="shared" si="1393"/>
        <v/>
      </c>
      <c r="X3342" s="46" t="str">
        <f t="shared" si="1393"/>
        <v/>
      </c>
    </row>
    <row r="3343" spans="2:24" x14ac:dyDescent="0.25">
      <c r="B3343" s="11" t="str">
        <f t="shared" ref="B3343:B3359" si="1404">CONCATENATE("LSVO","-",LEFT(P3343,2),UPPER(MID(P3343,4,3)),RIGHT(P3343,4))</f>
        <v>LSVO-21APR1912</v>
      </c>
      <c r="C3343" s="11" t="s">
        <v>1359</v>
      </c>
      <c r="D3343" s="11" t="s">
        <v>1699</v>
      </c>
      <c r="E3343" s="39" t="s">
        <v>1326</v>
      </c>
      <c r="F3343" s="11" t="s">
        <v>1700</v>
      </c>
      <c r="G3343" s="39" t="s">
        <v>1524</v>
      </c>
      <c r="H3343" s="7">
        <v>0</v>
      </c>
      <c r="I3343" s="7">
        <v>0</v>
      </c>
      <c r="J3343" s="17">
        <v>9</v>
      </c>
      <c r="K3343" s="17"/>
      <c r="L3343" s="7">
        <f t="shared" ref="L3343:L3359" si="1405">SUM(H3343:K3343)</f>
        <v>9</v>
      </c>
      <c r="M3343" s="8">
        <v>1</v>
      </c>
      <c r="N3343" s="8">
        <f t="shared" ref="N3343:N3359" si="1406">IF(L3343&gt;0,1,"")</f>
        <v>1</v>
      </c>
      <c r="O3343" s="11" t="s">
        <v>1702</v>
      </c>
      <c r="P3343" s="16" t="str">
        <f t="shared" ref="P3343:P3359" si="1407">IF(LEN(G3343)=10,CONCATENATE("0",G3343),G3343)</f>
        <v>21-Apr-1912</v>
      </c>
      <c r="R3343" s="16" t="str">
        <f t="shared" si="1403"/>
        <v>x</v>
      </c>
      <c r="S3343" s="16" t="str">
        <f t="shared" si="1403"/>
        <v>x</v>
      </c>
      <c r="U3343" s="46" t="str">
        <f t="shared" si="1393"/>
        <v/>
      </c>
      <c r="V3343" s="46">
        <f t="shared" si="1393"/>
        <v>9</v>
      </c>
      <c r="W3343" s="46" t="str">
        <f t="shared" si="1393"/>
        <v/>
      </c>
      <c r="X3343" s="46" t="str">
        <f t="shared" si="1393"/>
        <v/>
      </c>
    </row>
    <row r="3344" spans="2:24" x14ac:dyDescent="0.25">
      <c r="B3344" s="11" t="str">
        <f t="shared" si="1404"/>
        <v>LSVO-12MAY1912</v>
      </c>
      <c r="C3344" s="11" t="s">
        <v>1359</v>
      </c>
      <c r="D3344" s="11" t="s">
        <v>1699</v>
      </c>
      <c r="E3344" s="39" t="s">
        <v>913</v>
      </c>
      <c r="F3344" s="11" t="s">
        <v>1700</v>
      </c>
      <c r="G3344" s="39" t="s">
        <v>1525</v>
      </c>
      <c r="H3344" s="7">
        <v>0</v>
      </c>
      <c r="I3344" s="7">
        <v>0</v>
      </c>
      <c r="J3344" s="17">
        <v>0</v>
      </c>
      <c r="K3344" s="17"/>
      <c r="L3344" s="7">
        <f t="shared" si="1405"/>
        <v>0</v>
      </c>
      <c r="M3344" s="8">
        <v>1</v>
      </c>
      <c r="N3344" s="8" t="str">
        <f t="shared" si="1406"/>
        <v/>
      </c>
      <c r="O3344" s="11" t="s">
        <v>1702</v>
      </c>
      <c r="P3344" s="16" t="str">
        <f t="shared" si="1407"/>
        <v>12-May-1912</v>
      </c>
      <c r="R3344" s="16" t="str">
        <f t="shared" si="1403"/>
        <v/>
      </c>
      <c r="S3344" s="16" t="str">
        <f t="shared" si="1403"/>
        <v/>
      </c>
      <c r="T3344" s="11"/>
      <c r="U3344" s="46" t="str">
        <f t="shared" si="1393"/>
        <v/>
      </c>
      <c r="V3344" s="46">
        <f t="shared" si="1393"/>
        <v>0</v>
      </c>
      <c r="W3344" s="46" t="str">
        <f t="shared" si="1393"/>
        <v/>
      </c>
      <c r="X3344" s="46" t="str">
        <f t="shared" si="1393"/>
        <v/>
      </c>
    </row>
    <row r="3345" spans="2:24" x14ac:dyDescent="0.25">
      <c r="B3345" s="11" t="str">
        <f t="shared" si="1404"/>
        <v>LSVO-09JUN1912</v>
      </c>
      <c r="C3345" s="11" t="s">
        <v>1359</v>
      </c>
      <c r="D3345" s="11" t="s">
        <v>1699</v>
      </c>
      <c r="E3345" s="39" t="s">
        <v>1275</v>
      </c>
      <c r="F3345" s="11" t="s">
        <v>1700</v>
      </c>
      <c r="G3345" s="39" t="s">
        <v>1526</v>
      </c>
      <c r="H3345" s="7">
        <v>0</v>
      </c>
      <c r="I3345" s="7">
        <v>0</v>
      </c>
      <c r="J3345" s="17">
        <v>5</v>
      </c>
      <c r="K3345" s="17"/>
      <c r="L3345" s="7">
        <f t="shared" si="1405"/>
        <v>5</v>
      </c>
      <c r="M3345" s="8">
        <v>1</v>
      </c>
      <c r="N3345" s="8">
        <f t="shared" si="1406"/>
        <v>1</v>
      </c>
      <c r="O3345" s="11" t="s">
        <v>1702</v>
      </c>
      <c r="P3345" s="16" t="str">
        <f t="shared" si="1407"/>
        <v>09-Jun-1912</v>
      </c>
      <c r="R3345" s="16" t="str">
        <f t="shared" si="1403"/>
        <v>x</v>
      </c>
      <c r="S3345" s="16" t="str">
        <f t="shared" si="1403"/>
        <v>x</v>
      </c>
      <c r="T3345" s="11"/>
      <c r="U3345" s="46" t="str">
        <f t="shared" si="1393"/>
        <v/>
      </c>
      <c r="V3345" s="46">
        <f t="shared" si="1393"/>
        <v>5</v>
      </c>
      <c r="W3345" s="46" t="str">
        <f t="shared" si="1393"/>
        <v/>
      </c>
      <c r="X3345" s="46" t="str">
        <f t="shared" si="1393"/>
        <v/>
      </c>
    </row>
    <row r="3346" spans="2:24" x14ac:dyDescent="0.25">
      <c r="B3346" s="11" t="str">
        <f t="shared" si="1404"/>
        <v>LSVO-04AUG1912</v>
      </c>
      <c r="C3346" s="11" t="s">
        <v>1359</v>
      </c>
      <c r="D3346" s="11" t="s">
        <v>1699</v>
      </c>
      <c r="E3346" s="39" t="s">
        <v>1328</v>
      </c>
      <c r="F3346" s="11" t="s">
        <v>1700</v>
      </c>
      <c r="G3346" s="39" t="s">
        <v>1527</v>
      </c>
      <c r="H3346" s="7">
        <v>0</v>
      </c>
      <c r="I3346" s="7">
        <v>0</v>
      </c>
      <c r="J3346" s="17">
        <v>0</v>
      </c>
      <c r="K3346" s="17"/>
      <c r="L3346" s="7">
        <f t="shared" si="1405"/>
        <v>0</v>
      </c>
      <c r="M3346" s="8">
        <v>1</v>
      </c>
      <c r="N3346" s="8" t="str">
        <f t="shared" si="1406"/>
        <v/>
      </c>
      <c r="O3346" s="11" t="s">
        <v>1702</v>
      </c>
      <c r="P3346" s="16" t="str">
        <f t="shared" si="1407"/>
        <v>04-Aug-1912</v>
      </c>
      <c r="R3346" s="16" t="str">
        <f t="shared" si="1403"/>
        <v/>
      </c>
      <c r="S3346" s="16" t="str">
        <f t="shared" si="1403"/>
        <v/>
      </c>
      <c r="T3346" s="11"/>
      <c r="U3346" s="46" t="str">
        <f t="shared" si="1393"/>
        <v/>
      </c>
      <c r="V3346" s="46">
        <f t="shared" si="1393"/>
        <v>0</v>
      </c>
      <c r="W3346" s="46" t="str">
        <f t="shared" si="1393"/>
        <v/>
      </c>
      <c r="X3346" s="46" t="str">
        <f t="shared" si="1393"/>
        <v/>
      </c>
    </row>
    <row r="3347" spans="2:24" x14ac:dyDescent="0.25">
      <c r="B3347" s="11" t="str">
        <f t="shared" si="1404"/>
        <v>LSVO-21SEP1912</v>
      </c>
      <c r="C3347" s="11" t="s">
        <v>1359</v>
      </c>
      <c r="D3347" s="11" t="s">
        <v>1699</v>
      </c>
      <c r="E3347" s="39" t="s">
        <v>1903</v>
      </c>
      <c r="F3347" s="11" t="s">
        <v>1700</v>
      </c>
      <c r="G3347" s="39" t="s">
        <v>1528</v>
      </c>
      <c r="H3347" s="7">
        <v>1</v>
      </c>
      <c r="I3347" s="7">
        <v>0</v>
      </c>
      <c r="J3347" s="17">
        <v>0</v>
      </c>
      <c r="K3347" s="17"/>
      <c r="L3347" s="7">
        <f t="shared" si="1405"/>
        <v>1</v>
      </c>
      <c r="M3347" s="8">
        <v>1</v>
      </c>
      <c r="N3347" s="8">
        <f t="shared" si="1406"/>
        <v>1</v>
      </c>
      <c r="O3347" s="11" t="s">
        <v>1702</v>
      </c>
      <c r="P3347" s="16" t="str">
        <f t="shared" si="1407"/>
        <v>21-Sep-1912</v>
      </c>
      <c r="R3347" s="16" t="str">
        <f t="shared" si="1403"/>
        <v>x</v>
      </c>
      <c r="S3347" s="16" t="str">
        <f t="shared" si="1403"/>
        <v>x</v>
      </c>
      <c r="T3347" s="11"/>
      <c r="U3347" s="46" t="str">
        <f t="shared" si="1393"/>
        <v/>
      </c>
      <c r="V3347" s="46">
        <f t="shared" si="1393"/>
        <v>1</v>
      </c>
      <c r="W3347" s="46" t="str">
        <f t="shared" si="1393"/>
        <v/>
      </c>
      <c r="X3347" s="46" t="str">
        <f t="shared" si="1393"/>
        <v/>
      </c>
    </row>
    <row r="3348" spans="2:24" x14ac:dyDescent="0.25">
      <c r="B3348" s="11" t="str">
        <f t="shared" si="1404"/>
        <v>LSVO-19OCT1912</v>
      </c>
      <c r="C3348" s="11" t="s">
        <v>1359</v>
      </c>
      <c r="D3348" s="11" t="s">
        <v>1699</v>
      </c>
      <c r="E3348" s="39" t="s">
        <v>1910</v>
      </c>
      <c r="F3348" s="11" t="s">
        <v>1700</v>
      </c>
      <c r="G3348" s="39" t="s">
        <v>1531</v>
      </c>
      <c r="H3348" s="7">
        <v>0</v>
      </c>
      <c r="I3348" s="7">
        <v>1</v>
      </c>
      <c r="J3348" s="17">
        <v>3</v>
      </c>
      <c r="K3348" s="17"/>
      <c r="L3348" s="7">
        <f t="shared" si="1405"/>
        <v>4</v>
      </c>
      <c r="M3348" s="8">
        <v>1</v>
      </c>
      <c r="N3348" s="8">
        <f t="shared" si="1406"/>
        <v>1</v>
      </c>
      <c r="O3348" s="11" t="s">
        <v>1702</v>
      </c>
      <c r="P3348" s="16" t="str">
        <f t="shared" si="1407"/>
        <v>19-Oct-1912</v>
      </c>
      <c r="R3348" s="16" t="str">
        <f t="shared" si="1403"/>
        <v>x</v>
      </c>
      <c r="S3348" s="16" t="str">
        <f t="shared" si="1403"/>
        <v>x</v>
      </c>
      <c r="T3348" s="11"/>
      <c r="U3348" s="46" t="str">
        <f t="shared" si="1393"/>
        <v/>
      </c>
      <c r="V3348" s="46">
        <f t="shared" si="1393"/>
        <v>4</v>
      </c>
      <c r="W3348" s="46" t="str">
        <f t="shared" si="1393"/>
        <v/>
      </c>
      <c r="X3348" s="46" t="str">
        <f t="shared" si="1393"/>
        <v/>
      </c>
    </row>
    <row r="3349" spans="2:24" x14ac:dyDescent="0.25">
      <c r="B3349" s="11" t="str">
        <f t="shared" si="1404"/>
        <v>LSVO-30NOV1912</v>
      </c>
      <c r="C3349" s="11" t="s">
        <v>1359</v>
      </c>
      <c r="D3349" s="11" t="s">
        <v>1699</v>
      </c>
      <c r="E3349" s="39" t="s">
        <v>1532</v>
      </c>
      <c r="F3349" s="11" t="s">
        <v>1700</v>
      </c>
      <c r="G3349" s="39" t="s">
        <v>1006</v>
      </c>
      <c r="H3349" s="7">
        <v>0</v>
      </c>
      <c r="I3349" s="7">
        <v>0</v>
      </c>
      <c r="J3349" s="17">
        <v>11</v>
      </c>
      <c r="K3349" s="17"/>
      <c r="L3349" s="7">
        <f t="shared" si="1405"/>
        <v>11</v>
      </c>
      <c r="M3349" s="8">
        <v>1</v>
      </c>
      <c r="N3349" s="8">
        <f t="shared" si="1406"/>
        <v>1</v>
      </c>
      <c r="O3349" s="11" t="s">
        <v>1702</v>
      </c>
      <c r="P3349" s="16" t="str">
        <f t="shared" si="1407"/>
        <v>30-Nov-1912</v>
      </c>
      <c r="R3349" s="16" t="str">
        <f t="shared" si="1403"/>
        <v>x</v>
      </c>
      <c r="S3349" s="16" t="str">
        <f t="shared" si="1403"/>
        <v>x</v>
      </c>
      <c r="T3349" s="11"/>
      <c r="U3349" s="46" t="str">
        <f t="shared" si="1393"/>
        <v/>
      </c>
      <c r="V3349" s="46">
        <f t="shared" si="1393"/>
        <v>11</v>
      </c>
      <c r="W3349" s="46" t="str">
        <f t="shared" si="1393"/>
        <v/>
      </c>
      <c r="X3349" s="46" t="str">
        <f t="shared" si="1393"/>
        <v/>
      </c>
    </row>
    <row r="3350" spans="2:24" x14ac:dyDescent="0.25">
      <c r="B3350" s="11" t="str">
        <f t="shared" ref="B3350:B3356" si="1408">CONCATENATE("LSVO","-",LEFT(P3350,2),UPPER(MID(P3350,4,3)),RIGHT(P3350,4))</f>
        <v>LSVO-06JAN1913</v>
      </c>
      <c r="C3350" s="11" t="s">
        <v>1359</v>
      </c>
      <c r="D3350" s="11" t="s">
        <v>1699</v>
      </c>
      <c r="E3350" s="39" t="s">
        <v>1339</v>
      </c>
      <c r="F3350" s="11" t="s">
        <v>1700</v>
      </c>
      <c r="G3350" s="39" t="s">
        <v>1533</v>
      </c>
      <c r="H3350" s="7">
        <v>0</v>
      </c>
      <c r="I3350" s="7">
        <v>0</v>
      </c>
      <c r="J3350" s="17">
        <v>2</v>
      </c>
      <c r="K3350" s="17"/>
      <c r="L3350" s="7">
        <f t="shared" ref="L3350:L3356" si="1409">SUM(H3350:K3350)</f>
        <v>2</v>
      </c>
      <c r="M3350" s="8">
        <v>1</v>
      </c>
      <c r="N3350" s="8">
        <f t="shared" ref="N3350:N3356" si="1410">IF(L3350&gt;0,1,"")</f>
        <v>1</v>
      </c>
      <c r="O3350" s="11" t="s">
        <v>1702</v>
      </c>
      <c r="P3350" s="16" t="str">
        <f t="shared" ref="P3350:P3356" si="1411">IF(LEN(G3350)=10,CONCATENATE("0",G3350),G3350)</f>
        <v>06-Jan-1913</v>
      </c>
      <c r="R3350" s="16" t="str">
        <f t="shared" si="1403"/>
        <v>x</v>
      </c>
      <c r="S3350" s="16" t="str">
        <f t="shared" si="1403"/>
        <v>x</v>
      </c>
      <c r="T3350" s="11"/>
      <c r="U3350" s="46" t="str">
        <f t="shared" si="1393"/>
        <v/>
      </c>
      <c r="V3350" s="46">
        <f t="shared" si="1393"/>
        <v>2</v>
      </c>
      <c r="W3350" s="46" t="str">
        <f t="shared" si="1393"/>
        <v/>
      </c>
      <c r="X3350" s="46" t="str">
        <f t="shared" si="1393"/>
        <v/>
      </c>
    </row>
    <row r="3351" spans="2:24" x14ac:dyDescent="0.25">
      <c r="B3351" s="11" t="str">
        <f t="shared" si="1408"/>
        <v>LSVO-27JAN1913</v>
      </c>
      <c r="C3351" s="11" t="s">
        <v>1359</v>
      </c>
      <c r="D3351" s="11" t="s">
        <v>1699</v>
      </c>
      <c r="E3351" s="39" t="s">
        <v>1540</v>
      </c>
      <c r="F3351" s="11" t="s">
        <v>1700</v>
      </c>
      <c r="G3351" s="39" t="s">
        <v>1534</v>
      </c>
      <c r="H3351" s="7">
        <v>0</v>
      </c>
      <c r="I3351" s="7">
        <v>1</v>
      </c>
      <c r="J3351" s="17">
        <v>19</v>
      </c>
      <c r="K3351" s="17"/>
      <c r="L3351" s="7">
        <f t="shared" si="1409"/>
        <v>20</v>
      </c>
      <c r="M3351" s="8">
        <v>1</v>
      </c>
      <c r="N3351" s="8">
        <f t="shared" si="1410"/>
        <v>1</v>
      </c>
      <c r="O3351" s="11" t="s">
        <v>1702</v>
      </c>
      <c r="P3351" s="16" t="str">
        <f t="shared" si="1411"/>
        <v>27-Jan-1913</v>
      </c>
      <c r="R3351" s="16" t="str">
        <f t="shared" si="1403"/>
        <v>x</v>
      </c>
      <c r="S3351" s="16" t="str">
        <f t="shared" si="1403"/>
        <v>x</v>
      </c>
      <c r="T3351" s="11"/>
      <c r="U3351" s="46" t="str">
        <f t="shared" si="1393"/>
        <v/>
      </c>
      <c r="V3351" s="46">
        <f t="shared" si="1393"/>
        <v>20</v>
      </c>
      <c r="W3351" s="46" t="str">
        <f t="shared" si="1393"/>
        <v/>
      </c>
      <c r="X3351" s="46" t="str">
        <f t="shared" si="1393"/>
        <v/>
      </c>
    </row>
    <row r="3352" spans="2:24" x14ac:dyDescent="0.25">
      <c r="B3352" s="11" t="str">
        <f t="shared" si="1408"/>
        <v>LSVO-28JUN1913</v>
      </c>
      <c r="C3352" s="11" t="s">
        <v>1359</v>
      </c>
      <c r="D3352" s="11" t="s">
        <v>1699</v>
      </c>
      <c r="E3352" s="39" t="s">
        <v>1675</v>
      </c>
      <c r="F3352" s="11" t="s">
        <v>1700</v>
      </c>
      <c r="G3352" s="39" t="s">
        <v>1297</v>
      </c>
      <c r="H3352" s="7">
        <v>0</v>
      </c>
      <c r="I3352" s="7">
        <v>0</v>
      </c>
      <c r="J3352" s="17">
        <v>30</v>
      </c>
      <c r="K3352" s="17"/>
      <c r="L3352" s="7">
        <f t="shared" si="1409"/>
        <v>30</v>
      </c>
      <c r="M3352" s="8">
        <v>1</v>
      </c>
      <c r="N3352" s="8">
        <f t="shared" si="1410"/>
        <v>1</v>
      </c>
      <c r="O3352" s="11" t="s">
        <v>1702</v>
      </c>
      <c r="P3352" s="16" t="str">
        <f t="shared" si="1411"/>
        <v>28-Jun-1913</v>
      </c>
      <c r="R3352" s="16" t="str">
        <f t="shared" si="1403"/>
        <v>x</v>
      </c>
      <c r="S3352" s="16" t="str">
        <f t="shared" si="1403"/>
        <v>x</v>
      </c>
      <c r="T3352" s="11"/>
      <c r="U3352" s="46" t="str">
        <f t="shared" si="1393"/>
        <v/>
      </c>
      <c r="V3352" s="46">
        <f t="shared" si="1393"/>
        <v>30</v>
      </c>
      <c r="W3352" s="46" t="str">
        <f t="shared" si="1393"/>
        <v/>
      </c>
      <c r="X3352" s="46" t="str">
        <f t="shared" si="1393"/>
        <v/>
      </c>
    </row>
    <row r="3353" spans="2:24" x14ac:dyDescent="0.25">
      <c r="B3353" s="11" t="str">
        <f t="shared" si="1408"/>
        <v>LSVO-20JUL1913</v>
      </c>
      <c r="C3353" s="11" t="s">
        <v>1359</v>
      </c>
      <c r="D3353" s="11" t="s">
        <v>1699</v>
      </c>
      <c r="E3353" s="39" t="s">
        <v>1541</v>
      </c>
      <c r="F3353" s="11" t="s">
        <v>1700</v>
      </c>
      <c r="G3353" s="39" t="s">
        <v>1535</v>
      </c>
      <c r="H3353" s="7">
        <v>0</v>
      </c>
      <c r="I3353" s="7">
        <v>2</v>
      </c>
      <c r="J3353" s="17">
        <v>0</v>
      </c>
      <c r="K3353" s="17"/>
      <c r="L3353" s="7">
        <f t="shared" si="1409"/>
        <v>2</v>
      </c>
      <c r="M3353" s="8">
        <v>1</v>
      </c>
      <c r="N3353" s="8">
        <f t="shared" si="1410"/>
        <v>1</v>
      </c>
      <c r="O3353" s="11" t="s">
        <v>1702</v>
      </c>
      <c r="P3353" s="16" t="str">
        <f t="shared" si="1411"/>
        <v>20-Jul-1913</v>
      </c>
      <c r="R3353" s="16" t="str">
        <f t="shared" si="1403"/>
        <v>x</v>
      </c>
      <c r="S3353" s="16" t="str">
        <f t="shared" si="1403"/>
        <v>x</v>
      </c>
      <c r="T3353" s="11"/>
      <c r="U3353" s="46" t="str">
        <f t="shared" si="1393"/>
        <v/>
      </c>
      <c r="V3353" s="46">
        <f t="shared" si="1393"/>
        <v>2</v>
      </c>
      <c r="W3353" s="46" t="str">
        <f t="shared" si="1393"/>
        <v/>
      </c>
      <c r="X3353" s="46" t="str">
        <f t="shared" si="1393"/>
        <v/>
      </c>
    </row>
    <row r="3354" spans="2:24" x14ac:dyDescent="0.25">
      <c r="B3354" s="11" t="str">
        <f t="shared" si="1408"/>
        <v>LSVO-09AUG1913</v>
      </c>
      <c r="C3354" s="11" t="s">
        <v>1359</v>
      </c>
      <c r="D3354" s="11" t="s">
        <v>1699</v>
      </c>
      <c r="E3354" s="39" t="s">
        <v>1676</v>
      </c>
      <c r="F3354" s="11" t="s">
        <v>1700</v>
      </c>
      <c r="G3354" s="39" t="s">
        <v>1536</v>
      </c>
      <c r="H3354" s="7">
        <v>1</v>
      </c>
      <c r="I3354" s="7">
        <v>1</v>
      </c>
      <c r="J3354" s="17">
        <v>16</v>
      </c>
      <c r="K3354" s="17"/>
      <c r="L3354" s="7">
        <f t="shared" si="1409"/>
        <v>18</v>
      </c>
      <c r="M3354" s="8">
        <v>1</v>
      </c>
      <c r="N3354" s="8">
        <f t="shared" si="1410"/>
        <v>1</v>
      </c>
      <c r="O3354" s="11" t="s">
        <v>1702</v>
      </c>
      <c r="P3354" s="16" t="str">
        <f t="shared" si="1411"/>
        <v>09-Aug-1913</v>
      </c>
      <c r="R3354" s="16" t="str">
        <f t="shared" si="1403"/>
        <v>x</v>
      </c>
      <c r="S3354" s="16" t="str">
        <f t="shared" si="1403"/>
        <v>x</v>
      </c>
      <c r="T3354" s="11"/>
      <c r="U3354" s="46" t="str">
        <f t="shared" si="1393"/>
        <v/>
      </c>
      <c r="V3354" s="46">
        <f t="shared" si="1393"/>
        <v>18</v>
      </c>
      <c r="W3354" s="46" t="str">
        <f t="shared" si="1393"/>
        <v/>
      </c>
      <c r="X3354" s="46" t="str">
        <f t="shared" si="1393"/>
        <v/>
      </c>
    </row>
    <row r="3355" spans="2:24" x14ac:dyDescent="0.25">
      <c r="B3355" s="11" t="str">
        <f t="shared" si="1408"/>
        <v>LSVO-13SEP1913</v>
      </c>
      <c r="C3355" s="11" t="s">
        <v>1359</v>
      </c>
      <c r="D3355" s="11" t="s">
        <v>1699</v>
      </c>
      <c r="E3355" s="39" t="s">
        <v>1677</v>
      </c>
      <c r="F3355" s="11" t="s">
        <v>1700</v>
      </c>
      <c r="G3355" s="39" t="s">
        <v>1025</v>
      </c>
      <c r="H3355" s="7">
        <v>3</v>
      </c>
      <c r="I3355" s="7">
        <v>1</v>
      </c>
      <c r="J3355" s="17">
        <v>7</v>
      </c>
      <c r="K3355" s="17"/>
      <c r="L3355" s="7">
        <f t="shared" si="1409"/>
        <v>11</v>
      </c>
      <c r="M3355" s="8">
        <v>1</v>
      </c>
      <c r="N3355" s="8">
        <f t="shared" si="1410"/>
        <v>1</v>
      </c>
      <c r="O3355" s="11" t="s">
        <v>1702</v>
      </c>
      <c r="P3355" s="16" t="str">
        <f t="shared" si="1411"/>
        <v>13-Sep-1913</v>
      </c>
      <c r="R3355" s="16" t="str">
        <f t="shared" si="1403"/>
        <v>x</v>
      </c>
      <c r="S3355" s="16" t="str">
        <f t="shared" si="1403"/>
        <v>x</v>
      </c>
      <c r="T3355" s="11"/>
      <c r="U3355" s="46" t="str">
        <f t="shared" si="1393"/>
        <v/>
      </c>
      <c r="V3355" s="46">
        <f t="shared" si="1393"/>
        <v>11</v>
      </c>
      <c r="W3355" s="46" t="str">
        <f t="shared" si="1393"/>
        <v/>
      </c>
      <c r="X3355" s="46" t="str">
        <f t="shared" si="1393"/>
        <v/>
      </c>
    </row>
    <row r="3356" spans="2:24" x14ac:dyDescent="0.25">
      <c r="B3356" s="11" t="str">
        <f t="shared" si="1408"/>
        <v>LSVO-11OCT1913</v>
      </c>
      <c r="C3356" s="11" t="s">
        <v>1359</v>
      </c>
      <c r="D3356" s="11" t="s">
        <v>1699</v>
      </c>
      <c r="E3356" s="39" t="s">
        <v>1678</v>
      </c>
      <c r="F3356" s="11" t="s">
        <v>1700</v>
      </c>
      <c r="G3356" s="39" t="s">
        <v>1026</v>
      </c>
      <c r="H3356" s="7">
        <v>0</v>
      </c>
      <c r="I3356" s="7">
        <v>0</v>
      </c>
      <c r="J3356" s="17">
        <v>11</v>
      </c>
      <c r="K3356" s="17"/>
      <c r="L3356" s="7">
        <f t="shared" si="1409"/>
        <v>11</v>
      </c>
      <c r="M3356" s="8">
        <v>1</v>
      </c>
      <c r="N3356" s="8">
        <f t="shared" si="1410"/>
        <v>1</v>
      </c>
      <c r="O3356" s="11" t="s">
        <v>1702</v>
      </c>
      <c r="P3356" s="16" t="str">
        <f t="shared" si="1411"/>
        <v>11-Oct-1913</v>
      </c>
      <c r="R3356" s="16" t="str">
        <f t="shared" si="1403"/>
        <v>x</v>
      </c>
      <c r="S3356" s="16" t="str">
        <f t="shared" si="1403"/>
        <v>x</v>
      </c>
      <c r="T3356" s="11"/>
      <c r="U3356" s="46" t="str">
        <f t="shared" si="1393"/>
        <v/>
      </c>
      <c r="V3356" s="46">
        <f t="shared" si="1393"/>
        <v>11</v>
      </c>
      <c r="W3356" s="46" t="str">
        <f t="shared" si="1393"/>
        <v/>
      </c>
      <c r="X3356" s="46" t="str">
        <f t="shared" si="1393"/>
        <v/>
      </c>
    </row>
    <row r="3357" spans="2:24" x14ac:dyDescent="0.25">
      <c r="B3357" s="11" t="str">
        <f t="shared" si="1404"/>
        <v>LSVO-09NOV1913</v>
      </c>
      <c r="C3357" s="11" t="s">
        <v>1359</v>
      </c>
      <c r="D3357" s="11" t="s">
        <v>1699</v>
      </c>
      <c r="E3357" s="39" t="s">
        <v>1679</v>
      </c>
      <c r="F3357" s="11" t="s">
        <v>1700</v>
      </c>
      <c r="G3357" s="39" t="s">
        <v>1537</v>
      </c>
      <c r="H3357" s="7">
        <v>0</v>
      </c>
      <c r="I3357" s="7">
        <v>2</v>
      </c>
      <c r="J3357" s="17">
        <v>16</v>
      </c>
      <c r="K3357" s="17"/>
      <c r="L3357" s="7">
        <f t="shared" si="1405"/>
        <v>18</v>
      </c>
      <c r="M3357" s="8">
        <v>1</v>
      </c>
      <c r="N3357" s="8">
        <f t="shared" si="1406"/>
        <v>1</v>
      </c>
      <c r="O3357" s="11" t="s">
        <v>1702</v>
      </c>
      <c r="P3357" s="16" t="str">
        <f t="shared" si="1407"/>
        <v>09-Nov-1913</v>
      </c>
      <c r="R3357" s="16" t="str">
        <f t="shared" si="1403"/>
        <v>x</v>
      </c>
      <c r="S3357" s="16" t="str">
        <f t="shared" si="1403"/>
        <v>x</v>
      </c>
      <c r="T3357" s="11"/>
      <c r="U3357" s="46" t="str">
        <f t="shared" si="1393"/>
        <v/>
      </c>
      <c r="V3357" s="46">
        <f t="shared" si="1393"/>
        <v>18</v>
      </c>
      <c r="W3357" s="46" t="str">
        <f t="shared" si="1393"/>
        <v/>
      </c>
      <c r="X3357" s="46" t="str">
        <f t="shared" si="1393"/>
        <v/>
      </c>
    </row>
    <row r="3358" spans="2:24" x14ac:dyDescent="0.25">
      <c r="B3358" s="11" t="str">
        <f t="shared" si="1404"/>
        <v>LSVO-06DEC1913</v>
      </c>
      <c r="C3358" s="11" t="s">
        <v>1359</v>
      </c>
      <c r="D3358" s="11" t="s">
        <v>1699</v>
      </c>
      <c r="E3358" s="39" t="s">
        <v>1682</v>
      </c>
      <c r="F3358" s="11" t="s">
        <v>1700</v>
      </c>
      <c r="G3358" s="39" t="s">
        <v>1538</v>
      </c>
      <c r="H3358" s="7">
        <v>0</v>
      </c>
      <c r="I3358" s="7">
        <v>0</v>
      </c>
      <c r="J3358" s="17">
        <v>23</v>
      </c>
      <c r="K3358" s="17"/>
      <c r="L3358" s="7">
        <f t="shared" si="1405"/>
        <v>23</v>
      </c>
      <c r="M3358" s="8">
        <v>1</v>
      </c>
      <c r="N3358" s="8">
        <f t="shared" si="1406"/>
        <v>1</v>
      </c>
      <c r="O3358" s="11" t="s">
        <v>1702</v>
      </c>
      <c r="P3358" s="16" t="str">
        <f t="shared" si="1407"/>
        <v>06-Dec-1913</v>
      </c>
      <c r="R3358" s="16" t="str">
        <f t="shared" si="1403"/>
        <v>x</v>
      </c>
      <c r="S3358" s="16" t="str">
        <f t="shared" si="1403"/>
        <v>x</v>
      </c>
      <c r="T3358" s="11"/>
      <c r="U3358" s="46" t="str">
        <f t="shared" si="1393"/>
        <v/>
      </c>
      <c r="V3358" s="46">
        <f t="shared" si="1393"/>
        <v>23</v>
      </c>
      <c r="W3358" s="46" t="str">
        <f t="shared" si="1393"/>
        <v/>
      </c>
      <c r="X3358" s="46" t="str">
        <f t="shared" si="1393"/>
        <v/>
      </c>
    </row>
    <row r="3359" spans="2:24" x14ac:dyDescent="0.25">
      <c r="B3359" s="11" t="str">
        <f t="shared" si="1404"/>
        <v>LSVO-27DEC1913</v>
      </c>
      <c r="C3359" s="11" t="s">
        <v>1359</v>
      </c>
      <c r="D3359" s="11" t="s">
        <v>1699</v>
      </c>
      <c r="E3359" s="39" t="s">
        <v>1542</v>
      </c>
      <c r="F3359" s="11" t="s">
        <v>1700</v>
      </c>
      <c r="G3359" s="39" t="s">
        <v>1539</v>
      </c>
      <c r="H3359" s="7">
        <v>0</v>
      </c>
      <c r="I3359" s="7">
        <v>6</v>
      </c>
      <c r="J3359" s="17">
        <v>36</v>
      </c>
      <c r="K3359" s="17"/>
      <c r="L3359" s="7">
        <f t="shared" si="1405"/>
        <v>42</v>
      </c>
      <c r="M3359" s="8">
        <v>1</v>
      </c>
      <c r="N3359" s="8">
        <f t="shared" si="1406"/>
        <v>1</v>
      </c>
      <c r="O3359" s="11" t="s">
        <v>1702</v>
      </c>
      <c r="P3359" s="16" t="str">
        <f t="shared" si="1407"/>
        <v>27-Dec-1913</v>
      </c>
      <c r="R3359" s="16" t="str">
        <f t="shared" si="1403"/>
        <v>x</v>
      </c>
      <c r="S3359" s="16" t="str">
        <f t="shared" si="1403"/>
        <v>x</v>
      </c>
      <c r="T3359" s="11"/>
      <c r="U3359" s="46" t="str">
        <f t="shared" si="1393"/>
        <v/>
      </c>
      <c r="V3359" s="46">
        <f t="shared" si="1393"/>
        <v>42</v>
      </c>
      <c r="W3359" s="46" t="str">
        <f t="shared" si="1393"/>
        <v/>
      </c>
      <c r="X3359" s="46" t="str">
        <f t="shared" si="1393"/>
        <v/>
      </c>
    </row>
    <row r="3360" spans="2:24" x14ac:dyDescent="0.25">
      <c r="B3360" s="11" t="str">
        <f>CONCATENATE("LSVO","-",LEFT(P3360,2),UPPER(MID(P3360,4,3)),RIGHT(P3360,4))</f>
        <v>LSVO-26JAN1914</v>
      </c>
      <c r="C3360" s="11" t="s">
        <v>1359</v>
      </c>
      <c r="D3360" s="11" t="s">
        <v>1699</v>
      </c>
      <c r="E3360" s="39" t="s">
        <v>1350</v>
      </c>
      <c r="F3360" s="11" t="s">
        <v>1700</v>
      </c>
      <c r="G3360" s="39" t="s">
        <v>1543</v>
      </c>
      <c r="H3360" s="7">
        <v>0</v>
      </c>
      <c r="I3360" s="7">
        <v>0</v>
      </c>
      <c r="J3360" s="17">
        <v>2</v>
      </c>
      <c r="K3360" s="17"/>
      <c r="L3360" s="7">
        <f>SUM(H3360:K3360)</f>
        <v>2</v>
      </c>
      <c r="M3360" s="8">
        <v>1</v>
      </c>
      <c r="N3360" s="8">
        <f>IF(L3360&gt;0,1,"")</f>
        <v>1</v>
      </c>
      <c r="O3360" s="11" t="s">
        <v>1702</v>
      </c>
      <c r="P3360" s="16" t="str">
        <f>IF(LEN(G3360)=10,CONCATENATE("0",G3360),G3360)</f>
        <v>26-Jan-1914</v>
      </c>
      <c r="R3360" s="16" t="str">
        <f t="shared" si="1403"/>
        <v>x</v>
      </c>
      <c r="S3360" s="16" t="str">
        <f t="shared" si="1403"/>
        <v>x</v>
      </c>
      <c r="T3360" s="11"/>
      <c r="U3360" s="46" t="str">
        <f t="shared" si="1393"/>
        <v/>
      </c>
      <c r="V3360" s="46">
        <f t="shared" si="1393"/>
        <v>2</v>
      </c>
      <c r="W3360" s="46" t="str">
        <f t="shared" si="1393"/>
        <v/>
      </c>
      <c r="X3360" s="46" t="str">
        <f t="shared" si="1393"/>
        <v/>
      </c>
    </row>
    <row r="3361" spans="2:26" x14ac:dyDescent="0.25">
      <c r="B3361" s="11" t="str">
        <f t="shared" ref="B3361:B3366" si="1412">CONCATENATE("LSVO","-",LEFT(P3361,2),UPPER(MID(P3361,4,3)),RIGHT(P3361,4))</f>
        <v>LSVO-17FEB1914</v>
      </c>
      <c r="C3361" s="11" t="s">
        <v>1359</v>
      </c>
      <c r="D3361" s="11" t="s">
        <v>1699</v>
      </c>
      <c r="E3361" s="39" t="s">
        <v>1550</v>
      </c>
      <c r="F3361" s="11" t="s">
        <v>1700</v>
      </c>
      <c r="G3361" s="39" t="s">
        <v>1544</v>
      </c>
      <c r="H3361" s="7">
        <v>0</v>
      </c>
      <c r="I3361" s="7">
        <v>0</v>
      </c>
      <c r="J3361" s="17">
        <v>3</v>
      </c>
      <c r="K3361" s="17"/>
      <c r="L3361" s="7">
        <f t="shared" ref="L3361:L3366" si="1413">SUM(H3361:K3361)</f>
        <v>3</v>
      </c>
      <c r="M3361" s="8">
        <v>1</v>
      </c>
      <c r="N3361" s="8">
        <f t="shared" ref="N3361:N3366" si="1414">IF(L3361&gt;0,1,"")</f>
        <v>1</v>
      </c>
      <c r="O3361" s="11" t="s">
        <v>1702</v>
      </c>
      <c r="P3361" s="16" t="str">
        <f t="shared" ref="P3361:P3366" si="1415">IF(LEN(G3361)=10,CONCATENATE("0",G3361),G3361)</f>
        <v>17-Feb-1914</v>
      </c>
      <c r="R3361" s="16" t="str">
        <f t="shared" ref="R3361:S3389" si="1416">IF($L3361&gt;0,"x","")</f>
        <v>x</v>
      </c>
      <c r="S3361" s="16" t="str">
        <f t="shared" si="1416"/>
        <v>x</v>
      </c>
      <c r="U3361" s="46" t="str">
        <f t="shared" si="1393"/>
        <v/>
      </c>
      <c r="V3361" s="46">
        <f t="shared" si="1393"/>
        <v>3</v>
      </c>
      <c r="W3361" s="46" t="str">
        <f t="shared" si="1393"/>
        <v/>
      </c>
      <c r="X3361" s="46" t="str">
        <f t="shared" si="1393"/>
        <v/>
      </c>
    </row>
    <row r="3362" spans="2:26" x14ac:dyDescent="0.25">
      <c r="B3362" s="11" t="str">
        <f t="shared" si="1412"/>
        <v>LSVO-08MAR1914</v>
      </c>
      <c r="C3362" s="11" t="s">
        <v>1359</v>
      </c>
      <c r="D3362" s="11" t="s">
        <v>1699</v>
      </c>
      <c r="E3362" s="39" t="s">
        <v>1551</v>
      </c>
      <c r="F3362" s="11" t="s">
        <v>1700</v>
      </c>
      <c r="G3362" s="39" t="s">
        <v>1545</v>
      </c>
      <c r="H3362" s="7">
        <v>0</v>
      </c>
      <c r="I3362" s="7">
        <v>0</v>
      </c>
      <c r="J3362" s="17">
        <v>4</v>
      </c>
      <c r="K3362" s="17"/>
      <c r="L3362" s="7">
        <f t="shared" si="1413"/>
        <v>4</v>
      </c>
      <c r="M3362" s="8">
        <v>1</v>
      </c>
      <c r="N3362" s="8">
        <f t="shared" si="1414"/>
        <v>1</v>
      </c>
      <c r="O3362" s="11" t="s">
        <v>1702</v>
      </c>
      <c r="P3362" s="16" t="str">
        <f t="shared" si="1415"/>
        <v>08-Mar-1914</v>
      </c>
      <c r="R3362" s="16" t="str">
        <f t="shared" si="1416"/>
        <v>x</v>
      </c>
      <c r="S3362" s="16" t="str">
        <f t="shared" si="1416"/>
        <v>x</v>
      </c>
      <c r="U3362" s="46" t="str">
        <f t="shared" si="1393"/>
        <v/>
      </c>
      <c r="V3362" s="46">
        <f t="shared" si="1393"/>
        <v>4</v>
      </c>
      <c r="W3362" s="46" t="str">
        <f t="shared" si="1393"/>
        <v/>
      </c>
      <c r="X3362" s="46" t="str">
        <f t="shared" si="1393"/>
        <v/>
      </c>
    </row>
    <row r="3363" spans="2:26" x14ac:dyDescent="0.25">
      <c r="B3363" s="11" t="str">
        <f t="shared" si="1412"/>
        <v>LSVO-19APR1914</v>
      </c>
      <c r="C3363" s="11" t="s">
        <v>1359</v>
      </c>
      <c r="D3363" s="11" t="s">
        <v>1699</v>
      </c>
      <c r="E3363" s="39" t="s">
        <v>1031</v>
      </c>
      <c r="F3363" s="11" t="s">
        <v>1700</v>
      </c>
      <c r="G3363" s="39" t="s">
        <v>1546</v>
      </c>
      <c r="H3363" s="7">
        <v>0</v>
      </c>
      <c r="I3363" s="7">
        <v>3</v>
      </c>
      <c r="J3363" s="17">
        <v>7</v>
      </c>
      <c r="K3363" s="17"/>
      <c r="L3363" s="7">
        <f t="shared" si="1413"/>
        <v>10</v>
      </c>
      <c r="M3363" s="8">
        <v>1</v>
      </c>
      <c r="N3363" s="8">
        <f t="shared" si="1414"/>
        <v>1</v>
      </c>
      <c r="O3363" s="11" t="s">
        <v>1702</v>
      </c>
      <c r="P3363" s="16" t="str">
        <f t="shared" si="1415"/>
        <v>19-Apr-1914</v>
      </c>
      <c r="R3363" s="16" t="str">
        <f t="shared" si="1416"/>
        <v>x</v>
      </c>
      <c r="S3363" s="16" t="str">
        <f t="shared" si="1416"/>
        <v>x</v>
      </c>
      <c r="U3363" s="46" t="str">
        <f t="shared" si="1393"/>
        <v/>
      </c>
      <c r="V3363" s="46">
        <f t="shared" si="1393"/>
        <v>10</v>
      </c>
      <c r="W3363" s="46" t="str">
        <f t="shared" si="1393"/>
        <v/>
      </c>
      <c r="X3363" s="46" t="str">
        <f t="shared" si="1393"/>
        <v/>
      </c>
    </row>
    <row r="3364" spans="2:26" x14ac:dyDescent="0.25">
      <c r="B3364" s="11" t="str">
        <f t="shared" si="1412"/>
        <v>LSVO-07JUN1914</v>
      </c>
      <c r="C3364" s="11" t="s">
        <v>1359</v>
      </c>
      <c r="D3364" s="11" t="s">
        <v>1699</v>
      </c>
      <c r="E3364" s="39" t="s">
        <v>1552</v>
      </c>
      <c r="F3364" s="11" t="s">
        <v>1700</v>
      </c>
      <c r="G3364" s="39" t="s">
        <v>1547</v>
      </c>
      <c r="H3364" s="7">
        <v>0</v>
      </c>
      <c r="I3364" s="7">
        <v>1</v>
      </c>
      <c r="J3364" s="17">
        <v>8</v>
      </c>
      <c r="K3364" s="17"/>
      <c r="L3364" s="7">
        <f t="shared" si="1413"/>
        <v>9</v>
      </c>
      <c r="M3364" s="8">
        <v>1</v>
      </c>
      <c r="N3364" s="8">
        <f t="shared" si="1414"/>
        <v>1</v>
      </c>
      <c r="O3364" s="11" t="s">
        <v>1702</v>
      </c>
      <c r="P3364" s="16" t="str">
        <f t="shared" si="1415"/>
        <v>07-Jun-1914</v>
      </c>
      <c r="R3364" s="16" t="str">
        <f t="shared" si="1416"/>
        <v>x</v>
      </c>
      <c r="S3364" s="16" t="str">
        <f t="shared" si="1416"/>
        <v>x</v>
      </c>
      <c r="U3364" s="46" t="str">
        <f t="shared" si="1393"/>
        <v/>
      </c>
      <c r="V3364" s="46">
        <f t="shared" si="1393"/>
        <v>9</v>
      </c>
      <c r="W3364" s="46" t="str">
        <f t="shared" si="1393"/>
        <v/>
      </c>
      <c r="X3364" s="46" t="str">
        <f t="shared" si="1393"/>
        <v/>
      </c>
    </row>
    <row r="3365" spans="2:26" x14ac:dyDescent="0.25">
      <c r="B3365" s="11" t="str">
        <f t="shared" si="1412"/>
        <v>LSVO-28JUN1914</v>
      </c>
      <c r="C3365" s="11" t="s">
        <v>1359</v>
      </c>
      <c r="D3365" s="11" t="s">
        <v>1699</v>
      </c>
      <c r="E3365" s="39" t="s">
        <v>1553</v>
      </c>
      <c r="F3365" s="11" t="s">
        <v>1700</v>
      </c>
      <c r="G3365" s="39" t="s">
        <v>1548</v>
      </c>
      <c r="H3365" s="7">
        <v>0</v>
      </c>
      <c r="I3365" s="7">
        <v>2</v>
      </c>
      <c r="J3365" s="17">
        <v>17</v>
      </c>
      <c r="K3365" s="17"/>
      <c r="L3365" s="7">
        <f t="shared" si="1413"/>
        <v>19</v>
      </c>
      <c r="M3365" s="8">
        <v>1</v>
      </c>
      <c r="N3365" s="8">
        <f t="shared" si="1414"/>
        <v>1</v>
      </c>
      <c r="O3365" s="11" t="s">
        <v>1702</v>
      </c>
      <c r="P3365" s="16" t="str">
        <f t="shared" si="1415"/>
        <v>28-Jun-1914</v>
      </c>
      <c r="R3365" s="16" t="str">
        <f t="shared" si="1416"/>
        <v>x</v>
      </c>
      <c r="S3365" s="16" t="str">
        <f t="shared" si="1416"/>
        <v>x</v>
      </c>
      <c r="U3365" s="46" t="str">
        <f t="shared" si="1393"/>
        <v/>
      </c>
      <c r="V3365" s="46">
        <f t="shared" si="1393"/>
        <v>19</v>
      </c>
      <c r="W3365" s="46" t="str">
        <f t="shared" si="1393"/>
        <v/>
      </c>
      <c r="X3365" s="46" t="str">
        <f t="shared" si="1393"/>
        <v/>
      </c>
    </row>
    <row r="3366" spans="2:26" x14ac:dyDescent="0.25">
      <c r="B3366" s="11" t="str">
        <f t="shared" si="1412"/>
        <v>LSVO-26JUL1914</v>
      </c>
      <c r="C3366" s="11" t="s">
        <v>1359</v>
      </c>
      <c r="D3366" s="11" t="s">
        <v>1699</v>
      </c>
      <c r="E3366" s="39" t="s">
        <v>1554</v>
      </c>
      <c r="F3366" s="11" t="s">
        <v>1700</v>
      </c>
      <c r="G3366" s="39" t="s">
        <v>1549</v>
      </c>
      <c r="H3366" s="7">
        <v>0</v>
      </c>
      <c r="I3366" s="7">
        <v>0</v>
      </c>
      <c r="J3366" s="17">
        <v>5</v>
      </c>
      <c r="K3366" s="17"/>
      <c r="L3366" s="7">
        <f t="shared" si="1413"/>
        <v>5</v>
      </c>
      <c r="M3366" s="8">
        <v>1</v>
      </c>
      <c r="N3366" s="8">
        <f t="shared" si="1414"/>
        <v>1</v>
      </c>
      <c r="O3366" s="11" t="s">
        <v>1702</v>
      </c>
      <c r="P3366" s="16" t="str">
        <f t="shared" si="1415"/>
        <v>26-Jul-1914</v>
      </c>
      <c r="R3366" s="16" t="str">
        <f t="shared" si="1416"/>
        <v>x</v>
      </c>
      <c r="S3366" s="16" t="str">
        <f t="shared" si="1416"/>
        <v>x</v>
      </c>
      <c r="U3366" s="46" t="str">
        <f t="shared" si="1393"/>
        <v/>
      </c>
      <c r="V3366" s="46">
        <f t="shared" si="1393"/>
        <v>5</v>
      </c>
      <c r="W3366" s="46" t="str">
        <f t="shared" si="1393"/>
        <v/>
      </c>
      <c r="X3366" s="46" t="str">
        <f t="shared" si="1393"/>
        <v/>
      </c>
    </row>
    <row r="3367" spans="2:26" x14ac:dyDescent="0.25">
      <c r="B3367" s="11" t="str">
        <f>CONCATENATE("LSVO","-",LEFT(P3367,2),UPPER(MID(P3367,4,3)),RIGHT(P3367,4))</f>
        <v>LSVO-05MAY1919</v>
      </c>
      <c r="C3367" s="11" t="s">
        <v>1359</v>
      </c>
      <c r="D3367" s="11" t="s">
        <v>1699</v>
      </c>
      <c r="E3367" s="39" t="s">
        <v>1562</v>
      </c>
      <c r="F3367" s="11" t="s">
        <v>1700</v>
      </c>
      <c r="G3367" s="39" t="s">
        <v>1555</v>
      </c>
      <c r="H3367" s="7">
        <v>1</v>
      </c>
      <c r="I3367" s="7">
        <v>0</v>
      </c>
      <c r="J3367" s="17">
        <v>0</v>
      </c>
      <c r="K3367" s="17"/>
      <c r="L3367" s="7">
        <f>SUM(H3367:K3367)</f>
        <v>1</v>
      </c>
      <c r="M3367" s="8">
        <v>1</v>
      </c>
      <c r="N3367" s="8">
        <f>IF(L3367&gt;0,1,"")</f>
        <v>1</v>
      </c>
      <c r="O3367" s="11" t="s">
        <v>1702</v>
      </c>
      <c r="P3367" s="16" t="str">
        <f>IF(LEN(G3367)=10,CONCATENATE("0",G3367),G3367)</f>
        <v>05-May-1919</v>
      </c>
      <c r="R3367" s="16" t="str">
        <f t="shared" si="1416"/>
        <v>x</v>
      </c>
      <c r="S3367" s="16" t="str">
        <f t="shared" si="1416"/>
        <v>x</v>
      </c>
      <c r="U3367" s="46" t="str">
        <f t="shared" si="1393"/>
        <v/>
      </c>
      <c r="V3367" s="46">
        <f t="shared" si="1393"/>
        <v>1</v>
      </c>
      <c r="W3367" s="46" t="str">
        <f t="shared" si="1393"/>
        <v/>
      </c>
      <c r="X3367" s="46" t="str">
        <f t="shared" si="1393"/>
        <v/>
      </c>
      <c r="Z3367" s="11" t="s">
        <v>1563</v>
      </c>
    </row>
    <row r="3368" spans="2:26" x14ac:dyDescent="0.25">
      <c r="B3368" s="11" t="str">
        <f t="shared" ref="B3368:B3385" si="1417">CONCATENATE("LSVO","-",LEFT(P3368,2),UPPER(MID(P3368,4,3)),RIGHT(P3368,4))</f>
        <v>LSVO-09JUN1919</v>
      </c>
      <c r="C3368" s="11" t="s">
        <v>1359</v>
      </c>
      <c r="D3368" s="11" t="s">
        <v>1699</v>
      </c>
      <c r="E3368" s="39" t="s">
        <v>1564</v>
      </c>
      <c r="F3368" s="11" t="s">
        <v>1700</v>
      </c>
      <c r="G3368" s="39" t="s">
        <v>1556</v>
      </c>
      <c r="H3368" s="7">
        <v>0</v>
      </c>
      <c r="I3368" s="7">
        <v>0</v>
      </c>
      <c r="J3368" s="17">
        <v>0</v>
      </c>
      <c r="K3368" s="17"/>
      <c r="L3368" s="7">
        <f t="shared" ref="L3368:L3385" si="1418">SUM(H3368:K3368)</f>
        <v>0</v>
      </c>
      <c r="M3368" s="8">
        <v>1</v>
      </c>
      <c r="N3368" s="8" t="str">
        <f t="shared" ref="N3368:N3385" si="1419">IF(L3368&gt;0,1,"")</f>
        <v/>
      </c>
      <c r="O3368" s="11" t="s">
        <v>1702</v>
      </c>
      <c r="P3368" s="16" t="str">
        <f t="shared" ref="P3368:P3385" si="1420">IF(LEN(G3368)=10,CONCATENATE("0",G3368),G3368)</f>
        <v>09-Jun-1919</v>
      </c>
      <c r="R3368" s="16" t="str">
        <f t="shared" si="1416"/>
        <v/>
      </c>
      <c r="S3368" s="16" t="str">
        <f t="shared" si="1416"/>
        <v/>
      </c>
      <c r="U3368" s="46" t="str">
        <f t="shared" si="1393"/>
        <v/>
      </c>
      <c r="V3368" s="46">
        <f t="shared" si="1393"/>
        <v>0</v>
      </c>
      <c r="W3368" s="46" t="str">
        <f t="shared" si="1393"/>
        <v/>
      </c>
      <c r="X3368" s="46" t="str">
        <f t="shared" si="1393"/>
        <v/>
      </c>
    </row>
    <row r="3369" spans="2:26" x14ac:dyDescent="0.25">
      <c r="B3369" s="11" t="str">
        <f t="shared" si="1417"/>
        <v>LSVO-08JUL1919</v>
      </c>
      <c r="C3369" s="11" t="s">
        <v>1359</v>
      </c>
      <c r="D3369" s="11" t="s">
        <v>1699</v>
      </c>
      <c r="E3369" s="39" t="s">
        <v>1565</v>
      </c>
      <c r="F3369" s="11" t="s">
        <v>1700</v>
      </c>
      <c r="G3369" s="39" t="s">
        <v>1557</v>
      </c>
      <c r="H3369" s="7">
        <v>0</v>
      </c>
      <c r="I3369" s="7">
        <v>2</v>
      </c>
      <c r="J3369" s="17">
        <v>21</v>
      </c>
      <c r="K3369" s="17"/>
      <c r="L3369" s="7">
        <f t="shared" si="1418"/>
        <v>23</v>
      </c>
      <c r="M3369" s="8">
        <v>1</v>
      </c>
      <c r="N3369" s="8">
        <f t="shared" si="1419"/>
        <v>1</v>
      </c>
      <c r="O3369" s="11" t="s">
        <v>1702</v>
      </c>
      <c r="P3369" s="16" t="str">
        <f t="shared" si="1420"/>
        <v>08-Jul-1919</v>
      </c>
      <c r="R3369" s="16" t="str">
        <f t="shared" si="1416"/>
        <v>x</v>
      </c>
      <c r="S3369" s="16" t="str">
        <f t="shared" si="1416"/>
        <v>x</v>
      </c>
      <c r="U3369" s="46" t="str">
        <f t="shared" si="1393"/>
        <v/>
      </c>
      <c r="V3369" s="46">
        <f t="shared" si="1393"/>
        <v>23</v>
      </c>
      <c r="W3369" s="46" t="str">
        <f t="shared" si="1393"/>
        <v/>
      </c>
      <c r="X3369" s="46" t="str">
        <f t="shared" si="1393"/>
        <v/>
      </c>
    </row>
    <row r="3370" spans="2:26" x14ac:dyDescent="0.25">
      <c r="B3370" s="11" t="str">
        <f t="shared" si="1417"/>
        <v>LSVO-09AUG1919</v>
      </c>
      <c r="C3370" s="11" t="s">
        <v>1359</v>
      </c>
      <c r="D3370" s="11" t="s">
        <v>1699</v>
      </c>
      <c r="E3370" s="39" t="s">
        <v>1566</v>
      </c>
      <c r="F3370" s="11" t="s">
        <v>1700</v>
      </c>
      <c r="G3370" s="39" t="s">
        <v>1558</v>
      </c>
      <c r="H3370" s="7">
        <v>0</v>
      </c>
      <c r="I3370" s="7">
        <v>1</v>
      </c>
      <c r="J3370" s="17">
        <v>2</v>
      </c>
      <c r="K3370" s="17"/>
      <c r="L3370" s="7">
        <f t="shared" si="1418"/>
        <v>3</v>
      </c>
      <c r="M3370" s="8">
        <v>1</v>
      </c>
      <c r="N3370" s="8">
        <f t="shared" si="1419"/>
        <v>1</v>
      </c>
      <c r="O3370" s="11" t="s">
        <v>1702</v>
      </c>
      <c r="P3370" s="16" t="str">
        <f t="shared" si="1420"/>
        <v>09-Aug-1919</v>
      </c>
      <c r="R3370" s="16" t="str">
        <f t="shared" si="1416"/>
        <v>x</v>
      </c>
      <c r="S3370" s="16" t="str">
        <f t="shared" si="1416"/>
        <v>x</v>
      </c>
      <c r="U3370" s="46" t="str">
        <f t="shared" si="1393"/>
        <v/>
      </c>
      <c r="V3370" s="46">
        <f t="shared" si="1393"/>
        <v>3</v>
      </c>
      <c r="W3370" s="46" t="str">
        <f t="shared" si="1393"/>
        <v/>
      </c>
      <c r="X3370" s="46" t="str">
        <f t="shared" si="1393"/>
        <v/>
      </c>
    </row>
    <row r="3371" spans="2:26" x14ac:dyDescent="0.25">
      <c r="B3371" s="11" t="str">
        <f t="shared" si="1417"/>
        <v>LSVO-08SEP1919</v>
      </c>
      <c r="C3371" s="11" t="s">
        <v>1359</v>
      </c>
      <c r="D3371" s="11" t="s">
        <v>1699</v>
      </c>
      <c r="E3371" s="39" t="s">
        <v>1567</v>
      </c>
      <c r="F3371" s="11" t="s">
        <v>1700</v>
      </c>
      <c r="G3371" s="39" t="s">
        <v>1559</v>
      </c>
      <c r="H3371" s="7">
        <v>0</v>
      </c>
      <c r="I3371" s="7">
        <v>3</v>
      </c>
      <c r="J3371" s="17">
        <v>0</v>
      </c>
      <c r="K3371" s="17"/>
      <c r="L3371" s="7">
        <f t="shared" si="1418"/>
        <v>3</v>
      </c>
      <c r="M3371" s="8">
        <v>1</v>
      </c>
      <c r="N3371" s="8">
        <f t="shared" si="1419"/>
        <v>1</v>
      </c>
      <c r="O3371" s="11" t="s">
        <v>1702</v>
      </c>
      <c r="P3371" s="16" t="str">
        <f t="shared" si="1420"/>
        <v>08-Sep-1919</v>
      </c>
      <c r="R3371" s="16" t="str">
        <f t="shared" si="1416"/>
        <v>x</v>
      </c>
      <c r="S3371" s="16" t="str">
        <f t="shared" si="1416"/>
        <v>x</v>
      </c>
      <c r="U3371" s="46" t="str">
        <f t="shared" si="1393"/>
        <v/>
      </c>
      <c r="V3371" s="46">
        <f t="shared" si="1393"/>
        <v>3</v>
      </c>
      <c r="W3371" s="46" t="str">
        <f t="shared" si="1393"/>
        <v/>
      </c>
      <c r="X3371" s="46" t="str">
        <f t="shared" si="1393"/>
        <v/>
      </c>
    </row>
    <row r="3372" spans="2:26" x14ac:dyDescent="0.25">
      <c r="B3372" s="11" t="str">
        <f t="shared" si="1417"/>
        <v>LSVO-12OCT1919</v>
      </c>
      <c r="C3372" s="11" t="s">
        <v>1359</v>
      </c>
      <c r="D3372" s="11" t="s">
        <v>1699</v>
      </c>
      <c r="E3372" s="39" t="s">
        <v>1568</v>
      </c>
      <c r="F3372" s="11" t="s">
        <v>1700</v>
      </c>
      <c r="G3372" s="39" t="s">
        <v>1560</v>
      </c>
      <c r="H3372" s="7">
        <v>1</v>
      </c>
      <c r="I3372" s="7">
        <v>0</v>
      </c>
      <c r="J3372" s="17">
        <f>4+1</f>
        <v>5</v>
      </c>
      <c r="K3372" s="17"/>
      <c r="L3372" s="7">
        <f t="shared" si="1418"/>
        <v>6</v>
      </c>
      <c r="M3372" s="8">
        <v>1</v>
      </c>
      <c r="N3372" s="8">
        <f t="shared" si="1419"/>
        <v>1</v>
      </c>
      <c r="O3372" s="11" t="s">
        <v>1702</v>
      </c>
      <c r="P3372" s="16" t="str">
        <f t="shared" si="1420"/>
        <v>12-Oct-1919</v>
      </c>
      <c r="R3372" s="16" t="str">
        <f t="shared" si="1416"/>
        <v>x</v>
      </c>
      <c r="S3372" s="16" t="str">
        <f t="shared" si="1416"/>
        <v>x</v>
      </c>
      <c r="U3372" s="46" t="str">
        <f t="shared" si="1393"/>
        <v/>
      </c>
      <c r="V3372" s="46">
        <f t="shared" si="1393"/>
        <v>6</v>
      </c>
      <c r="W3372" s="46" t="str">
        <f t="shared" si="1393"/>
        <v/>
      </c>
      <c r="X3372" s="46" t="str">
        <f t="shared" si="1393"/>
        <v/>
      </c>
    </row>
    <row r="3373" spans="2:26" x14ac:dyDescent="0.25">
      <c r="B3373" s="11" t="str">
        <f t="shared" si="1417"/>
        <v>LSVO-22NOV1919</v>
      </c>
      <c r="C3373" s="11" t="s">
        <v>1359</v>
      </c>
      <c r="D3373" s="11" t="s">
        <v>1699</v>
      </c>
      <c r="E3373" s="39" t="s">
        <v>1569</v>
      </c>
      <c r="F3373" s="11" t="s">
        <v>1700</v>
      </c>
      <c r="G3373" s="39" t="s">
        <v>2023</v>
      </c>
      <c r="H3373" s="7">
        <v>4</v>
      </c>
      <c r="I3373" s="7">
        <v>0</v>
      </c>
      <c r="J3373" s="17">
        <v>0</v>
      </c>
      <c r="K3373" s="17"/>
      <c r="L3373" s="7">
        <f t="shared" si="1418"/>
        <v>4</v>
      </c>
      <c r="M3373" s="8">
        <v>1</v>
      </c>
      <c r="N3373" s="8">
        <f t="shared" si="1419"/>
        <v>1</v>
      </c>
      <c r="O3373" s="11" t="s">
        <v>1702</v>
      </c>
      <c r="P3373" s="16" t="str">
        <f t="shared" si="1420"/>
        <v>22-Nov-1919</v>
      </c>
      <c r="R3373" s="16" t="str">
        <f t="shared" si="1416"/>
        <v>x</v>
      </c>
      <c r="S3373" s="16" t="str">
        <f t="shared" si="1416"/>
        <v>x</v>
      </c>
      <c r="U3373" s="46" t="str">
        <f t="shared" si="1393"/>
        <v/>
      </c>
      <c r="V3373" s="46">
        <f t="shared" si="1393"/>
        <v>4</v>
      </c>
      <c r="W3373" s="46" t="str">
        <f t="shared" si="1393"/>
        <v/>
      </c>
      <c r="X3373" s="46" t="str">
        <f t="shared" si="1393"/>
        <v/>
      </c>
    </row>
    <row r="3374" spans="2:26" x14ac:dyDescent="0.25">
      <c r="B3374" s="11" t="str">
        <f t="shared" si="1417"/>
        <v>LSVO-30DEC1919</v>
      </c>
      <c r="C3374" s="11" t="s">
        <v>1359</v>
      </c>
      <c r="D3374" s="11" t="s">
        <v>1699</v>
      </c>
      <c r="E3374" s="39" t="s">
        <v>1570</v>
      </c>
      <c r="F3374" s="11" t="s">
        <v>1700</v>
      </c>
      <c r="G3374" s="39" t="s">
        <v>1561</v>
      </c>
      <c r="H3374" s="7">
        <v>2</v>
      </c>
      <c r="I3374" s="7">
        <v>1</v>
      </c>
      <c r="J3374" s="17">
        <v>4</v>
      </c>
      <c r="K3374" s="17"/>
      <c r="L3374" s="7">
        <f t="shared" si="1418"/>
        <v>7</v>
      </c>
      <c r="M3374" s="8">
        <v>1</v>
      </c>
      <c r="N3374" s="8">
        <f t="shared" si="1419"/>
        <v>1</v>
      </c>
      <c r="O3374" s="11" t="s">
        <v>1702</v>
      </c>
      <c r="P3374" s="16" t="str">
        <f t="shared" si="1420"/>
        <v>30-Dec-1919</v>
      </c>
      <c r="R3374" s="16" t="str">
        <f t="shared" si="1416"/>
        <v>x</v>
      </c>
      <c r="S3374" s="16" t="str">
        <f t="shared" si="1416"/>
        <v>x</v>
      </c>
      <c r="U3374" s="46" t="str">
        <f t="shared" si="1393"/>
        <v/>
      </c>
      <c r="V3374" s="46">
        <f t="shared" si="1393"/>
        <v>7</v>
      </c>
      <c r="W3374" s="46" t="str">
        <f t="shared" si="1393"/>
        <v/>
      </c>
      <c r="X3374" s="46" t="str">
        <f t="shared" si="1393"/>
        <v/>
      </c>
    </row>
    <row r="3375" spans="2:26" x14ac:dyDescent="0.25">
      <c r="B3375" s="11" t="str">
        <f t="shared" si="1417"/>
        <v>LSVO-27JAN1920</v>
      </c>
      <c r="C3375" s="11" t="s">
        <v>1359</v>
      </c>
      <c r="D3375" s="11" t="s">
        <v>1699</v>
      </c>
      <c r="E3375" s="39" t="s">
        <v>1581</v>
      </c>
      <c r="F3375" s="11" t="s">
        <v>1700</v>
      </c>
      <c r="G3375" s="39" t="s">
        <v>2027</v>
      </c>
      <c r="H3375" s="7">
        <v>1</v>
      </c>
      <c r="I3375" s="7">
        <v>0</v>
      </c>
      <c r="J3375" s="17">
        <v>14</v>
      </c>
      <c r="K3375" s="17"/>
      <c r="L3375" s="7">
        <f t="shared" si="1418"/>
        <v>15</v>
      </c>
      <c r="M3375" s="8">
        <v>1</v>
      </c>
      <c r="N3375" s="8">
        <f t="shared" si="1419"/>
        <v>1</v>
      </c>
      <c r="O3375" s="11" t="s">
        <v>1702</v>
      </c>
      <c r="P3375" s="16" t="str">
        <f t="shared" si="1420"/>
        <v>27-Jan-1920</v>
      </c>
      <c r="R3375" s="16" t="str">
        <f t="shared" si="1416"/>
        <v>x</v>
      </c>
      <c r="S3375" s="16" t="str">
        <f t="shared" si="1416"/>
        <v>x</v>
      </c>
      <c r="U3375" s="46" t="str">
        <f t="shared" si="1393"/>
        <v/>
      </c>
      <c r="V3375" s="46">
        <f t="shared" si="1393"/>
        <v>15</v>
      </c>
      <c r="W3375" s="46" t="str">
        <f t="shared" si="1393"/>
        <v/>
      </c>
      <c r="X3375" s="46" t="str">
        <f>IF($O3375=X$5,$L3375,"")</f>
        <v/>
      </c>
    </row>
    <row r="3376" spans="2:26" x14ac:dyDescent="0.25">
      <c r="B3376" s="11" t="str">
        <f t="shared" ref="B3376:B3382" si="1421">CONCATENATE("LSVO","-",LEFT(P3376,2),UPPER(MID(P3376,4,3)),RIGHT(P3376,4))</f>
        <v>LSVO-23FEB1920</v>
      </c>
      <c r="C3376" s="11" t="s">
        <v>1359</v>
      </c>
      <c r="D3376" s="11" t="s">
        <v>1699</v>
      </c>
      <c r="E3376" s="39" t="s">
        <v>1582</v>
      </c>
      <c r="F3376" s="11" t="s">
        <v>1700</v>
      </c>
      <c r="G3376" s="39" t="s">
        <v>1571</v>
      </c>
      <c r="H3376" s="7">
        <v>0</v>
      </c>
      <c r="I3376" s="7">
        <v>3</v>
      </c>
      <c r="J3376" s="17">
        <v>5</v>
      </c>
      <c r="K3376" s="17"/>
      <c r="L3376" s="7">
        <f t="shared" ref="L3376:L3382" si="1422">SUM(H3376:K3376)</f>
        <v>8</v>
      </c>
      <c r="M3376" s="8">
        <v>1</v>
      </c>
      <c r="N3376" s="8">
        <f t="shared" ref="N3376:N3382" si="1423">IF(L3376&gt;0,1,"")</f>
        <v>1</v>
      </c>
      <c r="O3376" s="11" t="s">
        <v>1702</v>
      </c>
      <c r="P3376" s="16" t="str">
        <f t="shared" ref="P3376:P3382" si="1424">IF(LEN(G3376)=10,CONCATENATE("0",G3376),G3376)</f>
        <v>23-Feb-1920</v>
      </c>
      <c r="R3376" s="16" t="str">
        <f t="shared" si="1416"/>
        <v>x</v>
      </c>
      <c r="S3376" s="16" t="str">
        <f t="shared" si="1416"/>
        <v>x</v>
      </c>
      <c r="U3376" s="46" t="str">
        <f t="shared" ref="U3376:X3447" si="1425">IF($O3376=U$5,$L3376,"")</f>
        <v/>
      </c>
      <c r="V3376" s="46">
        <f t="shared" si="1425"/>
        <v>8</v>
      </c>
      <c r="W3376" s="46" t="str">
        <f t="shared" si="1425"/>
        <v/>
      </c>
      <c r="X3376" s="46" t="str">
        <f t="shared" si="1425"/>
        <v/>
      </c>
    </row>
    <row r="3377" spans="2:26" x14ac:dyDescent="0.25">
      <c r="B3377" s="11" t="str">
        <f t="shared" si="1421"/>
        <v>LSVO-23MAR1920</v>
      </c>
      <c r="C3377" s="11" t="s">
        <v>1359</v>
      </c>
      <c r="D3377" s="11" t="s">
        <v>1699</v>
      </c>
      <c r="E3377" s="39" t="s">
        <v>1583</v>
      </c>
      <c r="F3377" s="11" t="s">
        <v>1700</v>
      </c>
      <c r="G3377" s="39" t="s">
        <v>1572</v>
      </c>
      <c r="H3377" s="7">
        <v>3</v>
      </c>
      <c r="I3377" s="7">
        <v>0</v>
      </c>
      <c r="J3377" s="17">
        <v>0</v>
      </c>
      <c r="K3377" s="17"/>
      <c r="L3377" s="7">
        <f t="shared" si="1422"/>
        <v>3</v>
      </c>
      <c r="M3377" s="8">
        <v>1</v>
      </c>
      <c r="N3377" s="8">
        <f t="shared" si="1423"/>
        <v>1</v>
      </c>
      <c r="O3377" s="11" t="s">
        <v>1702</v>
      </c>
      <c r="P3377" s="16" t="str">
        <f t="shared" si="1424"/>
        <v>23-Mar-1920</v>
      </c>
      <c r="R3377" s="16" t="str">
        <f t="shared" si="1416"/>
        <v>x</v>
      </c>
      <c r="S3377" s="16" t="str">
        <f t="shared" si="1416"/>
        <v>x</v>
      </c>
      <c r="U3377" s="46" t="str">
        <f t="shared" si="1425"/>
        <v/>
      </c>
      <c r="V3377" s="46">
        <f t="shared" si="1425"/>
        <v>3</v>
      </c>
      <c r="W3377" s="46" t="str">
        <f t="shared" si="1425"/>
        <v/>
      </c>
      <c r="X3377" s="46" t="str">
        <f t="shared" si="1425"/>
        <v/>
      </c>
    </row>
    <row r="3378" spans="2:26" x14ac:dyDescent="0.25">
      <c r="B3378" s="11" t="str">
        <f t="shared" si="1421"/>
        <v>LSVO-30MAY1920</v>
      </c>
      <c r="C3378" s="11" t="s">
        <v>1359</v>
      </c>
      <c r="D3378" s="11" t="s">
        <v>1699</v>
      </c>
      <c r="E3378" s="39" t="s">
        <v>1584</v>
      </c>
      <c r="F3378" s="11" t="s">
        <v>1700</v>
      </c>
      <c r="G3378" s="39" t="s">
        <v>1573</v>
      </c>
      <c r="H3378" s="7">
        <v>2</v>
      </c>
      <c r="I3378" s="7">
        <v>1</v>
      </c>
      <c r="J3378" s="17">
        <v>21</v>
      </c>
      <c r="K3378" s="17"/>
      <c r="L3378" s="7">
        <f t="shared" si="1422"/>
        <v>24</v>
      </c>
      <c r="M3378" s="8">
        <v>1</v>
      </c>
      <c r="N3378" s="8">
        <f t="shared" si="1423"/>
        <v>1</v>
      </c>
      <c r="O3378" s="11" t="s">
        <v>1702</v>
      </c>
      <c r="P3378" s="16" t="str">
        <f t="shared" si="1424"/>
        <v>30-May-1920</v>
      </c>
      <c r="R3378" s="16" t="str">
        <f t="shared" si="1416"/>
        <v>x</v>
      </c>
      <c r="S3378" s="16" t="str">
        <f t="shared" si="1416"/>
        <v>x</v>
      </c>
      <c r="U3378" s="46" t="str">
        <f t="shared" si="1425"/>
        <v/>
      </c>
      <c r="V3378" s="46">
        <f t="shared" si="1425"/>
        <v>24</v>
      </c>
      <c r="W3378" s="46" t="str">
        <f t="shared" si="1425"/>
        <v/>
      </c>
      <c r="X3378" s="46" t="str">
        <f t="shared" si="1425"/>
        <v/>
      </c>
    </row>
    <row r="3379" spans="2:26" x14ac:dyDescent="0.25">
      <c r="B3379" s="11" t="str">
        <f t="shared" si="1421"/>
        <v>LSVO-28JUN1920</v>
      </c>
      <c r="C3379" s="11" t="s">
        <v>1359</v>
      </c>
      <c r="D3379" s="11" t="s">
        <v>1699</v>
      </c>
      <c r="E3379" s="39" t="s">
        <v>1585</v>
      </c>
      <c r="F3379" s="11" t="s">
        <v>1700</v>
      </c>
      <c r="G3379" s="39" t="s">
        <v>1574</v>
      </c>
      <c r="H3379" s="7">
        <v>2</v>
      </c>
      <c r="I3379" s="7">
        <v>4</v>
      </c>
      <c r="J3379" s="17">
        <v>22</v>
      </c>
      <c r="K3379" s="17"/>
      <c r="L3379" s="7">
        <f t="shared" si="1422"/>
        <v>28</v>
      </c>
      <c r="M3379" s="8">
        <v>1</v>
      </c>
      <c r="N3379" s="8">
        <f t="shared" si="1423"/>
        <v>1</v>
      </c>
      <c r="O3379" s="11" t="s">
        <v>1702</v>
      </c>
      <c r="P3379" s="16" t="str">
        <f t="shared" si="1424"/>
        <v>28-Jun-1920</v>
      </c>
      <c r="R3379" s="16" t="str">
        <f t="shared" si="1416"/>
        <v>x</v>
      </c>
      <c r="S3379" s="16" t="str">
        <f t="shared" si="1416"/>
        <v>x</v>
      </c>
      <c r="U3379" s="46" t="str">
        <f t="shared" si="1425"/>
        <v/>
      </c>
      <c r="V3379" s="46">
        <f t="shared" si="1425"/>
        <v>28</v>
      </c>
      <c r="W3379" s="46" t="str">
        <f t="shared" si="1425"/>
        <v/>
      </c>
      <c r="X3379" s="46" t="str">
        <f t="shared" si="1425"/>
        <v/>
      </c>
    </row>
    <row r="3380" spans="2:26" x14ac:dyDescent="0.25">
      <c r="B3380" s="11" t="str">
        <f t="shared" si="1421"/>
        <v>LSVO-02AUG1920</v>
      </c>
      <c r="C3380" s="11" t="s">
        <v>1359</v>
      </c>
      <c r="D3380" s="11" t="s">
        <v>1699</v>
      </c>
      <c r="E3380" s="39" t="s">
        <v>1586</v>
      </c>
      <c r="F3380" s="11" t="s">
        <v>1700</v>
      </c>
      <c r="G3380" s="39" t="s">
        <v>1575</v>
      </c>
      <c r="H3380" s="7">
        <v>4</v>
      </c>
      <c r="I3380" s="7">
        <v>2</v>
      </c>
      <c r="J3380" s="17">
        <v>11</v>
      </c>
      <c r="K3380" s="17"/>
      <c r="L3380" s="7">
        <f t="shared" si="1422"/>
        <v>17</v>
      </c>
      <c r="M3380" s="8">
        <v>1</v>
      </c>
      <c r="N3380" s="8">
        <f t="shared" si="1423"/>
        <v>1</v>
      </c>
      <c r="O3380" s="11" t="s">
        <v>1702</v>
      </c>
      <c r="P3380" s="16" t="str">
        <f t="shared" si="1424"/>
        <v>02-Aug-1920</v>
      </c>
      <c r="R3380" s="16" t="str">
        <f t="shared" si="1416"/>
        <v>x</v>
      </c>
      <c r="S3380" s="16" t="str">
        <f t="shared" si="1416"/>
        <v>x</v>
      </c>
      <c r="U3380" s="46" t="str">
        <f t="shared" si="1425"/>
        <v/>
      </c>
      <c r="V3380" s="46">
        <f t="shared" si="1425"/>
        <v>17</v>
      </c>
      <c r="W3380" s="46" t="str">
        <f t="shared" si="1425"/>
        <v/>
      </c>
      <c r="X3380" s="46" t="str">
        <f t="shared" si="1425"/>
        <v/>
      </c>
    </row>
    <row r="3381" spans="2:26" x14ac:dyDescent="0.25">
      <c r="B3381" s="11" t="str">
        <f t="shared" si="1421"/>
        <v>LSVO-30AUG1920</v>
      </c>
      <c r="C3381" s="11" t="s">
        <v>1359</v>
      </c>
      <c r="D3381" s="11" t="s">
        <v>1699</v>
      </c>
      <c r="E3381" s="39" t="s">
        <v>1587</v>
      </c>
      <c r="F3381" s="11" t="s">
        <v>1700</v>
      </c>
      <c r="G3381" s="39" t="s">
        <v>1576</v>
      </c>
      <c r="H3381" s="7">
        <v>0</v>
      </c>
      <c r="I3381" s="7">
        <v>0</v>
      </c>
      <c r="J3381" s="17">
        <v>47</v>
      </c>
      <c r="K3381" s="17"/>
      <c r="L3381" s="7">
        <f t="shared" si="1422"/>
        <v>47</v>
      </c>
      <c r="M3381" s="8">
        <v>1</v>
      </c>
      <c r="N3381" s="8">
        <f t="shared" si="1423"/>
        <v>1</v>
      </c>
      <c r="O3381" s="11" t="s">
        <v>1702</v>
      </c>
      <c r="P3381" s="16" t="str">
        <f t="shared" si="1424"/>
        <v>30-Aug-1920</v>
      </c>
      <c r="R3381" s="16" t="str">
        <f t="shared" si="1416"/>
        <v>x</v>
      </c>
      <c r="S3381" s="16" t="str">
        <f t="shared" si="1416"/>
        <v>x</v>
      </c>
      <c r="U3381" s="46" t="str">
        <f t="shared" si="1425"/>
        <v/>
      </c>
      <c r="V3381" s="46">
        <f t="shared" si="1425"/>
        <v>47</v>
      </c>
      <c r="W3381" s="46" t="str">
        <f t="shared" si="1425"/>
        <v/>
      </c>
      <c r="X3381" s="46" t="str">
        <f t="shared" si="1425"/>
        <v/>
      </c>
    </row>
    <row r="3382" spans="2:26" x14ac:dyDescent="0.25">
      <c r="B3382" s="11" t="str">
        <f t="shared" si="1421"/>
        <v>LSVO-27SEP1920</v>
      </c>
      <c r="C3382" s="11" t="s">
        <v>1359</v>
      </c>
      <c r="D3382" s="11" t="s">
        <v>1699</v>
      </c>
      <c r="E3382" s="39" t="s">
        <v>1588</v>
      </c>
      <c r="F3382" s="11" t="s">
        <v>1700</v>
      </c>
      <c r="G3382" s="39" t="s">
        <v>1577</v>
      </c>
      <c r="H3382" s="7">
        <v>0</v>
      </c>
      <c r="I3382" s="7">
        <v>0</v>
      </c>
      <c r="J3382" s="17">
        <v>28</v>
      </c>
      <c r="K3382" s="17"/>
      <c r="L3382" s="7">
        <f t="shared" si="1422"/>
        <v>28</v>
      </c>
      <c r="M3382" s="8">
        <v>1</v>
      </c>
      <c r="N3382" s="8">
        <f t="shared" si="1423"/>
        <v>1</v>
      </c>
      <c r="O3382" s="11" t="s">
        <v>1702</v>
      </c>
      <c r="P3382" s="16" t="str">
        <f t="shared" si="1424"/>
        <v>27-Sep-1920</v>
      </c>
      <c r="R3382" s="16" t="str">
        <f t="shared" si="1416"/>
        <v>x</v>
      </c>
      <c r="S3382" s="16" t="str">
        <f t="shared" si="1416"/>
        <v>x</v>
      </c>
      <c r="U3382" s="46" t="str">
        <f t="shared" si="1425"/>
        <v/>
      </c>
      <c r="V3382" s="46">
        <f t="shared" si="1425"/>
        <v>28</v>
      </c>
      <c r="W3382" s="46" t="str">
        <f t="shared" si="1425"/>
        <v/>
      </c>
      <c r="X3382" s="46" t="str">
        <f t="shared" si="1425"/>
        <v/>
      </c>
    </row>
    <row r="3383" spans="2:26" x14ac:dyDescent="0.25">
      <c r="B3383" s="11" t="str">
        <f t="shared" si="1417"/>
        <v>LSVO-26OCT1920</v>
      </c>
      <c r="C3383" s="11" t="s">
        <v>1359</v>
      </c>
      <c r="D3383" s="11" t="s">
        <v>1699</v>
      </c>
      <c r="E3383" s="39" t="s">
        <v>1594</v>
      </c>
      <c r="F3383" s="11" t="s">
        <v>1700</v>
      </c>
      <c r="G3383" s="39" t="s">
        <v>1578</v>
      </c>
      <c r="H3383" s="7">
        <v>4</v>
      </c>
      <c r="I3383" s="7">
        <v>2</v>
      </c>
      <c r="J3383" s="17">
        <v>6</v>
      </c>
      <c r="K3383" s="17"/>
      <c r="L3383" s="7">
        <f t="shared" si="1418"/>
        <v>12</v>
      </c>
      <c r="M3383" s="8">
        <v>1</v>
      </c>
      <c r="N3383" s="8">
        <f t="shared" si="1419"/>
        <v>1</v>
      </c>
      <c r="O3383" s="11" t="s">
        <v>1702</v>
      </c>
      <c r="P3383" s="16" t="str">
        <f t="shared" si="1420"/>
        <v>26-Oct-1920</v>
      </c>
      <c r="R3383" s="16" t="str">
        <f t="shared" si="1416"/>
        <v>x</v>
      </c>
      <c r="S3383" s="16" t="str">
        <f t="shared" si="1416"/>
        <v>x</v>
      </c>
      <c r="U3383" s="46" t="str">
        <f t="shared" si="1425"/>
        <v/>
      </c>
      <c r="V3383" s="46">
        <f t="shared" si="1425"/>
        <v>12</v>
      </c>
      <c r="W3383" s="46" t="str">
        <f t="shared" si="1425"/>
        <v/>
      </c>
      <c r="X3383" s="46" t="str">
        <f t="shared" si="1425"/>
        <v/>
      </c>
    </row>
    <row r="3384" spans="2:26" x14ac:dyDescent="0.25">
      <c r="B3384" s="11" t="str">
        <f t="shared" si="1417"/>
        <v>LSVO-23NOV1920</v>
      </c>
      <c r="C3384" s="11" t="s">
        <v>1359</v>
      </c>
      <c r="D3384" s="11" t="s">
        <v>1699</v>
      </c>
      <c r="E3384" s="39" t="s">
        <v>1595</v>
      </c>
      <c r="F3384" s="11" t="s">
        <v>1700</v>
      </c>
      <c r="G3384" s="39" t="s">
        <v>1579</v>
      </c>
      <c r="H3384" s="7">
        <v>0</v>
      </c>
      <c r="I3384" s="7">
        <v>0</v>
      </c>
      <c r="J3384" s="17">
        <v>3</v>
      </c>
      <c r="K3384" s="17"/>
      <c r="L3384" s="7">
        <f t="shared" si="1418"/>
        <v>3</v>
      </c>
      <c r="M3384" s="8">
        <v>1</v>
      </c>
      <c r="N3384" s="8">
        <f t="shared" si="1419"/>
        <v>1</v>
      </c>
      <c r="O3384" s="11" t="s">
        <v>1702</v>
      </c>
      <c r="P3384" s="16" t="str">
        <f t="shared" si="1420"/>
        <v>23-Nov-1920</v>
      </c>
      <c r="R3384" s="16" t="str">
        <f t="shared" si="1416"/>
        <v>x</v>
      </c>
      <c r="S3384" s="16" t="str">
        <f t="shared" si="1416"/>
        <v>x</v>
      </c>
      <c r="U3384" s="46" t="str">
        <f t="shared" si="1425"/>
        <v/>
      </c>
      <c r="V3384" s="46">
        <f t="shared" si="1425"/>
        <v>3</v>
      </c>
      <c r="W3384" s="46" t="str">
        <f t="shared" si="1425"/>
        <v/>
      </c>
      <c r="X3384" s="46" t="str">
        <f t="shared" si="1425"/>
        <v/>
      </c>
    </row>
    <row r="3385" spans="2:26" x14ac:dyDescent="0.25">
      <c r="B3385" s="11" t="str">
        <f t="shared" si="1417"/>
        <v>LSVO-20DEC1920</v>
      </c>
      <c r="C3385" s="11" t="s">
        <v>1359</v>
      </c>
      <c r="D3385" s="11" t="s">
        <v>1699</v>
      </c>
      <c r="E3385" s="39" t="s">
        <v>1596</v>
      </c>
      <c r="F3385" s="11" t="s">
        <v>1700</v>
      </c>
      <c r="G3385" s="39" t="s">
        <v>1580</v>
      </c>
      <c r="H3385" s="7">
        <v>0</v>
      </c>
      <c r="I3385" s="7">
        <v>0</v>
      </c>
      <c r="J3385" s="17">
        <v>6</v>
      </c>
      <c r="K3385" s="17"/>
      <c r="L3385" s="7">
        <f t="shared" si="1418"/>
        <v>6</v>
      </c>
      <c r="M3385" s="8">
        <v>1</v>
      </c>
      <c r="N3385" s="8">
        <f t="shared" si="1419"/>
        <v>1</v>
      </c>
      <c r="O3385" s="11" t="s">
        <v>1702</v>
      </c>
      <c r="P3385" s="16" t="str">
        <f t="shared" si="1420"/>
        <v>20-Dec-1920</v>
      </c>
      <c r="R3385" s="16" t="str">
        <f t="shared" si="1416"/>
        <v>x</v>
      </c>
      <c r="S3385" s="16" t="str">
        <f t="shared" si="1416"/>
        <v>x</v>
      </c>
      <c r="U3385" s="46" t="str">
        <f t="shared" si="1425"/>
        <v/>
      </c>
      <c r="V3385" s="46">
        <f t="shared" si="1425"/>
        <v>6</v>
      </c>
      <c r="W3385" s="46" t="str">
        <f t="shared" si="1425"/>
        <v/>
      </c>
      <c r="X3385" s="46" t="str">
        <f t="shared" si="1425"/>
        <v/>
      </c>
    </row>
    <row r="3386" spans="2:26" x14ac:dyDescent="0.25">
      <c r="B3386" s="11" t="str">
        <f t="shared" ref="B3386:B3394" si="1426">CONCATENATE("LSVO","-",LEFT(P3386,2),UPPER(MID(P3386,4,3)),RIGHT(P3386,4))</f>
        <v>LSVO-24JAN1921</v>
      </c>
      <c r="C3386" s="11" t="s">
        <v>1359</v>
      </c>
      <c r="D3386" s="11" t="s">
        <v>1699</v>
      </c>
      <c r="E3386" s="39" t="s">
        <v>2055</v>
      </c>
      <c r="F3386" s="11" t="s">
        <v>1700</v>
      </c>
      <c r="G3386" s="39" t="s">
        <v>1589</v>
      </c>
      <c r="H3386" s="7">
        <v>1</v>
      </c>
      <c r="I3386" s="7">
        <v>0</v>
      </c>
      <c r="J3386" s="17">
        <v>17</v>
      </c>
      <c r="K3386" s="17"/>
      <c r="L3386" s="7">
        <f t="shared" ref="L3386:L3394" si="1427">SUM(H3386:K3386)</f>
        <v>18</v>
      </c>
      <c r="M3386" s="8">
        <v>1</v>
      </c>
      <c r="N3386" s="8">
        <f t="shared" ref="N3386:N3394" si="1428">IF(L3386&gt;0,1,"")</f>
        <v>1</v>
      </c>
      <c r="O3386" s="11" t="s">
        <v>1702</v>
      </c>
      <c r="P3386" s="16" t="str">
        <f t="shared" ref="P3386:P3394" si="1429">IF(LEN(G3386)=10,CONCATENATE("0",G3386),G3386)</f>
        <v>24-Jan-1921</v>
      </c>
      <c r="R3386" s="16" t="str">
        <f t="shared" si="1416"/>
        <v>x</v>
      </c>
      <c r="S3386" s="16" t="str">
        <f t="shared" si="1416"/>
        <v>x</v>
      </c>
      <c r="U3386" s="46" t="str">
        <f t="shared" si="1425"/>
        <v/>
      </c>
      <c r="V3386" s="46">
        <f t="shared" si="1425"/>
        <v>18</v>
      </c>
      <c r="W3386" s="46" t="str">
        <f t="shared" si="1425"/>
        <v/>
      </c>
      <c r="X3386" s="46" t="str">
        <f t="shared" si="1425"/>
        <v/>
      </c>
    </row>
    <row r="3387" spans="2:26" x14ac:dyDescent="0.25">
      <c r="B3387" s="11" t="str">
        <f t="shared" si="1426"/>
        <v>LSVO-22FEB1921</v>
      </c>
      <c r="C3387" s="11" t="s">
        <v>1359</v>
      </c>
      <c r="D3387" s="11" t="s">
        <v>1699</v>
      </c>
      <c r="E3387" s="39" t="s">
        <v>1597</v>
      </c>
      <c r="F3387" s="11" t="s">
        <v>1700</v>
      </c>
      <c r="G3387" s="39" t="s">
        <v>1590</v>
      </c>
      <c r="H3387" s="7">
        <v>2</v>
      </c>
      <c r="I3387" s="7">
        <v>7</v>
      </c>
      <c r="J3387" s="17">
        <v>12</v>
      </c>
      <c r="K3387" s="17"/>
      <c r="L3387" s="7">
        <f t="shared" si="1427"/>
        <v>21</v>
      </c>
      <c r="M3387" s="8">
        <v>1</v>
      </c>
      <c r="N3387" s="8">
        <f t="shared" si="1428"/>
        <v>1</v>
      </c>
      <c r="O3387" s="11" t="s">
        <v>1702</v>
      </c>
      <c r="P3387" s="16" t="str">
        <f t="shared" si="1429"/>
        <v>22-Feb-1921</v>
      </c>
      <c r="R3387" s="16" t="str">
        <f t="shared" si="1416"/>
        <v>x</v>
      </c>
      <c r="S3387" s="16" t="str">
        <f t="shared" si="1416"/>
        <v>x</v>
      </c>
      <c r="U3387" s="46" t="str">
        <f t="shared" si="1425"/>
        <v/>
      </c>
      <c r="V3387" s="46">
        <f t="shared" si="1425"/>
        <v>21</v>
      </c>
      <c r="W3387" s="46" t="str">
        <f t="shared" si="1425"/>
        <v/>
      </c>
      <c r="X3387" s="46" t="str">
        <f t="shared" si="1425"/>
        <v/>
      </c>
    </row>
    <row r="3388" spans="2:26" x14ac:dyDescent="0.25">
      <c r="B3388" s="11" t="str">
        <f t="shared" si="1426"/>
        <v>LSVO-22MAR1921</v>
      </c>
      <c r="C3388" s="11" t="s">
        <v>1359</v>
      </c>
      <c r="D3388" s="11" t="s">
        <v>1699</v>
      </c>
      <c r="E3388" s="39" t="s">
        <v>1598</v>
      </c>
      <c r="F3388" s="11" t="s">
        <v>1700</v>
      </c>
      <c r="G3388" s="39" t="s">
        <v>1591</v>
      </c>
      <c r="H3388" s="7">
        <v>0</v>
      </c>
      <c r="I3388" s="7">
        <v>4</v>
      </c>
      <c r="J3388" s="17">
        <v>11</v>
      </c>
      <c r="K3388" s="17"/>
      <c r="L3388" s="7">
        <f t="shared" si="1427"/>
        <v>15</v>
      </c>
      <c r="M3388" s="8">
        <v>1</v>
      </c>
      <c r="N3388" s="8">
        <f t="shared" si="1428"/>
        <v>1</v>
      </c>
      <c r="O3388" s="11" t="s">
        <v>1702</v>
      </c>
      <c r="P3388" s="16" t="str">
        <f t="shared" si="1429"/>
        <v>22-Mar-1921</v>
      </c>
      <c r="R3388" s="16" t="str">
        <f t="shared" si="1416"/>
        <v>x</v>
      </c>
      <c r="S3388" s="16" t="str">
        <f t="shared" si="1416"/>
        <v>x</v>
      </c>
      <c r="U3388" s="46" t="str">
        <f t="shared" si="1425"/>
        <v/>
      </c>
      <c r="V3388" s="46">
        <f t="shared" si="1425"/>
        <v>15</v>
      </c>
      <c r="W3388" s="46" t="str">
        <f t="shared" si="1425"/>
        <v/>
      </c>
      <c r="X3388" s="46" t="str">
        <f t="shared" si="1425"/>
        <v/>
      </c>
    </row>
    <row r="3389" spans="2:26" x14ac:dyDescent="0.25">
      <c r="B3389" s="11" t="str">
        <f t="shared" si="1426"/>
        <v>LSVO-16MAY1921</v>
      </c>
      <c r="C3389" s="11" t="s">
        <v>1359</v>
      </c>
      <c r="D3389" s="11" t="s">
        <v>1699</v>
      </c>
      <c r="E3389" s="39" t="s">
        <v>1599</v>
      </c>
      <c r="F3389" s="11" t="s">
        <v>1700</v>
      </c>
      <c r="G3389" s="39" t="s">
        <v>1592</v>
      </c>
      <c r="H3389" s="7">
        <v>0</v>
      </c>
      <c r="I3389" s="7">
        <v>0</v>
      </c>
      <c r="J3389" s="17">
        <v>7</v>
      </c>
      <c r="K3389" s="17"/>
      <c r="L3389" s="7">
        <f t="shared" si="1427"/>
        <v>7</v>
      </c>
      <c r="M3389" s="8">
        <v>1</v>
      </c>
      <c r="N3389" s="8">
        <f t="shared" si="1428"/>
        <v>1</v>
      </c>
      <c r="O3389" s="11" t="s">
        <v>1702</v>
      </c>
      <c r="P3389" s="16" t="str">
        <f t="shared" si="1429"/>
        <v>16-May-1921</v>
      </c>
      <c r="R3389" s="16" t="str">
        <f t="shared" si="1416"/>
        <v>x</v>
      </c>
      <c r="S3389" s="16" t="str">
        <f t="shared" si="1416"/>
        <v>x</v>
      </c>
      <c r="U3389" s="46" t="str">
        <f t="shared" si="1425"/>
        <v/>
      </c>
      <c r="V3389" s="46">
        <f t="shared" si="1425"/>
        <v>7</v>
      </c>
      <c r="W3389" s="46" t="str">
        <f t="shared" si="1425"/>
        <v/>
      </c>
      <c r="X3389" s="46" t="str">
        <f t="shared" si="1425"/>
        <v/>
      </c>
      <c r="Z3389" s="11" t="s">
        <v>1593</v>
      </c>
    </row>
    <row r="3390" spans="2:26" x14ac:dyDescent="0.25">
      <c r="B3390" s="11" t="str">
        <f>CONCATENATE("LSVO","-",LEFT(P3390,2),UPPER(MID(P3390,4,3)),RIGHT(P3390,4))</f>
        <v>LSVO-13JUN1921</v>
      </c>
      <c r="C3390" s="11" t="s">
        <v>1359</v>
      </c>
      <c r="D3390" s="11" t="s">
        <v>1699</v>
      </c>
      <c r="E3390" s="39" t="s">
        <v>2061</v>
      </c>
      <c r="F3390" s="11" t="s">
        <v>1700</v>
      </c>
      <c r="G3390" s="39" t="s">
        <v>5352</v>
      </c>
      <c r="H3390" s="7">
        <v>0</v>
      </c>
      <c r="I3390" s="7">
        <v>1</v>
      </c>
      <c r="J3390" s="17">
        <v>9</v>
      </c>
      <c r="K3390" s="17"/>
      <c r="L3390" s="7">
        <f>SUM(H3390:K3390)</f>
        <v>10</v>
      </c>
      <c r="M3390" s="8">
        <v>1</v>
      </c>
      <c r="N3390" s="8">
        <f>IF(L3390&gt;0,1,"")</f>
        <v>1</v>
      </c>
      <c r="O3390" s="11" t="s">
        <v>1702</v>
      </c>
      <c r="P3390" s="16" t="str">
        <f>IF(LEN(G3390)=10,CONCATENATE("0",G3390),G3390)</f>
        <v>13-Jun-1921</v>
      </c>
      <c r="R3390" s="16" t="str">
        <f t="shared" ref="R3390:S3392" si="1430">IF($L3390&gt;0,"x","")</f>
        <v>x</v>
      </c>
      <c r="S3390" s="16" t="str">
        <f t="shared" si="1430"/>
        <v>x</v>
      </c>
      <c r="U3390" s="46" t="str">
        <f>IF($O3390=U$5,$L3390,"")</f>
        <v/>
      </c>
      <c r="V3390" s="46">
        <f>IF($O3390=V$5,$L3390,"")</f>
        <v>10</v>
      </c>
      <c r="W3390" s="46" t="str">
        <f>IF($O3390=W$5,$L3390,"")</f>
        <v/>
      </c>
      <c r="X3390" s="46" t="str">
        <f>IF($O3390=X$5,$L3390,"")</f>
        <v/>
      </c>
    </row>
    <row r="3391" spans="2:26" x14ac:dyDescent="0.25">
      <c r="B3391" s="11" t="str">
        <f>CONCATENATE("LSVO","-",LEFT(P3391,2),UPPER(MID(P3391,4,3)),RIGHT(P3391,4))</f>
        <v>LSVO-11JUL1921</v>
      </c>
      <c r="C3391" s="11" t="s">
        <v>1359</v>
      </c>
      <c r="D3391" s="11" t="s">
        <v>1699</v>
      </c>
      <c r="E3391" s="39" t="s">
        <v>4173</v>
      </c>
      <c r="F3391" s="11" t="s">
        <v>1700</v>
      </c>
      <c r="G3391" s="39" t="s">
        <v>4377</v>
      </c>
      <c r="H3391" s="7">
        <v>0</v>
      </c>
      <c r="I3391" s="7">
        <v>0</v>
      </c>
      <c r="J3391" s="17">
        <f>9+1</f>
        <v>10</v>
      </c>
      <c r="K3391" s="17"/>
      <c r="L3391" s="7">
        <f>SUM(H3391:K3391)</f>
        <v>10</v>
      </c>
      <c r="M3391" s="8">
        <v>1</v>
      </c>
      <c r="N3391" s="8">
        <f>IF(L3391&gt;0,1,"")</f>
        <v>1</v>
      </c>
      <c r="O3391" s="11" t="s">
        <v>1702</v>
      </c>
      <c r="P3391" s="16" t="str">
        <f>IF(LEN(G3391)=10,CONCATENATE("0",G3391),G3391)</f>
        <v>11-Jul-1921</v>
      </c>
      <c r="R3391" s="16" t="str">
        <f t="shared" si="1430"/>
        <v>x</v>
      </c>
      <c r="S3391" s="16" t="str">
        <f t="shared" si="1430"/>
        <v>x</v>
      </c>
      <c r="U3391" s="46" t="str">
        <f t="shared" si="1425"/>
        <v/>
      </c>
      <c r="V3391" s="46">
        <f t="shared" si="1425"/>
        <v>10</v>
      </c>
      <c r="W3391" s="46" t="str">
        <f t="shared" si="1425"/>
        <v/>
      </c>
      <c r="X3391" s="46" t="str">
        <f t="shared" si="1425"/>
        <v/>
      </c>
    </row>
    <row r="3392" spans="2:26" x14ac:dyDescent="0.25">
      <c r="B3392" s="11" t="str">
        <f>CONCATENATE("LSVO","-",LEFT(P3392,2),UPPER(MID(P3392,4,3)),RIGHT(P3392,4))</f>
        <v>LSVO-08AUG1921</v>
      </c>
      <c r="C3392" s="11" t="s">
        <v>1359</v>
      </c>
      <c r="D3392" s="11" t="s">
        <v>1699</v>
      </c>
      <c r="E3392" s="39" t="s">
        <v>3901</v>
      </c>
      <c r="F3392" s="11" t="s">
        <v>1700</v>
      </c>
      <c r="G3392" s="39" t="s">
        <v>3060</v>
      </c>
      <c r="H3392" s="7">
        <v>0</v>
      </c>
      <c r="I3392" s="7">
        <v>1</v>
      </c>
      <c r="J3392" s="17">
        <v>5</v>
      </c>
      <c r="K3392" s="17"/>
      <c r="L3392" s="7">
        <f>SUM(H3392:K3392)</f>
        <v>6</v>
      </c>
      <c r="M3392" s="8">
        <v>1</v>
      </c>
      <c r="N3392" s="8">
        <f>IF(L3392&gt;0,1,"")</f>
        <v>1</v>
      </c>
      <c r="O3392" s="11" t="s">
        <v>1702</v>
      </c>
      <c r="P3392" s="16" t="str">
        <f>IF(LEN(G3392)=10,CONCATENATE("0",G3392),G3392)</f>
        <v>08-Aug-1921</v>
      </c>
      <c r="R3392" s="16" t="str">
        <f t="shared" si="1430"/>
        <v>x</v>
      </c>
      <c r="S3392" s="16" t="str">
        <f t="shared" si="1430"/>
        <v>x</v>
      </c>
      <c r="U3392" s="46" t="str">
        <f>IF($O3392=U$5,$L3392,"")</f>
        <v/>
      </c>
      <c r="V3392" s="46">
        <f>IF($O3392=V$5,$L3392,"")</f>
        <v>6</v>
      </c>
      <c r="W3392" s="46" t="str">
        <f>IF($O3392=W$5,$L3392,"")</f>
        <v/>
      </c>
      <c r="X3392" s="46" t="str">
        <f>IF($O3392=X$5,$L3392,"")</f>
        <v/>
      </c>
    </row>
    <row r="3393" spans="2:26" x14ac:dyDescent="0.25">
      <c r="B3393" s="11" t="str">
        <f t="shared" si="1426"/>
        <v>LSVO-19DEC1921</v>
      </c>
      <c r="C3393" s="11" t="s">
        <v>1359</v>
      </c>
      <c r="D3393" s="11" t="s">
        <v>1699</v>
      </c>
      <c r="E3393" s="39" t="s">
        <v>4207</v>
      </c>
      <c r="F3393" s="11" t="s">
        <v>1700</v>
      </c>
      <c r="G3393" s="39" t="s">
        <v>4208</v>
      </c>
      <c r="H3393" s="7">
        <v>0</v>
      </c>
      <c r="I3393" s="7">
        <f>0+2</f>
        <v>2</v>
      </c>
      <c r="J3393" s="17">
        <v>0</v>
      </c>
      <c r="K3393" s="17"/>
      <c r="L3393" s="7">
        <f t="shared" si="1427"/>
        <v>2</v>
      </c>
      <c r="M3393" s="8">
        <v>1</v>
      </c>
      <c r="N3393" s="8">
        <f t="shared" si="1428"/>
        <v>1</v>
      </c>
      <c r="O3393" s="11" t="s">
        <v>1702</v>
      </c>
      <c r="P3393" s="16" t="str">
        <f t="shared" si="1429"/>
        <v>19-Dec-1921</v>
      </c>
      <c r="R3393" s="16" t="str">
        <f t="shared" ref="R3393:S3395" si="1431">IF($L3393&gt;0,"x","")</f>
        <v>x</v>
      </c>
      <c r="S3393" s="16" t="str">
        <f t="shared" si="1431"/>
        <v>x</v>
      </c>
      <c r="U3393" s="46" t="str">
        <f t="shared" si="1425"/>
        <v/>
      </c>
      <c r="V3393" s="46">
        <f t="shared" si="1425"/>
        <v>2</v>
      </c>
      <c r="W3393" s="46" t="str">
        <f t="shared" si="1425"/>
        <v/>
      </c>
      <c r="X3393" s="46" t="str">
        <f t="shared" si="1425"/>
        <v/>
      </c>
    </row>
    <row r="3394" spans="2:26" x14ac:dyDescent="0.25">
      <c r="B3394" s="11" t="str">
        <f t="shared" si="1426"/>
        <v>LSVO-07AUG1922</v>
      </c>
      <c r="C3394" s="11" t="s">
        <v>1359</v>
      </c>
      <c r="D3394" s="11" t="s">
        <v>1699</v>
      </c>
      <c r="E3394" s="39" t="s">
        <v>4274</v>
      </c>
      <c r="F3394" s="11" t="s">
        <v>1700</v>
      </c>
      <c r="G3394" s="39" t="s">
        <v>4275</v>
      </c>
      <c r="H3394" s="7">
        <v>0</v>
      </c>
      <c r="I3394" s="7">
        <v>1</v>
      </c>
      <c r="J3394" s="17">
        <f>8+2</f>
        <v>10</v>
      </c>
      <c r="K3394" s="17"/>
      <c r="L3394" s="7">
        <f t="shared" si="1427"/>
        <v>11</v>
      </c>
      <c r="M3394" s="8">
        <v>1</v>
      </c>
      <c r="N3394" s="8">
        <f t="shared" si="1428"/>
        <v>1</v>
      </c>
      <c r="O3394" s="11" t="s">
        <v>1702</v>
      </c>
      <c r="P3394" s="16" t="str">
        <f t="shared" si="1429"/>
        <v>07-Aug-1922</v>
      </c>
      <c r="R3394" s="16" t="str">
        <f t="shared" si="1431"/>
        <v>x</v>
      </c>
      <c r="S3394" s="16" t="str">
        <f t="shared" si="1431"/>
        <v>x</v>
      </c>
      <c r="U3394" s="46" t="str">
        <f t="shared" si="1425"/>
        <v/>
      </c>
      <c r="V3394" s="46">
        <f t="shared" si="1425"/>
        <v>11</v>
      </c>
      <c r="W3394" s="46" t="str">
        <f t="shared" si="1425"/>
        <v/>
      </c>
      <c r="X3394" s="46" t="str">
        <f t="shared" si="1425"/>
        <v/>
      </c>
    </row>
    <row r="3395" spans="2:26" x14ac:dyDescent="0.25">
      <c r="B3395" s="11" t="str">
        <f t="shared" ref="B3395:B3400" si="1432">CONCATENATE("LSVO","-",LEFT(P3395,2),UPPER(MID(P3395,4,3)),RIGHT(P3395,4))</f>
        <v>LSVO-30APR1923</v>
      </c>
      <c r="C3395" s="11" t="s">
        <v>1359</v>
      </c>
      <c r="D3395" s="11" t="s">
        <v>1699</v>
      </c>
      <c r="E3395" s="39" t="s">
        <v>1165</v>
      </c>
      <c r="F3395" s="11" t="s">
        <v>1700</v>
      </c>
      <c r="G3395" s="39" t="s">
        <v>4311</v>
      </c>
      <c r="I3395" s="7">
        <v>0</v>
      </c>
      <c r="J3395" s="17">
        <f>8+2</f>
        <v>10</v>
      </c>
      <c r="K3395" s="17"/>
      <c r="L3395" s="7">
        <f t="shared" ref="L3395:L3400" si="1433">SUM(H3395:K3395)</f>
        <v>10</v>
      </c>
      <c r="M3395" s="8">
        <v>1</v>
      </c>
      <c r="N3395" s="8">
        <f t="shared" ref="N3395:N3400" si="1434">IF(L3395&gt;0,1,"")</f>
        <v>1</v>
      </c>
      <c r="O3395" s="11" t="s">
        <v>1702</v>
      </c>
      <c r="P3395" s="16" t="str">
        <f t="shared" ref="P3395:P3400" si="1435">IF(LEN(G3395)=10,CONCATENATE("0",G3395),G3395)</f>
        <v>30-Apr-1923</v>
      </c>
      <c r="R3395" s="16" t="str">
        <f t="shared" si="1431"/>
        <v>x</v>
      </c>
      <c r="S3395" s="16" t="str">
        <f t="shared" si="1431"/>
        <v>x</v>
      </c>
      <c r="U3395" s="46" t="str">
        <f t="shared" si="1425"/>
        <v/>
      </c>
      <c r="V3395" s="46">
        <f t="shared" si="1425"/>
        <v>10</v>
      </c>
      <c r="W3395" s="46" t="str">
        <f t="shared" si="1425"/>
        <v/>
      </c>
      <c r="X3395" s="46" t="str">
        <f t="shared" si="1425"/>
        <v/>
      </c>
    </row>
    <row r="3396" spans="2:26" x14ac:dyDescent="0.25">
      <c r="B3396" s="11" t="str">
        <f t="shared" si="1432"/>
        <v>LSVO-25FEB1924</v>
      </c>
      <c r="C3396" s="11" t="s">
        <v>1359</v>
      </c>
      <c r="D3396" s="11" t="s">
        <v>1699</v>
      </c>
      <c r="E3396" s="39" t="s">
        <v>4947</v>
      </c>
      <c r="F3396" s="11" t="s">
        <v>1700</v>
      </c>
      <c r="G3396" s="39" t="s">
        <v>4948</v>
      </c>
      <c r="I3396" s="7">
        <v>2</v>
      </c>
      <c r="J3396" s="17">
        <v>11</v>
      </c>
      <c r="K3396" s="17"/>
      <c r="L3396" s="7">
        <f t="shared" si="1433"/>
        <v>13</v>
      </c>
      <c r="M3396" s="8">
        <v>1</v>
      </c>
      <c r="N3396" s="8">
        <f t="shared" si="1434"/>
        <v>1</v>
      </c>
      <c r="O3396" s="11" t="s">
        <v>1702</v>
      </c>
      <c r="P3396" s="16" t="str">
        <f t="shared" si="1435"/>
        <v>25-Feb-1924</v>
      </c>
      <c r="R3396" s="16" t="str">
        <f t="shared" ref="R3396:S3400" si="1436">IF($L3396&gt;0,"x","")</f>
        <v>x</v>
      </c>
      <c r="S3396" s="16" t="str">
        <f t="shared" si="1436"/>
        <v>x</v>
      </c>
      <c r="U3396" s="46" t="str">
        <f t="shared" ref="U3396:X3400" si="1437">IF($O3396=U$5,$L3396,"")</f>
        <v/>
      </c>
      <c r="V3396" s="46">
        <f t="shared" si="1437"/>
        <v>13</v>
      </c>
      <c r="W3396" s="46" t="str">
        <f t="shared" si="1437"/>
        <v/>
      </c>
      <c r="X3396" s="46" t="str">
        <f t="shared" si="1437"/>
        <v/>
      </c>
    </row>
    <row r="3397" spans="2:26" x14ac:dyDescent="0.25">
      <c r="B3397" s="11" t="str">
        <f t="shared" si="1432"/>
        <v>LSVO-28APR1924</v>
      </c>
      <c r="C3397" s="11" t="s">
        <v>1359</v>
      </c>
      <c r="D3397" s="11" t="s">
        <v>1699</v>
      </c>
      <c r="E3397" s="39" t="s">
        <v>6316</v>
      </c>
      <c r="F3397" s="11" t="s">
        <v>1700</v>
      </c>
      <c r="G3397" s="39" t="s">
        <v>6315</v>
      </c>
      <c r="I3397" s="7">
        <v>2</v>
      </c>
      <c r="J3397" s="17">
        <v>12</v>
      </c>
      <c r="K3397" s="17"/>
      <c r="L3397" s="7">
        <f t="shared" si="1433"/>
        <v>14</v>
      </c>
      <c r="M3397" s="8">
        <v>1</v>
      </c>
      <c r="N3397" s="8">
        <f t="shared" si="1434"/>
        <v>1</v>
      </c>
      <c r="O3397" s="11" t="s">
        <v>1702</v>
      </c>
      <c r="P3397" s="16" t="str">
        <f t="shared" si="1435"/>
        <v>28-Apr-1924</v>
      </c>
      <c r="R3397" s="16" t="str">
        <f t="shared" si="1436"/>
        <v>x</v>
      </c>
      <c r="S3397" s="16" t="str">
        <f t="shared" si="1436"/>
        <v>x</v>
      </c>
      <c r="U3397" s="46" t="str">
        <f t="shared" si="1437"/>
        <v/>
      </c>
      <c r="V3397" s="46">
        <f t="shared" si="1437"/>
        <v>14</v>
      </c>
      <c r="W3397" s="46" t="str">
        <f t="shared" si="1437"/>
        <v/>
      </c>
      <c r="X3397" s="46" t="str">
        <f t="shared" si="1437"/>
        <v/>
      </c>
    </row>
    <row r="3398" spans="2:26" x14ac:dyDescent="0.25">
      <c r="B3398" s="11" t="str">
        <f t="shared" si="1432"/>
        <v>LSVO-22DEC1924</v>
      </c>
      <c r="C3398" s="11" t="s">
        <v>1359</v>
      </c>
      <c r="D3398" s="11" t="s">
        <v>1699</v>
      </c>
      <c r="E3398" s="39" t="s">
        <v>4435</v>
      </c>
      <c r="F3398" s="11" t="s">
        <v>1700</v>
      </c>
      <c r="G3398" s="39" t="s">
        <v>4361</v>
      </c>
      <c r="I3398" s="7">
        <v>1</v>
      </c>
      <c r="J3398" s="17">
        <v>0</v>
      </c>
      <c r="K3398" s="17"/>
      <c r="L3398" s="7">
        <f t="shared" si="1433"/>
        <v>1</v>
      </c>
      <c r="M3398" s="8">
        <v>1</v>
      </c>
      <c r="N3398" s="8">
        <f t="shared" si="1434"/>
        <v>1</v>
      </c>
      <c r="O3398" s="11" t="s">
        <v>1702</v>
      </c>
      <c r="P3398" s="16" t="str">
        <f t="shared" si="1435"/>
        <v>22-Dec-1924</v>
      </c>
      <c r="R3398" s="16" t="str">
        <f t="shared" si="1436"/>
        <v>x</v>
      </c>
      <c r="S3398" s="16" t="str">
        <f t="shared" si="1436"/>
        <v>x</v>
      </c>
      <c r="U3398" s="46" t="str">
        <f t="shared" si="1437"/>
        <v/>
      </c>
      <c r="V3398" s="46">
        <f t="shared" si="1437"/>
        <v>1</v>
      </c>
      <c r="W3398" s="46" t="str">
        <f t="shared" si="1437"/>
        <v/>
      </c>
      <c r="X3398" s="46" t="str">
        <f t="shared" si="1437"/>
        <v/>
      </c>
    </row>
    <row r="3399" spans="2:26" x14ac:dyDescent="0.25">
      <c r="B3399" s="11" t="str">
        <f t="shared" si="1432"/>
        <v>LSVO-28MAY1926</v>
      </c>
      <c r="C3399" s="11" t="s">
        <v>1359</v>
      </c>
      <c r="D3399" s="11" t="s">
        <v>1699</v>
      </c>
      <c r="E3399" s="39" t="s">
        <v>11244</v>
      </c>
      <c r="F3399" s="11" t="s">
        <v>1700</v>
      </c>
      <c r="G3399" s="39" t="s">
        <v>11245</v>
      </c>
      <c r="I3399" s="7">
        <v>0</v>
      </c>
      <c r="J3399" s="17">
        <v>2</v>
      </c>
      <c r="K3399" s="17"/>
      <c r="L3399" s="7">
        <f t="shared" si="1433"/>
        <v>2</v>
      </c>
      <c r="M3399" s="8">
        <v>1</v>
      </c>
      <c r="N3399" s="8">
        <f t="shared" si="1434"/>
        <v>1</v>
      </c>
      <c r="O3399" s="11" t="s">
        <v>1702</v>
      </c>
      <c r="P3399" s="16" t="str">
        <f t="shared" si="1435"/>
        <v>28-May-1926</v>
      </c>
      <c r="R3399" s="16" t="str">
        <f t="shared" si="1436"/>
        <v>x</v>
      </c>
      <c r="S3399" s="16" t="str">
        <f t="shared" si="1436"/>
        <v>x</v>
      </c>
      <c r="U3399" s="46" t="str">
        <f t="shared" si="1437"/>
        <v/>
      </c>
      <c r="V3399" s="46">
        <f t="shared" si="1437"/>
        <v>2</v>
      </c>
      <c r="W3399" s="46" t="str">
        <f t="shared" si="1437"/>
        <v/>
      </c>
      <c r="X3399" s="46" t="str">
        <f t="shared" si="1437"/>
        <v/>
      </c>
    </row>
    <row r="3400" spans="2:26" x14ac:dyDescent="0.25">
      <c r="B3400" s="11" t="str">
        <f t="shared" si="1432"/>
        <v>LSVO-23AUG1926</v>
      </c>
      <c r="C3400" s="11" t="s">
        <v>1359</v>
      </c>
      <c r="D3400" s="11" t="s">
        <v>1699</v>
      </c>
      <c r="E3400" s="39" t="s">
        <v>4769</v>
      </c>
      <c r="F3400" s="11" t="s">
        <v>1700</v>
      </c>
      <c r="G3400" s="39" t="s">
        <v>5638</v>
      </c>
      <c r="I3400" s="7">
        <v>0</v>
      </c>
      <c r="J3400" s="17">
        <f>4+1</f>
        <v>5</v>
      </c>
      <c r="K3400" s="17"/>
      <c r="L3400" s="7">
        <f t="shared" si="1433"/>
        <v>5</v>
      </c>
      <c r="M3400" s="8">
        <v>1</v>
      </c>
      <c r="N3400" s="8">
        <f t="shared" si="1434"/>
        <v>1</v>
      </c>
      <c r="O3400" s="11" t="s">
        <v>1702</v>
      </c>
      <c r="P3400" s="16" t="str">
        <f t="shared" si="1435"/>
        <v>23-Aug-1926</v>
      </c>
      <c r="R3400" s="16" t="str">
        <f t="shared" si="1436"/>
        <v>x</v>
      </c>
      <c r="S3400" s="16" t="str">
        <f t="shared" si="1436"/>
        <v>x</v>
      </c>
      <c r="U3400" s="46" t="str">
        <f t="shared" si="1437"/>
        <v/>
      </c>
      <c r="V3400" s="46">
        <f t="shared" si="1437"/>
        <v>5</v>
      </c>
      <c r="W3400" s="46" t="str">
        <f t="shared" si="1437"/>
        <v/>
      </c>
      <c r="X3400" s="46" t="str">
        <f t="shared" si="1437"/>
        <v/>
      </c>
    </row>
    <row r="3401" spans="2:26" x14ac:dyDescent="0.25">
      <c r="N3401" s="8" t="str">
        <f>IF(R3401="x",1,"")</f>
        <v/>
      </c>
      <c r="U3401" s="46" t="str">
        <f t="shared" si="1425"/>
        <v/>
      </c>
      <c r="V3401" s="46" t="str">
        <f t="shared" si="1425"/>
        <v/>
      </c>
      <c r="W3401" s="46" t="str">
        <f t="shared" si="1425"/>
        <v/>
      </c>
      <c r="X3401" s="46" t="str">
        <f t="shared" si="1425"/>
        <v/>
      </c>
    </row>
    <row r="3402" spans="2:26" s="18" customFormat="1" x14ac:dyDescent="0.25">
      <c r="E3402" s="40"/>
      <c r="G3402" s="40"/>
      <c r="H3402" s="7">
        <f t="shared" ref="H3402:N3402" si="1438">SUM(H3227:H3401)</f>
        <v>42</v>
      </c>
      <c r="I3402" s="7">
        <f t="shared" si="1438"/>
        <v>94</v>
      </c>
      <c r="J3402" s="7">
        <f>SUM(J3227:J3401)</f>
        <v>1827</v>
      </c>
      <c r="K3402" s="7">
        <f t="shared" si="1438"/>
        <v>0</v>
      </c>
      <c r="L3402" s="7">
        <f t="shared" si="1438"/>
        <v>1963</v>
      </c>
      <c r="M3402" s="7">
        <f t="shared" si="1438"/>
        <v>174</v>
      </c>
      <c r="N3402" s="7">
        <f t="shared" si="1438"/>
        <v>139</v>
      </c>
      <c r="P3402" s="13"/>
      <c r="Q3402" s="13"/>
      <c r="R3402" s="16"/>
      <c r="S3402" s="13"/>
      <c r="T3402" s="15"/>
      <c r="U3402" s="46" t="str">
        <f t="shared" si="1425"/>
        <v/>
      </c>
      <c r="V3402" s="46" t="str">
        <f t="shared" si="1425"/>
        <v/>
      </c>
      <c r="W3402" s="46" t="str">
        <f t="shared" si="1425"/>
        <v/>
      </c>
      <c r="X3402" s="46" t="str">
        <f t="shared" si="1425"/>
        <v/>
      </c>
      <c r="Z3402" s="11"/>
    </row>
    <row r="3403" spans="2:26" s="18" customFormat="1" x14ac:dyDescent="0.25">
      <c r="E3403" s="40"/>
      <c r="G3403" s="40"/>
      <c r="H3403" s="7"/>
      <c r="I3403" s="7"/>
      <c r="J3403" s="7"/>
      <c r="K3403" s="7"/>
      <c r="L3403" s="7"/>
      <c r="M3403" s="8"/>
      <c r="N3403" s="8" t="str">
        <f>IF(R3403="x",1,"")</f>
        <v/>
      </c>
      <c r="P3403" s="13"/>
      <c r="Q3403" s="13"/>
      <c r="R3403" s="13"/>
      <c r="S3403" s="13"/>
      <c r="T3403" s="15"/>
      <c r="U3403" s="46" t="str">
        <f t="shared" si="1425"/>
        <v/>
      </c>
      <c r="V3403" s="46" t="str">
        <f t="shared" si="1425"/>
        <v/>
      </c>
      <c r="W3403" s="46" t="str">
        <f t="shared" si="1425"/>
        <v/>
      </c>
      <c r="X3403" s="46" t="str">
        <f t="shared" si="1425"/>
        <v/>
      </c>
      <c r="Z3403" s="11"/>
    </row>
    <row r="3404" spans="2:26" s="18" customFormat="1" x14ac:dyDescent="0.25">
      <c r="E3404" s="40"/>
      <c r="G3404" s="40"/>
      <c r="H3404" s="7"/>
      <c r="I3404" s="7"/>
      <c r="J3404" s="7"/>
      <c r="K3404" s="7"/>
      <c r="L3404" s="7"/>
      <c r="M3404" s="8"/>
      <c r="N3404" s="8" t="str">
        <f>IF(R3404="x",1,"")</f>
        <v/>
      </c>
      <c r="P3404" s="13"/>
      <c r="Q3404" s="13"/>
      <c r="R3404" s="13"/>
      <c r="S3404" s="13"/>
      <c r="T3404" s="15"/>
      <c r="U3404" s="46" t="str">
        <f t="shared" si="1425"/>
        <v/>
      </c>
      <c r="V3404" s="46" t="str">
        <f t="shared" si="1425"/>
        <v/>
      </c>
      <c r="W3404" s="46" t="str">
        <f t="shared" si="1425"/>
        <v/>
      </c>
      <c r="X3404" s="46" t="str">
        <f t="shared" si="1425"/>
        <v/>
      </c>
      <c r="Z3404" s="11"/>
    </row>
    <row r="3405" spans="2:26" x14ac:dyDescent="0.25">
      <c r="B3405" s="11" t="str">
        <f>CONCATENATE("LTRN","-",LEFT(P3405,2),UPPER(MID(P3405,4,3)),RIGHT(P3405,4))</f>
        <v>LTRN-26MAR1892</v>
      </c>
      <c r="C3405" s="11" t="s">
        <v>1698</v>
      </c>
      <c r="D3405" s="11" t="s">
        <v>1699</v>
      </c>
      <c r="F3405" s="11" t="s">
        <v>1700</v>
      </c>
      <c r="G3405" s="39" t="s">
        <v>2216</v>
      </c>
      <c r="H3405" s="7">
        <v>0</v>
      </c>
      <c r="I3405" s="7">
        <v>0</v>
      </c>
      <c r="J3405" s="7">
        <v>0</v>
      </c>
      <c r="L3405" s="7">
        <f>SUM(H3405:K3405)</f>
        <v>0</v>
      </c>
      <c r="M3405" s="8">
        <v>1</v>
      </c>
      <c r="N3405" s="8" t="str">
        <f t="shared" ref="N3405:N3473" si="1439">IF(L3405&gt;0,1,"")</f>
        <v/>
      </c>
      <c r="O3405" s="11" t="s">
        <v>1702</v>
      </c>
      <c r="P3405" s="16" t="str">
        <f>IF(LEN(G3405)=10,CONCATENATE("0",G3405),G3405)</f>
        <v>26-Mar-1892</v>
      </c>
      <c r="R3405" s="16" t="str">
        <f t="shared" ref="R3405:S3436" si="1440">IF($L3405&gt;0,"x","")</f>
        <v/>
      </c>
      <c r="S3405" s="16" t="str">
        <f t="shared" si="1440"/>
        <v/>
      </c>
      <c r="U3405" s="46" t="str">
        <f t="shared" si="1425"/>
        <v/>
      </c>
      <c r="V3405" s="46">
        <f t="shared" si="1425"/>
        <v>0</v>
      </c>
      <c r="W3405" s="46" t="str">
        <f t="shared" si="1425"/>
        <v/>
      </c>
      <c r="X3405" s="46" t="str">
        <f t="shared" si="1425"/>
        <v/>
      </c>
      <c r="Z3405" s="11" t="s">
        <v>2250</v>
      </c>
    </row>
    <row r="3406" spans="2:26" x14ac:dyDescent="0.25">
      <c r="B3406" s="11" t="str">
        <f t="shared" ref="B3406:B3415" si="1441">CONCATENATE("LTRN","-",LEFT(P3406,2),UPPER(MID(P3406,4,3)),RIGHT(P3406,4))</f>
        <v>LTRN-25APR1892</v>
      </c>
      <c r="C3406" s="11" t="s">
        <v>1698</v>
      </c>
      <c r="D3406" s="11" t="s">
        <v>1699</v>
      </c>
      <c r="F3406" s="11" t="s">
        <v>1700</v>
      </c>
      <c r="G3406" s="39" t="s">
        <v>2217</v>
      </c>
      <c r="H3406" s="7">
        <v>0</v>
      </c>
      <c r="I3406" s="7">
        <v>0</v>
      </c>
      <c r="J3406" s="7">
        <v>0</v>
      </c>
      <c r="L3406" s="7">
        <f t="shared" ref="L3406:L3415" si="1442">SUM(H3406:K3406)</f>
        <v>0</v>
      </c>
      <c r="M3406" s="8">
        <v>1</v>
      </c>
      <c r="N3406" s="8" t="str">
        <f t="shared" si="1439"/>
        <v/>
      </c>
      <c r="O3406" s="11" t="s">
        <v>1702</v>
      </c>
      <c r="P3406" s="16" t="str">
        <f t="shared" ref="P3406:P3415" si="1443">IF(LEN(G3406)=10,CONCATENATE("0",G3406),G3406)</f>
        <v>25-Apr-1892</v>
      </c>
      <c r="R3406" s="16" t="str">
        <f t="shared" si="1440"/>
        <v/>
      </c>
      <c r="S3406" s="16" t="str">
        <f t="shared" si="1440"/>
        <v/>
      </c>
      <c r="U3406" s="46" t="str">
        <f t="shared" si="1425"/>
        <v/>
      </c>
      <c r="V3406" s="46">
        <f t="shared" si="1425"/>
        <v>0</v>
      </c>
      <c r="W3406" s="46" t="str">
        <f t="shared" si="1425"/>
        <v/>
      </c>
      <c r="X3406" s="46" t="str">
        <f t="shared" si="1425"/>
        <v/>
      </c>
    </row>
    <row r="3407" spans="2:26" x14ac:dyDescent="0.25">
      <c r="B3407" s="11" t="str">
        <f t="shared" si="1441"/>
        <v>LTRN-23MAY1892</v>
      </c>
      <c r="C3407" s="11" t="s">
        <v>1698</v>
      </c>
      <c r="D3407" s="11" t="s">
        <v>1699</v>
      </c>
      <c r="F3407" s="11" t="s">
        <v>1700</v>
      </c>
      <c r="G3407" s="39" t="s">
        <v>2218</v>
      </c>
      <c r="H3407" s="7">
        <v>0</v>
      </c>
      <c r="I3407" s="7">
        <v>0</v>
      </c>
      <c r="J3407" s="7">
        <v>0</v>
      </c>
      <c r="L3407" s="7">
        <f t="shared" si="1442"/>
        <v>0</v>
      </c>
      <c r="M3407" s="8">
        <v>1</v>
      </c>
      <c r="N3407" s="8" t="str">
        <f t="shared" si="1439"/>
        <v/>
      </c>
      <c r="O3407" s="11" t="s">
        <v>1702</v>
      </c>
      <c r="P3407" s="16" t="str">
        <f t="shared" si="1443"/>
        <v>23-May-1892</v>
      </c>
      <c r="R3407" s="16" t="str">
        <f t="shared" si="1440"/>
        <v/>
      </c>
      <c r="S3407" s="16" t="str">
        <f t="shared" si="1440"/>
        <v/>
      </c>
      <c r="U3407" s="46" t="str">
        <f t="shared" si="1425"/>
        <v/>
      </c>
      <c r="V3407" s="46">
        <f t="shared" si="1425"/>
        <v>0</v>
      </c>
      <c r="W3407" s="46" t="str">
        <f t="shared" si="1425"/>
        <v/>
      </c>
      <c r="X3407" s="46" t="str">
        <f t="shared" si="1425"/>
        <v/>
      </c>
    </row>
    <row r="3408" spans="2:26" x14ac:dyDescent="0.25">
      <c r="B3408" s="11" t="str">
        <f t="shared" si="1441"/>
        <v>LTRN-18JUN1892</v>
      </c>
      <c r="C3408" s="11" t="s">
        <v>1698</v>
      </c>
      <c r="D3408" s="11" t="s">
        <v>1699</v>
      </c>
      <c r="F3408" s="11" t="s">
        <v>1700</v>
      </c>
      <c r="G3408" s="39" t="s">
        <v>2219</v>
      </c>
      <c r="H3408" s="7">
        <v>1</v>
      </c>
      <c r="I3408" s="7">
        <v>0</v>
      </c>
      <c r="J3408" s="7">
        <v>0</v>
      </c>
      <c r="L3408" s="7">
        <f t="shared" si="1442"/>
        <v>1</v>
      </c>
      <c r="M3408" s="8">
        <v>1</v>
      </c>
      <c r="N3408" s="8">
        <f t="shared" si="1439"/>
        <v>1</v>
      </c>
      <c r="O3408" s="11" t="s">
        <v>1702</v>
      </c>
      <c r="P3408" s="16" t="str">
        <f t="shared" si="1443"/>
        <v>18-Jun-1892</v>
      </c>
      <c r="R3408" s="16" t="str">
        <f t="shared" si="1440"/>
        <v>x</v>
      </c>
      <c r="S3408" s="16" t="str">
        <f t="shared" si="1440"/>
        <v>x</v>
      </c>
      <c r="U3408" s="46" t="str">
        <f t="shared" si="1425"/>
        <v/>
      </c>
      <c r="V3408" s="46">
        <f t="shared" si="1425"/>
        <v>1</v>
      </c>
      <c r="W3408" s="46" t="str">
        <f t="shared" si="1425"/>
        <v/>
      </c>
      <c r="X3408" s="46" t="str">
        <f t="shared" si="1425"/>
        <v/>
      </c>
    </row>
    <row r="3409" spans="2:24" x14ac:dyDescent="0.25">
      <c r="B3409" s="11" t="str">
        <f t="shared" si="1441"/>
        <v>LTRN-30JUL1892</v>
      </c>
      <c r="C3409" s="11" t="s">
        <v>1698</v>
      </c>
      <c r="D3409" s="11" t="s">
        <v>1699</v>
      </c>
      <c r="F3409" s="11" t="s">
        <v>1700</v>
      </c>
      <c r="G3409" s="39" t="s">
        <v>2220</v>
      </c>
      <c r="H3409" s="7">
        <v>0</v>
      </c>
      <c r="I3409" s="7">
        <v>0</v>
      </c>
      <c r="J3409" s="7">
        <v>0</v>
      </c>
      <c r="L3409" s="7">
        <f t="shared" si="1442"/>
        <v>0</v>
      </c>
      <c r="M3409" s="8">
        <v>1</v>
      </c>
      <c r="N3409" s="8" t="str">
        <f t="shared" si="1439"/>
        <v/>
      </c>
      <c r="O3409" s="11" t="s">
        <v>1702</v>
      </c>
      <c r="P3409" s="16" t="str">
        <f t="shared" si="1443"/>
        <v>30-Jul-1892</v>
      </c>
      <c r="R3409" s="16" t="str">
        <f t="shared" si="1440"/>
        <v/>
      </c>
      <c r="S3409" s="16" t="str">
        <f t="shared" si="1440"/>
        <v/>
      </c>
      <c r="U3409" s="46" t="str">
        <f t="shared" si="1425"/>
        <v/>
      </c>
      <c r="V3409" s="46">
        <f t="shared" si="1425"/>
        <v>0</v>
      </c>
      <c r="W3409" s="46" t="str">
        <f t="shared" si="1425"/>
        <v/>
      </c>
      <c r="X3409" s="46" t="str">
        <f t="shared" si="1425"/>
        <v/>
      </c>
    </row>
    <row r="3410" spans="2:24" x14ac:dyDescent="0.25">
      <c r="B3410" s="11" t="str">
        <f t="shared" si="1441"/>
        <v>LTRN-27AUG1892</v>
      </c>
      <c r="C3410" s="11" t="s">
        <v>1698</v>
      </c>
      <c r="D3410" s="11" t="s">
        <v>1699</v>
      </c>
      <c r="F3410" s="11" t="s">
        <v>1700</v>
      </c>
      <c r="G3410" s="39" t="s">
        <v>2221</v>
      </c>
      <c r="H3410" s="7">
        <v>0</v>
      </c>
      <c r="I3410" s="7">
        <v>0</v>
      </c>
      <c r="J3410" s="7">
        <v>0</v>
      </c>
      <c r="L3410" s="7">
        <f t="shared" si="1442"/>
        <v>0</v>
      </c>
      <c r="M3410" s="8">
        <v>1</v>
      </c>
      <c r="N3410" s="8" t="str">
        <f t="shared" si="1439"/>
        <v/>
      </c>
      <c r="O3410" s="11" t="s">
        <v>1702</v>
      </c>
      <c r="P3410" s="16" t="str">
        <f t="shared" si="1443"/>
        <v>27-Aug-1892</v>
      </c>
      <c r="R3410" s="16" t="str">
        <f t="shared" si="1440"/>
        <v/>
      </c>
      <c r="S3410" s="16" t="str">
        <f t="shared" si="1440"/>
        <v/>
      </c>
      <c r="U3410" s="46" t="str">
        <f t="shared" si="1425"/>
        <v/>
      </c>
      <c r="V3410" s="46">
        <f t="shared" si="1425"/>
        <v>0</v>
      </c>
      <c r="W3410" s="46" t="str">
        <f t="shared" si="1425"/>
        <v/>
      </c>
      <c r="X3410" s="46" t="str">
        <f t="shared" si="1425"/>
        <v/>
      </c>
    </row>
    <row r="3411" spans="2:24" x14ac:dyDescent="0.25">
      <c r="B3411" s="11" t="str">
        <f t="shared" si="1441"/>
        <v>LTRN-27SEP1892</v>
      </c>
      <c r="C3411" s="11" t="s">
        <v>1698</v>
      </c>
      <c r="D3411" s="11" t="s">
        <v>2224</v>
      </c>
      <c r="F3411" s="11" t="s">
        <v>1700</v>
      </c>
      <c r="G3411" s="39" t="s">
        <v>2222</v>
      </c>
      <c r="H3411" s="7">
        <v>0</v>
      </c>
      <c r="I3411" s="7">
        <v>0</v>
      </c>
      <c r="J3411" s="7">
        <v>0</v>
      </c>
      <c r="L3411" s="7">
        <f t="shared" si="1442"/>
        <v>0</v>
      </c>
      <c r="M3411" s="8">
        <v>1</v>
      </c>
      <c r="N3411" s="8" t="str">
        <f t="shared" si="1439"/>
        <v/>
      </c>
      <c r="O3411" s="11" t="s">
        <v>1702</v>
      </c>
      <c r="P3411" s="16" t="str">
        <f t="shared" si="1443"/>
        <v>27-Sep-1892</v>
      </c>
      <c r="R3411" s="16" t="str">
        <f t="shared" si="1440"/>
        <v/>
      </c>
      <c r="S3411" s="16" t="str">
        <f t="shared" si="1440"/>
        <v/>
      </c>
      <c r="U3411" s="46" t="str">
        <f t="shared" si="1425"/>
        <v/>
      </c>
      <c r="V3411" s="46">
        <f t="shared" si="1425"/>
        <v>0</v>
      </c>
      <c r="W3411" s="46" t="str">
        <f t="shared" si="1425"/>
        <v/>
      </c>
      <c r="X3411" s="46" t="str">
        <f t="shared" si="1425"/>
        <v/>
      </c>
    </row>
    <row r="3412" spans="2:24" x14ac:dyDescent="0.25">
      <c r="B3412" s="11" t="str">
        <f t="shared" si="1441"/>
        <v>LTRN-24OCT1892</v>
      </c>
      <c r="C3412" s="11" t="s">
        <v>1698</v>
      </c>
      <c r="D3412" s="11" t="s">
        <v>2224</v>
      </c>
      <c r="F3412" s="11" t="s">
        <v>1700</v>
      </c>
      <c r="G3412" s="39" t="s">
        <v>2223</v>
      </c>
      <c r="H3412" s="7">
        <v>0</v>
      </c>
      <c r="I3412" s="7">
        <v>0</v>
      </c>
      <c r="J3412" s="7">
        <v>0</v>
      </c>
      <c r="L3412" s="7">
        <f t="shared" si="1442"/>
        <v>0</v>
      </c>
      <c r="M3412" s="8">
        <v>1</v>
      </c>
      <c r="N3412" s="8" t="str">
        <f t="shared" si="1439"/>
        <v/>
      </c>
      <c r="O3412" s="11" t="s">
        <v>1702</v>
      </c>
      <c r="P3412" s="16" t="str">
        <f t="shared" si="1443"/>
        <v>24-Oct-1892</v>
      </c>
      <c r="R3412" s="16" t="str">
        <f t="shared" si="1440"/>
        <v/>
      </c>
      <c r="S3412" s="16" t="str">
        <f t="shared" si="1440"/>
        <v/>
      </c>
      <c r="U3412" s="46" t="str">
        <f t="shared" si="1425"/>
        <v/>
      </c>
      <c r="V3412" s="46">
        <f t="shared" si="1425"/>
        <v>0</v>
      </c>
      <c r="W3412" s="46" t="str">
        <f t="shared" si="1425"/>
        <v/>
      </c>
      <c r="X3412" s="46" t="str">
        <f t="shared" si="1425"/>
        <v/>
      </c>
    </row>
    <row r="3413" spans="2:24" x14ac:dyDescent="0.25">
      <c r="B3413" s="11" t="str">
        <f t="shared" si="1441"/>
        <v>LTRN-27MAR1893</v>
      </c>
      <c r="C3413" s="11" t="s">
        <v>1698</v>
      </c>
      <c r="D3413" s="11" t="s">
        <v>1699</v>
      </c>
      <c r="F3413" s="11" t="s">
        <v>1700</v>
      </c>
      <c r="G3413" s="39" t="s">
        <v>2225</v>
      </c>
      <c r="H3413" s="7">
        <v>0</v>
      </c>
      <c r="I3413" s="7">
        <v>0</v>
      </c>
      <c r="J3413" s="7">
        <v>0</v>
      </c>
      <c r="L3413" s="7">
        <f t="shared" si="1442"/>
        <v>0</v>
      </c>
      <c r="M3413" s="8">
        <v>1</v>
      </c>
      <c r="N3413" s="8" t="str">
        <f t="shared" si="1439"/>
        <v/>
      </c>
      <c r="O3413" s="11" t="s">
        <v>1702</v>
      </c>
      <c r="P3413" s="16" t="str">
        <f t="shared" si="1443"/>
        <v>27-Mar-1893</v>
      </c>
      <c r="R3413" s="16" t="str">
        <f t="shared" si="1440"/>
        <v/>
      </c>
      <c r="S3413" s="16" t="str">
        <f t="shared" si="1440"/>
        <v/>
      </c>
      <c r="U3413" s="46" t="str">
        <f t="shared" si="1425"/>
        <v/>
      </c>
      <c r="V3413" s="46">
        <f t="shared" si="1425"/>
        <v>0</v>
      </c>
      <c r="W3413" s="46" t="str">
        <f t="shared" si="1425"/>
        <v/>
      </c>
      <c r="X3413" s="46" t="str">
        <f t="shared" si="1425"/>
        <v/>
      </c>
    </row>
    <row r="3414" spans="2:24" x14ac:dyDescent="0.25">
      <c r="B3414" s="11" t="str">
        <f t="shared" si="1441"/>
        <v>LTRN-20MAY1893</v>
      </c>
      <c r="C3414" s="11" t="s">
        <v>1698</v>
      </c>
      <c r="D3414" s="11" t="s">
        <v>1699</v>
      </c>
      <c r="F3414" s="11" t="s">
        <v>1700</v>
      </c>
      <c r="G3414" s="39" t="s">
        <v>2226</v>
      </c>
      <c r="H3414" s="7">
        <v>0</v>
      </c>
      <c r="I3414" s="7">
        <v>0</v>
      </c>
      <c r="J3414" s="7">
        <v>0</v>
      </c>
      <c r="L3414" s="7">
        <f t="shared" si="1442"/>
        <v>0</v>
      </c>
      <c r="M3414" s="8">
        <v>1</v>
      </c>
      <c r="N3414" s="8" t="str">
        <f t="shared" si="1439"/>
        <v/>
      </c>
      <c r="O3414" s="11" t="s">
        <v>1702</v>
      </c>
      <c r="P3414" s="16" t="str">
        <f t="shared" si="1443"/>
        <v>20-May-1893</v>
      </c>
      <c r="R3414" s="16" t="str">
        <f t="shared" si="1440"/>
        <v/>
      </c>
      <c r="S3414" s="16" t="str">
        <f t="shared" si="1440"/>
        <v/>
      </c>
      <c r="U3414" s="46" t="str">
        <f t="shared" si="1425"/>
        <v/>
      </c>
      <c r="V3414" s="46">
        <f t="shared" si="1425"/>
        <v>0</v>
      </c>
      <c r="W3414" s="46" t="str">
        <f t="shared" si="1425"/>
        <v/>
      </c>
      <c r="X3414" s="46" t="str">
        <f t="shared" si="1425"/>
        <v/>
      </c>
    </row>
    <row r="3415" spans="2:24" x14ac:dyDescent="0.25">
      <c r="B3415" s="11" t="str">
        <f t="shared" si="1441"/>
        <v>LTRN-17JUN1893</v>
      </c>
      <c r="C3415" s="11" t="s">
        <v>1698</v>
      </c>
      <c r="D3415" s="11" t="s">
        <v>1699</v>
      </c>
      <c r="F3415" s="11" t="s">
        <v>1700</v>
      </c>
      <c r="G3415" s="39" t="s">
        <v>2227</v>
      </c>
      <c r="H3415" s="7">
        <v>0</v>
      </c>
      <c r="I3415" s="7">
        <v>1</v>
      </c>
      <c r="J3415" s="7">
        <v>0</v>
      </c>
      <c r="L3415" s="7">
        <f t="shared" si="1442"/>
        <v>1</v>
      </c>
      <c r="M3415" s="8">
        <v>1</v>
      </c>
      <c r="N3415" s="8">
        <f t="shared" si="1439"/>
        <v>1</v>
      </c>
      <c r="O3415" s="11" t="s">
        <v>1702</v>
      </c>
      <c r="P3415" s="16" t="str">
        <f t="shared" si="1443"/>
        <v>17-Jun-1893</v>
      </c>
      <c r="R3415" s="16" t="str">
        <f t="shared" si="1440"/>
        <v>x</v>
      </c>
      <c r="S3415" s="16" t="str">
        <f t="shared" si="1440"/>
        <v>x</v>
      </c>
      <c r="U3415" s="46" t="str">
        <f t="shared" si="1425"/>
        <v/>
      </c>
      <c r="V3415" s="46">
        <f t="shared" si="1425"/>
        <v>1</v>
      </c>
      <c r="W3415" s="46" t="str">
        <f t="shared" si="1425"/>
        <v/>
      </c>
      <c r="X3415" s="46" t="str">
        <f t="shared" si="1425"/>
        <v/>
      </c>
    </row>
    <row r="3416" spans="2:24" x14ac:dyDescent="0.25">
      <c r="B3416" s="11" t="str">
        <f t="shared" ref="B3416:B3423" si="1444">CONCATENATE("LTRN","-",LEFT(P3416,2),UPPER(MID(P3416,4,3)),RIGHT(P3416,4))</f>
        <v>LTRN-17JUL1893</v>
      </c>
      <c r="C3416" s="11" t="s">
        <v>1698</v>
      </c>
      <c r="D3416" s="11" t="s">
        <v>1699</v>
      </c>
      <c r="F3416" s="11" t="s">
        <v>1700</v>
      </c>
      <c r="G3416" s="39" t="s">
        <v>2228</v>
      </c>
      <c r="H3416" s="7">
        <v>0</v>
      </c>
      <c r="I3416" s="7">
        <v>0</v>
      </c>
      <c r="J3416" s="7">
        <v>0</v>
      </c>
      <c r="L3416" s="7">
        <f t="shared" ref="L3416:L3423" si="1445">SUM(H3416:K3416)</f>
        <v>0</v>
      </c>
      <c r="M3416" s="8">
        <v>1</v>
      </c>
      <c r="N3416" s="8" t="str">
        <f t="shared" si="1439"/>
        <v/>
      </c>
      <c r="O3416" s="11" t="s">
        <v>1702</v>
      </c>
      <c r="P3416" s="16" t="str">
        <f t="shared" ref="P3416:P3423" si="1446">IF(LEN(G3416)=10,CONCATENATE("0",G3416),G3416)</f>
        <v>17-Jul-1893</v>
      </c>
      <c r="R3416" s="16" t="str">
        <f t="shared" si="1440"/>
        <v/>
      </c>
      <c r="S3416" s="16" t="str">
        <f t="shared" si="1440"/>
        <v/>
      </c>
      <c r="U3416" s="46" t="str">
        <f t="shared" si="1425"/>
        <v/>
      </c>
      <c r="V3416" s="46">
        <f t="shared" si="1425"/>
        <v>0</v>
      </c>
      <c r="W3416" s="46" t="str">
        <f t="shared" si="1425"/>
        <v/>
      </c>
      <c r="X3416" s="46" t="str">
        <f t="shared" si="1425"/>
        <v/>
      </c>
    </row>
    <row r="3417" spans="2:24" x14ac:dyDescent="0.25">
      <c r="B3417" s="11" t="str">
        <f t="shared" si="1444"/>
        <v>LTRN-19AUG1893</v>
      </c>
      <c r="C3417" s="11" t="s">
        <v>1698</v>
      </c>
      <c r="D3417" s="11" t="s">
        <v>1699</v>
      </c>
      <c r="F3417" s="11" t="s">
        <v>1700</v>
      </c>
      <c r="G3417" s="39" t="s">
        <v>2229</v>
      </c>
      <c r="H3417" s="7">
        <v>0</v>
      </c>
      <c r="I3417" s="7">
        <v>4</v>
      </c>
      <c r="J3417" s="7">
        <v>0</v>
      </c>
      <c r="L3417" s="7">
        <f t="shared" si="1445"/>
        <v>4</v>
      </c>
      <c r="M3417" s="8">
        <v>1</v>
      </c>
      <c r="N3417" s="8">
        <f t="shared" si="1439"/>
        <v>1</v>
      </c>
      <c r="O3417" s="11" t="s">
        <v>1702</v>
      </c>
      <c r="P3417" s="16" t="str">
        <f t="shared" si="1446"/>
        <v>19-Aug-1893</v>
      </c>
      <c r="R3417" s="16" t="str">
        <f t="shared" si="1440"/>
        <v>x</v>
      </c>
      <c r="S3417" s="16" t="str">
        <f t="shared" si="1440"/>
        <v>x</v>
      </c>
      <c r="U3417" s="46" t="str">
        <f t="shared" si="1425"/>
        <v/>
      </c>
      <c r="V3417" s="46">
        <f t="shared" si="1425"/>
        <v>4</v>
      </c>
      <c r="W3417" s="46" t="str">
        <f t="shared" si="1425"/>
        <v/>
      </c>
      <c r="X3417" s="46" t="str">
        <f t="shared" si="1425"/>
        <v/>
      </c>
    </row>
    <row r="3418" spans="2:24" x14ac:dyDescent="0.25">
      <c r="B3418" s="11" t="str">
        <f t="shared" si="1444"/>
        <v>LTRN-16SEP1893</v>
      </c>
      <c r="C3418" s="11" t="s">
        <v>1698</v>
      </c>
      <c r="D3418" s="11" t="s">
        <v>1699</v>
      </c>
      <c r="F3418" s="11" t="s">
        <v>1700</v>
      </c>
      <c r="G3418" s="39" t="s">
        <v>2230</v>
      </c>
      <c r="H3418" s="7">
        <v>0</v>
      </c>
      <c r="I3418" s="7">
        <v>0</v>
      </c>
      <c r="J3418" s="7">
        <v>0</v>
      </c>
      <c r="L3418" s="7">
        <f t="shared" si="1445"/>
        <v>0</v>
      </c>
      <c r="M3418" s="8">
        <v>1</v>
      </c>
      <c r="N3418" s="8" t="str">
        <f t="shared" si="1439"/>
        <v/>
      </c>
      <c r="O3418" s="11" t="s">
        <v>1702</v>
      </c>
      <c r="P3418" s="16" t="str">
        <f t="shared" si="1446"/>
        <v>16-Sep-1893</v>
      </c>
      <c r="R3418" s="16" t="str">
        <f t="shared" si="1440"/>
        <v/>
      </c>
      <c r="S3418" s="16" t="str">
        <f t="shared" si="1440"/>
        <v/>
      </c>
      <c r="U3418" s="46" t="str">
        <f t="shared" si="1425"/>
        <v/>
      </c>
      <c r="V3418" s="46">
        <f t="shared" si="1425"/>
        <v>0</v>
      </c>
      <c r="W3418" s="46" t="str">
        <f t="shared" si="1425"/>
        <v/>
      </c>
      <c r="X3418" s="46" t="str">
        <f t="shared" si="1425"/>
        <v/>
      </c>
    </row>
    <row r="3419" spans="2:24" x14ac:dyDescent="0.25">
      <c r="B3419" s="11" t="str">
        <f t="shared" si="1444"/>
        <v>LTRN-14OCT1893</v>
      </c>
      <c r="C3419" s="11" t="s">
        <v>1698</v>
      </c>
      <c r="D3419" s="11" t="s">
        <v>1699</v>
      </c>
      <c r="F3419" s="11" t="s">
        <v>1700</v>
      </c>
      <c r="G3419" s="39" t="s">
        <v>2231</v>
      </c>
      <c r="H3419" s="7">
        <v>0</v>
      </c>
      <c r="I3419" s="7">
        <v>0</v>
      </c>
      <c r="J3419" s="7">
        <v>0</v>
      </c>
      <c r="L3419" s="7">
        <f t="shared" si="1445"/>
        <v>0</v>
      </c>
      <c r="M3419" s="8">
        <v>1</v>
      </c>
      <c r="N3419" s="8" t="str">
        <f t="shared" si="1439"/>
        <v/>
      </c>
      <c r="O3419" s="11" t="s">
        <v>1702</v>
      </c>
      <c r="P3419" s="16" t="str">
        <f t="shared" si="1446"/>
        <v>14-Oct-1893</v>
      </c>
      <c r="R3419" s="16" t="str">
        <f t="shared" si="1440"/>
        <v/>
      </c>
      <c r="S3419" s="16" t="str">
        <f t="shared" si="1440"/>
        <v/>
      </c>
      <c r="U3419" s="46" t="str">
        <f t="shared" si="1425"/>
        <v/>
      </c>
      <c r="V3419" s="46">
        <f t="shared" si="1425"/>
        <v>0</v>
      </c>
      <c r="W3419" s="46" t="str">
        <f t="shared" si="1425"/>
        <v/>
      </c>
      <c r="X3419" s="46" t="str">
        <f t="shared" si="1425"/>
        <v/>
      </c>
    </row>
    <row r="3420" spans="2:24" x14ac:dyDescent="0.25">
      <c r="B3420" s="11" t="str">
        <f t="shared" si="1444"/>
        <v>LTRN-11NOV1893</v>
      </c>
      <c r="C3420" s="11" t="s">
        <v>1698</v>
      </c>
      <c r="D3420" s="11" t="s">
        <v>1699</v>
      </c>
      <c r="F3420" s="11" t="s">
        <v>1700</v>
      </c>
      <c r="G3420" s="39" t="s">
        <v>2232</v>
      </c>
      <c r="H3420" s="7">
        <v>0</v>
      </c>
      <c r="I3420" s="7">
        <v>0</v>
      </c>
      <c r="J3420" s="7">
        <v>0</v>
      </c>
      <c r="L3420" s="7">
        <f t="shared" si="1445"/>
        <v>0</v>
      </c>
      <c r="M3420" s="8">
        <v>1</v>
      </c>
      <c r="N3420" s="8" t="str">
        <f t="shared" si="1439"/>
        <v/>
      </c>
      <c r="O3420" s="11" t="s">
        <v>1702</v>
      </c>
      <c r="P3420" s="16" t="str">
        <f t="shared" si="1446"/>
        <v>11-Nov-1893</v>
      </c>
      <c r="R3420" s="16" t="str">
        <f t="shared" si="1440"/>
        <v/>
      </c>
      <c r="S3420" s="16" t="str">
        <f t="shared" si="1440"/>
        <v/>
      </c>
      <c r="T3420" s="11"/>
      <c r="U3420" s="46" t="str">
        <f t="shared" si="1425"/>
        <v/>
      </c>
      <c r="V3420" s="46">
        <f t="shared" si="1425"/>
        <v>0</v>
      </c>
      <c r="W3420" s="46" t="str">
        <f t="shared" si="1425"/>
        <v/>
      </c>
      <c r="X3420" s="46" t="str">
        <f t="shared" si="1425"/>
        <v/>
      </c>
    </row>
    <row r="3421" spans="2:24" x14ac:dyDescent="0.25">
      <c r="B3421" s="11" t="str">
        <f t="shared" si="1444"/>
        <v>LTRN-26MAR1894</v>
      </c>
      <c r="C3421" s="11" t="s">
        <v>1698</v>
      </c>
      <c r="D3421" s="11" t="s">
        <v>1699</v>
      </c>
      <c r="F3421" s="11" t="s">
        <v>1700</v>
      </c>
      <c r="G3421" s="39" t="s">
        <v>2233</v>
      </c>
      <c r="H3421" s="7">
        <v>0</v>
      </c>
      <c r="I3421" s="7">
        <v>0</v>
      </c>
      <c r="J3421" s="7">
        <v>0</v>
      </c>
      <c r="L3421" s="7">
        <f t="shared" si="1445"/>
        <v>0</v>
      </c>
      <c r="M3421" s="8">
        <v>1</v>
      </c>
      <c r="N3421" s="8" t="str">
        <f t="shared" si="1439"/>
        <v/>
      </c>
      <c r="O3421" s="11" t="s">
        <v>1702</v>
      </c>
      <c r="P3421" s="16" t="str">
        <f t="shared" si="1446"/>
        <v>26-Mar-1894</v>
      </c>
      <c r="R3421" s="16" t="str">
        <f t="shared" si="1440"/>
        <v/>
      </c>
      <c r="S3421" s="16" t="str">
        <f t="shared" si="1440"/>
        <v/>
      </c>
      <c r="T3421" s="11"/>
      <c r="U3421" s="46" t="str">
        <f t="shared" si="1425"/>
        <v/>
      </c>
      <c r="V3421" s="46">
        <f t="shared" si="1425"/>
        <v>0</v>
      </c>
      <c r="W3421" s="46" t="str">
        <f t="shared" si="1425"/>
        <v/>
      </c>
      <c r="X3421" s="46" t="str">
        <f t="shared" si="1425"/>
        <v/>
      </c>
    </row>
    <row r="3422" spans="2:24" x14ac:dyDescent="0.25">
      <c r="B3422" s="11" t="str">
        <f t="shared" si="1444"/>
        <v>LTRN-23APR1894</v>
      </c>
      <c r="C3422" s="11" t="s">
        <v>1698</v>
      </c>
      <c r="D3422" s="11" t="s">
        <v>1699</v>
      </c>
      <c r="F3422" s="11" t="s">
        <v>1700</v>
      </c>
      <c r="G3422" s="39" t="s">
        <v>2234</v>
      </c>
      <c r="H3422" s="7">
        <v>0</v>
      </c>
      <c r="I3422" s="7">
        <v>0</v>
      </c>
      <c r="J3422" s="7">
        <v>0</v>
      </c>
      <c r="L3422" s="7">
        <f t="shared" si="1445"/>
        <v>0</v>
      </c>
      <c r="M3422" s="8">
        <v>1</v>
      </c>
      <c r="N3422" s="8" t="str">
        <f t="shared" si="1439"/>
        <v/>
      </c>
      <c r="O3422" s="11" t="s">
        <v>1702</v>
      </c>
      <c r="P3422" s="16" t="str">
        <f t="shared" si="1446"/>
        <v>23-Apr-1894</v>
      </c>
      <c r="R3422" s="16" t="str">
        <f t="shared" si="1440"/>
        <v/>
      </c>
      <c r="S3422" s="16" t="str">
        <f t="shared" si="1440"/>
        <v/>
      </c>
      <c r="T3422" s="11"/>
      <c r="U3422" s="46" t="str">
        <f t="shared" si="1425"/>
        <v/>
      </c>
      <c r="V3422" s="46">
        <f t="shared" si="1425"/>
        <v>0</v>
      </c>
      <c r="W3422" s="46" t="str">
        <f t="shared" si="1425"/>
        <v/>
      </c>
      <c r="X3422" s="46" t="str">
        <f t="shared" si="1425"/>
        <v/>
      </c>
    </row>
    <row r="3423" spans="2:24" x14ac:dyDescent="0.25">
      <c r="B3423" s="11" t="str">
        <f t="shared" si="1444"/>
        <v>LTRN-21MAY1894</v>
      </c>
      <c r="C3423" s="11" t="s">
        <v>1698</v>
      </c>
      <c r="D3423" s="11" t="s">
        <v>1699</v>
      </c>
      <c r="F3423" s="11" t="s">
        <v>1700</v>
      </c>
      <c r="G3423" s="39" t="s">
        <v>2235</v>
      </c>
      <c r="H3423" s="7">
        <v>0</v>
      </c>
      <c r="I3423" s="7">
        <v>0</v>
      </c>
      <c r="J3423" s="7">
        <v>0</v>
      </c>
      <c r="L3423" s="7">
        <f t="shared" si="1445"/>
        <v>0</v>
      </c>
      <c r="M3423" s="8">
        <v>1</v>
      </c>
      <c r="N3423" s="8" t="str">
        <f t="shared" si="1439"/>
        <v/>
      </c>
      <c r="O3423" s="11" t="s">
        <v>1702</v>
      </c>
      <c r="P3423" s="16" t="str">
        <f t="shared" si="1446"/>
        <v>21-May-1894</v>
      </c>
      <c r="R3423" s="16" t="str">
        <f t="shared" si="1440"/>
        <v/>
      </c>
      <c r="S3423" s="16" t="str">
        <f t="shared" si="1440"/>
        <v/>
      </c>
      <c r="T3423" s="11"/>
      <c r="U3423" s="46" t="str">
        <f t="shared" si="1425"/>
        <v/>
      </c>
      <c r="V3423" s="46">
        <f t="shared" si="1425"/>
        <v>0</v>
      </c>
      <c r="W3423" s="46" t="str">
        <f t="shared" si="1425"/>
        <v/>
      </c>
      <c r="X3423" s="46" t="str">
        <f t="shared" si="1425"/>
        <v/>
      </c>
    </row>
    <row r="3424" spans="2:24" x14ac:dyDescent="0.25">
      <c r="B3424" s="11" t="str">
        <f t="shared" ref="B3424:B3434" si="1447">CONCATENATE("LTRN","-",LEFT(P3424,2),UPPER(MID(P3424,4,3)),RIGHT(P3424,4))</f>
        <v>LTRN-16JUN1894</v>
      </c>
      <c r="C3424" s="11" t="s">
        <v>1698</v>
      </c>
      <c r="D3424" s="11" t="s">
        <v>1699</v>
      </c>
      <c r="F3424" s="11" t="s">
        <v>1700</v>
      </c>
      <c r="G3424" s="39" t="s">
        <v>2236</v>
      </c>
      <c r="H3424" s="7">
        <v>0</v>
      </c>
      <c r="I3424" s="7">
        <v>0</v>
      </c>
      <c r="J3424" s="7">
        <v>0</v>
      </c>
      <c r="L3424" s="7">
        <f t="shared" ref="L3424:L3434" si="1448">SUM(H3424:K3424)</f>
        <v>0</v>
      </c>
      <c r="M3424" s="8">
        <v>1</v>
      </c>
      <c r="N3424" s="8" t="str">
        <f t="shared" si="1439"/>
        <v/>
      </c>
      <c r="O3424" s="11" t="s">
        <v>1702</v>
      </c>
      <c r="P3424" s="16" t="str">
        <f t="shared" ref="P3424:P3434" si="1449">IF(LEN(G3424)=10,CONCATENATE("0",G3424),G3424)</f>
        <v>16-Jun-1894</v>
      </c>
      <c r="R3424" s="16" t="str">
        <f t="shared" si="1440"/>
        <v/>
      </c>
      <c r="S3424" s="16" t="str">
        <f t="shared" si="1440"/>
        <v/>
      </c>
      <c r="T3424" s="11"/>
      <c r="U3424" s="46" t="str">
        <f t="shared" si="1425"/>
        <v/>
      </c>
      <c r="V3424" s="46">
        <f t="shared" si="1425"/>
        <v>0</v>
      </c>
      <c r="W3424" s="46" t="str">
        <f t="shared" si="1425"/>
        <v/>
      </c>
      <c r="X3424" s="46" t="str">
        <f t="shared" si="1425"/>
        <v/>
      </c>
    </row>
    <row r="3425" spans="2:24" x14ac:dyDescent="0.25">
      <c r="B3425" s="11" t="str">
        <f t="shared" si="1447"/>
        <v>LTRN-14JUL1894</v>
      </c>
      <c r="C3425" s="11" t="s">
        <v>1698</v>
      </c>
      <c r="D3425" s="11" t="s">
        <v>1699</v>
      </c>
      <c r="F3425" s="11" t="s">
        <v>1700</v>
      </c>
      <c r="G3425" s="39" t="s">
        <v>2237</v>
      </c>
      <c r="H3425" s="7">
        <v>0</v>
      </c>
      <c r="I3425" s="7">
        <v>0</v>
      </c>
      <c r="J3425" s="7">
        <v>0</v>
      </c>
      <c r="L3425" s="7">
        <f t="shared" si="1448"/>
        <v>0</v>
      </c>
      <c r="M3425" s="8">
        <v>1</v>
      </c>
      <c r="N3425" s="8" t="str">
        <f t="shared" si="1439"/>
        <v/>
      </c>
      <c r="O3425" s="11" t="s">
        <v>1702</v>
      </c>
      <c r="P3425" s="16" t="str">
        <f t="shared" si="1449"/>
        <v>14-Jul-1894</v>
      </c>
      <c r="R3425" s="16" t="str">
        <f t="shared" si="1440"/>
        <v/>
      </c>
      <c r="S3425" s="16" t="str">
        <f t="shared" si="1440"/>
        <v/>
      </c>
      <c r="T3425" s="11"/>
      <c r="U3425" s="46" t="str">
        <f t="shared" si="1425"/>
        <v/>
      </c>
      <c r="V3425" s="46">
        <f t="shared" si="1425"/>
        <v>0</v>
      </c>
      <c r="W3425" s="46" t="str">
        <f t="shared" si="1425"/>
        <v/>
      </c>
      <c r="X3425" s="46" t="str">
        <f t="shared" si="1425"/>
        <v/>
      </c>
    </row>
    <row r="3426" spans="2:24" x14ac:dyDescent="0.25">
      <c r="B3426" s="11" t="str">
        <f t="shared" si="1447"/>
        <v>LTRN-18AUG1894</v>
      </c>
      <c r="C3426" s="11" t="s">
        <v>1698</v>
      </c>
      <c r="D3426" s="11" t="s">
        <v>1699</v>
      </c>
      <c r="F3426" s="11" t="s">
        <v>1700</v>
      </c>
      <c r="G3426" s="39" t="s">
        <v>2238</v>
      </c>
      <c r="H3426" s="7">
        <v>0</v>
      </c>
      <c r="I3426" s="7">
        <v>0</v>
      </c>
      <c r="J3426" s="7">
        <v>0</v>
      </c>
      <c r="L3426" s="7">
        <f t="shared" si="1448"/>
        <v>0</v>
      </c>
      <c r="M3426" s="8">
        <v>1</v>
      </c>
      <c r="N3426" s="8" t="str">
        <f t="shared" si="1439"/>
        <v/>
      </c>
      <c r="O3426" s="11" t="s">
        <v>1702</v>
      </c>
      <c r="P3426" s="16" t="str">
        <f t="shared" si="1449"/>
        <v>18-Aug-1894</v>
      </c>
      <c r="R3426" s="16" t="str">
        <f t="shared" si="1440"/>
        <v/>
      </c>
      <c r="S3426" s="16" t="str">
        <f t="shared" si="1440"/>
        <v/>
      </c>
      <c r="T3426" s="11"/>
      <c r="U3426" s="46" t="str">
        <f t="shared" si="1425"/>
        <v/>
      </c>
      <c r="V3426" s="46">
        <f t="shared" si="1425"/>
        <v>0</v>
      </c>
      <c r="W3426" s="46" t="str">
        <f t="shared" si="1425"/>
        <v/>
      </c>
      <c r="X3426" s="46" t="str">
        <f t="shared" si="1425"/>
        <v/>
      </c>
    </row>
    <row r="3427" spans="2:24" x14ac:dyDescent="0.25">
      <c r="B3427" s="11" t="str">
        <f t="shared" si="1447"/>
        <v>LTRN-22SEP1894</v>
      </c>
      <c r="C3427" s="11" t="s">
        <v>1698</v>
      </c>
      <c r="D3427" s="11" t="s">
        <v>1699</v>
      </c>
      <c r="F3427" s="11" t="s">
        <v>1700</v>
      </c>
      <c r="G3427" s="39" t="s">
        <v>2239</v>
      </c>
      <c r="H3427" s="7">
        <v>0</v>
      </c>
      <c r="I3427" s="7">
        <v>0</v>
      </c>
      <c r="J3427" s="7">
        <v>0</v>
      </c>
      <c r="L3427" s="7">
        <f t="shared" si="1448"/>
        <v>0</v>
      </c>
      <c r="M3427" s="8">
        <v>1</v>
      </c>
      <c r="N3427" s="8" t="str">
        <f t="shared" si="1439"/>
        <v/>
      </c>
      <c r="O3427" s="11" t="s">
        <v>1702</v>
      </c>
      <c r="P3427" s="16" t="str">
        <f t="shared" si="1449"/>
        <v>22-Sep-1894</v>
      </c>
      <c r="R3427" s="16" t="str">
        <f t="shared" si="1440"/>
        <v/>
      </c>
      <c r="S3427" s="16" t="str">
        <f t="shared" si="1440"/>
        <v/>
      </c>
      <c r="T3427" s="11"/>
      <c r="U3427" s="46" t="str">
        <f t="shared" si="1425"/>
        <v/>
      </c>
      <c r="V3427" s="46">
        <f t="shared" si="1425"/>
        <v>0</v>
      </c>
      <c r="W3427" s="46" t="str">
        <f t="shared" si="1425"/>
        <v/>
      </c>
      <c r="X3427" s="46" t="str">
        <f t="shared" si="1425"/>
        <v/>
      </c>
    </row>
    <row r="3428" spans="2:24" x14ac:dyDescent="0.25">
      <c r="B3428" s="11" t="str">
        <f t="shared" si="1447"/>
        <v>LTRN-20OCT1894</v>
      </c>
      <c r="C3428" s="11" t="s">
        <v>1698</v>
      </c>
      <c r="D3428" s="11" t="s">
        <v>1699</v>
      </c>
      <c r="F3428" s="11" t="s">
        <v>1700</v>
      </c>
      <c r="G3428" s="39" t="s">
        <v>2240</v>
      </c>
      <c r="H3428" s="7">
        <v>0</v>
      </c>
      <c r="I3428" s="7">
        <v>0</v>
      </c>
      <c r="J3428" s="7">
        <v>0</v>
      </c>
      <c r="L3428" s="7">
        <f t="shared" si="1448"/>
        <v>0</v>
      </c>
      <c r="M3428" s="8">
        <v>1</v>
      </c>
      <c r="N3428" s="8" t="str">
        <f t="shared" si="1439"/>
        <v/>
      </c>
      <c r="O3428" s="11" t="s">
        <v>1702</v>
      </c>
      <c r="P3428" s="16" t="str">
        <f t="shared" si="1449"/>
        <v>20-Oct-1894</v>
      </c>
      <c r="R3428" s="16" t="str">
        <f t="shared" si="1440"/>
        <v/>
      </c>
      <c r="S3428" s="16" t="str">
        <f t="shared" si="1440"/>
        <v/>
      </c>
      <c r="T3428" s="11"/>
      <c r="U3428" s="46" t="str">
        <f t="shared" si="1425"/>
        <v/>
      </c>
      <c r="V3428" s="46">
        <f t="shared" si="1425"/>
        <v>0</v>
      </c>
      <c r="W3428" s="46" t="str">
        <f t="shared" si="1425"/>
        <v/>
      </c>
      <c r="X3428" s="46" t="str">
        <f t="shared" si="1425"/>
        <v/>
      </c>
    </row>
    <row r="3429" spans="2:24" x14ac:dyDescent="0.25">
      <c r="B3429" s="11" t="str">
        <f t="shared" si="1447"/>
        <v>LTRN-19NOV1894</v>
      </c>
      <c r="C3429" s="11" t="s">
        <v>1698</v>
      </c>
      <c r="D3429" s="11" t="s">
        <v>1699</v>
      </c>
      <c r="F3429" s="11" t="s">
        <v>1700</v>
      </c>
      <c r="G3429" s="39" t="s">
        <v>2241</v>
      </c>
      <c r="H3429" s="7">
        <v>0</v>
      </c>
      <c r="I3429" s="7">
        <v>0</v>
      </c>
      <c r="J3429" s="7">
        <v>0</v>
      </c>
      <c r="L3429" s="7">
        <f t="shared" si="1448"/>
        <v>0</v>
      </c>
      <c r="M3429" s="8">
        <v>1</v>
      </c>
      <c r="N3429" s="8" t="str">
        <f t="shared" si="1439"/>
        <v/>
      </c>
      <c r="O3429" s="11" t="s">
        <v>1702</v>
      </c>
      <c r="P3429" s="16" t="str">
        <f t="shared" si="1449"/>
        <v>19-Nov-1894</v>
      </c>
      <c r="R3429" s="16" t="str">
        <f t="shared" si="1440"/>
        <v/>
      </c>
      <c r="S3429" s="16" t="str">
        <f t="shared" si="1440"/>
        <v/>
      </c>
      <c r="T3429" s="11"/>
      <c r="U3429" s="46" t="str">
        <f t="shared" si="1425"/>
        <v/>
      </c>
      <c r="V3429" s="46">
        <f t="shared" si="1425"/>
        <v>0</v>
      </c>
      <c r="W3429" s="46" t="str">
        <f t="shared" si="1425"/>
        <v/>
      </c>
      <c r="X3429" s="46" t="str">
        <f t="shared" si="1425"/>
        <v/>
      </c>
    </row>
    <row r="3430" spans="2:24" x14ac:dyDescent="0.25">
      <c r="B3430" s="11" t="str">
        <f t="shared" si="1447"/>
        <v>LTRN-31JAN1895</v>
      </c>
      <c r="C3430" s="11" t="s">
        <v>1698</v>
      </c>
      <c r="D3430" s="11" t="s">
        <v>1699</v>
      </c>
      <c r="F3430" s="11" t="s">
        <v>1700</v>
      </c>
      <c r="G3430" s="39" t="s">
        <v>2242</v>
      </c>
      <c r="H3430" s="7">
        <v>0</v>
      </c>
      <c r="I3430" s="7">
        <v>0</v>
      </c>
      <c r="J3430" s="7">
        <v>0</v>
      </c>
      <c r="L3430" s="7">
        <f t="shared" si="1448"/>
        <v>0</v>
      </c>
      <c r="M3430" s="8">
        <v>1</v>
      </c>
      <c r="N3430" s="8" t="str">
        <f t="shared" si="1439"/>
        <v/>
      </c>
      <c r="O3430" s="11" t="s">
        <v>1702</v>
      </c>
      <c r="P3430" s="16" t="str">
        <f t="shared" si="1449"/>
        <v>31-Jan-1895</v>
      </c>
      <c r="R3430" s="16" t="str">
        <f t="shared" si="1440"/>
        <v/>
      </c>
      <c r="S3430" s="16" t="str">
        <f t="shared" si="1440"/>
        <v/>
      </c>
      <c r="T3430" s="11"/>
      <c r="U3430" s="46" t="str">
        <f t="shared" si="1425"/>
        <v/>
      </c>
      <c r="V3430" s="46">
        <f t="shared" si="1425"/>
        <v>0</v>
      </c>
      <c r="W3430" s="46" t="str">
        <f t="shared" si="1425"/>
        <v/>
      </c>
      <c r="X3430" s="46" t="str">
        <f t="shared" si="1425"/>
        <v/>
      </c>
    </row>
    <row r="3431" spans="2:24" x14ac:dyDescent="0.25">
      <c r="B3431" s="11" t="str">
        <f t="shared" si="1447"/>
        <v>LTRN-09APR1895</v>
      </c>
      <c r="C3431" s="11" t="s">
        <v>1698</v>
      </c>
      <c r="D3431" s="11" t="s">
        <v>2248</v>
      </c>
      <c r="F3431" s="11" t="s">
        <v>1700</v>
      </c>
      <c r="G3431" s="39" t="s">
        <v>2243</v>
      </c>
      <c r="H3431" s="7">
        <v>0</v>
      </c>
      <c r="I3431" s="7">
        <v>0</v>
      </c>
      <c r="J3431" s="7">
        <v>0</v>
      </c>
      <c r="L3431" s="7">
        <f t="shared" si="1448"/>
        <v>0</v>
      </c>
      <c r="M3431" s="8">
        <v>1</v>
      </c>
      <c r="N3431" s="8" t="str">
        <f t="shared" si="1439"/>
        <v/>
      </c>
      <c r="O3431" s="11" t="s">
        <v>1702</v>
      </c>
      <c r="P3431" s="16" t="str">
        <f t="shared" si="1449"/>
        <v>09-Apr-1895</v>
      </c>
      <c r="R3431" s="16" t="str">
        <f t="shared" si="1440"/>
        <v/>
      </c>
      <c r="S3431" s="16" t="str">
        <f t="shared" si="1440"/>
        <v/>
      </c>
      <c r="T3431" s="11"/>
      <c r="U3431" s="46" t="str">
        <f t="shared" si="1425"/>
        <v/>
      </c>
      <c r="V3431" s="46">
        <f t="shared" si="1425"/>
        <v>0</v>
      </c>
      <c r="W3431" s="46" t="str">
        <f t="shared" si="1425"/>
        <v/>
      </c>
      <c r="X3431" s="46" t="str">
        <f t="shared" si="1425"/>
        <v/>
      </c>
    </row>
    <row r="3432" spans="2:24" x14ac:dyDescent="0.25">
      <c r="B3432" s="11" t="str">
        <f t="shared" si="1447"/>
        <v>LTRN-11MAY1895</v>
      </c>
      <c r="C3432" s="11" t="s">
        <v>1698</v>
      </c>
      <c r="D3432" s="11" t="s">
        <v>1699</v>
      </c>
      <c r="F3432" s="11" t="s">
        <v>1700</v>
      </c>
      <c r="G3432" s="39" t="s">
        <v>2244</v>
      </c>
      <c r="H3432" s="7">
        <v>0</v>
      </c>
      <c r="I3432" s="7">
        <v>0</v>
      </c>
      <c r="J3432" s="7">
        <v>0</v>
      </c>
      <c r="L3432" s="7">
        <f t="shared" si="1448"/>
        <v>0</v>
      </c>
      <c r="M3432" s="8">
        <v>1</v>
      </c>
      <c r="N3432" s="8" t="str">
        <f t="shared" si="1439"/>
        <v/>
      </c>
      <c r="O3432" s="11" t="s">
        <v>1702</v>
      </c>
      <c r="P3432" s="16" t="str">
        <f t="shared" si="1449"/>
        <v>11-May-1895</v>
      </c>
      <c r="R3432" s="16" t="str">
        <f t="shared" si="1440"/>
        <v/>
      </c>
      <c r="S3432" s="16" t="str">
        <f t="shared" si="1440"/>
        <v/>
      </c>
      <c r="T3432" s="11"/>
      <c r="U3432" s="46" t="str">
        <f t="shared" si="1425"/>
        <v/>
      </c>
      <c r="V3432" s="46">
        <f t="shared" si="1425"/>
        <v>0</v>
      </c>
      <c r="W3432" s="46" t="str">
        <f t="shared" si="1425"/>
        <v/>
      </c>
      <c r="X3432" s="46" t="str">
        <f t="shared" si="1425"/>
        <v/>
      </c>
    </row>
    <row r="3433" spans="2:24" x14ac:dyDescent="0.25">
      <c r="B3433" s="11" t="str">
        <f t="shared" si="1447"/>
        <v>LTRN-10JUN1895</v>
      </c>
      <c r="C3433" s="11" t="s">
        <v>1698</v>
      </c>
      <c r="D3433" s="11" t="s">
        <v>1699</v>
      </c>
      <c r="F3433" s="11" t="s">
        <v>1700</v>
      </c>
      <c r="G3433" s="39" t="s">
        <v>2245</v>
      </c>
      <c r="H3433" s="7">
        <v>0</v>
      </c>
      <c r="I3433" s="7">
        <v>0</v>
      </c>
      <c r="J3433" s="7">
        <v>0</v>
      </c>
      <c r="L3433" s="7">
        <f t="shared" si="1448"/>
        <v>0</v>
      </c>
      <c r="M3433" s="8">
        <v>1</v>
      </c>
      <c r="N3433" s="8" t="str">
        <f t="shared" si="1439"/>
        <v/>
      </c>
      <c r="O3433" s="11" t="s">
        <v>1702</v>
      </c>
      <c r="P3433" s="16" t="str">
        <f t="shared" si="1449"/>
        <v>10-Jun-1895</v>
      </c>
      <c r="R3433" s="16" t="str">
        <f t="shared" si="1440"/>
        <v/>
      </c>
      <c r="S3433" s="16" t="str">
        <f t="shared" si="1440"/>
        <v/>
      </c>
      <c r="T3433" s="11"/>
      <c r="U3433" s="46" t="str">
        <f t="shared" si="1425"/>
        <v/>
      </c>
      <c r="V3433" s="46">
        <f t="shared" si="1425"/>
        <v>0</v>
      </c>
      <c r="W3433" s="46" t="str">
        <f t="shared" si="1425"/>
        <v/>
      </c>
      <c r="X3433" s="46" t="str">
        <f t="shared" si="1425"/>
        <v/>
      </c>
    </row>
    <row r="3434" spans="2:24" x14ac:dyDescent="0.25">
      <c r="B3434" s="11" t="str">
        <f t="shared" si="1447"/>
        <v>LTRN-08JUL1895</v>
      </c>
      <c r="C3434" s="11" t="s">
        <v>1698</v>
      </c>
      <c r="D3434" s="11" t="s">
        <v>1699</v>
      </c>
      <c r="F3434" s="11" t="s">
        <v>1700</v>
      </c>
      <c r="G3434" s="39" t="s">
        <v>2246</v>
      </c>
      <c r="H3434" s="7">
        <v>0</v>
      </c>
      <c r="I3434" s="7">
        <v>0</v>
      </c>
      <c r="J3434" s="7">
        <v>0</v>
      </c>
      <c r="L3434" s="7">
        <f t="shared" si="1448"/>
        <v>0</v>
      </c>
      <c r="M3434" s="8">
        <v>1</v>
      </c>
      <c r="N3434" s="8" t="str">
        <f t="shared" si="1439"/>
        <v/>
      </c>
      <c r="O3434" s="11" t="s">
        <v>1702</v>
      </c>
      <c r="P3434" s="16" t="str">
        <f t="shared" si="1449"/>
        <v>08-Jul-1895</v>
      </c>
      <c r="R3434" s="16" t="str">
        <f t="shared" si="1440"/>
        <v/>
      </c>
      <c r="S3434" s="16" t="str">
        <f t="shared" si="1440"/>
        <v/>
      </c>
      <c r="T3434" s="11"/>
      <c r="U3434" s="46" t="str">
        <f t="shared" si="1425"/>
        <v/>
      </c>
      <c r="V3434" s="46">
        <f t="shared" si="1425"/>
        <v>0</v>
      </c>
      <c r="W3434" s="46" t="str">
        <f t="shared" si="1425"/>
        <v/>
      </c>
      <c r="X3434" s="46" t="str">
        <f t="shared" si="1425"/>
        <v/>
      </c>
    </row>
    <row r="3435" spans="2:24" x14ac:dyDescent="0.25">
      <c r="B3435" s="11" t="str">
        <f t="shared" ref="B3435:B3473" si="1450">CONCATENATE("LTRN","-",LEFT(P3435,2),UPPER(MID(P3435,4,3)),RIGHT(P3435,4))</f>
        <v>LTRN-05AUG1895</v>
      </c>
      <c r="C3435" s="11" t="s">
        <v>1698</v>
      </c>
      <c r="D3435" s="11" t="s">
        <v>1699</v>
      </c>
      <c r="F3435" s="11" t="s">
        <v>1700</v>
      </c>
      <c r="G3435" s="39" t="s">
        <v>2138</v>
      </c>
      <c r="H3435" s="7">
        <v>0</v>
      </c>
      <c r="I3435" s="7">
        <v>0</v>
      </c>
      <c r="J3435" s="7">
        <v>0</v>
      </c>
      <c r="L3435" s="7">
        <f t="shared" ref="L3435:L3473" si="1451">SUM(H3435:K3435)</f>
        <v>0</v>
      </c>
      <c r="M3435" s="8">
        <v>1</v>
      </c>
      <c r="N3435" s="8" t="str">
        <f t="shared" si="1439"/>
        <v/>
      </c>
      <c r="O3435" s="11" t="s">
        <v>1702</v>
      </c>
      <c r="P3435" s="16" t="str">
        <f t="shared" ref="P3435:P3473" si="1452">IF(LEN(G3435)=10,CONCATENATE("0",G3435),G3435)</f>
        <v>05-Aug-1895</v>
      </c>
      <c r="R3435" s="16" t="str">
        <f t="shared" si="1440"/>
        <v/>
      </c>
      <c r="S3435" s="16" t="str">
        <f t="shared" si="1440"/>
        <v/>
      </c>
      <c r="T3435" s="11"/>
      <c r="U3435" s="46" t="str">
        <f t="shared" si="1425"/>
        <v/>
      </c>
      <c r="V3435" s="46">
        <f t="shared" si="1425"/>
        <v>0</v>
      </c>
      <c r="W3435" s="46" t="str">
        <f t="shared" si="1425"/>
        <v/>
      </c>
      <c r="X3435" s="46" t="str">
        <f t="shared" si="1425"/>
        <v/>
      </c>
    </row>
    <row r="3436" spans="2:24" x14ac:dyDescent="0.25">
      <c r="B3436" s="11" t="str">
        <f t="shared" si="1450"/>
        <v>LTRN-07SEP1895</v>
      </c>
      <c r="C3436" s="11" t="s">
        <v>1698</v>
      </c>
      <c r="D3436" s="11" t="s">
        <v>1699</v>
      </c>
      <c r="F3436" s="11" t="s">
        <v>1700</v>
      </c>
      <c r="G3436" s="39" t="s">
        <v>2247</v>
      </c>
      <c r="H3436" s="7">
        <v>0</v>
      </c>
      <c r="I3436" s="7">
        <v>0</v>
      </c>
      <c r="J3436" s="7">
        <v>5</v>
      </c>
      <c r="L3436" s="7">
        <f t="shared" si="1451"/>
        <v>5</v>
      </c>
      <c r="M3436" s="8">
        <v>1</v>
      </c>
      <c r="N3436" s="8">
        <f t="shared" si="1439"/>
        <v>1</v>
      </c>
      <c r="O3436" s="11" t="s">
        <v>1702</v>
      </c>
      <c r="P3436" s="16" t="str">
        <f t="shared" si="1452"/>
        <v>07-Sep-1895</v>
      </c>
      <c r="R3436" s="16" t="str">
        <f t="shared" si="1440"/>
        <v>x</v>
      </c>
      <c r="S3436" s="16" t="str">
        <f t="shared" si="1440"/>
        <v>x</v>
      </c>
      <c r="T3436" s="11"/>
      <c r="U3436" s="46" t="str">
        <f t="shared" si="1425"/>
        <v/>
      </c>
      <c r="V3436" s="46">
        <f t="shared" si="1425"/>
        <v>5</v>
      </c>
      <c r="W3436" s="46" t="str">
        <f t="shared" si="1425"/>
        <v/>
      </c>
      <c r="X3436" s="46" t="str">
        <f t="shared" si="1425"/>
        <v/>
      </c>
    </row>
    <row r="3437" spans="2:24" x14ac:dyDescent="0.25">
      <c r="B3437" s="11" t="str">
        <f t="shared" si="1450"/>
        <v>LTRN-07OCT1895</v>
      </c>
      <c r="C3437" s="11" t="s">
        <v>1698</v>
      </c>
      <c r="D3437" s="11" t="s">
        <v>1699</v>
      </c>
      <c r="F3437" s="11" t="s">
        <v>1700</v>
      </c>
      <c r="G3437" s="39" t="s">
        <v>1701</v>
      </c>
      <c r="H3437" s="7">
        <v>0</v>
      </c>
      <c r="I3437" s="7">
        <v>0</v>
      </c>
      <c r="J3437" s="7">
        <v>6</v>
      </c>
      <c r="L3437" s="7">
        <f t="shared" si="1451"/>
        <v>6</v>
      </c>
      <c r="M3437" s="8">
        <v>1</v>
      </c>
      <c r="N3437" s="8">
        <f t="shared" si="1439"/>
        <v>1</v>
      </c>
      <c r="O3437" s="11" t="s">
        <v>1702</v>
      </c>
      <c r="P3437" s="16" t="str">
        <f t="shared" si="1452"/>
        <v>07-Oct-1895</v>
      </c>
      <c r="R3437" s="16" t="str">
        <f t="shared" ref="R3437:S3512" si="1453">IF($L3437&gt;0,"x","")</f>
        <v>x</v>
      </c>
      <c r="S3437" s="16" t="str">
        <f t="shared" si="1453"/>
        <v>x</v>
      </c>
      <c r="T3437" s="11"/>
      <c r="U3437" s="46" t="str">
        <f t="shared" si="1425"/>
        <v/>
      </c>
      <c r="V3437" s="46">
        <f t="shared" si="1425"/>
        <v>6</v>
      </c>
      <c r="W3437" s="46" t="str">
        <f t="shared" si="1425"/>
        <v/>
      </c>
      <c r="X3437" s="46" t="str">
        <f t="shared" si="1425"/>
        <v/>
      </c>
    </row>
    <row r="3438" spans="2:24" x14ac:dyDescent="0.25">
      <c r="B3438" s="11" t="str">
        <f t="shared" si="1450"/>
        <v>LTRN-04NOV1895</v>
      </c>
      <c r="C3438" s="11" t="s">
        <v>1698</v>
      </c>
      <c r="D3438" s="11" t="s">
        <v>1699</v>
      </c>
      <c r="F3438" s="11" t="s">
        <v>1700</v>
      </c>
      <c r="G3438" s="39" t="s">
        <v>1704</v>
      </c>
      <c r="H3438" s="7">
        <v>0</v>
      </c>
      <c r="I3438" s="7">
        <v>0</v>
      </c>
      <c r="J3438" s="7">
        <v>10</v>
      </c>
      <c r="L3438" s="7">
        <f t="shared" si="1451"/>
        <v>10</v>
      </c>
      <c r="M3438" s="8">
        <v>1</v>
      </c>
      <c r="N3438" s="8">
        <f t="shared" si="1439"/>
        <v>1</v>
      </c>
      <c r="O3438" s="11" t="s">
        <v>1702</v>
      </c>
      <c r="P3438" s="16" t="str">
        <f t="shared" si="1452"/>
        <v>04-Nov-1895</v>
      </c>
      <c r="R3438" s="16" t="str">
        <f t="shared" si="1453"/>
        <v>x</v>
      </c>
      <c r="S3438" s="16" t="str">
        <f t="shared" si="1453"/>
        <v>x</v>
      </c>
      <c r="T3438" s="11"/>
      <c r="U3438" s="46" t="str">
        <f t="shared" si="1425"/>
        <v/>
      </c>
      <c r="V3438" s="46">
        <f t="shared" si="1425"/>
        <v>10</v>
      </c>
      <c r="W3438" s="46" t="str">
        <f t="shared" si="1425"/>
        <v/>
      </c>
      <c r="X3438" s="46" t="str">
        <f t="shared" si="1425"/>
        <v/>
      </c>
    </row>
    <row r="3439" spans="2:24" x14ac:dyDescent="0.25">
      <c r="B3439" s="11" t="str">
        <f t="shared" si="1450"/>
        <v>LTRN-16MAR1896</v>
      </c>
      <c r="C3439" s="11" t="s">
        <v>1698</v>
      </c>
      <c r="D3439" s="11" t="s">
        <v>1699</v>
      </c>
      <c r="F3439" s="11" t="s">
        <v>1700</v>
      </c>
      <c r="G3439" s="39" t="s">
        <v>1705</v>
      </c>
      <c r="H3439" s="7">
        <v>0</v>
      </c>
      <c r="I3439" s="7">
        <v>0</v>
      </c>
      <c r="J3439" s="7">
        <v>1</v>
      </c>
      <c r="L3439" s="7">
        <f t="shared" si="1451"/>
        <v>1</v>
      </c>
      <c r="M3439" s="8">
        <v>1</v>
      </c>
      <c r="N3439" s="8">
        <f t="shared" si="1439"/>
        <v>1</v>
      </c>
      <c r="O3439" s="11" t="s">
        <v>1702</v>
      </c>
      <c r="P3439" s="16" t="str">
        <f t="shared" si="1452"/>
        <v>16-Mar-1896</v>
      </c>
      <c r="R3439" s="16" t="str">
        <f t="shared" si="1453"/>
        <v>x</v>
      </c>
      <c r="S3439" s="16" t="str">
        <f t="shared" si="1453"/>
        <v>x</v>
      </c>
      <c r="T3439" s="11"/>
      <c r="U3439" s="46" t="str">
        <f t="shared" si="1425"/>
        <v/>
      </c>
      <c r="V3439" s="46">
        <f t="shared" si="1425"/>
        <v>1</v>
      </c>
      <c r="W3439" s="46" t="str">
        <f t="shared" si="1425"/>
        <v/>
      </c>
      <c r="X3439" s="46" t="str">
        <f t="shared" si="1425"/>
        <v/>
      </c>
    </row>
    <row r="3440" spans="2:24" x14ac:dyDescent="0.25">
      <c r="B3440" s="11" t="str">
        <f t="shared" si="1450"/>
        <v>LTRN-06JUL1896</v>
      </c>
      <c r="C3440" s="11" t="s">
        <v>1698</v>
      </c>
      <c r="D3440" s="11" t="s">
        <v>1699</v>
      </c>
      <c r="F3440" s="11" t="s">
        <v>1700</v>
      </c>
      <c r="G3440" s="39" t="s">
        <v>1706</v>
      </c>
      <c r="H3440" s="7">
        <v>0</v>
      </c>
      <c r="I3440" s="7">
        <v>0</v>
      </c>
      <c r="J3440" s="7">
        <v>2</v>
      </c>
      <c r="L3440" s="7">
        <f t="shared" si="1451"/>
        <v>2</v>
      </c>
      <c r="M3440" s="8">
        <v>1</v>
      </c>
      <c r="N3440" s="8">
        <f t="shared" si="1439"/>
        <v>1</v>
      </c>
      <c r="O3440" s="11" t="s">
        <v>1702</v>
      </c>
      <c r="P3440" s="16" t="str">
        <f t="shared" si="1452"/>
        <v>06-Jul-1896</v>
      </c>
      <c r="R3440" s="16" t="str">
        <f t="shared" si="1453"/>
        <v>x</v>
      </c>
      <c r="S3440" s="16" t="str">
        <f t="shared" si="1453"/>
        <v>x</v>
      </c>
      <c r="T3440" s="11"/>
      <c r="U3440" s="46" t="str">
        <f t="shared" si="1425"/>
        <v/>
      </c>
      <c r="V3440" s="46">
        <f t="shared" si="1425"/>
        <v>2</v>
      </c>
      <c r="W3440" s="46" t="str">
        <f t="shared" si="1425"/>
        <v/>
      </c>
      <c r="X3440" s="46" t="str">
        <f t="shared" si="1425"/>
        <v/>
      </c>
    </row>
    <row r="3441" spans="2:24" x14ac:dyDescent="0.25">
      <c r="B3441" s="11" t="str">
        <f t="shared" si="1450"/>
        <v>LTRN-12SEP1896</v>
      </c>
      <c r="C3441" s="11" t="s">
        <v>1698</v>
      </c>
      <c r="D3441" s="11" t="s">
        <v>1699</v>
      </c>
      <c r="F3441" s="11" t="s">
        <v>1700</v>
      </c>
      <c r="G3441" s="39" t="s">
        <v>1707</v>
      </c>
      <c r="H3441" s="7">
        <v>0</v>
      </c>
      <c r="I3441" s="7">
        <v>0</v>
      </c>
      <c r="J3441" s="7">
        <v>1</v>
      </c>
      <c r="L3441" s="7">
        <f t="shared" si="1451"/>
        <v>1</v>
      </c>
      <c r="M3441" s="8">
        <v>1</v>
      </c>
      <c r="N3441" s="8">
        <f t="shared" si="1439"/>
        <v>1</v>
      </c>
      <c r="O3441" s="11" t="s">
        <v>1702</v>
      </c>
      <c r="P3441" s="16" t="str">
        <f t="shared" si="1452"/>
        <v>12-Sep-1896</v>
      </c>
      <c r="R3441" s="16" t="str">
        <f t="shared" si="1453"/>
        <v>x</v>
      </c>
      <c r="S3441" s="16" t="str">
        <f t="shared" si="1453"/>
        <v>x</v>
      </c>
      <c r="T3441" s="11"/>
      <c r="U3441" s="46" t="str">
        <f t="shared" si="1425"/>
        <v/>
      </c>
      <c r="V3441" s="46">
        <f t="shared" si="1425"/>
        <v>1</v>
      </c>
      <c r="W3441" s="46" t="str">
        <f t="shared" si="1425"/>
        <v/>
      </c>
      <c r="X3441" s="46" t="str">
        <f t="shared" si="1425"/>
        <v/>
      </c>
    </row>
    <row r="3442" spans="2:24" x14ac:dyDescent="0.25">
      <c r="B3442" s="11" t="str">
        <f t="shared" si="1450"/>
        <v>LTRN-14NOV1896</v>
      </c>
      <c r="C3442" s="11" t="s">
        <v>1698</v>
      </c>
      <c r="D3442" s="11" t="s">
        <v>1699</v>
      </c>
      <c r="F3442" s="11" t="s">
        <v>1700</v>
      </c>
      <c r="G3442" s="39" t="s">
        <v>1708</v>
      </c>
      <c r="H3442" s="7">
        <v>0</v>
      </c>
      <c r="I3442" s="7">
        <v>0</v>
      </c>
      <c r="J3442" s="7">
        <v>6</v>
      </c>
      <c r="L3442" s="7">
        <f t="shared" si="1451"/>
        <v>6</v>
      </c>
      <c r="M3442" s="8">
        <v>1</v>
      </c>
      <c r="N3442" s="8">
        <f t="shared" si="1439"/>
        <v>1</v>
      </c>
      <c r="O3442" s="11" t="s">
        <v>1702</v>
      </c>
      <c r="P3442" s="16" t="str">
        <f t="shared" si="1452"/>
        <v>14-Nov-1896</v>
      </c>
      <c r="R3442" s="16" t="str">
        <f t="shared" si="1453"/>
        <v>x</v>
      </c>
      <c r="S3442" s="16" t="str">
        <f t="shared" si="1453"/>
        <v>x</v>
      </c>
      <c r="T3442" s="11"/>
      <c r="U3442" s="46" t="str">
        <f t="shared" si="1425"/>
        <v/>
      </c>
      <c r="V3442" s="46">
        <f t="shared" si="1425"/>
        <v>6</v>
      </c>
      <c r="W3442" s="46" t="str">
        <f t="shared" si="1425"/>
        <v/>
      </c>
      <c r="X3442" s="46" t="str">
        <f t="shared" si="1425"/>
        <v/>
      </c>
    </row>
    <row r="3443" spans="2:24" x14ac:dyDescent="0.25">
      <c r="B3443" s="11" t="str">
        <f>CONCATENATE("LTRN","-",LEFT(P3443,2),UPPER(MID(P3443,4,3)),RIGHT(P3443,4))</f>
        <v>LTRN-31MAY1897</v>
      </c>
      <c r="C3443" s="11" t="s">
        <v>1698</v>
      </c>
      <c r="D3443" s="11" t="s">
        <v>1699</v>
      </c>
      <c r="F3443" s="11" t="s">
        <v>1700</v>
      </c>
      <c r="G3443" s="39" t="s">
        <v>185</v>
      </c>
      <c r="H3443" s="7">
        <v>0</v>
      </c>
      <c r="I3443" s="7">
        <v>0</v>
      </c>
      <c r="J3443" s="7">
        <v>2</v>
      </c>
      <c r="L3443" s="7">
        <f>SUM(H3443:K3443)</f>
        <v>2</v>
      </c>
      <c r="M3443" s="8">
        <v>1</v>
      </c>
      <c r="N3443" s="8">
        <f>IF(L3443&gt;0,1,"")</f>
        <v>1</v>
      </c>
      <c r="O3443" s="11" t="s">
        <v>1702</v>
      </c>
      <c r="P3443" s="16" t="str">
        <f>IF(LEN(G3443)=10,CONCATENATE("0",G3443),G3443)</f>
        <v>31-May-1897</v>
      </c>
      <c r="R3443" s="16" t="str">
        <f t="shared" si="1453"/>
        <v>x</v>
      </c>
      <c r="S3443" s="16" t="str">
        <f t="shared" si="1453"/>
        <v>x</v>
      </c>
      <c r="T3443" s="11"/>
      <c r="U3443" s="46" t="str">
        <f>IF($O3443=U$5,$L3443,"")</f>
        <v/>
      </c>
      <c r="V3443" s="46">
        <f>IF($O3443=V$5,$L3443,"")</f>
        <v>2</v>
      </c>
      <c r="W3443" s="46" t="str">
        <f>IF($O3443=W$5,$L3443,"")</f>
        <v/>
      </c>
      <c r="X3443" s="46" t="str">
        <f>IF($O3443=X$5,$L3443,"")</f>
        <v/>
      </c>
    </row>
    <row r="3444" spans="2:24" x14ac:dyDescent="0.25">
      <c r="B3444" s="11" t="str">
        <f t="shared" si="1450"/>
        <v>LTRN-27JUN1897</v>
      </c>
      <c r="C3444" s="11" t="s">
        <v>1698</v>
      </c>
      <c r="D3444" s="11" t="s">
        <v>1699</v>
      </c>
      <c r="E3444" s="39" t="s">
        <v>1709</v>
      </c>
      <c r="F3444" s="11" t="s">
        <v>1700</v>
      </c>
      <c r="G3444" s="39" t="s">
        <v>1710</v>
      </c>
      <c r="J3444" s="7">
        <v>10</v>
      </c>
      <c r="L3444" s="7">
        <f t="shared" si="1451"/>
        <v>10</v>
      </c>
      <c r="M3444" s="8">
        <v>1</v>
      </c>
      <c r="N3444" s="8">
        <f t="shared" si="1439"/>
        <v>1</v>
      </c>
      <c r="O3444" s="11" t="s">
        <v>1702</v>
      </c>
      <c r="P3444" s="16" t="str">
        <f t="shared" si="1452"/>
        <v>27-Jun-1897</v>
      </c>
      <c r="R3444" s="16" t="str">
        <f t="shared" si="1453"/>
        <v>x</v>
      </c>
      <c r="S3444" s="16" t="str">
        <f t="shared" si="1453"/>
        <v>x</v>
      </c>
      <c r="T3444" s="11"/>
      <c r="U3444" s="46" t="str">
        <f t="shared" si="1425"/>
        <v/>
      </c>
      <c r="V3444" s="46">
        <f t="shared" si="1425"/>
        <v>10</v>
      </c>
      <c r="W3444" s="46" t="str">
        <f t="shared" si="1425"/>
        <v/>
      </c>
      <c r="X3444" s="46" t="str">
        <f t="shared" si="1425"/>
        <v/>
      </c>
    </row>
    <row r="3445" spans="2:24" x14ac:dyDescent="0.25">
      <c r="B3445" s="11" t="str">
        <f t="shared" si="1450"/>
        <v>LTRN-04SEP1897</v>
      </c>
      <c r="C3445" s="11" t="s">
        <v>1698</v>
      </c>
      <c r="D3445" s="11" t="s">
        <v>1699</v>
      </c>
      <c r="E3445" s="39" t="s">
        <v>1711</v>
      </c>
      <c r="F3445" s="11" t="s">
        <v>1700</v>
      </c>
      <c r="G3445" s="39" t="s">
        <v>1712</v>
      </c>
      <c r="J3445" s="7">
        <v>10</v>
      </c>
      <c r="L3445" s="7">
        <f t="shared" si="1451"/>
        <v>10</v>
      </c>
      <c r="M3445" s="8">
        <v>1</v>
      </c>
      <c r="N3445" s="8">
        <f t="shared" si="1439"/>
        <v>1</v>
      </c>
      <c r="O3445" s="11" t="s">
        <v>1702</v>
      </c>
      <c r="P3445" s="16" t="str">
        <f t="shared" si="1452"/>
        <v>04-Sep-1897</v>
      </c>
      <c r="R3445" s="16" t="str">
        <f t="shared" si="1453"/>
        <v>x</v>
      </c>
      <c r="S3445" s="16" t="str">
        <f t="shared" si="1453"/>
        <v>x</v>
      </c>
      <c r="T3445" s="11"/>
      <c r="U3445" s="46" t="str">
        <f t="shared" si="1425"/>
        <v/>
      </c>
      <c r="V3445" s="46">
        <f t="shared" si="1425"/>
        <v>10</v>
      </c>
      <c r="W3445" s="46" t="str">
        <f t="shared" si="1425"/>
        <v/>
      </c>
      <c r="X3445" s="46" t="str">
        <f t="shared" si="1425"/>
        <v/>
      </c>
    </row>
    <row r="3446" spans="2:24" x14ac:dyDescent="0.25">
      <c r="B3446" s="11" t="str">
        <f t="shared" si="1450"/>
        <v>LTRN-02OCT1897</v>
      </c>
      <c r="C3446" s="11" t="s">
        <v>1698</v>
      </c>
      <c r="D3446" s="11" t="s">
        <v>1699</v>
      </c>
      <c r="E3446" s="39" t="s">
        <v>1713</v>
      </c>
      <c r="F3446" s="11" t="s">
        <v>1700</v>
      </c>
      <c r="G3446" s="39" t="s">
        <v>1714</v>
      </c>
      <c r="J3446" s="7">
        <v>2</v>
      </c>
      <c r="L3446" s="7">
        <f t="shared" si="1451"/>
        <v>2</v>
      </c>
      <c r="M3446" s="8">
        <v>1</v>
      </c>
      <c r="N3446" s="8">
        <f t="shared" si="1439"/>
        <v>1</v>
      </c>
      <c r="O3446" s="11" t="s">
        <v>1702</v>
      </c>
      <c r="P3446" s="16" t="str">
        <f t="shared" si="1452"/>
        <v>02-Oct-1897</v>
      </c>
      <c r="R3446" s="16" t="str">
        <f t="shared" si="1453"/>
        <v>x</v>
      </c>
      <c r="S3446" s="16" t="str">
        <f t="shared" si="1453"/>
        <v>x</v>
      </c>
      <c r="T3446" s="11"/>
      <c r="U3446" s="46" t="str">
        <f t="shared" si="1425"/>
        <v/>
      </c>
      <c r="V3446" s="46">
        <f t="shared" si="1425"/>
        <v>2</v>
      </c>
      <c r="W3446" s="46" t="str">
        <f t="shared" si="1425"/>
        <v/>
      </c>
      <c r="X3446" s="46" t="str">
        <f t="shared" si="1425"/>
        <v/>
      </c>
    </row>
    <row r="3447" spans="2:24" x14ac:dyDescent="0.25">
      <c r="B3447" s="11" t="str">
        <f t="shared" si="1450"/>
        <v>LTRN-28NOV1897</v>
      </c>
      <c r="C3447" s="11" t="s">
        <v>1698</v>
      </c>
      <c r="D3447" s="11" t="s">
        <v>1699</v>
      </c>
      <c r="E3447" s="39" t="s">
        <v>1715</v>
      </c>
      <c r="F3447" s="11" t="s">
        <v>1700</v>
      </c>
      <c r="G3447" s="39" t="s">
        <v>1716</v>
      </c>
      <c r="J3447" s="7">
        <v>14</v>
      </c>
      <c r="L3447" s="7">
        <f t="shared" si="1451"/>
        <v>14</v>
      </c>
      <c r="M3447" s="8">
        <v>1</v>
      </c>
      <c r="N3447" s="8">
        <f t="shared" si="1439"/>
        <v>1</v>
      </c>
      <c r="O3447" s="11" t="s">
        <v>1702</v>
      </c>
      <c r="P3447" s="16" t="str">
        <f t="shared" si="1452"/>
        <v>28-Nov-1897</v>
      </c>
      <c r="R3447" s="16" t="str">
        <f t="shared" si="1453"/>
        <v>x</v>
      </c>
      <c r="S3447" s="16" t="str">
        <f t="shared" si="1453"/>
        <v>x</v>
      </c>
      <c r="T3447" s="11"/>
      <c r="U3447" s="46" t="str">
        <f t="shared" si="1425"/>
        <v/>
      </c>
      <c r="V3447" s="46">
        <f t="shared" si="1425"/>
        <v>14</v>
      </c>
      <c r="W3447" s="46" t="str">
        <f t="shared" si="1425"/>
        <v/>
      </c>
      <c r="X3447" s="46" t="str">
        <f>IF($O3447=X$5,$L3447,"")</f>
        <v/>
      </c>
    </row>
    <row r="3448" spans="2:24" x14ac:dyDescent="0.25">
      <c r="B3448" s="11" t="str">
        <f t="shared" si="1450"/>
        <v>LTRN-05JUN1898</v>
      </c>
      <c r="C3448" s="11" t="s">
        <v>1698</v>
      </c>
      <c r="D3448" s="11" t="s">
        <v>1699</v>
      </c>
      <c r="E3448" s="39" t="s">
        <v>1717</v>
      </c>
      <c r="F3448" s="11" t="s">
        <v>1700</v>
      </c>
      <c r="G3448" s="39" t="s">
        <v>1718</v>
      </c>
      <c r="J3448" s="7">
        <v>9</v>
      </c>
      <c r="L3448" s="7">
        <f t="shared" si="1451"/>
        <v>9</v>
      </c>
      <c r="M3448" s="8">
        <v>1</v>
      </c>
      <c r="N3448" s="8">
        <f t="shared" si="1439"/>
        <v>1</v>
      </c>
      <c r="O3448" s="11" t="s">
        <v>1702</v>
      </c>
      <c r="P3448" s="16" t="str">
        <f t="shared" si="1452"/>
        <v>05-Jun-1898</v>
      </c>
      <c r="R3448" s="16" t="str">
        <f t="shared" si="1453"/>
        <v>x</v>
      </c>
      <c r="S3448" s="16" t="str">
        <f t="shared" si="1453"/>
        <v>x</v>
      </c>
      <c r="T3448" s="11"/>
      <c r="U3448" s="46" t="str">
        <f t="shared" ref="U3448:X3517" si="1454">IF($O3448=U$5,$L3448,"")</f>
        <v/>
      </c>
      <c r="V3448" s="46">
        <f t="shared" si="1454"/>
        <v>9</v>
      </c>
      <c r="W3448" s="46" t="str">
        <f t="shared" si="1454"/>
        <v/>
      </c>
      <c r="X3448" s="46" t="str">
        <f t="shared" si="1454"/>
        <v/>
      </c>
    </row>
    <row r="3449" spans="2:24" x14ac:dyDescent="0.25">
      <c r="B3449" s="11" t="str">
        <f t="shared" si="1450"/>
        <v>LTRN-31JUL1898</v>
      </c>
      <c r="C3449" s="11" t="s">
        <v>1698</v>
      </c>
      <c r="D3449" s="11" t="s">
        <v>1699</v>
      </c>
      <c r="E3449" s="39" t="s">
        <v>1719</v>
      </c>
      <c r="F3449" s="11" t="s">
        <v>1700</v>
      </c>
      <c r="G3449" s="39" t="s">
        <v>1720</v>
      </c>
      <c r="J3449" s="7">
        <v>6</v>
      </c>
      <c r="L3449" s="7">
        <f t="shared" si="1451"/>
        <v>6</v>
      </c>
      <c r="M3449" s="8">
        <v>1</v>
      </c>
      <c r="N3449" s="8">
        <f t="shared" si="1439"/>
        <v>1</v>
      </c>
      <c r="O3449" s="11" t="s">
        <v>1702</v>
      </c>
      <c r="P3449" s="16" t="str">
        <f t="shared" si="1452"/>
        <v>31-Jul-1898</v>
      </c>
      <c r="R3449" s="16" t="str">
        <f t="shared" si="1453"/>
        <v>x</v>
      </c>
      <c r="S3449" s="16" t="str">
        <f t="shared" si="1453"/>
        <v>x</v>
      </c>
      <c r="T3449" s="11"/>
      <c r="U3449" s="46" t="str">
        <f t="shared" si="1454"/>
        <v/>
      </c>
      <c r="V3449" s="46">
        <f t="shared" si="1454"/>
        <v>6</v>
      </c>
      <c r="W3449" s="46" t="str">
        <f t="shared" si="1454"/>
        <v/>
      </c>
      <c r="X3449" s="46" t="str">
        <f t="shared" si="1454"/>
        <v/>
      </c>
    </row>
    <row r="3450" spans="2:24" x14ac:dyDescent="0.25">
      <c r="B3450" s="11" t="str">
        <f t="shared" si="1450"/>
        <v>LTRN-28AUG1898</v>
      </c>
      <c r="C3450" s="11" t="s">
        <v>1698</v>
      </c>
      <c r="D3450" s="11" t="s">
        <v>1699</v>
      </c>
      <c r="E3450" s="39" t="s">
        <v>1721</v>
      </c>
      <c r="F3450" s="11" t="s">
        <v>1700</v>
      </c>
      <c r="G3450" s="39" t="s">
        <v>1722</v>
      </c>
      <c r="J3450" s="7">
        <v>14</v>
      </c>
      <c r="L3450" s="7">
        <f t="shared" si="1451"/>
        <v>14</v>
      </c>
      <c r="M3450" s="8">
        <v>1</v>
      </c>
      <c r="N3450" s="8">
        <f t="shared" si="1439"/>
        <v>1</v>
      </c>
      <c r="O3450" s="11" t="s">
        <v>1702</v>
      </c>
      <c r="P3450" s="16" t="str">
        <f t="shared" si="1452"/>
        <v>28-Aug-1898</v>
      </c>
      <c r="R3450" s="16" t="str">
        <f t="shared" si="1453"/>
        <v>x</v>
      </c>
      <c r="S3450" s="16" t="str">
        <f t="shared" si="1453"/>
        <v>x</v>
      </c>
      <c r="T3450" s="11"/>
      <c r="U3450" s="46" t="str">
        <f t="shared" si="1454"/>
        <v/>
      </c>
      <c r="V3450" s="46">
        <f t="shared" si="1454"/>
        <v>14</v>
      </c>
      <c r="W3450" s="46" t="str">
        <f t="shared" si="1454"/>
        <v/>
      </c>
      <c r="X3450" s="46" t="str">
        <f t="shared" si="1454"/>
        <v/>
      </c>
    </row>
    <row r="3451" spans="2:24" x14ac:dyDescent="0.25">
      <c r="B3451" s="11" t="str">
        <f t="shared" si="1450"/>
        <v>LTRN-28NOV1898</v>
      </c>
      <c r="C3451" s="11" t="s">
        <v>1698</v>
      </c>
      <c r="D3451" s="11" t="s">
        <v>1699</v>
      </c>
      <c r="E3451" s="39" t="s">
        <v>1723</v>
      </c>
      <c r="F3451" s="11" t="s">
        <v>1700</v>
      </c>
      <c r="G3451" s="39" t="s">
        <v>1724</v>
      </c>
      <c r="J3451" s="7">
        <v>3</v>
      </c>
      <c r="L3451" s="7">
        <f t="shared" si="1451"/>
        <v>3</v>
      </c>
      <c r="M3451" s="8">
        <v>1</v>
      </c>
      <c r="N3451" s="8">
        <f t="shared" si="1439"/>
        <v>1</v>
      </c>
      <c r="O3451" s="11" t="s">
        <v>1702</v>
      </c>
      <c r="P3451" s="16" t="str">
        <f t="shared" si="1452"/>
        <v>28-Nov-1898</v>
      </c>
      <c r="R3451" s="16" t="str">
        <f t="shared" si="1453"/>
        <v>x</v>
      </c>
      <c r="S3451" s="16" t="str">
        <f t="shared" si="1453"/>
        <v>x</v>
      </c>
      <c r="T3451" s="11"/>
      <c r="U3451" s="46" t="str">
        <f t="shared" si="1454"/>
        <v/>
      </c>
      <c r="V3451" s="46">
        <f t="shared" si="1454"/>
        <v>3</v>
      </c>
      <c r="W3451" s="46" t="str">
        <f t="shared" si="1454"/>
        <v/>
      </c>
      <c r="X3451" s="46" t="str">
        <f t="shared" si="1454"/>
        <v/>
      </c>
    </row>
    <row r="3452" spans="2:24" x14ac:dyDescent="0.25">
      <c r="B3452" s="11" t="str">
        <f t="shared" si="1450"/>
        <v>LTRN-17APR1899</v>
      </c>
      <c r="C3452" s="11" t="s">
        <v>1698</v>
      </c>
      <c r="D3452" s="11" t="s">
        <v>1699</v>
      </c>
      <c r="E3452" s="39" t="s">
        <v>3212</v>
      </c>
      <c r="F3452" s="11" t="s">
        <v>1700</v>
      </c>
      <c r="G3452" s="39" t="s">
        <v>3213</v>
      </c>
      <c r="J3452" s="7">
        <v>8</v>
      </c>
      <c r="L3452" s="7">
        <f t="shared" si="1451"/>
        <v>8</v>
      </c>
      <c r="M3452" s="8">
        <v>1</v>
      </c>
      <c r="N3452" s="8">
        <f>IF(L3452&gt;0,1,"")</f>
        <v>1</v>
      </c>
      <c r="O3452" s="11" t="s">
        <v>1702</v>
      </c>
      <c r="P3452" s="16" t="str">
        <f t="shared" si="1452"/>
        <v>17-Apr-1899</v>
      </c>
      <c r="R3452" s="16" t="str">
        <f t="shared" si="1453"/>
        <v>x</v>
      </c>
      <c r="S3452" s="16" t="str">
        <f t="shared" si="1453"/>
        <v>x</v>
      </c>
      <c r="T3452" s="11"/>
      <c r="U3452" s="46" t="str">
        <f t="shared" si="1454"/>
        <v/>
      </c>
      <c r="V3452" s="46">
        <f t="shared" si="1454"/>
        <v>8</v>
      </c>
      <c r="W3452" s="46" t="str">
        <f t="shared" si="1454"/>
        <v/>
      </c>
      <c r="X3452" s="46" t="str">
        <f t="shared" si="1454"/>
        <v/>
      </c>
    </row>
    <row r="3453" spans="2:24" x14ac:dyDescent="0.25">
      <c r="B3453" s="11" t="str">
        <f t="shared" si="1450"/>
        <v>LTRN-30JUL1899</v>
      </c>
      <c r="C3453" s="11" t="s">
        <v>1698</v>
      </c>
      <c r="D3453" s="11" t="s">
        <v>1699</v>
      </c>
      <c r="E3453" s="39" t="s">
        <v>1725</v>
      </c>
      <c r="F3453" s="11" t="s">
        <v>1700</v>
      </c>
      <c r="G3453" s="39" t="s">
        <v>1726</v>
      </c>
      <c r="J3453" s="7">
        <v>4</v>
      </c>
      <c r="L3453" s="7">
        <f t="shared" si="1451"/>
        <v>4</v>
      </c>
      <c r="M3453" s="8">
        <v>1</v>
      </c>
      <c r="N3453" s="8">
        <f t="shared" si="1439"/>
        <v>1</v>
      </c>
      <c r="O3453" s="11" t="s">
        <v>1702</v>
      </c>
      <c r="P3453" s="16" t="str">
        <f t="shared" si="1452"/>
        <v>30-Jul-1899</v>
      </c>
      <c r="R3453" s="16" t="str">
        <f t="shared" si="1453"/>
        <v>x</v>
      </c>
      <c r="S3453" s="16" t="str">
        <f t="shared" si="1453"/>
        <v>x</v>
      </c>
      <c r="T3453" s="11"/>
      <c r="U3453" s="46" t="str">
        <f t="shared" si="1454"/>
        <v/>
      </c>
      <c r="V3453" s="46">
        <f t="shared" si="1454"/>
        <v>4</v>
      </c>
      <c r="W3453" s="46" t="str">
        <f t="shared" si="1454"/>
        <v/>
      </c>
      <c r="X3453" s="46" t="str">
        <f t="shared" si="1454"/>
        <v/>
      </c>
    </row>
    <row r="3454" spans="2:24" x14ac:dyDescent="0.25">
      <c r="B3454" s="11" t="str">
        <f t="shared" si="1450"/>
        <v>LTRN-27AUG1899</v>
      </c>
      <c r="C3454" s="11" t="s">
        <v>1698</v>
      </c>
      <c r="D3454" s="11" t="s">
        <v>1699</v>
      </c>
      <c r="E3454" s="39" t="s">
        <v>1727</v>
      </c>
      <c r="F3454" s="11" t="s">
        <v>1700</v>
      </c>
      <c r="G3454" s="39" t="s">
        <v>1728</v>
      </c>
      <c r="J3454" s="7">
        <v>2</v>
      </c>
      <c r="L3454" s="7">
        <f t="shared" si="1451"/>
        <v>2</v>
      </c>
      <c r="M3454" s="8">
        <v>1</v>
      </c>
      <c r="N3454" s="8">
        <f t="shared" si="1439"/>
        <v>1</v>
      </c>
      <c r="O3454" s="11" t="s">
        <v>1702</v>
      </c>
      <c r="P3454" s="16" t="str">
        <f t="shared" si="1452"/>
        <v>27-Aug-1899</v>
      </c>
      <c r="R3454" s="16" t="str">
        <f t="shared" si="1453"/>
        <v>x</v>
      </c>
      <c r="S3454" s="16" t="str">
        <f t="shared" si="1453"/>
        <v>x</v>
      </c>
      <c r="T3454" s="11"/>
      <c r="U3454" s="46" t="str">
        <f t="shared" si="1454"/>
        <v/>
      </c>
      <c r="V3454" s="46">
        <f t="shared" si="1454"/>
        <v>2</v>
      </c>
      <c r="W3454" s="46" t="str">
        <f t="shared" si="1454"/>
        <v/>
      </c>
      <c r="X3454" s="46" t="str">
        <f t="shared" si="1454"/>
        <v/>
      </c>
    </row>
    <row r="3455" spans="2:24" x14ac:dyDescent="0.25">
      <c r="B3455" s="11" t="str">
        <f t="shared" si="1450"/>
        <v>LTRN-20FEB1900</v>
      </c>
      <c r="C3455" s="11" t="s">
        <v>1698</v>
      </c>
      <c r="D3455" s="11" t="s">
        <v>1699</v>
      </c>
      <c r="E3455" s="39" t="s">
        <v>1729</v>
      </c>
      <c r="F3455" s="11" t="s">
        <v>1700</v>
      </c>
      <c r="G3455" s="39" t="s">
        <v>1730</v>
      </c>
      <c r="J3455" s="7">
        <v>3</v>
      </c>
      <c r="L3455" s="7">
        <f t="shared" si="1451"/>
        <v>3</v>
      </c>
      <c r="M3455" s="8">
        <v>1</v>
      </c>
      <c r="N3455" s="8">
        <f t="shared" si="1439"/>
        <v>1</v>
      </c>
      <c r="O3455" s="11" t="s">
        <v>1702</v>
      </c>
      <c r="P3455" s="16" t="str">
        <f t="shared" si="1452"/>
        <v>20-Feb-1900</v>
      </c>
      <c r="R3455" s="16" t="str">
        <f t="shared" si="1453"/>
        <v>x</v>
      </c>
      <c r="S3455" s="16" t="str">
        <f t="shared" si="1453"/>
        <v>x</v>
      </c>
      <c r="T3455" s="11"/>
      <c r="U3455" s="46" t="str">
        <f t="shared" si="1454"/>
        <v/>
      </c>
      <c r="V3455" s="46">
        <f t="shared" si="1454"/>
        <v>3</v>
      </c>
      <c r="W3455" s="46" t="str">
        <f t="shared" si="1454"/>
        <v/>
      </c>
      <c r="X3455" s="46" t="str">
        <f t="shared" si="1454"/>
        <v/>
      </c>
    </row>
    <row r="3456" spans="2:24" x14ac:dyDescent="0.25">
      <c r="B3456" s="11" t="str">
        <f t="shared" si="1450"/>
        <v>LTRN-22APR1900</v>
      </c>
      <c r="C3456" s="11" t="s">
        <v>1698</v>
      </c>
      <c r="D3456" s="11" t="s">
        <v>1699</v>
      </c>
      <c r="E3456" s="39" t="s">
        <v>1731</v>
      </c>
      <c r="F3456" s="11" t="s">
        <v>1700</v>
      </c>
      <c r="G3456" s="39" t="s">
        <v>1732</v>
      </c>
      <c r="J3456" s="7">
        <v>1</v>
      </c>
      <c r="L3456" s="7">
        <f t="shared" si="1451"/>
        <v>1</v>
      </c>
      <c r="M3456" s="8">
        <v>1</v>
      </c>
      <c r="N3456" s="8">
        <f t="shared" si="1439"/>
        <v>1</v>
      </c>
      <c r="O3456" s="11" t="s">
        <v>1702</v>
      </c>
      <c r="P3456" s="16" t="str">
        <f t="shared" si="1452"/>
        <v>22-Apr-1900</v>
      </c>
      <c r="R3456" s="16" t="str">
        <f t="shared" si="1453"/>
        <v>x</v>
      </c>
      <c r="S3456" s="16" t="str">
        <f t="shared" si="1453"/>
        <v>x</v>
      </c>
      <c r="T3456" s="11"/>
      <c r="U3456" s="46" t="str">
        <f t="shared" si="1454"/>
        <v/>
      </c>
      <c r="V3456" s="46">
        <f t="shared" si="1454"/>
        <v>1</v>
      </c>
      <c r="W3456" s="46" t="str">
        <f t="shared" si="1454"/>
        <v/>
      </c>
      <c r="X3456" s="46" t="str">
        <f t="shared" si="1454"/>
        <v/>
      </c>
    </row>
    <row r="3457" spans="2:24" x14ac:dyDescent="0.25">
      <c r="B3457" s="11" t="str">
        <f t="shared" si="1450"/>
        <v>LTRN-26MAY1900</v>
      </c>
      <c r="C3457" s="11" t="s">
        <v>1698</v>
      </c>
      <c r="D3457" s="11" t="s">
        <v>1699</v>
      </c>
      <c r="E3457" s="39" t="s">
        <v>1733</v>
      </c>
      <c r="F3457" s="11" t="s">
        <v>1700</v>
      </c>
      <c r="G3457" s="39" t="s">
        <v>1734</v>
      </c>
      <c r="J3457" s="7">
        <v>5</v>
      </c>
      <c r="L3457" s="7">
        <f t="shared" si="1451"/>
        <v>5</v>
      </c>
      <c r="M3457" s="8">
        <v>1</v>
      </c>
      <c r="N3457" s="8">
        <f t="shared" si="1439"/>
        <v>1</v>
      </c>
      <c r="O3457" s="11" t="s">
        <v>1702</v>
      </c>
      <c r="P3457" s="16" t="str">
        <f t="shared" si="1452"/>
        <v>26-May-1900</v>
      </c>
      <c r="R3457" s="16" t="str">
        <f t="shared" si="1453"/>
        <v>x</v>
      </c>
      <c r="S3457" s="16" t="str">
        <f t="shared" si="1453"/>
        <v>x</v>
      </c>
      <c r="T3457" s="11"/>
      <c r="U3457" s="46" t="str">
        <f t="shared" si="1454"/>
        <v/>
      </c>
      <c r="V3457" s="46">
        <f t="shared" si="1454"/>
        <v>5</v>
      </c>
      <c r="W3457" s="46" t="str">
        <f t="shared" si="1454"/>
        <v/>
      </c>
      <c r="X3457" s="46" t="str">
        <f t="shared" si="1454"/>
        <v/>
      </c>
    </row>
    <row r="3458" spans="2:24" x14ac:dyDescent="0.25">
      <c r="B3458" s="11" t="str">
        <f t="shared" si="1450"/>
        <v>LTRN-01JUL1900</v>
      </c>
      <c r="C3458" s="11" t="s">
        <v>1698</v>
      </c>
      <c r="D3458" s="11" t="s">
        <v>1699</v>
      </c>
      <c r="E3458" s="39" t="s">
        <v>1735</v>
      </c>
      <c r="F3458" s="11" t="s">
        <v>1700</v>
      </c>
      <c r="G3458" s="39" t="s">
        <v>1736</v>
      </c>
      <c r="J3458" s="7">
        <v>10</v>
      </c>
      <c r="L3458" s="7">
        <f t="shared" si="1451"/>
        <v>10</v>
      </c>
      <c r="M3458" s="8">
        <v>1</v>
      </c>
      <c r="N3458" s="8">
        <f t="shared" si="1439"/>
        <v>1</v>
      </c>
      <c r="O3458" s="11" t="s">
        <v>1702</v>
      </c>
      <c r="P3458" s="16" t="str">
        <f t="shared" si="1452"/>
        <v>01-Jul-1900</v>
      </c>
      <c r="R3458" s="16" t="str">
        <f t="shared" si="1453"/>
        <v>x</v>
      </c>
      <c r="S3458" s="16" t="str">
        <f t="shared" si="1453"/>
        <v>x</v>
      </c>
      <c r="T3458" s="11"/>
      <c r="U3458" s="46" t="str">
        <f t="shared" si="1454"/>
        <v/>
      </c>
      <c r="V3458" s="46">
        <f t="shared" si="1454"/>
        <v>10</v>
      </c>
      <c r="W3458" s="46" t="str">
        <f t="shared" si="1454"/>
        <v/>
      </c>
      <c r="X3458" s="46" t="str">
        <f t="shared" si="1454"/>
        <v/>
      </c>
    </row>
    <row r="3459" spans="2:24" x14ac:dyDescent="0.25">
      <c r="B3459" s="11" t="str">
        <f t="shared" si="1450"/>
        <v>LTRN-06AUG1900</v>
      </c>
      <c r="C3459" s="11" t="s">
        <v>1698</v>
      </c>
      <c r="D3459" s="11" t="s">
        <v>1699</v>
      </c>
      <c r="E3459" s="39" t="s">
        <v>1737</v>
      </c>
      <c r="F3459" s="11" t="s">
        <v>1700</v>
      </c>
      <c r="G3459" s="39" t="s">
        <v>1738</v>
      </c>
      <c r="J3459" s="7">
        <v>16</v>
      </c>
      <c r="L3459" s="7">
        <f t="shared" si="1451"/>
        <v>16</v>
      </c>
      <c r="M3459" s="8">
        <v>1</v>
      </c>
      <c r="N3459" s="8">
        <f t="shared" si="1439"/>
        <v>1</v>
      </c>
      <c r="O3459" s="11" t="s">
        <v>1702</v>
      </c>
      <c r="P3459" s="16" t="str">
        <f t="shared" si="1452"/>
        <v>06-Aug-1900</v>
      </c>
      <c r="R3459" s="16" t="str">
        <f t="shared" si="1453"/>
        <v>x</v>
      </c>
      <c r="S3459" s="16" t="str">
        <f t="shared" si="1453"/>
        <v>x</v>
      </c>
      <c r="T3459" s="11"/>
      <c r="U3459" s="46" t="str">
        <f t="shared" si="1454"/>
        <v/>
      </c>
      <c r="V3459" s="46">
        <f t="shared" si="1454"/>
        <v>16</v>
      </c>
      <c r="W3459" s="46" t="str">
        <f t="shared" si="1454"/>
        <v/>
      </c>
      <c r="X3459" s="46" t="str">
        <f t="shared" si="1454"/>
        <v/>
      </c>
    </row>
    <row r="3460" spans="2:24" x14ac:dyDescent="0.25">
      <c r="B3460" s="11" t="str">
        <f t="shared" si="1450"/>
        <v>LTRN-02SEP1900</v>
      </c>
      <c r="C3460" s="11" t="s">
        <v>1698</v>
      </c>
      <c r="D3460" s="11" t="s">
        <v>1699</v>
      </c>
      <c r="E3460" s="39" t="s">
        <v>4109</v>
      </c>
      <c r="F3460" s="11" t="s">
        <v>1700</v>
      </c>
      <c r="G3460" s="39" t="s">
        <v>4110</v>
      </c>
      <c r="J3460" s="7">
        <v>3</v>
      </c>
      <c r="L3460" s="7">
        <f t="shared" si="1451"/>
        <v>3</v>
      </c>
      <c r="M3460" s="8">
        <v>1</v>
      </c>
      <c r="N3460" s="8">
        <f>IF(L3460&gt;0,1,"")</f>
        <v>1</v>
      </c>
      <c r="O3460" s="11" t="s">
        <v>1702</v>
      </c>
      <c r="P3460" s="16" t="str">
        <f t="shared" si="1452"/>
        <v>02-Sep-1900</v>
      </c>
      <c r="R3460" s="16" t="str">
        <f t="shared" si="1453"/>
        <v>x</v>
      </c>
      <c r="S3460" s="16" t="str">
        <f t="shared" si="1453"/>
        <v>x</v>
      </c>
      <c r="T3460" s="11"/>
      <c r="U3460" s="46" t="str">
        <f t="shared" si="1454"/>
        <v/>
      </c>
      <c r="V3460" s="46">
        <f t="shared" si="1454"/>
        <v>3</v>
      </c>
      <c r="W3460" s="46" t="str">
        <f t="shared" si="1454"/>
        <v/>
      </c>
      <c r="X3460" s="46" t="str">
        <f t="shared" si="1454"/>
        <v/>
      </c>
    </row>
    <row r="3461" spans="2:24" x14ac:dyDescent="0.25">
      <c r="B3461" s="11" t="str">
        <f t="shared" si="1450"/>
        <v>LTRN-08OCT1900</v>
      </c>
      <c r="C3461" s="11" t="s">
        <v>1698</v>
      </c>
      <c r="D3461" s="11" t="s">
        <v>1699</v>
      </c>
      <c r="E3461" s="39" t="s">
        <v>1739</v>
      </c>
      <c r="F3461" s="11" t="s">
        <v>1700</v>
      </c>
      <c r="G3461" s="39" t="s">
        <v>1740</v>
      </c>
      <c r="J3461" s="7">
        <v>2</v>
      </c>
      <c r="L3461" s="7">
        <f t="shared" si="1451"/>
        <v>2</v>
      </c>
      <c r="M3461" s="8">
        <v>1</v>
      </c>
      <c r="N3461" s="8">
        <f t="shared" si="1439"/>
        <v>1</v>
      </c>
      <c r="O3461" s="11" t="s">
        <v>1702</v>
      </c>
      <c r="P3461" s="16" t="str">
        <f t="shared" si="1452"/>
        <v>08-Oct-1900</v>
      </c>
      <c r="R3461" s="16" t="str">
        <f t="shared" si="1453"/>
        <v>x</v>
      </c>
      <c r="S3461" s="16" t="str">
        <f t="shared" si="1453"/>
        <v>x</v>
      </c>
      <c r="T3461" s="11"/>
      <c r="U3461" s="46" t="str">
        <f t="shared" si="1454"/>
        <v/>
      </c>
      <c r="V3461" s="46">
        <f t="shared" si="1454"/>
        <v>2</v>
      </c>
      <c r="W3461" s="46" t="str">
        <f t="shared" si="1454"/>
        <v/>
      </c>
      <c r="X3461" s="46" t="str">
        <f t="shared" si="1454"/>
        <v/>
      </c>
    </row>
    <row r="3462" spans="2:24" x14ac:dyDescent="0.25">
      <c r="B3462" s="11" t="str">
        <f t="shared" si="1450"/>
        <v>LTRN-16FEB1902</v>
      </c>
      <c r="C3462" s="11" t="s">
        <v>1698</v>
      </c>
      <c r="D3462" s="11" t="s">
        <v>1699</v>
      </c>
      <c r="E3462" s="39" t="s">
        <v>1741</v>
      </c>
      <c r="F3462" s="11" t="s">
        <v>1700</v>
      </c>
      <c r="G3462" s="39" t="s">
        <v>1742</v>
      </c>
      <c r="J3462" s="7">
        <v>8</v>
      </c>
      <c r="L3462" s="7">
        <f t="shared" si="1451"/>
        <v>8</v>
      </c>
      <c r="M3462" s="8">
        <v>1</v>
      </c>
      <c r="N3462" s="8">
        <f t="shared" si="1439"/>
        <v>1</v>
      </c>
      <c r="O3462" s="11" t="s">
        <v>1702</v>
      </c>
      <c r="P3462" s="16" t="str">
        <f t="shared" si="1452"/>
        <v>16-Feb-1902</v>
      </c>
      <c r="R3462" s="16" t="str">
        <f t="shared" si="1453"/>
        <v>x</v>
      </c>
      <c r="S3462" s="16" t="str">
        <f t="shared" si="1453"/>
        <v>x</v>
      </c>
      <c r="T3462" s="11"/>
      <c r="U3462" s="46" t="str">
        <f t="shared" si="1454"/>
        <v/>
      </c>
      <c r="V3462" s="46">
        <f t="shared" si="1454"/>
        <v>8</v>
      </c>
      <c r="W3462" s="46" t="str">
        <f t="shared" si="1454"/>
        <v/>
      </c>
      <c r="X3462" s="46" t="str">
        <f t="shared" si="1454"/>
        <v/>
      </c>
    </row>
    <row r="3463" spans="2:24" x14ac:dyDescent="0.25">
      <c r="B3463" s="11" t="str">
        <f t="shared" si="1450"/>
        <v>LTRN-12JUL1902</v>
      </c>
      <c r="C3463" s="11" t="s">
        <v>1698</v>
      </c>
      <c r="D3463" s="11" t="s">
        <v>1699</v>
      </c>
      <c r="E3463" s="39" t="s">
        <v>1743</v>
      </c>
      <c r="F3463" s="11" t="s">
        <v>1700</v>
      </c>
      <c r="G3463" s="39" t="s">
        <v>1744</v>
      </c>
      <c r="J3463" s="7">
        <v>1</v>
      </c>
      <c r="L3463" s="7">
        <f t="shared" si="1451"/>
        <v>1</v>
      </c>
      <c r="M3463" s="8">
        <v>1</v>
      </c>
      <c r="N3463" s="8">
        <f t="shared" si="1439"/>
        <v>1</v>
      </c>
      <c r="O3463" s="11" t="s">
        <v>1702</v>
      </c>
      <c r="P3463" s="16" t="str">
        <f t="shared" si="1452"/>
        <v>12-Jul-1902</v>
      </c>
      <c r="R3463" s="16" t="str">
        <f t="shared" si="1453"/>
        <v>x</v>
      </c>
      <c r="S3463" s="16" t="str">
        <f t="shared" si="1453"/>
        <v>x</v>
      </c>
      <c r="T3463" s="11"/>
      <c r="U3463" s="46" t="str">
        <f t="shared" si="1454"/>
        <v/>
      </c>
      <c r="V3463" s="46">
        <f t="shared" si="1454"/>
        <v>1</v>
      </c>
      <c r="W3463" s="46" t="str">
        <f t="shared" si="1454"/>
        <v/>
      </c>
      <c r="X3463" s="46" t="str">
        <f t="shared" si="1454"/>
        <v/>
      </c>
    </row>
    <row r="3464" spans="2:24" x14ac:dyDescent="0.25">
      <c r="B3464" s="11" t="str">
        <f t="shared" si="1450"/>
        <v>LTRN-10AUG1902</v>
      </c>
      <c r="C3464" s="11" t="s">
        <v>1698</v>
      </c>
      <c r="D3464" s="11" t="s">
        <v>1699</v>
      </c>
      <c r="E3464" s="39" t="s">
        <v>1745</v>
      </c>
      <c r="F3464" s="11" t="s">
        <v>1700</v>
      </c>
      <c r="G3464" s="39" t="s">
        <v>1746</v>
      </c>
      <c r="J3464" s="7">
        <v>9</v>
      </c>
      <c r="L3464" s="7">
        <f t="shared" si="1451"/>
        <v>9</v>
      </c>
      <c r="M3464" s="8">
        <v>1</v>
      </c>
      <c r="N3464" s="8">
        <f t="shared" si="1439"/>
        <v>1</v>
      </c>
      <c r="O3464" s="11" t="s">
        <v>1702</v>
      </c>
      <c r="P3464" s="16" t="str">
        <f t="shared" si="1452"/>
        <v>10-Aug-1902</v>
      </c>
      <c r="R3464" s="16" t="str">
        <f t="shared" si="1453"/>
        <v>x</v>
      </c>
      <c r="S3464" s="16" t="str">
        <f t="shared" si="1453"/>
        <v>x</v>
      </c>
      <c r="T3464" s="11"/>
      <c r="U3464" s="46" t="str">
        <f t="shared" si="1454"/>
        <v/>
      </c>
      <c r="V3464" s="46">
        <f t="shared" si="1454"/>
        <v>9</v>
      </c>
      <c r="W3464" s="46" t="str">
        <f t="shared" si="1454"/>
        <v/>
      </c>
      <c r="X3464" s="46" t="str">
        <f t="shared" si="1454"/>
        <v/>
      </c>
    </row>
    <row r="3465" spans="2:24" x14ac:dyDescent="0.25">
      <c r="B3465" s="11" t="str">
        <f>CONCATENATE("LTRN","-",LEFT(P3465,2),UPPER(MID(P3465,4,3)),RIGHT(P3465,4))</f>
        <v>LTRN-05JUL1903</v>
      </c>
      <c r="C3465" s="11" t="s">
        <v>1698</v>
      </c>
      <c r="D3465" s="11" t="s">
        <v>1699</v>
      </c>
      <c r="E3465" s="39" t="s">
        <v>1386</v>
      </c>
      <c r="F3465" s="11" t="s">
        <v>1700</v>
      </c>
      <c r="G3465" s="39" t="s">
        <v>5786</v>
      </c>
      <c r="H3465" s="7">
        <v>0</v>
      </c>
      <c r="I3465" s="7">
        <v>1</v>
      </c>
      <c r="J3465" s="7">
        <v>19</v>
      </c>
      <c r="L3465" s="7">
        <f>SUM(H3465:K3465)</f>
        <v>20</v>
      </c>
      <c r="M3465" s="8">
        <v>1</v>
      </c>
      <c r="N3465" s="8">
        <f>IF(L3465&gt;0,1,"")</f>
        <v>1</v>
      </c>
      <c r="O3465" s="11" t="s">
        <v>1702</v>
      </c>
      <c r="P3465" s="16" t="str">
        <f>IF(LEN(G3465)=10,CONCATENATE("0",G3465),G3465)</f>
        <v>05-Jul-1903</v>
      </c>
      <c r="R3465" s="16" t="str">
        <f t="shared" si="1453"/>
        <v>x</v>
      </c>
      <c r="S3465" s="16" t="str">
        <f t="shared" si="1453"/>
        <v>x</v>
      </c>
      <c r="T3465" s="11"/>
      <c r="U3465" s="46" t="str">
        <f>IF($O3465=U$5,$L3465,"")</f>
        <v/>
      </c>
      <c r="V3465" s="46">
        <f>IF($O3465=V$5,$L3465,"")</f>
        <v>20</v>
      </c>
      <c r="W3465" s="46" t="str">
        <f>IF($O3465=W$5,$L3465,"")</f>
        <v/>
      </c>
      <c r="X3465" s="46" t="str">
        <f>IF($O3465=X$5,$L3465,"")</f>
        <v/>
      </c>
    </row>
    <row r="3466" spans="2:24" x14ac:dyDescent="0.25">
      <c r="B3466" s="11" t="str">
        <f t="shared" si="1450"/>
        <v>LTRN-01AUG1903</v>
      </c>
      <c r="C3466" s="11" t="s">
        <v>1698</v>
      </c>
      <c r="D3466" s="11" t="s">
        <v>1699</v>
      </c>
      <c r="E3466" s="39" t="s">
        <v>1747</v>
      </c>
      <c r="F3466" s="11" t="s">
        <v>1700</v>
      </c>
      <c r="G3466" s="39" t="s">
        <v>1748</v>
      </c>
      <c r="H3466" s="7">
        <v>0</v>
      </c>
      <c r="I3466" s="7">
        <v>0</v>
      </c>
      <c r="J3466" s="7">
        <v>1</v>
      </c>
      <c r="L3466" s="7">
        <f t="shared" si="1451"/>
        <v>1</v>
      </c>
      <c r="M3466" s="8">
        <v>1</v>
      </c>
      <c r="N3466" s="8">
        <f t="shared" si="1439"/>
        <v>1</v>
      </c>
      <c r="O3466" s="11" t="s">
        <v>1702</v>
      </c>
      <c r="P3466" s="16" t="str">
        <f t="shared" si="1452"/>
        <v>01-Aug-1903</v>
      </c>
      <c r="R3466" s="16" t="str">
        <f t="shared" si="1453"/>
        <v>x</v>
      </c>
      <c r="S3466" s="16" t="str">
        <f t="shared" si="1453"/>
        <v>x</v>
      </c>
      <c r="T3466" s="11"/>
      <c r="U3466" s="46" t="str">
        <f t="shared" si="1454"/>
        <v/>
      </c>
      <c r="V3466" s="46">
        <f t="shared" si="1454"/>
        <v>1</v>
      </c>
      <c r="W3466" s="46" t="str">
        <f t="shared" si="1454"/>
        <v/>
      </c>
      <c r="X3466" s="46" t="str">
        <f t="shared" si="1454"/>
        <v/>
      </c>
    </row>
    <row r="3467" spans="2:24" x14ac:dyDescent="0.25">
      <c r="B3467" s="11" t="str">
        <f>CONCATENATE("LTRN","-",LEFT(P3467,2),UPPER(MID(P3467,4,3)),RIGHT(P3467,4))</f>
        <v>LTRN-05SEP1903</v>
      </c>
      <c r="C3467" s="11" t="s">
        <v>1698</v>
      </c>
      <c r="D3467" s="11" t="s">
        <v>1699</v>
      </c>
      <c r="E3467" s="39" t="s">
        <v>1646</v>
      </c>
      <c r="F3467" s="11" t="s">
        <v>1700</v>
      </c>
      <c r="G3467" s="39" t="s">
        <v>1395</v>
      </c>
      <c r="H3467" s="7">
        <v>0</v>
      </c>
      <c r="I3467" s="7">
        <v>0</v>
      </c>
      <c r="J3467" s="7">
        <v>4</v>
      </c>
      <c r="L3467" s="7">
        <f>SUM(H3467:K3467)</f>
        <v>4</v>
      </c>
      <c r="M3467" s="8">
        <v>1</v>
      </c>
      <c r="N3467" s="8">
        <f>IF(L3467&gt;0,1,"")</f>
        <v>1</v>
      </c>
      <c r="O3467" s="11" t="s">
        <v>1702</v>
      </c>
      <c r="P3467" s="16" t="str">
        <f>IF(LEN(G3467)=10,CONCATENATE("0",G3467),G3467)</f>
        <v>05-Sep-1903</v>
      </c>
      <c r="R3467" s="16" t="str">
        <f>IF($L3467&gt;0,"x","")</f>
        <v>x</v>
      </c>
      <c r="S3467" s="16" t="str">
        <f>IF($L3467&gt;0,"x","")</f>
        <v>x</v>
      </c>
      <c r="T3467" s="11"/>
      <c r="U3467" s="46" t="str">
        <f>IF($O3467=U$5,$L3467,"")</f>
        <v/>
      </c>
      <c r="V3467" s="46">
        <f>IF($O3467=V$5,$L3467,"")</f>
        <v>4</v>
      </c>
      <c r="W3467" s="46" t="str">
        <f>IF($O3467=W$5,$L3467,"")</f>
        <v/>
      </c>
      <c r="X3467" s="46" t="str">
        <f>IF($O3467=X$5,$L3467,"")</f>
        <v/>
      </c>
    </row>
    <row r="3468" spans="2:24" x14ac:dyDescent="0.25">
      <c r="B3468" s="11" t="str">
        <f t="shared" si="1450"/>
        <v>LTRN-04OCT1903</v>
      </c>
      <c r="C3468" s="11" t="s">
        <v>1698</v>
      </c>
      <c r="D3468" s="11" t="s">
        <v>1699</v>
      </c>
      <c r="E3468" s="39" t="s">
        <v>1749</v>
      </c>
      <c r="F3468" s="11" t="s">
        <v>1700</v>
      </c>
      <c r="G3468" s="39" t="s">
        <v>1750</v>
      </c>
      <c r="H3468" s="7">
        <v>0</v>
      </c>
      <c r="I3468" s="7">
        <v>0</v>
      </c>
      <c r="J3468" s="7">
        <v>7</v>
      </c>
      <c r="L3468" s="7">
        <f t="shared" si="1451"/>
        <v>7</v>
      </c>
      <c r="M3468" s="8">
        <v>1</v>
      </c>
      <c r="N3468" s="8">
        <f t="shared" si="1439"/>
        <v>1</v>
      </c>
      <c r="O3468" s="11" t="s">
        <v>1702</v>
      </c>
      <c r="P3468" s="16" t="str">
        <f t="shared" si="1452"/>
        <v>04-Oct-1903</v>
      </c>
      <c r="R3468" s="16" t="str">
        <f t="shared" si="1453"/>
        <v>x</v>
      </c>
      <c r="S3468" s="16" t="str">
        <f t="shared" si="1453"/>
        <v>x</v>
      </c>
      <c r="T3468" s="11"/>
      <c r="U3468" s="46" t="str">
        <f t="shared" si="1454"/>
        <v/>
      </c>
      <c r="V3468" s="46">
        <f t="shared" si="1454"/>
        <v>7</v>
      </c>
      <c r="W3468" s="46" t="str">
        <f t="shared" si="1454"/>
        <v/>
      </c>
      <c r="X3468" s="46" t="str">
        <f t="shared" si="1454"/>
        <v/>
      </c>
    </row>
    <row r="3469" spans="2:24" x14ac:dyDescent="0.25">
      <c r="B3469" s="11" t="str">
        <f t="shared" si="1450"/>
        <v>LTRN-01NOV1903</v>
      </c>
      <c r="C3469" s="11" t="s">
        <v>1698</v>
      </c>
      <c r="D3469" s="11" t="s">
        <v>1699</v>
      </c>
      <c r="E3469" s="39" t="s">
        <v>1751</v>
      </c>
      <c r="F3469" s="11" t="s">
        <v>1700</v>
      </c>
      <c r="G3469" s="39" t="s">
        <v>1752</v>
      </c>
      <c r="H3469" s="7">
        <v>0</v>
      </c>
      <c r="I3469" s="7">
        <v>3</v>
      </c>
      <c r="J3469" s="7">
        <v>2</v>
      </c>
      <c r="L3469" s="7">
        <f t="shared" si="1451"/>
        <v>5</v>
      </c>
      <c r="M3469" s="8">
        <v>1</v>
      </c>
      <c r="N3469" s="8">
        <f t="shared" si="1439"/>
        <v>1</v>
      </c>
      <c r="O3469" s="11" t="s">
        <v>1702</v>
      </c>
      <c r="P3469" s="16" t="str">
        <f t="shared" si="1452"/>
        <v>01-Nov-1903</v>
      </c>
      <c r="R3469" s="16" t="str">
        <f t="shared" si="1453"/>
        <v>x</v>
      </c>
      <c r="S3469" s="16" t="str">
        <f t="shared" si="1453"/>
        <v>x</v>
      </c>
      <c r="T3469" s="11"/>
      <c r="U3469" s="46" t="str">
        <f t="shared" si="1454"/>
        <v/>
      </c>
      <c r="V3469" s="46">
        <f t="shared" si="1454"/>
        <v>5</v>
      </c>
      <c r="W3469" s="46" t="str">
        <f t="shared" si="1454"/>
        <v/>
      </c>
      <c r="X3469" s="46" t="str">
        <f t="shared" si="1454"/>
        <v/>
      </c>
    </row>
    <row r="3470" spans="2:24" x14ac:dyDescent="0.25">
      <c r="B3470" s="11" t="str">
        <f t="shared" si="1450"/>
        <v>LTRN-27DEC1903</v>
      </c>
      <c r="C3470" s="11" t="s">
        <v>1698</v>
      </c>
      <c r="D3470" s="11" t="s">
        <v>1699</v>
      </c>
      <c r="E3470" s="39" t="s">
        <v>1753</v>
      </c>
      <c r="F3470" s="11" t="s">
        <v>1700</v>
      </c>
      <c r="G3470" s="39" t="s">
        <v>1754</v>
      </c>
      <c r="H3470" s="7">
        <v>0</v>
      </c>
      <c r="I3470" s="7">
        <v>0</v>
      </c>
      <c r="J3470" s="7">
        <v>22</v>
      </c>
      <c r="L3470" s="7">
        <f t="shared" si="1451"/>
        <v>22</v>
      </c>
      <c r="M3470" s="8">
        <v>1</v>
      </c>
      <c r="N3470" s="8">
        <f t="shared" si="1439"/>
        <v>1</v>
      </c>
      <c r="O3470" s="11" t="s">
        <v>1702</v>
      </c>
      <c r="P3470" s="16" t="str">
        <f t="shared" si="1452"/>
        <v>27-Dec-1903</v>
      </c>
      <c r="R3470" s="16" t="str">
        <f t="shared" si="1453"/>
        <v>x</v>
      </c>
      <c r="S3470" s="16" t="str">
        <f t="shared" si="1453"/>
        <v>x</v>
      </c>
      <c r="T3470" s="11"/>
      <c r="U3470" s="46" t="str">
        <f t="shared" si="1454"/>
        <v/>
      </c>
      <c r="V3470" s="46">
        <f t="shared" si="1454"/>
        <v>22</v>
      </c>
      <c r="W3470" s="46" t="str">
        <f t="shared" si="1454"/>
        <v/>
      </c>
      <c r="X3470" s="46" t="str">
        <f t="shared" si="1454"/>
        <v/>
      </c>
    </row>
    <row r="3471" spans="2:24" x14ac:dyDescent="0.25">
      <c r="B3471" s="11" t="str">
        <f t="shared" si="1450"/>
        <v>LTRN-23JAN1904</v>
      </c>
      <c r="C3471" s="11" t="s">
        <v>1698</v>
      </c>
      <c r="D3471" s="11" t="s">
        <v>1699</v>
      </c>
      <c r="E3471" s="39" t="s">
        <v>1755</v>
      </c>
      <c r="F3471" s="11" t="s">
        <v>1700</v>
      </c>
      <c r="G3471" s="39" t="s">
        <v>1756</v>
      </c>
      <c r="H3471" s="7">
        <v>0</v>
      </c>
      <c r="I3471" s="7">
        <v>0</v>
      </c>
      <c r="J3471" s="7">
        <v>16</v>
      </c>
      <c r="L3471" s="7">
        <f t="shared" si="1451"/>
        <v>16</v>
      </c>
      <c r="M3471" s="8">
        <v>1</v>
      </c>
      <c r="N3471" s="8">
        <f t="shared" si="1439"/>
        <v>1</v>
      </c>
      <c r="O3471" s="11" t="s">
        <v>1702</v>
      </c>
      <c r="P3471" s="16" t="str">
        <f t="shared" si="1452"/>
        <v>23-Jan-1904</v>
      </c>
      <c r="R3471" s="16" t="str">
        <f t="shared" si="1453"/>
        <v>x</v>
      </c>
      <c r="S3471" s="16" t="str">
        <f t="shared" si="1453"/>
        <v>x</v>
      </c>
      <c r="T3471" s="11"/>
      <c r="U3471" s="46" t="str">
        <f t="shared" si="1454"/>
        <v/>
      </c>
      <c r="V3471" s="46">
        <f t="shared" si="1454"/>
        <v>16</v>
      </c>
      <c r="W3471" s="46" t="str">
        <f t="shared" si="1454"/>
        <v/>
      </c>
      <c r="X3471" s="46" t="str">
        <f t="shared" si="1454"/>
        <v/>
      </c>
    </row>
    <row r="3472" spans="2:24" x14ac:dyDescent="0.25">
      <c r="B3472" s="11" t="str">
        <f t="shared" si="1450"/>
        <v>LTRN-21FEB1904</v>
      </c>
      <c r="C3472" s="11" t="s">
        <v>1698</v>
      </c>
      <c r="D3472" s="11" t="s">
        <v>1699</v>
      </c>
      <c r="E3472" s="39" t="s">
        <v>1757</v>
      </c>
      <c r="F3472" s="11" t="s">
        <v>1700</v>
      </c>
      <c r="G3472" s="39" t="s">
        <v>1758</v>
      </c>
      <c r="H3472" s="7">
        <v>0</v>
      </c>
      <c r="I3472" s="7">
        <v>0</v>
      </c>
      <c r="J3472" s="7">
        <v>4</v>
      </c>
      <c r="L3472" s="7">
        <f t="shared" si="1451"/>
        <v>4</v>
      </c>
      <c r="M3472" s="8">
        <v>1</v>
      </c>
      <c r="N3472" s="8">
        <f t="shared" si="1439"/>
        <v>1</v>
      </c>
      <c r="O3472" s="11" t="s">
        <v>1702</v>
      </c>
      <c r="P3472" s="16" t="str">
        <f t="shared" si="1452"/>
        <v>21-Feb-1904</v>
      </c>
      <c r="R3472" s="16" t="str">
        <f t="shared" si="1453"/>
        <v>x</v>
      </c>
      <c r="S3472" s="16" t="str">
        <f t="shared" si="1453"/>
        <v>x</v>
      </c>
      <c r="T3472" s="11"/>
      <c r="U3472" s="46" t="str">
        <f t="shared" si="1454"/>
        <v/>
      </c>
      <c r="V3472" s="46">
        <f t="shared" si="1454"/>
        <v>4</v>
      </c>
      <c r="W3472" s="46" t="str">
        <f t="shared" si="1454"/>
        <v/>
      </c>
      <c r="X3472" s="46" t="str">
        <f t="shared" si="1454"/>
        <v/>
      </c>
    </row>
    <row r="3473" spans="2:24" x14ac:dyDescent="0.25">
      <c r="B3473" s="11" t="str">
        <f t="shared" si="1450"/>
        <v>LTRN-03APR1904</v>
      </c>
      <c r="C3473" s="11" t="s">
        <v>1698</v>
      </c>
      <c r="D3473" s="11" t="s">
        <v>1699</v>
      </c>
      <c r="E3473" s="39" t="s">
        <v>1759</v>
      </c>
      <c r="F3473" s="11" t="s">
        <v>1700</v>
      </c>
      <c r="G3473" s="39" t="s">
        <v>1760</v>
      </c>
      <c r="H3473" s="7">
        <v>0</v>
      </c>
      <c r="I3473" s="7">
        <v>0</v>
      </c>
      <c r="J3473" s="7">
        <v>2</v>
      </c>
      <c r="L3473" s="7">
        <f t="shared" si="1451"/>
        <v>2</v>
      </c>
      <c r="M3473" s="8">
        <v>1</v>
      </c>
      <c r="N3473" s="8">
        <f t="shared" si="1439"/>
        <v>1</v>
      </c>
      <c r="O3473" s="11" t="s">
        <v>1702</v>
      </c>
      <c r="P3473" s="16" t="str">
        <f t="shared" si="1452"/>
        <v>03-Apr-1904</v>
      </c>
      <c r="R3473" s="16" t="str">
        <f t="shared" si="1453"/>
        <v>x</v>
      </c>
      <c r="S3473" s="16" t="str">
        <f t="shared" si="1453"/>
        <v>x</v>
      </c>
      <c r="T3473" s="11"/>
      <c r="U3473" s="46" t="str">
        <f t="shared" si="1454"/>
        <v/>
      </c>
      <c r="V3473" s="46">
        <f t="shared" si="1454"/>
        <v>2</v>
      </c>
      <c r="W3473" s="46" t="str">
        <f t="shared" si="1454"/>
        <v/>
      </c>
      <c r="X3473" s="46" t="str">
        <f t="shared" si="1454"/>
        <v/>
      </c>
    </row>
    <row r="3474" spans="2:24" x14ac:dyDescent="0.25">
      <c r="B3474" s="11" t="str">
        <f t="shared" ref="B3474:B3513" si="1455">CONCATENATE("LTRN","-",LEFT(P3474,2),UPPER(MID(P3474,4,3)),RIGHT(P3474,4))</f>
        <v>LTRN-01MAY1904</v>
      </c>
      <c r="C3474" s="11" t="s">
        <v>1698</v>
      </c>
      <c r="D3474" s="11" t="s">
        <v>1699</v>
      </c>
      <c r="E3474" s="39" t="s">
        <v>1761</v>
      </c>
      <c r="F3474" s="11" t="s">
        <v>1700</v>
      </c>
      <c r="G3474" s="39" t="s">
        <v>1762</v>
      </c>
      <c r="H3474" s="7">
        <v>0</v>
      </c>
      <c r="I3474" s="7">
        <v>0</v>
      </c>
      <c r="J3474" s="7">
        <v>2</v>
      </c>
      <c r="L3474" s="7">
        <f t="shared" ref="L3474:L3513" si="1456">SUM(H3474:K3474)</f>
        <v>2</v>
      </c>
      <c r="M3474" s="8">
        <v>1</v>
      </c>
      <c r="N3474" s="8">
        <f t="shared" ref="N3474:N3546" si="1457">IF(L3474&gt;0,1,"")</f>
        <v>1</v>
      </c>
      <c r="O3474" s="11" t="s">
        <v>1702</v>
      </c>
      <c r="P3474" s="16" t="str">
        <f t="shared" ref="P3474:P3513" si="1458">IF(LEN(G3474)=10,CONCATENATE("0",G3474),G3474)</f>
        <v>01-May-1904</v>
      </c>
      <c r="R3474" s="16" t="str">
        <f t="shared" si="1453"/>
        <v>x</v>
      </c>
      <c r="S3474" s="16" t="str">
        <f t="shared" si="1453"/>
        <v>x</v>
      </c>
      <c r="T3474" s="11"/>
      <c r="U3474" s="46" t="str">
        <f t="shared" si="1454"/>
        <v/>
      </c>
      <c r="V3474" s="46">
        <f t="shared" si="1454"/>
        <v>2</v>
      </c>
      <c r="W3474" s="46" t="str">
        <f t="shared" si="1454"/>
        <v/>
      </c>
      <c r="X3474" s="46" t="str">
        <f t="shared" si="1454"/>
        <v/>
      </c>
    </row>
    <row r="3475" spans="2:24" x14ac:dyDescent="0.25">
      <c r="B3475" s="11" t="str">
        <f t="shared" si="1455"/>
        <v>LTRN-29MAY1904</v>
      </c>
      <c r="C3475" s="11" t="s">
        <v>1698</v>
      </c>
      <c r="D3475" s="11" t="s">
        <v>1699</v>
      </c>
      <c r="E3475" s="39" t="s">
        <v>1763</v>
      </c>
      <c r="F3475" s="11" t="s">
        <v>1700</v>
      </c>
      <c r="G3475" s="39" t="s">
        <v>1764</v>
      </c>
      <c r="H3475" s="7">
        <v>0</v>
      </c>
      <c r="I3475" s="7">
        <v>0</v>
      </c>
      <c r="J3475" s="7">
        <v>19</v>
      </c>
      <c r="L3475" s="7">
        <f t="shared" si="1456"/>
        <v>19</v>
      </c>
      <c r="M3475" s="8">
        <v>1</v>
      </c>
      <c r="N3475" s="8">
        <f t="shared" si="1457"/>
        <v>1</v>
      </c>
      <c r="O3475" s="11" t="s">
        <v>1702</v>
      </c>
      <c r="P3475" s="16" t="str">
        <f t="shared" si="1458"/>
        <v>29-May-1904</v>
      </c>
      <c r="R3475" s="16" t="str">
        <f t="shared" si="1453"/>
        <v>x</v>
      </c>
      <c r="S3475" s="16" t="str">
        <f t="shared" si="1453"/>
        <v>x</v>
      </c>
      <c r="T3475" s="11"/>
      <c r="U3475" s="46" t="str">
        <f t="shared" si="1454"/>
        <v/>
      </c>
      <c r="V3475" s="46">
        <f t="shared" si="1454"/>
        <v>19</v>
      </c>
      <c r="W3475" s="46" t="str">
        <f t="shared" si="1454"/>
        <v/>
      </c>
      <c r="X3475" s="46" t="str">
        <f t="shared" si="1454"/>
        <v/>
      </c>
    </row>
    <row r="3476" spans="2:24" x14ac:dyDescent="0.25">
      <c r="B3476" s="11" t="str">
        <f t="shared" si="1455"/>
        <v>LTRN-09JUL1904</v>
      </c>
      <c r="C3476" s="11" t="s">
        <v>1698</v>
      </c>
      <c r="D3476" s="11" t="s">
        <v>1699</v>
      </c>
      <c r="E3476" s="39" t="s">
        <v>1765</v>
      </c>
      <c r="F3476" s="11" t="s">
        <v>1700</v>
      </c>
      <c r="G3476" s="39" t="s">
        <v>1766</v>
      </c>
      <c r="H3476" s="7">
        <v>0</v>
      </c>
      <c r="I3476" s="7">
        <v>0</v>
      </c>
      <c r="J3476" s="7">
        <v>2</v>
      </c>
      <c r="L3476" s="7">
        <f t="shared" si="1456"/>
        <v>2</v>
      </c>
      <c r="M3476" s="8">
        <v>1</v>
      </c>
      <c r="N3476" s="8">
        <f t="shared" si="1457"/>
        <v>1</v>
      </c>
      <c r="O3476" s="11" t="s">
        <v>1702</v>
      </c>
      <c r="P3476" s="16" t="str">
        <f t="shared" si="1458"/>
        <v>09-Jul-1904</v>
      </c>
      <c r="R3476" s="16" t="str">
        <f t="shared" si="1453"/>
        <v>x</v>
      </c>
      <c r="S3476" s="16" t="str">
        <f t="shared" si="1453"/>
        <v>x</v>
      </c>
      <c r="T3476" s="11"/>
      <c r="U3476" s="46" t="str">
        <f t="shared" si="1454"/>
        <v/>
      </c>
      <c r="V3476" s="46">
        <f t="shared" si="1454"/>
        <v>2</v>
      </c>
      <c r="W3476" s="46" t="str">
        <f t="shared" si="1454"/>
        <v/>
      </c>
      <c r="X3476" s="46" t="str">
        <f t="shared" si="1454"/>
        <v/>
      </c>
    </row>
    <row r="3477" spans="2:24" x14ac:dyDescent="0.25">
      <c r="B3477" s="11" t="str">
        <f>CONCATENATE("LTRN","-",LEFT(P3477,2),UPPER(MID(P3477,4,3)),RIGHT(P3477,4))</f>
        <v>LTRN-13AUG1904</v>
      </c>
      <c r="C3477" s="11" t="s">
        <v>1698</v>
      </c>
      <c r="D3477" s="11" t="s">
        <v>1699</v>
      </c>
      <c r="E3477" s="39" t="s">
        <v>3466</v>
      </c>
      <c r="F3477" s="11" t="s">
        <v>1700</v>
      </c>
      <c r="G3477" s="39" t="s">
        <v>1670</v>
      </c>
      <c r="H3477" s="7">
        <v>0</v>
      </c>
      <c r="I3477" s="7">
        <v>10</v>
      </c>
      <c r="J3477" s="7">
        <v>15</v>
      </c>
      <c r="L3477" s="7">
        <f>SUM(H3477:K3477)</f>
        <v>25</v>
      </c>
      <c r="M3477" s="8">
        <v>1</v>
      </c>
      <c r="N3477" s="8">
        <f>IF(L3477&gt;0,1,"")</f>
        <v>1</v>
      </c>
      <c r="O3477" s="11" t="s">
        <v>1702</v>
      </c>
      <c r="P3477" s="16" t="str">
        <f>IF(LEN(G3477)=10,CONCATENATE("0",G3477),G3477)</f>
        <v>13-Aug-1904</v>
      </c>
      <c r="R3477" s="16" t="str">
        <f t="shared" si="1453"/>
        <v>x</v>
      </c>
      <c r="S3477" s="16" t="str">
        <f t="shared" si="1453"/>
        <v>x</v>
      </c>
      <c r="U3477" s="46" t="str">
        <f t="shared" si="1454"/>
        <v/>
      </c>
      <c r="V3477" s="46">
        <f t="shared" si="1454"/>
        <v>25</v>
      </c>
      <c r="W3477" s="46" t="str">
        <f t="shared" si="1454"/>
        <v/>
      </c>
      <c r="X3477" s="46" t="str">
        <f t="shared" si="1454"/>
        <v/>
      </c>
    </row>
    <row r="3478" spans="2:24" x14ac:dyDescent="0.25">
      <c r="B3478" s="11" t="str">
        <f t="shared" si="1455"/>
        <v>LTRN-11SEP1904</v>
      </c>
      <c r="C3478" s="11" t="s">
        <v>1698</v>
      </c>
      <c r="D3478" s="11" t="s">
        <v>1699</v>
      </c>
      <c r="E3478" s="39" t="s">
        <v>1767</v>
      </c>
      <c r="F3478" s="11" t="s">
        <v>1700</v>
      </c>
      <c r="G3478" s="39" t="s">
        <v>1768</v>
      </c>
      <c r="H3478" s="7">
        <v>0</v>
      </c>
      <c r="I3478" s="7">
        <v>1</v>
      </c>
      <c r="J3478" s="7">
        <v>0</v>
      </c>
      <c r="L3478" s="7">
        <f t="shared" si="1456"/>
        <v>1</v>
      </c>
      <c r="M3478" s="8">
        <v>1</v>
      </c>
      <c r="N3478" s="8">
        <f t="shared" si="1457"/>
        <v>1</v>
      </c>
      <c r="O3478" s="11" t="s">
        <v>1702</v>
      </c>
      <c r="P3478" s="16" t="str">
        <f t="shared" si="1458"/>
        <v>11-Sep-1904</v>
      </c>
      <c r="R3478" s="16" t="str">
        <f t="shared" si="1453"/>
        <v>x</v>
      </c>
      <c r="S3478" s="16" t="str">
        <f t="shared" si="1453"/>
        <v>x</v>
      </c>
      <c r="T3478" s="11"/>
      <c r="U3478" s="46" t="str">
        <f t="shared" si="1454"/>
        <v/>
      </c>
      <c r="V3478" s="46">
        <f t="shared" si="1454"/>
        <v>1</v>
      </c>
      <c r="W3478" s="46" t="str">
        <f t="shared" si="1454"/>
        <v/>
      </c>
      <c r="X3478" s="46" t="str">
        <f t="shared" si="1454"/>
        <v/>
      </c>
    </row>
    <row r="3479" spans="2:24" x14ac:dyDescent="0.25">
      <c r="B3479" s="11" t="str">
        <f t="shared" si="1455"/>
        <v>LTRN-08OCT1904</v>
      </c>
      <c r="C3479" s="11" t="s">
        <v>1698</v>
      </c>
      <c r="D3479" s="11" t="s">
        <v>1699</v>
      </c>
      <c r="E3479" s="39" t="s">
        <v>1769</v>
      </c>
      <c r="F3479" s="11" t="s">
        <v>1700</v>
      </c>
      <c r="G3479" s="39" t="s">
        <v>1770</v>
      </c>
      <c r="H3479" s="7">
        <v>0</v>
      </c>
      <c r="I3479" s="7">
        <v>0</v>
      </c>
      <c r="J3479" s="7">
        <v>13</v>
      </c>
      <c r="L3479" s="7">
        <f t="shared" si="1456"/>
        <v>13</v>
      </c>
      <c r="M3479" s="8">
        <v>1</v>
      </c>
      <c r="N3479" s="8">
        <f t="shared" si="1457"/>
        <v>1</v>
      </c>
      <c r="O3479" s="11" t="s">
        <v>1702</v>
      </c>
      <c r="P3479" s="16" t="str">
        <f t="shared" si="1458"/>
        <v>08-Oct-1904</v>
      </c>
      <c r="R3479" s="16" t="str">
        <f t="shared" si="1453"/>
        <v>x</v>
      </c>
      <c r="S3479" s="16" t="str">
        <f t="shared" si="1453"/>
        <v>x</v>
      </c>
      <c r="T3479" s="11"/>
      <c r="U3479" s="46" t="str">
        <f t="shared" si="1454"/>
        <v/>
      </c>
      <c r="V3479" s="46">
        <f t="shared" si="1454"/>
        <v>13</v>
      </c>
      <c r="W3479" s="46" t="str">
        <f t="shared" si="1454"/>
        <v/>
      </c>
      <c r="X3479" s="46" t="str">
        <f t="shared" si="1454"/>
        <v/>
      </c>
    </row>
    <row r="3480" spans="2:24" x14ac:dyDescent="0.25">
      <c r="B3480" s="11" t="str">
        <f t="shared" si="1455"/>
        <v>LTRN-05NOV1904</v>
      </c>
      <c r="C3480" s="11" t="s">
        <v>1698</v>
      </c>
      <c r="D3480" s="11" t="s">
        <v>1699</v>
      </c>
      <c r="E3480" s="39" t="s">
        <v>1771</v>
      </c>
      <c r="F3480" s="11" t="s">
        <v>1700</v>
      </c>
      <c r="G3480" s="39" t="s">
        <v>1772</v>
      </c>
      <c r="H3480" s="7">
        <v>0</v>
      </c>
      <c r="I3480" s="7">
        <v>0</v>
      </c>
      <c r="J3480" s="7">
        <v>11</v>
      </c>
      <c r="L3480" s="7">
        <f t="shared" si="1456"/>
        <v>11</v>
      </c>
      <c r="M3480" s="8">
        <v>1</v>
      </c>
      <c r="N3480" s="8">
        <f t="shared" si="1457"/>
        <v>1</v>
      </c>
      <c r="O3480" s="11" t="s">
        <v>1702</v>
      </c>
      <c r="P3480" s="16" t="str">
        <f t="shared" si="1458"/>
        <v>05-Nov-1904</v>
      </c>
      <c r="R3480" s="16" t="str">
        <f t="shared" si="1453"/>
        <v>x</v>
      </c>
      <c r="S3480" s="16" t="str">
        <f t="shared" si="1453"/>
        <v>x</v>
      </c>
      <c r="T3480" s="11"/>
      <c r="U3480" s="46" t="str">
        <f t="shared" si="1454"/>
        <v/>
      </c>
      <c r="V3480" s="46">
        <f t="shared" si="1454"/>
        <v>11</v>
      </c>
      <c r="W3480" s="46" t="str">
        <f t="shared" si="1454"/>
        <v/>
      </c>
      <c r="X3480" s="46" t="str">
        <f t="shared" si="1454"/>
        <v/>
      </c>
    </row>
    <row r="3481" spans="2:24" x14ac:dyDescent="0.25">
      <c r="B3481" s="11" t="str">
        <f t="shared" si="1455"/>
        <v>LTRN-05DEC1904</v>
      </c>
      <c r="C3481" s="11" t="s">
        <v>1698</v>
      </c>
      <c r="D3481" s="11" t="s">
        <v>1699</v>
      </c>
      <c r="E3481" s="39" t="s">
        <v>1773</v>
      </c>
      <c r="F3481" s="11" t="s">
        <v>1700</v>
      </c>
      <c r="G3481" s="39" t="s">
        <v>1774</v>
      </c>
      <c r="H3481" s="7">
        <v>0</v>
      </c>
      <c r="I3481" s="7">
        <v>0</v>
      </c>
      <c r="J3481" s="7">
        <f>10+1</f>
        <v>11</v>
      </c>
      <c r="L3481" s="7">
        <f t="shared" si="1456"/>
        <v>11</v>
      </c>
      <c r="M3481" s="8">
        <v>1</v>
      </c>
      <c r="N3481" s="8">
        <f t="shared" si="1457"/>
        <v>1</v>
      </c>
      <c r="O3481" s="11" t="s">
        <v>1702</v>
      </c>
      <c r="P3481" s="16" t="str">
        <f t="shared" si="1458"/>
        <v>05-Dec-1904</v>
      </c>
      <c r="R3481" s="16" t="str">
        <f t="shared" si="1453"/>
        <v>x</v>
      </c>
      <c r="S3481" s="16" t="str">
        <f t="shared" si="1453"/>
        <v>x</v>
      </c>
      <c r="T3481" s="11"/>
      <c r="U3481" s="46" t="str">
        <f t="shared" si="1454"/>
        <v/>
      </c>
      <c r="V3481" s="46">
        <f t="shared" si="1454"/>
        <v>11</v>
      </c>
      <c r="W3481" s="46" t="str">
        <f t="shared" si="1454"/>
        <v/>
      </c>
      <c r="X3481" s="46" t="str">
        <f t="shared" si="1454"/>
        <v/>
      </c>
    </row>
    <row r="3482" spans="2:24" x14ac:dyDescent="0.25">
      <c r="B3482" s="11" t="str">
        <f t="shared" si="1455"/>
        <v>LTRN-08JAN1905</v>
      </c>
      <c r="C3482" s="11" t="s">
        <v>1698</v>
      </c>
      <c r="D3482" s="11" t="s">
        <v>1699</v>
      </c>
      <c r="E3482" s="39" t="s">
        <v>1775</v>
      </c>
      <c r="F3482" s="11" t="s">
        <v>1700</v>
      </c>
      <c r="G3482" s="39" t="s">
        <v>1776</v>
      </c>
      <c r="H3482" s="7">
        <v>0</v>
      </c>
      <c r="I3482" s="7">
        <v>0</v>
      </c>
      <c r="J3482" s="7">
        <v>12</v>
      </c>
      <c r="L3482" s="7">
        <f t="shared" si="1456"/>
        <v>12</v>
      </c>
      <c r="M3482" s="8">
        <v>1</v>
      </c>
      <c r="N3482" s="8">
        <f t="shared" si="1457"/>
        <v>1</v>
      </c>
      <c r="O3482" s="11" t="s">
        <v>1702</v>
      </c>
      <c r="P3482" s="16" t="str">
        <f t="shared" si="1458"/>
        <v>08-Jan-1905</v>
      </c>
      <c r="R3482" s="16" t="str">
        <f t="shared" si="1453"/>
        <v>x</v>
      </c>
      <c r="S3482" s="16" t="str">
        <f t="shared" si="1453"/>
        <v>x</v>
      </c>
      <c r="T3482" s="11"/>
      <c r="U3482" s="46" t="str">
        <f t="shared" si="1454"/>
        <v/>
      </c>
      <c r="V3482" s="46">
        <f t="shared" si="1454"/>
        <v>12</v>
      </c>
      <c r="W3482" s="46" t="str">
        <f t="shared" si="1454"/>
        <v/>
      </c>
      <c r="X3482" s="46" t="str">
        <f t="shared" si="1454"/>
        <v/>
      </c>
    </row>
    <row r="3483" spans="2:24" x14ac:dyDescent="0.25">
      <c r="B3483" s="11" t="str">
        <f t="shared" si="1455"/>
        <v>LTRN-04JUN1905</v>
      </c>
      <c r="C3483" s="11" t="s">
        <v>1698</v>
      </c>
      <c r="D3483" s="11" t="s">
        <v>1699</v>
      </c>
      <c r="E3483" s="39" t="s">
        <v>1777</v>
      </c>
      <c r="F3483" s="11" t="s">
        <v>1700</v>
      </c>
      <c r="G3483" s="39" t="s">
        <v>1778</v>
      </c>
      <c r="H3483" s="7">
        <v>0</v>
      </c>
      <c r="I3483" s="7">
        <v>0</v>
      </c>
      <c r="J3483" s="7">
        <v>9</v>
      </c>
      <c r="L3483" s="7">
        <f t="shared" si="1456"/>
        <v>9</v>
      </c>
      <c r="M3483" s="8">
        <v>1</v>
      </c>
      <c r="N3483" s="8">
        <f t="shared" si="1457"/>
        <v>1</v>
      </c>
      <c r="O3483" s="11" t="s">
        <v>1702</v>
      </c>
      <c r="P3483" s="16" t="str">
        <f t="shared" si="1458"/>
        <v>04-Jun-1905</v>
      </c>
      <c r="R3483" s="16" t="str">
        <f t="shared" si="1453"/>
        <v>x</v>
      </c>
      <c r="S3483" s="16" t="str">
        <f t="shared" si="1453"/>
        <v>x</v>
      </c>
      <c r="T3483" s="11"/>
      <c r="U3483" s="46" t="str">
        <f t="shared" si="1454"/>
        <v/>
      </c>
      <c r="V3483" s="46">
        <f t="shared" si="1454"/>
        <v>9</v>
      </c>
      <c r="W3483" s="46" t="str">
        <f t="shared" si="1454"/>
        <v/>
      </c>
      <c r="X3483" s="46" t="str">
        <f t="shared" si="1454"/>
        <v/>
      </c>
    </row>
    <row r="3484" spans="2:24" x14ac:dyDescent="0.25">
      <c r="B3484" s="11" t="str">
        <f t="shared" si="1455"/>
        <v>LTRN-29JUL1905</v>
      </c>
      <c r="C3484" s="11" t="s">
        <v>1698</v>
      </c>
      <c r="D3484" s="11" t="s">
        <v>1699</v>
      </c>
      <c r="E3484" s="39" t="s">
        <v>1779</v>
      </c>
      <c r="F3484" s="11" t="s">
        <v>1700</v>
      </c>
      <c r="G3484" s="39" t="s">
        <v>1780</v>
      </c>
      <c r="H3484" s="7">
        <v>0</v>
      </c>
      <c r="I3484" s="7">
        <v>0</v>
      </c>
      <c r="J3484" s="7">
        <v>2</v>
      </c>
      <c r="L3484" s="7">
        <f t="shared" si="1456"/>
        <v>2</v>
      </c>
      <c r="M3484" s="8">
        <v>1</v>
      </c>
      <c r="N3484" s="8">
        <f t="shared" si="1457"/>
        <v>1</v>
      </c>
      <c r="O3484" s="11" t="s">
        <v>1702</v>
      </c>
      <c r="P3484" s="16" t="str">
        <f t="shared" si="1458"/>
        <v>29-Jul-1905</v>
      </c>
      <c r="R3484" s="16" t="str">
        <f t="shared" si="1453"/>
        <v>x</v>
      </c>
      <c r="S3484" s="16" t="str">
        <f t="shared" si="1453"/>
        <v>x</v>
      </c>
      <c r="T3484" s="11"/>
      <c r="U3484" s="46" t="str">
        <f t="shared" si="1454"/>
        <v/>
      </c>
      <c r="V3484" s="46">
        <f t="shared" si="1454"/>
        <v>2</v>
      </c>
      <c r="W3484" s="46" t="str">
        <f t="shared" si="1454"/>
        <v/>
      </c>
      <c r="X3484" s="46" t="str">
        <f t="shared" si="1454"/>
        <v/>
      </c>
    </row>
    <row r="3485" spans="2:24" x14ac:dyDescent="0.25">
      <c r="B3485" s="11" t="str">
        <f t="shared" si="1455"/>
        <v>LTRN-26AUG1905</v>
      </c>
      <c r="C3485" s="11" t="s">
        <v>1698</v>
      </c>
      <c r="D3485" s="11" t="s">
        <v>1699</v>
      </c>
      <c r="E3485" s="39" t="s">
        <v>1781</v>
      </c>
      <c r="F3485" s="11" t="s">
        <v>1700</v>
      </c>
      <c r="G3485" s="39" t="s">
        <v>1782</v>
      </c>
      <c r="H3485" s="7">
        <v>0</v>
      </c>
      <c r="I3485" s="7">
        <v>0</v>
      </c>
      <c r="J3485" s="7">
        <v>13</v>
      </c>
      <c r="L3485" s="7">
        <f t="shared" si="1456"/>
        <v>13</v>
      </c>
      <c r="M3485" s="8">
        <v>1</v>
      </c>
      <c r="N3485" s="8">
        <f t="shared" si="1457"/>
        <v>1</v>
      </c>
      <c r="O3485" s="11" t="s">
        <v>1702</v>
      </c>
      <c r="P3485" s="16" t="str">
        <f t="shared" si="1458"/>
        <v>26-Aug-1905</v>
      </c>
      <c r="R3485" s="16" t="str">
        <f t="shared" si="1453"/>
        <v>x</v>
      </c>
      <c r="S3485" s="16" t="str">
        <f t="shared" si="1453"/>
        <v>x</v>
      </c>
      <c r="T3485" s="11"/>
      <c r="U3485" s="46" t="str">
        <f t="shared" si="1454"/>
        <v/>
      </c>
      <c r="V3485" s="46">
        <f t="shared" si="1454"/>
        <v>13</v>
      </c>
      <c r="W3485" s="46" t="str">
        <f t="shared" si="1454"/>
        <v/>
      </c>
      <c r="X3485" s="46" t="str">
        <f t="shared" si="1454"/>
        <v/>
      </c>
    </row>
    <row r="3486" spans="2:24" x14ac:dyDescent="0.25">
      <c r="B3486" s="11" t="str">
        <f t="shared" si="1455"/>
        <v>LTRN-19NOV1905</v>
      </c>
      <c r="C3486" s="11" t="s">
        <v>1698</v>
      </c>
      <c r="D3486" s="11" t="s">
        <v>1699</v>
      </c>
      <c r="E3486" s="39" t="s">
        <v>1783</v>
      </c>
      <c r="F3486" s="11" t="s">
        <v>1700</v>
      </c>
      <c r="G3486" s="39" t="s">
        <v>1784</v>
      </c>
      <c r="H3486" s="7">
        <v>0</v>
      </c>
      <c r="I3486" s="7">
        <v>0</v>
      </c>
      <c r="J3486" s="7">
        <v>14</v>
      </c>
      <c r="L3486" s="7">
        <f t="shared" si="1456"/>
        <v>14</v>
      </c>
      <c r="M3486" s="8">
        <v>1</v>
      </c>
      <c r="N3486" s="8">
        <f t="shared" si="1457"/>
        <v>1</v>
      </c>
      <c r="O3486" s="11" t="s">
        <v>1702</v>
      </c>
      <c r="P3486" s="16" t="str">
        <f t="shared" si="1458"/>
        <v>19-Nov-1905</v>
      </c>
      <c r="R3486" s="16" t="str">
        <f t="shared" si="1453"/>
        <v>x</v>
      </c>
      <c r="S3486" s="16" t="str">
        <f t="shared" si="1453"/>
        <v>x</v>
      </c>
      <c r="T3486" s="11"/>
      <c r="U3486" s="46" t="str">
        <f t="shared" si="1454"/>
        <v/>
      </c>
      <c r="V3486" s="46">
        <f t="shared" si="1454"/>
        <v>14</v>
      </c>
      <c r="W3486" s="46" t="str">
        <f t="shared" si="1454"/>
        <v/>
      </c>
      <c r="X3486" s="46" t="str">
        <f t="shared" si="1454"/>
        <v/>
      </c>
    </row>
    <row r="3487" spans="2:24" x14ac:dyDescent="0.25">
      <c r="B3487" s="11" t="str">
        <f t="shared" si="1455"/>
        <v>LTRN-02JAN1906</v>
      </c>
      <c r="C3487" s="11" t="s">
        <v>1698</v>
      </c>
      <c r="D3487" s="11" t="s">
        <v>1699</v>
      </c>
      <c r="E3487" s="39" t="s">
        <v>1785</v>
      </c>
      <c r="F3487" s="11" t="s">
        <v>1700</v>
      </c>
      <c r="G3487" s="39" t="s">
        <v>1786</v>
      </c>
      <c r="H3487" s="7">
        <v>0</v>
      </c>
      <c r="I3487" s="7">
        <v>0</v>
      </c>
      <c r="J3487" s="7">
        <v>14</v>
      </c>
      <c r="L3487" s="7">
        <f t="shared" si="1456"/>
        <v>14</v>
      </c>
      <c r="M3487" s="8">
        <v>1</v>
      </c>
      <c r="N3487" s="8">
        <f t="shared" si="1457"/>
        <v>1</v>
      </c>
      <c r="O3487" s="11" t="s">
        <v>1702</v>
      </c>
      <c r="P3487" s="16" t="str">
        <f t="shared" si="1458"/>
        <v>02-Jan-1906</v>
      </c>
      <c r="R3487" s="16" t="str">
        <f t="shared" si="1453"/>
        <v>x</v>
      </c>
      <c r="S3487" s="16" t="str">
        <f t="shared" si="1453"/>
        <v>x</v>
      </c>
      <c r="T3487" s="11"/>
      <c r="U3487" s="46" t="str">
        <f t="shared" si="1454"/>
        <v/>
      </c>
      <c r="V3487" s="46">
        <f t="shared" si="1454"/>
        <v>14</v>
      </c>
      <c r="W3487" s="46" t="str">
        <f t="shared" si="1454"/>
        <v/>
      </c>
      <c r="X3487" s="46" t="str">
        <f t="shared" si="1454"/>
        <v/>
      </c>
    </row>
    <row r="3488" spans="2:24" x14ac:dyDescent="0.25">
      <c r="B3488" s="11" t="str">
        <f t="shared" si="1455"/>
        <v>LTRN-27JAN1906</v>
      </c>
      <c r="C3488" s="11" t="s">
        <v>1698</v>
      </c>
      <c r="D3488" s="11" t="s">
        <v>1699</v>
      </c>
      <c r="E3488" s="39" t="s">
        <v>1787</v>
      </c>
      <c r="F3488" s="11" t="s">
        <v>1700</v>
      </c>
      <c r="G3488" s="39" t="s">
        <v>1788</v>
      </c>
      <c r="H3488" s="7">
        <v>0</v>
      </c>
      <c r="I3488" s="7">
        <v>1</v>
      </c>
      <c r="J3488" s="7">
        <v>24</v>
      </c>
      <c r="L3488" s="7">
        <f t="shared" si="1456"/>
        <v>25</v>
      </c>
      <c r="M3488" s="8">
        <v>1</v>
      </c>
      <c r="N3488" s="8">
        <f t="shared" si="1457"/>
        <v>1</v>
      </c>
      <c r="O3488" s="11" t="s">
        <v>1702</v>
      </c>
      <c r="P3488" s="16" t="str">
        <f t="shared" si="1458"/>
        <v>27-Jan-1906</v>
      </c>
      <c r="R3488" s="16" t="str">
        <f t="shared" si="1453"/>
        <v>x</v>
      </c>
      <c r="S3488" s="16" t="str">
        <f t="shared" si="1453"/>
        <v>x</v>
      </c>
      <c r="T3488" s="11"/>
      <c r="U3488" s="46" t="str">
        <f t="shared" si="1454"/>
        <v/>
      </c>
      <c r="V3488" s="46">
        <f t="shared" si="1454"/>
        <v>25</v>
      </c>
      <c r="W3488" s="46" t="str">
        <f t="shared" si="1454"/>
        <v/>
      </c>
      <c r="X3488" s="46" t="str">
        <f t="shared" si="1454"/>
        <v/>
      </c>
    </row>
    <row r="3489" spans="2:24" x14ac:dyDescent="0.25">
      <c r="B3489" s="11" t="str">
        <f t="shared" si="1455"/>
        <v>LTRN-25FEB1906</v>
      </c>
      <c r="C3489" s="11" t="s">
        <v>1698</v>
      </c>
      <c r="D3489" s="11" t="s">
        <v>1699</v>
      </c>
      <c r="E3489" s="39" t="s">
        <v>1789</v>
      </c>
      <c r="F3489" s="11" t="s">
        <v>1700</v>
      </c>
      <c r="G3489" s="39" t="s">
        <v>1790</v>
      </c>
      <c r="H3489" s="7">
        <v>0</v>
      </c>
      <c r="I3489" s="7">
        <v>0</v>
      </c>
      <c r="J3489" s="7">
        <v>4</v>
      </c>
      <c r="L3489" s="7">
        <f t="shared" si="1456"/>
        <v>4</v>
      </c>
      <c r="M3489" s="8">
        <v>1</v>
      </c>
      <c r="N3489" s="8">
        <f t="shared" si="1457"/>
        <v>1</v>
      </c>
      <c r="O3489" s="11" t="s">
        <v>1702</v>
      </c>
      <c r="P3489" s="16" t="str">
        <f t="shared" si="1458"/>
        <v>25-Feb-1906</v>
      </c>
      <c r="R3489" s="16" t="str">
        <f t="shared" si="1453"/>
        <v>x</v>
      </c>
      <c r="S3489" s="16" t="str">
        <f t="shared" si="1453"/>
        <v>x</v>
      </c>
      <c r="T3489" s="11"/>
      <c r="U3489" s="46" t="str">
        <f t="shared" si="1454"/>
        <v/>
      </c>
      <c r="V3489" s="46">
        <f t="shared" si="1454"/>
        <v>4</v>
      </c>
      <c r="W3489" s="46" t="str">
        <f t="shared" si="1454"/>
        <v/>
      </c>
      <c r="X3489" s="46" t="str">
        <f t="shared" si="1454"/>
        <v/>
      </c>
    </row>
    <row r="3490" spans="2:24" x14ac:dyDescent="0.25">
      <c r="B3490" s="11" t="str">
        <f t="shared" si="1455"/>
        <v>LTRN-01APR1906</v>
      </c>
      <c r="C3490" s="11" t="s">
        <v>1698</v>
      </c>
      <c r="D3490" s="11" t="s">
        <v>1699</v>
      </c>
      <c r="E3490" s="39" t="s">
        <v>1791</v>
      </c>
      <c r="F3490" s="11" t="s">
        <v>1700</v>
      </c>
      <c r="G3490" s="39" t="s">
        <v>1792</v>
      </c>
      <c r="H3490" s="7">
        <v>0</v>
      </c>
      <c r="I3490" s="7">
        <v>0</v>
      </c>
      <c r="J3490" s="7">
        <f>9+1</f>
        <v>10</v>
      </c>
      <c r="L3490" s="7">
        <f t="shared" si="1456"/>
        <v>10</v>
      </c>
      <c r="M3490" s="8">
        <v>1</v>
      </c>
      <c r="N3490" s="8">
        <f t="shared" si="1457"/>
        <v>1</v>
      </c>
      <c r="O3490" s="11" t="s">
        <v>1702</v>
      </c>
      <c r="P3490" s="16" t="str">
        <f t="shared" si="1458"/>
        <v>01-Apr-1906</v>
      </c>
      <c r="R3490" s="16" t="str">
        <f t="shared" si="1453"/>
        <v>x</v>
      </c>
      <c r="S3490" s="16" t="str">
        <f t="shared" si="1453"/>
        <v>x</v>
      </c>
      <c r="T3490" s="11"/>
      <c r="U3490" s="46" t="str">
        <f t="shared" si="1454"/>
        <v/>
      </c>
      <c r="V3490" s="46">
        <f t="shared" si="1454"/>
        <v>10</v>
      </c>
      <c r="W3490" s="46" t="str">
        <f t="shared" si="1454"/>
        <v/>
      </c>
      <c r="X3490" s="46" t="str">
        <f t="shared" si="1454"/>
        <v/>
      </c>
    </row>
    <row r="3491" spans="2:24" x14ac:dyDescent="0.25">
      <c r="B3491" s="11" t="str">
        <f t="shared" si="1455"/>
        <v>LTRN-10JUN1906</v>
      </c>
      <c r="C3491" s="11" t="s">
        <v>1698</v>
      </c>
      <c r="D3491" s="11" t="s">
        <v>1699</v>
      </c>
      <c r="E3491" s="39" t="s">
        <v>1793</v>
      </c>
      <c r="F3491" s="11" t="s">
        <v>1700</v>
      </c>
      <c r="G3491" s="39" t="s">
        <v>1794</v>
      </c>
      <c r="H3491" s="7">
        <v>0</v>
      </c>
      <c r="I3491" s="7">
        <v>0</v>
      </c>
      <c r="J3491" s="7">
        <v>27</v>
      </c>
      <c r="L3491" s="7">
        <f t="shared" si="1456"/>
        <v>27</v>
      </c>
      <c r="M3491" s="8">
        <v>1</v>
      </c>
      <c r="N3491" s="8">
        <f t="shared" si="1457"/>
        <v>1</v>
      </c>
      <c r="O3491" s="11" t="s">
        <v>1702</v>
      </c>
      <c r="P3491" s="16" t="str">
        <f t="shared" si="1458"/>
        <v>10-Jun-1906</v>
      </c>
      <c r="R3491" s="16" t="str">
        <f t="shared" si="1453"/>
        <v>x</v>
      </c>
      <c r="S3491" s="16" t="str">
        <f t="shared" si="1453"/>
        <v>x</v>
      </c>
      <c r="T3491" s="11"/>
      <c r="U3491" s="46" t="str">
        <f t="shared" si="1454"/>
        <v/>
      </c>
      <c r="V3491" s="46">
        <f t="shared" si="1454"/>
        <v>27</v>
      </c>
      <c r="W3491" s="46" t="str">
        <f t="shared" si="1454"/>
        <v/>
      </c>
      <c r="X3491" s="46" t="str">
        <f t="shared" si="1454"/>
        <v/>
      </c>
    </row>
    <row r="3492" spans="2:24" x14ac:dyDescent="0.25">
      <c r="B3492" s="11" t="str">
        <f t="shared" si="1455"/>
        <v>LTRN-08JUL1906</v>
      </c>
      <c r="C3492" s="11" t="s">
        <v>1698</v>
      </c>
      <c r="D3492" s="11" t="s">
        <v>1699</v>
      </c>
      <c r="E3492" s="39" t="s">
        <v>1795</v>
      </c>
      <c r="F3492" s="11" t="s">
        <v>1700</v>
      </c>
      <c r="G3492" s="39" t="s">
        <v>1796</v>
      </c>
      <c r="H3492" s="7">
        <v>0</v>
      </c>
      <c r="I3492" s="7">
        <v>2</v>
      </c>
      <c r="J3492" s="7">
        <v>38</v>
      </c>
      <c r="L3492" s="7">
        <f t="shared" si="1456"/>
        <v>40</v>
      </c>
      <c r="M3492" s="8">
        <v>1</v>
      </c>
      <c r="N3492" s="8">
        <f t="shared" si="1457"/>
        <v>1</v>
      </c>
      <c r="O3492" s="11" t="s">
        <v>1702</v>
      </c>
      <c r="P3492" s="16" t="str">
        <f t="shared" si="1458"/>
        <v>08-Jul-1906</v>
      </c>
      <c r="R3492" s="16" t="str">
        <f t="shared" si="1453"/>
        <v>x</v>
      </c>
      <c r="S3492" s="16" t="str">
        <f t="shared" si="1453"/>
        <v>x</v>
      </c>
      <c r="T3492" s="11"/>
      <c r="U3492" s="46" t="str">
        <f t="shared" si="1454"/>
        <v/>
      </c>
      <c r="V3492" s="46">
        <f t="shared" si="1454"/>
        <v>40</v>
      </c>
      <c r="W3492" s="46" t="str">
        <f t="shared" si="1454"/>
        <v/>
      </c>
      <c r="X3492" s="46" t="str">
        <f t="shared" si="1454"/>
        <v/>
      </c>
    </row>
    <row r="3493" spans="2:24" x14ac:dyDescent="0.25">
      <c r="B3493" s="11" t="str">
        <f>CONCATENATE("LTRN","-",LEFT(P3493,2),UPPER(MID(P3493,4,3)),RIGHT(P3493,4))</f>
        <v>LTRN-19AUG1906</v>
      </c>
      <c r="C3493" s="11" t="s">
        <v>1698</v>
      </c>
      <c r="D3493" s="11" t="s">
        <v>1699</v>
      </c>
      <c r="E3493" s="39" t="s">
        <v>2713</v>
      </c>
      <c r="F3493" s="11" t="s">
        <v>1700</v>
      </c>
      <c r="G3493" s="39" t="s">
        <v>3416</v>
      </c>
      <c r="H3493" s="7">
        <v>0</v>
      </c>
      <c r="I3493" s="7">
        <v>3</v>
      </c>
      <c r="J3493" s="7">
        <v>27</v>
      </c>
      <c r="L3493" s="7">
        <f>SUM(H3493:K3493)</f>
        <v>30</v>
      </c>
      <c r="M3493" s="8">
        <v>1</v>
      </c>
      <c r="N3493" s="8">
        <f>IF(L3493&gt;0,1,"")</f>
        <v>1</v>
      </c>
      <c r="O3493" s="11" t="s">
        <v>1702</v>
      </c>
      <c r="P3493" s="16" t="str">
        <f>IF(LEN(G3493)=10,CONCATENATE("0",G3493),G3493)</f>
        <v>19-Aug-1906</v>
      </c>
      <c r="R3493" s="16" t="str">
        <f t="shared" si="1453"/>
        <v>x</v>
      </c>
      <c r="S3493" s="16" t="str">
        <f t="shared" si="1453"/>
        <v>x</v>
      </c>
      <c r="T3493" s="11"/>
      <c r="U3493" s="46" t="str">
        <f t="shared" si="1454"/>
        <v/>
      </c>
      <c r="V3493" s="46">
        <f t="shared" si="1454"/>
        <v>30</v>
      </c>
      <c r="W3493" s="46" t="str">
        <f t="shared" si="1454"/>
        <v/>
      </c>
      <c r="X3493" s="46" t="str">
        <f t="shared" si="1454"/>
        <v/>
      </c>
    </row>
    <row r="3494" spans="2:24" x14ac:dyDescent="0.25">
      <c r="B3494" s="11" t="str">
        <f t="shared" si="1455"/>
        <v>LTRN-16SEP1906</v>
      </c>
      <c r="C3494" s="11" t="s">
        <v>1698</v>
      </c>
      <c r="D3494" s="11" t="s">
        <v>1699</v>
      </c>
      <c r="E3494" s="39" t="s">
        <v>1797</v>
      </c>
      <c r="F3494" s="11" t="s">
        <v>1700</v>
      </c>
      <c r="G3494" s="39" t="s">
        <v>1798</v>
      </c>
      <c r="H3494" s="7">
        <v>1</v>
      </c>
      <c r="I3494" s="7">
        <v>0</v>
      </c>
      <c r="J3494" s="7">
        <v>0</v>
      </c>
      <c r="L3494" s="7">
        <f t="shared" si="1456"/>
        <v>1</v>
      </c>
      <c r="M3494" s="8">
        <v>1</v>
      </c>
      <c r="N3494" s="8">
        <f t="shared" si="1457"/>
        <v>1</v>
      </c>
      <c r="O3494" s="11" t="s">
        <v>1702</v>
      </c>
      <c r="P3494" s="16" t="str">
        <f t="shared" si="1458"/>
        <v>16-Sep-1906</v>
      </c>
      <c r="R3494" s="16" t="str">
        <f t="shared" si="1453"/>
        <v>x</v>
      </c>
      <c r="S3494" s="16" t="str">
        <f t="shared" si="1453"/>
        <v>x</v>
      </c>
      <c r="T3494" s="11"/>
      <c r="U3494" s="46" t="str">
        <f t="shared" si="1454"/>
        <v/>
      </c>
      <c r="V3494" s="46">
        <f t="shared" si="1454"/>
        <v>1</v>
      </c>
      <c r="W3494" s="46" t="str">
        <f t="shared" si="1454"/>
        <v/>
      </c>
      <c r="X3494" s="46" t="str">
        <f t="shared" si="1454"/>
        <v/>
      </c>
    </row>
    <row r="3495" spans="2:24" x14ac:dyDescent="0.25">
      <c r="B3495" s="11" t="str">
        <f t="shared" si="1455"/>
        <v>LTRN-14OCT1906</v>
      </c>
      <c r="C3495" s="11" t="s">
        <v>1698</v>
      </c>
      <c r="D3495" s="11" t="s">
        <v>1699</v>
      </c>
      <c r="E3495" s="39" t="s">
        <v>1799</v>
      </c>
      <c r="F3495" s="11" t="s">
        <v>1700</v>
      </c>
      <c r="G3495" s="39" t="s">
        <v>1800</v>
      </c>
      <c r="H3495" s="7">
        <v>0</v>
      </c>
      <c r="I3495" s="7">
        <v>2</v>
      </c>
      <c r="J3495" s="7">
        <v>0</v>
      </c>
      <c r="L3495" s="7">
        <f t="shared" si="1456"/>
        <v>2</v>
      </c>
      <c r="M3495" s="8">
        <v>1</v>
      </c>
      <c r="N3495" s="8">
        <f t="shared" si="1457"/>
        <v>1</v>
      </c>
      <c r="O3495" s="11" t="s">
        <v>1702</v>
      </c>
      <c r="P3495" s="16" t="str">
        <f t="shared" si="1458"/>
        <v>14-Oct-1906</v>
      </c>
      <c r="R3495" s="16" t="str">
        <f t="shared" si="1453"/>
        <v>x</v>
      </c>
      <c r="S3495" s="16" t="str">
        <f t="shared" si="1453"/>
        <v>x</v>
      </c>
      <c r="T3495" s="11"/>
      <c r="U3495" s="46" t="str">
        <f t="shared" si="1454"/>
        <v/>
      </c>
      <c r="V3495" s="46">
        <f t="shared" si="1454"/>
        <v>2</v>
      </c>
      <c r="W3495" s="46" t="str">
        <f t="shared" si="1454"/>
        <v/>
      </c>
      <c r="X3495" s="46" t="str">
        <f t="shared" si="1454"/>
        <v/>
      </c>
    </row>
    <row r="3496" spans="2:24" x14ac:dyDescent="0.25">
      <c r="B3496" s="11" t="str">
        <f>CONCATENATE("LTRN","-",LEFT(P3496,2),UPPER(MID(P3496,4,3)),RIGHT(P3496,4))</f>
        <v>LTRN-11NOV1906</v>
      </c>
      <c r="C3496" s="11" t="s">
        <v>1698</v>
      </c>
      <c r="D3496" s="11" t="s">
        <v>1699</v>
      </c>
      <c r="E3496" s="39" t="s">
        <v>2714</v>
      </c>
      <c r="F3496" s="11" t="s">
        <v>1700</v>
      </c>
      <c r="G3496" s="39" t="s">
        <v>2709</v>
      </c>
      <c r="H3496" s="7">
        <v>0</v>
      </c>
      <c r="I3496" s="7">
        <v>1</v>
      </c>
      <c r="J3496" s="7">
        <v>22</v>
      </c>
      <c r="L3496" s="7">
        <f>SUM(H3496:K3496)</f>
        <v>23</v>
      </c>
      <c r="M3496" s="8">
        <v>1</v>
      </c>
      <c r="N3496" s="8">
        <f>IF(L3496&gt;0,1,"")</f>
        <v>1</v>
      </c>
      <c r="O3496" s="11" t="s">
        <v>1702</v>
      </c>
      <c r="P3496" s="16" t="str">
        <f>IF(LEN(G3496)=10,CONCATENATE("0",G3496),G3496)</f>
        <v>11-Nov-1906</v>
      </c>
      <c r="R3496" s="16" t="str">
        <f t="shared" si="1453"/>
        <v>x</v>
      </c>
      <c r="S3496" s="16" t="str">
        <f t="shared" si="1453"/>
        <v>x</v>
      </c>
      <c r="T3496" s="11"/>
      <c r="U3496" s="46" t="str">
        <f t="shared" si="1454"/>
        <v/>
      </c>
      <c r="V3496" s="46">
        <f t="shared" si="1454"/>
        <v>23</v>
      </c>
      <c r="W3496" s="46" t="str">
        <f t="shared" si="1454"/>
        <v/>
      </c>
      <c r="X3496" s="46" t="str">
        <f t="shared" si="1454"/>
        <v/>
      </c>
    </row>
    <row r="3497" spans="2:24" x14ac:dyDescent="0.25">
      <c r="B3497" s="11" t="str">
        <f t="shared" si="1455"/>
        <v>LTRN-17DEC1906</v>
      </c>
      <c r="C3497" s="11" t="s">
        <v>1698</v>
      </c>
      <c r="D3497" s="11" t="s">
        <v>1699</v>
      </c>
      <c r="E3497" s="39" t="s">
        <v>1801</v>
      </c>
      <c r="F3497" s="11" t="s">
        <v>1700</v>
      </c>
      <c r="G3497" s="39" t="s">
        <v>1802</v>
      </c>
      <c r="H3497" s="7">
        <v>0</v>
      </c>
      <c r="I3497" s="7">
        <v>0</v>
      </c>
      <c r="J3497" s="7">
        <v>51</v>
      </c>
      <c r="L3497" s="7">
        <f t="shared" si="1456"/>
        <v>51</v>
      </c>
      <c r="M3497" s="8">
        <v>1</v>
      </c>
      <c r="N3497" s="8">
        <f t="shared" si="1457"/>
        <v>1</v>
      </c>
      <c r="O3497" s="11" t="s">
        <v>1702</v>
      </c>
      <c r="P3497" s="16" t="str">
        <f t="shared" si="1458"/>
        <v>17-Dec-1906</v>
      </c>
      <c r="R3497" s="16" t="str">
        <f t="shared" si="1453"/>
        <v>x</v>
      </c>
      <c r="S3497" s="16" t="str">
        <f t="shared" si="1453"/>
        <v>x</v>
      </c>
      <c r="T3497" s="11"/>
      <c r="U3497" s="46" t="str">
        <f t="shared" si="1454"/>
        <v/>
      </c>
      <c r="V3497" s="46">
        <f t="shared" si="1454"/>
        <v>51</v>
      </c>
      <c r="W3497" s="46" t="str">
        <f t="shared" si="1454"/>
        <v/>
      </c>
      <c r="X3497" s="46" t="str">
        <f t="shared" si="1454"/>
        <v/>
      </c>
    </row>
    <row r="3498" spans="2:24" x14ac:dyDescent="0.25">
      <c r="B3498" s="11" t="str">
        <f>CONCATENATE("LTRN","-",LEFT(P3498,2),UPPER(MID(P3498,4,3)),RIGHT(P3498,4))</f>
        <v>LTRN-17MAR1907</v>
      </c>
      <c r="C3498" s="11" t="s">
        <v>1698</v>
      </c>
      <c r="D3498" s="11" t="s">
        <v>1699</v>
      </c>
      <c r="E3498" s="39" t="s">
        <v>5818</v>
      </c>
      <c r="F3498" s="11" t="s">
        <v>1700</v>
      </c>
      <c r="G3498" s="39" t="s">
        <v>5819</v>
      </c>
      <c r="H3498" s="7">
        <v>0</v>
      </c>
      <c r="I3498" s="7">
        <v>2</v>
      </c>
      <c r="J3498" s="7">
        <v>6</v>
      </c>
      <c r="L3498" s="7">
        <f>SUM(H3498:K3498)</f>
        <v>8</v>
      </c>
      <c r="M3498" s="8">
        <v>1</v>
      </c>
      <c r="N3498" s="8">
        <f>IF(L3498&gt;0,1,"")</f>
        <v>1</v>
      </c>
      <c r="O3498" s="11" t="s">
        <v>1702</v>
      </c>
      <c r="P3498" s="16" t="str">
        <f>IF(LEN(G3498)=10,CONCATENATE("0",G3498),G3498)</f>
        <v>17-Mar-1907</v>
      </c>
      <c r="R3498" s="16" t="str">
        <f t="shared" si="1453"/>
        <v>x</v>
      </c>
      <c r="S3498" s="16" t="str">
        <f t="shared" si="1453"/>
        <v>x</v>
      </c>
      <c r="T3498" s="11"/>
      <c r="U3498" s="46" t="str">
        <f>IF($O3498=U$5,$L3498,"")</f>
        <v/>
      </c>
      <c r="V3498" s="46">
        <f>IF($O3498=V$5,$L3498,"")</f>
        <v>8</v>
      </c>
      <c r="W3498" s="46" t="str">
        <f>IF($O3498=W$5,$L3498,"")</f>
        <v/>
      </c>
      <c r="X3498" s="46" t="str">
        <f>IF($O3498=X$5,$L3498,"")</f>
        <v/>
      </c>
    </row>
    <row r="3499" spans="2:24" x14ac:dyDescent="0.25">
      <c r="B3499" s="11" t="str">
        <f t="shared" si="1455"/>
        <v>LTRN-07APR1907</v>
      </c>
      <c r="C3499" s="11" t="s">
        <v>1698</v>
      </c>
      <c r="D3499" s="11" t="s">
        <v>1699</v>
      </c>
      <c r="E3499" s="39" t="s">
        <v>1803</v>
      </c>
      <c r="F3499" s="11" t="s">
        <v>1700</v>
      </c>
      <c r="G3499" s="39" t="s">
        <v>1804</v>
      </c>
      <c r="H3499" s="7">
        <v>0</v>
      </c>
      <c r="I3499" s="7">
        <v>0</v>
      </c>
      <c r="J3499" s="7">
        <v>18</v>
      </c>
      <c r="L3499" s="7">
        <f t="shared" si="1456"/>
        <v>18</v>
      </c>
      <c r="M3499" s="8">
        <v>1</v>
      </c>
      <c r="N3499" s="8">
        <f t="shared" si="1457"/>
        <v>1</v>
      </c>
      <c r="O3499" s="11" t="s">
        <v>1702</v>
      </c>
      <c r="P3499" s="16" t="str">
        <f t="shared" si="1458"/>
        <v>07-Apr-1907</v>
      </c>
      <c r="R3499" s="16" t="str">
        <f t="shared" si="1453"/>
        <v>x</v>
      </c>
      <c r="S3499" s="16" t="str">
        <f t="shared" si="1453"/>
        <v>x</v>
      </c>
      <c r="T3499" s="11"/>
      <c r="U3499" s="46" t="str">
        <f t="shared" si="1454"/>
        <v/>
      </c>
      <c r="V3499" s="46">
        <f t="shared" si="1454"/>
        <v>18</v>
      </c>
      <c r="W3499" s="46" t="str">
        <f t="shared" si="1454"/>
        <v/>
      </c>
      <c r="X3499" s="46" t="str">
        <f t="shared" si="1454"/>
        <v/>
      </c>
    </row>
    <row r="3500" spans="2:24" x14ac:dyDescent="0.25">
      <c r="B3500" s="11" t="str">
        <f>CONCATENATE("LTRN","-",LEFT(P3500,2),UPPER(MID(P3500,4,3)),RIGHT(P3500,4))</f>
        <v>LTRN-12MAY1907</v>
      </c>
      <c r="C3500" s="11" t="s">
        <v>1698</v>
      </c>
      <c r="D3500" s="11" t="s">
        <v>1699</v>
      </c>
      <c r="E3500" s="39" t="s">
        <v>2662</v>
      </c>
      <c r="F3500" s="11" t="s">
        <v>1700</v>
      </c>
      <c r="G3500" s="39" t="s">
        <v>6260</v>
      </c>
      <c r="H3500" s="7">
        <v>0</v>
      </c>
      <c r="I3500" s="7">
        <v>0</v>
      </c>
      <c r="J3500" s="7">
        <v>19</v>
      </c>
      <c r="L3500" s="7">
        <f>SUM(H3500:K3500)</f>
        <v>19</v>
      </c>
      <c r="M3500" s="8">
        <v>1</v>
      </c>
      <c r="N3500" s="8">
        <f>IF(L3500&gt;0,1,"")</f>
        <v>1</v>
      </c>
      <c r="O3500" s="11" t="s">
        <v>1702</v>
      </c>
      <c r="P3500" s="16" t="str">
        <f>IF(LEN(G3500)=10,CONCATENATE("0",G3500),G3500)</f>
        <v>12-May-1907</v>
      </c>
      <c r="R3500" s="16" t="str">
        <f t="shared" si="1453"/>
        <v>x</v>
      </c>
      <c r="S3500" s="16" t="str">
        <f t="shared" si="1453"/>
        <v>x</v>
      </c>
      <c r="U3500" s="46" t="str">
        <f t="shared" ref="U3500:X3501" si="1459">IF($O3500=U$5,$L3500,"")</f>
        <v/>
      </c>
      <c r="V3500" s="46">
        <f t="shared" si="1459"/>
        <v>19</v>
      </c>
      <c r="W3500" s="46" t="str">
        <f t="shared" si="1459"/>
        <v/>
      </c>
      <c r="X3500" s="46" t="str">
        <f t="shared" si="1459"/>
        <v/>
      </c>
    </row>
    <row r="3501" spans="2:24" x14ac:dyDescent="0.25">
      <c r="B3501" s="11" t="str">
        <f>CONCATENATE("LTRN","-",LEFT(P3501,2),UPPER(MID(P3501,4,3)),RIGHT(P3501,4))</f>
        <v>LTRN-01JUL1907</v>
      </c>
      <c r="C3501" s="11" t="s">
        <v>1698</v>
      </c>
      <c r="D3501" s="11" t="s">
        <v>1699</v>
      </c>
      <c r="E3501" s="39" t="s">
        <v>2726</v>
      </c>
      <c r="F3501" s="11" t="s">
        <v>1700</v>
      </c>
      <c r="G3501" s="39" t="s">
        <v>5514</v>
      </c>
      <c r="H3501" s="7">
        <v>0</v>
      </c>
      <c r="I3501" s="7">
        <v>0</v>
      </c>
      <c r="J3501" s="7">
        <v>33</v>
      </c>
      <c r="L3501" s="7">
        <f>SUM(H3501:K3501)</f>
        <v>33</v>
      </c>
      <c r="M3501" s="8">
        <v>1</v>
      </c>
      <c r="N3501" s="8">
        <f>IF(L3501&gt;0,1,"")</f>
        <v>1</v>
      </c>
      <c r="O3501" s="11" t="s">
        <v>1702</v>
      </c>
      <c r="P3501" s="16" t="str">
        <f>IF(LEN(G3501)=10,CONCATENATE("0",G3501),G3501)</f>
        <v>01-Jul-1907</v>
      </c>
      <c r="R3501" s="16" t="str">
        <f t="shared" si="1453"/>
        <v>x</v>
      </c>
      <c r="S3501" s="16" t="str">
        <f t="shared" si="1453"/>
        <v>x</v>
      </c>
      <c r="T3501" s="11"/>
      <c r="U3501" s="46" t="str">
        <f t="shared" si="1459"/>
        <v/>
      </c>
      <c r="V3501" s="46">
        <f t="shared" si="1459"/>
        <v>33</v>
      </c>
      <c r="W3501" s="46" t="str">
        <f t="shared" si="1459"/>
        <v/>
      </c>
      <c r="X3501" s="46" t="str">
        <f t="shared" si="1459"/>
        <v/>
      </c>
    </row>
    <row r="3502" spans="2:24" x14ac:dyDescent="0.25">
      <c r="B3502" s="11" t="str">
        <f t="shared" si="1455"/>
        <v>LTRN-28JUL1907</v>
      </c>
      <c r="C3502" s="11" t="s">
        <v>1698</v>
      </c>
      <c r="D3502" s="11" t="s">
        <v>1699</v>
      </c>
      <c r="E3502" s="39" t="s">
        <v>3450</v>
      </c>
      <c r="F3502" s="11" t="s">
        <v>1700</v>
      </c>
      <c r="G3502" s="39" t="s">
        <v>3449</v>
      </c>
      <c r="H3502" s="7">
        <v>0</v>
      </c>
      <c r="I3502" s="7">
        <v>0</v>
      </c>
      <c r="J3502" s="7">
        <v>59</v>
      </c>
      <c r="L3502" s="7">
        <f t="shared" si="1456"/>
        <v>59</v>
      </c>
      <c r="M3502" s="8">
        <v>1</v>
      </c>
      <c r="N3502" s="8">
        <f t="shared" si="1457"/>
        <v>1</v>
      </c>
      <c r="O3502" s="11" t="s">
        <v>1702</v>
      </c>
      <c r="P3502" s="16" t="str">
        <f t="shared" si="1458"/>
        <v>28-Jul-1907</v>
      </c>
      <c r="R3502" s="16" t="str">
        <f t="shared" si="1453"/>
        <v>x</v>
      </c>
      <c r="S3502" s="16" t="str">
        <f t="shared" si="1453"/>
        <v>x</v>
      </c>
      <c r="T3502" s="11"/>
      <c r="U3502" s="46" t="str">
        <f t="shared" si="1454"/>
        <v/>
      </c>
      <c r="V3502" s="46">
        <f t="shared" si="1454"/>
        <v>59</v>
      </c>
      <c r="W3502" s="46" t="str">
        <f t="shared" si="1454"/>
        <v/>
      </c>
      <c r="X3502" s="46" t="str">
        <f t="shared" si="1454"/>
        <v/>
      </c>
    </row>
    <row r="3503" spans="2:24" x14ac:dyDescent="0.25">
      <c r="B3503" s="11" t="str">
        <f t="shared" si="1455"/>
        <v>LTRN-24AUG1907</v>
      </c>
      <c r="C3503" s="11" t="s">
        <v>1698</v>
      </c>
      <c r="D3503" s="11" t="s">
        <v>1699</v>
      </c>
      <c r="E3503" s="39" t="s">
        <v>1805</v>
      </c>
      <c r="F3503" s="11" t="s">
        <v>1700</v>
      </c>
      <c r="G3503" s="39" t="s">
        <v>1806</v>
      </c>
      <c r="H3503" s="7">
        <v>0</v>
      </c>
      <c r="I3503" s="7">
        <v>0</v>
      </c>
      <c r="J3503" s="7">
        <v>47</v>
      </c>
      <c r="L3503" s="7">
        <f t="shared" si="1456"/>
        <v>47</v>
      </c>
      <c r="M3503" s="8">
        <v>1</v>
      </c>
      <c r="N3503" s="8">
        <f t="shared" si="1457"/>
        <v>1</v>
      </c>
      <c r="O3503" s="11" t="s">
        <v>1702</v>
      </c>
      <c r="P3503" s="16" t="str">
        <f t="shared" si="1458"/>
        <v>24-Aug-1907</v>
      </c>
      <c r="R3503" s="16" t="str">
        <f t="shared" si="1453"/>
        <v>x</v>
      </c>
      <c r="S3503" s="16" t="str">
        <f t="shared" si="1453"/>
        <v>x</v>
      </c>
      <c r="T3503" s="11"/>
      <c r="U3503" s="46" t="str">
        <f t="shared" si="1454"/>
        <v/>
      </c>
      <c r="V3503" s="46">
        <f t="shared" si="1454"/>
        <v>47</v>
      </c>
      <c r="W3503" s="46" t="str">
        <f t="shared" si="1454"/>
        <v/>
      </c>
      <c r="X3503" s="46" t="str">
        <f t="shared" si="1454"/>
        <v/>
      </c>
    </row>
    <row r="3504" spans="2:24" x14ac:dyDescent="0.25">
      <c r="B3504" s="11" t="str">
        <f t="shared" si="1455"/>
        <v>LTRN-12OCT1907</v>
      </c>
      <c r="C3504" s="11" t="s">
        <v>1698</v>
      </c>
      <c r="D3504" s="11" t="s">
        <v>1699</v>
      </c>
      <c r="E3504" s="39" t="s">
        <v>1807</v>
      </c>
      <c r="F3504" s="11" t="s">
        <v>1700</v>
      </c>
      <c r="G3504" s="39" t="s">
        <v>1808</v>
      </c>
      <c r="H3504" s="7">
        <v>1</v>
      </c>
      <c r="I3504" s="7">
        <v>0</v>
      </c>
      <c r="J3504" s="7">
        <v>6</v>
      </c>
      <c r="L3504" s="7">
        <f t="shared" si="1456"/>
        <v>7</v>
      </c>
      <c r="M3504" s="8">
        <v>1</v>
      </c>
      <c r="N3504" s="8">
        <f t="shared" si="1457"/>
        <v>1</v>
      </c>
      <c r="O3504" s="11" t="s">
        <v>1702</v>
      </c>
      <c r="P3504" s="16" t="str">
        <f t="shared" si="1458"/>
        <v>12-Oct-1907</v>
      </c>
      <c r="R3504" s="16" t="str">
        <f t="shared" si="1453"/>
        <v>x</v>
      </c>
      <c r="S3504" s="16" t="str">
        <f t="shared" si="1453"/>
        <v>x</v>
      </c>
      <c r="T3504" s="11"/>
      <c r="U3504" s="46" t="str">
        <f t="shared" si="1454"/>
        <v/>
      </c>
      <c r="V3504" s="46">
        <f t="shared" si="1454"/>
        <v>7</v>
      </c>
      <c r="W3504" s="46" t="str">
        <f t="shared" si="1454"/>
        <v/>
      </c>
      <c r="X3504" s="46" t="str">
        <f t="shared" si="1454"/>
        <v/>
      </c>
    </row>
    <row r="3505" spans="2:24" x14ac:dyDescent="0.25">
      <c r="B3505" s="11" t="str">
        <f t="shared" si="1455"/>
        <v>LTRN-10NOV1907</v>
      </c>
      <c r="C3505" s="11" t="s">
        <v>1698</v>
      </c>
      <c r="D3505" s="11" t="s">
        <v>1699</v>
      </c>
      <c r="E3505" s="39" t="s">
        <v>1809</v>
      </c>
      <c r="F3505" s="11" t="s">
        <v>1700</v>
      </c>
      <c r="G3505" s="39" t="s">
        <v>1810</v>
      </c>
      <c r="H3505" s="7">
        <v>0</v>
      </c>
      <c r="I3505" s="7">
        <v>0</v>
      </c>
      <c r="J3505" s="7">
        <v>81</v>
      </c>
      <c r="L3505" s="7">
        <f t="shared" si="1456"/>
        <v>81</v>
      </c>
      <c r="M3505" s="8">
        <v>1</v>
      </c>
      <c r="N3505" s="8">
        <f t="shared" si="1457"/>
        <v>1</v>
      </c>
      <c r="O3505" s="11" t="s">
        <v>1702</v>
      </c>
      <c r="P3505" s="16" t="str">
        <f t="shared" si="1458"/>
        <v>10-Nov-1907</v>
      </c>
      <c r="R3505" s="16" t="str">
        <f t="shared" si="1453"/>
        <v>x</v>
      </c>
      <c r="S3505" s="16" t="str">
        <f t="shared" si="1453"/>
        <v>x</v>
      </c>
      <c r="T3505" s="11"/>
      <c r="U3505" s="46" t="str">
        <f t="shared" si="1454"/>
        <v/>
      </c>
      <c r="V3505" s="46">
        <f t="shared" si="1454"/>
        <v>81</v>
      </c>
      <c r="W3505" s="46" t="str">
        <f t="shared" si="1454"/>
        <v/>
      </c>
      <c r="X3505" s="46" t="str">
        <f t="shared" si="1454"/>
        <v/>
      </c>
    </row>
    <row r="3506" spans="2:24" x14ac:dyDescent="0.25">
      <c r="B3506" s="11" t="str">
        <f t="shared" si="1455"/>
        <v>LTRN-10DEC1907</v>
      </c>
      <c r="C3506" s="11" t="s">
        <v>1698</v>
      </c>
      <c r="D3506" s="11" t="s">
        <v>1699</v>
      </c>
      <c r="E3506" s="39" t="s">
        <v>1811</v>
      </c>
      <c r="F3506" s="11" t="s">
        <v>1700</v>
      </c>
      <c r="G3506" s="39" t="s">
        <v>1812</v>
      </c>
      <c r="H3506" s="7">
        <v>0</v>
      </c>
      <c r="I3506" s="7">
        <v>0</v>
      </c>
      <c r="J3506" s="7">
        <v>41</v>
      </c>
      <c r="L3506" s="7">
        <f t="shared" si="1456"/>
        <v>41</v>
      </c>
      <c r="M3506" s="8">
        <v>1</v>
      </c>
      <c r="N3506" s="8">
        <f t="shared" si="1457"/>
        <v>1</v>
      </c>
      <c r="O3506" s="11" t="s">
        <v>1702</v>
      </c>
      <c r="P3506" s="16" t="str">
        <f t="shared" si="1458"/>
        <v>10-Dec-1907</v>
      </c>
      <c r="R3506" s="16" t="str">
        <f t="shared" si="1453"/>
        <v>x</v>
      </c>
      <c r="S3506" s="16" t="str">
        <f t="shared" si="1453"/>
        <v>x</v>
      </c>
      <c r="T3506" s="11"/>
      <c r="U3506" s="46" t="str">
        <f t="shared" si="1454"/>
        <v/>
      </c>
      <c r="V3506" s="46">
        <f t="shared" si="1454"/>
        <v>41</v>
      </c>
      <c r="W3506" s="46" t="str">
        <f t="shared" si="1454"/>
        <v/>
      </c>
      <c r="X3506" s="46" t="str">
        <f t="shared" si="1454"/>
        <v/>
      </c>
    </row>
    <row r="3507" spans="2:24" x14ac:dyDescent="0.25">
      <c r="B3507" s="11" t="str">
        <f t="shared" si="1455"/>
        <v>LTRN-26JAN1908</v>
      </c>
      <c r="C3507" s="11" t="s">
        <v>1698</v>
      </c>
      <c r="D3507" s="11" t="s">
        <v>1699</v>
      </c>
      <c r="E3507" s="39" t="s">
        <v>1813</v>
      </c>
      <c r="F3507" s="11" t="s">
        <v>1700</v>
      </c>
      <c r="G3507" s="39" t="s">
        <v>1814</v>
      </c>
      <c r="H3507" s="7">
        <v>0</v>
      </c>
      <c r="I3507" s="7">
        <v>0</v>
      </c>
      <c r="J3507" s="7">
        <v>44</v>
      </c>
      <c r="L3507" s="7">
        <f t="shared" si="1456"/>
        <v>44</v>
      </c>
      <c r="M3507" s="8">
        <v>1</v>
      </c>
      <c r="N3507" s="8">
        <f t="shared" si="1457"/>
        <v>1</v>
      </c>
      <c r="O3507" s="11" t="s">
        <v>1702</v>
      </c>
      <c r="P3507" s="16" t="str">
        <f t="shared" si="1458"/>
        <v>26-Jan-1908</v>
      </c>
      <c r="R3507" s="16" t="str">
        <f t="shared" si="1453"/>
        <v>x</v>
      </c>
      <c r="S3507" s="16" t="str">
        <f t="shared" si="1453"/>
        <v>x</v>
      </c>
      <c r="T3507" s="11"/>
      <c r="U3507" s="46" t="str">
        <f t="shared" si="1454"/>
        <v/>
      </c>
      <c r="V3507" s="46">
        <f t="shared" si="1454"/>
        <v>44</v>
      </c>
      <c r="W3507" s="46" t="str">
        <f t="shared" si="1454"/>
        <v/>
      </c>
      <c r="X3507" s="46" t="str">
        <f t="shared" si="1454"/>
        <v/>
      </c>
    </row>
    <row r="3508" spans="2:24" x14ac:dyDescent="0.25">
      <c r="B3508" s="11" t="str">
        <f t="shared" si="1455"/>
        <v>LTRN-23FEB1908</v>
      </c>
      <c r="C3508" s="11" t="s">
        <v>1698</v>
      </c>
      <c r="D3508" s="11" t="s">
        <v>1699</v>
      </c>
      <c r="E3508" s="39" t="s">
        <v>1815</v>
      </c>
      <c r="F3508" s="11" t="s">
        <v>1700</v>
      </c>
      <c r="G3508" s="39" t="s">
        <v>1816</v>
      </c>
      <c r="H3508" s="7">
        <v>0</v>
      </c>
      <c r="I3508" s="7">
        <v>0</v>
      </c>
      <c r="J3508" s="7">
        <v>22</v>
      </c>
      <c r="L3508" s="7">
        <f t="shared" si="1456"/>
        <v>22</v>
      </c>
      <c r="M3508" s="8">
        <v>1</v>
      </c>
      <c r="N3508" s="8">
        <f t="shared" si="1457"/>
        <v>1</v>
      </c>
      <c r="O3508" s="11" t="s">
        <v>1702</v>
      </c>
      <c r="P3508" s="16" t="str">
        <f t="shared" si="1458"/>
        <v>23-Feb-1908</v>
      </c>
      <c r="R3508" s="16" t="str">
        <f t="shared" si="1453"/>
        <v>x</v>
      </c>
      <c r="S3508" s="16" t="str">
        <f t="shared" si="1453"/>
        <v>x</v>
      </c>
      <c r="T3508" s="11"/>
      <c r="U3508" s="46" t="str">
        <f t="shared" si="1454"/>
        <v/>
      </c>
      <c r="V3508" s="46">
        <f t="shared" si="1454"/>
        <v>22</v>
      </c>
      <c r="W3508" s="46" t="str">
        <f t="shared" si="1454"/>
        <v/>
      </c>
      <c r="X3508" s="46" t="str">
        <f t="shared" si="1454"/>
        <v/>
      </c>
    </row>
    <row r="3509" spans="2:24" x14ac:dyDescent="0.25">
      <c r="B3509" s="11" t="str">
        <f t="shared" si="1455"/>
        <v>LTRN-22MAR1908</v>
      </c>
      <c r="C3509" s="11" t="s">
        <v>1698</v>
      </c>
      <c r="D3509" s="11" t="s">
        <v>1699</v>
      </c>
      <c r="E3509" s="39" t="s">
        <v>1817</v>
      </c>
      <c r="F3509" s="11" t="s">
        <v>1700</v>
      </c>
      <c r="G3509" s="39" t="s">
        <v>1818</v>
      </c>
      <c r="H3509" s="7">
        <v>0</v>
      </c>
      <c r="I3509" s="7">
        <v>0</v>
      </c>
      <c r="J3509" s="7">
        <v>26</v>
      </c>
      <c r="L3509" s="7">
        <f t="shared" si="1456"/>
        <v>26</v>
      </c>
      <c r="M3509" s="8">
        <v>1</v>
      </c>
      <c r="N3509" s="8">
        <f t="shared" si="1457"/>
        <v>1</v>
      </c>
      <c r="O3509" s="11" t="s">
        <v>1702</v>
      </c>
      <c r="P3509" s="16" t="str">
        <f t="shared" si="1458"/>
        <v>22-Mar-1908</v>
      </c>
      <c r="R3509" s="16" t="str">
        <f t="shared" si="1453"/>
        <v>x</v>
      </c>
      <c r="S3509" s="16" t="str">
        <f t="shared" si="1453"/>
        <v>x</v>
      </c>
      <c r="T3509" s="11"/>
      <c r="U3509" s="46" t="str">
        <f t="shared" si="1454"/>
        <v/>
      </c>
      <c r="V3509" s="46">
        <f t="shared" si="1454"/>
        <v>26</v>
      </c>
      <c r="W3509" s="46" t="str">
        <f t="shared" si="1454"/>
        <v/>
      </c>
      <c r="X3509" s="46" t="str">
        <f t="shared" si="1454"/>
        <v/>
      </c>
    </row>
    <row r="3510" spans="2:24" x14ac:dyDescent="0.25">
      <c r="B3510" s="11" t="str">
        <f t="shared" si="1455"/>
        <v>LTRN-20APR1908</v>
      </c>
      <c r="C3510" s="11" t="s">
        <v>1698</v>
      </c>
      <c r="D3510" s="11" t="s">
        <v>1699</v>
      </c>
      <c r="E3510" s="39" t="s">
        <v>1819</v>
      </c>
      <c r="F3510" s="11" t="s">
        <v>1700</v>
      </c>
      <c r="G3510" s="39" t="s">
        <v>1820</v>
      </c>
      <c r="H3510" s="7">
        <v>0</v>
      </c>
      <c r="I3510" s="7">
        <v>0</v>
      </c>
      <c r="J3510" s="7">
        <v>15</v>
      </c>
      <c r="L3510" s="7">
        <f t="shared" si="1456"/>
        <v>15</v>
      </c>
      <c r="M3510" s="8">
        <v>1</v>
      </c>
      <c r="N3510" s="8">
        <f t="shared" si="1457"/>
        <v>1</v>
      </c>
      <c r="O3510" s="11" t="s">
        <v>1702</v>
      </c>
      <c r="P3510" s="16" t="str">
        <f t="shared" si="1458"/>
        <v>20-Apr-1908</v>
      </c>
      <c r="R3510" s="16" t="str">
        <f t="shared" si="1453"/>
        <v>x</v>
      </c>
      <c r="S3510" s="16" t="str">
        <f t="shared" si="1453"/>
        <v>x</v>
      </c>
      <c r="T3510" s="11"/>
      <c r="U3510" s="46" t="str">
        <f t="shared" si="1454"/>
        <v/>
      </c>
      <c r="V3510" s="46">
        <f t="shared" si="1454"/>
        <v>15</v>
      </c>
      <c r="W3510" s="46" t="str">
        <f t="shared" si="1454"/>
        <v/>
      </c>
      <c r="X3510" s="46" t="str">
        <f t="shared" si="1454"/>
        <v/>
      </c>
    </row>
    <row r="3511" spans="2:24" x14ac:dyDescent="0.25">
      <c r="B3511" s="11" t="str">
        <f t="shared" si="1455"/>
        <v>LTRN-18MAY1908</v>
      </c>
      <c r="C3511" s="11" t="s">
        <v>1698</v>
      </c>
      <c r="D3511" s="11" t="s">
        <v>1699</v>
      </c>
      <c r="E3511" s="39" t="s">
        <v>1821</v>
      </c>
      <c r="F3511" s="11" t="s">
        <v>1700</v>
      </c>
      <c r="G3511" s="39" t="s">
        <v>1822</v>
      </c>
      <c r="H3511" s="7">
        <v>0</v>
      </c>
      <c r="I3511" s="7">
        <v>0</v>
      </c>
      <c r="J3511" s="7">
        <v>7</v>
      </c>
      <c r="L3511" s="7">
        <f t="shared" si="1456"/>
        <v>7</v>
      </c>
      <c r="M3511" s="8">
        <v>1</v>
      </c>
      <c r="N3511" s="8">
        <f t="shared" si="1457"/>
        <v>1</v>
      </c>
      <c r="O3511" s="11" t="s">
        <v>1702</v>
      </c>
      <c r="P3511" s="16" t="str">
        <f t="shared" si="1458"/>
        <v>18-May-1908</v>
      </c>
      <c r="R3511" s="16" t="str">
        <f t="shared" si="1453"/>
        <v>x</v>
      </c>
      <c r="S3511" s="16" t="str">
        <f t="shared" si="1453"/>
        <v>x</v>
      </c>
      <c r="T3511" s="11"/>
      <c r="U3511" s="46" t="str">
        <f t="shared" si="1454"/>
        <v/>
      </c>
      <c r="V3511" s="46">
        <f t="shared" si="1454"/>
        <v>7</v>
      </c>
      <c r="W3511" s="46" t="str">
        <f t="shared" si="1454"/>
        <v/>
      </c>
      <c r="X3511" s="46" t="str">
        <f t="shared" si="1454"/>
        <v/>
      </c>
    </row>
    <row r="3512" spans="2:24" x14ac:dyDescent="0.25">
      <c r="B3512" s="11" t="str">
        <f t="shared" si="1455"/>
        <v>LTRN-04JUL1908</v>
      </c>
      <c r="C3512" s="11" t="s">
        <v>1698</v>
      </c>
      <c r="D3512" s="11" t="s">
        <v>1699</v>
      </c>
      <c r="E3512" s="39" t="s">
        <v>1823</v>
      </c>
      <c r="F3512" s="11" t="s">
        <v>1700</v>
      </c>
      <c r="G3512" s="39" t="s">
        <v>1824</v>
      </c>
      <c r="H3512" s="7">
        <v>0</v>
      </c>
      <c r="I3512" s="7">
        <v>0</v>
      </c>
      <c r="J3512" s="7">
        <v>33</v>
      </c>
      <c r="L3512" s="7">
        <f t="shared" si="1456"/>
        <v>33</v>
      </c>
      <c r="M3512" s="8">
        <v>1</v>
      </c>
      <c r="N3512" s="8">
        <f t="shared" si="1457"/>
        <v>1</v>
      </c>
      <c r="O3512" s="11" t="s">
        <v>1702</v>
      </c>
      <c r="P3512" s="16" t="str">
        <f t="shared" si="1458"/>
        <v>04-Jul-1908</v>
      </c>
      <c r="R3512" s="16" t="str">
        <f t="shared" si="1453"/>
        <v>x</v>
      </c>
      <c r="S3512" s="16" t="str">
        <f t="shared" si="1453"/>
        <v>x</v>
      </c>
      <c r="T3512" s="11"/>
      <c r="U3512" s="46" t="str">
        <f t="shared" si="1454"/>
        <v/>
      </c>
      <c r="V3512" s="46">
        <f t="shared" si="1454"/>
        <v>33</v>
      </c>
      <c r="W3512" s="46" t="str">
        <f t="shared" si="1454"/>
        <v/>
      </c>
      <c r="X3512" s="46" t="str">
        <f t="shared" si="1454"/>
        <v/>
      </c>
    </row>
    <row r="3513" spans="2:24" x14ac:dyDescent="0.25">
      <c r="B3513" s="11" t="str">
        <f t="shared" si="1455"/>
        <v>LTRN-26JUL1908</v>
      </c>
      <c r="C3513" s="11" t="s">
        <v>1698</v>
      </c>
      <c r="D3513" s="11" t="s">
        <v>1699</v>
      </c>
      <c r="E3513" s="39" t="s">
        <v>5171</v>
      </c>
      <c r="F3513" s="11" t="s">
        <v>1700</v>
      </c>
      <c r="G3513" s="39" t="s">
        <v>5172</v>
      </c>
      <c r="H3513" s="7">
        <v>0</v>
      </c>
      <c r="I3513" s="7">
        <v>2</v>
      </c>
      <c r="J3513" s="7">
        <v>26</v>
      </c>
      <c r="L3513" s="7">
        <f t="shared" si="1456"/>
        <v>28</v>
      </c>
      <c r="M3513" s="8">
        <v>1</v>
      </c>
      <c r="N3513" s="8">
        <f>IF(L3513&gt;0,1,"")</f>
        <v>1</v>
      </c>
      <c r="O3513" s="11" t="s">
        <v>1702</v>
      </c>
      <c r="P3513" s="16" t="str">
        <f t="shared" si="1458"/>
        <v>26-Jul-1908</v>
      </c>
      <c r="R3513" s="16" t="str">
        <f>IF($L3513&gt;0,"x","")</f>
        <v>x</v>
      </c>
      <c r="S3513" s="16" t="str">
        <f>IF($L3513&gt;0,"x","")</f>
        <v>x</v>
      </c>
      <c r="T3513" s="11"/>
      <c r="U3513" s="46" t="str">
        <f>IF($O3513=U$5,$L3513,"")</f>
        <v/>
      </c>
      <c r="V3513" s="46">
        <f>IF($O3513=V$5,$L3513,"")</f>
        <v>28</v>
      </c>
      <c r="W3513" s="46" t="str">
        <f>IF($O3513=W$5,$L3513,"")</f>
        <v/>
      </c>
      <c r="X3513" s="46" t="str">
        <f>IF($O3513=X$5,$L3513,"")</f>
        <v/>
      </c>
    </row>
    <row r="3514" spans="2:24" x14ac:dyDescent="0.25">
      <c r="B3514" s="11" t="str">
        <f t="shared" ref="B3514:B3529" si="1460">CONCATENATE("LTRN","-",LEFT(P3514,2),UPPER(MID(P3514,4,3)),RIGHT(P3514,4))</f>
        <v>LTRN-22AUG1908</v>
      </c>
      <c r="C3514" s="11" t="s">
        <v>1698</v>
      </c>
      <c r="D3514" s="11" t="s">
        <v>1699</v>
      </c>
      <c r="E3514" s="39" t="s">
        <v>1825</v>
      </c>
      <c r="F3514" s="11" t="s">
        <v>1700</v>
      </c>
      <c r="G3514" s="39" t="s">
        <v>1826</v>
      </c>
      <c r="H3514" s="7">
        <v>0</v>
      </c>
      <c r="I3514" s="7">
        <v>0</v>
      </c>
      <c r="J3514" s="7">
        <v>8</v>
      </c>
      <c r="L3514" s="7">
        <f t="shared" ref="L3514:L3532" si="1461">SUM(H3514:K3514)</f>
        <v>8</v>
      </c>
      <c r="M3514" s="8">
        <v>1</v>
      </c>
      <c r="N3514" s="8">
        <f t="shared" si="1457"/>
        <v>1</v>
      </c>
      <c r="O3514" s="11" t="s">
        <v>1702</v>
      </c>
      <c r="P3514" s="16" t="str">
        <f t="shared" ref="P3514:P3529" si="1462">IF(LEN(G3514)=10,CONCATENATE("0",G3514),G3514)</f>
        <v>22-Aug-1908</v>
      </c>
      <c r="R3514" s="16" t="str">
        <f t="shared" ref="R3514:S3578" si="1463">IF($L3514&gt;0,"x","")</f>
        <v>x</v>
      </c>
      <c r="S3514" s="16" t="str">
        <f t="shared" si="1463"/>
        <v>x</v>
      </c>
      <c r="T3514" s="11"/>
      <c r="U3514" s="46" t="str">
        <f t="shared" si="1454"/>
        <v/>
      </c>
      <c r="V3514" s="46">
        <f t="shared" si="1454"/>
        <v>8</v>
      </c>
      <c r="W3514" s="46" t="str">
        <f t="shared" si="1454"/>
        <v/>
      </c>
      <c r="X3514" s="46" t="str">
        <f t="shared" si="1454"/>
        <v/>
      </c>
    </row>
    <row r="3515" spans="2:24" x14ac:dyDescent="0.25">
      <c r="B3515" s="11" t="str">
        <f t="shared" si="1460"/>
        <v>LTRN-11OCT1908</v>
      </c>
      <c r="C3515" s="11" t="s">
        <v>1698</v>
      </c>
      <c r="D3515" s="11" t="s">
        <v>1699</v>
      </c>
      <c r="E3515" s="39" t="s">
        <v>1827</v>
      </c>
      <c r="F3515" s="11" t="s">
        <v>1700</v>
      </c>
      <c r="G3515" s="39" t="s">
        <v>1828</v>
      </c>
      <c r="H3515" s="7">
        <v>0</v>
      </c>
      <c r="I3515" s="7">
        <v>0</v>
      </c>
      <c r="J3515" s="7">
        <v>51</v>
      </c>
      <c r="L3515" s="7">
        <f t="shared" si="1461"/>
        <v>51</v>
      </c>
      <c r="M3515" s="8">
        <v>1</v>
      </c>
      <c r="N3515" s="8">
        <f t="shared" si="1457"/>
        <v>1</v>
      </c>
      <c r="O3515" s="11" t="s">
        <v>1702</v>
      </c>
      <c r="P3515" s="16" t="str">
        <f t="shared" si="1462"/>
        <v>11-Oct-1908</v>
      </c>
      <c r="R3515" s="16" t="str">
        <f t="shared" si="1463"/>
        <v>x</v>
      </c>
      <c r="S3515" s="16" t="str">
        <f t="shared" si="1463"/>
        <v>x</v>
      </c>
      <c r="T3515" s="11"/>
      <c r="U3515" s="46" t="str">
        <f t="shared" si="1454"/>
        <v/>
      </c>
      <c r="V3515" s="46">
        <f t="shared" si="1454"/>
        <v>51</v>
      </c>
      <c r="W3515" s="46" t="str">
        <f t="shared" si="1454"/>
        <v/>
      </c>
      <c r="X3515" s="46" t="str">
        <f t="shared" si="1454"/>
        <v/>
      </c>
    </row>
    <row r="3516" spans="2:24" x14ac:dyDescent="0.25">
      <c r="B3516" s="11" t="str">
        <f t="shared" si="1460"/>
        <v>LTRN-08NOV1908</v>
      </c>
      <c r="C3516" s="11" t="s">
        <v>1698</v>
      </c>
      <c r="D3516" s="11" t="s">
        <v>1699</v>
      </c>
      <c r="E3516" s="39" t="s">
        <v>1829</v>
      </c>
      <c r="F3516" s="11" t="s">
        <v>1700</v>
      </c>
      <c r="G3516" s="39" t="s">
        <v>1830</v>
      </c>
      <c r="H3516" s="7">
        <v>0</v>
      </c>
      <c r="I3516" s="7">
        <v>0</v>
      </c>
      <c r="J3516" s="7">
        <v>76</v>
      </c>
      <c r="L3516" s="7">
        <f t="shared" si="1461"/>
        <v>76</v>
      </c>
      <c r="M3516" s="8">
        <v>1</v>
      </c>
      <c r="N3516" s="8">
        <f t="shared" si="1457"/>
        <v>1</v>
      </c>
      <c r="O3516" s="11" t="s">
        <v>1702</v>
      </c>
      <c r="P3516" s="16" t="str">
        <f t="shared" si="1462"/>
        <v>08-Nov-1908</v>
      </c>
      <c r="R3516" s="16" t="str">
        <f t="shared" si="1463"/>
        <v>x</v>
      </c>
      <c r="S3516" s="16" t="str">
        <f t="shared" si="1463"/>
        <v>x</v>
      </c>
      <c r="T3516" s="11"/>
      <c r="U3516" s="46" t="str">
        <f t="shared" si="1454"/>
        <v/>
      </c>
      <c r="V3516" s="46">
        <f t="shared" si="1454"/>
        <v>76</v>
      </c>
      <c r="W3516" s="46" t="str">
        <f t="shared" si="1454"/>
        <v/>
      </c>
      <c r="X3516" s="46" t="str">
        <f t="shared" si="1454"/>
        <v/>
      </c>
    </row>
    <row r="3517" spans="2:24" x14ac:dyDescent="0.25">
      <c r="B3517" s="11" t="str">
        <f t="shared" si="1460"/>
        <v>LTRN-06DEC1908</v>
      </c>
      <c r="C3517" s="11" t="s">
        <v>1698</v>
      </c>
      <c r="D3517" s="11" t="s">
        <v>1699</v>
      </c>
      <c r="E3517" s="39" t="s">
        <v>1831</v>
      </c>
      <c r="F3517" s="11" t="s">
        <v>1700</v>
      </c>
      <c r="G3517" s="39" t="s">
        <v>1832</v>
      </c>
      <c r="H3517" s="7">
        <v>0</v>
      </c>
      <c r="I3517" s="7">
        <v>0</v>
      </c>
      <c r="J3517" s="7">
        <v>81</v>
      </c>
      <c r="L3517" s="7">
        <f t="shared" si="1461"/>
        <v>81</v>
      </c>
      <c r="M3517" s="8">
        <v>1</v>
      </c>
      <c r="N3517" s="8">
        <f t="shared" si="1457"/>
        <v>1</v>
      </c>
      <c r="O3517" s="11" t="s">
        <v>1702</v>
      </c>
      <c r="P3517" s="16" t="str">
        <f t="shared" si="1462"/>
        <v>06-Dec-1908</v>
      </c>
      <c r="R3517" s="16" t="str">
        <f t="shared" si="1463"/>
        <v>x</v>
      </c>
      <c r="S3517" s="16" t="str">
        <f t="shared" si="1463"/>
        <v>x</v>
      </c>
      <c r="T3517" s="11"/>
      <c r="U3517" s="46" t="str">
        <f t="shared" si="1454"/>
        <v/>
      </c>
      <c r="V3517" s="46">
        <f t="shared" si="1454"/>
        <v>81</v>
      </c>
      <c r="W3517" s="46" t="str">
        <f t="shared" si="1454"/>
        <v/>
      </c>
      <c r="X3517" s="46" t="str">
        <f>IF($O3517=X$5,$L3517,"")</f>
        <v/>
      </c>
    </row>
    <row r="3518" spans="2:24" x14ac:dyDescent="0.25">
      <c r="B3518" s="11" t="str">
        <f t="shared" si="1460"/>
        <v>LTRN-03JAN1909</v>
      </c>
      <c r="C3518" s="11" t="s">
        <v>1698</v>
      </c>
      <c r="D3518" s="11" t="s">
        <v>1699</v>
      </c>
      <c r="E3518" s="39" t="s">
        <v>1833</v>
      </c>
      <c r="F3518" s="11" t="s">
        <v>1700</v>
      </c>
      <c r="G3518" s="39" t="s">
        <v>1834</v>
      </c>
      <c r="H3518" s="7">
        <v>0</v>
      </c>
      <c r="I3518" s="7">
        <v>0</v>
      </c>
      <c r="J3518" s="7">
        <v>45</v>
      </c>
      <c r="L3518" s="7">
        <f t="shared" si="1461"/>
        <v>45</v>
      </c>
      <c r="M3518" s="8">
        <v>1</v>
      </c>
      <c r="N3518" s="8">
        <f t="shared" si="1457"/>
        <v>1</v>
      </c>
      <c r="O3518" s="11" t="s">
        <v>1702</v>
      </c>
      <c r="P3518" s="16" t="str">
        <f t="shared" si="1462"/>
        <v>03-Jan-1909</v>
      </c>
      <c r="R3518" s="16" t="str">
        <f t="shared" si="1463"/>
        <v>x</v>
      </c>
      <c r="S3518" s="16" t="str">
        <f t="shared" si="1463"/>
        <v>x</v>
      </c>
      <c r="T3518" s="11"/>
      <c r="U3518" s="46" t="str">
        <f t="shared" ref="U3518:X3582" si="1464">IF($O3518=U$5,$L3518,"")</f>
        <v/>
      </c>
      <c r="V3518" s="46">
        <f t="shared" si="1464"/>
        <v>45</v>
      </c>
      <c r="W3518" s="46" t="str">
        <f t="shared" si="1464"/>
        <v/>
      </c>
      <c r="X3518" s="46" t="str">
        <f t="shared" si="1464"/>
        <v/>
      </c>
    </row>
    <row r="3519" spans="2:24" x14ac:dyDescent="0.25">
      <c r="B3519" s="11" t="str">
        <f t="shared" si="1460"/>
        <v>LTRN-01MAR1909</v>
      </c>
      <c r="C3519" s="11" t="s">
        <v>1698</v>
      </c>
      <c r="D3519" s="11" t="s">
        <v>1699</v>
      </c>
      <c r="E3519" s="39" t="s">
        <v>1835</v>
      </c>
      <c r="F3519" s="11" t="s">
        <v>1700</v>
      </c>
      <c r="G3519" s="39" t="s">
        <v>1836</v>
      </c>
      <c r="H3519" s="7">
        <v>0</v>
      </c>
      <c r="I3519" s="7">
        <v>0</v>
      </c>
      <c r="J3519" s="7">
        <v>36</v>
      </c>
      <c r="L3519" s="7">
        <f t="shared" si="1461"/>
        <v>36</v>
      </c>
      <c r="M3519" s="8">
        <v>1</v>
      </c>
      <c r="N3519" s="8">
        <f t="shared" si="1457"/>
        <v>1</v>
      </c>
      <c r="O3519" s="11" t="s">
        <v>1702</v>
      </c>
      <c r="P3519" s="16" t="str">
        <f t="shared" si="1462"/>
        <v>01-Mar-1909</v>
      </c>
      <c r="R3519" s="16" t="str">
        <f t="shared" si="1463"/>
        <v>x</v>
      </c>
      <c r="S3519" s="16" t="str">
        <f t="shared" si="1463"/>
        <v>x</v>
      </c>
      <c r="T3519" s="11"/>
      <c r="U3519" s="46" t="str">
        <f t="shared" si="1464"/>
        <v/>
      </c>
      <c r="V3519" s="46">
        <f t="shared" si="1464"/>
        <v>36</v>
      </c>
      <c r="W3519" s="46" t="str">
        <f t="shared" si="1464"/>
        <v/>
      </c>
      <c r="X3519" s="46" t="str">
        <f t="shared" si="1464"/>
        <v/>
      </c>
    </row>
    <row r="3520" spans="2:24" x14ac:dyDescent="0.25">
      <c r="B3520" s="11" t="str">
        <f t="shared" si="1460"/>
        <v>LTRN-28MAR1909</v>
      </c>
      <c r="C3520" s="11" t="s">
        <v>1698</v>
      </c>
      <c r="D3520" s="11" t="s">
        <v>1699</v>
      </c>
      <c r="E3520" s="39" t="s">
        <v>1837</v>
      </c>
      <c r="F3520" s="11" t="s">
        <v>1700</v>
      </c>
      <c r="G3520" s="39" t="s">
        <v>1838</v>
      </c>
      <c r="H3520" s="7">
        <v>0</v>
      </c>
      <c r="I3520" s="7">
        <v>0</v>
      </c>
      <c r="J3520" s="7">
        <v>16</v>
      </c>
      <c r="L3520" s="7">
        <f t="shared" si="1461"/>
        <v>16</v>
      </c>
      <c r="M3520" s="8">
        <v>1</v>
      </c>
      <c r="N3520" s="8">
        <f t="shared" si="1457"/>
        <v>1</v>
      </c>
      <c r="O3520" s="11" t="s">
        <v>1702</v>
      </c>
      <c r="P3520" s="16" t="str">
        <f t="shared" si="1462"/>
        <v>28-Mar-1909</v>
      </c>
      <c r="R3520" s="16" t="str">
        <f t="shared" si="1463"/>
        <v>x</v>
      </c>
      <c r="S3520" s="16" t="str">
        <f t="shared" si="1463"/>
        <v>x</v>
      </c>
      <c r="T3520" s="11"/>
      <c r="U3520" s="46" t="str">
        <f t="shared" si="1464"/>
        <v/>
      </c>
      <c r="V3520" s="46">
        <f t="shared" si="1464"/>
        <v>16</v>
      </c>
      <c r="W3520" s="46" t="str">
        <f t="shared" si="1464"/>
        <v/>
      </c>
      <c r="X3520" s="46" t="str">
        <f t="shared" si="1464"/>
        <v/>
      </c>
    </row>
    <row r="3521" spans="2:24" x14ac:dyDescent="0.25">
      <c r="B3521" s="11" t="str">
        <f t="shared" si="1460"/>
        <v>LTRN-11JUL1909</v>
      </c>
      <c r="C3521" s="11" t="s">
        <v>1698</v>
      </c>
      <c r="D3521" s="11" t="s">
        <v>1699</v>
      </c>
      <c r="E3521" s="39" t="s">
        <v>1839</v>
      </c>
      <c r="F3521" s="11" t="s">
        <v>1700</v>
      </c>
      <c r="G3521" s="39" t="s">
        <v>1840</v>
      </c>
      <c r="H3521" s="7">
        <v>0</v>
      </c>
      <c r="I3521" s="7">
        <v>0</v>
      </c>
      <c r="J3521" s="7">
        <v>29</v>
      </c>
      <c r="L3521" s="7">
        <f t="shared" si="1461"/>
        <v>29</v>
      </c>
      <c r="M3521" s="8">
        <v>1</v>
      </c>
      <c r="N3521" s="8">
        <f t="shared" si="1457"/>
        <v>1</v>
      </c>
      <c r="O3521" s="11" t="s">
        <v>1702</v>
      </c>
      <c r="P3521" s="16" t="str">
        <f t="shared" si="1462"/>
        <v>11-Jul-1909</v>
      </c>
      <c r="R3521" s="16" t="str">
        <f t="shared" si="1463"/>
        <v>x</v>
      </c>
      <c r="S3521" s="16" t="str">
        <f t="shared" si="1463"/>
        <v>x</v>
      </c>
      <c r="T3521" s="11"/>
      <c r="U3521" s="46" t="str">
        <f t="shared" si="1464"/>
        <v/>
      </c>
      <c r="V3521" s="46">
        <f t="shared" si="1464"/>
        <v>29</v>
      </c>
      <c r="W3521" s="46" t="str">
        <f t="shared" si="1464"/>
        <v/>
      </c>
      <c r="X3521" s="46" t="str">
        <f t="shared" si="1464"/>
        <v/>
      </c>
    </row>
    <row r="3522" spans="2:24" x14ac:dyDescent="0.25">
      <c r="B3522" s="11" t="str">
        <f t="shared" si="1460"/>
        <v>LTRN-08AUG1909</v>
      </c>
      <c r="C3522" s="11" t="s">
        <v>1698</v>
      </c>
      <c r="D3522" s="11" t="s">
        <v>1699</v>
      </c>
      <c r="E3522" s="39" t="s">
        <v>1841</v>
      </c>
      <c r="F3522" s="11" t="s">
        <v>1700</v>
      </c>
      <c r="G3522" s="39" t="s">
        <v>1842</v>
      </c>
      <c r="H3522" s="7">
        <v>0</v>
      </c>
      <c r="I3522" s="7">
        <v>1</v>
      </c>
      <c r="J3522" s="7">
        <v>34</v>
      </c>
      <c r="L3522" s="7">
        <f t="shared" si="1461"/>
        <v>35</v>
      </c>
      <c r="M3522" s="8">
        <v>1</v>
      </c>
      <c r="N3522" s="8">
        <f t="shared" si="1457"/>
        <v>1</v>
      </c>
      <c r="O3522" s="11" t="s">
        <v>1702</v>
      </c>
      <c r="P3522" s="16" t="str">
        <f t="shared" si="1462"/>
        <v>08-Aug-1909</v>
      </c>
      <c r="R3522" s="16" t="str">
        <f t="shared" si="1463"/>
        <v>x</v>
      </c>
      <c r="S3522" s="16" t="str">
        <f t="shared" si="1463"/>
        <v>x</v>
      </c>
      <c r="T3522" s="11"/>
      <c r="U3522" s="46" t="str">
        <f t="shared" si="1464"/>
        <v/>
      </c>
      <c r="V3522" s="46">
        <f t="shared" si="1464"/>
        <v>35</v>
      </c>
      <c r="W3522" s="46" t="str">
        <f t="shared" si="1464"/>
        <v/>
      </c>
      <c r="X3522" s="46" t="str">
        <f t="shared" si="1464"/>
        <v/>
      </c>
    </row>
    <row r="3523" spans="2:24" x14ac:dyDescent="0.25">
      <c r="B3523" s="11" t="str">
        <f t="shared" si="1460"/>
        <v>LTRN-30AUG1909</v>
      </c>
      <c r="C3523" s="11" t="s">
        <v>1698</v>
      </c>
      <c r="D3523" s="11" t="s">
        <v>1699</v>
      </c>
      <c r="E3523" s="39" t="s">
        <v>1843</v>
      </c>
      <c r="F3523" s="11" t="s">
        <v>1700</v>
      </c>
      <c r="G3523" s="39" t="s">
        <v>1844</v>
      </c>
      <c r="H3523" s="7">
        <v>0</v>
      </c>
      <c r="I3523" s="7">
        <v>0</v>
      </c>
      <c r="J3523" s="7">
        <v>13</v>
      </c>
      <c r="L3523" s="7">
        <f t="shared" si="1461"/>
        <v>13</v>
      </c>
      <c r="M3523" s="8">
        <v>1</v>
      </c>
      <c r="N3523" s="8">
        <f t="shared" si="1457"/>
        <v>1</v>
      </c>
      <c r="O3523" s="11" t="s">
        <v>1702</v>
      </c>
      <c r="P3523" s="16" t="str">
        <f t="shared" si="1462"/>
        <v>30-Aug-1909</v>
      </c>
      <c r="R3523" s="16" t="str">
        <f t="shared" si="1463"/>
        <v>x</v>
      </c>
      <c r="S3523" s="16" t="str">
        <f t="shared" si="1463"/>
        <v>x</v>
      </c>
      <c r="T3523" s="11"/>
      <c r="U3523" s="46" t="str">
        <f t="shared" si="1464"/>
        <v/>
      </c>
      <c r="V3523" s="46">
        <f t="shared" si="1464"/>
        <v>13</v>
      </c>
      <c r="W3523" s="46" t="str">
        <f t="shared" si="1464"/>
        <v/>
      </c>
      <c r="X3523" s="46" t="str">
        <f t="shared" si="1464"/>
        <v/>
      </c>
    </row>
    <row r="3524" spans="2:24" x14ac:dyDescent="0.25">
      <c r="B3524" s="11" t="str">
        <f t="shared" si="1460"/>
        <v>LTRN-03OCT1909</v>
      </c>
      <c r="C3524" s="11" t="s">
        <v>1698</v>
      </c>
      <c r="D3524" s="11" t="s">
        <v>1699</v>
      </c>
      <c r="E3524" s="39" t="s">
        <v>1845</v>
      </c>
      <c r="F3524" s="11" t="s">
        <v>1700</v>
      </c>
      <c r="G3524" s="39" t="s">
        <v>1846</v>
      </c>
      <c r="H3524" s="7">
        <v>0</v>
      </c>
      <c r="I3524" s="7">
        <v>0</v>
      </c>
      <c r="J3524" s="7">
        <v>21</v>
      </c>
      <c r="L3524" s="7">
        <f t="shared" si="1461"/>
        <v>21</v>
      </c>
      <c r="M3524" s="8">
        <v>1</v>
      </c>
      <c r="N3524" s="8">
        <f t="shared" si="1457"/>
        <v>1</v>
      </c>
      <c r="O3524" s="11" t="s">
        <v>1702</v>
      </c>
      <c r="P3524" s="16" t="str">
        <f t="shared" si="1462"/>
        <v>03-Oct-1909</v>
      </c>
      <c r="R3524" s="16" t="str">
        <f t="shared" si="1463"/>
        <v>x</v>
      </c>
      <c r="S3524" s="16" t="str">
        <f t="shared" si="1463"/>
        <v>x</v>
      </c>
      <c r="T3524" s="11"/>
      <c r="U3524" s="46" t="str">
        <f t="shared" si="1464"/>
        <v/>
      </c>
      <c r="V3524" s="46">
        <f t="shared" si="1464"/>
        <v>21</v>
      </c>
      <c r="W3524" s="46" t="str">
        <f t="shared" si="1464"/>
        <v/>
      </c>
      <c r="X3524" s="46" t="str">
        <f t="shared" si="1464"/>
        <v/>
      </c>
    </row>
    <row r="3525" spans="2:24" x14ac:dyDescent="0.25">
      <c r="B3525" s="11" t="str">
        <f t="shared" si="1460"/>
        <v>LTRN-01NOV1909</v>
      </c>
      <c r="C3525" s="11" t="s">
        <v>1698</v>
      </c>
      <c r="D3525" s="11" t="s">
        <v>1699</v>
      </c>
      <c r="E3525" s="39" t="s">
        <v>1847</v>
      </c>
      <c r="F3525" s="11" t="s">
        <v>1700</v>
      </c>
      <c r="G3525" s="39" t="s">
        <v>1848</v>
      </c>
      <c r="H3525" s="7">
        <v>0</v>
      </c>
      <c r="I3525" s="7">
        <v>1</v>
      </c>
      <c r="J3525" s="7">
        <v>29</v>
      </c>
      <c r="L3525" s="7">
        <f t="shared" si="1461"/>
        <v>30</v>
      </c>
      <c r="M3525" s="8">
        <v>1</v>
      </c>
      <c r="N3525" s="8">
        <f t="shared" si="1457"/>
        <v>1</v>
      </c>
      <c r="O3525" s="11" t="s">
        <v>1702</v>
      </c>
      <c r="P3525" s="16" t="str">
        <f t="shared" si="1462"/>
        <v>01-Nov-1909</v>
      </c>
      <c r="R3525" s="16" t="str">
        <f t="shared" si="1463"/>
        <v>x</v>
      </c>
      <c r="S3525" s="16" t="str">
        <f t="shared" si="1463"/>
        <v>x</v>
      </c>
      <c r="T3525" s="11"/>
      <c r="U3525" s="46" t="str">
        <f t="shared" si="1464"/>
        <v/>
      </c>
      <c r="V3525" s="46">
        <f t="shared" si="1464"/>
        <v>30</v>
      </c>
      <c r="W3525" s="46" t="str">
        <f t="shared" si="1464"/>
        <v/>
      </c>
      <c r="X3525" s="46" t="str">
        <f t="shared" si="1464"/>
        <v/>
      </c>
    </row>
    <row r="3526" spans="2:24" x14ac:dyDescent="0.25">
      <c r="B3526" s="11" t="str">
        <f t="shared" si="1460"/>
        <v>LTRN-29NOV1909</v>
      </c>
      <c r="C3526" s="11" t="s">
        <v>1698</v>
      </c>
      <c r="D3526" s="11" t="s">
        <v>1699</v>
      </c>
      <c r="E3526" s="39" t="s">
        <v>1849</v>
      </c>
      <c r="F3526" s="11" t="s">
        <v>1700</v>
      </c>
      <c r="G3526" s="39" t="s">
        <v>1850</v>
      </c>
      <c r="H3526" s="7">
        <v>0</v>
      </c>
      <c r="I3526" s="7">
        <v>0</v>
      </c>
      <c r="J3526" s="7">
        <v>65</v>
      </c>
      <c r="L3526" s="7">
        <f t="shared" si="1461"/>
        <v>65</v>
      </c>
      <c r="M3526" s="8">
        <v>1</v>
      </c>
      <c r="N3526" s="8">
        <f t="shared" si="1457"/>
        <v>1</v>
      </c>
      <c r="O3526" s="11" t="s">
        <v>1702</v>
      </c>
      <c r="P3526" s="16" t="str">
        <f t="shared" si="1462"/>
        <v>29-Nov-1909</v>
      </c>
      <c r="R3526" s="16" t="str">
        <f t="shared" si="1463"/>
        <v>x</v>
      </c>
      <c r="S3526" s="16" t="str">
        <f t="shared" si="1463"/>
        <v>x</v>
      </c>
      <c r="T3526" s="11"/>
      <c r="U3526" s="46" t="str">
        <f t="shared" si="1464"/>
        <v/>
      </c>
      <c r="V3526" s="46">
        <f t="shared" si="1464"/>
        <v>65</v>
      </c>
      <c r="W3526" s="46" t="str">
        <f t="shared" si="1464"/>
        <v/>
      </c>
      <c r="X3526" s="46" t="str">
        <f t="shared" si="1464"/>
        <v/>
      </c>
    </row>
    <row r="3527" spans="2:24" x14ac:dyDescent="0.25">
      <c r="B3527" s="11" t="str">
        <f t="shared" si="1460"/>
        <v>LTRN-27DEC1909</v>
      </c>
      <c r="C3527" s="11" t="s">
        <v>1698</v>
      </c>
      <c r="D3527" s="11" t="s">
        <v>1699</v>
      </c>
      <c r="E3527" s="39" t="s">
        <v>1851</v>
      </c>
      <c r="F3527" s="11" t="s">
        <v>1700</v>
      </c>
      <c r="G3527" s="39" t="s">
        <v>1852</v>
      </c>
      <c r="H3527" s="7">
        <v>0</v>
      </c>
      <c r="I3527" s="7">
        <v>0</v>
      </c>
      <c r="J3527" s="7">
        <v>43</v>
      </c>
      <c r="L3527" s="7">
        <f t="shared" si="1461"/>
        <v>43</v>
      </c>
      <c r="M3527" s="8">
        <v>1</v>
      </c>
      <c r="N3527" s="8">
        <f t="shared" si="1457"/>
        <v>1</v>
      </c>
      <c r="O3527" s="11" t="s">
        <v>1702</v>
      </c>
      <c r="P3527" s="16" t="str">
        <f t="shared" si="1462"/>
        <v>27-Dec-1909</v>
      </c>
      <c r="R3527" s="16" t="str">
        <f t="shared" si="1463"/>
        <v>x</v>
      </c>
      <c r="S3527" s="16" t="str">
        <f t="shared" si="1463"/>
        <v>x</v>
      </c>
      <c r="T3527" s="11"/>
      <c r="U3527" s="46" t="str">
        <f t="shared" si="1464"/>
        <v/>
      </c>
      <c r="V3527" s="46">
        <f t="shared" si="1464"/>
        <v>43</v>
      </c>
      <c r="W3527" s="46" t="str">
        <f t="shared" si="1464"/>
        <v/>
      </c>
      <c r="X3527" s="46" t="str">
        <f t="shared" si="1464"/>
        <v/>
      </c>
    </row>
    <row r="3528" spans="2:24" x14ac:dyDescent="0.25">
      <c r="B3528" s="11" t="str">
        <f t="shared" si="1460"/>
        <v>LTRN-24JAN1910</v>
      </c>
      <c r="C3528" s="11" t="s">
        <v>1698</v>
      </c>
      <c r="D3528" s="11" t="s">
        <v>1699</v>
      </c>
      <c r="E3528" s="39" t="s">
        <v>1853</v>
      </c>
      <c r="F3528" s="11" t="s">
        <v>1700</v>
      </c>
      <c r="G3528" s="39" t="s">
        <v>1854</v>
      </c>
      <c r="H3528" s="7">
        <v>0</v>
      </c>
      <c r="I3528" s="7">
        <v>0</v>
      </c>
      <c r="J3528" s="7">
        <v>55</v>
      </c>
      <c r="L3528" s="7">
        <f t="shared" si="1461"/>
        <v>55</v>
      </c>
      <c r="M3528" s="8">
        <v>1</v>
      </c>
      <c r="N3528" s="8">
        <f t="shared" si="1457"/>
        <v>1</v>
      </c>
      <c r="O3528" s="11" t="s">
        <v>1702</v>
      </c>
      <c r="P3528" s="16" t="str">
        <f t="shared" si="1462"/>
        <v>24-Jan-1910</v>
      </c>
      <c r="R3528" s="16" t="str">
        <f t="shared" si="1463"/>
        <v>x</v>
      </c>
      <c r="S3528" s="16" t="str">
        <f t="shared" si="1463"/>
        <v>x</v>
      </c>
      <c r="T3528" s="11"/>
      <c r="U3528" s="46" t="str">
        <f t="shared" si="1464"/>
        <v/>
      </c>
      <c r="V3528" s="46">
        <f t="shared" si="1464"/>
        <v>55</v>
      </c>
      <c r="W3528" s="46" t="str">
        <f t="shared" si="1464"/>
        <v/>
      </c>
      <c r="X3528" s="46" t="str">
        <f t="shared" si="1464"/>
        <v/>
      </c>
    </row>
    <row r="3529" spans="2:24" x14ac:dyDescent="0.25">
      <c r="B3529" s="11" t="str">
        <f t="shared" si="1460"/>
        <v>LTRN-20MAR1910</v>
      </c>
      <c r="C3529" s="11" t="s">
        <v>1698</v>
      </c>
      <c r="D3529" s="11" t="s">
        <v>1699</v>
      </c>
      <c r="E3529" s="39" t="s">
        <v>1855</v>
      </c>
      <c r="F3529" s="11" t="s">
        <v>1700</v>
      </c>
      <c r="G3529" s="39" t="s">
        <v>1856</v>
      </c>
      <c r="H3529" s="7">
        <v>0</v>
      </c>
      <c r="I3529" s="7">
        <v>0</v>
      </c>
      <c r="J3529" s="7">
        <v>0</v>
      </c>
      <c r="L3529" s="7">
        <f t="shared" si="1461"/>
        <v>0</v>
      </c>
      <c r="M3529" s="8">
        <v>1</v>
      </c>
      <c r="N3529" s="8" t="str">
        <f t="shared" si="1457"/>
        <v/>
      </c>
      <c r="O3529" s="11" t="s">
        <v>1702</v>
      </c>
      <c r="P3529" s="16" t="str">
        <f t="shared" si="1462"/>
        <v>20-Mar-1910</v>
      </c>
      <c r="R3529" s="16" t="str">
        <f t="shared" si="1463"/>
        <v/>
      </c>
      <c r="S3529" s="16" t="str">
        <f t="shared" si="1463"/>
        <v/>
      </c>
      <c r="T3529" s="11"/>
      <c r="U3529" s="46" t="str">
        <f t="shared" si="1464"/>
        <v/>
      </c>
      <c r="V3529" s="46">
        <f t="shared" si="1464"/>
        <v>0</v>
      </c>
      <c r="W3529" s="46" t="str">
        <f t="shared" si="1464"/>
        <v/>
      </c>
      <c r="X3529" s="46" t="str">
        <f t="shared" si="1464"/>
        <v/>
      </c>
    </row>
    <row r="3530" spans="2:24" x14ac:dyDescent="0.25">
      <c r="B3530" s="11" t="str">
        <f t="shared" ref="B3530:B3537" si="1465">CONCATENATE("LTRN","-",LEFT(P3530,2),UPPER(MID(P3530,4,3)),RIGHT(P3530,4))</f>
        <v>LTRN-17APR1910</v>
      </c>
      <c r="C3530" s="11" t="s">
        <v>1698</v>
      </c>
      <c r="D3530" s="11" t="s">
        <v>1699</v>
      </c>
      <c r="E3530" s="39" t="s">
        <v>1858</v>
      </c>
      <c r="F3530" s="11" t="s">
        <v>1700</v>
      </c>
      <c r="G3530" s="39" t="s">
        <v>1857</v>
      </c>
      <c r="H3530" s="7">
        <v>0</v>
      </c>
      <c r="I3530" s="7">
        <v>0</v>
      </c>
      <c r="J3530" s="7">
        <v>0</v>
      </c>
      <c r="L3530" s="7">
        <f t="shared" si="1461"/>
        <v>0</v>
      </c>
      <c r="M3530" s="8">
        <v>1</v>
      </c>
      <c r="N3530" s="8" t="str">
        <f t="shared" si="1457"/>
        <v/>
      </c>
      <c r="O3530" s="11" t="s">
        <v>1702</v>
      </c>
      <c r="P3530" s="16" t="str">
        <f t="shared" ref="P3530:P3537" si="1466">IF(LEN(G3530)=10,CONCATENATE("0",G3530),G3530)</f>
        <v>17-Apr-1910</v>
      </c>
      <c r="R3530" s="16" t="str">
        <f t="shared" si="1463"/>
        <v/>
      </c>
      <c r="S3530" s="16" t="str">
        <f t="shared" si="1463"/>
        <v/>
      </c>
      <c r="T3530" s="11"/>
      <c r="U3530" s="46" t="str">
        <f t="shared" si="1464"/>
        <v/>
      </c>
      <c r="V3530" s="46">
        <f t="shared" si="1464"/>
        <v>0</v>
      </c>
      <c r="W3530" s="46" t="str">
        <f t="shared" si="1464"/>
        <v/>
      </c>
      <c r="X3530" s="46" t="str">
        <f t="shared" si="1464"/>
        <v/>
      </c>
    </row>
    <row r="3531" spans="2:24" x14ac:dyDescent="0.25">
      <c r="B3531" s="11" t="str">
        <f t="shared" si="1465"/>
        <v>LTRN-22MAY1910</v>
      </c>
      <c r="C3531" s="11" t="s">
        <v>1698</v>
      </c>
      <c r="D3531" s="11" t="s">
        <v>1699</v>
      </c>
      <c r="E3531" s="39" t="s">
        <v>1859</v>
      </c>
      <c r="F3531" s="11" t="s">
        <v>1700</v>
      </c>
      <c r="G3531" s="39" t="s">
        <v>1860</v>
      </c>
      <c r="H3531" s="7">
        <v>0</v>
      </c>
      <c r="I3531" s="7">
        <v>0</v>
      </c>
      <c r="J3531" s="7">
        <v>0</v>
      </c>
      <c r="L3531" s="7">
        <f t="shared" si="1461"/>
        <v>0</v>
      </c>
      <c r="M3531" s="8">
        <v>1</v>
      </c>
      <c r="N3531" s="8" t="str">
        <f t="shared" si="1457"/>
        <v/>
      </c>
      <c r="O3531" s="11" t="s">
        <v>1702</v>
      </c>
      <c r="P3531" s="16" t="str">
        <f t="shared" si="1466"/>
        <v>22-May-1910</v>
      </c>
      <c r="R3531" s="16" t="str">
        <f t="shared" si="1463"/>
        <v/>
      </c>
      <c r="S3531" s="16" t="str">
        <f t="shared" si="1463"/>
        <v/>
      </c>
      <c r="T3531" s="11"/>
      <c r="U3531" s="46" t="str">
        <f t="shared" si="1464"/>
        <v/>
      </c>
      <c r="V3531" s="46">
        <f t="shared" si="1464"/>
        <v>0</v>
      </c>
      <c r="W3531" s="46" t="str">
        <f t="shared" si="1464"/>
        <v/>
      </c>
      <c r="X3531" s="46" t="str">
        <f t="shared" si="1464"/>
        <v/>
      </c>
    </row>
    <row r="3532" spans="2:24" x14ac:dyDescent="0.25">
      <c r="B3532" s="11" t="str">
        <f t="shared" si="1465"/>
        <v>LTRN-01AUG1910</v>
      </c>
      <c r="C3532" s="11" t="s">
        <v>1698</v>
      </c>
      <c r="D3532" s="11" t="s">
        <v>1699</v>
      </c>
      <c r="E3532" s="39" t="s">
        <v>1861</v>
      </c>
      <c r="F3532" s="11" t="s">
        <v>1700</v>
      </c>
      <c r="G3532" s="39" t="s">
        <v>1862</v>
      </c>
      <c r="H3532" s="7">
        <v>0</v>
      </c>
      <c r="I3532" s="7">
        <v>0</v>
      </c>
      <c r="J3532" s="7">
        <v>43</v>
      </c>
      <c r="L3532" s="7">
        <f t="shared" si="1461"/>
        <v>43</v>
      </c>
      <c r="M3532" s="8">
        <v>1</v>
      </c>
      <c r="N3532" s="8">
        <f t="shared" si="1457"/>
        <v>1</v>
      </c>
      <c r="O3532" s="11" t="s">
        <v>1702</v>
      </c>
      <c r="P3532" s="16" t="str">
        <f t="shared" si="1466"/>
        <v>01-Aug-1910</v>
      </c>
      <c r="R3532" s="16" t="str">
        <f t="shared" si="1463"/>
        <v>x</v>
      </c>
      <c r="S3532" s="16" t="str">
        <f t="shared" si="1463"/>
        <v>x</v>
      </c>
      <c r="T3532" s="11"/>
      <c r="U3532" s="46" t="str">
        <f t="shared" si="1464"/>
        <v/>
      </c>
      <c r="V3532" s="46">
        <f t="shared" si="1464"/>
        <v>43</v>
      </c>
      <c r="W3532" s="46" t="str">
        <f t="shared" si="1464"/>
        <v/>
      </c>
      <c r="X3532" s="46" t="str">
        <f t="shared" si="1464"/>
        <v/>
      </c>
    </row>
    <row r="3533" spans="2:24" x14ac:dyDescent="0.25">
      <c r="B3533" s="11" t="str">
        <f t="shared" si="1465"/>
        <v>LTRN-21AUG1910</v>
      </c>
      <c r="C3533" s="11" t="s">
        <v>1698</v>
      </c>
      <c r="D3533" s="11" t="s">
        <v>1699</v>
      </c>
      <c r="E3533" s="39" t="s">
        <v>1863</v>
      </c>
      <c r="F3533" s="11" t="s">
        <v>1700</v>
      </c>
      <c r="G3533" s="39" t="s">
        <v>1864</v>
      </c>
      <c r="H3533" s="7">
        <v>0</v>
      </c>
      <c r="I3533" s="7">
        <v>0</v>
      </c>
      <c r="J3533" s="7">
        <v>23</v>
      </c>
      <c r="L3533" s="7">
        <f t="shared" ref="L3533:L3539" si="1467">SUM(H3533:K3533)</f>
        <v>23</v>
      </c>
      <c r="M3533" s="8">
        <v>1</v>
      </c>
      <c r="N3533" s="8">
        <f t="shared" si="1457"/>
        <v>1</v>
      </c>
      <c r="O3533" s="11" t="s">
        <v>1702</v>
      </c>
      <c r="P3533" s="16" t="str">
        <f t="shared" si="1466"/>
        <v>21-Aug-1910</v>
      </c>
      <c r="R3533" s="16" t="str">
        <f t="shared" si="1463"/>
        <v>x</v>
      </c>
      <c r="S3533" s="16" t="str">
        <f t="shared" si="1463"/>
        <v>x</v>
      </c>
      <c r="T3533" s="11"/>
      <c r="U3533" s="46" t="str">
        <f t="shared" si="1464"/>
        <v/>
      </c>
      <c r="V3533" s="46">
        <f t="shared" si="1464"/>
        <v>23</v>
      </c>
      <c r="W3533" s="46" t="str">
        <f t="shared" si="1464"/>
        <v/>
      </c>
      <c r="X3533" s="46" t="str">
        <f t="shared" si="1464"/>
        <v/>
      </c>
    </row>
    <row r="3534" spans="2:24" x14ac:dyDescent="0.25">
      <c r="B3534" s="11" t="str">
        <f>CONCATENATE("LTRN","-",LEFT(P3534,2),UPPER(MID(P3534,4,3)),RIGHT(P3534,4))</f>
        <v>LTRN-26SEP1910</v>
      </c>
      <c r="C3534" s="11" t="s">
        <v>1698</v>
      </c>
      <c r="D3534" s="11" t="s">
        <v>1699</v>
      </c>
      <c r="E3534" s="39" t="s">
        <v>951</v>
      </c>
      <c r="F3534" s="11" t="s">
        <v>1700</v>
      </c>
      <c r="G3534" s="39" t="s">
        <v>944</v>
      </c>
      <c r="H3534" s="7">
        <v>0</v>
      </c>
      <c r="I3534" s="7">
        <v>0</v>
      </c>
      <c r="J3534" s="7">
        <v>6</v>
      </c>
      <c r="L3534" s="7">
        <f>SUM(H3534:K3534)</f>
        <v>6</v>
      </c>
      <c r="M3534" s="8">
        <v>1</v>
      </c>
      <c r="N3534" s="8">
        <f>IF(L3534&gt;0,1,"")</f>
        <v>1</v>
      </c>
      <c r="O3534" s="11" t="s">
        <v>1702</v>
      </c>
      <c r="P3534" s="16" t="str">
        <f>IF(LEN(G3534)=10,CONCATENATE("0",G3534),G3534)</f>
        <v>26-Sep-1910</v>
      </c>
      <c r="R3534" s="16" t="str">
        <f t="shared" si="1463"/>
        <v>x</v>
      </c>
      <c r="S3534" s="16" t="str">
        <f t="shared" si="1463"/>
        <v>x</v>
      </c>
      <c r="T3534" s="11"/>
      <c r="U3534" s="46" t="str">
        <f>IF($O3534=U$5,$L3534,"")</f>
        <v/>
      </c>
      <c r="V3534" s="46">
        <f>IF($O3534=V$5,$L3534,"")</f>
        <v>6</v>
      </c>
      <c r="W3534" s="46" t="str">
        <f>IF($O3534=W$5,$L3534,"")</f>
        <v/>
      </c>
      <c r="X3534" s="46" t="str">
        <f>IF($O3534=X$5,$L3534,"")</f>
        <v/>
      </c>
    </row>
    <row r="3535" spans="2:24" x14ac:dyDescent="0.25">
      <c r="B3535" s="11" t="str">
        <f t="shared" si="1465"/>
        <v>LTRN-24OCT1910</v>
      </c>
      <c r="C3535" s="11" t="s">
        <v>1698</v>
      </c>
      <c r="D3535" s="11" t="s">
        <v>1699</v>
      </c>
      <c r="E3535" s="39" t="s">
        <v>1865</v>
      </c>
      <c r="F3535" s="11" t="s">
        <v>1700</v>
      </c>
      <c r="G3535" s="39" t="s">
        <v>1866</v>
      </c>
      <c r="H3535" s="7">
        <v>0</v>
      </c>
      <c r="I3535" s="7">
        <v>0</v>
      </c>
      <c r="J3535" s="7">
        <v>0</v>
      </c>
      <c r="L3535" s="7">
        <f t="shared" si="1467"/>
        <v>0</v>
      </c>
      <c r="M3535" s="8">
        <v>1</v>
      </c>
      <c r="N3535" s="8" t="str">
        <f t="shared" si="1457"/>
        <v/>
      </c>
      <c r="O3535" s="11" t="s">
        <v>1702</v>
      </c>
      <c r="P3535" s="16" t="str">
        <f t="shared" si="1466"/>
        <v>24-Oct-1910</v>
      </c>
      <c r="R3535" s="16" t="str">
        <f t="shared" si="1463"/>
        <v/>
      </c>
      <c r="S3535" s="16" t="str">
        <f t="shared" si="1463"/>
        <v/>
      </c>
      <c r="T3535" s="11"/>
      <c r="U3535" s="46" t="str">
        <f t="shared" si="1464"/>
        <v/>
      </c>
      <c r="V3535" s="46">
        <f t="shared" si="1464"/>
        <v>0</v>
      </c>
      <c r="W3535" s="46" t="str">
        <f t="shared" si="1464"/>
        <v/>
      </c>
      <c r="X3535" s="46" t="str">
        <f t="shared" si="1464"/>
        <v/>
      </c>
    </row>
    <row r="3536" spans="2:24" x14ac:dyDescent="0.25">
      <c r="B3536" s="11" t="str">
        <f t="shared" si="1465"/>
        <v>LTRN-21NOV1910</v>
      </c>
      <c r="C3536" s="11" t="s">
        <v>1698</v>
      </c>
      <c r="D3536" s="11" t="s">
        <v>1699</v>
      </c>
      <c r="E3536" s="39" t="s">
        <v>1867</v>
      </c>
      <c r="F3536" s="11" t="s">
        <v>1700</v>
      </c>
      <c r="G3536" s="39" t="s">
        <v>1868</v>
      </c>
      <c r="H3536" s="7">
        <v>0</v>
      </c>
      <c r="I3536" s="7">
        <v>0</v>
      </c>
      <c r="J3536" s="7">
        <v>0</v>
      </c>
      <c r="L3536" s="7">
        <f t="shared" si="1467"/>
        <v>0</v>
      </c>
      <c r="M3536" s="8">
        <v>1</v>
      </c>
      <c r="N3536" s="8" t="str">
        <f t="shared" si="1457"/>
        <v/>
      </c>
      <c r="O3536" s="11" t="s">
        <v>1702</v>
      </c>
      <c r="P3536" s="16" t="str">
        <f t="shared" si="1466"/>
        <v>21-Nov-1910</v>
      </c>
      <c r="R3536" s="16" t="str">
        <f t="shared" si="1463"/>
        <v/>
      </c>
      <c r="S3536" s="16" t="str">
        <f t="shared" si="1463"/>
        <v/>
      </c>
      <c r="T3536" s="11"/>
      <c r="U3536" s="46" t="str">
        <f t="shared" si="1464"/>
        <v/>
      </c>
      <c r="V3536" s="46">
        <f t="shared" si="1464"/>
        <v>0</v>
      </c>
      <c r="W3536" s="46" t="str">
        <f t="shared" si="1464"/>
        <v/>
      </c>
      <c r="X3536" s="46" t="str">
        <f t="shared" si="1464"/>
        <v/>
      </c>
    </row>
    <row r="3537" spans="2:24" x14ac:dyDescent="0.25">
      <c r="B3537" s="11" t="str">
        <f t="shared" si="1465"/>
        <v>LTRN-19DEC1910</v>
      </c>
      <c r="C3537" s="11" t="s">
        <v>1698</v>
      </c>
      <c r="D3537" s="11" t="s">
        <v>1699</v>
      </c>
      <c r="E3537" s="39" t="s">
        <v>1869</v>
      </c>
      <c r="F3537" s="11" t="s">
        <v>1700</v>
      </c>
      <c r="G3537" s="39" t="s">
        <v>1870</v>
      </c>
      <c r="H3537" s="7">
        <v>0</v>
      </c>
      <c r="I3537" s="7">
        <v>1</v>
      </c>
      <c r="J3537" s="7">
        <v>8</v>
      </c>
      <c r="L3537" s="7">
        <f t="shared" si="1467"/>
        <v>9</v>
      </c>
      <c r="M3537" s="8">
        <v>1</v>
      </c>
      <c r="N3537" s="8">
        <f t="shared" si="1457"/>
        <v>1</v>
      </c>
      <c r="O3537" s="11" t="s">
        <v>1702</v>
      </c>
      <c r="P3537" s="16" t="str">
        <f t="shared" si="1466"/>
        <v>19-Dec-1910</v>
      </c>
      <c r="R3537" s="16" t="str">
        <f t="shared" si="1463"/>
        <v>x</v>
      </c>
      <c r="S3537" s="16" t="str">
        <f t="shared" si="1463"/>
        <v>x</v>
      </c>
      <c r="T3537" s="11"/>
      <c r="U3537" s="46" t="str">
        <f t="shared" si="1464"/>
        <v/>
      </c>
      <c r="V3537" s="46">
        <f t="shared" si="1464"/>
        <v>9</v>
      </c>
      <c r="W3537" s="46" t="str">
        <f t="shared" si="1464"/>
        <v/>
      </c>
      <c r="X3537" s="46" t="str">
        <f t="shared" si="1464"/>
        <v/>
      </c>
    </row>
    <row r="3538" spans="2:24" x14ac:dyDescent="0.25">
      <c r="B3538" s="11" t="str">
        <f t="shared" ref="B3538:B3544" si="1468">CONCATENATE("LTRN","-",LEFT(P3538,2),UPPER(MID(P3538,4,3)),RIGHT(P3538,4))</f>
        <v>LTRN-06FEB1911</v>
      </c>
      <c r="C3538" s="11" t="s">
        <v>1698</v>
      </c>
      <c r="D3538" s="11" t="s">
        <v>1699</v>
      </c>
      <c r="E3538" s="39" t="s">
        <v>1871</v>
      </c>
      <c r="F3538" s="11" t="s">
        <v>1700</v>
      </c>
      <c r="G3538" s="39" t="s">
        <v>1872</v>
      </c>
      <c r="H3538" s="7">
        <v>0</v>
      </c>
      <c r="I3538" s="7">
        <v>0</v>
      </c>
      <c r="J3538" s="7">
        <v>8</v>
      </c>
      <c r="L3538" s="7">
        <f t="shared" si="1467"/>
        <v>8</v>
      </c>
      <c r="M3538" s="8">
        <v>1</v>
      </c>
      <c r="N3538" s="8">
        <f t="shared" si="1457"/>
        <v>1</v>
      </c>
      <c r="O3538" s="11" t="s">
        <v>1702</v>
      </c>
      <c r="P3538" s="16" t="str">
        <f t="shared" ref="P3538:P3544" si="1469">IF(LEN(G3538)=10,CONCATENATE("0",G3538),G3538)</f>
        <v>06-Feb-1911</v>
      </c>
      <c r="R3538" s="16" t="str">
        <f t="shared" si="1463"/>
        <v>x</v>
      </c>
      <c r="S3538" s="16" t="str">
        <f t="shared" si="1463"/>
        <v>x</v>
      </c>
      <c r="T3538" s="11"/>
      <c r="U3538" s="46" t="str">
        <f t="shared" si="1464"/>
        <v/>
      </c>
      <c r="V3538" s="46">
        <f t="shared" si="1464"/>
        <v>8</v>
      </c>
      <c r="W3538" s="46" t="str">
        <f t="shared" si="1464"/>
        <v/>
      </c>
      <c r="X3538" s="46" t="str">
        <f t="shared" si="1464"/>
        <v/>
      </c>
    </row>
    <row r="3539" spans="2:24" x14ac:dyDescent="0.25">
      <c r="B3539" s="11" t="str">
        <f t="shared" si="1468"/>
        <v>LTRN-20MAR1911</v>
      </c>
      <c r="C3539" s="11" t="s">
        <v>1698</v>
      </c>
      <c r="D3539" s="11" t="s">
        <v>1699</v>
      </c>
      <c r="E3539" s="39" t="s">
        <v>1873</v>
      </c>
      <c r="F3539" s="11" t="s">
        <v>1700</v>
      </c>
      <c r="G3539" s="39" t="s">
        <v>1874</v>
      </c>
      <c r="H3539" s="7">
        <v>0</v>
      </c>
      <c r="I3539" s="7">
        <v>0</v>
      </c>
      <c r="J3539" s="7">
        <v>0</v>
      </c>
      <c r="L3539" s="7">
        <f t="shared" si="1467"/>
        <v>0</v>
      </c>
      <c r="M3539" s="8">
        <v>1</v>
      </c>
      <c r="N3539" s="8" t="str">
        <f t="shared" si="1457"/>
        <v/>
      </c>
      <c r="O3539" s="11" t="s">
        <v>1702</v>
      </c>
      <c r="P3539" s="16" t="str">
        <f t="shared" si="1469"/>
        <v>20-Mar-1911</v>
      </c>
      <c r="R3539" s="16" t="str">
        <f t="shared" si="1463"/>
        <v/>
      </c>
      <c r="S3539" s="16" t="str">
        <f t="shared" si="1463"/>
        <v/>
      </c>
      <c r="T3539" s="11"/>
      <c r="U3539" s="46" t="str">
        <f t="shared" si="1464"/>
        <v/>
      </c>
      <c r="V3539" s="46">
        <f t="shared" si="1464"/>
        <v>0</v>
      </c>
      <c r="W3539" s="46" t="str">
        <f t="shared" si="1464"/>
        <v/>
      </c>
      <c r="X3539" s="46" t="str">
        <f t="shared" si="1464"/>
        <v/>
      </c>
    </row>
    <row r="3540" spans="2:24" x14ac:dyDescent="0.25">
      <c r="B3540" s="11" t="str">
        <f t="shared" si="1468"/>
        <v>LTRN-17APR1911</v>
      </c>
      <c r="C3540" s="11" t="s">
        <v>1698</v>
      </c>
      <c r="D3540" s="11" t="s">
        <v>1699</v>
      </c>
      <c r="E3540" s="39" t="s">
        <v>1875</v>
      </c>
      <c r="F3540" s="11" t="s">
        <v>1700</v>
      </c>
      <c r="G3540" s="39" t="s">
        <v>1876</v>
      </c>
      <c r="H3540" s="7">
        <v>0</v>
      </c>
      <c r="I3540" s="7">
        <v>0</v>
      </c>
      <c r="J3540" s="7">
        <v>2</v>
      </c>
      <c r="L3540" s="7">
        <f t="shared" ref="L3540:L3545" si="1470">SUM(H3540:K3540)</f>
        <v>2</v>
      </c>
      <c r="M3540" s="8">
        <v>1</v>
      </c>
      <c r="N3540" s="8">
        <f t="shared" si="1457"/>
        <v>1</v>
      </c>
      <c r="O3540" s="11" t="s">
        <v>1702</v>
      </c>
      <c r="P3540" s="16" t="str">
        <f t="shared" si="1469"/>
        <v>17-Apr-1911</v>
      </c>
      <c r="R3540" s="16" t="str">
        <f t="shared" si="1463"/>
        <v>x</v>
      </c>
      <c r="S3540" s="16" t="str">
        <f t="shared" si="1463"/>
        <v>x</v>
      </c>
      <c r="T3540" s="11"/>
      <c r="U3540" s="46" t="str">
        <f t="shared" si="1464"/>
        <v/>
      </c>
      <c r="V3540" s="46">
        <f t="shared" si="1464"/>
        <v>2</v>
      </c>
      <c r="W3540" s="46" t="str">
        <f t="shared" si="1464"/>
        <v/>
      </c>
      <c r="X3540" s="46" t="str">
        <f t="shared" si="1464"/>
        <v/>
      </c>
    </row>
    <row r="3541" spans="2:24" x14ac:dyDescent="0.25">
      <c r="B3541" s="11" t="str">
        <f t="shared" si="1468"/>
        <v>LTRN-15MAY1911</v>
      </c>
      <c r="C3541" s="11" t="s">
        <v>1698</v>
      </c>
      <c r="D3541" s="11" t="s">
        <v>1699</v>
      </c>
      <c r="E3541" s="39" t="s">
        <v>1877</v>
      </c>
      <c r="F3541" s="11" t="s">
        <v>1700</v>
      </c>
      <c r="G3541" s="39" t="s">
        <v>1878</v>
      </c>
      <c r="H3541" s="7">
        <v>0</v>
      </c>
      <c r="I3541" s="7">
        <v>0</v>
      </c>
      <c r="J3541" s="7">
        <v>10</v>
      </c>
      <c r="L3541" s="7">
        <f t="shared" si="1470"/>
        <v>10</v>
      </c>
      <c r="M3541" s="8">
        <v>1</v>
      </c>
      <c r="N3541" s="8">
        <f t="shared" si="1457"/>
        <v>1</v>
      </c>
      <c r="O3541" s="11" t="s">
        <v>1702</v>
      </c>
      <c r="P3541" s="16" t="str">
        <f t="shared" si="1469"/>
        <v>15-May-1911</v>
      </c>
      <c r="R3541" s="16" t="str">
        <f t="shared" si="1463"/>
        <v>x</v>
      </c>
      <c r="S3541" s="16" t="str">
        <f t="shared" si="1463"/>
        <v>x</v>
      </c>
      <c r="T3541" s="11"/>
      <c r="U3541" s="46" t="str">
        <f t="shared" si="1464"/>
        <v/>
      </c>
      <c r="V3541" s="46">
        <f t="shared" si="1464"/>
        <v>10</v>
      </c>
      <c r="W3541" s="46" t="str">
        <f t="shared" si="1464"/>
        <v/>
      </c>
      <c r="X3541" s="46" t="str">
        <f t="shared" si="1464"/>
        <v/>
      </c>
    </row>
    <row r="3542" spans="2:24" x14ac:dyDescent="0.25">
      <c r="B3542" s="11" t="str">
        <f t="shared" si="1468"/>
        <v>LTRN-02JUL1911</v>
      </c>
      <c r="C3542" s="11" t="s">
        <v>1698</v>
      </c>
      <c r="D3542" s="11" t="s">
        <v>1699</v>
      </c>
      <c r="E3542" s="39" t="s">
        <v>1883</v>
      </c>
      <c r="F3542" s="11" t="s">
        <v>1700</v>
      </c>
      <c r="G3542" s="39" t="s">
        <v>1884</v>
      </c>
      <c r="H3542" s="7">
        <v>0</v>
      </c>
      <c r="I3542" s="7">
        <v>0</v>
      </c>
      <c r="J3542" s="7">
        <v>48</v>
      </c>
      <c r="L3542" s="7">
        <f t="shared" si="1470"/>
        <v>48</v>
      </c>
      <c r="M3542" s="8">
        <v>1</v>
      </c>
      <c r="N3542" s="8">
        <f t="shared" si="1457"/>
        <v>1</v>
      </c>
      <c r="O3542" s="11" t="s">
        <v>1702</v>
      </c>
      <c r="P3542" s="16" t="str">
        <f t="shared" si="1469"/>
        <v>02-Jul-1911</v>
      </c>
      <c r="R3542" s="16" t="str">
        <f t="shared" si="1463"/>
        <v>x</v>
      </c>
      <c r="S3542" s="16" t="str">
        <f t="shared" si="1463"/>
        <v>x</v>
      </c>
      <c r="T3542" s="11"/>
      <c r="U3542" s="46" t="str">
        <f t="shared" si="1464"/>
        <v/>
      </c>
      <c r="V3542" s="46">
        <f t="shared" si="1464"/>
        <v>48</v>
      </c>
      <c r="W3542" s="46" t="str">
        <f t="shared" si="1464"/>
        <v/>
      </c>
      <c r="X3542" s="46" t="str">
        <f t="shared" si="1464"/>
        <v/>
      </c>
    </row>
    <row r="3543" spans="2:24" x14ac:dyDescent="0.25">
      <c r="B3543" s="11" t="str">
        <f t="shared" si="1468"/>
        <v>LTRN-24JUL1911</v>
      </c>
      <c r="C3543" s="11" t="s">
        <v>1698</v>
      </c>
      <c r="D3543" s="11" t="s">
        <v>1699</v>
      </c>
      <c r="E3543" s="39" t="s">
        <v>1885</v>
      </c>
      <c r="F3543" s="11" t="s">
        <v>1700</v>
      </c>
      <c r="G3543" s="39" t="s">
        <v>1886</v>
      </c>
      <c r="H3543" s="7">
        <v>0</v>
      </c>
      <c r="I3543" s="7">
        <v>0</v>
      </c>
      <c r="J3543" s="7">
        <v>24</v>
      </c>
      <c r="L3543" s="7">
        <f t="shared" si="1470"/>
        <v>24</v>
      </c>
      <c r="M3543" s="8">
        <v>1</v>
      </c>
      <c r="N3543" s="8">
        <f t="shared" si="1457"/>
        <v>1</v>
      </c>
      <c r="O3543" s="11" t="s">
        <v>1702</v>
      </c>
      <c r="P3543" s="16" t="str">
        <f t="shared" si="1469"/>
        <v>24-Jul-1911</v>
      </c>
      <c r="R3543" s="16" t="str">
        <f t="shared" si="1463"/>
        <v>x</v>
      </c>
      <c r="S3543" s="16" t="str">
        <f t="shared" si="1463"/>
        <v>x</v>
      </c>
      <c r="T3543" s="11"/>
      <c r="U3543" s="46" t="str">
        <f t="shared" si="1464"/>
        <v/>
      </c>
      <c r="V3543" s="46">
        <f t="shared" si="1464"/>
        <v>24</v>
      </c>
      <c r="W3543" s="46" t="str">
        <f t="shared" si="1464"/>
        <v/>
      </c>
      <c r="X3543" s="46" t="str">
        <f t="shared" si="1464"/>
        <v/>
      </c>
    </row>
    <row r="3544" spans="2:24" x14ac:dyDescent="0.25">
      <c r="B3544" s="11" t="str">
        <f t="shared" si="1468"/>
        <v>LTRN-10DEC1911</v>
      </c>
      <c r="C3544" s="11" t="s">
        <v>1698</v>
      </c>
      <c r="D3544" s="11" t="s">
        <v>1699</v>
      </c>
      <c r="E3544" s="39" t="s">
        <v>1887</v>
      </c>
      <c r="F3544" s="11" t="s">
        <v>1700</v>
      </c>
      <c r="G3544" s="39" t="s">
        <v>1888</v>
      </c>
      <c r="H3544" s="7">
        <v>0</v>
      </c>
      <c r="I3544" s="7">
        <v>1</v>
      </c>
      <c r="J3544" s="7">
        <v>47</v>
      </c>
      <c r="L3544" s="7">
        <f t="shared" si="1470"/>
        <v>48</v>
      </c>
      <c r="M3544" s="8">
        <v>1</v>
      </c>
      <c r="N3544" s="8">
        <f t="shared" si="1457"/>
        <v>1</v>
      </c>
      <c r="O3544" s="11" t="s">
        <v>1702</v>
      </c>
      <c r="P3544" s="16" t="str">
        <f t="shared" si="1469"/>
        <v>10-Dec-1911</v>
      </c>
      <c r="R3544" s="16" t="str">
        <f t="shared" si="1463"/>
        <v>x</v>
      </c>
      <c r="S3544" s="16" t="str">
        <f t="shared" si="1463"/>
        <v>x</v>
      </c>
      <c r="T3544" s="11"/>
      <c r="U3544" s="46" t="str">
        <f t="shared" si="1464"/>
        <v/>
      </c>
      <c r="V3544" s="46">
        <f t="shared" si="1464"/>
        <v>48</v>
      </c>
      <c r="W3544" s="46" t="str">
        <f t="shared" si="1464"/>
        <v/>
      </c>
      <c r="X3544" s="46" t="str">
        <f t="shared" si="1464"/>
        <v/>
      </c>
    </row>
    <row r="3545" spans="2:24" x14ac:dyDescent="0.25">
      <c r="B3545" s="11" t="str">
        <f t="shared" ref="B3545:B3550" si="1471">CONCATENATE("LTRN","-",LEFT(P3545,2),UPPER(MID(P3545,4,3)),RIGHT(P3545,4))</f>
        <v>LTRN-07JAN1912</v>
      </c>
      <c r="C3545" s="11" t="s">
        <v>1698</v>
      </c>
      <c r="D3545" s="11" t="s">
        <v>1699</v>
      </c>
      <c r="E3545" s="39" t="s">
        <v>1889</v>
      </c>
      <c r="F3545" s="11" t="s">
        <v>1700</v>
      </c>
      <c r="G3545" s="39" t="s">
        <v>1890</v>
      </c>
      <c r="H3545" s="7">
        <v>0</v>
      </c>
      <c r="I3545" s="7">
        <v>0</v>
      </c>
      <c r="J3545" s="7">
        <v>79</v>
      </c>
      <c r="L3545" s="7">
        <f t="shared" si="1470"/>
        <v>79</v>
      </c>
      <c r="M3545" s="8">
        <v>1</v>
      </c>
      <c r="N3545" s="8">
        <f t="shared" si="1457"/>
        <v>1</v>
      </c>
      <c r="O3545" s="11" t="s">
        <v>1702</v>
      </c>
      <c r="P3545" s="16" t="str">
        <f t="shared" ref="P3545:P3550" si="1472">IF(LEN(G3545)=10,CONCATENATE("0",G3545),G3545)</f>
        <v>07-Jan-1912</v>
      </c>
      <c r="R3545" s="16" t="str">
        <f t="shared" si="1463"/>
        <v>x</v>
      </c>
      <c r="S3545" s="16" t="str">
        <f t="shared" si="1463"/>
        <v>x</v>
      </c>
      <c r="T3545" s="11"/>
      <c r="U3545" s="46" t="str">
        <f t="shared" si="1464"/>
        <v/>
      </c>
      <c r="V3545" s="46">
        <f t="shared" si="1464"/>
        <v>79</v>
      </c>
      <c r="W3545" s="46" t="str">
        <f t="shared" si="1464"/>
        <v/>
      </c>
      <c r="X3545" s="46" t="str">
        <f t="shared" si="1464"/>
        <v/>
      </c>
    </row>
    <row r="3546" spans="2:24" x14ac:dyDescent="0.25">
      <c r="B3546" s="11" t="str">
        <f t="shared" si="1471"/>
        <v>LTRN-05FEB1912</v>
      </c>
      <c r="C3546" s="11" t="s">
        <v>1698</v>
      </c>
      <c r="D3546" s="11" t="s">
        <v>1699</v>
      </c>
      <c r="E3546" s="39" t="s">
        <v>1891</v>
      </c>
      <c r="F3546" s="11" t="s">
        <v>1700</v>
      </c>
      <c r="G3546" s="39" t="s">
        <v>1892</v>
      </c>
      <c r="H3546" s="7">
        <v>0</v>
      </c>
      <c r="I3546" s="7">
        <v>1</v>
      </c>
      <c r="J3546" s="7">
        <v>13</v>
      </c>
      <c r="L3546" s="7">
        <f t="shared" ref="L3546:L3551" si="1473">SUM(H3546:K3546)</f>
        <v>14</v>
      </c>
      <c r="M3546" s="8">
        <v>1</v>
      </c>
      <c r="N3546" s="8">
        <f t="shared" si="1457"/>
        <v>1</v>
      </c>
      <c r="O3546" s="11" t="s">
        <v>1702</v>
      </c>
      <c r="P3546" s="16" t="str">
        <f t="shared" si="1472"/>
        <v>05-Feb-1912</v>
      </c>
      <c r="R3546" s="16" t="str">
        <f t="shared" si="1463"/>
        <v>x</v>
      </c>
      <c r="S3546" s="16" t="str">
        <f t="shared" si="1463"/>
        <v>x</v>
      </c>
      <c r="T3546" s="11"/>
      <c r="U3546" s="46" t="str">
        <f t="shared" si="1464"/>
        <v/>
      </c>
      <c r="V3546" s="46">
        <f t="shared" si="1464"/>
        <v>14</v>
      </c>
      <c r="W3546" s="46" t="str">
        <f t="shared" si="1464"/>
        <v/>
      </c>
      <c r="X3546" s="46" t="str">
        <f t="shared" si="1464"/>
        <v/>
      </c>
    </row>
    <row r="3547" spans="2:24" x14ac:dyDescent="0.25">
      <c r="B3547" s="11" t="str">
        <f t="shared" si="1471"/>
        <v>LTRN-25FEB1912</v>
      </c>
      <c r="C3547" s="11" t="s">
        <v>1698</v>
      </c>
      <c r="D3547" s="11" t="s">
        <v>1699</v>
      </c>
      <c r="E3547" s="39" t="s">
        <v>1893</v>
      </c>
      <c r="F3547" s="11" t="s">
        <v>1700</v>
      </c>
      <c r="G3547" s="39" t="s">
        <v>1894</v>
      </c>
      <c r="H3547" s="7">
        <v>0</v>
      </c>
      <c r="I3547" s="7">
        <v>0</v>
      </c>
      <c r="J3547" s="7">
        <v>4</v>
      </c>
      <c r="L3547" s="7">
        <f t="shared" si="1473"/>
        <v>4</v>
      </c>
      <c r="M3547" s="8">
        <v>1</v>
      </c>
      <c r="N3547" s="8">
        <f t="shared" ref="N3547:N3610" si="1474">IF(L3547&gt;0,1,"")</f>
        <v>1</v>
      </c>
      <c r="O3547" s="11" t="s">
        <v>1702</v>
      </c>
      <c r="P3547" s="16" t="str">
        <f t="shared" si="1472"/>
        <v>25-Feb-1912</v>
      </c>
      <c r="R3547" s="16" t="str">
        <f t="shared" si="1463"/>
        <v>x</v>
      </c>
      <c r="S3547" s="16" t="str">
        <f t="shared" si="1463"/>
        <v>x</v>
      </c>
      <c r="T3547" s="11"/>
      <c r="U3547" s="46" t="str">
        <f t="shared" si="1464"/>
        <v/>
      </c>
      <c r="V3547" s="46">
        <f t="shared" si="1464"/>
        <v>4</v>
      </c>
      <c r="W3547" s="46" t="str">
        <f t="shared" si="1464"/>
        <v/>
      </c>
      <c r="X3547" s="46" t="str">
        <f t="shared" si="1464"/>
        <v/>
      </c>
    </row>
    <row r="3548" spans="2:24" x14ac:dyDescent="0.25">
      <c r="B3548" s="11" t="str">
        <f t="shared" si="1471"/>
        <v>LTRN-02APR1912</v>
      </c>
      <c r="C3548" s="11" t="s">
        <v>1698</v>
      </c>
      <c r="D3548" s="11" t="s">
        <v>1699</v>
      </c>
      <c r="E3548" s="39" t="s">
        <v>1895</v>
      </c>
      <c r="F3548" s="11" t="s">
        <v>1700</v>
      </c>
      <c r="G3548" s="39" t="s">
        <v>1896</v>
      </c>
      <c r="H3548" s="7">
        <v>0</v>
      </c>
      <c r="I3548" s="7">
        <v>0</v>
      </c>
      <c r="J3548" s="7">
        <v>18</v>
      </c>
      <c r="L3548" s="7">
        <f t="shared" si="1473"/>
        <v>18</v>
      </c>
      <c r="M3548" s="8">
        <v>1</v>
      </c>
      <c r="N3548" s="8">
        <f t="shared" si="1474"/>
        <v>1</v>
      </c>
      <c r="O3548" s="11" t="s">
        <v>1702</v>
      </c>
      <c r="P3548" s="16" t="str">
        <f t="shared" si="1472"/>
        <v>02-Apr-1912</v>
      </c>
      <c r="R3548" s="16" t="str">
        <f t="shared" si="1463"/>
        <v>x</v>
      </c>
      <c r="S3548" s="16" t="str">
        <f t="shared" si="1463"/>
        <v>x</v>
      </c>
      <c r="T3548" s="11"/>
      <c r="U3548" s="46" t="str">
        <f t="shared" si="1464"/>
        <v/>
      </c>
      <c r="V3548" s="46">
        <f t="shared" si="1464"/>
        <v>18</v>
      </c>
      <c r="W3548" s="46" t="str">
        <f t="shared" si="1464"/>
        <v/>
      </c>
      <c r="X3548" s="46" t="str">
        <f t="shared" si="1464"/>
        <v/>
      </c>
    </row>
    <row r="3549" spans="2:24" x14ac:dyDescent="0.25">
      <c r="B3549" s="11" t="str">
        <f t="shared" si="1471"/>
        <v>LTRN-29APR1912</v>
      </c>
      <c r="C3549" s="11" t="s">
        <v>1698</v>
      </c>
      <c r="D3549" s="11" t="s">
        <v>1699</v>
      </c>
      <c r="E3549" s="39" t="s">
        <v>1897</v>
      </c>
      <c r="F3549" s="11" t="s">
        <v>1700</v>
      </c>
      <c r="G3549" s="39" t="s">
        <v>1898</v>
      </c>
      <c r="H3549" s="7">
        <v>0</v>
      </c>
      <c r="I3549" s="7">
        <v>0</v>
      </c>
      <c r="J3549" s="7">
        <v>102</v>
      </c>
      <c r="L3549" s="7">
        <f t="shared" si="1473"/>
        <v>102</v>
      </c>
      <c r="M3549" s="8">
        <v>1</v>
      </c>
      <c r="N3549" s="8">
        <f t="shared" si="1474"/>
        <v>1</v>
      </c>
      <c r="O3549" s="11" t="s">
        <v>1702</v>
      </c>
      <c r="P3549" s="16" t="str">
        <f t="shared" si="1472"/>
        <v>29-Apr-1912</v>
      </c>
      <c r="R3549" s="16" t="str">
        <f t="shared" si="1463"/>
        <v>x</v>
      </c>
      <c r="S3549" s="16" t="str">
        <f t="shared" si="1463"/>
        <v>x</v>
      </c>
      <c r="T3549" s="11"/>
      <c r="U3549" s="46" t="str">
        <f t="shared" si="1464"/>
        <v/>
      </c>
      <c r="V3549" s="46">
        <f t="shared" si="1464"/>
        <v>102</v>
      </c>
      <c r="W3549" s="46" t="str">
        <f t="shared" si="1464"/>
        <v/>
      </c>
      <c r="X3549" s="46" t="str">
        <f t="shared" si="1464"/>
        <v/>
      </c>
    </row>
    <row r="3550" spans="2:24" x14ac:dyDescent="0.25">
      <c r="B3550" s="11" t="str">
        <f t="shared" si="1471"/>
        <v>LTRN-23MAY1912</v>
      </c>
      <c r="C3550" s="11" t="s">
        <v>1698</v>
      </c>
      <c r="D3550" s="11" t="s">
        <v>1699</v>
      </c>
      <c r="E3550" s="39" t="s">
        <v>1899</v>
      </c>
      <c r="F3550" s="11" t="s">
        <v>1700</v>
      </c>
      <c r="G3550" s="39" t="s">
        <v>1900</v>
      </c>
      <c r="H3550" s="7">
        <v>0</v>
      </c>
      <c r="I3550" s="7">
        <v>0</v>
      </c>
      <c r="J3550" s="7">
        <v>14</v>
      </c>
      <c r="L3550" s="7">
        <f t="shared" si="1473"/>
        <v>14</v>
      </c>
      <c r="M3550" s="8">
        <v>1</v>
      </c>
      <c r="N3550" s="8">
        <f t="shared" si="1474"/>
        <v>1</v>
      </c>
      <c r="O3550" s="11" t="s">
        <v>1702</v>
      </c>
      <c r="P3550" s="16" t="str">
        <f t="shared" si="1472"/>
        <v>23-May-1912</v>
      </c>
      <c r="R3550" s="16" t="str">
        <f t="shared" si="1463"/>
        <v>x</v>
      </c>
      <c r="S3550" s="16" t="str">
        <f t="shared" si="1463"/>
        <v>x</v>
      </c>
      <c r="T3550" s="11"/>
      <c r="U3550" s="46" t="str">
        <f t="shared" si="1464"/>
        <v/>
      </c>
      <c r="V3550" s="46">
        <f t="shared" si="1464"/>
        <v>14</v>
      </c>
      <c r="W3550" s="46" t="str">
        <f t="shared" si="1464"/>
        <v/>
      </c>
      <c r="X3550" s="46" t="str">
        <f t="shared" si="1464"/>
        <v/>
      </c>
    </row>
    <row r="3551" spans="2:24" x14ac:dyDescent="0.25">
      <c r="B3551" s="11" t="str">
        <f t="shared" ref="B3551:B3556" si="1475">CONCATENATE("LTRN","-",LEFT(P3551,2),UPPER(MID(P3551,4,3)),RIGHT(P3551,4))</f>
        <v>LTRN-27AUG1912</v>
      </c>
      <c r="C3551" s="11" t="s">
        <v>1698</v>
      </c>
      <c r="D3551" s="11" t="s">
        <v>1699</v>
      </c>
      <c r="E3551" s="39" t="s">
        <v>1901</v>
      </c>
      <c r="F3551" s="11" t="s">
        <v>1700</v>
      </c>
      <c r="G3551" s="39" t="s">
        <v>1902</v>
      </c>
      <c r="H3551" s="7">
        <v>0</v>
      </c>
      <c r="I3551" s="7">
        <v>0</v>
      </c>
      <c r="J3551" s="7">
        <v>19</v>
      </c>
      <c r="L3551" s="7">
        <f t="shared" si="1473"/>
        <v>19</v>
      </c>
      <c r="M3551" s="8">
        <v>1</v>
      </c>
      <c r="N3551" s="8">
        <f t="shared" si="1474"/>
        <v>1</v>
      </c>
      <c r="O3551" s="11" t="s">
        <v>1702</v>
      </c>
      <c r="P3551" s="16" t="str">
        <f t="shared" ref="P3551:P3556" si="1476">IF(LEN(G3551)=10,CONCATENATE("0",G3551),G3551)</f>
        <v>27-Aug-1912</v>
      </c>
      <c r="R3551" s="16" t="str">
        <f t="shared" si="1463"/>
        <v>x</v>
      </c>
      <c r="S3551" s="16" t="str">
        <f t="shared" si="1463"/>
        <v>x</v>
      </c>
      <c r="T3551" s="11"/>
      <c r="U3551" s="46" t="str">
        <f t="shared" si="1464"/>
        <v/>
      </c>
      <c r="V3551" s="46">
        <f t="shared" si="1464"/>
        <v>19</v>
      </c>
      <c r="W3551" s="46" t="str">
        <f t="shared" si="1464"/>
        <v/>
      </c>
      <c r="X3551" s="46" t="str">
        <f t="shared" si="1464"/>
        <v/>
      </c>
    </row>
    <row r="3552" spans="2:24" x14ac:dyDescent="0.25">
      <c r="B3552" s="11" t="str">
        <f t="shared" si="1475"/>
        <v>LTRN-24SEP1912</v>
      </c>
      <c r="C3552" s="11" t="s">
        <v>1698</v>
      </c>
      <c r="D3552" s="11" t="s">
        <v>1699</v>
      </c>
      <c r="E3552" s="39" t="s">
        <v>1903</v>
      </c>
      <c r="F3552" s="11" t="s">
        <v>1700</v>
      </c>
      <c r="G3552" s="39" t="s">
        <v>1904</v>
      </c>
      <c r="H3552" s="7">
        <v>0</v>
      </c>
      <c r="I3552" s="7">
        <v>0</v>
      </c>
      <c r="J3552" s="7">
        <v>27</v>
      </c>
      <c r="L3552" s="7">
        <f t="shared" ref="L3552:L3563" si="1477">SUM(H3552:K3552)</f>
        <v>27</v>
      </c>
      <c r="M3552" s="8">
        <v>1</v>
      </c>
      <c r="N3552" s="8">
        <f t="shared" si="1474"/>
        <v>1</v>
      </c>
      <c r="O3552" s="11" t="s">
        <v>1702</v>
      </c>
      <c r="P3552" s="16" t="str">
        <f t="shared" si="1476"/>
        <v>24-Sep-1912</v>
      </c>
      <c r="R3552" s="16" t="str">
        <f t="shared" si="1463"/>
        <v>x</v>
      </c>
      <c r="S3552" s="16" t="str">
        <f t="shared" si="1463"/>
        <v>x</v>
      </c>
      <c r="T3552" s="11"/>
      <c r="U3552" s="46" t="str">
        <f t="shared" si="1464"/>
        <v/>
      </c>
      <c r="V3552" s="46">
        <f t="shared" si="1464"/>
        <v>27</v>
      </c>
      <c r="W3552" s="46" t="str">
        <f t="shared" si="1464"/>
        <v/>
      </c>
      <c r="X3552" s="46" t="str">
        <f t="shared" si="1464"/>
        <v/>
      </c>
    </row>
    <row r="3553" spans="2:24" x14ac:dyDescent="0.25">
      <c r="B3553" s="11" t="str">
        <f t="shared" si="1475"/>
        <v>LTRN-21OCT1912</v>
      </c>
      <c r="C3553" s="11" t="s">
        <v>1698</v>
      </c>
      <c r="D3553" s="11" t="s">
        <v>1699</v>
      </c>
      <c r="E3553" s="39" t="s">
        <v>1910</v>
      </c>
      <c r="F3553" s="11" t="s">
        <v>1700</v>
      </c>
      <c r="G3553" s="39" t="s">
        <v>1911</v>
      </c>
      <c r="H3553" s="7">
        <v>0</v>
      </c>
      <c r="I3553" s="7">
        <v>0</v>
      </c>
      <c r="J3553" s="7">
        <v>31</v>
      </c>
      <c r="L3553" s="7">
        <f t="shared" si="1477"/>
        <v>31</v>
      </c>
      <c r="M3553" s="8">
        <v>1</v>
      </c>
      <c r="N3553" s="8">
        <f t="shared" si="1474"/>
        <v>1</v>
      </c>
      <c r="O3553" s="11" t="s">
        <v>1702</v>
      </c>
      <c r="P3553" s="16" t="str">
        <f t="shared" si="1476"/>
        <v>21-Oct-1912</v>
      </c>
      <c r="R3553" s="16" t="str">
        <f t="shared" si="1463"/>
        <v>x</v>
      </c>
      <c r="S3553" s="16" t="str">
        <f t="shared" si="1463"/>
        <v>x</v>
      </c>
      <c r="T3553" s="11"/>
      <c r="U3553" s="46" t="str">
        <f t="shared" si="1464"/>
        <v/>
      </c>
      <c r="V3553" s="46">
        <f t="shared" si="1464"/>
        <v>31</v>
      </c>
      <c r="W3553" s="46" t="str">
        <f t="shared" si="1464"/>
        <v/>
      </c>
      <c r="X3553" s="46" t="str">
        <f t="shared" si="1464"/>
        <v/>
      </c>
    </row>
    <row r="3554" spans="2:24" x14ac:dyDescent="0.25">
      <c r="B3554" s="11" t="str">
        <f t="shared" si="1475"/>
        <v>LTRN-25NOV1912</v>
      </c>
      <c r="C3554" s="11" t="s">
        <v>1698</v>
      </c>
      <c r="D3554" s="11" t="s">
        <v>1699</v>
      </c>
      <c r="E3554" s="39" t="s">
        <v>1912</v>
      </c>
      <c r="F3554" s="11" t="s">
        <v>1700</v>
      </c>
      <c r="G3554" s="39" t="s">
        <v>1913</v>
      </c>
      <c r="H3554" s="7">
        <v>0</v>
      </c>
      <c r="I3554" s="7">
        <v>0</v>
      </c>
      <c r="J3554" s="7">
        <v>19</v>
      </c>
      <c r="L3554" s="7">
        <f t="shared" si="1477"/>
        <v>19</v>
      </c>
      <c r="M3554" s="8">
        <v>1</v>
      </c>
      <c r="N3554" s="8">
        <f t="shared" si="1474"/>
        <v>1</v>
      </c>
      <c r="O3554" s="11" t="s">
        <v>1702</v>
      </c>
      <c r="P3554" s="16" t="str">
        <f t="shared" si="1476"/>
        <v>25-Nov-1912</v>
      </c>
      <c r="R3554" s="16" t="str">
        <f t="shared" si="1463"/>
        <v>x</v>
      </c>
      <c r="S3554" s="16" t="str">
        <f t="shared" si="1463"/>
        <v>x</v>
      </c>
      <c r="T3554" s="11"/>
      <c r="U3554" s="46" t="str">
        <f t="shared" si="1464"/>
        <v/>
      </c>
      <c r="V3554" s="46">
        <f t="shared" si="1464"/>
        <v>19</v>
      </c>
      <c r="W3554" s="46" t="str">
        <f t="shared" si="1464"/>
        <v/>
      </c>
      <c r="X3554" s="46" t="str">
        <f t="shared" si="1464"/>
        <v/>
      </c>
    </row>
    <row r="3555" spans="2:24" x14ac:dyDescent="0.25">
      <c r="B3555" s="11" t="str">
        <f t="shared" si="1475"/>
        <v>LTRN-31DEC1912</v>
      </c>
      <c r="C3555" s="11" t="s">
        <v>1698</v>
      </c>
      <c r="D3555" s="11" t="s">
        <v>1699</v>
      </c>
      <c r="E3555" s="39" t="s">
        <v>1915</v>
      </c>
      <c r="F3555" s="11" t="s">
        <v>1700</v>
      </c>
      <c r="G3555" s="39" t="s">
        <v>1914</v>
      </c>
      <c r="H3555" s="7">
        <v>0</v>
      </c>
      <c r="I3555" s="7">
        <v>0</v>
      </c>
      <c r="J3555" s="7">
        <v>28</v>
      </c>
      <c r="L3555" s="7">
        <f t="shared" si="1477"/>
        <v>28</v>
      </c>
      <c r="M3555" s="8">
        <v>1</v>
      </c>
      <c r="N3555" s="8">
        <f t="shared" si="1474"/>
        <v>1</v>
      </c>
      <c r="O3555" s="11" t="s">
        <v>1702</v>
      </c>
      <c r="P3555" s="16" t="str">
        <f t="shared" si="1476"/>
        <v>31-Dec-1912</v>
      </c>
      <c r="R3555" s="16" t="str">
        <f t="shared" si="1463"/>
        <v>x</v>
      </c>
      <c r="S3555" s="16" t="str">
        <f t="shared" si="1463"/>
        <v>x</v>
      </c>
      <c r="T3555" s="11"/>
      <c r="U3555" s="46" t="str">
        <f t="shared" si="1464"/>
        <v/>
      </c>
      <c r="V3555" s="46">
        <f t="shared" si="1464"/>
        <v>28</v>
      </c>
      <c r="W3555" s="46" t="str">
        <f t="shared" si="1464"/>
        <v/>
      </c>
      <c r="X3555" s="46" t="str">
        <f t="shared" si="1464"/>
        <v/>
      </c>
    </row>
    <row r="3556" spans="2:24" x14ac:dyDescent="0.25">
      <c r="B3556" s="11" t="str">
        <f t="shared" si="1475"/>
        <v>LTRN-03FEB1913</v>
      </c>
      <c r="C3556" s="11" t="s">
        <v>1698</v>
      </c>
      <c r="D3556" s="11" t="s">
        <v>1699</v>
      </c>
      <c r="E3556" s="39" t="s">
        <v>1919</v>
      </c>
      <c r="F3556" s="11" t="s">
        <v>1700</v>
      </c>
      <c r="G3556" s="39" t="s">
        <v>1918</v>
      </c>
      <c r="H3556" s="7">
        <v>2</v>
      </c>
      <c r="I3556" s="7">
        <v>0</v>
      </c>
      <c r="J3556" s="7">
        <v>6</v>
      </c>
      <c r="L3556" s="7">
        <f t="shared" si="1477"/>
        <v>8</v>
      </c>
      <c r="M3556" s="8">
        <v>1</v>
      </c>
      <c r="N3556" s="8">
        <f t="shared" si="1474"/>
        <v>1</v>
      </c>
      <c r="O3556" s="11" t="s">
        <v>1702</v>
      </c>
      <c r="P3556" s="16" t="str">
        <f t="shared" si="1476"/>
        <v>03-Feb-1913</v>
      </c>
      <c r="R3556" s="16" t="str">
        <f t="shared" si="1463"/>
        <v>x</v>
      </c>
      <c r="S3556" s="16" t="str">
        <f t="shared" si="1463"/>
        <v>x</v>
      </c>
      <c r="T3556" s="11"/>
      <c r="U3556" s="46" t="str">
        <f t="shared" si="1464"/>
        <v/>
      </c>
      <c r="V3556" s="46">
        <f t="shared" si="1464"/>
        <v>8</v>
      </c>
      <c r="W3556" s="46" t="str">
        <f t="shared" si="1464"/>
        <v/>
      </c>
      <c r="X3556" s="46" t="str">
        <f t="shared" si="1464"/>
        <v/>
      </c>
    </row>
    <row r="3557" spans="2:24" x14ac:dyDescent="0.25">
      <c r="B3557" s="11" t="str">
        <f t="shared" ref="B3557:B3563" si="1478">CONCATENATE("LTRN","-",LEFT(P3557,2),UPPER(MID(P3557,4,3)),RIGHT(P3557,4))</f>
        <v>LTRN-11MAR1913</v>
      </c>
      <c r="C3557" s="11" t="s">
        <v>1698</v>
      </c>
      <c r="D3557" s="11" t="s">
        <v>1699</v>
      </c>
      <c r="E3557" s="39" t="s">
        <v>1920</v>
      </c>
      <c r="F3557" s="11" t="s">
        <v>1700</v>
      </c>
      <c r="G3557" s="39" t="s">
        <v>1921</v>
      </c>
      <c r="H3557" s="7">
        <v>0</v>
      </c>
      <c r="I3557" s="7">
        <v>0</v>
      </c>
      <c r="J3557" s="7">
        <v>2</v>
      </c>
      <c r="L3557" s="7">
        <f t="shared" si="1477"/>
        <v>2</v>
      </c>
      <c r="M3557" s="8">
        <v>1</v>
      </c>
      <c r="N3557" s="8">
        <f t="shared" si="1474"/>
        <v>1</v>
      </c>
      <c r="O3557" s="11" t="s">
        <v>1702</v>
      </c>
      <c r="P3557" s="16" t="str">
        <f t="shared" ref="P3557:P3563" si="1479">IF(LEN(G3557)=10,CONCATENATE("0",G3557),G3557)</f>
        <v>11-Mar-1913</v>
      </c>
      <c r="R3557" s="16" t="str">
        <f t="shared" si="1463"/>
        <v>x</v>
      </c>
      <c r="S3557" s="16" t="str">
        <f t="shared" si="1463"/>
        <v>x</v>
      </c>
      <c r="U3557" s="46" t="str">
        <f t="shared" si="1464"/>
        <v/>
      </c>
      <c r="V3557" s="46">
        <f t="shared" si="1464"/>
        <v>2</v>
      </c>
      <c r="W3557" s="46" t="str">
        <f t="shared" si="1464"/>
        <v/>
      </c>
      <c r="X3557" s="46" t="str">
        <f t="shared" si="1464"/>
        <v/>
      </c>
    </row>
    <row r="3558" spans="2:24" x14ac:dyDescent="0.25">
      <c r="B3558" s="11" t="str">
        <f t="shared" si="1478"/>
        <v>LTRN-02APR1913</v>
      </c>
      <c r="C3558" s="11" t="s">
        <v>1698</v>
      </c>
      <c r="D3558" s="11" t="s">
        <v>1699</v>
      </c>
      <c r="E3558" s="39" t="s">
        <v>1923</v>
      </c>
      <c r="F3558" s="11" t="s">
        <v>1700</v>
      </c>
      <c r="G3558" s="39" t="s">
        <v>1922</v>
      </c>
      <c r="H3558" s="7">
        <v>0</v>
      </c>
      <c r="I3558" s="7">
        <v>1</v>
      </c>
      <c r="J3558" s="7">
        <v>0</v>
      </c>
      <c r="L3558" s="7">
        <f t="shared" si="1477"/>
        <v>1</v>
      </c>
      <c r="M3558" s="8">
        <v>1</v>
      </c>
      <c r="N3558" s="8">
        <f t="shared" si="1474"/>
        <v>1</v>
      </c>
      <c r="O3558" s="11" t="s">
        <v>1702</v>
      </c>
      <c r="P3558" s="16" t="str">
        <f t="shared" si="1479"/>
        <v>02-Apr-1913</v>
      </c>
      <c r="R3558" s="16" t="str">
        <f t="shared" si="1463"/>
        <v>x</v>
      </c>
      <c r="S3558" s="16" t="str">
        <f t="shared" si="1463"/>
        <v>x</v>
      </c>
      <c r="U3558" s="46" t="str">
        <f t="shared" si="1464"/>
        <v/>
      </c>
      <c r="V3558" s="46">
        <f t="shared" si="1464"/>
        <v>1</v>
      </c>
      <c r="W3558" s="46" t="str">
        <f t="shared" si="1464"/>
        <v/>
      </c>
      <c r="X3558" s="46" t="str">
        <f t="shared" si="1464"/>
        <v/>
      </c>
    </row>
    <row r="3559" spans="2:24" x14ac:dyDescent="0.25">
      <c r="B3559" s="11" t="str">
        <f t="shared" si="1478"/>
        <v>LTRN-29APR1913</v>
      </c>
      <c r="C3559" s="11" t="s">
        <v>1698</v>
      </c>
      <c r="D3559" s="11" t="s">
        <v>1699</v>
      </c>
      <c r="E3559" s="39" t="s">
        <v>1924</v>
      </c>
      <c r="F3559" s="11" t="s">
        <v>1700</v>
      </c>
      <c r="G3559" s="39" t="s">
        <v>1925</v>
      </c>
      <c r="H3559" s="7">
        <v>0</v>
      </c>
      <c r="I3559" s="7">
        <v>0</v>
      </c>
      <c r="J3559" s="7">
        <v>6</v>
      </c>
      <c r="L3559" s="7">
        <f t="shared" si="1477"/>
        <v>6</v>
      </c>
      <c r="M3559" s="8">
        <v>1</v>
      </c>
      <c r="N3559" s="8">
        <f t="shared" si="1474"/>
        <v>1</v>
      </c>
      <c r="O3559" s="11" t="s">
        <v>1702</v>
      </c>
      <c r="P3559" s="16" t="str">
        <f t="shared" si="1479"/>
        <v>29-Apr-1913</v>
      </c>
      <c r="R3559" s="16" t="str">
        <f t="shared" si="1463"/>
        <v>x</v>
      </c>
      <c r="S3559" s="16" t="str">
        <f t="shared" si="1463"/>
        <v>x</v>
      </c>
      <c r="U3559" s="46" t="str">
        <f t="shared" si="1464"/>
        <v/>
      </c>
      <c r="V3559" s="46">
        <f t="shared" si="1464"/>
        <v>6</v>
      </c>
      <c r="W3559" s="46" t="str">
        <f t="shared" si="1464"/>
        <v/>
      </c>
      <c r="X3559" s="46" t="str">
        <f t="shared" si="1464"/>
        <v/>
      </c>
    </row>
    <row r="3560" spans="2:24" x14ac:dyDescent="0.25">
      <c r="B3560" s="11" t="str">
        <f t="shared" si="1478"/>
        <v>LTRN-17JUN1913</v>
      </c>
      <c r="C3560" s="11" t="s">
        <v>1698</v>
      </c>
      <c r="D3560" s="11" t="s">
        <v>1699</v>
      </c>
      <c r="F3560" s="11" t="s">
        <v>1700</v>
      </c>
      <c r="G3560" s="39" t="s">
        <v>1926</v>
      </c>
      <c r="H3560" s="7">
        <v>0</v>
      </c>
      <c r="I3560" s="7">
        <v>0</v>
      </c>
      <c r="J3560" s="7">
        <f>9+14</f>
        <v>23</v>
      </c>
      <c r="L3560" s="7">
        <f t="shared" si="1477"/>
        <v>23</v>
      </c>
      <c r="M3560" s="8">
        <v>1</v>
      </c>
      <c r="N3560" s="8">
        <f t="shared" si="1474"/>
        <v>1</v>
      </c>
      <c r="O3560" s="11" t="s">
        <v>1702</v>
      </c>
      <c r="P3560" s="16" t="str">
        <f t="shared" si="1479"/>
        <v>17-Jun-1913</v>
      </c>
      <c r="R3560" s="16" t="str">
        <f t="shared" si="1463"/>
        <v>x</v>
      </c>
      <c r="S3560" s="16" t="str">
        <f t="shared" si="1463"/>
        <v>x</v>
      </c>
      <c r="U3560" s="46" t="str">
        <f t="shared" si="1464"/>
        <v/>
      </c>
      <c r="V3560" s="46">
        <f t="shared" si="1464"/>
        <v>23</v>
      </c>
      <c r="W3560" s="46" t="str">
        <f t="shared" si="1464"/>
        <v/>
      </c>
      <c r="X3560" s="46" t="str">
        <f t="shared" si="1464"/>
        <v/>
      </c>
    </row>
    <row r="3561" spans="2:24" x14ac:dyDescent="0.25">
      <c r="B3561" s="11" t="str">
        <f t="shared" si="1478"/>
        <v>LTRN-04SEP1913</v>
      </c>
      <c r="C3561" s="11" t="s">
        <v>1698</v>
      </c>
      <c r="D3561" s="11" t="s">
        <v>1699</v>
      </c>
      <c r="E3561" s="39" t="s">
        <v>1929</v>
      </c>
      <c r="F3561" s="11" t="s">
        <v>1700</v>
      </c>
      <c r="G3561" s="39" t="s">
        <v>1928</v>
      </c>
      <c r="H3561" s="7">
        <v>0</v>
      </c>
      <c r="I3561" s="7">
        <v>0</v>
      </c>
      <c r="J3561" s="7">
        <v>58</v>
      </c>
      <c r="L3561" s="7">
        <f t="shared" si="1477"/>
        <v>58</v>
      </c>
      <c r="M3561" s="8">
        <v>1</v>
      </c>
      <c r="N3561" s="8">
        <f t="shared" si="1474"/>
        <v>1</v>
      </c>
      <c r="O3561" s="11" t="s">
        <v>1702</v>
      </c>
      <c r="P3561" s="16" t="str">
        <f t="shared" si="1479"/>
        <v>04-Sep-1913</v>
      </c>
      <c r="R3561" s="16" t="str">
        <f t="shared" si="1463"/>
        <v>x</v>
      </c>
      <c r="S3561" s="16" t="str">
        <f t="shared" si="1463"/>
        <v>x</v>
      </c>
      <c r="U3561" s="46" t="str">
        <f t="shared" si="1464"/>
        <v/>
      </c>
      <c r="V3561" s="46">
        <f t="shared" si="1464"/>
        <v>58</v>
      </c>
      <c r="W3561" s="46" t="str">
        <f t="shared" si="1464"/>
        <v/>
      </c>
      <c r="X3561" s="46" t="str">
        <f t="shared" si="1464"/>
        <v/>
      </c>
    </row>
    <row r="3562" spans="2:24" x14ac:dyDescent="0.25">
      <c r="B3562" s="11" t="str">
        <f t="shared" si="1478"/>
        <v>LTRN-29SEP1913</v>
      </c>
      <c r="C3562" s="11" t="s">
        <v>1698</v>
      </c>
      <c r="D3562" s="11" t="s">
        <v>1699</v>
      </c>
      <c r="E3562" s="39" t="s">
        <v>1930</v>
      </c>
      <c r="F3562" s="11" t="s">
        <v>1700</v>
      </c>
      <c r="G3562" s="39" t="s">
        <v>1931</v>
      </c>
      <c r="H3562" s="7">
        <v>0</v>
      </c>
      <c r="I3562" s="7">
        <v>0</v>
      </c>
      <c r="J3562" s="7">
        <v>22</v>
      </c>
      <c r="L3562" s="7">
        <f t="shared" si="1477"/>
        <v>22</v>
      </c>
      <c r="M3562" s="8">
        <v>1</v>
      </c>
      <c r="N3562" s="8">
        <f t="shared" si="1474"/>
        <v>1</v>
      </c>
      <c r="O3562" s="11" t="s">
        <v>1702</v>
      </c>
      <c r="P3562" s="16" t="str">
        <f t="shared" si="1479"/>
        <v>29-Sep-1913</v>
      </c>
      <c r="R3562" s="16" t="str">
        <f t="shared" si="1463"/>
        <v>x</v>
      </c>
      <c r="S3562" s="16" t="str">
        <f t="shared" si="1463"/>
        <v>x</v>
      </c>
      <c r="U3562" s="46" t="str">
        <f t="shared" si="1464"/>
        <v/>
      </c>
      <c r="V3562" s="46">
        <f t="shared" si="1464"/>
        <v>22</v>
      </c>
      <c r="W3562" s="46" t="str">
        <f t="shared" si="1464"/>
        <v/>
      </c>
      <c r="X3562" s="46" t="str">
        <f t="shared" si="1464"/>
        <v/>
      </c>
    </row>
    <row r="3563" spans="2:24" x14ac:dyDescent="0.25">
      <c r="B3563" s="11" t="str">
        <f t="shared" si="1478"/>
        <v>LTRN-28OCT1913</v>
      </c>
      <c r="C3563" s="11" t="s">
        <v>1698</v>
      </c>
      <c r="D3563" s="11" t="s">
        <v>1699</v>
      </c>
      <c r="E3563" s="39" t="s">
        <v>1932</v>
      </c>
      <c r="F3563" s="11" t="s">
        <v>1700</v>
      </c>
      <c r="G3563" s="39" t="s">
        <v>1933</v>
      </c>
      <c r="H3563" s="7">
        <v>0</v>
      </c>
      <c r="I3563" s="7">
        <v>1</v>
      </c>
      <c r="J3563" s="7">
        <v>49</v>
      </c>
      <c r="L3563" s="7">
        <f t="shared" si="1477"/>
        <v>50</v>
      </c>
      <c r="M3563" s="8">
        <v>1</v>
      </c>
      <c r="N3563" s="8">
        <f t="shared" si="1474"/>
        <v>1</v>
      </c>
      <c r="O3563" s="11" t="s">
        <v>1702</v>
      </c>
      <c r="P3563" s="16" t="str">
        <f t="shared" si="1479"/>
        <v>28-Oct-1913</v>
      </c>
      <c r="R3563" s="16" t="str">
        <f t="shared" si="1463"/>
        <v>x</v>
      </c>
      <c r="S3563" s="16" t="str">
        <f t="shared" si="1463"/>
        <v>x</v>
      </c>
      <c r="U3563" s="46" t="str">
        <f t="shared" si="1464"/>
        <v/>
      </c>
      <c r="V3563" s="46">
        <f t="shared" si="1464"/>
        <v>50</v>
      </c>
      <c r="W3563" s="46" t="str">
        <f t="shared" si="1464"/>
        <v/>
      </c>
      <c r="X3563" s="46" t="str">
        <f t="shared" si="1464"/>
        <v/>
      </c>
    </row>
    <row r="3564" spans="2:24" x14ac:dyDescent="0.25">
      <c r="B3564" s="11" t="str">
        <f t="shared" ref="B3564:B3569" si="1480">CONCATENATE("LTRN","-",LEFT(P3564,2),UPPER(MID(P3564,4,3)),RIGHT(P3564,4))</f>
        <v>LTRN-29MAR1914</v>
      </c>
      <c r="C3564" s="11" t="s">
        <v>1698</v>
      </c>
      <c r="D3564" s="11" t="s">
        <v>1699</v>
      </c>
      <c r="E3564" s="39" t="s">
        <v>1936</v>
      </c>
      <c r="F3564" s="11" t="s">
        <v>1700</v>
      </c>
      <c r="G3564" s="39" t="s">
        <v>1937</v>
      </c>
      <c r="H3564" s="7">
        <v>0</v>
      </c>
      <c r="I3564" s="7">
        <v>1</v>
      </c>
      <c r="J3564" s="7">
        <v>12</v>
      </c>
      <c r="L3564" s="7">
        <f t="shared" ref="L3564:L3569" si="1481">SUM(H3564:K3564)</f>
        <v>13</v>
      </c>
      <c r="M3564" s="8">
        <v>1</v>
      </c>
      <c r="N3564" s="8">
        <f t="shared" si="1474"/>
        <v>1</v>
      </c>
      <c r="O3564" s="11" t="s">
        <v>1702</v>
      </c>
      <c r="P3564" s="16" t="str">
        <f t="shared" ref="P3564:P3569" si="1482">IF(LEN(G3564)=10,CONCATENATE("0",G3564),G3564)</f>
        <v>29-Mar-1914</v>
      </c>
      <c r="R3564" s="16" t="str">
        <f t="shared" si="1463"/>
        <v>x</v>
      </c>
      <c r="S3564" s="16" t="str">
        <f t="shared" si="1463"/>
        <v>x</v>
      </c>
      <c r="U3564" s="46" t="str">
        <f t="shared" si="1464"/>
        <v/>
      </c>
      <c r="V3564" s="46">
        <f t="shared" si="1464"/>
        <v>13</v>
      </c>
      <c r="W3564" s="46" t="str">
        <f t="shared" si="1464"/>
        <v/>
      </c>
      <c r="X3564" s="46" t="str">
        <f t="shared" si="1464"/>
        <v/>
      </c>
    </row>
    <row r="3565" spans="2:24" x14ac:dyDescent="0.25">
      <c r="B3565" s="11" t="str">
        <f t="shared" si="1480"/>
        <v>LTRN-20JUL1914</v>
      </c>
      <c r="C3565" s="11" t="s">
        <v>1698</v>
      </c>
      <c r="D3565" s="11" t="s">
        <v>1699</v>
      </c>
      <c r="E3565" s="39" t="s">
        <v>1938</v>
      </c>
      <c r="F3565" s="11" t="s">
        <v>1700</v>
      </c>
      <c r="G3565" s="39" t="s">
        <v>1939</v>
      </c>
      <c r="H3565" s="7">
        <v>0</v>
      </c>
      <c r="I3565" s="7">
        <v>1</v>
      </c>
      <c r="J3565" s="7">
        <v>21</v>
      </c>
      <c r="L3565" s="7">
        <f t="shared" si="1481"/>
        <v>22</v>
      </c>
      <c r="M3565" s="8">
        <v>1</v>
      </c>
      <c r="N3565" s="8">
        <f t="shared" si="1474"/>
        <v>1</v>
      </c>
      <c r="O3565" s="11" t="s">
        <v>1702</v>
      </c>
      <c r="P3565" s="16" t="str">
        <f t="shared" si="1482"/>
        <v>20-Jul-1914</v>
      </c>
      <c r="R3565" s="16" t="str">
        <f t="shared" si="1463"/>
        <v>x</v>
      </c>
      <c r="S3565" s="16" t="str">
        <f t="shared" si="1463"/>
        <v>x</v>
      </c>
      <c r="U3565" s="46" t="str">
        <f t="shared" si="1464"/>
        <v/>
      </c>
      <c r="V3565" s="46">
        <f t="shared" si="1464"/>
        <v>22</v>
      </c>
      <c r="W3565" s="46" t="str">
        <f t="shared" si="1464"/>
        <v/>
      </c>
      <c r="X3565" s="46" t="str">
        <f t="shared" si="1464"/>
        <v/>
      </c>
    </row>
    <row r="3566" spans="2:24" x14ac:dyDescent="0.25">
      <c r="B3566" s="11" t="str">
        <f t="shared" si="1480"/>
        <v>LTRN-13SEP1914</v>
      </c>
      <c r="C3566" s="11" t="s">
        <v>1698</v>
      </c>
      <c r="D3566" s="11" t="s">
        <v>1699</v>
      </c>
      <c r="E3566" s="39" t="s">
        <v>1940</v>
      </c>
      <c r="F3566" s="11" t="s">
        <v>1700</v>
      </c>
      <c r="G3566" s="39" t="s">
        <v>1941</v>
      </c>
      <c r="H3566" s="7">
        <v>0</v>
      </c>
      <c r="I3566" s="7">
        <v>0</v>
      </c>
      <c r="J3566" s="7">
        <v>0</v>
      </c>
      <c r="L3566" s="7">
        <f t="shared" si="1481"/>
        <v>0</v>
      </c>
      <c r="M3566" s="8">
        <v>1</v>
      </c>
      <c r="N3566" s="8" t="str">
        <f t="shared" si="1474"/>
        <v/>
      </c>
      <c r="O3566" s="11" t="s">
        <v>1702</v>
      </c>
      <c r="P3566" s="16" t="str">
        <f t="shared" si="1482"/>
        <v>13-Sep-1914</v>
      </c>
      <c r="R3566" s="16" t="str">
        <f t="shared" si="1463"/>
        <v/>
      </c>
      <c r="S3566" s="16" t="str">
        <f t="shared" si="1463"/>
        <v/>
      </c>
      <c r="U3566" s="46" t="str">
        <f t="shared" si="1464"/>
        <v/>
      </c>
      <c r="V3566" s="46">
        <f t="shared" si="1464"/>
        <v>0</v>
      </c>
      <c r="W3566" s="46" t="str">
        <f t="shared" si="1464"/>
        <v/>
      </c>
      <c r="X3566" s="46" t="str">
        <f t="shared" si="1464"/>
        <v/>
      </c>
    </row>
    <row r="3567" spans="2:24" x14ac:dyDescent="0.25">
      <c r="B3567" s="11" t="str">
        <f t="shared" si="1480"/>
        <v>LTRN-19OCT1914</v>
      </c>
      <c r="C3567" s="11" t="s">
        <v>1698</v>
      </c>
      <c r="D3567" s="11" t="s">
        <v>1699</v>
      </c>
      <c r="E3567" s="39" t="s">
        <v>1942</v>
      </c>
      <c r="F3567" s="11" t="s">
        <v>1700</v>
      </c>
      <c r="G3567" s="39" t="s">
        <v>1943</v>
      </c>
      <c r="H3567" s="7">
        <v>0</v>
      </c>
      <c r="I3567" s="7">
        <v>0</v>
      </c>
      <c r="J3567" s="7">
        <v>2</v>
      </c>
      <c r="L3567" s="7">
        <f t="shared" si="1481"/>
        <v>2</v>
      </c>
      <c r="M3567" s="8">
        <v>1</v>
      </c>
      <c r="N3567" s="8">
        <f t="shared" si="1474"/>
        <v>1</v>
      </c>
      <c r="O3567" s="11" t="s">
        <v>1702</v>
      </c>
      <c r="P3567" s="16" t="str">
        <f t="shared" si="1482"/>
        <v>19-Oct-1914</v>
      </c>
      <c r="R3567" s="16" t="str">
        <f t="shared" si="1463"/>
        <v>x</v>
      </c>
      <c r="S3567" s="16" t="str">
        <f t="shared" si="1463"/>
        <v>x</v>
      </c>
      <c r="U3567" s="46" t="str">
        <f t="shared" si="1464"/>
        <v/>
      </c>
      <c r="V3567" s="46">
        <f t="shared" si="1464"/>
        <v>2</v>
      </c>
      <c r="W3567" s="46" t="str">
        <f t="shared" si="1464"/>
        <v/>
      </c>
      <c r="X3567" s="46" t="str">
        <f t="shared" si="1464"/>
        <v/>
      </c>
    </row>
    <row r="3568" spans="2:24" x14ac:dyDescent="0.25">
      <c r="B3568" s="11" t="str">
        <f t="shared" si="1480"/>
        <v>LTRN-17NOV1914</v>
      </c>
      <c r="C3568" s="11" t="s">
        <v>1698</v>
      </c>
      <c r="D3568" s="11" t="s">
        <v>1699</v>
      </c>
      <c r="E3568" s="39" t="s">
        <v>1944</v>
      </c>
      <c r="F3568" s="11" t="s">
        <v>1700</v>
      </c>
      <c r="G3568" s="39" t="s">
        <v>1945</v>
      </c>
      <c r="H3568" s="7">
        <v>0</v>
      </c>
      <c r="I3568" s="7">
        <v>0</v>
      </c>
      <c r="J3568" s="7">
        <v>4</v>
      </c>
      <c r="L3568" s="7">
        <f t="shared" si="1481"/>
        <v>4</v>
      </c>
      <c r="M3568" s="8">
        <v>1</v>
      </c>
      <c r="N3568" s="8">
        <f t="shared" si="1474"/>
        <v>1</v>
      </c>
      <c r="O3568" s="11" t="s">
        <v>1702</v>
      </c>
      <c r="P3568" s="16" t="str">
        <f t="shared" si="1482"/>
        <v>17-Nov-1914</v>
      </c>
      <c r="R3568" s="16" t="str">
        <f t="shared" si="1463"/>
        <v>x</v>
      </c>
      <c r="S3568" s="16" t="str">
        <f t="shared" si="1463"/>
        <v>x</v>
      </c>
      <c r="U3568" s="46" t="str">
        <f t="shared" si="1464"/>
        <v/>
      </c>
      <c r="V3568" s="46">
        <f t="shared" si="1464"/>
        <v>4</v>
      </c>
      <c r="W3568" s="46" t="str">
        <f t="shared" si="1464"/>
        <v/>
      </c>
      <c r="X3568" s="46" t="str">
        <f t="shared" si="1464"/>
        <v/>
      </c>
    </row>
    <row r="3569" spans="2:24" x14ac:dyDescent="0.25">
      <c r="B3569" s="11" t="str">
        <f t="shared" si="1480"/>
        <v>LTRN-18DEC1914</v>
      </c>
      <c r="C3569" s="11" t="s">
        <v>1698</v>
      </c>
      <c r="D3569" s="11" t="s">
        <v>1699</v>
      </c>
      <c r="E3569" s="39" t="s">
        <v>1946</v>
      </c>
      <c r="F3569" s="11" t="s">
        <v>1700</v>
      </c>
      <c r="G3569" s="39" t="s">
        <v>1947</v>
      </c>
      <c r="H3569" s="7">
        <v>0</v>
      </c>
      <c r="I3569" s="7">
        <v>2</v>
      </c>
      <c r="J3569" s="7">
        <v>8</v>
      </c>
      <c r="L3569" s="7">
        <f t="shared" si="1481"/>
        <v>10</v>
      </c>
      <c r="M3569" s="8">
        <v>1</v>
      </c>
      <c r="N3569" s="8">
        <f t="shared" si="1474"/>
        <v>1</v>
      </c>
      <c r="O3569" s="11" t="s">
        <v>1702</v>
      </c>
      <c r="P3569" s="16" t="str">
        <f t="shared" si="1482"/>
        <v>18-Dec-1914</v>
      </c>
      <c r="R3569" s="16" t="str">
        <f t="shared" si="1463"/>
        <v>x</v>
      </c>
      <c r="S3569" s="16" t="str">
        <f t="shared" si="1463"/>
        <v>x</v>
      </c>
      <c r="U3569" s="46" t="str">
        <f t="shared" si="1464"/>
        <v/>
      </c>
      <c r="V3569" s="46">
        <f t="shared" si="1464"/>
        <v>10</v>
      </c>
      <c r="W3569" s="46" t="str">
        <f t="shared" si="1464"/>
        <v/>
      </c>
      <c r="X3569" s="46" t="str">
        <f t="shared" si="1464"/>
        <v/>
      </c>
    </row>
    <row r="3570" spans="2:24" x14ac:dyDescent="0.25">
      <c r="B3570" s="11" t="str">
        <f t="shared" ref="B3570:B3583" si="1483">CONCATENATE("LTRN","-",LEFT(P3570,2),UPPER(MID(P3570,4,3)),RIGHT(P3570,4))</f>
        <v>LTRN-19JAN1915</v>
      </c>
      <c r="C3570" s="11" t="s">
        <v>1698</v>
      </c>
      <c r="D3570" s="11" t="s">
        <v>1699</v>
      </c>
      <c r="E3570" s="39" t="s">
        <v>1948</v>
      </c>
      <c r="F3570" s="11" t="s">
        <v>1700</v>
      </c>
      <c r="G3570" s="39" t="s">
        <v>1949</v>
      </c>
      <c r="H3570" s="7">
        <v>0</v>
      </c>
      <c r="I3570" s="7">
        <v>0</v>
      </c>
      <c r="J3570" s="7">
        <v>0</v>
      </c>
      <c r="L3570" s="7">
        <f t="shared" ref="L3570:L3583" si="1484">SUM(H3570:K3570)</f>
        <v>0</v>
      </c>
      <c r="M3570" s="8">
        <v>1</v>
      </c>
      <c r="N3570" s="8" t="str">
        <f t="shared" si="1474"/>
        <v/>
      </c>
      <c r="O3570" s="11" t="s">
        <v>1702</v>
      </c>
      <c r="P3570" s="16" t="str">
        <f t="shared" ref="P3570:P3583" si="1485">IF(LEN(G3570)=10,CONCATENATE("0",G3570),G3570)</f>
        <v>19-Jan-1915</v>
      </c>
      <c r="R3570" s="16" t="str">
        <f t="shared" si="1463"/>
        <v/>
      </c>
      <c r="S3570" s="16" t="str">
        <f t="shared" si="1463"/>
        <v/>
      </c>
      <c r="U3570" s="46" t="str">
        <f t="shared" si="1464"/>
        <v/>
      </c>
      <c r="V3570" s="46">
        <f t="shared" si="1464"/>
        <v>0</v>
      </c>
      <c r="W3570" s="46" t="str">
        <f t="shared" si="1464"/>
        <v/>
      </c>
      <c r="X3570" s="46" t="str">
        <f t="shared" si="1464"/>
        <v/>
      </c>
    </row>
    <row r="3571" spans="2:24" x14ac:dyDescent="0.25">
      <c r="B3571" s="11" t="str">
        <f t="shared" si="1483"/>
        <v>LTRN-23FEB1915</v>
      </c>
      <c r="C3571" s="11" t="s">
        <v>1698</v>
      </c>
      <c r="D3571" s="11" t="s">
        <v>1699</v>
      </c>
      <c r="E3571" s="39" t="s">
        <v>1950</v>
      </c>
      <c r="F3571" s="11" t="s">
        <v>1700</v>
      </c>
      <c r="G3571" s="39" t="s">
        <v>1951</v>
      </c>
      <c r="H3571" s="7">
        <v>0</v>
      </c>
      <c r="I3571" s="7">
        <v>0</v>
      </c>
      <c r="J3571" s="7">
        <v>0</v>
      </c>
      <c r="L3571" s="7">
        <f t="shared" si="1484"/>
        <v>0</v>
      </c>
      <c r="M3571" s="8">
        <v>1</v>
      </c>
      <c r="N3571" s="8" t="str">
        <f t="shared" si="1474"/>
        <v/>
      </c>
      <c r="O3571" s="11" t="s">
        <v>1702</v>
      </c>
      <c r="P3571" s="16" t="str">
        <f t="shared" si="1485"/>
        <v>23-Feb-1915</v>
      </c>
      <c r="R3571" s="16" t="str">
        <f t="shared" si="1463"/>
        <v/>
      </c>
      <c r="S3571" s="16" t="str">
        <f t="shared" si="1463"/>
        <v/>
      </c>
      <c r="U3571" s="46" t="str">
        <f t="shared" si="1464"/>
        <v/>
      </c>
      <c r="V3571" s="46">
        <f t="shared" si="1464"/>
        <v>0</v>
      </c>
      <c r="W3571" s="46" t="str">
        <f t="shared" si="1464"/>
        <v/>
      </c>
      <c r="X3571" s="46" t="str">
        <f t="shared" si="1464"/>
        <v/>
      </c>
    </row>
    <row r="3572" spans="2:24" x14ac:dyDescent="0.25">
      <c r="B3572" s="11" t="str">
        <f t="shared" si="1483"/>
        <v>LTRN-22MAR1915</v>
      </c>
      <c r="C3572" s="11" t="s">
        <v>1698</v>
      </c>
      <c r="D3572" s="11" t="s">
        <v>1699</v>
      </c>
      <c r="E3572" s="39" t="s">
        <v>1952</v>
      </c>
      <c r="F3572" s="11" t="s">
        <v>1700</v>
      </c>
      <c r="G3572" s="39" t="s">
        <v>1953</v>
      </c>
      <c r="H3572" s="7">
        <v>0</v>
      </c>
      <c r="I3572" s="7">
        <v>0</v>
      </c>
      <c r="J3572" s="7">
        <v>0</v>
      </c>
      <c r="L3572" s="7">
        <f t="shared" si="1484"/>
        <v>0</v>
      </c>
      <c r="M3572" s="8">
        <v>1</v>
      </c>
      <c r="N3572" s="8" t="str">
        <f t="shared" si="1474"/>
        <v/>
      </c>
      <c r="O3572" s="11" t="s">
        <v>1702</v>
      </c>
      <c r="P3572" s="16" t="str">
        <f t="shared" si="1485"/>
        <v>22-Mar-1915</v>
      </c>
      <c r="R3572" s="16" t="str">
        <f t="shared" si="1463"/>
        <v/>
      </c>
      <c r="S3572" s="16" t="str">
        <f t="shared" si="1463"/>
        <v/>
      </c>
      <c r="U3572" s="46" t="str">
        <f t="shared" si="1464"/>
        <v/>
      </c>
      <c r="V3572" s="46">
        <f t="shared" si="1464"/>
        <v>0</v>
      </c>
      <c r="W3572" s="46" t="str">
        <f t="shared" si="1464"/>
        <v/>
      </c>
      <c r="X3572" s="46" t="str">
        <f t="shared" si="1464"/>
        <v/>
      </c>
    </row>
    <row r="3573" spans="2:24" x14ac:dyDescent="0.25">
      <c r="B3573" s="11" t="str">
        <f t="shared" si="1483"/>
        <v>LTRN-24APR1915</v>
      </c>
      <c r="C3573" s="11" t="s">
        <v>1698</v>
      </c>
      <c r="D3573" s="11" t="s">
        <v>1956</v>
      </c>
      <c r="E3573" s="39" t="s">
        <v>1954</v>
      </c>
      <c r="F3573" s="11" t="s">
        <v>1700</v>
      </c>
      <c r="G3573" s="39" t="s">
        <v>1955</v>
      </c>
      <c r="H3573" s="7">
        <v>0</v>
      </c>
      <c r="I3573" s="7">
        <v>0</v>
      </c>
      <c r="J3573" s="7">
        <v>1</v>
      </c>
      <c r="L3573" s="7">
        <f t="shared" si="1484"/>
        <v>1</v>
      </c>
      <c r="M3573" s="8">
        <v>1</v>
      </c>
      <c r="N3573" s="8">
        <f t="shared" si="1474"/>
        <v>1</v>
      </c>
      <c r="O3573" s="11" t="s">
        <v>1702</v>
      </c>
      <c r="P3573" s="16" t="str">
        <f t="shared" si="1485"/>
        <v>24-Apr-1915</v>
      </c>
      <c r="R3573" s="16" t="str">
        <f t="shared" si="1463"/>
        <v>x</v>
      </c>
      <c r="S3573" s="16" t="str">
        <f t="shared" si="1463"/>
        <v>x</v>
      </c>
      <c r="T3573" s="11"/>
      <c r="U3573" s="46" t="str">
        <f t="shared" si="1464"/>
        <v/>
      </c>
      <c r="V3573" s="46">
        <f t="shared" si="1464"/>
        <v>1</v>
      </c>
      <c r="W3573" s="46" t="str">
        <f t="shared" si="1464"/>
        <v/>
      </c>
      <c r="X3573" s="46" t="str">
        <f t="shared" si="1464"/>
        <v/>
      </c>
    </row>
    <row r="3574" spans="2:24" x14ac:dyDescent="0.25">
      <c r="B3574" s="11" t="str">
        <f t="shared" si="1483"/>
        <v>LTRN-20JUL1915</v>
      </c>
      <c r="C3574" s="11" t="s">
        <v>1698</v>
      </c>
      <c r="D3574" s="11" t="s">
        <v>1956</v>
      </c>
      <c r="E3574" s="39" t="s">
        <v>1957</v>
      </c>
      <c r="F3574" s="11" t="s">
        <v>1700</v>
      </c>
      <c r="G3574" s="39" t="s">
        <v>1958</v>
      </c>
      <c r="H3574" s="7">
        <v>0</v>
      </c>
      <c r="I3574" s="7">
        <v>0</v>
      </c>
      <c r="J3574" s="7">
        <v>1</v>
      </c>
      <c r="L3574" s="7">
        <f t="shared" si="1484"/>
        <v>1</v>
      </c>
      <c r="M3574" s="8">
        <v>1</v>
      </c>
      <c r="N3574" s="8">
        <f t="shared" si="1474"/>
        <v>1</v>
      </c>
      <c r="O3574" s="11" t="s">
        <v>1702</v>
      </c>
      <c r="P3574" s="16" t="str">
        <f t="shared" si="1485"/>
        <v>20-Jul-1915</v>
      </c>
      <c r="R3574" s="16" t="str">
        <f t="shared" si="1463"/>
        <v>x</v>
      </c>
      <c r="S3574" s="16" t="str">
        <f t="shared" si="1463"/>
        <v>x</v>
      </c>
      <c r="T3574" s="11"/>
      <c r="U3574" s="46" t="str">
        <f t="shared" si="1464"/>
        <v/>
      </c>
      <c r="V3574" s="46">
        <f t="shared" si="1464"/>
        <v>1</v>
      </c>
      <c r="W3574" s="46" t="str">
        <f t="shared" si="1464"/>
        <v/>
      </c>
      <c r="X3574" s="46" t="str">
        <f t="shared" si="1464"/>
        <v/>
      </c>
    </row>
    <row r="3575" spans="2:24" x14ac:dyDescent="0.25">
      <c r="B3575" s="11" t="str">
        <f t="shared" si="1483"/>
        <v>LTRN-18AUG1915</v>
      </c>
      <c r="C3575" s="11" t="s">
        <v>1698</v>
      </c>
      <c r="D3575" s="11" t="s">
        <v>1956</v>
      </c>
      <c r="E3575" s="39" t="s">
        <v>1959</v>
      </c>
      <c r="F3575" s="11" t="s">
        <v>1700</v>
      </c>
      <c r="G3575" s="39" t="s">
        <v>1960</v>
      </c>
      <c r="H3575" s="7">
        <v>0</v>
      </c>
      <c r="I3575" s="7">
        <v>0</v>
      </c>
      <c r="J3575" s="7">
        <v>0</v>
      </c>
      <c r="L3575" s="7">
        <f t="shared" si="1484"/>
        <v>0</v>
      </c>
      <c r="M3575" s="8">
        <v>1</v>
      </c>
      <c r="N3575" s="8" t="str">
        <f t="shared" si="1474"/>
        <v/>
      </c>
      <c r="O3575" s="11" t="s">
        <v>1702</v>
      </c>
      <c r="P3575" s="16" t="str">
        <f t="shared" si="1485"/>
        <v>18-Aug-1915</v>
      </c>
      <c r="R3575" s="16" t="str">
        <f t="shared" si="1463"/>
        <v/>
      </c>
      <c r="S3575" s="16" t="str">
        <f t="shared" si="1463"/>
        <v/>
      </c>
      <c r="T3575" s="11"/>
      <c r="U3575" s="46" t="str">
        <f t="shared" si="1464"/>
        <v/>
      </c>
      <c r="V3575" s="46">
        <f t="shared" si="1464"/>
        <v>0</v>
      </c>
      <c r="W3575" s="46" t="str">
        <f t="shared" si="1464"/>
        <v/>
      </c>
      <c r="X3575" s="46" t="str">
        <f t="shared" si="1464"/>
        <v/>
      </c>
    </row>
    <row r="3576" spans="2:24" x14ac:dyDescent="0.25">
      <c r="B3576" s="11" t="str">
        <f t="shared" si="1483"/>
        <v>LTRN-22SEP1915</v>
      </c>
      <c r="C3576" s="11" t="s">
        <v>1698</v>
      </c>
      <c r="D3576" s="11" t="s">
        <v>1956</v>
      </c>
      <c r="E3576" s="39" t="s">
        <v>1961</v>
      </c>
      <c r="F3576" s="11" t="s">
        <v>1700</v>
      </c>
      <c r="G3576" s="39" t="s">
        <v>1962</v>
      </c>
      <c r="H3576" s="7">
        <v>0</v>
      </c>
      <c r="I3576" s="7">
        <v>1</v>
      </c>
      <c r="J3576" s="7">
        <v>0</v>
      </c>
      <c r="L3576" s="7">
        <f t="shared" si="1484"/>
        <v>1</v>
      </c>
      <c r="M3576" s="8">
        <v>1</v>
      </c>
      <c r="N3576" s="8">
        <f t="shared" si="1474"/>
        <v>1</v>
      </c>
      <c r="O3576" s="11" t="s">
        <v>1702</v>
      </c>
      <c r="P3576" s="16" t="str">
        <f t="shared" si="1485"/>
        <v>22-Sep-1915</v>
      </c>
      <c r="R3576" s="16" t="str">
        <f t="shared" si="1463"/>
        <v>x</v>
      </c>
      <c r="S3576" s="16" t="str">
        <f t="shared" si="1463"/>
        <v>x</v>
      </c>
      <c r="T3576" s="11"/>
      <c r="U3576" s="46" t="str">
        <f t="shared" si="1464"/>
        <v/>
      </c>
      <c r="V3576" s="46">
        <f t="shared" si="1464"/>
        <v>1</v>
      </c>
      <c r="W3576" s="46" t="str">
        <f t="shared" si="1464"/>
        <v/>
      </c>
      <c r="X3576" s="46" t="str">
        <f t="shared" si="1464"/>
        <v/>
      </c>
    </row>
    <row r="3577" spans="2:24" x14ac:dyDescent="0.25">
      <c r="B3577" s="11" t="str">
        <f t="shared" si="1483"/>
        <v>LTRN-23OCT1915</v>
      </c>
      <c r="C3577" s="11" t="s">
        <v>1698</v>
      </c>
      <c r="D3577" s="11" t="s">
        <v>1956</v>
      </c>
      <c r="E3577" s="39" t="s">
        <v>1963</v>
      </c>
      <c r="F3577" s="11" t="s">
        <v>1700</v>
      </c>
      <c r="G3577" s="39" t="s">
        <v>1964</v>
      </c>
      <c r="H3577" s="7">
        <v>0</v>
      </c>
      <c r="I3577" s="7">
        <v>0</v>
      </c>
      <c r="J3577" s="7">
        <v>0</v>
      </c>
      <c r="L3577" s="7">
        <f t="shared" si="1484"/>
        <v>0</v>
      </c>
      <c r="M3577" s="8">
        <v>1</v>
      </c>
      <c r="N3577" s="8" t="str">
        <f t="shared" si="1474"/>
        <v/>
      </c>
      <c r="O3577" s="11" t="s">
        <v>1702</v>
      </c>
      <c r="P3577" s="16" t="str">
        <f t="shared" si="1485"/>
        <v>23-Oct-1915</v>
      </c>
      <c r="R3577" s="16" t="str">
        <f t="shared" si="1463"/>
        <v/>
      </c>
      <c r="S3577" s="16" t="str">
        <f t="shared" si="1463"/>
        <v/>
      </c>
      <c r="T3577" s="11"/>
      <c r="U3577" s="46" t="str">
        <f t="shared" si="1464"/>
        <v/>
      </c>
      <c r="V3577" s="46">
        <f t="shared" si="1464"/>
        <v>0</v>
      </c>
      <c r="W3577" s="46" t="str">
        <f t="shared" si="1464"/>
        <v/>
      </c>
      <c r="X3577" s="46" t="str">
        <f t="shared" si="1464"/>
        <v/>
      </c>
    </row>
    <row r="3578" spans="2:24" x14ac:dyDescent="0.25">
      <c r="B3578" s="11" t="str">
        <f t="shared" si="1483"/>
        <v>LTRN-26NOV1915</v>
      </c>
      <c r="C3578" s="11" t="s">
        <v>1698</v>
      </c>
      <c r="D3578" s="11" t="s">
        <v>1956</v>
      </c>
      <c r="E3578" s="39" t="s">
        <v>1965</v>
      </c>
      <c r="F3578" s="11" t="s">
        <v>1700</v>
      </c>
      <c r="G3578" s="39" t="s">
        <v>1966</v>
      </c>
      <c r="H3578" s="7">
        <v>0</v>
      </c>
      <c r="I3578" s="7">
        <v>0</v>
      </c>
      <c r="J3578" s="7">
        <v>0</v>
      </c>
      <c r="L3578" s="7">
        <f t="shared" si="1484"/>
        <v>0</v>
      </c>
      <c r="M3578" s="8">
        <v>1</v>
      </c>
      <c r="N3578" s="8" t="str">
        <f t="shared" si="1474"/>
        <v/>
      </c>
      <c r="O3578" s="11" t="s">
        <v>1702</v>
      </c>
      <c r="P3578" s="16" t="str">
        <f t="shared" si="1485"/>
        <v>26-Nov-1915</v>
      </c>
      <c r="R3578" s="16" t="str">
        <f t="shared" si="1463"/>
        <v/>
      </c>
      <c r="S3578" s="16" t="str">
        <f t="shared" si="1463"/>
        <v/>
      </c>
      <c r="T3578" s="11"/>
      <c r="U3578" s="46" t="str">
        <f t="shared" si="1464"/>
        <v/>
      </c>
      <c r="V3578" s="46">
        <f t="shared" si="1464"/>
        <v>0</v>
      </c>
      <c r="W3578" s="46" t="str">
        <f t="shared" si="1464"/>
        <v/>
      </c>
      <c r="X3578" s="46" t="str">
        <f t="shared" si="1464"/>
        <v/>
      </c>
    </row>
    <row r="3579" spans="2:24" x14ac:dyDescent="0.25">
      <c r="B3579" s="11" t="str">
        <f t="shared" si="1483"/>
        <v>LTRN-06JAN1916</v>
      </c>
      <c r="C3579" s="11" t="s">
        <v>1698</v>
      </c>
      <c r="D3579" s="11" t="s">
        <v>1956</v>
      </c>
      <c r="E3579" s="39" t="s">
        <v>1966</v>
      </c>
      <c r="F3579" s="11" t="s">
        <v>1700</v>
      </c>
      <c r="G3579" s="39" t="s">
        <v>1967</v>
      </c>
      <c r="H3579" s="7">
        <v>0</v>
      </c>
      <c r="I3579" s="7">
        <v>0</v>
      </c>
      <c r="J3579" s="7">
        <v>0</v>
      </c>
      <c r="L3579" s="7">
        <f t="shared" si="1484"/>
        <v>0</v>
      </c>
      <c r="M3579" s="8">
        <v>1</v>
      </c>
      <c r="N3579" s="8" t="str">
        <f t="shared" si="1474"/>
        <v/>
      </c>
      <c r="O3579" s="11" t="s">
        <v>1702</v>
      </c>
      <c r="P3579" s="16" t="str">
        <f t="shared" si="1485"/>
        <v>06-Jan-1916</v>
      </c>
      <c r="R3579" s="16" t="str">
        <f t="shared" ref="R3579:S3632" si="1486">IF($L3579&gt;0,"x","")</f>
        <v/>
      </c>
      <c r="S3579" s="16" t="str">
        <f t="shared" si="1486"/>
        <v/>
      </c>
      <c r="T3579" s="11"/>
      <c r="U3579" s="46" t="str">
        <f t="shared" si="1464"/>
        <v/>
      </c>
      <c r="V3579" s="46">
        <f t="shared" si="1464"/>
        <v>0</v>
      </c>
      <c r="W3579" s="46" t="str">
        <f t="shared" si="1464"/>
        <v/>
      </c>
      <c r="X3579" s="46" t="str">
        <f t="shared" si="1464"/>
        <v/>
      </c>
    </row>
    <row r="3580" spans="2:24" x14ac:dyDescent="0.25">
      <c r="B3580" s="11" t="str">
        <f t="shared" si="1483"/>
        <v>LTRN-10FEB1916</v>
      </c>
      <c r="C3580" s="11" t="s">
        <v>1698</v>
      </c>
      <c r="D3580" s="11" t="s">
        <v>1956</v>
      </c>
      <c r="E3580" s="39" t="s">
        <v>1970</v>
      </c>
      <c r="F3580" s="11" t="s">
        <v>1700</v>
      </c>
      <c r="G3580" s="39" t="s">
        <v>1968</v>
      </c>
      <c r="H3580" s="7">
        <v>0</v>
      </c>
      <c r="I3580" s="7">
        <v>0</v>
      </c>
      <c r="J3580" s="7">
        <v>0</v>
      </c>
      <c r="L3580" s="7">
        <f t="shared" si="1484"/>
        <v>0</v>
      </c>
      <c r="M3580" s="8">
        <v>1</v>
      </c>
      <c r="N3580" s="8" t="str">
        <f t="shared" si="1474"/>
        <v/>
      </c>
      <c r="O3580" s="11" t="s">
        <v>1702</v>
      </c>
      <c r="P3580" s="16" t="str">
        <f t="shared" si="1485"/>
        <v>10-Feb-1916</v>
      </c>
      <c r="R3580" s="16" t="str">
        <f t="shared" si="1486"/>
        <v/>
      </c>
      <c r="S3580" s="16" t="str">
        <f t="shared" si="1486"/>
        <v/>
      </c>
      <c r="T3580" s="11"/>
      <c r="U3580" s="46" t="str">
        <f t="shared" si="1464"/>
        <v/>
      </c>
      <c r="V3580" s="46">
        <f t="shared" si="1464"/>
        <v>0</v>
      </c>
      <c r="W3580" s="46" t="str">
        <f t="shared" si="1464"/>
        <v/>
      </c>
      <c r="X3580" s="46" t="str">
        <f t="shared" si="1464"/>
        <v/>
      </c>
    </row>
    <row r="3581" spans="2:24" x14ac:dyDescent="0.25">
      <c r="B3581" s="11" t="str">
        <f t="shared" si="1483"/>
        <v>LTRN-16MAR1916</v>
      </c>
      <c r="C3581" s="11" t="s">
        <v>1698</v>
      </c>
      <c r="D3581" s="11" t="s">
        <v>1956</v>
      </c>
      <c r="E3581" s="39" t="s">
        <v>1969</v>
      </c>
      <c r="F3581" s="11" t="s">
        <v>1700</v>
      </c>
      <c r="G3581" s="39" t="s">
        <v>1971</v>
      </c>
      <c r="H3581" s="7">
        <v>0</v>
      </c>
      <c r="I3581" s="7">
        <v>0</v>
      </c>
      <c r="J3581" s="7">
        <v>1</v>
      </c>
      <c r="L3581" s="7">
        <f t="shared" si="1484"/>
        <v>1</v>
      </c>
      <c r="M3581" s="8">
        <v>1</v>
      </c>
      <c r="N3581" s="8">
        <f t="shared" si="1474"/>
        <v>1</v>
      </c>
      <c r="O3581" s="11" t="s">
        <v>1702</v>
      </c>
      <c r="P3581" s="16" t="str">
        <f t="shared" si="1485"/>
        <v>16-Mar-1916</v>
      </c>
      <c r="R3581" s="16" t="str">
        <f t="shared" si="1486"/>
        <v>x</v>
      </c>
      <c r="S3581" s="16" t="str">
        <f t="shared" si="1486"/>
        <v>x</v>
      </c>
      <c r="T3581" s="11"/>
      <c r="U3581" s="46" t="str">
        <f t="shared" si="1464"/>
        <v/>
      </c>
      <c r="V3581" s="46">
        <f t="shared" si="1464"/>
        <v>1</v>
      </c>
      <c r="W3581" s="46" t="str">
        <f t="shared" si="1464"/>
        <v/>
      </c>
      <c r="X3581" s="46" t="str">
        <f t="shared" si="1464"/>
        <v/>
      </c>
    </row>
    <row r="3582" spans="2:24" x14ac:dyDescent="0.25">
      <c r="B3582" s="11" t="str">
        <f t="shared" si="1483"/>
        <v>LTRN-09MAY1916</v>
      </c>
      <c r="C3582" s="11" t="s">
        <v>1698</v>
      </c>
      <c r="D3582" s="11" t="s">
        <v>1956</v>
      </c>
      <c r="E3582" s="39" t="s">
        <v>1972</v>
      </c>
      <c r="F3582" s="11" t="s">
        <v>1700</v>
      </c>
      <c r="G3582" s="39" t="s">
        <v>1973</v>
      </c>
      <c r="H3582" s="7">
        <v>0</v>
      </c>
      <c r="I3582" s="7">
        <v>1</v>
      </c>
      <c r="J3582" s="7">
        <v>1</v>
      </c>
      <c r="L3582" s="7">
        <f t="shared" si="1484"/>
        <v>2</v>
      </c>
      <c r="M3582" s="8">
        <v>1</v>
      </c>
      <c r="N3582" s="8">
        <f t="shared" si="1474"/>
        <v>1</v>
      </c>
      <c r="O3582" s="11" t="s">
        <v>1702</v>
      </c>
      <c r="P3582" s="16" t="str">
        <f t="shared" si="1485"/>
        <v>09-May-1916</v>
      </c>
      <c r="R3582" s="16" t="str">
        <f t="shared" si="1486"/>
        <v>x</v>
      </c>
      <c r="S3582" s="16" t="str">
        <f t="shared" si="1486"/>
        <v>x</v>
      </c>
      <c r="T3582" s="11"/>
      <c r="U3582" s="46" t="str">
        <f t="shared" si="1464"/>
        <v/>
      </c>
      <c r="V3582" s="46">
        <f t="shared" si="1464"/>
        <v>2</v>
      </c>
      <c r="W3582" s="46" t="str">
        <f t="shared" si="1464"/>
        <v/>
      </c>
      <c r="X3582" s="46" t="str">
        <f>IF($O3582=X$5,$L3582,"")</f>
        <v/>
      </c>
    </row>
    <row r="3583" spans="2:24" x14ac:dyDescent="0.25">
      <c r="B3583" s="11" t="str">
        <f t="shared" si="1483"/>
        <v>LTRN-13JUN1916</v>
      </c>
      <c r="C3583" s="11" t="s">
        <v>1698</v>
      </c>
      <c r="D3583" s="11" t="s">
        <v>1956</v>
      </c>
      <c r="E3583" s="39" t="s">
        <v>1974</v>
      </c>
      <c r="F3583" s="11" t="s">
        <v>1700</v>
      </c>
      <c r="G3583" s="39" t="s">
        <v>1975</v>
      </c>
      <c r="H3583" s="7">
        <v>0</v>
      </c>
      <c r="I3583" s="7">
        <v>0</v>
      </c>
      <c r="J3583" s="7">
        <v>1</v>
      </c>
      <c r="L3583" s="7">
        <f t="shared" si="1484"/>
        <v>1</v>
      </c>
      <c r="M3583" s="8">
        <v>1</v>
      </c>
      <c r="N3583" s="8">
        <f t="shared" si="1474"/>
        <v>1</v>
      </c>
      <c r="O3583" s="11" t="s">
        <v>1702</v>
      </c>
      <c r="P3583" s="16" t="str">
        <f t="shared" si="1485"/>
        <v>13-Jun-1916</v>
      </c>
      <c r="R3583" s="16" t="str">
        <f t="shared" si="1486"/>
        <v>x</v>
      </c>
      <c r="S3583" s="16" t="str">
        <f t="shared" si="1486"/>
        <v>x</v>
      </c>
      <c r="T3583" s="11"/>
      <c r="U3583" s="46" t="str">
        <f t="shared" ref="U3583:X3661" si="1487">IF($O3583=U$5,$L3583,"")</f>
        <v/>
      </c>
      <c r="V3583" s="46">
        <f t="shared" si="1487"/>
        <v>1</v>
      </c>
      <c r="W3583" s="46" t="str">
        <f t="shared" si="1487"/>
        <v/>
      </c>
      <c r="X3583" s="46" t="str">
        <f t="shared" si="1487"/>
        <v/>
      </c>
    </row>
    <row r="3584" spans="2:24" x14ac:dyDescent="0.25">
      <c r="B3584" s="11" t="str">
        <f t="shared" ref="B3584:B3608" si="1488">CONCATENATE("LTRN","-",LEFT(P3584,2),UPPER(MID(P3584,4,3)),RIGHT(P3584,4))</f>
        <v>LTRN-12JUL1916</v>
      </c>
      <c r="C3584" s="11" t="s">
        <v>1698</v>
      </c>
      <c r="D3584" s="11" t="s">
        <v>1956</v>
      </c>
      <c r="E3584" s="39" t="s">
        <v>1976</v>
      </c>
      <c r="F3584" s="11" t="s">
        <v>1700</v>
      </c>
      <c r="G3584" s="39" t="s">
        <v>1977</v>
      </c>
      <c r="H3584" s="7">
        <v>0</v>
      </c>
      <c r="I3584" s="7">
        <v>0</v>
      </c>
      <c r="J3584" s="7">
        <v>0</v>
      </c>
      <c r="L3584" s="7">
        <f t="shared" ref="L3584:L3608" si="1489">SUM(H3584:K3584)</f>
        <v>0</v>
      </c>
      <c r="M3584" s="8">
        <v>1</v>
      </c>
      <c r="N3584" s="8" t="str">
        <f t="shared" si="1474"/>
        <v/>
      </c>
      <c r="O3584" s="11" t="s">
        <v>1702</v>
      </c>
      <c r="P3584" s="16" t="str">
        <f t="shared" ref="P3584:P3608" si="1490">IF(LEN(G3584)=10,CONCATENATE("0",G3584),G3584)</f>
        <v>12-Jul-1916</v>
      </c>
      <c r="R3584" s="16" t="str">
        <f t="shared" si="1486"/>
        <v/>
      </c>
      <c r="S3584" s="16" t="str">
        <f t="shared" si="1486"/>
        <v/>
      </c>
      <c r="T3584" s="11"/>
      <c r="U3584" s="46" t="str">
        <f t="shared" si="1487"/>
        <v/>
      </c>
      <c r="V3584" s="46">
        <f t="shared" si="1487"/>
        <v>0</v>
      </c>
      <c r="W3584" s="46" t="str">
        <f t="shared" si="1487"/>
        <v/>
      </c>
      <c r="X3584" s="46" t="str">
        <f t="shared" si="1487"/>
        <v/>
      </c>
    </row>
    <row r="3585" spans="2:26" x14ac:dyDescent="0.25">
      <c r="B3585" s="11" t="str">
        <f t="shared" si="1488"/>
        <v>LTRN-15AUG1916</v>
      </c>
      <c r="C3585" s="11" t="s">
        <v>1698</v>
      </c>
      <c r="D3585" s="11" t="s">
        <v>1956</v>
      </c>
      <c r="E3585" s="39" t="s">
        <v>1978</v>
      </c>
      <c r="F3585" s="11" t="s">
        <v>1700</v>
      </c>
      <c r="G3585" s="39" t="s">
        <v>1979</v>
      </c>
      <c r="H3585" s="7">
        <v>0</v>
      </c>
      <c r="I3585" s="7">
        <v>0</v>
      </c>
      <c r="J3585" s="7">
        <v>0</v>
      </c>
      <c r="L3585" s="7">
        <f t="shared" si="1489"/>
        <v>0</v>
      </c>
      <c r="M3585" s="8">
        <v>1</v>
      </c>
      <c r="N3585" s="8" t="str">
        <f t="shared" si="1474"/>
        <v/>
      </c>
      <c r="O3585" s="11" t="s">
        <v>1702</v>
      </c>
      <c r="P3585" s="16" t="str">
        <f t="shared" si="1490"/>
        <v>15-Aug-1916</v>
      </c>
      <c r="R3585" s="16" t="str">
        <f t="shared" si="1486"/>
        <v/>
      </c>
      <c r="S3585" s="16" t="str">
        <f t="shared" si="1486"/>
        <v/>
      </c>
      <c r="T3585" s="11"/>
      <c r="U3585" s="46" t="str">
        <f t="shared" si="1487"/>
        <v/>
      </c>
      <c r="V3585" s="46">
        <f t="shared" si="1487"/>
        <v>0</v>
      </c>
      <c r="W3585" s="46" t="str">
        <f t="shared" si="1487"/>
        <v/>
      </c>
      <c r="X3585" s="46" t="str">
        <f t="shared" si="1487"/>
        <v/>
      </c>
    </row>
    <row r="3586" spans="2:26" x14ac:dyDescent="0.25">
      <c r="B3586" s="11" t="str">
        <f t="shared" si="1488"/>
        <v>LTRN-14SEP1916</v>
      </c>
      <c r="C3586" s="11" t="s">
        <v>1698</v>
      </c>
      <c r="D3586" s="11" t="s">
        <v>1956</v>
      </c>
      <c r="E3586" s="39" t="s">
        <v>1980</v>
      </c>
      <c r="F3586" s="11" t="s">
        <v>1700</v>
      </c>
      <c r="G3586" s="39" t="s">
        <v>1981</v>
      </c>
      <c r="H3586" s="7">
        <v>0</v>
      </c>
      <c r="I3586" s="7">
        <v>0</v>
      </c>
      <c r="J3586" s="7">
        <v>1</v>
      </c>
      <c r="L3586" s="7">
        <f t="shared" si="1489"/>
        <v>1</v>
      </c>
      <c r="M3586" s="8">
        <v>1</v>
      </c>
      <c r="N3586" s="8">
        <f t="shared" si="1474"/>
        <v>1</v>
      </c>
      <c r="O3586" s="11" t="s">
        <v>1702</v>
      </c>
      <c r="P3586" s="16" t="str">
        <f t="shared" si="1490"/>
        <v>14-Sep-1916</v>
      </c>
      <c r="R3586" s="16" t="str">
        <f t="shared" si="1486"/>
        <v>x</v>
      </c>
      <c r="S3586" s="16" t="str">
        <f t="shared" si="1486"/>
        <v>x</v>
      </c>
      <c r="T3586" s="11"/>
      <c r="U3586" s="46" t="str">
        <f t="shared" si="1487"/>
        <v/>
      </c>
      <c r="V3586" s="46">
        <f t="shared" si="1487"/>
        <v>1</v>
      </c>
      <c r="W3586" s="46" t="str">
        <f t="shared" si="1487"/>
        <v/>
      </c>
      <c r="X3586" s="46" t="str">
        <f t="shared" si="1487"/>
        <v/>
      </c>
    </row>
    <row r="3587" spans="2:26" x14ac:dyDescent="0.25">
      <c r="B3587" s="11" t="str">
        <f t="shared" si="1488"/>
        <v>LTRN-21NOV1916</v>
      </c>
      <c r="C3587" s="11" t="s">
        <v>1698</v>
      </c>
      <c r="D3587" s="11" t="s">
        <v>1956</v>
      </c>
      <c r="E3587" s="39" t="s">
        <v>1982</v>
      </c>
      <c r="F3587" s="11" t="s">
        <v>1700</v>
      </c>
      <c r="G3587" s="39" t="s">
        <v>1983</v>
      </c>
      <c r="H3587" s="7">
        <v>0</v>
      </c>
      <c r="I3587" s="7">
        <v>0</v>
      </c>
      <c r="J3587" s="7">
        <v>2</v>
      </c>
      <c r="L3587" s="7">
        <f t="shared" si="1489"/>
        <v>2</v>
      </c>
      <c r="M3587" s="8">
        <v>1</v>
      </c>
      <c r="N3587" s="8">
        <f t="shared" si="1474"/>
        <v>1</v>
      </c>
      <c r="O3587" s="11" t="s">
        <v>1702</v>
      </c>
      <c r="P3587" s="16" t="str">
        <f t="shared" si="1490"/>
        <v>21-Nov-1916</v>
      </c>
      <c r="R3587" s="16" t="str">
        <f t="shared" si="1486"/>
        <v>x</v>
      </c>
      <c r="S3587" s="16" t="str">
        <f t="shared" si="1486"/>
        <v>x</v>
      </c>
      <c r="T3587" s="11"/>
      <c r="U3587" s="46" t="str">
        <f t="shared" si="1487"/>
        <v/>
      </c>
      <c r="V3587" s="46">
        <f t="shared" si="1487"/>
        <v>2</v>
      </c>
      <c r="W3587" s="46" t="str">
        <f t="shared" si="1487"/>
        <v/>
      </c>
      <c r="X3587" s="46" t="str">
        <f t="shared" si="1487"/>
        <v/>
      </c>
    </row>
    <row r="3588" spans="2:26" x14ac:dyDescent="0.25">
      <c r="B3588" s="11" t="str">
        <f t="shared" si="1488"/>
        <v>LTRN-23DEC1916</v>
      </c>
      <c r="C3588" s="11" t="s">
        <v>1698</v>
      </c>
      <c r="D3588" s="11" t="s">
        <v>1956</v>
      </c>
      <c r="E3588" s="39" t="s">
        <v>1984</v>
      </c>
      <c r="F3588" s="11" t="s">
        <v>1700</v>
      </c>
      <c r="G3588" s="39" t="s">
        <v>1985</v>
      </c>
      <c r="H3588" s="7">
        <v>0</v>
      </c>
      <c r="I3588" s="7">
        <v>0</v>
      </c>
      <c r="J3588" s="7">
        <v>0</v>
      </c>
      <c r="L3588" s="7">
        <f t="shared" si="1489"/>
        <v>0</v>
      </c>
      <c r="M3588" s="8">
        <v>1</v>
      </c>
      <c r="N3588" s="8" t="str">
        <f t="shared" si="1474"/>
        <v/>
      </c>
      <c r="O3588" s="11" t="s">
        <v>1702</v>
      </c>
      <c r="P3588" s="16" t="str">
        <f t="shared" si="1490"/>
        <v>23-Dec-1916</v>
      </c>
      <c r="R3588" s="16" t="str">
        <f t="shared" si="1486"/>
        <v/>
      </c>
      <c r="S3588" s="16" t="str">
        <f t="shared" si="1486"/>
        <v/>
      </c>
      <c r="T3588" s="11"/>
      <c r="U3588" s="46" t="str">
        <f t="shared" si="1487"/>
        <v/>
      </c>
      <c r="V3588" s="46">
        <f t="shared" si="1487"/>
        <v>0</v>
      </c>
      <c r="W3588" s="46" t="str">
        <f t="shared" si="1487"/>
        <v/>
      </c>
      <c r="X3588" s="46" t="str">
        <f t="shared" si="1487"/>
        <v/>
      </c>
    </row>
    <row r="3589" spans="2:26" x14ac:dyDescent="0.25">
      <c r="B3589" s="11" t="str">
        <f t="shared" si="1488"/>
        <v>LTRN-26JAN1917</v>
      </c>
      <c r="C3589" s="11" t="s">
        <v>1698</v>
      </c>
      <c r="D3589" s="11" t="s">
        <v>1956</v>
      </c>
      <c r="E3589" s="39" t="s">
        <v>1986</v>
      </c>
      <c r="F3589" s="11" t="s">
        <v>1700</v>
      </c>
      <c r="G3589" s="39" t="s">
        <v>1987</v>
      </c>
      <c r="H3589" s="7">
        <v>1</v>
      </c>
      <c r="I3589" s="7">
        <v>1</v>
      </c>
      <c r="J3589" s="7">
        <v>0</v>
      </c>
      <c r="L3589" s="7">
        <f t="shared" si="1489"/>
        <v>2</v>
      </c>
      <c r="M3589" s="8">
        <v>1</v>
      </c>
      <c r="N3589" s="8">
        <f t="shared" si="1474"/>
        <v>1</v>
      </c>
      <c r="O3589" s="11" t="s">
        <v>1702</v>
      </c>
      <c r="P3589" s="16" t="str">
        <f t="shared" si="1490"/>
        <v>26-Jan-1917</v>
      </c>
      <c r="R3589" s="16" t="str">
        <f t="shared" si="1486"/>
        <v>x</v>
      </c>
      <c r="S3589" s="16" t="str">
        <f t="shared" si="1486"/>
        <v>x</v>
      </c>
      <c r="U3589" s="46" t="str">
        <f t="shared" si="1487"/>
        <v/>
      </c>
      <c r="V3589" s="46">
        <f t="shared" si="1487"/>
        <v>2</v>
      </c>
      <c r="W3589" s="46" t="str">
        <f t="shared" si="1487"/>
        <v/>
      </c>
      <c r="X3589" s="46" t="str">
        <f t="shared" si="1487"/>
        <v/>
      </c>
    </row>
    <row r="3590" spans="2:26" x14ac:dyDescent="0.25">
      <c r="B3590" s="11" t="str">
        <f t="shared" si="1488"/>
        <v>LTRN-03MAR1917</v>
      </c>
      <c r="C3590" s="11" t="s">
        <v>1698</v>
      </c>
      <c r="D3590" s="11" t="s">
        <v>1956</v>
      </c>
      <c r="F3590" s="11" t="s">
        <v>1700</v>
      </c>
      <c r="G3590" s="39" t="s">
        <v>1988</v>
      </c>
      <c r="H3590" s="7">
        <v>0</v>
      </c>
      <c r="I3590" s="7">
        <v>0</v>
      </c>
      <c r="J3590" s="7">
        <v>4</v>
      </c>
      <c r="L3590" s="7">
        <f t="shared" si="1489"/>
        <v>4</v>
      </c>
      <c r="M3590" s="8">
        <v>1</v>
      </c>
      <c r="N3590" s="8">
        <f t="shared" si="1474"/>
        <v>1</v>
      </c>
      <c r="O3590" s="11" t="s">
        <v>1702</v>
      </c>
      <c r="P3590" s="16" t="str">
        <f t="shared" si="1490"/>
        <v>03-Mar-1917</v>
      </c>
      <c r="R3590" s="16" t="str">
        <f t="shared" si="1486"/>
        <v>x</v>
      </c>
      <c r="S3590" s="16" t="str">
        <f t="shared" si="1486"/>
        <v>x</v>
      </c>
      <c r="U3590" s="46" t="str">
        <f t="shared" si="1487"/>
        <v/>
      </c>
      <c r="V3590" s="46">
        <f t="shared" si="1487"/>
        <v>4</v>
      </c>
      <c r="W3590" s="46" t="str">
        <f t="shared" si="1487"/>
        <v/>
      </c>
      <c r="X3590" s="46" t="str">
        <f t="shared" si="1487"/>
        <v/>
      </c>
      <c r="Z3590" s="11" t="s">
        <v>1927</v>
      </c>
    </row>
    <row r="3591" spans="2:26" x14ac:dyDescent="0.25">
      <c r="B3591" s="11" t="str">
        <f t="shared" si="1488"/>
        <v>LTRN-21APR1917</v>
      </c>
      <c r="C3591" s="11" t="s">
        <v>1698</v>
      </c>
      <c r="D3591" s="11" t="s">
        <v>1956</v>
      </c>
      <c r="E3591" s="39" t="s">
        <v>1989</v>
      </c>
      <c r="F3591" s="11" t="s">
        <v>1700</v>
      </c>
      <c r="G3591" s="39" t="s">
        <v>1990</v>
      </c>
      <c r="H3591" s="7">
        <v>0</v>
      </c>
      <c r="I3591" s="7">
        <v>0</v>
      </c>
      <c r="J3591" s="7">
        <v>0</v>
      </c>
      <c r="L3591" s="7">
        <f t="shared" si="1489"/>
        <v>0</v>
      </c>
      <c r="M3591" s="8">
        <v>1</v>
      </c>
      <c r="N3591" s="8" t="str">
        <f t="shared" si="1474"/>
        <v/>
      </c>
      <c r="O3591" s="11" t="s">
        <v>1702</v>
      </c>
      <c r="P3591" s="16" t="str">
        <f t="shared" si="1490"/>
        <v>21-Apr-1917</v>
      </c>
      <c r="R3591" s="16" t="str">
        <f t="shared" si="1486"/>
        <v/>
      </c>
      <c r="S3591" s="16" t="str">
        <f t="shared" si="1486"/>
        <v/>
      </c>
      <c r="U3591" s="46" t="str">
        <f t="shared" si="1487"/>
        <v/>
      </c>
      <c r="V3591" s="46">
        <f t="shared" si="1487"/>
        <v>0</v>
      </c>
      <c r="W3591" s="46" t="str">
        <f t="shared" si="1487"/>
        <v/>
      </c>
      <c r="X3591" s="46" t="str">
        <f t="shared" si="1487"/>
        <v/>
      </c>
    </row>
    <row r="3592" spans="2:26" x14ac:dyDescent="0.25">
      <c r="B3592" s="11" t="str">
        <f t="shared" si="1488"/>
        <v>LTRN-24MAY1917</v>
      </c>
      <c r="C3592" s="11" t="s">
        <v>1698</v>
      </c>
      <c r="D3592" s="11" t="s">
        <v>1956</v>
      </c>
      <c r="E3592" s="39" t="s">
        <v>1991</v>
      </c>
      <c r="F3592" s="11" t="s">
        <v>1700</v>
      </c>
      <c r="G3592" s="39" t="s">
        <v>1992</v>
      </c>
      <c r="H3592" s="7">
        <v>0</v>
      </c>
      <c r="I3592" s="7">
        <v>0</v>
      </c>
      <c r="J3592" s="7">
        <v>0</v>
      </c>
      <c r="L3592" s="7">
        <f t="shared" si="1489"/>
        <v>0</v>
      </c>
      <c r="M3592" s="8">
        <v>1</v>
      </c>
      <c r="N3592" s="8" t="str">
        <f t="shared" si="1474"/>
        <v/>
      </c>
      <c r="O3592" s="11" t="s">
        <v>1702</v>
      </c>
      <c r="P3592" s="16" t="str">
        <f t="shared" si="1490"/>
        <v>24-May-1917</v>
      </c>
      <c r="R3592" s="16" t="str">
        <f t="shared" si="1486"/>
        <v/>
      </c>
      <c r="S3592" s="16" t="str">
        <f t="shared" si="1486"/>
        <v/>
      </c>
      <c r="U3592" s="46" t="str">
        <f t="shared" si="1487"/>
        <v/>
      </c>
      <c r="V3592" s="46">
        <f t="shared" si="1487"/>
        <v>0</v>
      </c>
      <c r="W3592" s="46" t="str">
        <f t="shared" si="1487"/>
        <v/>
      </c>
      <c r="X3592" s="46" t="str">
        <f t="shared" si="1487"/>
        <v/>
      </c>
    </row>
    <row r="3593" spans="2:26" x14ac:dyDescent="0.25">
      <c r="B3593" s="11" t="str">
        <f t="shared" si="1488"/>
        <v>LTRN-02AUG1917</v>
      </c>
      <c r="C3593" s="11" t="s">
        <v>1698</v>
      </c>
      <c r="D3593" s="11" t="s">
        <v>1956</v>
      </c>
      <c r="E3593" s="39" t="s">
        <v>1993</v>
      </c>
      <c r="F3593" s="11" t="s">
        <v>1700</v>
      </c>
      <c r="G3593" s="39" t="s">
        <v>1994</v>
      </c>
      <c r="H3593" s="7">
        <v>0</v>
      </c>
      <c r="I3593" s="7">
        <v>0</v>
      </c>
      <c r="J3593" s="7">
        <v>3</v>
      </c>
      <c r="L3593" s="7">
        <f t="shared" si="1489"/>
        <v>3</v>
      </c>
      <c r="M3593" s="8">
        <v>1</v>
      </c>
      <c r="N3593" s="8">
        <f t="shared" si="1474"/>
        <v>1</v>
      </c>
      <c r="O3593" s="11" t="s">
        <v>1702</v>
      </c>
      <c r="P3593" s="16" t="str">
        <f t="shared" si="1490"/>
        <v>02-Aug-1917</v>
      </c>
      <c r="R3593" s="16" t="str">
        <f t="shared" si="1486"/>
        <v>x</v>
      </c>
      <c r="S3593" s="16" t="str">
        <f t="shared" si="1486"/>
        <v>x</v>
      </c>
      <c r="U3593" s="46" t="str">
        <f t="shared" si="1487"/>
        <v/>
      </c>
      <c r="V3593" s="46">
        <f t="shared" si="1487"/>
        <v>3</v>
      </c>
      <c r="W3593" s="46" t="str">
        <f t="shared" si="1487"/>
        <v/>
      </c>
      <c r="X3593" s="46" t="str">
        <f t="shared" si="1487"/>
        <v/>
      </c>
    </row>
    <row r="3594" spans="2:26" x14ac:dyDescent="0.25">
      <c r="B3594" s="11" t="str">
        <f t="shared" si="1488"/>
        <v>LTRN-09SEP1917</v>
      </c>
      <c r="C3594" s="11" t="s">
        <v>1698</v>
      </c>
      <c r="D3594" s="11" t="s">
        <v>1956</v>
      </c>
      <c r="E3594" s="39" t="s">
        <v>1995</v>
      </c>
      <c r="F3594" s="11" t="s">
        <v>1700</v>
      </c>
      <c r="G3594" s="39" t="s">
        <v>1996</v>
      </c>
      <c r="H3594" s="7">
        <v>0</v>
      </c>
      <c r="I3594" s="7">
        <v>0</v>
      </c>
      <c r="J3594" s="7">
        <v>0</v>
      </c>
      <c r="L3594" s="7">
        <f t="shared" si="1489"/>
        <v>0</v>
      </c>
      <c r="M3594" s="8">
        <v>1</v>
      </c>
      <c r="N3594" s="8" t="str">
        <f t="shared" si="1474"/>
        <v/>
      </c>
      <c r="O3594" s="11" t="s">
        <v>1702</v>
      </c>
      <c r="P3594" s="16" t="str">
        <f t="shared" si="1490"/>
        <v>09-Sep-1917</v>
      </c>
      <c r="R3594" s="16" t="str">
        <f t="shared" si="1486"/>
        <v/>
      </c>
      <c r="S3594" s="16" t="str">
        <f t="shared" si="1486"/>
        <v/>
      </c>
      <c r="U3594" s="46" t="str">
        <f t="shared" si="1487"/>
        <v/>
      </c>
      <c r="V3594" s="46">
        <f t="shared" si="1487"/>
        <v>0</v>
      </c>
      <c r="W3594" s="46" t="str">
        <f t="shared" si="1487"/>
        <v/>
      </c>
      <c r="X3594" s="46" t="str">
        <f t="shared" si="1487"/>
        <v/>
      </c>
    </row>
    <row r="3595" spans="2:26" x14ac:dyDescent="0.25">
      <c r="B3595" s="11" t="str">
        <f t="shared" si="1488"/>
        <v>LTRN-25OCT1917</v>
      </c>
      <c r="C3595" s="11" t="s">
        <v>1698</v>
      </c>
      <c r="D3595" s="11" t="s">
        <v>1956</v>
      </c>
      <c r="E3595" s="39" t="s">
        <v>1997</v>
      </c>
      <c r="F3595" s="11" t="s">
        <v>1700</v>
      </c>
      <c r="G3595" s="39" t="s">
        <v>1998</v>
      </c>
      <c r="H3595" s="7">
        <v>0</v>
      </c>
      <c r="I3595" s="7">
        <v>0</v>
      </c>
      <c r="J3595" s="7">
        <v>3</v>
      </c>
      <c r="L3595" s="7">
        <f t="shared" si="1489"/>
        <v>3</v>
      </c>
      <c r="M3595" s="8">
        <v>1</v>
      </c>
      <c r="N3595" s="8">
        <f t="shared" si="1474"/>
        <v>1</v>
      </c>
      <c r="O3595" s="11" t="s">
        <v>1702</v>
      </c>
      <c r="P3595" s="16" t="str">
        <f t="shared" si="1490"/>
        <v>25-Oct-1917</v>
      </c>
      <c r="R3595" s="16" t="str">
        <f t="shared" si="1486"/>
        <v>x</v>
      </c>
      <c r="S3595" s="16" t="str">
        <f t="shared" si="1486"/>
        <v>x</v>
      </c>
      <c r="U3595" s="46" t="str">
        <f t="shared" si="1487"/>
        <v/>
      </c>
      <c r="V3595" s="46">
        <f t="shared" si="1487"/>
        <v>3</v>
      </c>
      <c r="W3595" s="46" t="str">
        <f t="shared" si="1487"/>
        <v/>
      </c>
      <c r="X3595" s="46" t="str">
        <f t="shared" si="1487"/>
        <v/>
      </c>
    </row>
    <row r="3596" spans="2:26" x14ac:dyDescent="0.25">
      <c r="B3596" s="11" t="str">
        <f t="shared" si="1488"/>
        <v>LTRN-14DEC1917</v>
      </c>
      <c r="C3596" s="11" t="s">
        <v>1698</v>
      </c>
      <c r="D3596" s="11" t="s">
        <v>1956</v>
      </c>
      <c r="E3596" s="39" t="s">
        <v>1999</v>
      </c>
      <c r="F3596" s="11" t="s">
        <v>1700</v>
      </c>
      <c r="G3596" s="39" t="s">
        <v>2000</v>
      </c>
      <c r="H3596" s="7">
        <v>0</v>
      </c>
      <c r="I3596" s="7">
        <v>0</v>
      </c>
      <c r="J3596" s="7">
        <v>0</v>
      </c>
      <c r="L3596" s="7">
        <f t="shared" si="1489"/>
        <v>0</v>
      </c>
      <c r="M3596" s="8">
        <v>1</v>
      </c>
      <c r="N3596" s="8" t="str">
        <f t="shared" si="1474"/>
        <v/>
      </c>
      <c r="O3596" s="11" t="s">
        <v>1702</v>
      </c>
      <c r="P3596" s="16" t="str">
        <f t="shared" si="1490"/>
        <v>14-Dec-1917</v>
      </c>
      <c r="R3596" s="16" t="str">
        <f t="shared" si="1486"/>
        <v/>
      </c>
      <c r="S3596" s="16" t="str">
        <f t="shared" si="1486"/>
        <v/>
      </c>
      <c r="U3596" s="46" t="str">
        <f t="shared" si="1487"/>
        <v/>
      </c>
      <c r="V3596" s="46">
        <f t="shared" si="1487"/>
        <v>0</v>
      </c>
      <c r="W3596" s="46" t="str">
        <f t="shared" si="1487"/>
        <v/>
      </c>
      <c r="X3596" s="46" t="str">
        <f t="shared" si="1487"/>
        <v/>
      </c>
    </row>
    <row r="3597" spans="2:26" x14ac:dyDescent="0.25">
      <c r="B3597" s="11" t="str">
        <f t="shared" si="1488"/>
        <v>LTRN-02FEB1918</v>
      </c>
      <c r="C3597" s="11" t="s">
        <v>1698</v>
      </c>
      <c r="D3597" s="11" t="s">
        <v>1956</v>
      </c>
      <c r="E3597" s="39" t="s">
        <v>2001</v>
      </c>
      <c r="F3597" s="11" t="s">
        <v>1700</v>
      </c>
      <c r="G3597" s="39" t="s">
        <v>2002</v>
      </c>
      <c r="H3597" s="7">
        <v>0</v>
      </c>
      <c r="I3597" s="7">
        <v>0</v>
      </c>
      <c r="J3597" s="7">
        <v>0</v>
      </c>
      <c r="L3597" s="7">
        <f t="shared" si="1489"/>
        <v>0</v>
      </c>
      <c r="M3597" s="8">
        <v>1</v>
      </c>
      <c r="N3597" s="8" t="str">
        <f t="shared" si="1474"/>
        <v/>
      </c>
      <c r="O3597" s="11" t="s">
        <v>1702</v>
      </c>
      <c r="P3597" s="16" t="str">
        <f t="shared" si="1490"/>
        <v>02-Feb-1918</v>
      </c>
      <c r="R3597" s="16" t="str">
        <f t="shared" si="1486"/>
        <v/>
      </c>
      <c r="S3597" s="16" t="str">
        <f t="shared" si="1486"/>
        <v/>
      </c>
      <c r="U3597" s="46" t="str">
        <f t="shared" si="1487"/>
        <v/>
      </c>
      <c r="V3597" s="46">
        <f t="shared" si="1487"/>
        <v>0</v>
      </c>
      <c r="W3597" s="46" t="str">
        <f t="shared" si="1487"/>
        <v/>
      </c>
      <c r="X3597" s="46" t="str">
        <f t="shared" si="1487"/>
        <v/>
      </c>
    </row>
    <row r="3598" spans="2:26" x14ac:dyDescent="0.25">
      <c r="B3598" s="11" t="str">
        <f t="shared" si="1488"/>
        <v>LTRN-09MAR1918</v>
      </c>
      <c r="C3598" s="11" t="s">
        <v>1698</v>
      </c>
      <c r="D3598" s="11" t="s">
        <v>1956</v>
      </c>
      <c r="E3598" s="39" t="s">
        <v>2003</v>
      </c>
      <c r="F3598" s="11" t="s">
        <v>1700</v>
      </c>
      <c r="G3598" s="39" t="s">
        <v>2004</v>
      </c>
      <c r="H3598" s="7">
        <v>0</v>
      </c>
      <c r="I3598" s="7">
        <v>0</v>
      </c>
      <c r="J3598" s="7">
        <v>0</v>
      </c>
      <c r="L3598" s="7">
        <f t="shared" si="1489"/>
        <v>0</v>
      </c>
      <c r="M3598" s="8">
        <v>1</v>
      </c>
      <c r="N3598" s="8" t="str">
        <f t="shared" si="1474"/>
        <v/>
      </c>
      <c r="O3598" s="11" t="s">
        <v>1702</v>
      </c>
      <c r="P3598" s="16" t="str">
        <f t="shared" si="1490"/>
        <v>09-Mar-1918</v>
      </c>
      <c r="R3598" s="16" t="str">
        <f t="shared" si="1486"/>
        <v/>
      </c>
      <c r="S3598" s="16" t="str">
        <f t="shared" si="1486"/>
        <v/>
      </c>
      <c r="U3598" s="46" t="str">
        <f t="shared" si="1487"/>
        <v/>
      </c>
      <c r="V3598" s="46">
        <f t="shared" si="1487"/>
        <v>0</v>
      </c>
      <c r="W3598" s="46" t="str">
        <f t="shared" si="1487"/>
        <v/>
      </c>
      <c r="X3598" s="46" t="str">
        <f t="shared" si="1487"/>
        <v/>
      </c>
    </row>
    <row r="3599" spans="2:26" x14ac:dyDescent="0.25">
      <c r="B3599" s="11" t="str">
        <f t="shared" si="1488"/>
        <v>LTRN-19FEB1919</v>
      </c>
      <c r="C3599" s="11" t="s">
        <v>1698</v>
      </c>
      <c r="D3599" s="11" t="s">
        <v>1699</v>
      </c>
      <c r="E3599" s="39" t="s">
        <v>2005</v>
      </c>
      <c r="F3599" s="11" t="s">
        <v>1700</v>
      </c>
      <c r="G3599" s="39" t="s">
        <v>2006</v>
      </c>
      <c r="H3599" s="7">
        <v>0</v>
      </c>
      <c r="I3599" s="7">
        <v>0</v>
      </c>
      <c r="J3599" s="7">
        <v>0</v>
      </c>
      <c r="L3599" s="7">
        <f t="shared" si="1489"/>
        <v>0</v>
      </c>
      <c r="M3599" s="8">
        <v>1</v>
      </c>
      <c r="N3599" s="8" t="str">
        <f t="shared" si="1474"/>
        <v/>
      </c>
      <c r="O3599" s="11" t="s">
        <v>1702</v>
      </c>
      <c r="P3599" s="16" t="str">
        <f t="shared" si="1490"/>
        <v>19-Feb-1919</v>
      </c>
      <c r="R3599" s="16" t="str">
        <f t="shared" si="1486"/>
        <v/>
      </c>
      <c r="S3599" s="16" t="str">
        <f t="shared" si="1486"/>
        <v/>
      </c>
      <c r="U3599" s="46" t="str">
        <f t="shared" si="1487"/>
        <v/>
      </c>
      <c r="V3599" s="46">
        <f t="shared" si="1487"/>
        <v>0</v>
      </c>
      <c r="W3599" s="46" t="str">
        <f t="shared" si="1487"/>
        <v/>
      </c>
      <c r="X3599" s="46" t="str">
        <f t="shared" si="1487"/>
        <v/>
      </c>
    </row>
    <row r="3600" spans="2:26" x14ac:dyDescent="0.25">
      <c r="B3600" s="11" t="str">
        <f t="shared" si="1488"/>
        <v>LTRN-28MAR1919</v>
      </c>
      <c r="C3600" s="11" t="s">
        <v>1698</v>
      </c>
      <c r="D3600" s="11" t="s">
        <v>1699</v>
      </c>
      <c r="E3600" s="39" t="s">
        <v>2007</v>
      </c>
      <c r="F3600" s="11" t="s">
        <v>1700</v>
      </c>
      <c r="G3600" s="39" t="s">
        <v>2008</v>
      </c>
      <c r="H3600" s="7">
        <v>0</v>
      </c>
      <c r="I3600" s="7">
        <v>0</v>
      </c>
      <c r="J3600" s="7">
        <v>0</v>
      </c>
      <c r="L3600" s="7">
        <f t="shared" si="1489"/>
        <v>0</v>
      </c>
      <c r="M3600" s="8">
        <v>1</v>
      </c>
      <c r="N3600" s="8" t="str">
        <f t="shared" si="1474"/>
        <v/>
      </c>
      <c r="O3600" s="11" t="s">
        <v>1702</v>
      </c>
      <c r="P3600" s="16" t="str">
        <f t="shared" si="1490"/>
        <v>28-Mar-1919</v>
      </c>
      <c r="R3600" s="16" t="str">
        <f t="shared" si="1486"/>
        <v/>
      </c>
      <c r="S3600" s="16" t="str">
        <f t="shared" si="1486"/>
        <v/>
      </c>
      <c r="U3600" s="46" t="str">
        <f t="shared" si="1487"/>
        <v/>
      </c>
      <c r="V3600" s="46">
        <f t="shared" si="1487"/>
        <v>0</v>
      </c>
      <c r="W3600" s="46" t="str">
        <f t="shared" si="1487"/>
        <v/>
      </c>
      <c r="X3600" s="46" t="str">
        <f t="shared" si="1487"/>
        <v/>
      </c>
    </row>
    <row r="3601" spans="2:24" x14ac:dyDescent="0.25">
      <c r="B3601" s="11" t="str">
        <f t="shared" si="1488"/>
        <v>LTRN-25APR1919</v>
      </c>
      <c r="C3601" s="11" t="s">
        <v>1698</v>
      </c>
      <c r="D3601" s="11" t="s">
        <v>1699</v>
      </c>
      <c r="E3601" s="39" t="s">
        <v>2009</v>
      </c>
      <c r="F3601" s="11" t="s">
        <v>1700</v>
      </c>
      <c r="G3601" s="39" t="s">
        <v>2010</v>
      </c>
      <c r="H3601" s="7">
        <v>0</v>
      </c>
      <c r="I3601" s="7">
        <v>0</v>
      </c>
      <c r="J3601" s="7">
        <v>0</v>
      </c>
      <c r="L3601" s="7">
        <f t="shared" si="1489"/>
        <v>0</v>
      </c>
      <c r="M3601" s="8">
        <v>1</v>
      </c>
      <c r="N3601" s="8" t="str">
        <f t="shared" si="1474"/>
        <v/>
      </c>
      <c r="O3601" s="11" t="s">
        <v>1702</v>
      </c>
      <c r="P3601" s="16" t="str">
        <f t="shared" si="1490"/>
        <v>25-Apr-1919</v>
      </c>
      <c r="R3601" s="16" t="str">
        <f t="shared" si="1486"/>
        <v/>
      </c>
      <c r="S3601" s="16" t="str">
        <f t="shared" si="1486"/>
        <v/>
      </c>
      <c r="U3601" s="46" t="str">
        <f t="shared" si="1487"/>
        <v/>
      </c>
      <c r="V3601" s="46">
        <f t="shared" si="1487"/>
        <v>0</v>
      </c>
      <c r="W3601" s="46" t="str">
        <f t="shared" si="1487"/>
        <v/>
      </c>
      <c r="X3601" s="46" t="str">
        <f t="shared" si="1487"/>
        <v/>
      </c>
    </row>
    <row r="3602" spans="2:24" x14ac:dyDescent="0.25">
      <c r="B3602" s="11" t="str">
        <f t="shared" si="1488"/>
        <v>LTRN-26MAY1919</v>
      </c>
      <c r="C3602" s="11" t="s">
        <v>1698</v>
      </c>
      <c r="D3602" s="11" t="s">
        <v>1699</v>
      </c>
      <c r="E3602" s="39" t="s">
        <v>2011</v>
      </c>
      <c r="F3602" s="11" t="s">
        <v>1700</v>
      </c>
      <c r="G3602" s="39" t="s">
        <v>2012</v>
      </c>
      <c r="H3602" s="7">
        <v>0</v>
      </c>
      <c r="I3602" s="7">
        <v>0</v>
      </c>
      <c r="J3602" s="7">
        <v>15</v>
      </c>
      <c r="L3602" s="7">
        <f t="shared" si="1489"/>
        <v>15</v>
      </c>
      <c r="M3602" s="8">
        <v>1</v>
      </c>
      <c r="N3602" s="8">
        <f t="shared" si="1474"/>
        <v>1</v>
      </c>
      <c r="O3602" s="11" t="s">
        <v>1702</v>
      </c>
      <c r="P3602" s="16" t="str">
        <f t="shared" si="1490"/>
        <v>26-May-1919</v>
      </c>
      <c r="R3602" s="16" t="str">
        <f t="shared" si="1486"/>
        <v>x</v>
      </c>
      <c r="S3602" s="16" t="str">
        <f t="shared" si="1486"/>
        <v>x</v>
      </c>
      <c r="U3602" s="46" t="str">
        <f t="shared" si="1487"/>
        <v/>
      </c>
      <c r="V3602" s="46">
        <f t="shared" si="1487"/>
        <v>15</v>
      </c>
      <c r="W3602" s="46" t="str">
        <f t="shared" si="1487"/>
        <v/>
      </c>
      <c r="X3602" s="46" t="str">
        <f t="shared" si="1487"/>
        <v/>
      </c>
    </row>
    <row r="3603" spans="2:24" x14ac:dyDescent="0.25">
      <c r="B3603" s="11" t="str">
        <f t="shared" si="1488"/>
        <v>LTRN-23JUN1919</v>
      </c>
      <c r="C3603" s="11" t="s">
        <v>1698</v>
      </c>
      <c r="D3603" s="11" t="s">
        <v>1699</v>
      </c>
      <c r="E3603" s="39" t="s">
        <v>2013</v>
      </c>
      <c r="F3603" s="11" t="s">
        <v>1700</v>
      </c>
      <c r="G3603" s="39" t="s">
        <v>2014</v>
      </c>
      <c r="H3603" s="7">
        <v>0</v>
      </c>
      <c r="I3603" s="7">
        <v>0</v>
      </c>
      <c r="J3603" s="7">
        <v>1</v>
      </c>
      <c r="L3603" s="7">
        <f t="shared" si="1489"/>
        <v>1</v>
      </c>
      <c r="M3603" s="8">
        <v>1</v>
      </c>
      <c r="N3603" s="8">
        <f t="shared" si="1474"/>
        <v>1</v>
      </c>
      <c r="O3603" s="11" t="s">
        <v>1702</v>
      </c>
      <c r="P3603" s="16" t="str">
        <f t="shared" si="1490"/>
        <v>23-Jun-1919</v>
      </c>
      <c r="R3603" s="16" t="str">
        <f t="shared" si="1486"/>
        <v>x</v>
      </c>
      <c r="S3603" s="16" t="str">
        <f t="shared" si="1486"/>
        <v>x</v>
      </c>
      <c r="U3603" s="46" t="str">
        <f t="shared" si="1487"/>
        <v/>
      </c>
      <c r="V3603" s="46">
        <f t="shared" si="1487"/>
        <v>1</v>
      </c>
      <c r="W3603" s="46" t="str">
        <f t="shared" si="1487"/>
        <v/>
      </c>
      <c r="X3603" s="46" t="str">
        <f t="shared" si="1487"/>
        <v/>
      </c>
    </row>
    <row r="3604" spans="2:24" x14ac:dyDescent="0.25">
      <c r="B3604" s="11" t="str">
        <f t="shared" si="1488"/>
        <v>LTRN-24JUL1919</v>
      </c>
      <c r="C3604" s="11" t="s">
        <v>1698</v>
      </c>
      <c r="D3604" s="11" t="s">
        <v>1699</v>
      </c>
      <c r="E3604" s="39" t="s">
        <v>2015</v>
      </c>
      <c r="F3604" s="11" t="s">
        <v>1700</v>
      </c>
      <c r="G3604" s="39" t="s">
        <v>2016</v>
      </c>
      <c r="H3604" s="7">
        <v>0</v>
      </c>
      <c r="I3604" s="7">
        <v>0</v>
      </c>
      <c r="J3604" s="7">
        <v>3</v>
      </c>
      <c r="L3604" s="7">
        <f t="shared" si="1489"/>
        <v>3</v>
      </c>
      <c r="M3604" s="8">
        <v>1</v>
      </c>
      <c r="N3604" s="8">
        <f t="shared" si="1474"/>
        <v>1</v>
      </c>
      <c r="O3604" s="11" t="s">
        <v>1702</v>
      </c>
      <c r="P3604" s="16" t="str">
        <f t="shared" si="1490"/>
        <v>24-Jul-1919</v>
      </c>
      <c r="R3604" s="16" t="str">
        <f t="shared" si="1486"/>
        <v>x</v>
      </c>
      <c r="S3604" s="16" t="str">
        <f t="shared" si="1486"/>
        <v>x</v>
      </c>
      <c r="U3604" s="46" t="str">
        <f t="shared" si="1487"/>
        <v/>
      </c>
      <c r="V3604" s="46">
        <f t="shared" si="1487"/>
        <v>3</v>
      </c>
      <c r="W3604" s="46" t="str">
        <f t="shared" si="1487"/>
        <v/>
      </c>
      <c r="X3604" s="46" t="str">
        <f t="shared" si="1487"/>
        <v/>
      </c>
    </row>
    <row r="3605" spans="2:24" x14ac:dyDescent="0.25">
      <c r="B3605" s="11" t="str">
        <f t="shared" si="1488"/>
        <v>LTRN-21AUG1919</v>
      </c>
      <c r="C3605" s="11" t="s">
        <v>1698</v>
      </c>
      <c r="D3605" s="11" t="s">
        <v>1699</v>
      </c>
      <c r="E3605" s="39" t="s">
        <v>2017</v>
      </c>
      <c r="F3605" s="11" t="s">
        <v>1700</v>
      </c>
      <c r="G3605" s="39" t="s">
        <v>2018</v>
      </c>
      <c r="H3605" s="7">
        <v>0</v>
      </c>
      <c r="I3605" s="7">
        <v>0</v>
      </c>
      <c r="J3605" s="7">
        <v>0</v>
      </c>
      <c r="L3605" s="7">
        <f t="shared" si="1489"/>
        <v>0</v>
      </c>
      <c r="M3605" s="8">
        <v>1</v>
      </c>
      <c r="N3605" s="8" t="str">
        <f t="shared" si="1474"/>
        <v/>
      </c>
      <c r="O3605" s="11" t="s">
        <v>1702</v>
      </c>
      <c r="P3605" s="16" t="str">
        <f t="shared" si="1490"/>
        <v>21-Aug-1919</v>
      </c>
      <c r="R3605" s="16" t="str">
        <f t="shared" si="1486"/>
        <v/>
      </c>
      <c r="S3605" s="16" t="str">
        <f t="shared" si="1486"/>
        <v/>
      </c>
      <c r="T3605" s="11"/>
      <c r="U3605" s="46" t="str">
        <f t="shared" si="1487"/>
        <v/>
      </c>
      <c r="V3605" s="46">
        <f t="shared" si="1487"/>
        <v>0</v>
      </c>
      <c r="W3605" s="46" t="str">
        <f t="shared" si="1487"/>
        <v/>
      </c>
      <c r="X3605" s="46" t="str">
        <f t="shared" si="1487"/>
        <v/>
      </c>
    </row>
    <row r="3606" spans="2:24" x14ac:dyDescent="0.25">
      <c r="B3606" s="11" t="str">
        <f t="shared" si="1488"/>
        <v>LTRN-15SEP1919</v>
      </c>
      <c r="C3606" s="11" t="s">
        <v>1698</v>
      </c>
      <c r="D3606" s="11" t="s">
        <v>1699</v>
      </c>
      <c r="E3606" s="39" t="s">
        <v>2019</v>
      </c>
      <c r="F3606" s="11" t="s">
        <v>1700</v>
      </c>
      <c r="G3606" s="39" t="s">
        <v>2020</v>
      </c>
      <c r="H3606" s="7">
        <v>0</v>
      </c>
      <c r="I3606" s="7">
        <v>2</v>
      </c>
      <c r="J3606" s="7">
        <v>1</v>
      </c>
      <c r="L3606" s="7">
        <f t="shared" si="1489"/>
        <v>3</v>
      </c>
      <c r="M3606" s="8">
        <v>1</v>
      </c>
      <c r="N3606" s="8">
        <f t="shared" si="1474"/>
        <v>1</v>
      </c>
      <c r="O3606" s="11" t="s">
        <v>1702</v>
      </c>
      <c r="P3606" s="16" t="str">
        <f t="shared" si="1490"/>
        <v>15-Sep-1919</v>
      </c>
      <c r="R3606" s="16" t="str">
        <f t="shared" si="1486"/>
        <v>x</v>
      </c>
      <c r="S3606" s="16" t="str">
        <f t="shared" si="1486"/>
        <v>x</v>
      </c>
      <c r="T3606" s="11"/>
      <c r="U3606" s="46" t="str">
        <f t="shared" si="1487"/>
        <v/>
      </c>
      <c r="V3606" s="46">
        <f t="shared" si="1487"/>
        <v>3</v>
      </c>
      <c r="W3606" s="46" t="str">
        <f t="shared" si="1487"/>
        <v/>
      </c>
      <c r="X3606" s="46" t="str">
        <f t="shared" si="1487"/>
        <v/>
      </c>
    </row>
    <row r="3607" spans="2:24" x14ac:dyDescent="0.25">
      <c r="B3607" s="11" t="str">
        <f t="shared" si="1488"/>
        <v>LTRN-20OCT1919</v>
      </c>
      <c r="C3607" s="11" t="s">
        <v>1698</v>
      </c>
      <c r="D3607" s="11" t="s">
        <v>1699</v>
      </c>
      <c r="E3607" s="39" t="s">
        <v>2021</v>
      </c>
      <c r="F3607" s="11" t="s">
        <v>1700</v>
      </c>
      <c r="G3607" s="39" t="s">
        <v>2022</v>
      </c>
      <c r="H3607" s="7">
        <v>0</v>
      </c>
      <c r="I3607" s="7">
        <v>1</v>
      </c>
      <c r="J3607" s="7">
        <v>0</v>
      </c>
      <c r="L3607" s="7">
        <f t="shared" si="1489"/>
        <v>1</v>
      </c>
      <c r="M3607" s="8">
        <v>1</v>
      </c>
      <c r="N3607" s="8">
        <f t="shared" si="1474"/>
        <v>1</v>
      </c>
      <c r="O3607" s="11" t="s">
        <v>1702</v>
      </c>
      <c r="P3607" s="16" t="str">
        <f t="shared" si="1490"/>
        <v>20-Oct-1919</v>
      </c>
      <c r="R3607" s="16" t="str">
        <f t="shared" si="1486"/>
        <v>x</v>
      </c>
      <c r="S3607" s="16" t="str">
        <f t="shared" si="1486"/>
        <v>x</v>
      </c>
      <c r="T3607" s="11"/>
      <c r="U3607" s="46" t="str">
        <f t="shared" si="1487"/>
        <v/>
      </c>
      <c r="V3607" s="46">
        <f t="shared" si="1487"/>
        <v>1</v>
      </c>
      <c r="W3607" s="46" t="str">
        <f t="shared" si="1487"/>
        <v/>
      </c>
      <c r="X3607" s="46" t="str">
        <f t="shared" si="1487"/>
        <v/>
      </c>
    </row>
    <row r="3608" spans="2:24" x14ac:dyDescent="0.25">
      <c r="B3608" s="11" t="str">
        <f t="shared" si="1488"/>
        <v>LTRN-01DEC1919</v>
      </c>
      <c r="C3608" s="11" t="s">
        <v>1698</v>
      </c>
      <c r="D3608" s="11" t="s">
        <v>1699</v>
      </c>
      <c r="E3608" s="39" t="s">
        <v>2023</v>
      </c>
      <c r="F3608" s="11" t="s">
        <v>1700</v>
      </c>
      <c r="G3608" s="39" t="s">
        <v>2024</v>
      </c>
      <c r="H3608" s="7">
        <v>0</v>
      </c>
      <c r="I3608" s="7">
        <v>0</v>
      </c>
      <c r="J3608" s="7">
        <v>2</v>
      </c>
      <c r="L3608" s="7">
        <f t="shared" si="1489"/>
        <v>2</v>
      </c>
      <c r="M3608" s="8">
        <v>1</v>
      </c>
      <c r="N3608" s="8">
        <f t="shared" si="1474"/>
        <v>1</v>
      </c>
      <c r="O3608" s="11" t="s">
        <v>1702</v>
      </c>
      <c r="P3608" s="16" t="str">
        <f t="shared" si="1490"/>
        <v>01-Dec-1919</v>
      </c>
      <c r="R3608" s="16" t="str">
        <f t="shared" si="1486"/>
        <v>x</v>
      </c>
      <c r="S3608" s="16" t="str">
        <f t="shared" si="1486"/>
        <v>x</v>
      </c>
      <c r="T3608" s="11"/>
      <c r="U3608" s="46" t="str">
        <f t="shared" si="1487"/>
        <v/>
      </c>
      <c r="V3608" s="46">
        <f t="shared" si="1487"/>
        <v>2</v>
      </c>
      <c r="W3608" s="46" t="str">
        <f t="shared" si="1487"/>
        <v/>
      </c>
      <c r="X3608" s="46" t="str">
        <f t="shared" si="1487"/>
        <v/>
      </c>
    </row>
    <row r="3609" spans="2:24" x14ac:dyDescent="0.25">
      <c r="B3609" s="11" t="str">
        <f t="shared" ref="B3609:B3618" si="1491">CONCATENATE("LTRN","-",LEFT(P3609,2),UPPER(MID(P3609,4,3)),RIGHT(P3609,4))</f>
        <v>LTRN-06JAN1920</v>
      </c>
      <c r="C3609" s="11" t="s">
        <v>1698</v>
      </c>
      <c r="D3609" s="11" t="s">
        <v>1699</v>
      </c>
      <c r="E3609" s="39" t="s">
        <v>2025</v>
      </c>
      <c r="F3609" s="11" t="s">
        <v>1700</v>
      </c>
      <c r="G3609" s="39" t="s">
        <v>2026</v>
      </c>
      <c r="H3609" s="7">
        <v>0</v>
      </c>
      <c r="I3609" s="7">
        <v>0</v>
      </c>
      <c r="J3609" s="7">
        <v>20</v>
      </c>
      <c r="L3609" s="7">
        <f t="shared" ref="L3609:L3618" si="1492">SUM(H3609:K3609)</f>
        <v>20</v>
      </c>
      <c r="M3609" s="8">
        <v>1</v>
      </c>
      <c r="N3609" s="8">
        <f t="shared" si="1474"/>
        <v>1</v>
      </c>
      <c r="O3609" s="11" t="s">
        <v>1702</v>
      </c>
      <c r="P3609" s="16" t="str">
        <f t="shared" ref="P3609:P3618" si="1493">IF(LEN(G3609)=10,CONCATENATE("0",G3609),G3609)</f>
        <v>06-Jan-1920</v>
      </c>
      <c r="R3609" s="16" t="str">
        <f t="shared" si="1486"/>
        <v>x</v>
      </c>
      <c r="S3609" s="16" t="str">
        <f t="shared" si="1486"/>
        <v>x</v>
      </c>
      <c r="T3609" s="11"/>
      <c r="U3609" s="46" t="str">
        <f t="shared" si="1487"/>
        <v/>
      </c>
      <c r="V3609" s="46">
        <f t="shared" si="1487"/>
        <v>20</v>
      </c>
      <c r="W3609" s="46" t="str">
        <f t="shared" si="1487"/>
        <v/>
      </c>
      <c r="X3609" s="46" t="str">
        <f t="shared" si="1487"/>
        <v/>
      </c>
    </row>
    <row r="3610" spans="2:24" x14ac:dyDescent="0.25">
      <c r="B3610" s="11" t="str">
        <f t="shared" si="1491"/>
        <v>LTRN-07FEB1920</v>
      </c>
      <c r="C3610" s="11" t="s">
        <v>1698</v>
      </c>
      <c r="D3610" s="11" t="s">
        <v>1699</v>
      </c>
      <c r="E3610" s="39" t="s">
        <v>2027</v>
      </c>
      <c r="F3610" s="11" t="s">
        <v>1700</v>
      </c>
      <c r="G3610" s="39" t="s">
        <v>2028</v>
      </c>
      <c r="H3610" s="7">
        <v>0</v>
      </c>
      <c r="I3610" s="7">
        <v>1</v>
      </c>
      <c r="J3610" s="7">
        <v>10</v>
      </c>
      <c r="L3610" s="7">
        <f t="shared" si="1492"/>
        <v>11</v>
      </c>
      <c r="M3610" s="8">
        <v>1</v>
      </c>
      <c r="N3610" s="8">
        <f t="shared" si="1474"/>
        <v>1</v>
      </c>
      <c r="O3610" s="11" t="s">
        <v>1702</v>
      </c>
      <c r="P3610" s="16" t="str">
        <f t="shared" si="1493"/>
        <v>07-Feb-1920</v>
      </c>
      <c r="R3610" s="16" t="str">
        <f t="shared" si="1486"/>
        <v>x</v>
      </c>
      <c r="S3610" s="16" t="str">
        <f t="shared" si="1486"/>
        <v>x</v>
      </c>
      <c r="T3610" s="11"/>
      <c r="U3610" s="46" t="str">
        <f t="shared" si="1487"/>
        <v/>
      </c>
      <c r="V3610" s="46">
        <f t="shared" si="1487"/>
        <v>11</v>
      </c>
      <c r="W3610" s="46" t="str">
        <f t="shared" si="1487"/>
        <v/>
      </c>
      <c r="X3610" s="46" t="str">
        <f t="shared" si="1487"/>
        <v/>
      </c>
    </row>
    <row r="3611" spans="2:24" x14ac:dyDescent="0.25">
      <c r="B3611" s="11" t="str">
        <f t="shared" si="1491"/>
        <v>LTRN-05MAR1920</v>
      </c>
      <c r="C3611" s="11" t="s">
        <v>1698</v>
      </c>
      <c r="D3611" s="11" t="s">
        <v>1699</v>
      </c>
      <c r="E3611" s="39" t="s">
        <v>2029</v>
      </c>
      <c r="F3611" s="11" t="s">
        <v>1700</v>
      </c>
      <c r="G3611" s="39" t="s">
        <v>2030</v>
      </c>
      <c r="H3611" s="7">
        <v>0</v>
      </c>
      <c r="I3611" s="7">
        <v>3</v>
      </c>
      <c r="J3611" s="7">
        <v>6</v>
      </c>
      <c r="L3611" s="7">
        <f t="shared" si="1492"/>
        <v>9</v>
      </c>
      <c r="M3611" s="8">
        <v>1</v>
      </c>
      <c r="N3611" s="8">
        <f t="shared" ref="N3611:N3632" si="1494">IF(L3611&gt;0,1,"")</f>
        <v>1</v>
      </c>
      <c r="O3611" s="11" t="s">
        <v>1702</v>
      </c>
      <c r="P3611" s="16" t="str">
        <f t="shared" si="1493"/>
        <v>05-Mar-1920</v>
      </c>
      <c r="R3611" s="16" t="str">
        <f t="shared" si="1486"/>
        <v>x</v>
      </c>
      <c r="S3611" s="16" t="str">
        <f t="shared" si="1486"/>
        <v>x</v>
      </c>
      <c r="T3611" s="11"/>
      <c r="U3611" s="46" t="str">
        <f t="shared" si="1487"/>
        <v/>
      </c>
      <c r="V3611" s="46">
        <f t="shared" si="1487"/>
        <v>9</v>
      </c>
      <c r="W3611" s="46" t="str">
        <f t="shared" si="1487"/>
        <v/>
      </c>
      <c r="X3611" s="46" t="str">
        <f t="shared" si="1487"/>
        <v/>
      </c>
    </row>
    <row r="3612" spans="2:24" x14ac:dyDescent="0.25">
      <c r="B3612" s="11" t="str">
        <f t="shared" si="1491"/>
        <v>LTRN-19APR1920</v>
      </c>
      <c r="C3612" s="11" t="s">
        <v>1698</v>
      </c>
      <c r="D3612" s="11" t="s">
        <v>1699</v>
      </c>
      <c r="E3612" s="39" t="s">
        <v>2032</v>
      </c>
      <c r="F3612" s="11" t="s">
        <v>1700</v>
      </c>
      <c r="G3612" s="39" t="s">
        <v>2031</v>
      </c>
      <c r="H3612" s="7">
        <v>0</v>
      </c>
      <c r="I3612" s="7">
        <v>1</v>
      </c>
      <c r="J3612" s="7">
        <v>2</v>
      </c>
      <c r="L3612" s="7">
        <f t="shared" si="1492"/>
        <v>3</v>
      </c>
      <c r="M3612" s="8">
        <v>1</v>
      </c>
      <c r="N3612" s="8">
        <f t="shared" si="1494"/>
        <v>1</v>
      </c>
      <c r="O3612" s="11" t="s">
        <v>1702</v>
      </c>
      <c r="P3612" s="16" t="str">
        <f t="shared" si="1493"/>
        <v>19-Apr-1920</v>
      </c>
      <c r="R3612" s="16" t="str">
        <f t="shared" si="1486"/>
        <v>x</v>
      </c>
      <c r="S3612" s="16" t="str">
        <f t="shared" si="1486"/>
        <v>x</v>
      </c>
      <c r="T3612" s="11"/>
      <c r="U3612" s="46" t="str">
        <f t="shared" si="1487"/>
        <v/>
      </c>
      <c r="V3612" s="46">
        <f t="shared" si="1487"/>
        <v>3</v>
      </c>
      <c r="W3612" s="46" t="str">
        <f t="shared" si="1487"/>
        <v/>
      </c>
      <c r="X3612" s="46" t="str">
        <f t="shared" si="1487"/>
        <v/>
      </c>
    </row>
    <row r="3613" spans="2:24" x14ac:dyDescent="0.25">
      <c r="B3613" s="11" t="str">
        <f t="shared" si="1491"/>
        <v>LTRN-08JUN1920</v>
      </c>
      <c r="C3613" s="11" t="s">
        <v>1698</v>
      </c>
      <c r="D3613" s="11" t="s">
        <v>1699</v>
      </c>
      <c r="E3613" s="39" t="s">
        <v>2033</v>
      </c>
      <c r="F3613" s="11" t="s">
        <v>1700</v>
      </c>
      <c r="G3613" s="39" t="s">
        <v>2034</v>
      </c>
      <c r="H3613" s="7">
        <v>0</v>
      </c>
      <c r="I3613" s="7">
        <v>3</v>
      </c>
      <c r="J3613" s="7">
        <v>15</v>
      </c>
      <c r="L3613" s="7">
        <f t="shared" si="1492"/>
        <v>18</v>
      </c>
      <c r="M3613" s="8">
        <v>1</v>
      </c>
      <c r="N3613" s="8">
        <f t="shared" si="1494"/>
        <v>1</v>
      </c>
      <c r="O3613" s="11" t="s">
        <v>1702</v>
      </c>
      <c r="P3613" s="16" t="str">
        <f t="shared" si="1493"/>
        <v>08-Jun-1920</v>
      </c>
      <c r="R3613" s="16" t="str">
        <f t="shared" si="1486"/>
        <v>x</v>
      </c>
      <c r="S3613" s="16" t="str">
        <f t="shared" si="1486"/>
        <v>x</v>
      </c>
      <c r="T3613" s="11"/>
      <c r="U3613" s="46" t="str">
        <f t="shared" si="1487"/>
        <v/>
      </c>
      <c r="V3613" s="46">
        <f t="shared" si="1487"/>
        <v>18</v>
      </c>
      <c r="W3613" s="46" t="str">
        <f t="shared" si="1487"/>
        <v/>
      </c>
      <c r="X3613" s="46" t="str">
        <f t="shared" si="1487"/>
        <v/>
      </c>
    </row>
    <row r="3614" spans="2:24" x14ac:dyDescent="0.25">
      <c r="B3614" s="11" t="str">
        <f t="shared" si="1491"/>
        <v>LTRN-09JUL1920</v>
      </c>
      <c r="C3614" s="11" t="s">
        <v>1698</v>
      </c>
      <c r="D3614" s="11" t="s">
        <v>1699</v>
      </c>
      <c r="E3614" s="39" t="s">
        <v>2035</v>
      </c>
      <c r="F3614" s="11" t="s">
        <v>1700</v>
      </c>
      <c r="G3614" s="39" t="s">
        <v>2036</v>
      </c>
      <c r="H3614" s="7">
        <v>0</v>
      </c>
      <c r="I3614" s="7">
        <v>0</v>
      </c>
      <c r="J3614" s="7">
        <f>11+1</f>
        <v>12</v>
      </c>
      <c r="L3614" s="7">
        <f t="shared" si="1492"/>
        <v>12</v>
      </c>
      <c r="M3614" s="8">
        <v>1</v>
      </c>
      <c r="N3614" s="8">
        <f t="shared" si="1494"/>
        <v>1</v>
      </c>
      <c r="O3614" s="11" t="s">
        <v>1702</v>
      </c>
      <c r="P3614" s="16" t="str">
        <f t="shared" si="1493"/>
        <v>09-Jul-1920</v>
      </c>
      <c r="R3614" s="16" t="str">
        <f t="shared" si="1486"/>
        <v>x</v>
      </c>
      <c r="S3614" s="16" t="str">
        <f t="shared" si="1486"/>
        <v>x</v>
      </c>
      <c r="T3614" s="11"/>
      <c r="U3614" s="46" t="str">
        <f t="shared" si="1487"/>
        <v/>
      </c>
      <c r="V3614" s="46">
        <f t="shared" si="1487"/>
        <v>12</v>
      </c>
      <c r="W3614" s="46" t="str">
        <f t="shared" si="1487"/>
        <v/>
      </c>
      <c r="X3614" s="46" t="str">
        <f t="shared" si="1487"/>
        <v/>
      </c>
    </row>
    <row r="3615" spans="2:24" x14ac:dyDescent="0.25">
      <c r="B3615" s="11" t="str">
        <f t="shared" si="1491"/>
        <v>LTRN-21SEP1920</v>
      </c>
      <c r="C3615" s="11" t="s">
        <v>1698</v>
      </c>
      <c r="D3615" s="11" t="s">
        <v>1699</v>
      </c>
      <c r="E3615" s="39" t="s">
        <v>2038</v>
      </c>
      <c r="F3615" s="11" t="s">
        <v>1700</v>
      </c>
      <c r="G3615" s="39" t="s">
        <v>2037</v>
      </c>
      <c r="H3615" s="7">
        <v>0</v>
      </c>
      <c r="I3615" s="7">
        <v>3</v>
      </c>
      <c r="J3615" s="7">
        <v>14</v>
      </c>
      <c r="L3615" s="7">
        <f t="shared" si="1492"/>
        <v>17</v>
      </c>
      <c r="M3615" s="8">
        <v>1</v>
      </c>
      <c r="N3615" s="8">
        <f t="shared" si="1494"/>
        <v>1</v>
      </c>
      <c r="O3615" s="11" t="s">
        <v>1702</v>
      </c>
      <c r="P3615" s="16" t="str">
        <f t="shared" si="1493"/>
        <v>21-Sep-1920</v>
      </c>
      <c r="R3615" s="16" t="str">
        <f t="shared" si="1486"/>
        <v>x</v>
      </c>
      <c r="S3615" s="16" t="str">
        <f t="shared" si="1486"/>
        <v>x</v>
      </c>
      <c r="T3615" s="11"/>
      <c r="U3615" s="46" t="str">
        <f t="shared" si="1487"/>
        <v/>
      </c>
      <c r="V3615" s="46">
        <f t="shared" si="1487"/>
        <v>17</v>
      </c>
      <c r="W3615" s="46" t="str">
        <f t="shared" si="1487"/>
        <v/>
      </c>
      <c r="X3615" s="46" t="str">
        <f t="shared" si="1487"/>
        <v/>
      </c>
    </row>
    <row r="3616" spans="2:24" x14ac:dyDescent="0.25">
      <c r="B3616" s="11" t="str">
        <f t="shared" si="1491"/>
        <v>LTRN-22OCT1920</v>
      </c>
      <c r="C3616" s="11" t="s">
        <v>1698</v>
      </c>
      <c r="D3616" s="11" t="s">
        <v>1699</v>
      </c>
      <c r="E3616" s="39" t="s">
        <v>2039</v>
      </c>
      <c r="F3616" s="11" t="s">
        <v>1700</v>
      </c>
      <c r="G3616" s="39" t="s">
        <v>2040</v>
      </c>
      <c r="H3616" s="7">
        <v>0</v>
      </c>
      <c r="I3616" s="7">
        <v>3</v>
      </c>
      <c r="J3616" s="7">
        <v>15</v>
      </c>
      <c r="L3616" s="7">
        <f t="shared" si="1492"/>
        <v>18</v>
      </c>
      <c r="M3616" s="8">
        <v>1</v>
      </c>
      <c r="N3616" s="8">
        <f t="shared" si="1494"/>
        <v>1</v>
      </c>
      <c r="O3616" s="11" t="s">
        <v>1702</v>
      </c>
      <c r="P3616" s="16" t="str">
        <f t="shared" si="1493"/>
        <v>22-Oct-1920</v>
      </c>
      <c r="R3616" s="16" t="str">
        <f t="shared" si="1486"/>
        <v>x</v>
      </c>
      <c r="S3616" s="16" t="str">
        <f t="shared" si="1486"/>
        <v>x</v>
      </c>
      <c r="T3616" s="11"/>
      <c r="U3616" s="46" t="str">
        <f t="shared" si="1487"/>
        <v/>
      </c>
      <c r="V3616" s="46">
        <f t="shared" si="1487"/>
        <v>18</v>
      </c>
      <c r="W3616" s="46" t="str">
        <f t="shared" si="1487"/>
        <v/>
      </c>
      <c r="X3616" s="46" t="str">
        <f t="shared" si="1487"/>
        <v/>
      </c>
    </row>
    <row r="3617" spans="2:24" x14ac:dyDescent="0.25">
      <c r="B3617" s="11" t="str">
        <f t="shared" si="1491"/>
        <v>LTRN-20NOV1920</v>
      </c>
      <c r="C3617" s="11" t="s">
        <v>1698</v>
      </c>
      <c r="D3617" s="11" t="s">
        <v>1699</v>
      </c>
      <c r="E3617" s="39" t="s">
        <v>2041</v>
      </c>
      <c r="F3617" s="11" t="s">
        <v>1700</v>
      </c>
      <c r="G3617" s="39" t="s">
        <v>2042</v>
      </c>
      <c r="H3617" s="7">
        <v>0</v>
      </c>
      <c r="I3617" s="7">
        <v>4</v>
      </c>
      <c r="J3617" s="7">
        <v>7</v>
      </c>
      <c r="L3617" s="7">
        <f t="shared" si="1492"/>
        <v>11</v>
      </c>
      <c r="M3617" s="8">
        <v>1</v>
      </c>
      <c r="N3617" s="8">
        <f t="shared" si="1494"/>
        <v>1</v>
      </c>
      <c r="O3617" s="11" t="s">
        <v>1702</v>
      </c>
      <c r="P3617" s="16" t="str">
        <f t="shared" si="1493"/>
        <v>20-Nov-1920</v>
      </c>
      <c r="R3617" s="16" t="str">
        <f t="shared" si="1486"/>
        <v>x</v>
      </c>
      <c r="S3617" s="16" t="str">
        <f t="shared" si="1486"/>
        <v>x</v>
      </c>
      <c r="T3617" s="11"/>
      <c r="U3617" s="46" t="str">
        <f t="shared" si="1487"/>
        <v/>
      </c>
      <c r="V3617" s="46">
        <f t="shared" si="1487"/>
        <v>11</v>
      </c>
      <c r="W3617" s="46" t="str">
        <f t="shared" si="1487"/>
        <v/>
      </c>
      <c r="X3617" s="46" t="str">
        <f t="shared" si="1487"/>
        <v/>
      </c>
    </row>
    <row r="3618" spans="2:24" x14ac:dyDescent="0.25">
      <c r="B3618" s="11" t="str">
        <f t="shared" si="1491"/>
        <v>LTRN-17DEC1920</v>
      </c>
      <c r="C3618" s="11" t="s">
        <v>1698</v>
      </c>
      <c r="D3618" s="11" t="s">
        <v>1699</v>
      </c>
      <c r="E3618" s="39" t="s">
        <v>2043</v>
      </c>
      <c r="F3618" s="11" t="s">
        <v>1700</v>
      </c>
      <c r="G3618" s="39" t="s">
        <v>2044</v>
      </c>
      <c r="H3618" s="7">
        <v>0</v>
      </c>
      <c r="I3618" s="7">
        <v>6</v>
      </c>
      <c r="J3618" s="7">
        <v>27</v>
      </c>
      <c r="L3618" s="7">
        <f t="shared" si="1492"/>
        <v>33</v>
      </c>
      <c r="M3618" s="8">
        <v>1</v>
      </c>
      <c r="N3618" s="8">
        <f t="shared" si="1494"/>
        <v>1</v>
      </c>
      <c r="O3618" s="11" t="s">
        <v>1702</v>
      </c>
      <c r="P3618" s="16" t="str">
        <f t="shared" si="1493"/>
        <v>17-Dec-1920</v>
      </c>
      <c r="R3618" s="16" t="str">
        <f t="shared" si="1486"/>
        <v>x</v>
      </c>
      <c r="S3618" s="16" t="str">
        <f t="shared" si="1486"/>
        <v>x</v>
      </c>
      <c r="T3618" s="11"/>
      <c r="U3618" s="46" t="str">
        <f t="shared" si="1487"/>
        <v/>
      </c>
      <c r="V3618" s="46">
        <f t="shared" si="1487"/>
        <v>33</v>
      </c>
      <c r="W3618" s="46" t="str">
        <f t="shared" si="1487"/>
        <v/>
      </c>
      <c r="X3618" s="46" t="str">
        <f t="shared" si="1487"/>
        <v/>
      </c>
    </row>
    <row r="3619" spans="2:24" x14ac:dyDescent="0.25">
      <c r="B3619" s="11" t="str">
        <f t="shared" ref="B3619:B3632" si="1495">CONCATENATE("LTRN","-",LEFT(P3619,2),UPPER(MID(P3619,4,3)),RIGHT(P3619,4))</f>
        <v>LTRN-15JAN1921</v>
      </c>
      <c r="C3619" s="11" t="s">
        <v>1698</v>
      </c>
      <c r="D3619" s="11" t="s">
        <v>1699</v>
      </c>
      <c r="E3619" s="39" t="s">
        <v>2054</v>
      </c>
      <c r="F3619" s="11" t="s">
        <v>1700</v>
      </c>
      <c r="G3619" s="39" t="s">
        <v>2055</v>
      </c>
      <c r="H3619" s="7">
        <v>0</v>
      </c>
      <c r="I3619" s="7">
        <v>1</v>
      </c>
      <c r="J3619" s="7">
        <v>15</v>
      </c>
      <c r="L3619" s="7">
        <f t="shared" ref="L3619:L3632" si="1496">SUM(H3619:K3619)</f>
        <v>16</v>
      </c>
      <c r="M3619" s="8">
        <v>1</v>
      </c>
      <c r="N3619" s="8">
        <f t="shared" si="1494"/>
        <v>1</v>
      </c>
      <c r="O3619" s="11" t="s">
        <v>1702</v>
      </c>
      <c r="P3619" s="16" t="str">
        <f t="shared" ref="P3619:P3632" si="1497">IF(LEN(G3619)=10,CONCATENATE("0",G3619),G3619)</f>
        <v>15-Jan-1921</v>
      </c>
      <c r="R3619" s="16" t="str">
        <f t="shared" si="1486"/>
        <v>x</v>
      </c>
      <c r="S3619" s="16" t="str">
        <f t="shared" si="1486"/>
        <v>x</v>
      </c>
      <c r="T3619" s="11"/>
      <c r="U3619" s="46" t="str">
        <f t="shared" si="1487"/>
        <v/>
      </c>
      <c r="V3619" s="46">
        <f t="shared" si="1487"/>
        <v>16</v>
      </c>
      <c r="W3619" s="46" t="str">
        <f t="shared" si="1487"/>
        <v/>
      </c>
      <c r="X3619" s="46" t="str">
        <f t="shared" si="1487"/>
        <v/>
      </c>
    </row>
    <row r="3620" spans="2:24" x14ac:dyDescent="0.25">
      <c r="B3620" s="11" t="str">
        <f t="shared" si="1495"/>
        <v>LTRN-07MAR1921</v>
      </c>
      <c r="C3620" s="11" t="s">
        <v>1698</v>
      </c>
      <c r="D3620" s="11" t="s">
        <v>1699</v>
      </c>
      <c r="E3620" s="39" t="s">
        <v>2056</v>
      </c>
      <c r="F3620" s="11" t="s">
        <v>1700</v>
      </c>
      <c r="G3620" s="39" t="s">
        <v>2057</v>
      </c>
      <c r="H3620" s="7">
        <v>0</v>
      </c>
      <c r="I3620" s="7">
        <v>12</v>
      </c>
      <c r="J3620" s="7">
        <v>29</v>
      </c>
      <c r="L3620" s="7">
        <f t="shared" si="1496"/>
        <v>41</v>
      </c>
      <c r="M3620" s="8">
        <v>1</v>
      </c>
      <c r="N3620" s="8">
        <f t="shared" si="1494"/>
        <v>1</v>
      </c>
      <c r="O3620" s="11" t="s">
        <v>1702</v>
      </c>
      <c r="P3620" s="16" t="str">
        <f t="shared" si="1497"/>
        <v>07-Mar-1921</v>
      </c>
      <c r="R3620" s="16" t="str">
        <f t="shared" si="1486"/>
        <v>x</v>
      </c>
      <c r="S3620" s="16" t="str">
        <f t="shared" si="1486"/>
        <v>x</v>
      </c>
      <c r="T3620" s="11"/>
      <c r="U3620" s="46" t="str">
        <f t="shared" si="1487"/>
        <v/>
      </c>
      <c r="V3620" s="46">
        <f t="shared" si="1487"/>
        <v>41</v>
      </c>
      <c r="W3620" s="46" t="str">
        <f t="shared" si="1487"/>
        <v/>
      </c>
      <c r="X3620" s="46" t="str">
        <f t="shared" si="1487"/>
        <v/>
      </c>
    </row>
    <row r="3621" spans="2:24" x14ac:dyDescent="0.25">
      <c r="B3621" s="11" t="str">
        <f t="shared" si="1495"/>
        <v>LTRN-03MAY1921</v>
      </c>
      <c r="C3621" s="11" t="s">
        <v>1698</v>
      </c>
      <c r="D3621" s="11" t="s">
        <v>1699</v>
      </c>
      <c r="E3621" s="39" t="s">
        <v>2058</v>
      </c>
      <c r="F3621" s="11" t="s">
        <v>1700</v>
      </c>
      <c r="G3621" s="39" t="s">
        <v>2059</v>
      </c>
      <c r="H3621" s="7">
        <v>0</v>
      </c>
      <c r="I3621" s="7">
        <v>0</v>
      </c>
      <c r="J3621" s="7">
        <v>1</v>
      </c>
      <c r="L3621" s="7">
        <f t="shared" si="1496"/>
        <v>1</v>
      </c>
      <c r="M3621" s="8">
        <v>1</v>
      </c>
      <c r="N3621" s="8">
        <f t="shared" si="1494"/>
        <v>1</v>
      </c>
      <c r="O3621" s="11" t="s">
        <v>1702</v>
      </c>
      <c r="P3621" s="16" t="str">
        <f t="shared" si="1497"/>
        <v>03-May-1921</v>
      </c>
      <c r="R3621" s="16" t="str">
        <f t="shared" si="1486"/>
        <v>x</v>
      </c>
      <c r="S3621" s="16" t="str">
        <f t="shared" si="1486"/>
        <v>x</v>
      </c>
      <c r="U3621" s="46" t="str">
        <f t="shared" si="1487"/>
        <v/>
      </c>
      <c r="V3621" s="46">
        <f t="shared" si="1487"/>
        <v>1</v>
      </c>
      <c r="W3621" s="46" t="str">
        <f t="shared" si="1487"/>
        <v/>
      </c>
      <c r="X3621" s="46" t="str">
        <f t="shared" si="1487"/>
        <v/>
      </c>
    </row>
    <row r="3622" spans="2:24" x14ac:dyDescent="0.25">
      <c r="B3622" s="11" t="str">
        <f t="shared" si="1495"/>
        <v>LTRN-04JUN1921</v>
      </c>
      <c r="C3622" s="11" t="s">
        <v>1698</v>
      </c>
      <c r="D3622" s="11" t="s">
        <v>1699</v>
      </c>
      <c r="E3622" s="39" t="s">
        <v>2060</v>
      </c>
      <c r="F3622" s="11" t="s">
        <v>1700</v>
      </c>
      <c r="G3622" s="39" t="s">
        <v>2061</v>
      </c>
      <c r="H3622" s="7">
        <v>0</v>
      </c>
      <c r="I3622" s="7">
        <v>2</v>
      </c>
      <c r="J3622" s="7">
        <v>0</v>
      </c>
      <c r="L3622" s="7">
        <f t="shared" si="1496"/>
        <v>2</v>
      </c>
      <c r="M3622" s="8">
        <v>1</v>
      </c>
      <c r="N3622" s="8">
        <f t="shared" si="1494"/>
        <v>1</v>
      </c>
      <c r="O3622" s="11" t="s">
        <v>1702</v>
      </c>
      <c r="P3622" s="16" t="str">
        <f t="shared" si="1497"/>
        <v>04-Jun-1921</v>
      </c>
      <c r="R3622" s="16" t="str">
        <f t="shared" si="1486"/>
        <v>x</v>
      </c>
      <c r="S3622" s="16" t="str">
        <f t="shared" si="1486"/>
        <v>x</v>
      </c>
      <c r="U3622" s="46" t="str">
        <f t="shared" si="1487"/>
        <v/>
      </c>
      <c r="V3622" s="46">
        <f t="shared" si="1487"/>
        <v>2</v>
      </c>
      <c r="W3622" s="46" t="str">
        <f t="shared" si="1487"/>
        <v/>
      </c>
      <c r="X3622" s="46" t="str">
        <f t="shared" si="1487"/>
        <v/>
      </c>
    </row>
    <row r="3623" spans="2:24" x14ac:dyDescent="0.25">
      <c r="B3623" s="11" t="str">
        <f t="shared" si="1495"/>
        <v>LTRN-18JUL1921</v>
      </c>
      <c r="C3623" s="11" t="s">
        <v>1698</v>
      </c>
      <c r="D3623" s="11" t="s">
        <v>1699</v>
      </c>
      <c r="E3623" s="39" t="s">
        <v>2062</v>
      </c>
      <c r="F3623" s="11" t="s">
        <v>1700</v>
      </c>
      <c r="G3623" s="39" t="s">
        <v>2063</v>
      </c>
      <c r="H3623" s="7">
        <v>0</v>
      </c>
      <c r="I3623" s="7">
        <v>0</v>
      </c>
      <c r="J3623" s="7">
        <v>6</v>
      </c>
      <c r="L3623" s="7">
        <f t="shared" si="1496"/>
        <v>6</v>
      </c>
      <c r="M3623" s="8">
        <v>1</v>
      </c>
      <c r="N3623" s="8">
        <f t="shared" si="1494"/>
        <v>1</v>
      </c>
      <c r="O3623" s="11" t="s">
        <v>1702</v>
      </c>
      <c r="P3623" s="16" t="str">
        <f t="shared" si="1497"/>
        <v>18-Jul-1921</v>
      </c>
      <c r="R3623" s="16" t="str">
        <f t="shared" si="1486"/>
        <v>x</v>
      </c>
      <c r="S3623" s="16" t="str">
        <f t="shared" si="1486"/>
        <v>x</v>
      </c>
      <c r="U3623" s="46" t="str">
        <f t="shared" si="1487"/>
        <v/>
      </c>
      <c r="V3623" s="46">
        <f t="shared" si="1487"/>
        <v>6</v>
      </c>
      <c r="W3623" s="46" t="str">
        <f t="shared" si="1487"/>
        <v/>
      </c>
      <c r="X3623" s="46" t="str">
        <f t="shared" si="1487"/>
        <v/>
      </c>
    </row>
    <row r="3624" spans="2:24" x14ac:dyDescent="0.25">
      <c r="B3624" s="11" t="str">
        <f t="shared" si="1495"/>
        <v>LTRN-12SEP1921</v>
      </c>
      <c r="C3624" s="11" t="s">
        <v>1698</v>
      </c>
      <c r="D3624" s="11" t="s">
        <v>1699</v>
      </c>
      <c r="E3624" s="39" t="s">
        <v>2064</v>
      </c>
      <c r="F3624" s="11" t="s">
        <v>1700</v>
      </c>
      <c r="G3624" s="39" t="s">
        <v>2065</v>
      </c>
      <c r="H3624" s="7">
        <v>0</v>
      </c>
      <c r="I3624" s="7">
        <v>0</v>
      </c>
      <c r="J3624" s="7">
        <v>3</v>
      </c>
      <c r="L3624" s="7">
        <f t="shared" si="1496"/>
        <v>3</v>
      </c>
      <c r="M3624" s="8">
        <v>1</v>
      </c>
      <c r="N3624" s="8">
        <f t="shared" si="1494"/>
        <v>1</v>
      </c>
      <c r="O3624" s="11" t="s">
        <v>1702</v>
      </c>
      <c r="P3624" s="16" t="str">
        <f t="shared" si="1497"/>
        <v>12-Sep-1921</v>
      </c>
      <c r="R3624" s="16" t="str">
        <f t="shared" si="1486"/>
        <v>x</v>
      </c>
      <c r="S3624" s="16" t="str">
        <f t="shared" si="1486"/>
        <v>x</v>
      </c>
      <c r="U3624" s="46" t="str">
        <f t="shared" si="1487"/>
        <v/>
      </c>
      <c r="V3624" s="46">
        <f t="shared" si="1487"/>
        <v>3</v>
      </c>
      <c r="W3624" s="46" t="str">
        <f t="shared" si="1487"/>
        <v/>
      </c>
      <c r="X3624" s="46" t="str">
        <f t="shared" si="1487"/>
        <v/>
      </c>
    </row>
    <row r="3625" spans="2:24" x14ac:dyDescent="0.25">
      <c r="B3625" s="11" t="str">
        <f t="shared" si="1495"/>
        <v>LTRN-29NOV1921</v>
      </c>
      <c r="C3625" s="11" t="s">
        <v>1698</v>
      </c>
      <c r="D3625" s="11" t="s">
        <v>1699</v>
      </c>
      <c r="E3625" s="39" t="s">
        <v>2066</v>
      </c>
      <c r="F3625" s="11" t="s">
        <v>1700</v>
      </c>
      <c r="G3625" s="39" t="s">
        <v>2067</v>
      </c>
      <c r="H3625" s="7">
        <v>0</v>
      </c>
      <c r="I3625" s="7">
        <v>1</v>
      </c>
      <c r="J3625" s="7">
        <v>0</v>
      </c>
      <c r="L3625" s="7">
        <f t="shared" si="1496"/>
        <v>1</v>
      </c>
      <c r="M3625" s="8">
        <v>1</v>
      </c>
      <c r="N3625" s="8">
        <f t="shared" si="1494"/>
        <v>1</v>
      </c>
      <c r="O3625" s="11" t="s">
        <v>1702</v>
      </c>
      <c r="P3625" s="16" t="str">
        <f t="shared" si="1497"/>
        <v>29-Nov-1921</v>
      </c>
      <c r="R3625" s="16" t="str">
        <f t="shared" si="1486"/>
        <v>x</v>
      </c>
      <c r="S3625" s="16" t="str">
        <f t="shared" si="1486"/>
        <v>x</v>
      </c>
      <c r="U3625" s="46" t="str">
        <f t="shared" si="1487"/>
        <v/>
      </c>
      <c r="V3625" s="46">
        <f t="shared" si="1487"/>
        <v>1</v>
      </c>
      <c r="W3625" s="46" t="str">
        <f t="shared" si="1487"/>
        <v/>
      </c>
      <c r="X3625" s="46" t="str">
        <f t="shared" si="1487"/>
        <v/>
      </c>
    </row>
    <row r="3626" spans="2:24" x14ac:dyDescent="0.25">
      <c r="B3626" s="11" t="str">
        <f t="shared" si="1495"/>
        <v>LTRN-03JAN1922</v>
      </c>
      <c r="C3626" s="11" t="s">
        <v>1698</v>
      </c>
      <c r="D3626" s="11" t="s">
        <v>1699</v>
      </c>
      <c r="E3626" s="39" t="s">
        <v>2068</v>
      </c>
      <c r="F3626" s="11" t="s">
        <v>1700</v>
      </c>
      <c r="G3626" s="39" t="s">
        <v>2069</v>
      </c>
      <c r="H3626" s="7">
        <v>0</v>
      </c>
      <c r="I3626" s="7">
        <v>0</v>
      </c>
      <c r="J3626" s="7">
        <v>0</v>
      </c>
      <c r="L3626" s="7">
        <f t="shared" si="1496"/>
        <v>0</v>
      </c>
      <c r="M3626" s="8">
        <v>1</v>
      </c>
      <c r="N3626" s="8" t="str">
        <f t="shared" si="1494"/>
        <v/>
      </c>
      <c r="O3626" s="11" t="s">
        <v>1702</v>
      </c>
      <c r="P3626" s="16" t="str">
        <f t="shared" si="1497"/>
        <v>03-Jan-1922</v>
      </c>
      <c r="R3626" s="16" t="str">
        <f t="shared" si="1486"/>
        <v/>
      </c>
      <c r="S3626" s="16" t="str">
        <f t="shared" si="1486"/>
        <v/>
      </c>
      <c r="U3626" s="46" t="str">
        <f t="shared" si="1487"/>
        <v/>
      </c>
      <c r="V3626" s="46">
        <f t="shared" si="1487"/>
        <v>0</v>
      </c>
      <c r="W3626" s="46" t="str">
        <f t="shared" si="1487"/>
        <v/>
      </c>
      <c r="X3626" s="46" t="str">
        <f t="shared" si="1487"/>
        <v/>
      </c>
    </row>
    <row r="3627" spans="2:24" x14ac:dyDescent="0.25">
      <c r="B3627" s="11" t="str">
        <f t="shared" si="1495"/>
        <v>LTRN-31JAN1922</v>
      </c>
      <c r="C3627" s="11" t="s">
        <v>1698</v>
      </c>
      <c r="D3627" s="11" t="s">
        <v>1699</v>
      </c>
      <c r="E3627" s="39" t="s">
        <v>2070</v>
      </c>
      <c r="F3627" s="11" t="s">
        <v>1700</v>
      </c>
      <c r="G3627" s="39" t="s">
        <v>2071</v>
      </c>
      <c r="H3627" s="7">
        <v>0</v>
      </c>
      <c r="I3627" s="7">
        <v>0</v>
      </c>
      <c r="J3627" s="7">
        <v>1</v>
      </c>
      <c r="L3627" s="7">
        <f t="shared" si="1496"/>
        <v>1</v>
      </c>
      <c r="M3627" s="8">
        <v>1</v>
      </c>
      <c r="N3627" s="8">
        <f t="shared" si="1494"/>
        <v>1</v>
      </c>
      <c r="O3627" s="11" t="s">
        <v>1702</v>
      </c>
      <c r="P3627" s="16" t="str">
        <f t="shared" si="1497"/>
        <v>31-Jan-1922</v>
      </c>
      <c r="R3627" s="16" t="str">
        <f t="shared" si="1486"/>
        <v>x</v>
      </c>
      <c r="S3627" s="16" t="str">
        <f t="shared" si="1486"/>
        <v>x</v>
      </c>
      <c r="U3627" s="46" t="str">
        <f t="shared" si="1487"/>
        <v/>
      </c>
      <c r="V3627" s="46">
        <f t="shared" si="1487"/>
        <v>1</v>
      </c>
      <c r="W3627" s="46" t="str">
        <f t="shared" si="1487"/>
        <v/>
      </c>
      <c r="X3627" s="46" t="str">
        <f t="shared" si="1487"/>
        <v/>
      </c>
    </row>
    <row r="3628" spans="2:24" x14ac:dyDescent="0.25">
      <c r="B3628" s="11" t="str">
        <f t="shared" si="1495"/>
        <v>LTRN-17APR1922</v>
      </c>
      <c r="C3628" s="11" t="s">
        <v>1698</v>
      </c>
      <c r="D3628" s="11" t="s">
        <v>1699</v>
      </c>
      <c r="E3628" s="39" t="s">
        <v>2072</v>
      </c>
      <c r="F3628" s="11" t="s">
        <v>1700</v>
      </c>
      <c r="G3628" s="39" t="s">
        <v>2073</v>
      </c>
      <c r="H3628" s="7">
        <v>0</v>
      </c>
      <c r="I3628" s="7">
        <v>0</v>
      </c>
      <c r="J3628" s="7">
        <v>0</v>
      </c>
      <c r="L3628" s="7">
        <f t="shared" si="1496"/>
        <v>0</v>
      </c>
      <c r="M3628" s="8">
        <v>1</v>
      </c>
      <c r="N3628" s="8" t="str">
        <f t="shared" si="1494"/>
        <v/>
      </c>
      <c r="O3628" s="11" t="s">
        <v>1702</v>
      </c>
      <c r="P3628" s="16" t="str">
        <f t="shared" si="1497"/>
        <v>17-Apr-1922</v>
      </c>
      <c r="R3628" s="16" t="str">
        <f t="shared" si="1486"/>
        <v/>
      </c>
      <c r="S3628" s="16" t="str">
        <f t="shared" si="1486"/>
        <v/>
      </c>
      <c r="U3628" s="46" t="str">
        <f t="shared" si="1487"/>
        <v/>
      </c>
      <c r="V3628" s="46">
        <f t="shared" si="1487"/>
        <v>0</v>
      </c>
      <c r="W3628" s="46" t="str">
        <f t="shared" si="1487"/>
        <v/>
      </c>
      <c r="X3628" s="46" t="str">
        <f t="shared" si="1487"/>
        <v/>
      </c>
    </row>
    <row r="3629" spans="2:24" x14ac:dyDescent="0.25">
      <c r="B3629" s="11" t="str">
        <f t="shared" si="1495"/>
        <v>LTRN-18MAY1922</v>
      </c>
      <c r="C3629" s="11" t="s">
        <v>1698</v>
      </c>
      <c r="D3629" s="11" t="s">
        <v>1699</v>
      </c>
      <c r="E3629" s="39" t="s">
        <v>2074</v>
      </c>
      <c r="F3629" s="11" t="s">
        <v>1700</v>
      </c>
      <c r="G3629" s="39" t="s">
        <v>2075</v>
      </c>
      <c r="H3629" s="7">
        <v>0</v>
      </c>
      <c r="I3629" s="7">
        <v>0</v>
      </c>
      <c r="J3629" s="7">
        <v>0</v>
      </c>
      <c r="L3629" s="7">
        <f t="shared" si="1496"/>
        <v>0</v>
      </c>
      <c r="M3629" s="8">
        <v>1</v>
      </c>
      <c r="N3629" s="8" t="str">
        <f t="shared" si="1494"/>
        <v/>
      </c>
      <c r="O3629" s="11" t="s">
        <v>1702</v>
      </c>
      <c r="P3629" s="16" t="str">
        <f t="shared" si="1497"/>
        <v>18-May-1922</v>
      </c>
      <c r="R3629" s="16" t="str">
        <f t="shared" si="1486"/>
        <v/>
      </c>
      <c r="S3629" s="16" t="str">
        <f t="shared" si="1486"/>
        <v/>
      </c>
      <c r="U3629" s="46" t="str">
        <f t="shared" si="1487"/>
        <v/>
      </c>
      <c r="V3629" s="46">
        <f t="shared" si="1487"/>
        <v>0</v>
      </c>
      <c r="W3629" s="46" t="str">
        <f t="shared" si="1487"/>
        <v/>
      </c>
      <c r="X3629" s="46" t="str">
        <f t="shared" si="1487"/>
        <v/>
      </c>
    </row>
    <row r="3630" spans="2:24" x14ac:dyDescent="0.25">
      <c r="B3630" s="11" t="str">
        <f t="shared" si="1495"/>
        <v>LTRN-22JUN1922</v>
      </c>
      <c r="C3630" s="11" t="s">
        <v>1698</v>
      </c>
      <c r="D3630" s="11" t="s">
        <v>1699</v>
      </c>
      <c r="E3630" s="39" t="s">
        <v>2076</v>
      </c>
      <c r="F3630" s="11" t="s">
        <v>1700</v>
      </c>
      <c r="G3630" s="39" t="s">
        <v>2077</v>
      </c>
      <c r="H3630" s="7">
        <v>0</v>
      </c>
      <c r="I3630" s="7">
        <v>0</v>
      </c>
      <c r="J3630" s="7">
        <v>0</v>
      </c>
      <c r="L3630" s="7">
        <f t="shared" si="1496"/>
        <v>0</v>
      </c>
      <c r="M3630" s="8">
        <v>1</v>
      </c>
      <c r="N3630" s="8" t="str">
        <f t="shared" si="1494"/>
        <v/>
      </c>
      <c r="O3630" s="11" t="s">
        <v>1702</v>
      </c>
      <c r="P3630" s="16" t="str">
        <f t="shared" si="1497"/>
        <v>22-Jun-1922</v>
      </c>
      <c r="R3630" s="16" t="str">
        <f t="shared" si="1486"/>
        <v/>
      </c>
      <c r="S3630" s="16" t="str">
        <f t="shared" si="1486"/>
        <v/>
      </c>
      <c r="U3630" s="46" t="str">
        <f t="shared" si="1487"/>
        <v/>
      </c>
      <c r="V3630" s="46">
        <f t="shared" si="1487"/>
        <v>0</v>
      </c>
      <c r="W3630" s="46" t="str">
        <f t="shared" si="1487"/>
        <v/>
      </c>
      <c r="X3630" s="46" t="str">
        <f t="shared" si="1487"/>
        <v/>
      </c>
    </row>
    <row r="3631" spans="2:24" x14ac:dyDescent="0.25">
      <c r="B3631" s="11" t="str">
        <f t="shared" si="1495"/>
        <v>LTRN-01SEP1922</v>
      </c>
      <c r="C3631" s="11" t="s">
        <v>1698</v>
      </c>
      <c r="D3631" s="11" t="s">
        <v>1699</v>
      </c>
      <c r="E3631" s="39" t="s">
        <v>2078</v>
      </c>
      <c r="F3631" s="11" t="s">
        <v>1700</v>
      </c>
      <c r="G3631" s="39" t="s">
        <v>2079</v>
      </c>
      <c r="H3631" s="7">
        <v>0</v>
      </c>
      <c r="I3631" s="7">
        <v>0</v>
      </c>
      <c r="J3631" s="7">
        <v>0</v>
      </c>
      <c r="L3631" s="7">
        <f t="shared" si="1496"/>
        <v>0</v>
      </c>
      <c r="M3631" s="8">
        <v>1</v>
      </c>
      <c r="N3631" s="8" t="str">
        <f t="shared" si="1494"/>
        <v/>
      </c>
      <c r="O3631" s="11" t="s">
        <v>1702</v>
      </c>
      <c r="P3631" s="16" t="str">
        <f t="shared" si="1497"/>
        <v>01-Sep-1922</v>
      </c>
      <c r="R3631" s="16" t="str">
        <f t="shared" si="1486"/>
        <v/>
      </c>
      <c r="S3631" s="16" t="str">
        <f t="shared" si="1486"/>
        <v/>
      </c>
      <c r="U3631" s="46" t="str">
        <f t="shared" si="1487"/>
        <v/>
      </c>
      <c r="V3631" s="46">
        <f t="shared" si="1487"/>
        <v>0</v>
      </c>
      <c r="W3631" s="46" t="str">
        <f t="shared" si="1487"/>
        <v/>
      </c>
      <c r="X3631" s="46" t="str">
        <f t="shared" si="1487"/>
        <v/>
      </c>
    </row>
    <row r="3632" spans="2:24" x14ac:dyDescent="0.25">
      <c r="B3632" s="11" t="str">
        <f t="shared" si="1495"/>
        <v>LTRN-05OCT1922</v>
      </c>
      <c r="C3632" s="11" t="s">
        <v>1698</v>
      </c>
      <c r="D3632" s="11" t="s">
        <v>1699</v>
      </c>
      <c r="E3632" s="39" t="s">
        <v>2080</v>
      </c>
      <c r="F3632" s="11" t="s">
        <v>1700</v>
      </c>
      <c r="G3632" s="39" t="s">
        <v>2081</v>
      </c>
      <c r="H3632" s="7">
        <v>0</v>
      </c>
      <c r="I3632" s="7">
        <v>3</v>
      </c>
      <c r="J3632" s="7">
        <v>0</v>
      </c>
      <c r="L3632" s="7">
        <f t="shared" si="1496"/>
        <v>3</v>
      </c>
      <c r="M3632" s="8">
        <v>1</v>
      </c>
      <c r="N3632" s="8">
        <f t="shared" si="1494"/>
        <v>1</v>
      </c>
      <c r="O3632" s="11" t="s">
        <v>1702</v>
      </c>
      <c r="P3632" s="16" t="str">
        <f t="shared" si="1497"/>
        <v>05-Oct-1922</v>
      </c>
      <c r="R3632" s="16" t="str">
        <f t="shared" si="1486"/>
        <v>x</v>
      </c>
      <c r="S3632" s="16" t="str">
        <f t="shared" si="1486"/>
        <v>x</v>
      </c>
      <c r="U3632" s="46" t="str">
        <f t="shared" si="1487"/>
        <v/>
      </c>
      <c r="V3632" s="46">
        <f t="shared" si="1487"/>
        <v>3</v>
      </c>
      <c r="W3632" s="46" t="str">
        <f t="shared" si="1487"/>
        <v/>
      </c>
      <c r="X3632" s="46" t="str">
        <f t="shared" si="1487"/>
        <v/>
      </c>
    </row>
    <row r="3633" spans="2:26" x14ac:dyDescent="0.25">
      <c r="N3633" s="8" t="str">
        <f>IF(R3633="x",1,"")</f>
        <v/>
      </c>
      <c r="U3633" s="46" t="str">
        <f t="shared" si="1487"/>
        <v/>
      </c>
      <c r="V3633" s="46" t="str">
        <f t="shared" si="1487"/>
        <v/>
      </c>
      <c r="W3633" s="46" t="str">
        <f t="shared" si="1487"/>
        <v/>
      </c>
      <c r="X3633" s="46" t="str">
        <f t="shared" si="1487"/>
        <v/>
      </c>
    </row>
    <row r="3634" spans="2:26" s="18" customFormat="1" x14ac:dyDescent="0.25">
      <c r="E3634" s="40"/>
      <c r="G3634" s="40"/>
      <c r="H3634" s="7">
        <f t="shared" ref="H3634:N3634" si="1498">SUM(H3405:H3633)</f>
        <v>6</v>
      </c>
      <c r="I3634" s="7">
        <f t="shared" si="1498"/>
        <v>93</v>
      </c>
      <c r="J3634" s="7">
        <f>SUM(J3405:J3633)</f>
        <v>2684</v>
      </c>
      <c r="K3634" s="7">
        <f t="shared" si="1498"/>
        <v>0</v>
      </c>
      <c r="L3634" s="7">
        <f t="shared" si="1498"/>
        <v>2783</v>
      </c>
      <c r="M3634" s="8">
        <f t="shared" si="1498"/>
        <v>228</v>
      </c>
      <c r="N3634" s="8">
        <f t="shared" si="1498"/>
        <v>167</v>
      </c>
      <c r="P3634" s="13"/>
      <c r="Q3634" s="13"/>
      <c r="R3634" s="13"/>
      <c r="S3634" s="13"/>
      <c r="T3634" s="15"/>
      <c r="U3634" s="46" t="str">
        <f t="shared" si="1487"/>
        <v/>
      </c>
      <c r="V3634" s="46" t="str">
        <f t="shared" si="1487"/>
        <v/>
      </c>
      <c r="W3634" s="46" t="str">
        <f t="shared" si="1487"/>
        <v/>
      </c>
      <c r="X3634" s="46" t="str">
        <f t="shared" si="1487"/>
        <v/>
      </c>
      <c r="Z3634" s="11"/>
    </row>
    <row r="3635" spans="2:26" s="18" customFormat="1" x14ac:dyDescent="0.25">
      <c r="E3635" s="40"/>
      <c r="G3635" s="40"/>
      <c r="H3635" s="7"/>
      <c r="I3635" s="7"/>
      <c r="J3635" s="7"/>
      <c r="K3635" s="7"/>
      <c r="L3635" s="7"/>
      <c r="M3635" s="8"/>
      <c r="N3635" s="8" t="str">
        <f>IF(R3635="x",1,"")</f>
        <v/>
      </c>
      <c r="P3635" s="13"/>
      <c r="Q3635" s="13"/>
      <c r="R3635" s="13"/>
      <c r="S3635" s="13"/>
      <c r="T3635" s="15"/>
      <c r="U3635" s="46" t="str">
        <f t="shared" si="1487"/>
        <v/>
      </c>
      <c r="V3635" s="46" t="str">
        <f t="shared" si="1487"/>
        <v/>
      </c>
      <c r="W3635" s="46" t="str">
        <f t="shared" si="1487"/>
        <v/>
      </c>
      <c r="X3635" s="46" t="str">
        <f t="shared" si="1487"/>
        <v/>
      </c>
      <c r="Z3635" s="11"/>
    </row>
    <row r="3636" spans="2:26" s="18" customFormat="1" x14ac:dyDescent="0.25">
      <c r="E3636" s="40"/>
      <c r="G3636" s="40"/>
      <c r="H3636" s="7"/>
      <c r="I3636" s="7"/>
      <c r="J3636" s="7"/>
      <c r="K3636" s="7"/>
      <c r="L3636" s="7"/>
      <c r="M3636" s="8"/>
      <c r="N3636" s="8" t="str">
        <f>IF(R3636="x",1,"")</f>
        <v/>
      </c>
      <c r="P3636" s="13"/>
      <c r="Q3636" s="13"/>
      <c r="R3636" s="13"/>
      <c r="S3636" s="13"/>
      <c r="T3636" s="15"/>
      <c r="U3636" s="46" t="str">
        <f t="shared" si="1487"/>
        <v/>
      </c>
      <c r="V3636" s="46" t="str">
        <f t="shared" si="1487"/>
        <v/>
      </c>
      <c r="W3636" s="46" t="str">
        <f t="shared" si="1487"/>
        <v/>
      </c>
      <c r="X3636" s="46" t="str">
        <f t="shared" si="1487"/>
        <v/>
      </c>
      <c r="Z3636" s="11"/>
    </row>
    <row r="3637" spans="2:26" x14ac:dyDescent="0.25">
      <c r="B3637" s="11" t="str">
        <f t="shared" ref="B3637:B3643" si="1499">CONCATENATE("LACO","-",LEFT(P3637,2),UPPER(MID(P3637,4,3)),RIGHT(P3637,4))</f>
        <v>LACO-17MAR1912</v>
      </c>
      <c r="C3637" s="11" t="s">
        <v>4462</v>
      </c>
      <c r="D3637" s="11" t="s">
        <v>3957</v>
      </c>
      <c r="E3637" s="39" t="s">
        <v>1278</v>
      </c>
      <c r="F3637" s="11" t="s">
        <v>1700</v>
      </c>
      <c r="G3637" s="39" t="s">
        <v>4463</v>
      </c>
      <c r="H3637" s="7">
        <v>0</v>
      </c>
      <c r="I3637" s="7">
        <v>4</v>
      </c>
      <c r="J3637" s="17">
        <v>0</v>
      </c>
      <c r="K3637" s="17"/>
      <c r="L3637" s="7">
        <f t="shared" ref="L3637:L3643" si="1500">SUM(H3637:K3637)</f>
        <v>4</v>
      </c>
      <c r="M3637" s="8">
        <v>1</v>
      </c>
      <c r="N3637" s="8">
        <f t="shared" ref="N3637:N3643" si="1501">IF(L3637&gt;0,1,"")</f>
        <v>1</v>
      </c>
      <c r="O3637" s="11" t="s">
        <v>1702</v>
      </c>
      <c r="P3637" s="16" t="str">
        <f t="shared" ref="P3637:P3643" si="1502">IF(LEN(G3637)=10,CONCATENATE("0",G3637),G3637)</f>
        <v>17-Mar-1912</v>
      </c>
      <c r="R3637" s="16" t="str">
        <f t="shared" ref="R3637:S3643" si="1503">IF($L3637&gt;0,"x","")</f>
        <v>x</v>
      </c>
      <c r="S3637" s="16" t="str">
        <f t="shared" si="1503"/>
        <v>x</v>
      </c>
      <c r="U3637" s="46" t="str">
        <f t="shared" si="1487"/>
        <v/>
      </c>
      <c r="V3637" s="46">
        <f t="shared" si="1487"/>
        <v>4</v>
      </c>
      <c r="W3637" s="46" t="str">
        <f t="shared" si="1487"/>
        <v/>
      </c>
      <c r="X3637" s="46" t="str">
        <f t="shared" si="1487"/>
        <v/>
      </c>
    </row>
    <row r="3638" spans="2:26" x14ac:dyDescent="0.25">
      <c r="B3638" s="11" t="str">
        <f t="shared" si="1499"/>
        <v>LACO-14AUG1912</v>
      </c>
      <c r="C3638" s="11" t="s">
        <v>4462</v>
      </c>
      <c r="D3638" s="11" t="s">
        <v>2097</v>
      </c>
      <c r="E3638" s="39" t="s">
        <v>1321</v>
      </c>
      <c r="F3638" s="11" t="s">
        <v>3050</v>
      </c>
      <c r="G3638" s="39" t="s">
        <v>3099</v>
      </c>
      <c r="H3638" s="7">
        <v>0</v>
      </c>
      <c r="I3638" s="7">
        <v>0</v>
      </c>
      <c r="J3638" s="17">
        <v>5</v>
      </c>
      <c r="K3638" s="17"/>
      <c r="L3638" s="7">
        <f t="shared" si="1500"/>
        <v>5</v>
      </c>
      <c r="M3638" s="8">
        <v>1</v>
      </c>
      <c r="N3638" s="8">
        <f t="shared" si="1501"/>
        <v>1</v>
      </c>
      <c r="O3638" s="11" t="s">
        <v>1702</v>
      </c>
      <c r="P3638" s="16" t="str">
        <f t="shared" si="1502"/>
        <v>14-Aug-1912</v>
      </c>
      <c r="R3638" s="16" t="str">
        <f t="shared" si="1503"/>
        <v>x</v>
      </c>
      <c r="S3638" s="16" t="str">
        <f t="shared" si="1503"/>
        <v>x</v>
      </c>
      <c r="U3638" s="46" t="str">
        <f t="shared" ref="U3638:X3641" si="1504">IF($O3638=U$5,$L3638,"")</f>
        <v/>
      </c>
      <c r="V3638" s="46">
        <f t="shared" si="1504"/>
        <v>5</v>
      </c>
      <c r="W3638" s="46" t="str">
        <f t="shared" si="1504"/>
        <v/>
      </c>
      <c r="X3638" s="46" t="str">
        <f t="shared" si="1504"/>
        <v/>
      </c>
    </row>
    <row r="3639" spans="2:26" x14ac:dyDescent="0.25">
      <c r="B3639" s="11" t="str">
        <f t="shared" si="1499"/>
        <v>LACO-14AUG1912</v>
      </c>
      <c r="C3639" s="11" t="s">
        <v>4462</v>
      </c>
      <c r="D3639" s="11" t="s">
        <v>6306</v>
      </c>
      <c r="E3639" s="39" t="s">
        <v>2518</v>
      </c>
      <c r="F3639" s="11" t="s">
        <v>3050</v>
      </c>
      <c r="G3639" s="39" t="s">
        <v>3099</v>
      </c>
      <c r="H3639" s="7">
        <v>0</v>
      </c>
      <c r="I3639" s="7">
        <v>1</v>
      </c>
      <c r="J3639" s="17">
        <v>0</v>
      </c>
      <c r="K3639" s="17"/>
      <c r="L3639" s="7">
        <f t="shared" si="1500"/>
        <v>1</v>
      </c>
      <c r="M3639" s="8">
        <v>1</v>
      </c>
      <c r="N3639" s="8">
        <f t="shared" si="1501"/>
        <v>1</v>
      </c>
      <c r="O3639" s="11" t="s">
        <v>1702</v>
      </c>
      <c r="P3639" s="16" t="str">
        <f t="shared" si="1502"/>
        <v>14-Aug-1912</v>
      </c>
      <c r="R3639" s="16" t="str">
        <f t="shared" si="1503"/>
        <v>x</v>
      </c>
      <c r="S3639" s="16" t="str">
        <f t="shared" si="1503"/>
        <v>x</v>
      </c>
      <c r="U3639" s="46" t="str">
        <f t="shared" si="1504"/>
        <v/>
      </c>
      <c r="V3639" s="46">
        <f t="shared" si="1504"/>
        <v>1</v>
      </c>
      <c r="W3639" s="46" t="str">
        <f t="shared" si="1504"/>
        <v/>
      </c>
      <c r="X3639" s="46" t="str">
        <f t="shared" si="1504"/>
        <v/>
      </c>
    </row>
    <row r="3640" spans="2:26" x14ac:dyDescent="0.25">
      <c r="B3640" s="11" t="str">
        <f t="shared" si="1499"/>
        <v>LACO-18DEC1912</v>
      </c>
      <c r="C3640" s="11" t="s">
        <v>4462</v>
      </c>
      <c r="D3640" s="11" t="s">
        <v>3064</v>
      </c>
      <c r="E3640" s="39" t="s">
        <v>1006</v>
      </c>
      <c r="F3640" s="11" t="s">
        <v>1700</v>
      </c>
      <c r="G3640" s="39" t="s">
        <v>3149</v>
      </c>
      <c r="J3640" s="17">
        <v>25</v>
      </c>
      <c r="K3640" s="17"/>
      <c r="L3640" s="7">
        <f t="shared" si="1500"/>
        <v>25</v>
      </c>
      <c r="M3640" s="8">
        <v>1</v>
      </c>
      <c r="N3640" s="8">
        <f t="shared" si="1501"/>
        <v>1</v>
      </c>
      <c r="O3640" s="11" t="s">
        <v>1702</v>
      </c>
      <c r="P3640" s="16" t="str">
        <f t="shared" si="1502"/>
        <v>18-Dec-1912</v>
      </c>
      <c r="R3640" s="16" t="str">
        <f t="shared" si="1503"/>
        <v>x</v>
      </c>
      <c r="S3640" s="16" t="str">
        <f t="shared" si="1503"/>
        <v>x</v>
      </c>
      <c r="U3640" s="46" t="str">
        <f t="shared" si="1504"/>
        <v/>
      </c>
      <c r="V3640" s="46">
        <f t="shared" si="1504"/>
        <v>25</v>
      </c>
      <c r="W3640" s="46" t="str">
        <f t="shared" si="1504"/>
        <v/>
      </c>
      <c r="X3640" s="46" t="str">
        <f t="shared" si="1504"/>
        <v/>
      </c>
    </row>
    <row r="3641" spans="2:26" x14ac:dyDescent="0.25">
      <c r="B3641" s="11" t="str">
        <f t="shared" si="1499"/>
        <v>LACO-10FEB1913</v>
      </c>
      <c r="C3641" s="11" t="s">
        <v>4462</v>
      </c>
      <c r="D3641" s="11" t="s">
        <v>3395</v>
      </c>
      <c r="E3641" s="39" t="s">
        <v>2777</v>
      </c>
      <c r="F3641" s="11" t="s">
        <v>1700</v>
      </c>
      <c r="G3641" s="39" t="s">
        <v>2348</v>
      </c>
      <c r="I3641" s="7">
        <v>0</v>
      </c>
      <c r="J3641" s="17">
        <v>20</v>
      </c>
      <c r="K3641" s="17"/>
      <c r="L3641" s="7">
        <f t="shared" si="1500"/>
        <v>20</v>
      </c>
      <c r="M3641" s="8">
        <v>1</v>
      </c>
      <c r="N3641" s="8">
        <f t="shared" si="1501"/>
        <v>1</v>
      </c>
      <c r="O3641" s="11" t="s">
        <v>1702</v>
      </c>
      <c r="P3641" s="16" t="str">
        <f t="shared" si="1502"/>
        <v>10-Feb-1913</v>
      </c>
      <c r="R3641" s="16" t="str">
        <f t="shared" si="1503"/>
        <v>x</v>
      </c>
      <c r="S3641" s="16" t="str">
        <f t="shared" si="1503"/>
        <v>x</v>
      </c>
      <c r="U3641" s="46" t="str">
        <f t="shared" si="1504"/>
        <v/>
      </c>
      <c r="V3641" s="46">
        <f t="shared" si="1504"/>
        <v>20</v>
      </c>
      <c r="W3641" s="46" t="str">
        <f t="shared" si="1504"/>
        <v/>
      </c>
      <c r="X3641" s="46" t="str">
        <f t="shared" si="1504"/>
        <v/>
      </c>
    </row>
    <row r="3642" spans="2:26" x14ac:dyDescent="0.25">
      <c r="B3642" s="11" t="str">
        <f t="shared" si="1499"/>
        <v>LACO-13AUG1913</v>
      </c>
      <c r="C3642" s="11" t="s">
        <v>4462</v>
      </c>
      <c r="D3642" s="11" t="s">
        <v>2097</v>
      </c>
      <c r="E3642" s="39" t="s">
        <v>5505</v>
      </c>
      <c r="F3642" s="11" t="s">
        <v>3050</v>
      </c>
      <c r="G3642" s="39" t="s">
        <v>2538</v>
      </c>
      <c r="H3642" s="7">
        <v>1</v>
      </c>
      <c r="I3642" s="7">
        <v>0</v>
      </c>
      <c r="J3642" s="17">
        <v>2</v>
      </c>
      <c r="K3642" s="17"/>
      <c r="L3642" s="7">
        <f t="shared" si="1500"/>
        <v>3</v>
      </c>
      <c r="M3642" s="8">
        <v>1</v>
      </c>
      <c r="N3642" s="8">
        <f t="shared" si="1501"/>
        <v>1</v>
      </c>
      <c r="O3642" s="11" t="s">
        <v>1702</v>
      </c>
      <c r="P3642" s="16" t="str">
        <f t="shared" si="1502"/>
        <v>13-Aug-1913</v>
      </c>
      <c r="R3642" s="16" t="str">
        <f t="shared" si="1503"/>
        <v>x</v>
      </c>
      <c r="S3642" s="16" t="str">
        <f t="shared" si="1503"/>
        <v>x</v>
      </c>
      <c r="U3642" s="46" t="str">
        <f t="shared" ref="U3642:X3643" si="1505">IF($O3642=U$5,$L3642,"")</f>
        <v/>
      </c>
      <c r="V3642" s="46">
        <f t="shared" si="1505"/>
        <v>3</v>
      </c>
      <c r="W3642" s="46" t="str">
        <f t="shared" si="1505"/>
        <v/>
      </c>
      <c r="X3642" s="46" t="str">
        <f t="shared" si="1505"/>
        <v/>
      </c>
    </row>
    <row r="3643" spans="2:26" x14ac:dyDescent="0.25">
      <c r="B3643" s="11" t="str">
        <f t="shared" si="1499"/>
        <v>LACO-25OCT1932</v>
      </c>
      <c r="C3643" s="11" t="s">
        <v>4462</v>
      </c>
      <c r="D3643" s="11" t="s">
        <v>2097</v>
      </c>
      <c r="E3643" s="39" t="s">
        <v>11284</v>
      </c>
      <c r="F3643" s="11" t="s">
        <v>1700</v>
      </c>
      <c r="G3643" s="39" t="s">
        <v>11285</v>
      </c>
      <c r="I3643" s="7">
        <v>0</v>
      </c>
      <c r="J3643" s="17">
        <v>2</v>
      </c>
      <c r="K3643" s="17"/>
      <c r="L3643" s="7">
        <f t="shared" si="1500"/>
        <v>2</v>
      </c>
      <c r="M3643" s="8">
        <v>1</v>
      </c>
      <c r="N3643" s="8">
        <f t="shared" si="1501"/>
        <v>1</v>
      </c>
      <c r="O3643" s="11" t="s">
        <v>1702</v>
      </c>
      <c r="P3643" s="16" t="str">
        <f t="shared" si="1502"/>
        <v>25-Oct-1932</v>
      </c>
      <c r="R3643" s="16" t="str">
        <f t="shared" si="1503"/>
        <v>x</v>
      </c>
      <c r="S3643" s="16" t="str">
        <f t="shared" si="1503"/>
        <v>x</v>
      </c>
      <c r="U3643" s="46" t="str">
        <f t="shared" si="1505"/>
        <v/>
      </c>
      <c r="V3643" s="46">
        <f t="shared" si="1505"/>
        <v>2</v>
      </c>
      <c r="W3643" s="46" t="str">
        <f t="shared" si="1505"/>
        <v/>
      </c>
      <c r="X3643" s="46" t="str">
        <f t="shared" si="1505"/>
        <v/>
      </c>
    </row>
    <row r="3644" spans="2:26" x14ac:dyDescent="0.25">
      <c r="N3644" s="8" t="str">
        <f>IF(R3644="x",1,"")</f>
        <v/>
      </c>
      <c r="U3644" s="46" t="str">
        <f t="shared" si="1487"/>
        <v/>
      </c>
      <c r="V3644" s="46" t="str">
        <f t="shared" si="1487"/>
        <v/>
      </c>
      <c r="W3644" s="46" t="str">
        <f t="shared" si="1487"/>
        <v/>
      </c>
      <c r="X3644" s="46" t="str">
        <f t="shared" si="1487"/>
        <v/>
      </c>
    </row>
    <row r="3645" spans="2:26" s="18" customFormat="1" x14ac:dyDescent="0.25">
      <c r="E3645" s="40"/>
      <c r="G3645" s="40"/>
      <c r="H3645" s="7">
        <f t="shared" ref="H3645:N3645" si="1506">SUM(H3637:H3644)</f>
        <v>1</v>
      </c>
      <c r="I3645" s="7">
        <f t="shared" si="1506"/>
        <v>5</v>
      </c>
      <c r="J3645" s="7">
        <f>SUM(J3637:J3644)</f>
        <v>54</v>
      </c>
      <c r="K3645" s="7">
        <f t="shared" si="1506"/>
        <v>0</v>
      </c>
      <c r="L3645" s="7">
        <f t="shared" si="1506"/>
        <v>60</v>
      </c>
      <c r="M3645" s="7">
        <f t="shared" si="1506"/>
        <v>7</v>
      </c>
      <c r="N3645" s="7">
        <f t="shared" si="1506"/>
        <v>7</v>
      </c>
      <c r="P3645" s="13"/>
      <c r="Q3645" s="13"/>
      <c r="R3645" s="16"/>
      <c r="S3645" s="13"/>
      <c r="T3645" s="15"/>
      <c r="U3645" s="46" t="str">
        <f t="shared" si="1487"/>
        <v/>
      </c>
      <c r="V3645" s="46" t="str">
        <f t="shared" si="1487"/>
        <v/>
      </c>
      <c r="W3645" s="46" t="str">
        <f t="shared" si="1487"/>
        <v/>
      </c>
      <c r="X3645" s="46" t="str">
        <f t="shared" si="1487"/>
        <v/>
      </c>
      <c r="Z3645" s="11"/>
    </row>
    <row r="3646" spans="2:26" s="18" customFormat="1" x14ac:dyDescent="0.25">
      <c r="E3646" s="40"/>
      <c r="G3646" s="40"/>
      <c r="H3646" s="7"/>
      <c r="I3646" s="7"/>
      <c r="J3646" s="7"/>
      <c r="K3646" s="7"/>
      <c r="L3646" s="7"/>
      <c r="M3646" s="8"/>
      <c r="N3646" s="8" t="str">
        <f>IF(R3646="x",1,"")</f>
        <v/>
      </c>
      <c r="P3646" s="13"/>
      <c r="Q3646" s="13"/>
      <c r="R3646" s="13"/>
      <c r="S3646" s="13"/>
      <c r="T3646" s="15"/>
      <c r="U3646" s="46" t="str">
        <f t="shared" si="1487"/>
        <v/>
      </c>
      <c r="V3646" s="46" t="str">
        <f t="shared" si="1487"/>
        <v/>
      </c>
      <c r="W3646" s="46" t="str">
        <f t="shared" si="1487"/>
        <v/>
      </c>
      <c r="X3646" s="46" t="str">
        <f t="shared" si="1487"/>
        <v/>
      </c>
      <c r="Z3646" s="11"/>
    </row>
    <row r="3647" spans="2:26" s="18" customFormat="1" x14ac:dyDescent="0.25">
      <c r="E3647" s="40"/>
      <c r="G3647" s="40"/>
      <c r="H3647" s="7"/>
      <c r="I3647" s="7"/>
      <c r="J3647" s="7"/>
      <c r="K3647" s="7"/>
      <c r="L3647" s="7"/>
      <c r="M3647" s="8"/>
      <c r="N3647" s="8" t="str">
        <f>IF(R3647="x",1,"")</f>
        <v/>
      </c>
      <c r="P3647" s="13"/>
      <c r="Q3647" s="13"/>
      <c r="R3647" s="13"/>
      <c r="S3647" s="13"/>
      <c r="T3647" s="15"/>
      <c r="U3647" s="46" t="str">
        <f t="shared" si="1487"/>
        <v/>
      </c>
      <c r="V3647" s="46" t="str">
        <f t="shared" si="1487"/>
        <v/>
      </c>
      <c r="W3647" s="46" t="str">
        <f t="shared" si="1487"/>
        <v/>
      </c>
      <c r="X3647" s="46" t="str">
        <f t="shared" si="1487"/>
        <v/>
      </c>
      <c r="Z3647" s="11"/>
    </row>
    <row r="3648" spans="2:26" x14ac:dyDescent="0.25">
      <c r="B3648" s="11" t="str">
        <f t="shared" ref="B3648:B3653" si="1507">CONCATENATE("LAFT","-",LEFT(P3648,2),UPPER(MID(P3648,4,3)),RIGHT(P3648,4))</f>
        <v>LAFT-17NOV1919</v>
      </c>
      <c r="C3648" s="11" t="s">
        <v>4151</v>
      </c>
      <c r="D3648" s="11" t="s">
        <v>1699</v>
      </c>
      <c r="E3648" s="39" t="s">
        <v>4554</v>
      </c>
      <c r="F3648" s="11" t="s">
        <v>1700</v>
      </c>
      <c r="G3648" s="39" t="s">
        <v>3756</v>
      </c>
      <c r="H3648" s="7">
        <f>1+1</f>
        <v>2</v>
      </c>
      <c r="I3648" s="7">
        <v>0</v>
      </c>
      <c r="J3648" s="17">
        <v>34</v>
      </c>
      <c r="K3648" s="17"/>
      <c r="L3648" s="7">
        <f t="shared" ref="L3648:L3653" si="1508">SUM(H3648:K3648)</f>
        <v>36</v>
      </c>
      <c r="M3648" s="8">
        <v>1</v>
      </c>
      <c r="N3648" s="8">
        <f t="shared" ref="N3648:N3653" si="1509">IF(L3648&gt;0,1,"")</f>
        <v>1</v>
      </c>
      <c r="O3648" s="11" t="s">
        <v>1702</v>
      </c>
      <c r="P3648" s="16" t="str">
        <f t="shared" ref="P3648:P3653" si="1510">IF(LEN(G3648)=10,CONCATENATE("0",G3648),G3648)</f>
        <v>17-Nov-1919</v>
      </c>
      <c r="R3648" s="16" t="str">
        <f t="shared" ref="R3648:S3653" si="1511">IF($L3648&gt;0,"x","")</f>
        <v>x</v>
      </c>
      <c r="S3648" s="16" t="str">
        <f t="shared" si="1511"/>
        <v>x</v>
      </c>
      <c r="U3648" s="46" t="str">
        <f t="shared" si="1487"/>
        <v/>
      </c>
      <c r="V3648" s="46">
        <f t="shared" si="1487"/>
        <v>36</v>
      </c>
      <c r="W3648" s="46" t="str">
        <f t="shared" si="1487"/>
        <v/>
      </c>
      <c r="X3648" s="46" t="str">
        <f t="shared" si="1487"/>
        <v/>
      </c>
    </row>
    <row r="3649" spans="2:26" x14ac:dyDescent="0.25">
      <c r="B3649" s="11" t="str">
        <f t="shared" si="1507"/>
        <v>LAFT-28JUN1920</v>
      </c>
      <c r="C3649" s="11" t="s">
        <v>4151</v>
      </c>
      <c r="D3649" s="11" t="s">
        <v>1699</v>
      </c>
      <c r="E3649" s="39" t="s">
        <v>4506</v>
      </c>
      <c r="F3649" s="11" t="s">
        <v>1700</v>
      </c>
      <c r="G3649" s="39" t="s">
        <v>1574</v>
      </c>
      <c r="H3649" s="7">
        <v>4</v>
      </c>
      <c r="I3649" s="7">
        <v>0</v>
      </c>
      <c r="J3649" s="17">
        <v>24</v>
      </c>
      <c r="K3649" s="17"/>
      <c r="L3649" s="7">
        <f t="shared" si="1508"/>
        <v>28</v>
      </c>
      <c r="M3649" s="8">
        <v>1</v>
      </c>
      <c r="N3649" s="8">
        <f t="shared" si="1509"/>
        <v>1</v>
      </c>
      <c r="O3649" s="11" t="s">
        <v>1702</v>
      </c>
      <c r="P3649" s="16" t="str">
        <f t="shared" si="1510"/>
        <v>28-Jun-1920</v>
      </c>
      <c r="R3649" s="16" t="str">
        <f t="shared" si="1511"/>
        <v>x</v>
      </c>
      <c r="S3649" s="16" t="str">
        <f t="shared" si="1511"/>
        <v>x</v>
      </c>
      <c r="U3649" s="46" t="str">
        <f t="shared" ref="U3649:X3652" si="1512">IF($O3649=U$5,$L3649,"")</f>
        <v/>
      </c>
      <c r="V3649" s="46">
        <f t="shared" si="1512"/>
        <v>28</v>
      </c>
      <c r="W3649" s="46" t="str">
        <f t="shared" si="1512"/>
        <v/>
      </c>
      <c r="X3649" s="46" t="str">
        <f t="shared" si="1512"/>
        <v/>
      </c>
    </row>
    <row r="3650" spans="2:26" x14ac:dyDescent="0.25">
      <c r="B3650" s="11" t="str">
        <f t="shared" si="1507"/>
        <v>LAFT-26JUL1920</v>
      </c>
      <c r="C3650" s="11" t="s">
        <v>4151</v>
      </c>
      <c r="D3650" s="11" t="s">
        <v>1699</v>
      </c>
      <c r="E3650" s="39" t="s">
        <v>4152</v>
      </c>
      <c r="F3650" s="11" t="s">
        <v>1700</v>
      </c>
      <c r="G3650" s="39" t="s">
        <v>4153</v>
      </c>
      <c r="H3650" s="7">
        <v>1</v>
      </c>
      <c r="I3650" s="7">
        <f>1+1</f>
        <v>2</v>
      </c>
      <c r="J3650" s="17">
        <v>41</v>
      </c>
      <c r="K3650" s="17"/>
      <c r="L3650" s="7">
        <f t="shared" si="1508"/>
        <v>44</v>
      </c>
      <c r="M3650" s="8">
        <v>1</v>
      </c>
      <c r="N3650" s="8">
        <f t="shared" si="1509"/>
        <v>1</v>
      </c>
      <c r="O3650" s="11" t="s">
        <v>1702</v>
      </c>
      <c r="P3650" s="16" t="str">
        <f t="shared" si="1510"/>
        <v>26-Jul-1920</v>
      </c>
      <c r="R3650" s="16" t="str">
        <f t="shared" si="1511"/>
        <v>x</v>
      </c>
      <c r="S3650" s="16" t="str">
        <f t="shared" si="1511"/>
        <v>x</v>
      </c>
      <c r="U3650" s="46" t="str">
        <f t="shared" si="1512"/>
        <v/>
      </c>
      <c r="V3650" s="46">
        <f t="shared" si="1512"/>
        <v>44</v>
      </c>
      <c r="W3650" s="46" t="str">
        <f t="shared" si="1512"/>
        <v/>
      </c>
      <c r="X3650" s="46" t="str">
        <f t="shared" si="1512"/>
        <v/>
      </c>
    </row>
    <row r="3651" spans="2:26" x14ac:dyDescent="0.25">
      <c r="B3651" s="11" t="str">
        <f t="shared" si="1507"/>
        <v>LAFT-20SEP1920</v>
      </c>
      <c r="C3651" s="11" t="s">
        <v>4151</v>
      </c>
      <c r="D3651" s="11" t="s">
        <v>1699</v>
      </c>
      <c r="E3651" s="39" t="s">
        <v>3970</v>
      </c>
      <c r="F3651" s="11" t="s">
        <v>1700</v>
      </c>
      <c r="G3651" s="39" t="s">
        <v>4161</v>
      </c>
      <c r="H3651" s="7">
        <v>1</v>
      </c>
      <c r="I3651" s="7">
        <v>0</v>
      </c>
      <c r="J3651" s="17">
        <f>30+1</f>
        <v>31</v>
      </c>
      <c r="K3651" s="17"/>
      <c r="L3651" s="7">
        <f t="shared" si="1508"/>
        <v>32</v>
      </c>
      <c r="M3651" s="8">
        <v>1</v>
      </c>
      <c r="N3651" s="8">
        <f t="shared" si="1509"/>
        <v>1</v>
      </c>
      <c r="O3651" s="11" t="s">
        <v>1702</v>
      </c>
      <c r="P3651" s="16" t="str">
        <f t="shared" si="1510"/>
        <v>20-Sep-1920</v>
      </c>
      <c r="R3651" s="16" t="str">
        <f t="shared" si="1511"/>
        <v>x</v>
      </c>
      <c r="S3651" s="16" t="str">
        <f t="shared" si="1511"/>
        <v>x</v>
      </c>
      <c r="U3651" s="46" t="str">
        <f t="shared" si="1512"/>
        <v/>
      </c>
      <c r="V3651" s="46">
        <f t="shared" si="1512"/>
        <v>32</v>
      </c>
      <c r="W3651" s="46" t="str">
        <f t="shared" si="1512"/>
        <v/>
      </c>
      <c r="X3651" s="46" t="str">
        <f t="shared" si="1512"/>
        <v/>
      </c>
    </row>
    <row r="3652" spans="2:26" x14ac:dyDescent="0.25">
      <c r="B3652" s="11" t="str">
        <f t="shared" si="1507"/>
        <v>LAFT-03JUN1921</v>
      </c>
      <c r="C3652" s="11" t="s">
        <v>4151</v>
      </c>
      <c r="D3652" s="11" t="s">
        <v>1699</v>
      </c>
      <c r="E3652" s="39" t="s">
        <v>5740</v>
      </c>
      <c r="F3652" s="11" t="s">
        <v>1700</v>
      </c>
      <c r="G3652" s="39" t="s">
        <v>5741</v>
      </c>
      <c r="H3652" s="7">
        <v>0</v>
      </c>
      <c r="I3652" s="7">
        <v>5</v>
      </c>
      <c r="J3652" s="17">
        <v>6</v>
      </c>
      <c r="K3652" s="17"/>
      <c r="L3652" s="7">
        <f t="shared" si="1508"/>
        <v>11</v>
      </c>
      <c r="M3652" s="8">
        <v>1</v>
      </c>
      <c r="N3652" s="8">
        <f t="shared" si="1509"/>
        <v>1</v>
      </c>
      <c r="O3652" s="11" t="s">
        <v>1702</v>
      </c>
      <c r="P3652" s="16" t="str">
        <f t="shared" si="1510"/>
        <v>03-Jun-1921</v>
      </c>
      <c r="R3652" s="16" t="str">
        <f t="shared" si="1511"/>
        <v>x</v>
      </c>
      <c r="S3652" s="16" t="str">
        <f t="shared" si="1511"/>
        <v>x</v>
      </c>
      <c r="U3652" s="46" t="str">
        <f t="shared" si="1512"/>
        <v/>
      </c>
      <c r="V3652" s="46">
        <f t="shared" si="1512"/>
        <v>11</v>
      </c>
      <c r="W3652" s="46" t="str">
        <f t="shared" si="1512"/>
        <v/>
      </c>
      <c r="X3652" s="46" t="str">
        <f t="shared" si="1512"/>
        <v/>
      </c>
    </row>
    <row r="3653" spans="2:26" x14ac:dyDescent="0.25">
      <c r="B3653" s="11" t="str">
        <f t="shared" si="1507"/>
        <v>LAFT-07MAY1923</v>
      </c>
      <c r="C3653" s="11" t="s">
        <v>4151</v>
      </c>
      <c r="D3653" s="11" t="s">
        <v>1699</v>
      </c>
      <c r="E3653" s="39" t="s">
        <v>4236</v>
      </c>
      <c r="F3653" s="11" t="s">
        <v>1700</v>
      </c>
      <c r="G3653" s="39" t="s">
        <v>2819</v>
      </c>
      <c r="H3653" s="7">
        <v>0</v>
      </c>
      <c r="I3653" s="7">
        <f>0+3</f>
        <v>3</v>
      </c>
      <c r="J3653" s="17">
        <v>0</v>
      </c>
      <c r="K3653" s="17"/>
      <c r="L3653" s="7">
        <f t="shared" si="1508"/>
        <v>3</v>
      </c>
      <c r="M3653" s="8">
        <v>1</v>
      </c>
      <c r="N3653" s="8">
        <f t="shared" si="1509"/>
        <v>1</v>
      </c>
      <c r="O3653" s="11" t="s">
        <v>1702</v>
      </c>
      <c r="P3653" s="16" t="str">
        <f t="shared" si="1510"/>
        <v>07-May-1923</v>
      </c>
      <c r="R3653" s="16" t="str">
        <f t="shared" si="1511"/>
        <v>x</v>
      </c>
      <c r="S3653" s="16" t="str">
        <f t="shared" si="1511"/>
        <v>x</v>
      </c>
      <c r="U3653" s="46" t="str">
        <f t="shared" si="1487"/>
        <v/>
      </c>
      <c r="V3653" s="46">
        <f t="shared" si="1487"/>
        <v>3</v>
      </c>
      <c r="W3653" s="46" t="str">
        <f t="shared" si="1487"/>
        <v/>
      </c>
      <c r="X3653" s="46" t="str">
        <f t="shared" si="1487"/>
        <v/>
      </c>
    </row>
    <row r="3654" spans="2:26" x14ac:dyDescent="0.25">
      <c r="N3654" s="8" t="str">
        <f>IF(R3654="x",1,"")</f>
        <v/>
      </c>
      <c r="U3654" s="46" t="str">
        <f t="shared" si="1487"/>
        <v/>
      </c>
      <c r="V3654" s="46" t="str">
        <f t="shared" si="1487"/>
        <v/>
      </c>
      <c r="W3654" s="46" t="str">
        <f t="shared" si="1487"/>
        <v/>
      </c>
      <c r="X3654" s="46" t="str">
        <f t="shared" si="1487"/>
        <v/>
      </c>
    </row>
    <row r="3655" spans="2:26" s="18" customFormat="1" x14ac:dyDescent="0.25">
      <c r="E3655" s="40"/>
      <c r="G3655" s="40"/>
      <c r="H3655" s="7">
        <f t="shared" ref="H3655:N3655" si="1513">SUM(H3648:H3654)</f>
        <v>8</v>
      </c>
      <c r="I3655" s="7">
        <f t="shared" si="1513"/>
        <v>10</v>
      </c>
      <c r="J3655" s="7">
        <f>SUM(J3648:J3654)</f>
        <v>136</v>
      </c>
      <c r="K3655" s="7">
        <f t="shared" si="1513"/>
        <v>0</v>
      </c>
      <c r="L3655" s="7">
        <f t="shared" si="1513"/>
        <v>154</v>
      </c>
      <c r="M3655" s="7">
        <f t="shared" si="1513"/>
        <v>6</v>
      </c>
      <c r="N3655" s="7">
        <f t="shared" si="1513"/>
        <v>6</v>
      </c>
      <c r="P3655" s="13"/>
      <c r="Q3655" s="13"/>
      <c r="R3655" s="16"/>
      <c r="S3655" s="13"/>
      <c r="T3655" s="15"/>
      <c r="U3655" s="46" t="str">
        <f t="shared" si="1487"/>
        <v/>
      </c>
      <c r="V3655" s="46" t="str">
        <f t="shared" si="1487"/>
        <v/>
      </c>
      <c r="W3655" s="46" t="str">
        <f t="shared" si="1487"/>
        <v/>
      </c>
      <c r="X3655" s="46" t="str">
        <f t="shared" si="1487"/>
        <v/>
      </c>
      <c r="Z3655" s="11"/>
    </row>
    <row r="3656" spans="2:26" s="18" customFormat="1" x14ac:dyDescent="0.25">
      <c r="E3656" s="40"/>
      <c r="G3656" s="40"/>
      <c r="H3656" s="7"/>
      <c r="I3656" s="7"/>
      <c r="J3656" s="7"/>
      <c r="K3656" s="7"/>
      <c r="L3656" s="7"/>
      <c r="M3656" s="8"/>
      <c r="N3656" s="8" t="str">
        <f>IF(R3656="x",1,"")</f>
        <v/>
      </c>
      <c r="P3656" s="13"/>
      <c r="Q3656" s="13"/>
      <c r="R3656" s="13"/>
      <c r="S3656" s="13"/>
      <c r="T3656" s="15"/>
      <c r="U3656" s="46" t="str">
        <f t="shared" ref="U3656:X3660" si="1514">IF($O3656=U$5,$L3656,"")</f>
        <v/>
      </c>
      <c r="V3656" s="46" t="str">
        <f t="shared" si="1514"/>
        <v/>
      </c>
      <c r="W3656" s="46" t="str">
        <f t="shared" si="1514"/>
        <v/>
      </c>
      <c r="X3656" s="46" t="str">
        <f>IF($O3656=X$5,$L3656,"")</f>
        <v/>
      </c>
      <c r="Z3656" s="11"/>
    </row>
    <row r="3657" spans="2:26" s="18" customFormat="1" x14ac:dyDescent="0.25">
      <c r="E3657" s="40"/>
      <c r="G3657" s="40"/>
      <c r="H3657" s="7"/>
      <c r="I3657" s="7"/>
      <c r="J3657" s="7"/>
      <c r="K3657" s="7"/>
      <c r="L3657" s="7"/>
      <c r="M3657" s="8"/>
      <c r="N3657" s="8" t="str">
        <f>IF(R3657="x",1,"")</f>
        <v/>
      </c>
      <c r="P3657" s="13"/>
      <c r="Q3657" s="13"/>
      <c r="R3657" s="13"/>
      <c r="S3657" s="13"/>
      <c r="T3657" s="15"/>
      <c r="U3657" s="46" t="str">
        <f t="shared" si="1514"/>
        <v/>
      </c>
      <c r="V3657" s="46" t="str">
        <f t="shared" si="1514"/>
        <v/>
      </c>
      <c r="W3657" s="46" t="str">
        <f t="shared" si="1514"/>
        <v/>
      </c>
      <c r="X3657" s="46" t="str">
        <f>IF($O3657=X$5,$L3657,"")</f>
        <v/>
      </c>
      <c r="Z3657" s="11"/>
    </row>
    <row r="3658" spans="2:26" x14ac:dyDescent="0.25">
      <c r="B3658" s="11" t="str">
        <f>CONCATENATE("LAHN","-",LEFT(P3658,2),UPPER(MID(P3658,4,3)),RIGHT(P3658,4))</f>
        <v>LAHN-16SEP1903</v>
      </c>
      <c r="C3658" s="11" t="s">
        <v>11502</v>
      </c>
      <c r="D3658" s="11" t="s">
        <v>3007</v>
      </c>
      <c r="E3658" s="39" t="s">
        <v>11503</v>
      </c>
      <c r="F3658" s="11" t="s">
        <v>1700</v>
      </c>
      <c r="G3658" s="39" t="s">
        <v>11504</v>
      </c>
      <c r="H3658" s="7">
        <v>0</v>
      </c>
      <c r="I3658" s="7">
        <v>0</v>
      </c>
      <c r="J3658" s="17">
        <v>4</v>
      </c>
      <c r="K3658" s="17"/>
      <c r="L3658" s="7">
        <f>SUM(H3658:K3658)</f>
        <v>4</v>
      </c>
      <c r="M3658" s="8">
        <v>1</v>
      </c>
      <c r="N3658" s="8">
        <f>IF(L3658&gt;0,1,"")</f>
        <v>1</v>
      </c>
      <c r="O3658" s="11" t="s">
        <v>1702</v>
      </c>
      <c r="P3658" s="16" t="str">
        <f>IF(LEN(G3658)=10,CONCATENATE("0",G3658),G3658)</f>
        <v>16-Sep-1903</v>
      </c>
      <c r="R3658" s="16" t="str">
        <f>IF($L3658&gt;0,"x","")</f>
        <v>x</v>
      </c>
      <c r="S3658" s="80"/>
      <c r="U3658" s="46" t="str">
        <f t="shared" si="1514"/>
        <v/>
      </c>
      <c r="V3658" s="46">
        <f t="shared" si="1514"/>
        <v>4</v>
      </c>
      <c r="W3658" s="46" t="str">
        <f t="shared" si="1514"/>
        <v/>
      </c>
      <c r="X3658" s="46" t="str">
        <f>IF($O3658=X$5,$L3658,"")</f>
        <v/>
      </c>
    </row>
    <row r="3659" spans="2:26" x14ac:dyDescent="0.25">
      <c r="N3659" s="8" t="str">
        <f>IF(R3659="x",1,"")</f>
        <v/>
      </c>
      <c r="U3659" s="46" t="str">
        <f t="shared" si="1514"/>
        <v/>
      </c>
      <c r="V3659" s="46" t="str">
        <f t="shared" si="1514"/>
        <v/>
      </c>
      <c r="W3659" s="46" t="str">
        <f t="shared" si="1514"/>
        <v/>
      </c>
      <c r="X3659" s="46" t="str">
        <f t="shared" si="1514"/>
        <v/>
      </c>
    </row>
    <row r="3660" spans="2:26" s="18" customFormat="1" x14ac:dyDescent="0.25">
      <c r="E3660" s="40"/>
      <c r="G3660" s="40"/>
      <c r="H3660" s="7">
        <f t="shared" ref="H3660:N3660" si="1515">SUM(H3658:H3659)</f>
        <v>0</v>
      </c>
      <c r="I3660" s="7">
        <f t="shared" si="1515"/>
        <v>0</v>
      </c>
      <c r="J3660" s="7">
        <f t="shared" si="1515"/>
        <v>4</v>
      </c>
      <c r="K3660" s="7">
        <f t="shared" si="1515"/>
        <v>0</v>
      </c>
      <c r="L3660" s="7">
        <f t="shared" si="1515"/>
        <v>4</v>
      </c>
      <c r="M3660" s="7">
        <f t="shared" si="1515"/>
        <v>1</v>
      </c>
      <c r="N3660" s="7">
        <f t="shared" si="1515"/>
        <v>1</v>
      </c>
      <c r="P3660" s="13"/>
      <c r="Q3660" s="13"/>
      <c r="R3660" s="16"/>
      <c r="S3660" s="13"/>
      <c r="T3660" s="15"/>
      <c r="U3660" s="46" t="str">
        <f t="shared" si="1514"/>
        <v/>
      </c>
      <c r="V3660" s="46" t="str">
        <f t="shared" si="1514"/>
        <v/>
      </c>
      <c r="W3660" s="46" t="str">
        <f t="shared" si="1514"/>
        <v/>
      </c>
      <c r="X3660" s="46" t="str">
        <f t="shared" si="1514"/>
        <v/>
      </c>
      <c r="Z3660" s="11"/>
    </row>
    <row r="3661" spans="2:26" s="18" customFormat="1" x14ac:dyDescent="0.25">
      <c r="E3661" s="40"/>
      <c r="G3661" s="40"/>
      <c r="H3661" s="7"/>
      <c r="I3661" s="7"/>
      <c r="J3661" s="7"/>
      <c r="K3661" s="7"/>
      <c r="L3661" s="7"/>
      <c r="M3661" s="8"/>
      <c r="N3661" s="8" t="str">
        <f>IF(R3661="x",1,"")</f>
        <v/>
      </c>
      <c r="P3661" s="13"/>
      <c r="Q3661" s="13"/>
      <c r="R3661" s="13"/>
      <c r="S3661" s="13"/>
      <c r="T3661" s="15"/>
      <c r="U3661" s="46" t="str">
        <f t="shared" si="1487"/>
        <v/>
      </c>
      <c r="V3661" s="46" t="str">
        <f t="shared" si="1487"/>
        <v/>
      </c>
      <c r="W3661" s="46" t="str">
        <f t="shared" si="1487"/>
        <v/>
      </c>
      <c r="X3661" s="46" t="str">
        <f>IF($O3661=X$5,$L3661,"")</f>
        <v/>
      </c>
      <c r="Z3661" s="11"/>
    </row>
    <row r="3662" spans="2:26" s="18" customFormat="1" x14ac:dyDescent="0.25">
      <c r="E3662" s="40"/>
      <c r="G3662" s="40"/>
      <c r="H3662" s="7"/>
      <c r="I3662" s="7"/>
      <c r="J3662" s="7"/>
      <c r="K3662" s="7"/>
      <c r="L3662" s="7"/>
      <c r="M3662" s="8"/>
      <c r="N3662" s="8" t="str">
        <f>IF(R3662="x",1,"")</f>
        <v/>
      </c>
      <c r="P3662" s="13"/>
      <c r="Q3662" s="13"/>
      <c r="R3662" s="13"/>
      <c r="S3662" s="13"/>
      <c r="T3662" s="15"/>
      <c r="U3662" s="46" t="str">
        <f t="shared" ref="U3662:W3663" si="1516">IF($O3662=U$5,$L3662,"")</f>
        <v/>
      </c>
      <c r="V3662" s="46" t="str">
        <f t="shared" si="1516"/>
        <v/>
      </c>
      <c r="W3662" s="46" t="str">
        <f t="shared" si="1516"/>
        <v/>
      </c>
      <c r="X3662" s="46" t="str">
        <f>IF($O3662=X$5,$L3662,"")</f>
        <v/>
      </c>
      <c r="Z3662" s="11"/>
    </row>
    <row r="3663" spans="2:26" x14ac:dyDescent="0.25">
      <c r="B3663" s="11" t="str">
        <f t="shared" ref="B3663:B3669" si="1517">CONCATENATE("LKCH","-",LEFT(P3663,2),UPPER(MID(P3663,4,3)),RIGHT(P3663,4))</f>
        <v>LKCH-13OCT1900</v>
      </c>
      <c r="C3663" s="11" t="s">
        <v>2956</v>
      </c>
      <c r="D3663" s="11" t="s">
        <v>2097</v>
      </c>
      <c r="E3663" s="39" t="s">
        <v>5988</v>
      </c>
      <c r="F3663" s="11" t="s">
        <v>2813</v>
      </c>
      <c r="G3663" s="39" t="s">
        <v>5989</v>
      </c>
      <c r="J3663" s="17">
        <v>11</v>
      </c>
      <c r="K3663" s="17"/>
      <c r="L3663" s="7">
        <f t="shared" ref="L3663:L3669" si="1518">SUM(H3663:K3663)</f>
        <v>11</v>
      </c>
      <c r="M3663" s="8">
        <v>1</v>
      </c>
      <c r="N3663" s="8">
        <f t="shared" ref="N3663:N3669" si="1519">IF(L3663&gt;0,1,"")</f>
        <v>1</v>
      </c>
      <c r="O3663" s="11" t="s">
        <v>1702</v>
      </c>
      <c r="P3663" s="16" t="str">
        <f t="shared" ref="P3663:P3669" si="1520">IF(LEN(G3663)=10,CONCATENATE("0",G3663),G3663)</f>
        <v>13-Oct-1900</v>
      </c>
      <c r="R3663" s="16" t="str">
        <f>IF($L3663&gt;0,"x","")</f>
        <v>x</v>
      </c>
      <c r="S3663" s="16" t="str">
        <f>IF($L3663&gt;0,"x","")</f>
        <v>x</v>
      </c>
      <c r="U3663" s="46" t="str">
        <f t="shared" si="1516"/>
        <v/>
      </c>
      <c r="V3663" s="46">
        <f t="shared" si="1516"/>
        <v>11</v>
      </c>
      <c r="W3663" s="46" t="str">
        <f t="shared" si="1516"/>
        <v/>
      </c>
      <c r="X3663" s="46" t="str">
        <f>IF($O3663=X$5,$L3663,"")</f>
        <v/>
      </c>
    </row>
    <row r="3664" spans="2:26" x14ac:dyDescent="0.25">
      <c r="B3664" s="11" t="str">
        <f t="shared" si="1517"/>
        <v>LKCH-19NOV1900</v>
      </c>
      <c r="C3664" s="11" t="s">
        <v>2956</v>
      </c>
      <c r="D3664" s="11" t="s">
        <v>2097</v>
      </c>
      <c r="E3664" s="39" t="s">
        <v>3530</v>
      </c>
      <c r="F3664" s="11" t="s">
        <v>2813</v>
      </c>
      <c r="G3664" s="39" t="s">
        <v>3531</v>
      </c>
      <c r="J3664" s="17">
        <v>16</v>
      </c>
      <c r="K3664" s="17"/>
      <c r="L3664" s="7">
        <f t="shared" si="1518"/>
        <v>16</v>
      </c>
      <c r="M3664" s="8">
        <v>1</v>
      </c>
      <c r="N3664" s="8">
        <f t="shared" si="1519"/>
        <v>1</v>
      </c>
      <c r="O3664" s="11" t="s">
        <v>1702</v>
      </c>
      <c r="P3664" s="16" t="str">
        <f t="shared" si="1520"/>
        <v>19-Nov-1900</v>
      </c>
      <c r="R3664" s="16" t="str">
        <f t="shared" ref="R3664:S3669" si="1521">IF($L3664&gt;0,"x","")</f>
        <v>x</v>
      </c>
      <c r="S3664" s="16" t="str">
        <f t="shared" si="1521"/>
        <v>x</v>
      </c>
      <c r="U3664" s="46" t="str">
        <f t="shared" ref="U3664:X3666" si="1522">IF($O3664=U$5,$L3664,"")</f>
        <v/>
      </c>
      <c r="V3664" s="46">
        <f t="shared" si="1522"/>
        <v>16</v>
      </c>
      <c r="W3664" s="46" t="str">
        <f t="shared" si="1522"/>
        <v/>
      </c>
      <c r="X3664" s="46" t="str">
        <f t="shared" si="1522"/>
        <v/>
      </c>
    </row>
    <row r="3665" spans="2:26" x14ac:dyDescent="0.25">
      <c r="B3665" s="11" t="str">
        <f t="shared" si="1517"/>
        <v>LKCH-23DEC1900</v>
      </c>
      <c r="C3665" s="11" t="s">
        <v>2956</v>
      </c>
      <c r="D3665" s="11" t="s">
        <v>2097</v>
      </c>
      <c r="E3665" s="39" t="s">
        <v>6073</v>
      </c>
      <c r="F3665" s="11" t="s">
        <v>2904</v>
      </c>
      <c r="G3665" s="39" t="s">
        <v>5991</v>
      </c>
      <c r="J3665" s="17">
        <v>1</v>
      </c>
      <c r="K3665" s="17"/>
      <c r="L3665" s="7">
        <f t="shared" si="1518"/>
        <v>1</v>
      </c>
      <c r="M3665" s="8">
        <v>1</v>
      </c>
      <c r="N3665" s="8">
        <f t="shared" si="1519"/>
        <v>1</v>
      </c>
      <c r="O3665" s="11" t="s">
        <v>1702</v>
      </c>
      <c r="P3665" s="16" t="str">
        <f t="shared" si="1520"/>
        <v>23-Dec-1900</v>
      </c>
      <c r="R3665" s="16" t="str">
        <f t="shared" si="1521"/>
        <v>x</v>
      </c>
      <c r="S3665" s="16" t="str">
        <f t="shared" si="1521"/>
        <v>x</v>
      </c>
      <c r="U3665" s="46" t="str">
        <f t="shared" si="1522"/>
        <v/>
      </c>
      <c r="V3665" s="46">
        <f t="shared" si="1522"/>
        <v>1</v>
      </c>
      <c r="W3665" s="46" t="str">
        <f t="shared" si="1522"/>
        <v/>
      </c>
      <c r="X3665" s="46" t="str">
        <f t="shared" si="1522"/>
        <v/>
      </c>
    </row>
    <row r="3666" spans="2:26" x14ac:dyDescent="0.25">
      <c r="B3666" s="11" t="str">
        <f t="shared" si="1517"/>
        <v>LKCH-24DEC1900</v>
      </c>
      <c r="C3666" s="11" t="s">
        <v>2956</v>
      </c>
      <c r="D3666" s="11" t="s">
        <v>2097</v>
      </c>
      <c r="E3666" s="39" t="s">
        <v>6073</v>
      </c>
      <c r="F3666" s="11" t="s">
        <v>211</v>
      </c>
      <c r="G3666" s="39" t="s">
        <v>6019</v>
      </c>
      <c r="J3666" s="17">
        <v>2</v>
      </c>
      <c r="K3666" s="17"/>
      <c r="L3666" s="7">
        <f t="shared" si="1518"/>
        <v>2</v>
      </c>
      <c r="M3666" s="8">
        <v>1</v>
      </c>
      <c r="N3666" s="8">
        <f t="shared" si="1519"/>
        <v>1</v>
      </c>
      <c r="O3666" s="11" t="s">
        <v>1702</v>
      </c>
      <c r="P3666" s="16" t="str">
        <f t="shared" si="1520"/>
        <v>24-Dec-1900</v>
      </c>
      <c r="R3666" s="16" t="str">
        <f t="shared" si="1521"/>
        <v>x</v>
      </c>
      <c r="S3666" s="16" t="str">
        <f t="shared" si="1521"/>
        <v>x</v>
      </c>
      <c r="U3666" s="46" t="str">
        <f t="shared" si="1522"/>
        <v/>
      </c>
      <c r="V3666" s="46">
        <f t="shared" si="1522"/>
        <v>2</v>
      </c>
      <c r="W3666" s="46" t="str">
        <f t="shared" si="1522"/>
        <v/>
      </c>
      <c r="X3666" s="46" t="str">
        <f t="shared" si="1522"/>
        <v/>
      </c>
    </row>
    <row r="3667" spans="2:26" x14ac:dyDescent="0.25">
      <c r="B3667" s="11" t="str">
        <f t="shared" si="1517"/>
        <v>LKCH-16MAY1902</v>
      </c>
      <c r="C3667" s="11" t="s">
        <v>2956</v>
      </c>
      <c r="D3667" s="11" t="s">
        <v>2097</v>
      </c>
      <c r="E3667" s="39" t="s">
        <v>2958</v>
      </c>
      <c r="F3667" s="11" t="s">
        <v>2813</v>
      </c>
      <c r="G3667" s="39" t="s">
        <v>2957</v>
      </c>
      <c r="H3667" s="7">
        <v>1</v>
      </c>
      <c r="J3667" s="17">
        <v>5</v>
      </c>
      <c r="K3667" s="17"/>
      <c r="L3667" s="7">
        <f t="shared" si="1518"/>
        <v>6</v>
      </c>
      <c r="M3667" s="8">
        <v>1</v>
      </c>
      <c r="N3667" s="8">
        <f t="shared" si="1519"/>
        <v>1</v>
      </c>
      <c r="O3667" s="11" t="s">
        <v>1702</v>
      </c>
      <c r="P3667" s="16" t="str">
        <f t="shared" si="1520"/>
        <v>16-May-1902</v>
      </c>
      <c r="R3667" s="16" t="str">
        <f t="shared" si="1521"/>
        <v>x</v>
      </c>
      <c r="S3667" s="16" t="str">
        <f t="shared" si="1521"/>
        <v>x</v>
      </c>
      <c r="U3667" s="46" t="str">
        <f t="shared" ref="U3667:X3677" si="1523">IF($O3667=U$5,$L3667,"")</f>
        <v/>
      </c>
      <c r="V3667" s="46">
        <f t="shared" si="1523"/>
        <v>6</v>
      </c>
      <c r="W3667" s="46" t="str">
        <f t="shared" si="1523"/>
        <v/>
      </c>
      <c r="X3667" s="46" t="str">
        <f t="shared" si="1523"/>
        <v/>
      </c>
    </row>
    <row r="3668" spans="2:26" x14ac:dyDescent="0.25">
      <c r="B3668" s="11" t="str">
        <f>CONCATENATE("LKCH","-",LEFT(P3668,2),UPPER(MID(P3668,4,3)),RIGHT(P3668,4))</f>
        <v>LKCH-29AUG1902</v>
      </c>
      <c r="C3668" s="11" t="s">
        <v>2956</v>
      </c>
      <c r="D3668" s="11" t="s">
        <v>2097</v>
      </c>
      <c r="E3668" s="39" t="s">
        <v>6091</v>
      </c>
      <c r="F3668" s="11" t="s">
        <v>2813</v>
      </c>
      <c r="G3668" s="39" t="s">
        <v>6090</v>
      </c>
      <c r="H3668" s="7">
        <v>0</v>
      </c>
      <c r="I3668" s="7">
        <v>0</v>
      </c>
      <c r="J3668" s="17">
        <v>7</v>
      </c>
      <c r="K3668" s="17"/>
      <c r="L3668" s="7">
        <f>SUM(H3668:K3668)</f>
        <v>7</v>
      </c>
      <c r="M3668" s="8">
        <v>1</v>
      </c>
      <c r="N3668" s="8">
        <f>IF(L3668&gt;0,1,"")</f>
        <v>1</v>
      </c>
      <c r="O3668" s="11" t="s">
        <v>1702</v>
      </c>
      <c r="P3668" s="16" t="str">
        <f>IF(LEN(G3668)=10,CONCATENATE("0",G3668),G3668)</f>
        <v>29-Aug-1902</v>
      </c>
      <c r="R3668" s="16" t="str">
        <f t="shared" si="1521"/>
        <v>x</v>
      </c>
      <c r="S3668" s="16" t="str">
        <f t="shared" si="1521"/>
        <v>x</v>
      </c>
      <c r="U3668" s="46" t="str">
        <f t="shared" si="1523"/>
        <v/>
      </c>
      <c r="V3668" s="46">
        <f t="shared" si="1523"/>
        <v>7</v>
      </c>
      <c r="W3668" s="46" t="str">
        <f t="shared" si="1523"/>
        <v/>
      </c>
      <c r="X3668" s="46" t="str">
        <f t="shared" si="1523"/>
        <v/>
      </c>
    </row>
    <row r="3669" spans="2:26" x14ac:dyDescent="0.25">
      <c r="B3669" s="11" t="str">
        <f t="shared" si="1517"/>
        <v>LKCH-11SEP1903</v>
      </c>
      <c r="C3669" s="11" t="s">
        <v>2956</v>
      </c>
      <c r="D3669" s="11" t="s">
        <v>2097</v>
      </c>
      <c r="E3669" s="39" t="s">
        <v>3470</v>
      </c>
      <c r="F3669" s="11" t="s">
        <v>2813</v>
      </c>
      <c r="G3669" s="39" t="s">
        <v>3471</v>
      </c>
      <c r="H3669" s="7">
        <v>0</v>
      </c>
      <c r="I3669" s="7">
        <v>0</v>
      </c>
      <c r="J3669" s="17">
        <f>2</f>
        <v>2</v>
      </c>
      <c r="K3669" s="17"/>
      <c r="L3669" s="7">
        <f t="shared" si="1518"/>
        <v>2</v>
      </c>
      <c r="M3669" s="8">
        <v>1</v>
      </c>
      <c r="N3669" s="8">
        <f t="shared" si="1519"/>
        <v>1</v>
      </c>
      <c r="O3669" s="11" t="s">
        <v>1702</v>
      </c>
      <c r="P3669" s="16" t="str">
        <f t="shared" si="1520"/>
        <v>11-Sep-1903</v>
      </c>
      <c r="R3669" s="16" t="str">
        <f t="shared" si="1521"/>
        <v>x</v>
      </c>
      <c r="S3669" s="16" t="str">
        <f t="shared" si="1521"/>
        <v>x</v>
      </c>
      <c r="U3669" s="46" t="str">
        <f t="shared" si="1523"/>
        <v/>
      </c>
      <c r="V3669" s="46">
        <f t="shared" si="1523"/>
        <v>2</v>
      </c>
      <c r="W3669" s="46" t="str">
        <f t="shared" si="1523"/>
        <v/>
      </c>
      <c r="X3669" s="46" t="str">
        <f t="shared" si="1523"/>
        <v/>
      </c>
    </row>
    <row r="3670" spans="2:26" x14ac:dyDescent="0.25">
      <c r="N3670" s="8" t="str">
        <f>IF(R3670="x",1,"")</f>
        <v/>
      </c>
      <c r="U3670" s="46" t="str">
        <f t="shared" si="1523"/>
        <v/>
      </c>
      <c r="V3670" s="46" t="str">
        <f t="shared" si="1523"/>
        <v/>
      </c>
      <c r="W3670" s="46" t="str">
        <f t="shared" si="1523"/>
        <v/>
      </c>
      <c r="X3670" s="46" t="str">
        <f t="shared" si="1523"/>
        <v/>
      </c>
    </row>
    <row r="3671" spans="2:26" s="18" customFormat="1" x14ac:dyDescent="0.25">
      <c r="E3671" s="40"/>
      <c r="G3671" s="40"/>
      <c r="H3671" s="7">
        <f t="shared" ref="H3671:N3671" si="1524">SUM(H3663:H3670)</f>
        <v>1</v>
      </c>
      <c r="I3671" s="7">
        <f t="shared" si="1524"/>
        <v>0</v>
      </c>
      <c r="J3671" s="7">
        <f>SUM(J3663:J3670)</f>
        <v>44</v>
      </c>
      <c r="K3671" s="7">
        <f t="shared" si="1524"/>
        <v>0</v>
      </c>
      <c r="L3671" s="7">
        <f t="shared" si="1524"/>
        <v>45</v>
      </c>
      <c r="M3671" s="7">
        <f t="shared" si="1524"/>
        <v>7</v>
      </c>
      <c r="N3671" s="7">
        <f t="shared" si="1524"/>
        <v>7</v>
      </c>
      <c r="P3671" s="13"/>
      <c r="Q3671" s="13"/>
      <c r="R3671" s="16"/>
      <c r="S3671" s="13"/>
      <c r="T3671" s="15"/>
      <c r="U3671" s="46" t="str">
        <f t="shared" si="1523"/>
        <v/>
      </c>
      <c r="V3671" s="46" t="str">
        <f t="shared" si="1523"/>
        <v/>
      </c>
      <c r="W3671" s="46" t="str">
        <f t="shared" si="1523"/>
        <v/>
      </c>
      <c r="X3671" s="46" t="str">
        <f t="shared" si="1523"/>
        <v/>
      </c>
      <c r="Z3671" s="11"/>
    </row>
    <row r="3672" spans="2:26" s="18" customFormat="1" x14ac:dyDescent="0.25">
      <c r="E3672" s="40"/>
      <c r="G3672" s="40"/>
      <c r="H3672" s="7"/>
      <c r="I3672" s="7"/>
      <c r="J3672" s="7"/>
      <c r="K3672" s="7"/>
      <c r="L3672" s="7"/>
      <c r="M3672" s="8"/>
      <c r="N3672" s="8" t="str">
        <f>IF(R3672="x",1,"")</f>
        <v/>
      </c>
      <c r="P3672" s="13"/>
      <c r="Q3672" s="13"/>
      <c r="R3672" s="13"/>
      <c r="S3672" s="13"/>
      <c r="T3672" s="15"/>
      <c r="U3672" s="46" t="str">
        <f t="shared" si="1523"/>
        <v/>
      </c>
      <c r="V3672" s="46" t="str">
        <f t="shared" si="1523"/>
        <v/>
      </c>
      <c r="W3672" s="46" t="str">
        <f t="shared" si="1523"/>
        <v/>
      </c>
      <c r="X3672" s="46" t="str">
        <f t="shared" si="1523"/>
        <v/>
      </c>
      <c r="Z3672" s="11"/>
    </row>
    <row r="3673" spans="2:26" s="18" customFormat="1" x14ac:dyDescent="0.25">
      <c r="E3673" s="40"/>
      <c r="G3673" s="40"/>
      <c r="H3673" s="7"/>
      <c r="I3673" s="7"/>
      <c r="J3673" s="7"/>
      <c r="K3673" s="7"/>
      <c r="L3673" s="7"/>
      <c r="M3673" s="8"/>
      <c r="N3673" s="8" t="str">
        <f>IF(R3673="x",1,"")</f>
        <v/>
      </c>
      <c r="P3673" s="13"/>
      <c r="Q3673" s="13"/>
      <c r="R3673" s="13"/>
      <c r="S3673" s="13"/>
      <c r="T3673" s="15"/>
      <c r="U3673" s="46" t="str">
        <f t="shared" si="1523"/>
        <v/>
      </c>
      <c r="V3673" s="46" t="str">
        <f t="shared" si="1523"/>
        <v/>
      </c>
      <c r="W3673" s="46" t="str">
        <f t="shared" si="1523"/>
        <v/>
      </c>
      <c r="X3673" s="46" t="str">
        <f t="shared" si="1523"/>
        <v/>
      </c>
      <c r="Z3673" s="11"/>
    </row>
    <row r="3674" spans="2:26" x14ac:dyDescent="0.25">
      <c r="B3674" s="11" t="str">
        <f>CONCATENATE("LKER","-",LEFT(P3674,2),UPPER(MID(P3674,4,3)),RIGHT(P3674,4))</f>
        <v>LKER-21AUG1903</v>
      </c>
      <c r="C3674" s="11" t="s">
        <v>4124</v>
      </c>
      <c r="D3674" s="11" t="s">
        <v>2097</v>
      </c>
      <c r="E3674" s="39" t="s">
        <v>4125</v>
      </c>
      <c r="F3674" s="11" t="s">
        <v>2813</v>
      </c>
      <c r="G3674" s="39" t="s">
        <v>4069</v>
      </c>
      <c r="H3674" s="7">
        <v>0</v>
      </c>
      <c r="I3674" s="7">
        <v>0</v>
      </c>
      <c r="J3674" s="17">
        <v>13</v>
      </c>
      <c r="K3674" s="17"/>
      <c r="L3674" s="7">
        <f>SUM(H3674:K3674)</f>
        <v>13</v>
      </c>
      <c r="M3674" s="8">
        <v>1</v>
      </c>
      <c r="N3674" s="8">
        <f>IF(L3674&gt;0,1,"")</f>
        <v>1</v>
      </c>
      <c r="O3674" s="11" t="s">
        <v>1702</v>
      </c>
      <c r="P3674" s="16" t="str">
        <f>IF(LEN(G3674)=10,CONCATENATE("0",G3674),G3674)</f>
        <v>21-Aug-1903</v>
      </c>
      <c r="R3674" s="16" t="str">
        <f>IF($L3674&gt;0,"x","")</f>
        <v>x</v>
      </c>
      <c r="S3674" s="16" t="str">
        <f>IF($L3674&gt;0,"x","")</f>
        <v>x</v>
      </c>
      <c r="U3674" s="46" t="str">
        <f t="shared" si="1523"/>
        <v/>
      </c>
      <c r="V3674" s="46">
        <f t="shared" si="1523"/>
        <v>13</v>
      </c>
      <c r="W3674" s="46" t="str">
        <f t="shared" si="1523"/>
        <v/>
      </c>
      <c r="X3674" s="46" t="str">
        <f t="shared" si="1523"/>
        <v/>
      </c>
      <c r="Z3674" s="11" t="s">
        <v>4089</v>
      </c>
    </row>
    <row r="3675" spans="2:26" x14ac:dyDescent="0.25">
      <c r="B3675" s="11" t="str">
        <f>CONCATENATE("LKER","-",LEFT(P3675,2),UPPER(MID(P3675,4,3)),RIGHT(P3675,4))</f>
        <v>LKER-27MAY1910</v>
      </c>
      <c r="C3675" s="11" t="s">
        <v>4124</v>
      </c>
      <c r="D3675" s="11" t="s">
        <v>3225</v>
      </c>
      <c r="E3675" s="39" t="s">
        <v>1859</v>
      </c>
      <c r="F3675" s="11" t="s">
        <v>2813</v>
      </c>
      <c r="G3675" s="39" t="s">
        <v>5631</v>
      </c>
      <c r="I3675" s="7">
        <v>0</v>
      </c>
      <c r="J3675" s="17">
        <v>1</v>
      </c>
      <c r="K3675" s="17"/>
      <c r="L3675" s="7">
        <f>SUM(H3675:K3675)</f>
        <v>1</v>
      </c>
      <c r="M3675" s="8">
        <v>1</v>
      </c>
      <c r="N3675" s="8">
        <f>IF(L3675&gt;0,1,"")</f>
        <v>1</v>
      </c>
      <c r="O3675" s="11" t="s">
        <v>1702</v>
      </c>
      <c r="P3675" s="16" t="str">
        <f>IF(LEN(G3675)=10,CONCATENATE("0",G3675),G3675)</f>
        <v>27-May-1910</v>
      </c>
      <c r="R3675" s="16" t="str">
        <f>IF($L3675&gt;0,"x","")</f>
        <v>x</v>
      </c>
      <c r="S3675" s="16" t="str">
        <f>IF($L3675&gt;0,"x","")</f>
        <v>x</v>
      </c>
      <c r="U3675" s="46" t="str">
        <f t="shared" si="1523"/>
        <v/>
      </c>
      <c r="V3675" s="46">
        <f t="shared" si="1523"/>
        <v>1</v>
      </c>
      <c r="W3675" s="46" t="str">
        <f t="shared" si="1523"/>
        <v/>
      </c>
      <c r="X3675" s="46" t="str">
        <f t="shared" si="1523"/>
        <v/>
      </c>
      <c r="Z3675" s="11" t="s">
        <v>4089</v>
      </c>
    </row>
    <row r="3676" spans="2:26" x14ac:dyDescent="0.25">
      <c r="N3676" s="8" t="str">
        <f>IF(R3676="x",1,"")</f>
        <v/>
      </c>
      <c r="U3676" s="46" t="str">
        <f t="shared" si="1523"/>
        <v/>
      </c>
      <c r="V3676" s="46" t="str">
        <f t="shared" si="1523"/>
        <v/>
      </c>
      <c r="W3676" s="46" t="str">
        <f t="shared" si="1523"/>
        <v/>
      </c>
      <c r="X3676" s="46" t="str">
        <f t="shared" si="1523"/>
        <v/>
      </c>
    </row>
    <row r="3677" spans="2:26" s="18" customFormat="1" x14ac:dyDescent="0.25">
      <c r="E3677" s="40"/>
      <c r="G3677" s="40"/>
      <c r="H3677" s="7">
        <f t="shared" ref="H3677:N3677" si="1525">SUM(H3674:H3676)</f>
        <v>0</v>
      </c>
      <c r="I3677" s="7">
        <f t="shared" si="1525"/>
        <v>0</v>
      </c>
      <c r="J3677" s="7">
        <f>SUM(J3674:J3676)</f>
        <v>14</v>
      </c>
      <c r="K3677" s="7">
        <f t="shared" si="1525"/>
        <v>0</v>
      </c>
      <c r="L3677" s="7">
        <f t="shared" si="1525"/>
        <v>14</v>
      </c>
      <c r="M3677" s="7">
        <f t="shared" si="1525"/>
        <v>2</v>
      </c>
      <c r="N3677" s="7">
        <f t="shared" si="1525"/>
        <v>2</v>
      </c>
      <c r="P3677" s="13"/>
      <c r="Q3677" s="13"/>
      <c r="R3677" s="16"/>
      <c r="S3677" s="13"/>
      <c r="T3677" s="15"/>
      <c r="U3677" s="46" t="str">
        <f t="shared" si="1523"/>
        <v/>
      </c>
      <c r="V3677" s="46" t="str">
        <f t="shared" si="1523"/>
        <v/>
      </c>
      <c r="W3677" s="46" t="str">
        <f t="shared" si="1523"/>
        <v/>
      </c>
      <c r="X3677" s="46" t="str">
        <f t="shared" si="1523"/>
        <v/>
      </c>
      <c r="Z3677" s="11"/>
    </row>
    <row r="3678" spans="2:26" s="18" customFormat="1" x14ac:dyDescent="0.25">
      <c r="E3678" s="40"/>
      <c r="G3678" s="40"/>
      <c r="H3678" s="7"/>
      <c r="I3678" s="7"/>
      <c r="J3678" s="7"/>
      <c r="K3678" s="7"/>
      <c r="L3678" s="7"/>
      <c r="M3678" s="8"/>
      <c r="N3678" s="8" t="str">
        <f>IF(R3678="x",1,"")</f>
        <v/>
      </c>
      <c r="P3678" s="13"/>
      <c r="Q3678" s="13"/>
      <c r="R3678" s="13"/>
      <c r="S3678" s="13"/>
      <c r="T3678" s="15"/>
      <c r="U3678" s="46" t="str">
        <f t="shared" ref="U3678:X3683" si="1526">IF($O3678=U$5,$L3678,"")</f>
        <v/>
      </c>
      <c r="V3678" s="46" t="str">
        <f t="shared" si="1526"/>
        <v/>
      </c>
      <c r="W3678" s="46" t="str">
        <f t="shared" si="1526"/>
        <v/>
      </c>
      <c r="X3678" s="46" t="str">
        <f t="shared" si="1526"/>
        <v/>
      </c>
      <c r="Z3678" s="11"/>
    </row>
    <row r="3679" spans="2:26" s="18" customFormat="1" x14ac:dyDescent="0.25">
      <c r="E3679" s="40"/>
      <c r="G3679" s="40"/>
      <c r="H3679" s="7"/>
      <c r="I3679" s="7"/>
      <c r="J3679" s="7"/>
      <c r="K3679" s="7"/>
      <c r="L3679" s="7"/>
      <c r="M3679" s="8"/>
      <c r="N3679" s="8" t="str">
        <f>IF(R3679="x",1,"")</f>
        <v/>
      </c>
      <c r="P3679" s="13"/>
      <c r="Q3679" s="13"/>
      <c r="R3679" s="13"/>
      <c r="S3679" s="13"/>
      <c r="T3679" s="15"/>
      <c r="U3679" s="46" t="str">
        <f t="shared" si="1526"/>
        <v/>
      </c>
      <c r="V3679" s="46" t="str">
        <f t="shared" si="1526"/>
        <v/>
      </c>
      <c r="W3679" s="46" t="str">
        <f t="shared" si="1526"/>
        <v/>
      </c>
      <c r="X3679" s="46" t="str">
        <f t="shared" si="1526"/>
        <v/>
      </c>
      <c r="Z3679" s="11"/>
    </row>
    <row r="3680" spans="2:26" x14ac:dyDescent="0.25">
      <c r="B3680" s="11" t="str">
        <f>CONCATENATE("LKHR","-",LEFT(P3680,2),UPPER(MID(P3680,4,3)),RIGHT(P3680,4))</f>
        <v>LKHR-25AUG1897</v>
      </c>
      <c r="C3680" s="11" t="s">
        <v>5126</v>
      </c>
      <c r="D3680" s="11" t="s">
        <v>2097</v>
      </c>
      <c r="E3680" s="39" t="s">
        <v>453</v>
      </c>
      <c r="F3680" s="11" t="s">
        <v>2813</v>
      </c>
      <c r="G3680" s="39" t="s">
        <v>5901</v>
      </c>
      <c r="J3680" s="17">
        <v>10</v>
      </c>
      <c r="K3680" s="17"/>
      <c r="L3680" s="7">
        <f>SUM(H3680:K3680)</f>
        <v>10</v>
      </c>
      <c r="M3680" s="8">
        <v>1</v>
      </c>
      <c r="N3680" s="8">
        <f>IF(L3680&gt;0,1,"")</f>
        <v>1</v>
      </c>
      <c r="O3680" s="11" t="s">
        <v>1702</v>
      </c>
      <c r="P3680" s="16" t="str">
        <f>IF(LEN(G3680)=10,CONCATENATE("0",G3680),G3680)</f>
        <v>25-Aug-1897</v>
      </c>
      <c r="R3680" s="16" t="str">
        <f>IF($L3680&gt;0,"x","")</f>
        <v>x</v>
      </c>
      <c r="S3680" s="16" t="str">
        <f>IF($L3680&gt;0,"x","")</f>
        <v>x</v>
      </c>
      <c r="U3680" s="46" t="str">
        <f t="shared" si="1526"/>
        <v/>
      </c>
      <c r="V3680" s="46">
        <f t="shared" si="1526"/>
        <v>10</v>
      </c>
      <c r="W3680" s="46" t="str">
        <f t="shared" si="1526"/>
        <v/>
      </c>
      <c r="X3680" s="46" t="str">
        <f t="shared" si="1526"/>
        <v/>
      </c>
    </row>
    <row r="3681" spans="2:26" x14ac:dyDescent="0.25">
      <c r="B3681" s="11" t="str">
        <f>CONCATENATE("LKHR","-",LEFT(P3681,2),UPPER(MID(P3681,4,3)),RIGHT(P3681,4))</f>
        <v>LKHR-05FEB1900</v>
      </c>
      <c r="C3681" s="11" t="s">
        <v>5126</v>
      </c>
      <c r="D3681" s="11" t="s">
        <v>2097</v>
      </c>
      <c r="E3681" s="39" t="s">
        <v>589</v>
      </c>
      <c r="F3681" s="11" t="s">
        <v>211</v>
      </c>
      <c r="G3681" s="39" t="s">
        <v>323</v>
      </c>
      <c r="J3681" s="17">
        <v>5</v>
      </c>
      <c r="K3681" s="17"/>
      <c r="L3681" s="7">
        <f>SUM(H3681:K3681)</f>
        <v>5</v>
      </c>
      <c r="M3681" s="8">
        <v>1</v>
      </c>
      <c r="N3681" s="8">
        <f>IF(L3681&gt;0,1,"")</f>
        <v>1</v>
      </c>
      <c r="O3681" s="11" t="s">
        <v>1702</v>
      </c>
      <c r="P3681" s="16" t="str">
        <f>IF(LEN(G3681)=10,CONCATENATE("0",G3681),G3681)</f>
        <v>05-Feb-1900</v>
      </c>
      <c r="R3681" s="16" t="str">
        <f>IF($L3681&gt;0,"x","")</f>
        <v>x</v>
      </c>
      <c r="S3681" s="16" t="str">
        <f>IF($L3681&gt;0,"x","")</f>
        <v>x</v>
      </c>
      <c r="U3681" s="46" t="str">
        <f t="shared" si="1526"/>
        <v/>
      </c>
      <c r="V3681" s="46">
        <f t="shared" si="1526"/>
        <v>5</v>
      </c>
      <c r="W3681" s="46" t="str">
        <f t="shared" si="1526"/>
        <v/>
      </c>
      <c r="X3681" s="46" t="str">
        <f t="shared" si="1526"/>
        <v/>
      </c>
    </row>
    <row r="3682" spans="2:26" x14ac:dyDescent="0.25">
      <c r="N3682" s="8" t="str">
        <f>IF(R3682="x",1,"")</f>
        <v/>
      </c>
      <c r="U3682" s="46" t="str">
        <f t="shared" si="1526"/>
        <v/>
      </c>
      <c r="V3682" s="46" t="str">
        <f t="shared" si="1526"/>
        <v/>
      </c>
      <c r="W3682" s="46" t="str">
        <f t="shared" si="1526"/>
        <v/>
      </c>
      <c r="X3682" s="46" t="str">
        <f t="shared" si="1526"/>
        <v/>
      </c>
    </row>
    <row r="3683" spans="2:26" s="18" customFormat="1" x14ac:dyDescent="0.25">
      <c r="E3683" s="40"/>
      <c r="G3683" s="40"/>
      <c r="H3683" s="7">
        <f t="shared" ref="H3683:N3683" si="1527">SUM(H3680:H3682)</f>
        <v>0</v>
      </c>
      <c r="I3683" s="7">
        <f t="shared" si="1527"/>
        <v>0</v>
      </c>
      <c r="J3683" s="7">
        <f>SUM(J3680:J3682)</f>
        <v>15</v>
      </c>
      <c r="K3683" s="7">
        <f t="shared" si="1527"/>
        <v>0</v>
      </c>
      <c r="L3683" s="7">
        <f t="shared" si="1527"/>
        <v>15</v>
      </c>
      <c r="M3683" s="7">
        <f t="shared" si="1527"/>
        <v>2</v>
      </c>
      <c r="N3683" s="7">
        <f t="shared" si="1527"/>
        <v>2</v>
      </c>
      <c r="P3683" s="13"/>
      <c r="Q3683" s="13"/>
      <c r="R3683" s="16"/>
      <c r="S3683" s="13"/>
      <c r="T3683" s="15"/>
      <c r="U3683" s="46" t="str">
        <f t="shared" si="1526"/>
        <v/>
      </c>
      <c r="V3683" s="46" t="str">
        <f t="shared" si="1526"/>
        <v/>
      </c>
      <c r="W3683" s="46" t="str">
        <f t="shared" si="1526"/>
        <v/>
      </c>
      <c r="X3683" s="46" t="str">
        <f t="shared" si="1526"/>
        <v/>
      </c>
      <c r="Z3683" s="11"/>
    </row>
    <row r="3684" spans="2:26" s="18" customFormat="1" x14ac:dyDescent="0.25">
      <c r="E3684" s="40"/>
      <c r="G3684" s="40"/>
      <c r="H3684" s="7"/>
      <c r="I3684" s="7"/>
      <c r="J3684" s="7"/>
      <c r="K3684" s="7"/>
      <c r="L3684" s="7"/>
      <c r="M3684" s="8"/>
      <c r="N3684" s="8" t="str">
        <f>IF(R3684="x",1,"")</f>
        <v/>
      </c>
      <c r="P3684" s="13"/>
      <c r="Q3684" s="13"/>
      <c r="R3684" s="13"/>
      <c r="S3684" s="13"/>
      <c r="T3684" s="15"/>
      <c r="U3684" s="46" t="str">
        <f t="shared" ref="U3684:X3689" si="1528">IF($O3684=U$5,$L3684,"")</f>
        <v/>
      </c>
      <c r="V3684" s="46" t="str">
        <f t="shared" si="1528"/>
        <v/>
      </c>
      <c r="W3684" s="46" t="str">
        <f t="shared" si="1528"/>
        <v/>
      </c>
      <c r="X3684" s="46" t="str">
        <f t="shared" si="1528"/>
        <v/>
      </c>
      <c r="Z3684" s="11"/>
    </row>
    <row r="3685" spans="2:26" s="18" customFormat="1" x14ac:dyDescent="0.25">
      <c r="E3685" s="40"/>
      <c r="G3685" s="40"/>
      <c r="H3685" s="7"/>
      <c r="I3685" s="7"/>
      <c r="J3685" s="7"/>
      <c r="K3685" s="7"/>
      <c r="L3685" s="7"/>
      <c r="M3685" s="8"/>
      <c r="N3685" s="8" t="str">
        <f>IF(R3685="x",1,"")</f>
        <v/>
      </c>
      <c r="P3685" s="13"/>
      <c r="Q3685" s="13"/>
      <c r="R3685" s="13"/>
      <c r="S3685" s="13"/>
      <c r="T3685" s="15"/>
      <c r="U3685" s="46" t="str">
        <f t="shared" si="1528"/>
        <v/>
      </c>
      <c r="V3685" s="46" t="str">
        <f t="shared" si="1528"/>
        <v/>
      </c>
      <c r="W3685" s="46" t="str">
        <f t="shared" si="1528"/>
        <v/>
      </c>
      <c r="X3685" s="46" t="str">
        <f t="shared" si="1528"/>
        <v/>
      </c>
      <c r="Z3685" s="11"/>
    </row>
    <row r="3686" spans="2:26" x14ac:dyDescent="0.25">
      <c r="B3686" s="11" t="str">
        <f>CONCATENATE("LKMB","-",LEFT(P3686,2),UPPER(MID(P3686,4,3)),RIGHT(P3686,4))</f>
        <v>LKMB-08NOV1903</v>
      </c>
      <c r="C3686" s="11" t="s">
        <v>3567</v>
      </c>
      <c r="D3686" s="11" t="s">
        <v>2097</v>
      </c>
      <c r="E3686" s="39" t="s">
        <v>5480</v>
      </c>
      <c r="F3686" s="11" t="s">
        <v>2813</v>
      </c>
      <c r="G3686" s="39" t="s">
        <v>5481</v>
      </c>
      <c r="I3686" s="7">
        <v>0</v>
      </c>
      <c r="J3686" s="17">
        <v>2</v>
      </c>
      <c r="K3686" s="17"/>
      <c r="L3686" s="7">
        <f>SUM(H3686:K3686)</f>
        <v>2</v>
      </c>
      <c r="M3686" s="8">
        <v>1</v>
      </c>
      <c r="N3686" s="8">
        <f>IF(L3686&gt;0,1,"")</f>
        <v>1</v>
      </c>
      <c r="O3686" s="11" t="s">
        <v>1702</v>
      </c>
      <c r="P3686" s="16" t="str">
        <f>IF(LEN(G3686)=10,CONCATENATE("0",G3686),G3686)</f>
        <v>08-Nov-1903</v>
      </c>
      <c r="R3686" s="16" t="str">
        <f>IF($L3686&gt;0,"x","")</f>
        <v>x</v>
      </c>
      <c r="S3686" s="16" t="str">
        <f>IF($L3686&gt;0,"x","")</f>
        <v>x</v>
      </c>
      <c r="U3686" s="46" t="str">
        <f t="shared" si="1528"/>
        <v/>
      </c>
      <c r="V3686" s="46">
        <f t="shared" si="1528"/>
        <v>2</v>
      </c>
      <c r="W3686" s="46" t="str">
        <f t="shared" si="1528"/>
        <v/>
      </c>
      <c r="X3686" s="46" t="str">
        <f t="shared" si="1528"/>
        <v/>
      </c>
    </row>
    <row r="3687" spans="2:26" x14ac:dyDescent="0.25">
      <c r="B3687" s="11" t="str">
        <f>CONCATENATE("LKMB","-",LEFT(P3687,2),UPPER(MID(P3687,4,3)),RIGHT(P3687,4))</f>
        <v>LKMB-20DEC1903</v>
      </c>
      <c r="C3687" s="11" t="s">
        <v>3567</v>
      </c>
      <c r="D3687" s="11" t="s">
        <v>2097</v>
      </c>
      <c r="E3687" s="39" t="s">
        <v>3569</v>
      </c>
      <c r="F3687" s="11" t="s">
        <v>211</v>
      </c>
      <c r="G3687" s="39" t="s">
        <v>3568</v>
      </c>
      <c r="H3687" s="7">
        <v>0</v>
      </c>
      <c r="I3687" s="7">
        <f>8+1</f>
        <v>9</v>
      </c>
      <c r="J3687" s="17">
        <f>36+3</f>
        <v>39</v>
      </c>
      <c r="K3687" s="17"/>
      <c r="L3687" s="7">
        <f>SUM(H3687:K3687)</f>
        <v>48</v>
      </c>
      <c r="M3687" s="8">
        <v>1</v>
      </c>
      <c r="N3687" s="8">
        <f>IF(L3687&gt;0,1,"")</f>
        <v>1</v>
      </c>
      <c r="O3687" s="11" t="s">
        <v>1702</v>
      </c>
      <c r="P3687" s="16" t="str">
        <f>IF(LEN(G3687)=10,CONCATENATE("0",G3687),G3687)</f>
        <v>20-Dec-1903</v>
      </c>
      <c r="R3687" s="16" t="str">
        <f>IF($L3687&gt;0,"x","")</f>
        <v>x</v>
      </c>
      <c r="S3687" s="16" t="str">
        <f>IF($L3687&gt;0,"x","")</f>
        <v>x</v>
      </c>
      <c r="U3687" s="46" t="str">
        <f t="shared" si="1528"/>
        <v/>
      </c>
      <c r="V3687" s="46">
        <f t="shared" si="1528"/>
        <v>48</v>
      </c>
      <c r="W3687" s="46" t="str">
        <f t="shared" si="1528"/>
        <v/>
      </c>
      <c r="X3687" s="46" t="str">
        <f t="shared" si="1528"/>
        <v/>
      </c>
    </row>
    <row r="3688" spans="2:26" x14ac:dyDescent="0.25">
      <c r="N3688" s="8" t="str">
        <f>IF(R3688="x",1,"")</f>
        <v/>
      </c>
      <c r="U3688" s="46" t="str">
        <f t="shared" si="1528"/>
        <v/>
      </c>
      <c r="V3688" s="46" t="str">
        <f t="shared" si="1528"/>
        <v/>
      </c>
      <c r="W3688" s="46" t="str">
        <f t="shared" si="1528"/>
        <v/>
      </c>
      <c r="X3688" s="46" t="str">
        <f t="shared" si="1528"/>
        <v/>
      </c>
    </row>
    <row r="3689" spans="2:26" s="18" customFormat="1" x14ac:dyDescent="0.25">
      <c r="E3689" s="40"/>
      <c r="G3689" s="40"/>
      <c r="H3689" s="7">
        <f t="shared" ref="H3689:N3689" si="1529">SUM(H3686:H3688)</f>
        <v>0</v>
      </c>
      <c r="I3689" s="7">
        <f t="shared" si="1529"/>
        <v>9</v>
      </c>
      <c r="J3689" s="7">
        <f>SUM(J3686:J3688)</f>
        <v>41</v>
      </c>
      <c r="K3689" s="7">
        <f t="shared" si="1529"/>
        <v>0</v>
      </c>
      <c r="L3689" s="7">
        <f t="shared" si="1529"/>
        <v>50</v>
      </c>
      <c r="M3689" s="7">
        <f t="shared" si="1529"/>
        <v>2</v>
      </c>
      <c r="N3689" s="7">
        <f t="shared" si="1529"/>
        <v>2</v>
      </c>
      <c r="P3689" s="13"/>
      <c r="Q3689" s="13"/>
      <c r="R3689" s="16"/>
      <c r="S3689" s="13"/>
      <c r="T3689" s="15"/>
      <c r="U3689" s="46" t="str">
        <f t="shared" si="1528"/>
        <v/>
      </c>
      <c r="V3689" s="46" t="str">
        <f t="shared" si="1528"/>
        <v/>
      </c>
      <c r="W3689" s="46" t="str">
        <f t="shared" si="1528"/>
        <v/>
      </c>
      <c r="X3689" s="46" t="str">
        <f t="shared" si="1528"/>
        <v/>
      </c>
      <c r="Z3689" s="11"/>
    </row>
    <row r="3690" spans="2:26" s="18" customFormat="1" x14ac:dyDescent="0.25">
      <c r="E3690" s="40"/>
      <c r="G3690" s="40"/>
      <c r="H3690" s="7"/>
      <c r="I3690" s="7"/>
      <c r="J3690" s="7"/>
      <c r="K3690" s="7"/>
      <c r="L3690" s="7"/>
      <c r="M3690" s="8"/>
      <c r="N3690" s="8" t="str">
        <f>IF(R3690="x",1,"")</f>
        <v/>
      </c>
      <c r="P3690" s="13"/>
      <c r="Q3690" s="13"/>
      <c r="R3690" s="13"/>
      <c r="S3690" s="13"/>
      <c r="T3690" s="15"/>
      <c r="U3690" s="46" t="str">
        <f t="shared" ref="U3690:X3694" si="1530">IF($O3690=U$5,$L3690,"")</f>
        <v/>
      </c>
      <c r="V3690" s="46" t="str">
        <f t="shared" si="1530"/>
        <v/>
      </c>
      <c r="W3690" s="46" t="str">
        <f t="shared" si="1530"/>
        <v/>
      </c>
      <c r="X3690" s="46" t="str">
        <f t="shared" si="1530"/>
        <v/>
      </c>
      <c r="Z3690" s="11"/>
    </row>
    <row r="3691" spans="2:26" s="18" customFormat="1" x14ac:dyDescent="0.25">
      <c r="E3691" s="40"/>
      <c r="G3691" s="40"/>
      <c r="H3691" s="7"/>
      <c r="I3691" s="7"/>
      <c r="J3691" s="7"/>
      <c r="K3691" s="7"/>
      <c r="L3691" s="7"/>
      <c r="M3691" s="8"/>
      <c r="N3691" s="8" t="str">
        <f>IF(R3691="x",1,"")</f>
        <v/>
      </c>
      <c r="P3691" s="13"/>
      <c r="Q3691" s="13"/>
      <c r="R3691" s="13"/>
      <c r="S3691" s="13"/>
      <c r="T3691" s="15"/>
      <c r="U3691" s="46" t="str">
        <f t="shared" si="1530"/>
        <v/>
      </c>
      <c r="V3691" s="46" t="str">
        <f t="shared" si="1530"/>
        <v/>
      </c>
      <c r="W3691" s="46" t="str">
        <f t="shared" si="1530"/>
        <v/>
      </c>
      <c r="X3691" s="46" t="str">
        <f t="shared" si="1530"/>
        <v/>
      </c>
      <c r="Z3691" s="11"/>
    </row>
    <row r="3692" spans="2:26" x14ac:dyDescent="0.25">
      <c r="B3692" s="11" t="str">
        <f>CONCATENATE("LKMI","-",LEFT(P3692,2),UPPER(MID(P3692,4,3)),RIGHT(P3692,4))</f>
        <v>LKMI-27AUG1905</v>
      </c>
      <c r="C3692" s="11" t="s">
        <v>5872</v>
      </c>
      <c r="D3692" s="11" t="s">
        <v>2814</v>
      </c>
      <c r="E3692" s="39" t="s">
        <v>5873</v>
      </c>
      <c r="F3692" s="11" t="s">
        <v>2813</v>
      </c>
      <c r="G3692" s="39" t="s">
        <v>4158</v>
      </c>
      <c r="J3692" s="17">
        <v>3</v>
      </c>
      <c r="K3692" s="17"/>
      <c r="L3692" s="7">
        <f>SUM(H3692:K3692)</f>
        <v>3</v>
      </c>
      <c r="M3692" s="8">
        <v>1</v>
      </c>
      <c r="N3692" s="8">
        <f>IF(L3692&gt;0,1,"")</f>
        <v>1</v>
      </c>
      <c r="O3692" s="11" t="s">
        <v>1702</v>
      </c>
      <c r="P3692" s="16" t="str">
        <f>IF(LEN(G3692)=10,CONCATENATE("0",G3692),G3692)</f>
        <v>27-Aug-1905</v>
      </c>
      <c r="R3692" s="16" t="str">
        <f>IF($L3692&gt;0,"x","")</f>
        <v>x</v>
      </c>
      <c r="S3692" s="16" t="str">
        <f>IF($L3692&gt;0,"x","")</f>
        <v>x</v>
      </c>
      <c r="U3692" s="46" t="str">
        <f t="shared" si="1530"/>
        <v/>
      </c>
      <c r="V3692" s="46">
        <f t="shared" si="1530"/>
        <v>3</v>
      </c>
      <c r="W3692" s="46" t="str">
        <f t="shared" si="1530"/>
        <v/>
      </c>
      <c r="X3692" s="46" t="str">
        <f t="shared" si="1530"/>
        <v/>
      </c>
    </row>
    <row r="3693" spans="2:26" x14ac:dyDescent="0.25">
      <c r="N3693" s="8" t="str">
        <f>IF(R3693="x",1,"")</f>
        <v/>
      </c>
      <c r="U3693" s="46" t="str">
        <f t="shared" si="1530"/>
        <v/>
      </c>
      <c r="V3693" s="46" t="str">
        <f t="shared" si="1530"/>
        <v/>
      </c>
      <c r="W3693" s="46" t="str">
        <f t="shared" si="1530"/>
        <v/>
      </c>
      <c r="X3693" s="46" t="str">
        <f t="shared" si="1530"/>
        <v/>
      </c>
    </row>
    <row r="3694" spans="2:26" s="18" customFormat="1" x14ac:dyDescent="0.25">
      <c r="E3694" s="40"/>
      <c r="G3694" s="40"/>
      <c r="H3694" s="7">
        <f t="shared" ref="H3694:N3694" si="1531">SUM(H3692:H3693)</f>
        <v>0</v>
      </c>
      <c r="I3694" s="7">
        <f t="shared" si="1531"/>
        <v>0</v>
      </c>
      <c r="J3694" s="7">
        <f>SUM(J3692:J3693)</f>
        <v>3</v>
      </c>
      <c r="K3694" s="7">
        <f t="shared" si="1531"/>
        <v>0</v>
      </c>
      <c r="L3694" s="7">
        <f t="shared" si="1531"/>
        <v>3</v>
      </c>
      <c r="M3694" s="7">
        <f t="shared" si="1531"/>
        <v>1</v>
      </c>
      <c r="N3694" s="7">
        <f t="shared" si="1531"/>
        <v>1</v>
      </c>
      <c r="P3694" s="13"/>
      <c r="Q3694" s="13"/>
      <c r="R3694" s="16"/>
      <c r="S3694" s="13"/>
      <c r="T3694" s="15"/>
      <c r="U3694" s="46" t="str">
        <f t="shared" si="1530"/>
        <v/>
      </c>
      <c r="V3694" s="46" t="str">
        <f t="shared" si="1530"/>
        <v/>
      </c>
      <c r="W3694" s="46" t="str">
        <f t="shared" si="1530"/>
        <v/>
      </c>
      <c r="X3694" s="46" t="str">
        <f t="shared" si="1530"/>
        <v/>
      </c>
      <c r="Z3694" s="11"/>
    </row>
    <row r="3695" spans="2:26" s="18" customFormat="1" x14ac:dyDescent="0.25">
      <c r="E3695" s="40"/>
      <c r="G3695" s="40"/>
      <c r="H3695" s="7"/>
      <c r="I3695" s="7"/>
      <c r="J3695" s="7"/>
      <c r="K3695" s="7"/>
      <c r="L3695" s="7"/>
      <c r="M3695" s="8"/>
      <c r="N3695" s="8" t="str">
        <f>IF(R3695="x",1,"")</f>
        <v/>
      </c>
      <c r="P3695" s="13"/>
      <c r="Q3695" s="13"/>
      <c r="R3695" s="13"/>
      <c r="S3695" s="13"/>
      <c r="T3695" s="15"/>
      <c r="U3695" s="46" t="str">
        <f t="shared" ref="U3695:X3696" si="1532">IF($O3695=U$5,$L3695,"")</f>
        <v/>
      </c>
      <c r="V3695" s="46" t="str">
        <f t="shared" si="1532"/>
        <v/>
      </c>
      <c r="W3695" s="46" t="str">
        <f t="shared" si="1532"/>
        <v/>
      </c>
      <c r="X3695" s="46" t="str">
        <f t="shared" si="1532"/>
        <v/>
      </c>
      <c r="Z3695" s="11"/>
    </row>
    <row r="3696" spans="2:26" s="18" customFormat="1" x14ac:dyDescent="0.25">
      <c r="E3696" s="40"/>
      <c r="G3696" s="40"/>
      <c r="H3696" s="7"/>
      <c r="I3696" s="7"/>
      <c r="J3696" s="7"/>
      <c r="K3696" s="7"/>
      <c r="L3696" s="7"/>
      <c r="M3696" s="8"/>
      <c r="N3696" s="8" t="str">
        <f>IF(R3696="x",1,"")</f>
        <v/>
      </c>
      <c r="P3696" s="13"/>
      <c r="Q3696" s="13"/>
      <c r="R3696" s="13"/>
      <c r="S3696" s="13"/>
      <c r="T3696" s="15"/>
      <c r="U3696" s="46" t="str">
        <f t="shared" si="1532"/>
        <v/>
      </c>
      <c r="V3696" s="46" t="str">
        <f t="shared" si="1532"/>
        <v/>
      </c>
      <c r="W3696" s="46" t="str">
        <f t="shared" si="1532"/>
        <v/>
      </c>
      <c r="X3696" s="46" t="str">
        <f t="shared" si="1532"/>
        <v/>
      </c>
      <c r="Z3696" s="11"/>
    </row>
    <row r="3697" spans="2:26" x14ac:dyDescent="0.25">
      <c r="B3697" s="11" t="str">
        <f t="shared" ref="B3697:B3704" si="1533">CONCATENATE("LKON","-",LEFT(P3697,2),UPPER(MID(P3697,4,3)),RIGHT(P3697,4))</f>
        <v>LKON-05OCT1897</v>
      </c>
      <c r="C3697" s="11" t="s">
        <v>3503</v>
      </c>
      <c r="D3697" s="11" t="s">
        <v>2097</v>
      </c>
      <c r="E3697" s="39" t="s">
        <v>1713</v>
      </c>
      <c r="F3697" s="11" t="s">
        <v>2813</v>
      </c>
      <c r="G3697" s="39" t="s">
        <v>6287</v>
      </c>
      <c r="J3697" s="17">
        <v>3</v>
      </c>
      <c r="K3697" s="17"/>
      <c r="L3697" s="7">
        <f t="shared" ref="L3697:L3704" si="1534">SUM(H3697:K3697)</f>
        <v>3</v>
      </c>
      <c r="M3697" s="8">
        <v>1</v>
      </c>
      <c r="N3697" s="8">
        <f t="shared" ref="N3697:N3704" si="1535">IF(L3697&gt;0,1,"")</f>
        <v>1</v>
      </c>
      <c r="O3697" s="11" t="s">
        <v>1702</v>
      </c>
      <c r="P3697" s="16" t="str">
        <f t="shared" ref="P3697:P3704" si="1536">IF(LEN(G3697)=10,CONCATENATE("0",G3697),G3697)</f>
        <v>05-Oct-1897</v>
      </c>
      <c r="R3697" s="16" t="str">
        <f t="shared" ref="R3697:S3699" si="1537">IF($L3697&gt;0,"x","")</f>
        <v>x</v>
      </c>
      <c r="S3697" s="16" t="str">
        <f t="shared" si="1537"/>
        <v>x</v>
      </c>
      <c r="U3697" s="46" t="str">
        <f t="shared" ref="U3697:X3698" si="1538">IF($O3697=U$5,$L3697,"")</f>
        <v/>
      </c>
      <c r="V3697" s="46">
        <f t="shared" si="1538"/>
        <v>3</v>
      </c>
      <c r="W3697" s="46" t="str">
        <f t="shared" si="1538"/>
        <v/>
      </c>
      <c r="X3697" s="46" t="str">
        <f t="shared" si="1538"/>
        <v/>
      </c>
    </row>
    <row r="3698" spans="2:26" x14ac:dyDescent="0.25">
      <c r="B3698" s="11" t="str">
        <f t="shared" si="1533"/>
        <v>LKON-17NOV1899</v>
      </c>
      <c r="C3698" s="11" t="s">
        <v>3503</v>
      </c>
      <c r="D3698" s="11" t="s">
        <v>2097</v>
      </c>
      <c r="E3698" s="39" t="s">
        <v>502</v>
      </c>
      <c r="F3698" s="11" t="s">
        <v>2813</v>
      </c>
      <c r="G3698" s="39" t="s">
        <v>5102</v>
      </c>
      <c r="J3698" s="17">
        <v>7</v>
      </c>
      <c r="K3698" s="17"/>
      <c r="L3698" s="7">
        <f t="shared" si="1534"/>
        <v>7</v>
      </c>
      <c r="M3698" s="8">
        <v>1</v>
      </c>
      <c r="N3698" s="8">
        <f t="shared" si="1535"/>
        <v>1</v>
      </c>
      <c r="O3698" s="11" t="s">
        <v>1702</v>
      </c>
      <c r="P3698" s="16" t="str">
        <f t="shared" si="1536"/>
        <v>17-Nov-1899</v>
      </c>
      <c r="R3698" s="16" t="str">
        <f t="shared" si="1537"/>
        <v>x</v>
      </c>
      <c r="S3698" s="16" t="str">
        <f t="shared" si="1537"/>
        <v>x</v>
      </c>
      <c r="U3698" s="46" t="str">
        <f t="shared" si="1538"/>
        <v/>
      </c>
      <c r="V3698" s="46">
        <f t="shared" si="1538"/>
        <v>7</v>
      </c>
      <c r="W3698" s="46" t="str">
        <f t="shared" si="1538"/>
        <v/>
      </c>
      <c r="X3698" s="46" t="str">
        <f t="shared" si="1538"/>
        <v/>
      </c>
    </row>
    <row r="3699" spans="2:26" x14ac:dyDescent="0.25">
      <c r="B3699" s="11" t="str">
        <f t="shared" si="1533"/>
        <v>LKON-22DEC1899</v>
      </c>
      <c r="C3699" s="11" t="s">
        <v>3503</v>
      </c>
      <c r="D3699" s="11" t="s">
        <v>2097</v>
      </c>
      <c r="E3699" s="39" t="s">
        <v>6078</v>
      </c>
      <c r="F3699" s="11" t="s">
        <v>211</v>
      </c>
      <c r="G3699" s="39" t="s">
        <v>6079</v>
      </c>
      <c r="J3699" s="17">
        <v>8</v>
      </c>
      <c r="K3699" s="17"/>
      <c r="L3699" s="7">
        <f t="shared" si="1534"/>
        <v>8</v>
      </c>
      <c r="M3699" s="8">
        <v>1</v>
      </c>
      <c r="N3699" s="8">
        <f t="shared" si="1535"/>
        <v>1</v>
      </c>
      <c r="O3699" s="11" t="s">
        <v>1702</v>
      </c>
      <c r="P3699" s="16" t="str">
        <f t="shared" si="1536"/>
        <v>22-Dec-1899</v>
      </c>
      <c r="R3699" s="16" t="str">
        <f t="shared" si="1537"/>
        <v>x</v>
      </c>
      <c r="S3699" s="16" t="str">
        <f t="shared" si="1537"/>
        <v>x</v>
      </c>
      <c r="U3699" s="46" t="str">
        <f>IF($O3699=U$5,$L3699,"")</f>
        <v/>
      </c>
      <c r="V3699" s="46">
        <f>IF($O3699=V$5,$L3699,"")</f>
        <v>8</v>
      </c>
      <c r="W3699" s="46" t="str">
        <f>IF($O3699=W$5,$L3699,"")</f>
        <v/>
      </c>
      <c r="X3699" s="46" t="str">
        <f>IF($O3699=X$5,$L3699,"")</f>
        <v/>
      </c>
    </row>
    <row r="3700" spans="2:26" x14ac:dyDescent="0.25">
      <c r="B3700" s="11" t="str">
        <f t="shared" si="1533"/>
        <v>LKON-21JUN1901</v>
      </c>
      <c r="C3700" s="11" t="s">
        <v>3503</v>
      </c>
      <c r="D3700" s="11" t="s">
        <v>2097</v>
      </c>
      <c r="E3700" s="39" t="s">
        <v>3504</v>
      </c>
      <c r="F3700" s="11" t="s">
        <v>2813</v>
      </c>
      <c r="G3700" s="39" t="s">
        <v>1681</v>
      </c>
      <c r="J3700" s="17">
        <v>2</v>
      </c>
      <c r="K3700" s="17"/>
      <c r="L3700" s="7">
        <f t="shared" si="1534"/>
        <v>2</v>
      </c>
      <c r="M3700" s="8">
        <v>1</v>
      </c>
      <c r="N3700" s="8">
        <f t="shared" si="1535"/>
        <v>1</v>
      </c>
      <c r="O3700" s="11" t="s">
        <v>1702</v>
      </c>
      <c r="P3700" s="16" t="str">
        <f t="shared" si="1536"/>
        <v>21-Jun-1901</v>
      </c>
      <c r="R3700" s="16" t="str">
        <f t="shared" ref="R3700:S3704" si="1539">IF($L3700&gt;0,"x","")</f>
        <v>x</v>
      </c>
      <c r="S3700" s="16" t="str">
        <f t="shared" si="1539"/>
        <v>x</v>
      </c>
      <c r="U3700" s="46" t="str">
        <f t="shared" ref="U3700:X3701" si="1540">IF($O3700=U$5,$L3700,"")</f>
        <v/>
      </c>
      <c r="V3700" s="46">
        <f t="shared" si="1540"/>
        <v>2</v>
      </c>
      <c r="W3700" s="46" t="str">
        <f t="shared" si="1540"/>
        <v/>
      </c>
      <c r="X3700" s="46" t="str">
        <f t="shared" si="1540"/>
        <v/>
      </c>
    </row>
    <row r="3701" spans="2:26" x14ac:dyDescent="0.25">
      <c r="B3701" s="11" t="str">
        <f t="shared" si="1533"/>
        <v>LKON-09FEB1902</v>
      </c>
      <c r="C3701" s="11" t="s">
        <v>3503</v>
      </c>
      <c r="D3701" s="11" t="s">
        <v>2097</v>
      </c>
      <c r="E3701" s="39" t="s">
        <v>4916</v>
      </c>
      <c r="F3701" s="11" t="s">
        <v>211</v>
      </c>
      <c r="G3701" s="39" t="s">
        <v>4917</v>
      </c>
      <c r="J3701" s="17">
        <v>3</v>
      </c>
      <c r="K3701" s="17"/>
      <c r="L3701" s="7">
        <f t="shared" si="1534"/>
        <v>3</v>
      </c>
      <c r="M3701" s="8">
        <v>1</v>
      </c>
      <c r="N3701" s="8">
        <f t="shared" si="1535"/>
        <v>1</v>
      </c>
      <c r="O3701" s="11" t="s">
        <v>1702</v>
      </c>
      <c r="P3701" s="16" t="str">
        <f t="shared" si="1536"/>
        <v>09-Feb-1902</v>
      </c>
      <c r="R3701" s="16" t="str">
        <f>IF($L3701&gt;0,"x","")</f>
        <v>x</v>
      </c>
      <c r="S3701" s="16" t="str">
        <f>IF($L3701&gt;0,"x","")</f>
        <v>x</v>
      </c>
      <c r="U3701" s="46" t="str">
        <f t="shared" si="1540"/>
        <v/>
      </c>
      <c r="V3701" s="46">
        <f t="shared" si="1540"/>
        <v>3</v>
      </c>
      <c r="W3701" s="46" t="str">
        <f t="shared" si="1540"/>
        <v/>
      </c>
      <c r="X3701" s="46" t="str">
        <f t="shared" si="1540"/>
        <v/>
      </c>
      <c r="Z3701" s="11" t="s">
        <v>4089</v>
      </c>
    </row>
    <row r="3702" spans="2:26" x14ac:dyDescent="0.25">
      <c r="B3702" s="11" t="str">
        <f t="shared" si="1533"/>
        <v>LKON-12APR1902</v>
      </c>
      <c r="C3702" s="11" t="s">
        <v>3503</v>
      </c>
      <c r="D3702" s="11" t="s">
        <v>2097</v>
      </c>
      <c r="E3702" s="39" t="s">
        <v>722</v>
      </c>
      <c r="F3702" s="11" t="s">
        <v>211</v>
      </c>
      <c r="G3702" s="39" t="s">
        <v>2605</v>
      </c>
      <c r="J3702" s="17">
        <f>6+1</f>
        <v>7</v>
      </c>
      <c r="K3702" s="17"/>
      <c r="L3702" s="7">
        <f t="shared" si="1534"/>
        <v>7</v>
      </c>
      <c r="M3702" s="8">
        <v>1</v>
      </c>
      <c r="N3702" s="8">
        <f t="shared" si="1535"/>
        <v>1</v>
      </c>
      <c r="O3702" s="11" t="s">
        <v>1702</v>
      </c>
      <c r="P3702" s="16" t="str">
        <f t="shared" si="1536"/>
        <v>12-Apr-1902</v>
      </c>
      <c r="R3702" s="16" t="str">
        <f t="shared" si="1539"/>
        <v>x</v>
      </c>
      <c r="S3702" s="16" t="str">
        <f t="shared" si="1539"/>
        <v>x</v>
      </c>
      <c r="U3702" s="46" t="str">
        <f>IF($O3702=U$5,$L3702,"")</f>
        <v/>
      </c>
      <c r="V3702" s="46">
        <f>IF($O3702=V$5,$L3702,"")</f>
        <v>7</v>
      </c>
      <c r="W3702" s="46" t="str">
        <f>IF($O3702=W$5,$L3702,"")</f>
        <v/>
      </c>
      <c r="X3702" s="46" t="str">
        <f>IF($O3702=X$5,$L3702,"")</f>
        <v/>
      </c>
      <c r="Z3702" s="11" t="s">
        <v>4089</v>
      </c>
    </row>
    <row r="3703" spans="2:26" x14ac:dyDescent="0.25">
      <c r="B3703" s="11" t="str">
        <f t="shared" si="1533"/>
        <v>LKON-24MAY1902</v>
      </c>
      <c r="C3703" s="11" t="s">
        <v>3503</v>
      </c>
      <c r="D3703" s="11" t="s">
        <v>2097</v>
      </c>
      <c r="E3703" s="39" t="s">
        <v>5834</v>
      </c>
      <c r="F3703" s="11" t="s">
        <v>2813</v>
      </c>
      <c r="G3703" s="39" t="s">
        <v>5835</v>
      </c>
      <c r="J3703" s="17">
        <v>5</v>
      </c>
      <c r="K3703" s="17"/>
      <c r="L3703" s="7">
        <f t="shared" si="1534"/>
        <v>5</v>
      </c>
      <c r="M3703" s="8">
        <v>1</v>
      </c>
      <c r="N3703" s="8">
        <f t="shared" si="1535"/>
        <v>1</v>
      </c>
      <c r="O3703" s="11" t="s">
        <v>1702</v>
      </c>
      <c r="P3703" s="16" t="str">
        <f t="shared" si="1536"/>
        <v>24-May-1902</v>
      </c>
      <c r="R3703" s="16" t="str">
        <f t="shared" si="1539"/>
        <v>x</v>
      </c>
      <c r="S3703" s="16" t="str">
        <f t="shared" si="1539"/>
        <v>x</v>
      </c>
      <c r="U3703" s="46" t="str">
        <f t="shared" ref="U3703:X3704" si="1541">IF($O3703=U$5,$L3703,"")</f>
        <v/>
      </c>
      <c r="V3703" s="46">
        <f t="shared" si="1541"/>
        <v>5</v>
      </c>
      <c r="W3703" s="46" t="str">
        <f t="shared" si="1541"/>
        <v/>
      </c>
      <c r="X3703" s="46" t="str">
        <f t="shared" si="1541"/>
        <v/>
      </c>
    </row>
    <row r="3704" spans="2:26" x14ac:dyDescent="0.25">
      <c r="B3704" s="11" t="str">
        <f t="shared" si="1533"/>
        <v>LKON-15NOV1902</v>
      </c>
      <c r="C3704" s="11" t="s">
        <v>3503</v>
      </c>
      <c r="D3704" s="11" t="s">
        <v>2097</v>
      </c>
      <c r="E3704" s="39" t="s">
        <v>4830</v>
      </c>
      <c r="F3704" s="11" t="s">
        <v>2813</v>
      </c>
      <c r="G3704" s="39" t="s">
        <v>2607</v>
      </c>
      <c r="H3704" s="7">
        <v>0</v>
      </c>
      <c r="I3704" s="7">
        <v>0</v>
      </c>
      <c r="J3704" s="17">
        <f>3+3</f>
        <v>6</v>
      </c>
      <c r="K3704" s="17"/>
      <c r="L3704" s="7">
        <f t="shared" si="1534"/>
        <v>6</v>
      </c>
      <c r="M3704" s="8">
        <v>1</v>
      </c>
      <c r="N3704" s="8">
        <f t="shared" si="1535"/>
        <v>1</v>
      </c>
      <c r="O3704" s="11" t="s">
        <v>1702</v>
      </c>
      <c r="P3704" s="16" t="str">
        <f t="shared" si="1536"/>
        <v>15-Nov-1902</v>
      </c>
      <c r="R3704" s="16" t="str">
        <f t="shared" si="1539"/>
        <v>x</v>
      </c>
      <c r="S3704" s="16" t="str">
        <f t="shared" si="1539"/>
        <v>x</v>
      </c>
      <c r="U3704" s="46" t="str">
        <f t="shared" si="1541"/>
        <v/>
      </c>
      <c r="V3704" s="46">
        <f t="shared" si="1541"/>
        <v>6</v>
      </c>
      <c r="W3704" s="46" t="str">
        <f t="shared" si="1541"/>
        <v/>
      </c>
      <c r="X3704" s="46" t="str">
        <f t="shared" si="1541"/>
        <v/>
      </c>
      <c r="Z3704" s="11" t="s">
        <v>4089</v>
      </c>
    </row>
    <row r="3705" spans="2:26" x14ac:dyDescent="0.25">
      <c r="N3705" s="8" t="str">
        <f>IF(R3705="x",1,"")</f>
        <v/>
      </c>
      <c r="U3705" s="46" t="str">
        <f t="shared" ref="U3705:X3724" si="1542">IF($O3705=U$5,$L3705,"")</f>
        <v/>
      </c>
      <c r="V3705" s="46" t="str">
        <f t="shared" si="1542"/>
        <v/>
      </c>
      <c r="W3705" s="46" t="str">
        <f t="shared" si="1542"/>
        <v/>
      </c>
      <c r="X3705" s="46" t="str">
        <f t="shared" si="1542"/>
        <v/>
      </c>
    </row>
    <row r="3706" spans="2:26" s="18" customFormat="1" x14ac:dyDescent="0.25">
      <c r="E3706" s="40"/>
      <c r="G3706" s="40"/>
      <c r="H3706" s="7">
        <f t="shared" ref="H3706:N3706" si="1543">SUM(H3697:H3705)</f>
        <v>0</v>
      </c>
      <c r="I3706" s="7">
        <f t="shared" si="1543"/>
        <v>0</v>
      </c>
      <c r="J3706" s="7">
        <f>SUM(J3697:J3705)</f>
        <v>41</v>
      </c>
      <c r="K3706" s="7">
        <f t="shared" si="1543"/>
        <v>0</v>
      </c>
      <c r="L3706" s="7">
        <f t="shared" si="1543"/>
        <v>41</v>
      </c>
      <c r="M3706" s="7">
        <f t="shared" si="1543"/>
        <v>8</v>
      </c>
      <c r="N3706" s="7">
        <f t="shared" si="1543"/>
        <v>8</v>
      </c>
      <c r="P3706" s="13"/>
      <c r="Q3706" s="13"/>
      <c r="R3706" s="16"/>
      <c r="S3706" s="13"/>
      <c r="T3706" s="15"/>
      <c r="U3706" s="46" t="str">
        <f t="shared" si="1542"/>
        <v/>
      </c>
      <c r="V3706" s="46" t="str">
        <f t="shared" si="1542"/>
        <v/>
      </c>
      <c r="W3706" s="46" t="str">
        <f t="shared" si="1542"/>
        <v/>
      </c>
      <c r="X3706" s="46" t="str">
        <f t="shared" si="1542"/>
        <v/>
      </c>
      <c r="Z3706" s="11"/>
    </row>
    <row r="3707" spans="2:26" s="18" customFormat="1" x14ac:dyDescent="0.25">
      <c r="E3707" s="40"/>
      <c r="G3707" s="40"/>
      <c r="H3707" s="7"/>
      <c r="I3707" s="7"/>
      <c r="J3707" s="7"/>
      <c r="K3707" s="7"/>
      <c r="L3707" s="7"/>
      <c r="M3707" s="8"/>
      <c r="N3707" s="8" t="str">
        <f>IF(R3707="x",1,"")</f>
        <v/>
      </c>
      <c r="P3707" s="13"/>
      <c r="Q3707" s="13"/>
      <c r="R3707" s="13"/>
      <c r="S3707" s="13"/>
      <c r="T3707" s="15"/>
      <c r="U3707" s="46" t="str">
        <f t="shared" si="1542"/>
        <v/>
      </c>
      <c r="V3707" s="46" t="str">
        <f t="shared" si="1542"/>
        <v/>
      </c>
      <c r="W3707" s="46" t="str">
        <f t="shared" si="1542"/>
        <v/>
      </c>
      <c r="X3707" s="46" t="str">
        <f t="shared" si="1542"/>
        <v/>
      </c>
      <c r="Z3707" s="11"/>
    </row>
    <row r="3708" spans="2:26" s="18" customFormat="1" x14ac:dyDescent="0.25">
      <c r="E3708" s="40"/>
      <c r="G3708" s="40"/>
      <c r="H3708" s="7"/>
      <c r="I3708" s="7"/>
      <c r="J3708" s="7"/>
      <c r="K3708" s="7"/>
      <c r="L3708" s="7"/>
      <c r="M3708" s="8"/>
      <c r="N3708" s="8" t="str">
        <f>IF(R3708="x",1,"")</f>
        <v/>
      </c>
      <c r="P3708" s="13"/>
      <c r="Q3708" s="13"/>
      <c r="R3708" s="13"/>
      <c r="S3708" s="13"/>
      <c r="T3708" s="15"/>
      <c r="U3708" s="46" t="str">
        <f t="shared" si="1542"/>
        <v/>
      </c>
      <c r="V3708" s="46" t="str">
        <f t="shared" si="1542"/>
        <v/>
      </c>
      <c r="W3708" s="46" t="str">
        <f t="shared" si="1542"/>
        <v/>
      </c>
      <c r="X3708" s="46" t="str">
        <f t="shared" si="1542"/>
        <v/>
      </c>
      <c r="Z3708" s="11"/>
    </row>
    <row r="3709" spans="2:26" x14ac:dyDescent="0.25">
      <c r="B3709" s="11" t="str">
        <f>CONCATENATE("LKSI","-",LEFT(P3709,2),UPPER(MID(P3709,4,3)),RIGHT(P3709,4))</f>
        <v>LKSI-22JUL1904</v>
      </c>
      <c r="C3709" s="11" t="s">
        <v>11461</v>
      </c>
      <c r="D3709" s="11" t="s">
        <v>1699</v>
      </c>
      <c r="E3709" s="39" t="s">
        <v>11462</v>
      </c>
      <c r="F3709" s="11" t="s">
        <v>2813</v>
      </c>
      <c r="G3709" s="39" t="s">
        <v>11463</v>
      </c>
      <c r="I3709" s="7">
        <v>0</v>
      </c>
      <c r="J3709" s="17">
        <v>20</v>
      </c>
      <c r="K3709" s="17"/>
      <c r="L3709" s="7">
        <f>SUM(H3709:K3709)</f>
        <v>20</v>
      </c>
      <c r="M3709" s="8">
        <v>1</v>
      </c>
      <c r="N3709" s="8">
        <f>IF(L3709&gt;0,1,"")</f>
        <v>1</v>
      </c>
      <c r="O3709" s="11" t="s">
        <v>1702</v>
      </c>
      <c r="P3709" s="16" t="str">
        <f>IF(LEN(G3709)=10,CONCATENATE("0",G3709),G3709)</f>
        <v>22-Jul-1904</v>
      </c>
      <c r="R3709" s="16" t="str">
        <f>IF($L3709&gt;0,"x","")</f>
        <v>x</v>
      </c>
      <c r="S3709" s="16" t="str">
        <f>IF($L3709&gt;0,"x","")</f>
        <v>x</v>
      </c>
      <c r="U3709" s="46" t="str">
        <f t="shared" si="1542"/>
        <v/>
      </c>
      <c r="V3709" s="46">
        <f t="shared" si="1542"/>
        <v>20</v>
      </c>
      <c r="W3709" s="46" t="str">
        <f t="shared" si="1542"/>
        <v/>
      </c>
      <c r="X3709" s="46" t="str">
        <f t="shared" si="1542"/>
        <v/>
      </c>
    </row>
    <row r="3710" spans="2:26" x14ac:dyDescent="0.25">
      <c r="N3710" s="8" t="str">
        <f>IF(R3710="x",1,"")</f>
        <v/>
      </c>
      <c r="U3710" s="46" t="str">
        <f t="shared" si="1542"/>
        <v/>
      </c>
      <c r="V3710" s="46" t="str">
        <f t="shared" si="1542"/>
        <v/>
      </c>
      <c r="W3710" s="46" t="str">
        <f t="shared" si="1542"/>
        <v/>
      </c>
      <c r="X3710" s="46" t="str">
        <f t="shared" si="1542"/>
        <v/>
      </c>
    </row>
    <row r="3711" spans="2:26" s="18" customFormat="1" x14ac:dyDescent="0.25">
      <c r="E3711" s="40"/>
      <c r="G3711" s="40"/>
      <c r="H3711" s="7">
        <f t="shared" ref="H3711:N3711" si="1544">SUM(H3709:H3710)</f>
        <v>0</v>
      </c>
      <c r="I3711" s="7">
        <f t="shared" si="1544"/>
        <v>0</v>
      </c>
      <c r="J3711" s="7">
        <f t="shared" si="1544"/>
        <v>20</v>
      </c>
      <c r="K3711" s="7">
        <f t="shared" si="1544"/>
        <v>0</v>
      </c>
      <c r="L3711" s="7">
        <f t="shared" si="1544"/>
        <v>20</v>
      </c>
      <c r="M3711" s="7">
        <f t="shared" si="1544"/>
        <v>1</v>
      </c>
      <c r="N3711" s="7">
        <f t="shared" si="1544"/>
        <v>1</v>
      </c>
      <c r="P3711" s="13"/>
      <c r="Q3711" s="13"/>
      <c r="R3711" s="16"/>
      <c r="S3711" s="13"/>
      <c r="T3711" s="15"/>
      <c r="U3711" s="46" t="str">
        <f t="shared" si="1542"/>
        <v/>
      </c>
      <c r="V3711" s="46" t="str">
        <f t="shared" si="1542"/>
        <v/>
      </c>
      <c r="W3711" s="46" t="str">
        <f t="shared" si="1542"/>
        <v/>
      </c>
      <c r="X3711" s="46" t="str">
        <f t="shared" si="1542"/>
        <v/>
      </c>
      <c r="Z3711" s="11"/>
    </row>
    <row r="3712" spans="2:26" s="18" customFormat="1" x14ac:dyDescent="0.25">
      <c r="E3712" s="40"/>
      <c r="G3712" s="40"/>
      <c r="H3712" s="7"/>
      <c r="I3712" s="7"/>
      <c r="J3712" s="7"/>
      <c r="K3712" s="7"/>
      <c r="L3712" s="7"/>
      <c r="M3712" s="8"/>
      <c r="N3712" s="8" t="str">
        <f>IF(R3712="x",1,"")</f>
        <v/>
      </c>
      <c r="P3712" s="13"/>
      <c r="Q3712" s="13"/>
      <c r="R3712" s="13"/>
      <c r="S3712" s="13"/>
      <c r="T3712" s="15"/>
      <c r="U3712" s="46" t="str">
        <f t="shared" si="1542"/>
        <v/>
      </c>
      <c r="V3712" s="46" t="str">
        <f t="shared" si="1542"/>
        <v/>
      </c>
      <c r="W3712" s="46" t="str">
        <f t="shared" si="1542"/>
        <v/>
      </c>
      <c r="X3712" s="46" t="str">
        <f t="shared" si="1542"/>
        <v/>
      </c>
      <c r="Z3712" s="11"/>
    </row>
    <row r="3713" spans="2:26" s="18" customFormat="1" x14ac:dyDescent="0.25">
      <c r="E3713" s="40"/>
      <c r="G3713" s="40"/>
      <c r="H3713" s="7"/>
      <c r="I3713" s="7"/>
      <c r="J3713" s="7"/>
      <c r="K3713" s="7"/>
      <c r="L3713" s="7"/>
      <c r="M3713" s="8"/>
      <c r="N3713" s="8" t="str">
        <f>IF(R3713="x",1,"")</f>
        <v/>
      </c>
      <c r="P3713" s="13"/>
      <c r="Q3713" s="13"/>
      <c r="R3713" s="13"/>
      <c r="S3713" s="13"/>
      <c r="T3713" s="15"/>
      <c r="U3713" s="46" t="str">
        <f t="shared" si="1542"/>
        <v/>
      </c>
      <c r="V3713" s="46" t="str">
        <f t="shared" si="1542"/>
        <v/>
      </c>
      <c r="W3713" s="46" t="str">
        <f t="shared" si="1542"/>
        <v/>
      </c>
      <c r="X3713" s="46" t="str">
        <f t="shared" si="1542"/>
        <v/>
      </c>
      <c r="Z3713" s="11"/>
    </row>
    <row r="3714" spans="2:26" x14ac:dyDescent="0.25">
      <c r="B3714" s="11" t="str">
        <f t="shared" ref="B3714:B3719" si="1545">CONCATENATE("LKSU","-",LEFT(P3714,2),UPPER(MID(P3714,4,3)),RIGHT(P3714,4))</f>
        <v>LKSU-30JUN1897</v>
      </c>
      <c r="C3714" s="11" t="s">
        <v>3300</v>
      </c>
      <c r="D3714" s="11" t="s">
        <v>2097</v>
      </c>
      <c r="E3714" s="39" t="s">
        <v>2156</v>
      </c>
      <c r="F3714" s="11" t="s">
        <v>2813</v>
      </c>
      <c r="G3714" s="39" t="s">
        <v>5163</v>
      </c>
      <c r="J3714" s="17">
        <v>15</v>
      </c>
      <c r="K3714" s="17"/>
      <c r="L3714" s="7">
        <f t="shared" ref="L3714:L3719" si="1546">SUM(H3714:K3714)</f>
        <v>15</v>
      </c>
      <c r="M3714" s="8">
        <v>1</v>
      </c>
      <c r="N3714" s="8">
        <f t="shared" ref="N3714:N3719" si="1547">IF(L3714&gt;0,1,"")</f>
        <v>1</v>
      </c>
      <c r="O3714" s="11" t="s">
        <v>1702</v>
      </c>
      <c r="P3714" s="16" t="str">
        <f t="shared" ref="P3714:P3719" si="1548">IF(LEN(G3714)=10,CONCATENATE("0",G3714),G3714)</f>
        <v>30-Jun-1897</v>
      </c>
      <c r="R3714" s="16" t="str">
        <f t="shared" ref="R3714:S3719" si="1549">IF($L3714&gt;0,"x","")</f>
        <v>x</v>
      </c>
      <c r="S3714" s="16" t="str">
        <f t="shared" si="1549"/>
        <v>x</v>
      </c>
      <c r="U3714" s="46" t="str">
        <f t="shared" si="1542"/>
        <v/>
      </c>
      <c r="V3714" s="46">
        <f t="shared" si="1542"/>
        <v>15</v>
      </c>
      <c r="W3714" s="46" t="str">
        <f t="shared" si="1542"/>
        <v/>
      </c>
      <c r="X3714" s="46" t="str">
        <f t="shared" si="1542"/>
        <v/>
      </c>
    </row>
    <row r="3715" spans="2:26" x14ac:dyDescent="0.25">
      <c r="B3715" s="11" t="str">
        <f t="shared" si="1545"/>
        <v>LKSU-03AUG1897</v>
      </c>
      <c r="C3715" s="11" t="s">
        <v>3300</v>
      </c>
      <c r="D3715" s="11" t="s">
        <v>2097</v>
      </c>
      <c r="E3715" s="39" t="s">
        <v>282</v>
      </c>
      <c r="F3715" s="11" t="s">
        <v>2813</v>
      </c>
      <c r="G3715" s="39" t="s">
        <v>6095</v>
      </c>
      <c r="H3715" s="7">
        <v>0</v>
      </c>
      <c r="I3715" s="7">
        <v>0</v>
      </c>
      <c r="J3715" s="17">
        <v>1</v>
      </c>
      <c r="K3715" s="17"/>
      <c r="L3715" s="7">
        <f t="shared" si="1546"/>
        <v>1</v>
      </c>
      <c r="M3715" s="8">
        <v>1</v>
      </c>
      <c r="N3715" s="8">
        <f t="shared" si="1547"/>
        <v>1</v>
      </c>
      <c r="O3715" s="11" t="s">
        <v>1702</v>
      </c>
      <c r="P3715" s="16" t="str">
        <f t="shared" si="1548"/>
        <v>03-Aug-1897</v>
      </c>
      <c r="R3715" s="16" t="str">
        <f t="shared" si="1549"/>
        <v>x</v>
      </c>
      <c r="S3715" s="16" t="str">
        <f t="shared" si="1549"/>
        <v>x</v>
      </c>
      <c r="U3715" s="46" t="str">
        <f t="shared" si="1542"/>
        <v/>
      </c>
      <c r="V3715" s="46">
        <f t="shared" si="1542"/>
        <v>1</v>
      </c>
      <c r="W3715" s="46" t="str">
        <f t="shared" si="1542"/>
        <v/>
      </c>
      <c r="X3715" s="46" t="str">
        <f t="shared" si="1542"/>
        <v/>
      </c>
    </row>
    <row r="3716" spans="2:26" x14ac:dyDescent="0.25">
      <c r="B3716" s="11" t="str">
        <f t="shared" si="1545"/>
        <v>LKSU-09MAR1898</v>
      </c>
      <c r="C3716" s="11" t="s">
        <v>3300</v>
      </c>
      <c r="D3716" s="11" t="s">
        <v>2097</v>
      </c>
      <c r="E3716" s="39" t="s">
        <v>468</v>
      </c>
      <c r="F3716" s="11" t="s">
        <v>211</v>
      </c>
      <c r="G3716" s="39" t="s">
        <v>3797</v>
      </c>
      <c r="J3716" s="17">
        <v>6</v>
      </c>
      <c r="K3716" s="17"/>
      <c r="L3716" s="7">
        <f t="shared" si="1546"/>
        <v>6</v>
      </c>
      <c r="M3716" s="8">
        <v>1</v>
      </c>
      <c r="N3716" s="8">
        <f t="shared" si="1547"/>
        <v>1</v>
      </c>
      <c r="O3716" s="11" t="s">
        <v>1702</v>
      </c>
      <c r="P3716" s="16" t="str">
        <f t="shared" si="1548"/>
        <v>09-Mar-1898</v>
      </c>
      <c r="R3716" s="16" t="str">
        <f t="shared" si="1549"/>
        <v>x</v>
      </c>
      <c r="S3716" s="16" t="str">
        <f t="shared" si="1549"/>
        <v>x</v>
      </c>
      <c r="U3716" s="46" t="str">
        <f t="shared" si="1542"/>
        <v/>
      </c>
      <c r="V3716" s="46">
        <f t="shared" si="1542"/>
        <v>6</v>
      </c>
      <c r="W3716" s="46" t="str">
        <f t="shared" si="1542"/>
        <v/>
      </c>
      <c r="X3716" s="46" t="str">
        <f t="shared" si="1542"/>
        <v/>
      </c>
    </row>
    <row r="3717" spans="2:26" x14ac:dyDescent="0.25">
      <c r="B3717" s="11" t="str">
        <f t="shared" si="1545"/>
        <v>LKSU-29SEP1899</v>
      </c>
      <c r="C3717" s="11" t="s">
        <v>3300</v>
      </c>
      <c r="D3717" s="11" t="s">
        <v>2097</v>
      </c>
      <c r="E3717" s="39" t="s">
        <v>5863</v>
      </c>
      <c r="F3717" s="11" t="s">
        <v>2813</v>
      </c>
      <c r="G3717" s="39" t="s">
        <v>5864</v>
      </c>
      <c r="I3717" s="7">
        <v>0</v>
      </c>
      <c r="J3717" s="17">
        <v>3</v>
      </c>
      <c r="K3717" s="17"/>
      <c r="L3717" s="7">
        <f t="shared" si="1546"/>
        <v>3</v>
      </c>
      <c r="M3717" s="8">
        <v>1</v>
      </c>
      <c r="N3717" s="8">
        <f t="shared" si="1547"/>
        <v>1</v>
      </c>
      <c r="O3717" s="11" t="s">
        <v>1702</v>
      </c>
      <c r="P3717" s="16" t="str">
        <f t="shared" si="1548"/>
        <v>29-Sep-1899</v>
      </c>
      <c r="R3717" s="16" t="str">
        <f t="shared" si="1549"/>
        <v>x</v>
      </c>
      <c r="S3717" s="16" t="str">
        <f t="shared" si="1549"/>
        <v>x</v>
      </c>
      <c r="U3717" s="46" t="str">
        <f t="shared" si="1542"/>
        <v/>
      </c>
      <c r="V3717" s="46">
        <f t="shared" si="1542"/>
        <v>3</v>
      </c>
      <c r="W3717" s="46" t="str">
        <f t="shared" si="1542"/>
        <v/>
      </c>
      <c r="X3717" s="46" t="str">
        <f t="shared" si="1542"/>
        <v/>
      </c>
    </row>
    <row r="3718" spans="2:26" x14ac:dyDescent="0.25">
      <c r="B3718" s="11" t="str">
        <f t="shared" si="1545"/>
        <v>LKSU-04JAN1900</v>
      </c>
      <c r="C3718" s="11" t="s">
        <v>3300</v>
      </c>
      <c r="D3718" s="11" t="s">
        <v>2097</v>
      </c>
      <c r="E3718" s="39" t="s">
        <v>588</v>
      </c>
      <c r="F3718" s="11" t="s">
        <v>211</v>
      </c>
      <c r="G3718" s="39" t="s">
        <v>2208</v>
      </c>
      <c r="J3718" s="17">
        <v>9</v>
      </c>
      <c r="K3718" s="17"/>
      <c r="L3718" s="7">
        <f t="shared" si="1546"/>
        <v>9</v>
      </c>
      <c r="M3718" s="8">
        <v>1</v>
      </c>
      <c r="N3718" s="8">
        <f t="shared" si="1547"/>
        <v>1</v>
      </c>
      <c r="O3718" s="11" t="s">
        <v>1702</v>
      </c>
      <c r="P3718" s="16" t="str">
        <f t="shared" si="1548"/>
        <v>04-Jan-1900</v>
      </c>
      <c r="R3718" s="16" t="str">
        <f t="shared" si="1549"/>
        <v>x</v>
      </c>
      <c r="S3718" s="16" t="str">
        <f t="shared" si="1549"/>
        <v>x</v>
      </c>
      <c r="U3718" s="46" t="str">
        <f t="shared" si="1542"/>
        <v/>
      </c>
      <c r="V3718" s="46">
        <f t="shared" si="1542"/>
        <v>9</v>
      </c>
      <c r="W3718" s="46" t="str">
        <f t="shared" si="1542"/>
        <v/>
      </c>
      <c r="X3718" s="46" t="str">
        <f t="shared" si="1542"/>
        <v/>
      </c>
    </row>
    <row r="3719" spans="2:26" x14ac:dyDescent="0.25">
      <c r="B3719" s="11" t="str">
        <f t="shared" si="1545"/>
        <v>LKSU-13JAN1902</v>
      </c>
      <c r="C3719" s="11" t="s">
        <v>3300</v>
      </c>
      <c r="D3719" s="11" t="s">
        <v>2097</v>
      </c>
      <c r="E3719" s="39" t="s">
        <v>3446</v>
      </c>
      <c r="F3719" s="11" t="s">
        <v>211</v>
      </c>
      <c r="G3719" s="39" t="s">
        <v>2593</v>
      </c>
      <c r="I3719" s="7">
        <v>0</v>
      </c>
      <c r="J3719" s="17">
        <v>10</v>
      </c>
      <c r="K3719" s="17"/>
      <c r="L3719" s="7">
        <f t="shared" si="1546"/>
        <v>10</v>
      </c>
      <c r="M3719" s="8">
        <v>1</v>
      </c>
      <c r="N3719" s="8">
        <f t="shared" si="1547"/>
        <v>1</v>
      </c>
      <c r="O3719" s="11" t="s">
        <v>1702</v>
      </c>
      <c r="P3719" s="16" t="str">
        <f t="shared" si="1548"/>
        <v>13-Jan-1902</v>
      </c>
      <c r="R3719" s="16" t="str">
        <f t="shared" si="1549"/>
        <v>x</v>
      </c>
      <c r="S3719" s="16" t="str">
        <f t="shared" si="1549"/>
        <v>x</v>
      </c>
      <c r="U3719" s="46" t="str">
        <f t="shared" si="1542"/>
        <v/>
      </c>
      <c r="V3719" s="46">
        <f t="shared" si="1542"/>
        <v>10</v>
      </c>
      <c r="W3719" s="46" t="str">
        <f t="shared" si="1542"/>
        <v/>
      </c>
      <c r="X3719" s="46" t="str">
        <f t="shared" si="1542"/>
        <v/>
      </c>
    </row>
    <row r="3720" spans="2:26" x14ac:dyDescent="0.25">
      <c r="N3720" s="8" t="str">
        <f>IF(R3720="x",1,"")</f>
        <v/>
      </c>
      <c r="U3720" s="46" t="str">
        <f t="shared" si="1542"/>
        <v/>
      </c>
      <c r="V3720" s="46" t="str">
        <f t="shared" si="1542"/>
        <v/>
      </c>
      <c r="W3720" s="46" t="str">
        <f t="shared" si="1542"/>
        <v/>
      </c>
      <c r="X3720" s="46" t="str">
        <f t="shared" si="1542"/>
        <v/>
      </c>
    </row>
    <row r="3721" spans="2:26" s="18" customFormat="1" x14ac:dyDescent="0.25">
      <c r="E3721" s="40"/>
      <c r="G3721" s="40"/>
      <c r="H3721" s="7">
        <f t="shared" ref="H3721:N3721" si="1550">SUM(H3714:H3720)</f>
        <v>0</v>
      </c>
      <c r="I3721" s="7">
        <f t="shared" si="1550"/>
        <v>0</v>
      </c>
      <c r="J3721" s="7">
        <f>SUM(J3714:J3720)</f>
        <v>44</v>
      </c>
      <c r="K3721" s="7">
        <f t="shared" si="1550"/>
        <v>0</v>
      </c>
      <c r="L3721" s="7">
        <f t="shared" si="1550"/>
        <v>44</v>
      </c>
      <c r="M3721" s="7">
        <f t="shared" si="1550"/>
        <v>6</v>
      </c>
      <c r="N3721" s="7">
        <f t="shared" si="1550"/>
        <v>6</v>
      </c>
      <c r="P3721" s="13"/>
      <c r="Q3721" s="13"/>
      <c r="R3721" s="16"/>
      <c r="S3721" s="13"/>
      <c r="T3721" s="15"/>
      <c r="U3721" s="46" t="str">
        <f t="shared" si="1542"/>
        <v/>
      </c>
      <c r="V3721" s="46" t="str">
        <f t="shared" si="1542"/>
        <v/>
      </c>
      <c r="W3721" s="46" t="str">
        <f t="shared" si="1542"/>
        <v/>
      </c>
      <c r="X3721" s="46" t="str">
        <f t="shared" si="1542"/>
        <v/>
      </c>
      <c r="Z3721" s="11"/>
    </row>
    <row r="3722" spans="2:26" s="18" customFormat="1" x14ac:dyDescent="0.25">
      <c r="E3722" s="40"/>
      <c r="G3722" s="40"/>
      <c r="H3722" s="7"/>
      <c r="I3722" s="7"/>
      <c r="J3722" s="7"/>
      <c r="K3722" s="7"/>
      <c r="L3722" s="7"/>
      <c r="M3722" s="8"/>
      <c r="N3722" s="8" t="str">
        <f>IF(R3722="x",1,"")</f>
        <v/>
      </c>
      <c r="P3722" s="13"/>
      <c r="Q3722" s="13"/>
      <c r="R3722" s="13"/>
      <c r="S3722" s="13"/>
      <c r="T3722" s="15"/>
      <c r="U3722" s="46" t="str">
        <f t="shared" si="1542"/>
        <v/>
      </c>
      <c r="V3722" s="46" t="str">
        <f t="shared" si="1542"/>
        <v/>
      </c>
      <c r="W3722" s="46" t="str">
        <f t="shared" si="1542"/>
        <v/>
      </c>
      <c r="X3722" s="46" t="str">
        <f t="shared" si="1542"/>
        <v/>
      </c>
      <c r="Z3722" s="11"/>
    </row>
    <row r="3723" spans="2:26" s="18" customFormat="1" x14ac:dyDescent="0.25">
      <c r="E3723" s="40"/>
      <c r="G3723" s="40"/>
      <c r="H3723" s="7"/>
      <c r="I3723" s="7"/>
      <c r="J3723" s="7"/>
      <c r="K3723" s="7"/>
      <c r="L3723" s="7"/>
      <c r="M3723" s="8"/>
      <c r="N3723" s="8" t="str">
        <f>IF(R3723="x",1,"")</f>
        <v/>
      </c>
      <c r="P3723" s="13"/>
      <c r="Q3723" s="13"/>
      <c r="R3723" s="13"/>
      <c r="S3723" s="13"/>
      <c r="T3723" s="15"/>
      <c r="U3723" s="46" t="str">
        <f t="shared" si="1542"/>
        <v/>
      </c>
      <c r="V3723" s="46" t="str">
        <f t="shared" si="1542"/>
        <v/>
      </c>
      <c r="W3723" s="46" t="str">
        <f t="shared" si="1542"/>
        <v/>
      </c>
      <c r="X3723" s="46" t="str">
        <f t="shared" si="1542"/>
        <v/>
      </c>
      <c r="Z3723" s="11"/>
    </row>
    <row r="3724" spans="2:26" x14ac:dyDescent="0.25">
      <c r="B3724" s="11" t="str">
        <f t="shared" ref="B3724:B3732" si="1551">CONCATENATE("LAPL","-",LEFT(P3724,2),UPPER(MID(P3724,4,3)),RIGHT(P3724,4))</f>
        <v>LAPL-19FEB1920</v>
      </c>
      <c r="C3724" s="11" t="s">
        <v>3998</v>
      </c>
      <c r="D3724" s="11" t="s">
        <v>2224</v>
      </c>
      <c r="E3724" s="39" t="s">
        <v>4517</v>
      </c>
      <c r="F3724" s="11" t="s">
        <v>1700</v>
      </c>
      <c r="G3724" s="39" t="s">
        <v>5226</v>
      </c>
      <c r="H3724" s="7">
        <v>0</v>
      </c>
      <c r="I3724" s="7">
        <v>3</v>
      </c>
      <c r="J3724" s="17">
        <v>6</v>
      </c>
      <c r="K3724" s="17"/>
      <c r="L3724" s="7">
        <f t="shared" ref="L3724:L3732" si="1552">SUM(H3724:K3724)</f>
        <v>9</v>
      </c>
      <c r="M3724" s="8">
        <v>1</v>
      </c>
      <c r="N3724" s="8">
        <f t="shared" ref="N3724:N3732" si="1553">IF(L3724&gt;0,1,"")</f>
        <v>1</v>
      </c>
      <c r="O3724" s="11" t="s">
        <v>1702</v>
      </c>
      <c r="P3724" s="16" t="str">
        <f t="shared" ref="P3724:P3732" si="1554">IF(LEN(G3724)=10,CONCATENATE("0",G3724),G3724)</f>
        <v>19-Feb-1920</v>
      </c>
      <c r="R3724" s="16" t="str">
        <f>IF($L3724&gt;0,"x","")</f>
        <v>x</v>
      </c>
      <c r="S3724" s="16" t="str">
        <f>IF($L3724&gt;0,"x","")</f>
        <v>x</v>
      </c>
      <c r="U3724" s="46" t="str">
        <f t="shared" si="1542"/>
        <v/>
      </c>
      <c r="V3724" s="46">
        <f t="shared" si="1542"/>
        <v>9</v>
      </c>
      <c r="W3724" s="46" t="str">
        <f t="shared" si="1542"/>
        <v/>
      </c>
      <c r="X3724" s="46" t="str">
        <f t="shared" si="1542"/>
        <v/>
      </c>
    </row>
    <row r="3725" spans="2:26" x14ac:dyDescent="0.25">
      <c r="B3725" s="11" t="str">
        <f t="shared" si="1551"/>
        <v>LAPL-16AUG1920</v>
      </c>
      <c r="C3725" s="11" t="s">
        <v>3998</v>
      </c>
      <c r="D3725" s="11" t="s">
        <v>2814</v>
      </c>
      <c r="E3725" s="39" t="s">
        <v>4586</v>
      </c>
      <c r="F3725" s="11" t="s">
        <v>1700</v>
      </c>
      <c r="G3725" s="39" t="s">
        <v>2417</v>
      </c>
      <c r="H3725" s="7">
        <v>0</v>
      </c>
      <c r="I3725" s="7">
        <v>0</v>
      </c>
      <c r="J3725" s="17">
        <v>22</v>
      </c>
      <c r="K3725" s="17"/>
      <c r="L3725" s="7">
        <f t="shared" si="1552"/>
        <v>22</v>
      </c>
      <c r="M3725" s="8">
        <v>1</v>
      </c>
      <c r="N3725" s="8">
        <f t="shared" si="1553"/>
        <v>1</v>
      </c>
      <c r="O3725" s="11" t="s">
        <v>1702</v>
      </c>
      <c r="P3725" s="16" t="str">
        <f t="shared" si="1554"/>
        <v>16-Aug-1920</v>
      </c>
      <c r="R3725" s="16" t="str">
        <f t="shared" ref="R3725:S3727" si="1555">IF($L3725&gt;0,"x","")</f>
        <v>x</v>
      </c>
      <c r="S3725" s="16" t="str">
        <f t="shared" si="1555"/>
        <v>x</v>
      </c>
      <c r="U3725" s="46" t="str">
        <f t="shared" ref="U3725:X3727" si="1556">IF($O3725=U$5,$L3725,"")</f>
        <v/>
      </c>
      <c r="V3725" s="46">
        <f t="shared" si="1556"/>
        <v>22</v>
      </c>
      <c r="W3725" s="46" t="str">
        <f t="shared" si="1556"/>
        <v/>
      </c>
      <c r="X3725" s="46" t="str">
        <f t="shared" si="1556"/>
        <v/>
      </c>
    </row>
    <row r="3726" spans="2:26" x14ac:dyDescent="0.25">
      <c r="B3726" s="11" t="str">
        <f>CONCATENATE("LAPL","-",LEFT(P3726,2),UPPER(MID(P3726,4,3)),RIGHT(P3726,4))</f>
        <v>LAPL-18SEP1920</v>
      </c>
      <c r="C3726" s="11" t="s">
        <v>3998</v>
      </c>
      <c r="D3726" s="11" t="s">
        <v>2814</v>
      </c>
      <c r="E3726" s="39" t="s">
        <v>2572</v>
      </c>
      <c r="F3726" s="11" t="s">
        <v>1700</v>
      </c>
      <c r="G3726" s="39" t="s">
        <v>1588</v>
      </c>
      <c r="H3726" s="7">
        <v>2</v>
      </c>
      <c r="I3726" s="7">
        <v>0</v>
      </c>
      <c r="J3726" s="17">
        <v>32</v>
      </c>
      <c r="K3726" s="17"/>
      <c r="L3726" s="7">
        <f>SUM(H3726:K3726)</f>
        <v>34</v>
      </c>
      <c r="M3726" s="8">
        <v>1</v>
      </c>
      <c r="N3726" s="8">
        <f>IF(L3726&gt;0,1,"")</f>
        <v>1</v>
      </c>
      <c r="O3726" s="11" t="s">
        <v>1702</v>
      </c>
      <c r="P3726" s="16" t="str">
        <f>IF(LEN(G3726)=10,CONCATENATE("0",G3726),G3726)</f>
        <v>18-Sep-1920</v>
      </c>
      <c r="R3726" s="16" t="str">
        <f t="shared" si="1555"/>
        <v>x</v>
      </c>
      <c r="S3726" s="16" t="str">
        <f t="shared" si="1555"/>
        <v>x</v>
      </c>
      <c r="U3726" s="46" t="str">
        <f t="shared" si="1556"/>
        <v/>
      </c>
      <c r="V3726" s="46">
        <f t="shared" si="1556"/>
        <v>34</v>
      </c>
      <c r="W3726" s="46" t="str">
        <f t="shared" si="1556"/>
        <v/>
      </c>
      <c r="X3726" s="46" t="str">
        <f t="shared" si="1556"/>
        <v/>
      </c>
    </row>
    <row r="3727" spans="2:26" x14ac:dyDescent="0.25">
      <c r="B3727" s="11" t="str">
        <f t="shared" si="1551"/>
        <v>LAPL-23OCT1920</v>
      </c>
      <c r="C3727" s="11" t="s">
        <v>3998</v>
      </c>
      <c r="D3727" s="11" t="s">
        <v>2814</v>
      </c>
      <c r="E3727" s="39" t="s">
        <v>4655</v>
      </c>
      <c r="F3727" s="11" t="s">
        <v>1700</v>
      </c>
      <c r="G3727" s="39" t="s">
        <v>3266</v>
      </c>
      <c r="H3727" s="7">
        <v>0</v>
      </c>
      <c r="I3727" s="7">
        <v>0</v>
      </c>
      <c r="J3727" s="17">
        <f>15</f>
        <v>15</v>
      </c>
      <c r="K3727" s="17"/>
      <c r="L3727" s="7">
        <f t="shared" si="1552"/>
        <v>15</v>
      </c>
      <c r="M3727" s="8">
        <v>1</v>
      </c>
      <c r="N3727" s="8">
        <f t="shared" si="1553"/>
        <v>1</v>
      </c>
      <c r="O3727" s="11" t="s">
        <v>1702</v>
      </c>
      <c r="P3727" s="16" t="str">
        <f t="shared" si="1554"/>
        <v>23-Oct-1920</v>
      </c>
      <c r="R3727" s="16" t="str">
        <f t="shared" si="1555"/>
        <v>x</v>
      </c>
      <c r="S3727" s="16" t="str">
        <f t="shared" si="1555"/>
        <v>x</v>
      </c>
      <c r="U3727" s="46" t="str">
        <f t="shared" si="1556"/>
        <v/>
      </c>
      <c r="V3727" s="46">
        <f t="shared" si="1556"/>
        <v>15</v>
      </c>
      <c r="W3727" s="46" t="str">
        <f t="shared" si="1556"/>
        <v/>
      </c>
      <c r="X3727" s="46" t="str">
        <f t="shared" si="1556"/>
        <v/>
      </c>
    </row>
    <row r="3728" spans="2:26" x14ac:dyDescent="0.25">
      <c r="B3728" s="11" t="str">
        <f t="shared" si="1551"/>
        <v>LAPL-29NOV1920</v>
      </c>
      <c r="C3728" s="11" t="s">
        <v>3998</v>
      </c>
      <c r="D3728" s="11" t="s">
        <v>2224</v>
      </c>
      <c r="E3728" s="39" t="s">
        <v>5471</v>
      </c>
      <c r="F3728" s="11" t="s">
        <v>1700</v>
      </c>
      <c r="G3728" s="39" t="s">
        <v>5472</v>
      </c>
      <c r="H3728" s="7">
        <v>0</v>
      </c>
      <c r="I3728" s="7">
        <v>0</v>
      </c>
      <c r="J3728" s="17">
        <v>11</v>
      </c>
      <c r="K3728" s="17"/>
      <c r="L3728" s="7">
        <f t="shared" si="1552"/>
        <v>11</v>
      </c>
      <c r="M3728" s="8">
        <v>1</v>
      </c>
      <c r="N3728" s="8">
        <f t="shared" si="1553"/>
        <v>1</v>
      </c>
      <c r="O3728" s="11" t="s">
        <v>1702</v>
      </c>
      <c r="P3728" s="16" t="str">
        <f t="shared" si="1554"/>
        <v>29-Nov-1920</v>
      </c>
      <c r="R3728" s="16" t="str">
        <f>IF($L3728&gt;0,"x","")</f>
        <v>x</v>
      </c>
      <c r="S3728" s="16" t="str">
        <f>IF($L3728&gt;0,"x","")</f>
        <v>x</v>
      </c>
      <c r="U3728" s="46" t="str">
        <f t="shared" ref="U3728:X3731" si="1557">IF($O3728=U$5,$L3728,"")</f>
        <v/>
      </c>
      <c r="V3728" s="46">
        <f t="shared" si="1557"/>
        <v>11</v>
      </c>
      <c r="W3728" s="46" t="str">
        <f t="shared" si="1557"/>
        <v/>
      </c>
      <c r="X3728" s="46" t="str">
        <f t="shared" si="1557"/>
        <v/>
      </c>
    </row>
    <row r="3729" spans="2:26" x14ac:dyDescent="0.25">
      <c r="B3729" s="11" t="str">
        <f t="shared" si="1551"/>
        <v>LAPL-03JAN1921</v>
      </c>
      <c r="C3729" s="11" t="s">
        <v>3998</v>
      </c>
      <c r="D3729" s="11" t="s">
        <v>2224</v>
      </c>
      <c r="E3729" s="39" t="s">
        <v>4000</v>
      </c>
      <c r="F3729" s="11" t="s">
        <v>1700</v>
      </c>
      <c r="G3729" s="39" t="s">
        <v>3999</v>
      </c>
      <c r="H3729" s="7">
        <v>1</v>
      </c>
      <c r="I3729" s="7">
        <v>0</v>
      </c>
      <c r="J3729" s="17">
        <f>32+5</f>
        <v>37</v>
      </c>
      <c r="K3729" s="17"/>
      <c r="L3729" s="7">
        <f t="shared" si="1552"/>
        <v>38</v>
      </c>
      <c r="M3729" s="8">
        <v>1</v>
      </c>
      <c r="N3729" s="8">
        <f t="shared" si="1553"/>
        <v>1</v>
      </c>
      <c r="O3729" s="11" t="s">
        <v>1702</v>
      </c>
      <c r="P3729" s="16" t="str">
        <f t="shared" si="1554"/>
        <v>03-Jan-1921</v>
      </c>
      <c r="R3729" s="16" t="str">
        <f t="shared" ref="R3729:S3732" si="1558">IF($L3729&gt;0,"x","")</f>
        <v>x</v>
      </c>
      <c r="S3729" s="16" t="str">
        <f t="shared" si="1558"/>
        <v>x</v>
      </c>
      <c r="U3729" s="46" t="str">
        <f t="shared" si="1557"/>
        <v/>
      </c>
      <c r="V3729" s="46">
        <f t="shared" si="1557"/>
        <v>38</v>
      </c>
      <c r="W3729" s="46" t="str">
        <f t="shared" si="1557"/>
        <v/>
      </c>
      <c r="X3729" s="46" t="str">
        <f t="shared" si="1557"/>
        <v/>
      </c>
    </row>
    <row r="3730" spans="2:26" x14ac:dyDescent="0.25">
      <c r="B3730" s="11" t="str">
        <f>CONCATENATE("LAPL","-",LEFT(P3730,2),UPPER(MID(P3730,4,3)),RIGHT(P3730,4))</f>
        <v>LAPL-10JUL1921</v>
      </c>
      <c r="C3730" s="11" t="s">
        <v>3998</v>
      </c>
      <c r="D3730" s="11" t="s">
        <v>2224</v>
      </c>
      <c r="E3730" s="39" t="s">
        <v>4189</v>
      </c>
      <c r="F3730" s="11" t="s">
        <v>1700</v>
      </c>
      <c r="G3730" s="39" t="s">
        <v>4190</v>
      </c>
      <c r="J3730" s="17">
        <f>2+2</f>
        <v>4</v>
      </c>
      <c r="K3730" s="17"/>
      <c r="L3730" s="7">
        <f>SUM(H3730:K3730)</f>
        <v>4</v>
      </c>
      <c r="M3730" s="8">
        <v>1</v>
      </c>
      <c r="N3730" s="8">
        <f>IF(L3730&gt;0,1,"")</f>
        <v>1</v>
      </c>
      <c r="O3730" s="11" t="s">
        <v>1702</v>
      </c>
      <c r="P3730" s="16" t="str">
        <f>IF(LEN(G3730)=10,CONCATENATE("0",G3730),G3730)</f>
        <v>10-Jul-1921</v>
      </c>
      <c r="R3730" s="16" t="str">
        <f t="shared" si="1558"/>
        <v>x</v>
      </c>
      <c r="S3730" s="16" t="str">
        <f t="shared" si="1558"/>
        <v>x</v>
      </c>
      <c r="U3730" s="46" t="str">
        <f t="shared" si="1557"/>
        <v/>
      </c>
      <c r="V3730" s="46">
        <f t="shared" si="1557"/>
        <v>4</v>
      </c>
      <c r="W3730" s="46" t="str">
        <f t="shared" si="1557"/>
        <v/>
      </c>
      <c r="X3730" s="46" t="str">
        <f t="shared" si="1557"/>
        <v/>
      </c>
    </row>
    <row r="3731" spans="2:26" x14ac:dyDescent="0.25">
      <c r="B3731" s="11" t="str">
        <f>CONCATENATE("LAPL","-",LEFT(P3731,2),UPPER(MID(P3731,4,3)),RIGHT(P3731,4))</f>
        <v>LAPL-23MAR1923</v>
      </c>
      <c r="C3731" s="11" t="s">
        <v>3998</v>
      </c>
      <c r="D3731" s="11" t="s">
        <v>2224</v>
      </c>
      <c r="E3731" s="39" t="s">
        <v>4230</v>
      </c>
      <c r="F3731" s="11" t="s">
        <v>1700</v>
      </c>
      <c r="G3731" s="39" t="s">
        <v>6175</v>
      </c>
      <c r="H3731" s="7">
        <v>0</v>
      </c>
      <c r="I3731" s="7">
        <v>2</v>
      </c>
      <c r="J3731" s="17">
        <v>2</v>
      </c>
      <c r="K3731" s="17"/>
      <c r="L3731" s="7">
        <f>SUM(H3731:K3731)</f>
        <v>4</v>
      </c>
      <c r="M3731" s="8">
        <v>1</v>
      </c>
      <c r="N3731" s="8">
        <f>IF(L3731&gt;0,1,"")</f>
        <v>1</v>
      </c>
      <c r="O3731" s="11" t="s">
        <v>1702</v>
      </c>
      <c r="P3731" s="16" t="str">
        <f>IF(LEN(G3731)=10,CONCATENATE("0",G3731),G3731)</f>
        <v>23-Mar-1923</v>
      </c>
      <c r="R3731" s="16" t="str">
        <f t="shared" si="1558"/>
        <v>x</v>
      </c>
      <c r="S3731" s="16" t="str">
        <f t="shared" si="1558"/>
        <v>x</v>
      </c>
      <c r="U3731" s="46" t="str">
        <f t="shared" si="1557"/>
        <v/>
      </c>
      <c r="V3731" s="46">
        <f t="shared" si="1557"/>
        <v>4</v>
      </c>
      <c r="W3731" s="46" t="str">
        <f t="shared" si="1557"/>
        <v/>
      </c>
      <c r="X3731" s="46" t="str">
        <f t="shared" si="1557"/>
        <v/>
      </c>
    </row>
    <row r="3732" spans="2:26" x14ac:dyDescent="0.25">
      <c r="B3732" s="11" t="str">
        <f t="shared" si="1551"/>
        <v>LAPL-21DEC1931</v>
      </c>
      <c r="C3732" s="11" t="s">
        <v>3998</v>
      </c>
      <c r="D3732" s="11" t="s">
        <v>1699</v>
      </c>
      <c r="E3732" s="39" t="s">
        <v>5562</v>
      </c>
      <c r="F3732" s="11" t="s">
        <v>1700</v>
      </c>
      <c r="G3732" s="39" t="s">
        <v>5563</v>
      </c>
      <c r="I3732" s="7">
        <v>0</v>
      </c>
      <c r="J3732" s="17">
        <v>1</v>
      </c>
      <c r="K3732" s="17"/>
      <c r="L3732" s="7">
        <f t="shared" si="1552"/>
        <v>1</v>
      </c>
      <c r="M3732" s="8">
        <v>1</v>
      </c>
      <c r="N3732" s="8">
        <f t="shared" si="1553"/>
        <v>1</v>
      </c>
      <c r="O3732" s="11" t="s">
        <v>1702</v>
      </c>
      <c r="P3732" s="16" t="str">
        <f t="shared" si="1554"/>
        <v>21-Dec-1931</v>
      </c>
      <c r="R3732" s="16" t="str">
        <f t="shared" si="1558"/>
        <v>x</v>
      </c>
      <c r="S3732" s="16" t="str">
        <f t="shared" si="1558"/>
        <v>x</v>
      </c>
      <c r="U3732" s="46" t="str">
        <f t="shared" ref="U3732:X3739" si="1559">IF($O3732=U$5,$L3732,"")</f>
        <v/>
      </c>
      <c r="V3732" s="46">
        <f t="shared" si="1559"/>
        <v>1</v>
      </c>
      <c r="W3732" s="46" t="str">
        <f t="shared" si="1559"/>
        <v/>
      </c>
      <c r="X3732" s="46" t="str">
        <f t="shared" si="1559"/>
        <v/>
      </c>
    </row>
    <row r="3733" spans="2:26" x14ac:dyDescent="0.25">
      <c r="N3733" s="8" t="str">
        <f>IF(R3733="x",1,"")</f>
        <v/>
      </c>
      <c r="U3733" s="46" t="str">
        <f t="shared" si="1559"/>
        <v/>
      </c>
      <c r="V3733" s="46" t="str">
        <f t="shared" si="1559"/>
        <v/>
      </c>
      <c r="W3733" s="46" t="str">
        <f t="shared" si="1559"/>
        <v/>
      </c>
      <c r="X3733" s="46" t="str">
        <f t="shared" si="1559"/>
        <v/>
      </c>
    </row>
    <row r="3734" spans="2:26" s="18" customFormat="1" x14ac:dyDescent="0.25">
      <c r="E3734" s="40"/>
      <c r="G3734" s="40"/>
      <c r="H3734" s="7">
        <f t="shared" ref="H3734:N3734" si="1560">SUM(H3724:H3733)</f>
        <v>3</v>
      </c>
      <c r="I3734" s="7">
        <f t="shared" si="1560"/>
        <v>5</v>
      </c>
      <c r="J3734" s="7">
        <f>SUM(J3724:J3733)</f>
        <v>130</v>
      </c>
      <c r="K3734" s="7">
        <f t="shared" si="1560"/>
        <v>0</v>
      </c>
      <c r="L3734" s="7">
        <f t="shared" si="1560"/>
        <v>138</v>
      </c>
      <c r="M3734" s="7">
        <f t="shared" si="1560"/>
        <v>9</v>
      </c>
      <c r="N3734" s="7">
        <f t="shared" si="1560"/>
        <v>9</v>
      </c>
      <c r="P3734" s="13"/>
      <c r="Q3734" s="13"/>
      <c r="R3734" s="16"/>
      <c r="S3734" s="13"/>
      <c r="T3734" s="15"/>
      <c r="U3734" s="46" t="str">
        <f t="shared" si="1559"/>
        <v/>
      </c>
      <c r="V3734" s="46" t="str">
        <f t="shared" si="1559"/>
        <v/>
      </c>
      <c r="W3734" s="46" t="str">
        <f t="shared" si="1559"/>
        <v/>
      </c>
      <c r="X3734" s="46" t="str">
        <f t="shared" si="1559"/>
        <v/>
      </c>
      <c r="Z3734" s="11"/>
    </row>
    <row r="3735" spans="2:26" s="18" customFormat="1" x14ac:dyDescent="0.25">
      <c r="E3735" s="40"/>
      <c r="G3735" s="40"/>
      <c r="H3735" s="7"/>
      <c r="I3735" s="7"/>
      <c r="J3735" s="7"/>
      <c r="K3735" s="7"/>
      <c r="L3735" s="7"/>
      <c r="M3735" s="8"/>
      <c r="N3735" s="8" t="str">
        <f>IF(R3735="x",1,"")</f>
        <v/>
      </c>
      <c r="P3735" s="13"/>
      <c r="Q3735" s="13"/>
      <c r="R3735" s="13"/>
      <c r="S3735" s="13"/>
      <c r="T3735" s="15"/>
      <c r="U3735" s="46" t="str">
        <f t="shared" si="1559"/>
        <v/>
      </c>
      <c r="V3735" s="46" t="str">
        <f t="shared" si="1559"/>
        <v/>
      </c>
      <c r="W3735" s="46" t="str">
        <f t="shared" si="1559"/>
        <v/>
      </c>
      <c r="X3735" s="46" t="str">
        <f t="shared" si="1559"/>
        <v/>
      </c>
      <c r="Z3735" s="11"/>
    </row>
    <row r="3736" spans="2:26" s="18" customFormat="1" x14ac:dyDescent="0.25">
      <c r="E3736" s="40"/>
      <c r="G3736" s="40"/>
      <c r="H3736" s="7"/>
      <c r="I3736" s="7"/>
      <c r="J3736" s="7"/>
      <c r="K3736" s="7"/>
      <c r="L3736" s="7"/>
      <c r="M3736" s="8"/>
      <c r="N3736" s="8" t="str">
        <f>IF(R3736="x",1,"")</f>
        <v/>
      </c>
      <c r="P3736" s="13"/>
      <c r="Q3736" s="13"/>
      <c r="R3736" s="13"/>
      <c r="S3736" s="13"/>
      <c r="T3736" s="15"/>
      <c r="U3736" s="46" t="str">
        <f t="shared" si="1559"/>
        <v/>
      </c>
      <c r="V3736" s="46" t="str">
        <f t="shared" si="1559"/>
        <v/>
      </c>
      <c r="W3736" s="46" t="str">
        <f t="shared" si="1559"/>
        <v/>
      </c>
      <c r="X3736" s="46" t="str">
        <f t="shared" si="1559"/>
        <v/>
      </c>
      <c r="Z3736" s="11"/>
    </row>
    <row r="3737" spans="2:26" x14ac:dyDescent="0.25">
      <c r="B3737" s="11" t="str">
        <f t="shared" ref="B3737:B3753" si="1561">CONCATENATE("LAUR","-",LEFT(P3737,2),UPPER(MID(P3737,4,3)),RIGHT(P3737,4))</f>
        <v>LAUR-03SEP1907</v>
      </c>
      <c r="C3737" s="11" t="s">
        <v>3260</v>
      </c>
      <c r="D3737" s="11" t="s">
        <v>1906</v>
      </c>
      <c r="E3737" s="39" t="s">
        <v>1805</v>
      </c>
      <c r="F3737" s="11" t="s">
        <v>1700</v>
      </c>
      <c r="G3737" s="39" t="s">
        <v>6292</v>
      </c>
      <c r="H3737" s="7">
        <v>0</v>
      </c>
      <c r="I3737" s="7">
        <v>1</v>
      </c>
      <c r="J3737" s="17">
        <v>1</v>
      </c>
      <c r="K3737" s="17"/>
      <c r="L3737" s="7">
        <f t="shared" ref="L3737:L3753" si="1562">SUM(H3737:K3737)</f>
        <v>2</v>
      </c>
      <c r="M3737" s="8">
        <v>1</v>
      </c>
      <c r="N3737" s="8">
        <f t="shared" ref="N3737:N3753" si="1563">IF(L3737&gt;0,1,"")</f>
        <v>1</v>
      </c>
      <c r="O3737" s="11" t="s">
        <v>1702</v>
      </c>
      <c r="P3737" s="16" t="str">
        <f t="shared" ref="P3737:P3753" si="1564">IF(LEN(G3737)=10,CONCATENATE("0",G3737),G3737)</f>
        <v>03-Sep-1907</v>
      </c>
      <c r="R3737" s="16" t="str">
        <f t="shared" ref="R3737:S3739" si="1565">IF($L3737&gt;0,"x","")</f>
        <v>x</v>
      </c>
      <c r="S3737" s="16" t="str">
        <f t="shared" si="1565"/>
        <v>x</v>
      </c>
      <c r="U3737" s="46" t="str">
        <f t="shared" si="1559"/>
        <v/>
      </c>
      <c r="V3737" s="46">
        <f t="shared" si="1559"/>
        <v>2</v>
      </c>
      <c r="W3737" s="46" t="str">
        <f t="shared" si="1559"/>
        <v/>
      </c>
      <c r="X3737" s="46" t="str">
        <f t="shared" si="1559"/>
        <v/>
      </c>
    </row>
    <row r="3738" spans="2:26" x14ac:dyDescent="0.25">
      <c r="B3738" s="11" t="str">
        <f t="shared" si="1561"/>
        <v>LAUR-08SEP1909</v>
      </c>
      <c r="C3738" s="11" t="s">
        <v>3260</v>
      </c>
      <c r="D3738" s="11" t="s">
        <v>1906</v>
      </c>
      <c r="E3738" s="39" t="s">
        <v>5359</v>
      </c>
      <c r="F3738" s="11" t="s">
        <v>1700</v>
      </c>
      <c r="G3738" s="39" t="s">
        <v>5360</v>
      </c>
      <c r="H3738" s="7">
        <v>0</v>
      </c>
      <c r="I3738" s="7">
        <v>0</v>
      </c>
      <c r="J3738" s="17">
        <v>76</v>
      </c>
      <c r="K3738" s="17"/>
      <c r="L3738" s="7">
        <f t="shared" si="1562"/>
        <v>76</v>
      </c>
      <c r="M3738" s="8">
        <v>1</v>
      </c>
      <c r="N3738" s="8">
        <f t="shared" si="1563"/>
        <v>1</v>
      </c>
      <c r="O3738" s="11" t="s">
        <v>1702</v>
      </c>
      <c r="P3738" s="16" t="str">
        <f t="shared" si="1564"/>
        <v>08-Sep-1909</v>
      </c>
      <c r="R3738" s="16" t="str">
        <f t="shared" si="1565"/>
        <v>x</v>
      </c>
      <c r="S3738" s="16" t="str">
        <f t="shared" si="1565"/>
        <v>x</v>
      </c>
      <c r="U3738" s="46" t="str">
        <f t="shared" si="1559"/>
        <v/>
      </c>
      <c r="V3738" s="46">
        <f t="shared" si="1559"/>
        <v>76</v>
      </c>
      <c r="W3738" s="46" t="str">
        <f t="shared" si="1559"/>
        <v/>
      </c>
      <c r="X3738" s="46" t="str">
        <f t="shared" si="1559"/>
        <v/>
      </c>
    </row>
    <row r="3739" spans="2:26" x14ac:dyDescent="0.25">
      <c r="B3739" s="11" t="str">
        <f t="shared" si="1561"/>
        <v>LAUR-27OCT1909</v>
      </c>
      <c r="C3739" s="11" t="s">
        <v>3260</v>
      </c>
      <c r="D3739" s="11" t="s">
        <v>1906</v>
      </c>
      <c r="E3739" s="39" t="s">
        <v>2671</v>
      </c>
      <c r="F3739" s="11" t="s">
        <v>1700</v>
      </c>
      <c r="G3739" s="39" t="s">
        <v>2935</v>
      </c>
      <c r="H3739" s="7">
        <v>0</v>
      </c>
      <c r="I3739" s="7">
        <v>3</v>
      </c>
      <c r="J3739" s="17">
        <v>95</v>
      </c>
      <c r="K3739" s="17"/>
      <c r="L3739" s="7">
        <f t="shared" si="1562"/>
        <v>98</v>
      </c>
      <c r="M3739" s="8">
        <v>1</v>
      </c>
      <c r="N3739" s="8">
        <f t="shared" si="1563"/>
        <v>1</v>
      </c>
      <c r="O3739" s="11" t="s">
        <v>1702</v>
      </c>
      <c r="P3739" s="16" t="str">
        <f t="shared" si="1564"/>
        <v>27-Oct-1909</v>
      </c>
      <c r="R3739" s="16" t="str">
        <f t="shared" si="1565"/>
        <v>x</v>
      </c>
      <c r="S3739" s="16" t="str">
        <f t="shared" si="1565"/>
        <v>x</v>
      </c>
      <c r="U3739" s="46" t="str">
        <f t="shared" si="1559"/>
        <v/>
      </c>
      <c r="V3739" s="46">
        <f t="shared" si="1559"/>
        <v>98</v>
      </c>
      <c r="W3739" s="46" t="str">
        <f t="shared" si="1559"/>
        <v/>
      </c>
      <c r="X3739" s="46" t="str">
        <f t="shared" si="1559"/>
        <v/>
      </c>
    </row>
    <row r="3740" spans="2:26" x14ac:dyDescent="0.25">
      <c r="B3740" s="11" t="str">
        <f t="shared" si="1561"/>
        <v>LAUR-17DEC1909</v>
      </c>
      <c r="C3740" s="11" t="s">
        <v>3260</v>
      </c>
      <c r="D3740" s="11" t="s">
        <v>1906</v>
      </c>
      <c r="E3740" s="39" t="s">
        <v>1850</v>
      </c>
      <c r="F3740" s="11" t="s">
        <v>1700</v>
      </c>
      <c r="G3740" s="39" t="s">
        <v>3850</v>
      </c>
      <c r="H3740" s="7">
        <v>0</v>
      </c>
      <c r="I3740" s="7">
        <v>0</v>
      </c>
      <c r="J3740" s="17">
        <v>12</v>
      </c>
      <c r="K3740" s="17"/>
      <c r="L3740" s="7">
        <f t="shared" si="1562"/>
        <v>12</v>
      </c>
      <c r="M3740" s="8">
        <v>1</v>
      </c>
      <c r="N3740" s="8">
        <f t="shared" si="1563"/>
        <v>1</v>
      </c>
      <c r="O3740" s="11" t="s">
        <v>1702</v>
      </c>
      <c r="P3740" s="16" t="str">
        <f t="shared" si="1564"/>
        <v>17-Dec-1909</v>
      </c>
      <c r="R3740" s="16" t="str">
        <f t="shared" ref="R3740:S3753" si="1566">IF($L3740&gt;0,"x","")</f>
        <v>x</v>
      </c>
      <c r="S3740" s="16" t="str">
        <f t="shared" si="1566"/>
        <v>x</v>
      </c>
      <c r="U3740" s="46" t="str">
        <f t="shared" ref="U3740:X3741" si="1567">IF($O3740=U$5,$L3740,"")</f>
        <v/>
      </c>
      <c r="V3740" s="46">
        <f t="shared" si="1567"/>
        <v>12</v>
      </c>
      <c r="W3740" s="46" t="str">
        <f t="shared" si="1567"/>
        <v/>
      </c>
      <c r="X3740" s="46" t="str">
        <f t="shared" si="1567"/>
        <v/>
      </c>
    </row>
    <row r="3741" spans="2:26" x14ac:dyDescent="0.25">
      <c r="B3741" s="11" t="str">
        <f t="shared" si="1561"/>
        <v>LAUR-20APR1910</v>
      </c>
      <c r="C3741" s="11" t="s">
        <v>3260</v>
      </c>
      <c r="D3741" s="11" t="s">
        <v>1906</v>
      </c>
      <c r="E3741" s="39" t="s">
        <v>5219</v>
      </c>
      <c r="F3741" s="11" t="s">
        <v>1700</v>
      </c>
      <c r="G3741" s="39" t="s">
        <v>5220</v>
      </c>
      <c r="H3741" s="7">
        <v>0</v>
      </c>
      <c r="I3741" s="7">
        <v>0</v>
      </c>
      <c r="J3741" s="17">
        <v>9</v>
      </c>
      <c r="K3741" s="17"/>
      <c r="L3741" s="7">
        <f t="shared" si="1562"/>
        <v>9</v>
      </c>
      <c r="M3741" s="8">
        <v>1</v>
      </c>
      <c r="N3741" s="8">
        <f t="shared" si="1563"/>
        <v>1</v>
      </c>
      <c r="O3741" s="11" t="s">
        <v>1702</v>
      </c>
      <c r="P3741" s="16" t="str">
        <f t="shared" si="1564"/>
        <v>20-Apr-1910</v>
      </c>
      <c r="R3741" s="16" t="str">
        <f t="shared" si="1566"/>
        <v>x</v>
      </c>
      <c r="S3741" s="16" t="str">
        <f t="shared" si="1566"/>
        <v>x</v>
      </c>
      <c r="U3741" s="46" t="str">
        <f t="shared" si="1567"/>
        <v/>
      </c>
      <c r="V3741" s="46">
        <f t="shared" si="1567"/>
        <v>9</v>
      </c>
      <c r="W3741" s="46" t="str">
        <f t="shared" si="1567"/>
        <v/>
      </c>
      <c r="X3741" s="46" t="str">
        <f t="shared" si="1567"/>
        <v/>
      </c>
    </row>
    <row r="3742" spans="2:26" x14ac:dyDescent="0.25">
      <c r="B3742" s="11" t="str">
        <f t="shared" si="1561"/>
        <v>LAUR-10NOV1910</v>
      </c>
      <c r="C3742" s="11" t="s">
        <v>3260</v>
      </c>
      <c r="D3742" s="11" t="s">
        <v>3064</v>
      </c>
      <c r="E3742" s="39" t="s">
        <v>4449</v>
      </c>
      <c r="F3742" s="11" t="s">
        <v>1700</v>
      </c>
      <c r="G3742" s="39" t="s">
        <v>4450</v>
      </c>
      <c r="H3742" s="7">
        <v>0</v>
      </c>
      <c r="I3742" s="7">
        <v>0</v>
      </c>
      <c r="J3742" s="17">
        <v>8</v>
      </c>
      <c r="K3742" s="17"/>
      <c r="L3742" s="7">
        <f t="shared" si="1562"/>
        <v>8</v>
      </c>
      <c r="M3742" s="8">
        <v>1</v>
      </c>
      <c r="N3742" s="8">
        <f t="shared" si="1563"/>
        <v>1</v>
      </c>
      <c r="O3742" s="11" t="s">
        <v>1702</v>
      </c>
      <c r="P3742" s="16" t="str">
        <f t="shared" si="1564"/>
        <v>10-Nov-1910</v>
      </c>
      <c r="R3742" s="16" t="str">
        <f t="shared" si="1566"/>
        <v>x</v>
      </c>
      <c r="S3742" s="16" t="str">
        <f t="shared" si="1566"/>
        <v>x</v>
      </c>
      <c r="U3742" s="46" t="str">
        <f t="shared" ref="U3742:X3748" si="1568">IF($O3742=U$5,$L3742,"")</f>
        <v/>
      </c>
      <c r="V3742" s="46">
        <f t="shared" si="1568"/>
        <v>8</v>
      </c>
      <c r="W3742" s="46" t="str">
        <f t="shared" si="1568"/>
        <v/>
      </c>
      <c r="X3742" s="46" t="str">
        <f t="shared" si="1568"/>
        <v/>
      </c>
    </row>
    <row r="3743" spans="2:26" x14ac:dyDescent="0.25">
      <c r="B3743" s="11" t="str">
        <f t="shared" si="1561"/>
        <v>LAUR-29DEC1910</v>
      </c>
      <c r="C3743" s="11" t="s">
        <v>3260</v>
      </c>
      <c r="D3743" s="11" t="s">
        <v>1906</v>
      </c>
      <c r="E3743" s="39" t="s">
        <v>5138</v>
      </c>
      <c r="F3743" s="11" t="s">
        <v>1700</v>
      </c>
      <c r="G3743" s="39" t="s">
        <v>5139</v>
      </c>
      <c r="H3743" s="7">
        <v>0</v>
      </c>
      <c r="I3743" s="7">
        <v>0</v>
      </c>
      <c r="J3743" s="17">
        <v>21</v>
      </c>
      <c r="K3743" s="17"/>
      <c r="L3743" s="7">
        <f t="shared" si="1562"/>
        <v>21</v>
      </c>
      <c r="M3743" s="8">
        <v>1</v>
      </c>
      <c r="N3743" s="8">
        <f t="shared" si="1563"/>
        <v>1</v>
      </c>
      <c r="O3743" s="11" t="s">
        <v>1702</v>
      </c>
      <c r="P3743" s="16" t="str">
        <f t="shared" si="1564"/>
        <v>29-Dec-1910</v>
      </c>
      <c r="R3743" s="16" t="str">
        <f t="shared" si="1566"/>
        <v>x</v>
      </c>
      <c r="S3743" s="16" t="str">
        <f t="shared" si="1566"/>
        <v>x</v>
      </c>
      <c r="U3743" s="46" t="str">
        <f t="shared" si="1568"/>
        <v/>
      </c>
      <c r="V3743" s="46">
        <f t="shared" si="1568"/>
        <v>21</v>
      </c>
      <c r="W3743" s="46" t="str">
        <f t="shared" si="1568"/>
        <v/>
      </c>
      <c r="X3743" s="46" t="str">
        <f t="shared" si="1568"/>
        <v/>
      </c>
    </row>
    <row r="3744" spans="2:26" x14ac:dyDescent="0.25">
      <c r="B3744" s="11" t="str">
        <f t="shared" si="1561"/>
        <v>LAUR-02MAY1911</v>
      </c>
      <c r="C3744" s="11" t="s">
        <v>3260</v>
      </c>
      <c r="D3744" s="11" t="s">
        <v>1906</v>
      </c>
      <c r="E3744" s="39" t="s">
        <v>1876</v>
      </c>
      <c r="F3744" s="11" t="s">
        <v>1700</v>
      </c>
      <c r="G3744" s="39" t="s">
        <v>11174</v>
      </c>
      <c r="H3744" s="7">
        <v>0</v>
      </c>
      <c r="I3744" s="7">
        <v>0</v>
      </c>
      <c r="J3744" s="17">
        <v>31</v>
      </c>
      <c r="K3744" s="17"/>
      <c r="L3744" s="7">
        <f t="shared" si="1562"/>
        <v>31</v>
      </c>
      <c r="M3744" s="8">
        <v>1</v>
      </c>
      <c r="N3744" s="8">
        <f t="shared" si="1563"/>
        <v>1</v>
      </c>
      <c r="O3744" s="11" t="s">
        <v>1702</v>
      </c>
      <c r="P3744" s="16" t="str">
        <f t="shared" si="1564"/>
        <v>02-May-1911</v>
      </c>
      <c r="R3744" s="16" t="str">
        <f t="shared" si="1566"/>
        <v>x</v>
      </c>
      <c r="S3744" s="16" t="str">
        <f t="shared" si="1566"/>
        <v>x</v>
      </c>
      <c r="U3744" s="46" t="str">
        <f t="shared" si="1568"/>
        <v/>
      </c>
      <c r="V3744" s="46">
        <f t="shared" si="1568"/>
        <v>31</v>
      </c>
      <c r="W3744" s="46" t="str">
        <f t="shared" si="1568"/>
        <v/>
      </c>
      <c r="X3744" s="46" t="str">
        <f t="shared" si="1568"/>
        <v/>
      </c>
    </row>
    <row r="3745" spans="2:26" x14ac:dyDescent="0.25">
      <c r="B3745" s="11" t="str">
        <f t="shared" si="1561"/>
        <v>LAUR-21JUN1911</v>
      </c>
      <c r="C3745" s="11" t="s">
        <v>3260</v>
      </c>
      <c r="D3745" s="11" t="s">
        <v>1906</v>
      </c>
      <c r="E3745" s="39" t="s">
        <v>4226</v>
      </c>
      <c r="F3745" s="11" t="s">
        <v>1700</v>
      </c>
      <c r="G3745" s="39" t="s">
        <v>2474</v>
      </c>
      <c r="H3745" s="7">
        <v>0</v>
      </c>
      <c r="I3745" s="7">
        <v>2</v>
      </c>
      <c r="J3745" s="17">
        <v>29</v>
      </c>
      <c r="K3745" s="17"/>
      <c r="L3745" s="7">
        <f t="shared" si="1562"/>
        <v>31</v>
      </c>
      <c r="M3745" s="8">
        <v>1</v>
      </c>
      <c r="N3745" s="8">
        <f t="shared" si="1563"/>
        <v>1</v>
      </c>
      <c r="O3745" s="11" t="s">
        <v>1702</v>
      </c>
      <c r="P3745" s="16" t="str">
        <f t="shared" si="1564"/>
        <v>21-Jun-1911</v>
      </c>
      <c r="R3745" s="16" t="str">
        <f t="shared" si="1566"/>
        <v>x</v>
      </c>
      <c r="S3745" s="16" t="str">
        <f t="shared" si="1566"/>
        <v>x</v>
      </c>
      <c r="U3745" s="46" t="str">
        <f t="shared" si="1568"/>
        <v/>
      </c>
      <c r="V3745" s="46">
        <f t="shared" si="1568"/>
        <v>31</v>
      </c>
      <c r="W3745" s="46" t="str">
        <f t="shared" si="1568"/>
        <v/>
      </c>
      <c r="X3745" s="46" t="str">
        <f t="shared" si="1568"/>
        <v/>
      </c>
    </row>
    <row r="3746" spans="2:26" x14ac:dyDescent="0.25">
      <c r="B3746" s="11" t="str">
        <f t="shared" si="1561"/>
        <v>LAUR-03APR1912</v>
      </c>
      <c r="C3746" s="11" t="s">
        <v>3260</v>
      </c>
      <c r="D3746" s="11" t="s">
        <v>1906</v>
      </c>
      <c r="E3746" s="39" t="s">
        <v>3312</v>
      </c>
      <c r="F3746" s="11" t="s">
        <v>1700</v>
      </c>
      <c r="G3746" s="39" t="s">
        <v>2513</v>
      </c>
      <c r="H3746" s="7">
        <v>0</v>
      </c>
      <c r="I3746" s="7">
        <v>0</v>
      </c>
      <c r="J3746" s="17">
        <v>74</v>
      </c>
      <c r="K3746" s="17"/>
      <c r="L3746" s="7">
        <f t="shared" si="1562"/>
        <v>74</v>
      </c>
      <c r="M3746" s="8">
        <v>1</v>
      </c>
      <c r="N3746" s="8">
        <f t="shared" si="1563"/>
        <v>1</v>
      </c>
      <c r="O3746" s="11" t="s">
        <v>1702</v>
      </c>
      <c r="P3746" s="16" t="str">
        <f t="shared" si="1564"/>
        <v>03-Apr-1912</v>
      </c>
      <c r="R3746" s="16" t="str">
        <f t="shared" si="1566"/>
        <v>x</v>
      </c>
      <c r="S3746" s="16" t="str">
        <f t="shared" si="1566"/>
        <v>x</v>
      </c>
      <c r="U3746" s="46" t="str">
        <f t="shared" si="1568"/>
        <v/>
      </c>
      <c r="V3746" s="46">
        <f t="shared" si="1568"/>
        <v>74</v>
      </c>
      <c r="W3746" s="46" t="str">
        <f t="shared" si="1568"/>
        <v/>
      </c>
      <c r="X3746" s="46" t="str">
        <f t="shared" si="1568"/>
        <v/>
      </c>
    </row>
    <row r="3747" spans="2:26" x14ac:dyDescent="0.25">
      <c r="B3747" s="11" t="str">
        <f>CONCATENATE("LAUR","-",LEFT(P3747,2),UPPER(MID(P3747,4,3)),RIGHT(P3747,4))</f>
        <v>LAUR-31MAY1912</v>
      </c>
      <c r="C3747" s="11" t="s">
        <v>3260</v>
      </c>
      <c r="D3747" s="11" t="s">
        <v>1906</v>
      </c>
      <c r="E3747" s="39" t="s">
        <v>11436</v>
      </c>
      <c r="F3747" s="11" t="s">
        <v>1700</v>
      </c>
      <c r="G3747" s="39" t="s">
        <v>849</v>
      </c>
      <c r="H3747" s="7">
        <v>0</v>
      </c>
      <c r="I3747" s="7">
        <v>0</v>
      </c>
      <c r="J3747" s="17">
        <v>9</v>
      </c>
      <c r="K3747" s="17"/>
      <c r="L3747" s="7">
        <f>SUM(H3747:K3747)</f>
        <v>9</v>
      </c>
      <c r="M3747" s="8">
        <v>1</v>
      </c>
      <c r="N3747" s="8">
        <f>IF(L3747&gt;0,1,"")</f>
        <v>1</v>
      </c>
      <c r="O3747" s="11" t="s">
        <v>1702</v>
      </c>
      <c r="P3747" s="16" t="str">
        <f>IF(LEN(G3747)=10,CONCATENATE("0",G3747),G3747)</f>
        <v>31-May-1912</v>
      </c>
      <c r="R3747" s="16" t="str">
        <f t="shared" si="1566"/>
        <v>x</v>
      </c>
      <c r="S3747" s="16" t="str">
        <f t="shared" si="1566"/>
        <v>x</v>
      </c>
      <c r="U3747" s="46" t="str">
        <f t="shared" si="1568"/>
        <v/>
      </c>
      <c r="V3747" s="46">
        <f t="shared" si="1568"/>
        <v>9</v>
      </c>
      <c r="W3747" s="46" t="str">
        <f t="shared" si="1568"/>
        <v/>
      </c>
      <c r="X3747" s="46" t="str">
        <f t="shared" si="1568"/>
        <v/>
      </c>
    </row>
    <row r="3748" spans="2:26" x14ac:dyDescent="0.25">
      <c r="B3748" s="11" t="str">
        <f t="shared" si="1561"/>
        <v>LAUR-18SEP1912</v>
      </c>
      <c r="C3748" s="11" t="s">
        <v>3260</v>
      </c>
      <c r="D3748" s="11" t="s">
        <v>1906</v>
      </c>
      <c r="E3748" s="39" t="s">
        <v>3156</v>
      </c>
      <c r="F3748" s="11" t="s">
        <v>1700</v>
      </c>
      <c r="G3748" s="39" t="s">
        <v>2520</v>
      </c>
      <c r="H3748" s="7">
        <v>4</v>
      </c>
      <c r="I3748" s="7">
        <v>0</v>
      </c>
      <c r="J3748" s="17">
        <f>63+1</f>
        <v>64</v>
      </c>
      <c r="K3748" s="17"/>
      <c r="L3748" s="7">
        <f t="shared" si="1562"/>
        <v>68</v>
      </c>
      <c r="M3748" s="8">
        <v>1</v>
      </c>
      <c r="N3748" s="8">
        <f t="shared" si="1563"/>
        <v>1</v>
      </c>
      <c r="O3748" s="11" t="s">
        <v>1702</v>
      </c>
      <c r="P3748" s="16" t="str">
        <f t="shared" si="1564"/>
        <v>18-Sep-1912</v>
      </c>
      <c r="R3748" s="16" t="str">
        <f t="shared" si="1566"/>
        <v>x</v>
      </c>
      <c r="S3748" s="16" t="str">
        <f t="shared" si="1566"/>
        <v>x</v>
      </c>
      <c r="U3748" s="46" t="str">
        <f t="shared" si="1568"/>
        <v/>
      </c>
      <c r="V3748" s="46">
        <f t="shared" si="1568"/>
        <v>68</v>
      </c>
      <c r="W3748" s="46" t="str">
        <f t="shared" si="1568"/>
        <v/>
      </c>
      <c r="X3748" s="46" t="str">
        <f t="shared" si="1568"/>
        <v/>
      </c>
    </row>
    <row r="3749" spans="2:26" x14ac:dyDescent="0.25">
      <c r="B3749" s="11" t="str">
        <f t="shared" si="1561"/>
        <v>LAUR-07NOV1912</v>
      </c>
      <c r="C3749" s="11" t="s">
        <v>3260</v>
      </c>
      <c r="D3749" s="11" t="s">
        <v>1906</v>
      </c>
      <c r="E3749" s="39" t="s">
        <v>1911</v>
      </c>
      <c r="F3749" s="11" t="s">
        <v>1700</v>
      </c>
      <c r="G3749" s="39" t="s">
        <v>93</v>
      </c>
      <c r="I3749" s="7">
        <v>0</v>
      </c>
      <c r="J3749" s="17">
        <v>127</v>
      </c>
      <c r="K3749" s="17"/>
      <c r="L3749" s="7">
        <f t="shared" si="1562"/>
        <v>127</v>
      </c>
      <c r="M3749" s="8">
        <v>1</v>
      </c>
      <c r="N3749" s="8">
        <f t="shared" si="1563"/>
        <v>1</v>
      </c>
      <c r="O3749" s="11" t="s">
        <v>1702</v>
      </c>
      <c r="P3749" s="16" t="str">
        <f t="shared" si="1564"/>
        <v>07-Nov-1912</v>
      </c>
      <c r="R3749" s="16" t="str">
        <f t="shared" si="1566"/>
        <v>x</v>
      </c>
      <c r="S3749" s="16" t="str">
        <f t="shared" si="1566"/>
        <v>x</v>
      </c>
      <c r="U3749" s="46" t="str">
        <f t="shared" ref="U3749:X3750" si="1569">IF($O3749=U$5,$L3749,"")</f>
        <v/>
      </c>
      <c r="V3749" s="46">
        <f t="shared" si="1569"/>
        <v>127</v>
      </c>
      <c r="W3749" s="46" t="str">
        <f t="shared" si="1569"/>
        <v/>
      </c>
      <c r="X3749" s="46" t="str">
        <f t="shared" si="1569"/>
        <v/>
      </c>
    </row>
    <row r="3750" spans="2:26" x14ac:dyDescent="0.25">
      <c r="B3750" s="11" t="str">
        <f t="shared" si="1561"/>
        <v>LAUR-09MAY1913</v>
      </c>
      <c r="C3750" s="11" t="s">
        <v>3260</v>
      </c>
      <c r="D3750" s="11" t="s">
        <v>1906</v>
      </c>
      <c r="E3750" s="39" t="s">
        <v>2781</v>
      </c>
      <c r="F3750" s="11" t="s">
        <v>1700</v>
      </c>
      <c r="G3750" s="39" t="s">
        <v>4835</v>
      </c>
      <c r="H3750" s="7">
        <v>0</v>
      </c>
      <c r="I3750" s="7">
        <v>0</v>
      </c>
      <c r="J3750" s="17">
        <v>59</v>
      </c>
      <c r="K3750" s="17"/>
      <c r="L3750" s="7">
        <f t="shared" si="1562"/>
        <v>59</v>
      </c>
      <c r="M3750" s="8">
        <v>1</v>
      </c>
      <c r="N3750" s="8">
        <f t="shared" si="1563"/>
        <v>1</v>
      </c>
      <c r="O3750" s="11" t="s">
        <v>1702</v>
      </c>
      <c r="P3750" s="16" t="str">
        <f t="shared" si="1564"/>
        <v>09-May-1913</v>
      </c>
      <c r="R3750" s="16" t="str">
        <f t="shared" si="1566"/>
        <v>x</v>
      </c>
      <c r="S3750" s="16" t="str">
        <f t="shared" si="1566"/>
        <v>x</v>
      </c>
      <c r="U3750" s="46" t="str">
        <f t="shared" si="1569"/>
        <v/>
      </c>
      <c r="V3750" s="46">
        <f t="shared" si="1569"/>
        <v>59</v>
      </c>
      <c r="W3750" s="46" t="str">
        <f t="shared" si="1569"/>
        <v/>
      </c>
      <c r="X3750" s="46" t="str">
        <f t="shared" si="1569"/>
        <v/>
      </c>
    </row>
    <row r="3751" spans="2:26" x14ac:dyDescent="0.25">
      <c r="B3751" s="11" t="str">
        <f>CONCATENATE("LAUR","-",LEFT(P3751,2),UPPER(MID(P3751,4,3)),RIGHT(P3751,4))</f>
        <v>LAUR-07NOV1913</v>
      </c>
      <c r="C3751" s="11" t="s">
        <v>3260</v>
      </c>
      <c r="D3751" s="11" t="s">
        <v>1906</v>
      </c>
      <c r="E3751" s="39" t="s">
        <v>5234</v>
      </c>
      <c r="F3751" s="11" t="s">
        <v>1700</v>
      </c>
      <c r="G3751" s="39" t="s">
        <v>11179</v>
      </c>
      <c r="I3751" s="7">
        <v>0</v>
      </c>
      <c r="J3751" s="17">
        <f>85+1</f>
        <v>86</v>
      </c>
      <c r="K3751" s="17"/>
      <c r="L3751" s="7">
        <f>SUM(H3751:K3751)</f>
        <v>86</v>
      </c>
      <c r="M3751" s="8">
        <v>1</v>
      </c>
      <c r="N3751" s="8">
        <f>IF(L3751&gt;0,1,"")</f>
        <v>1</v>
      </c>
      <c r="O3751" s="11" t="s">
        <v>1702</v>
      </c>
      <c r="P3751" s="16" t="str">
        <f>IF(LEN(G3751)=10,CONCATENATE("0",G3751),G3751)</f>
        <v>07-Nov-1913</v>
      </c>
      <c r="R3751" s="16" t="str">
        <f t="shared" si="1566"/>
        <v>x</v>
      </c>
      <c r="S3751" s="16" t="str">
        <f t="shared" si="1566"/>
        <v>x</v>
      </c>
      <c r="U3751" s="46" t="str">
        <f t="shared" ref="U3751:X3755" si="1570">IF($O3751=U$5,$L3751,"")</f>
        <v/>
      </c>
      <c r="V3751" s="46">
        <f t="shared" si="1570"/>
        <v>86</v>
      </c>
      <c r="W3751" s="46" t="str">
        <f t="shared" si="1570"/>
        <v/>
      </c>
      <c r="X3751" s="46" t="str">
        <f t="shared" si="1570"/>
        <v/>
      </c>
    </row>
    <row r="3752" spans="2:26" x14ac:dyDescent="0.25">
      <c r="B3752" s="11" t="str">
        <f>CONCATENATE("LAUR","-",LEFT(P3752,2),UPPER(MID(P3752,4,3)),RIGHT(P3752,4))</f>
        <v>LAUR-26DEC1913</v>
      </c>
      <c r="C3752" s="11" t="s">
        <v>3260</v>
      </c>
      <c r="D3752" s="11" t="s">
        <v>3064</v>
      </c>
      <c r="E3752" s="39" t="s">
        <v>1538</v>
      </c>
      <c r="F3752" s="11" t="s">
        <v>1700</v>
      </c>
      <c r="G3752" s="39" t="s">
        <v>3289</v>
      </c>
      <c r="I3752" s="7">
        <v>0</v>
      </c>
      <c r="J3752" s="17">
        <v>1</v>
      </c>
      <c r="K3752" s="17"/>
      <c r="L3752" s="7">
        <f>SUM(H3752:K3752)</f>
        <v>1</v>
      </c>
      <c r="M3752" s="8">
        <v>1</v>
      </c>
      <c r="N3752" s="8">
        <f>IF(L3752&gt;0,1,"")</f>
        <v>1</v>
      </c>
      <c r="O3752" s="11" t="s">
        <v>1702</v>
      </c>
      <c r="P3752" s="16" t="str">
        <f>IF(LEN(G3752)=10,CONCATENATE("0",G3752),G3752)</f>
        <v>26-Dec-1913</v>
      </c>
      <c r="R3752" s="16" t="str">
        <f t="shared" si="1566"/>
        <v>x</v>
      </c>
      <c r="S3752" s="16" t="str">
        <f t="shared" si="1566"/>
        <v>x</v>
      </c>
      <c r="U3752" s="46" t="str">
        <f t="shared" si="1570"/>
        <v/>
      </c>
      <c r="V3752" s="46">
        <f t="shared" si="1570"/>
        <v>1</v>
      </c>
      <c r="W3752" s="46" t="str">
        <f t="shared" si="1570"/>
        <v/>
      </c>
      <c r="X3752" s="46" t="str">
        <f t="shared" si="1570"/>
        <v/>
      </c>
    </row>
    <row r="3753" spans="2:26" x14ac:dyDescent="0.25">
      <c r="B3753" s="11" t="str">
        <f t="shared" si="1561"/>
        <v>LAUR-26DEC1913</v>
      </c>
      <c r="C3753" s="11" t="s">
        <v>3260</v>
      </c>
      <c r="D3753" s="11" t="s">
        <v>1906</v>
      </c>
      <c r="E3753" s="39" t="s">
        <v>3290</v>
      </c>
      <c r="F3753" s="11" t="s">
        <v>1700</v>
      </c>
      <c r="G3753" s="39" t="s">
        <v>3289</v>
      </c>
      <c r="I3753" s="7">
        <v>1</v>
      </c>
      <c r="J3753" s="17">
        <v>65</v>
      </c>
      <c r="K3753" s="17"/>
      <c r="L3753" s="7">
        <f t="shared" si="1562"/>
        <v>66</v>
      </c>
      <c r="M3753" s="8">
        <v>1</v>
      </c>
      <c r="N3753" s="8">
        <f t="shared" si="1563"/>
        <v>1</v>
      </c>
      <c r="O3753" s="11" t="s">
        <v>1702</v>
      </c>
      <c r="P3753" s="16" t="str">
        <f t="shared" si="1564"/>
        <v>26-Dec-1913</v>
      </c>
      <c r="R3753" s="16" t="str">
        <f t="shared" si="1566"/>
        <v>x</v>
      </c>
      <c r="S3753" s="16" t="str">
        <f t="shared" si="1566"/>
        <v>x</v>
      </c>
      <c r="U3753" s="46" t="str">
        <f t="shared" si="1570"/>
        <v/>
      </c>
      <c r="V3753" s="46">
        <f t="shared" si="1570"/>
        <v>66</v>
      </c>
      <c r="W3753" s="46" t="str">
        <f t="shared" si="1570"/>
        <v/>
      </c>
      <c r="X3753" s="46" t="str">
        <f t="shared" si="1570"/>
        <v/>
      </c>
    </row>
    <row r="3754" spans="2:26" x14ac:dyDescent="0.25">
      <c r="N3754" s="8" t="str">
        <f>IF(R3754="x",1,"")</f>
        <v/>
      </c>
      <c r="U3754" s="46" t="str">
        <f t="shared" si="1570"/>
        <v/>
      </c>
      <c r="V3754" s="46" t="str">
        <f t="shared" si="1570"/>
        <v/>
      </c>
      <c r="W3754" s="46" t="str">
        <f t="shared" si="1570"/>
        <v/>
      </c>
      <c r="X3754" s="46" t="str">
        <f t="shared" si="1570"/>
        <v/>
      </c>
    </row>
    <row r="3755" spans="2:26" s="18" customFormat="1" x14ac:dyDescent="0.25">
      <c r="E3755" s="40"/>
      <c r="G3755" s="40"/>
      <c r="H3755" s="7">
        <f t="shared" ref="H3755:N3755" si="1571">SUM(H3737:H3754)</f>
        <v>4</v>
      </c>
      <c r="I3755" s="7">
        <f t="shared" si="1571"/>
        <v>7</v>
      </c>
      <c r="J3755" s="7">
        <f>SUM(J3737:J3754)</f>
        <v>767</v>
      </c>
      <c r="K3755" s="7">
        <f t="shared" si="1571"/>
        <v>0</v>
      </c>
      <c r="L3755" s="7">
        <f t="shared" si="1571"/>
        <v>778</v>
      </c>
      <c r="M3755" s="7">
        <f t="shared" si="1571"/>
        <v>17</v>
      </c>
      <c r="N3755" s="7">
        <f t="shared" si="1571"/>
        <v>17</v>
      </c>
      <c r="P3755" s="13"/>
      <c r="Q3755" s="13"/>
      <c r="R3755" s="16"/>
      <c r="S3755" s="13"/>
      <c r="T3755" s="15"/>
      <c r="U3755" s="46" t="str">
        <f t="shared" si="1570"/>
        <v/>
      </c>
      <c r="V3755" s="46" t="str">
        <f t="shared" si="1570"/>
        <v/>
      </c>
      <c r="W3755" s="46" t="str">
        <f t="shared" si="1570"/>
        <v/>
      </c>
      <c r="X3755" s="46" t="str">
        <f t="shared" si="1570"/>
        <v/>
      </c>
      <c r="Z3755" s="11"/>
    </row>
    <row r="3756" spans="2:26" s="18" customFormat="1" x14ac:dyDescent="0.25">
      <c r="E3756" s="40"/>
      <c r="G3756" s="40"/>
      <c r="H3756" s="7"/>
      <c r="I3756" s="7"/>
      <c r="J3756" s="7"/>
      <c r="K3756" s="7"/>
      <c r="L3756" s="7"/>
      <c r="M3756" s="8"/>
      <c r="N3756" s="8" t="str">
        <f>IF(R3756="x",1,"")</f>
        <v/>
      </c>
      <c r="P3756" s="13"/>
      <c r="Q3756" s="13"/>
      <c r="R3756" s="13"/>
      <c r="S3756" s="13"/>
      <c r="T3756" s="15"/>
      <c r="U3756" s="46" t="str">
        <f t="shared" ref="U3756:X3770" si="1572">IF($O3756=U$5,$L3756,"")</f>
        <v/>
      </c>
      <c r="V3756" s="46" t="str">
        <f t="shared" si="1572"/>
        <v/>
      </c>
      <c r="W3756" s="46" t="str">
        <f t="shared" si="1572"/>
        <v/>
      </c>
      <c r="X3756" s="46" t="str">
        <f t="shared" si="1572"/>
        <v/>
      </c>
      <c r="Z3756" s="11"/>
    </row>
    <row r="3757" spans="2:26" s="18" customFormat="1" x14ac:dyDescent="0.25">
      <c r="E3757" s="40"/>
      <c r="G3757" s="40"/>
      <c r="H3757" s="7"/>
      <c r="I3757" s="7"/>
      <c r="J3757" s="7"/>
      <c r="K3757" s="7"/>
      <c r="L3757" s="7"/>
      <c r="M3757" s="8"/>
      <c r="N3757" s="8" t="str">
        <f>IF(R3757="x",1,"")</f>
        <v/>
      </c>
      <c r="P3757" s="13"/>
      <c r="Q3757" s="13"/>
      <c r="R3757" s="13"/>
      <c r="S3757" s="13"/>
      <c r="T3757" s="15"/>
      <c r="U3757" s="46" t="str">
        <f t="shared" si="1572"/>
        <v/>
      </c>
      <c r="V3757" s="46" t="str">
        <f t="shared" si="1572"/>
        <v/>
      </c>
      <c r="W3757" s="46" t="str">
        <f t="shared" si="1572"/>
        <v/>
      </c>
      <c r="X3757" s="46" t="str">
        <f t="shared" si="1572"/>
        <v/>
      </c>
      <c r="Z3757" s="11"/>
    </row>
    <row r="3758" spans="2:26" x14ac:dyDescent="0.25">
      <c r="B3758" s="11" t="str">
        <f>CONCATENATE("LRNT","-",LEFT(P3758,2),UPPER(MID(P3758,4,3)),RIGHT(P3758,4))</f>
        <v>LRNT-20NOV1899</v>
      </c>
      <c r="C3758" s="11" t="s">
        <v>5140</v>
      </c>
      <c r="D3758" s="11" t="s">
        <v>2097</v>
      </c>
      <c r="E3758" s="39" t="s">
        <v>502</v>
      </c>
      <c r="F3758" s="11" t="s">
        <v>2813</v>
      </c>
      <c r="G3758" s="39" t="s">
        <v>5141</v>
      </c>
      <c r="J3758" s="17">
        <v>3</v>
      </c>
      <c r="K3758" s="17"/>
      <c r="L3758" s="7">
        <f>SUM(H3758:K3758)</f>
        <v>3</v>
      </c>
      <c r="M3758" s="8">
        <v>1</v>
      </c>
      <c r="N3758" s="8">
        <f>IF(L3758&gt;0,1,"")</f>
        <v>1</v>
      </c>
      <c r="O3758" s="11" t="s">
        <v>1702</v>
      </c>
      <c r="P3758" s="16" t="str">
        <f>IF(LEN(G3758)=10,CONCATENATE("0",G3758),G3758)</f>
        <v>20-Nov-1899</v>
      </c>
      <c r="R3758" s="16" t="str">
        <f>IF($L3758&gt;0,"x","")</f>
        <v>x</v>
      </c>
      <c r="S3758" s="16" t="str">
        <f>IF($L3758&gt;0,"x","")</f>
        <v>x</v>
      </c>
      <c r="U3758" s="46" t="str">
        <f t="shared" si="1572"/>
        <v/>
      </c>
      <c r="V3758" s="46">
        <f t="shared" si="1572"/>
        <v>3</v>
      </c>
      <c r="W3758" s="46" t="str">
        <f t="shared" si="1572"/>
        <v/>
      </c>
      <c r="X3758" s="46" t="str">
        <f t="shared" si="1572"/>
        <v/>
      </c>
    </row>
    <row r="3759" spans="2:26" x14ac:dyDescent="0.25">
      <c r="N3759" s="8" t="str">
        <f>IF(R3759="x",1,"")</f>
        <v/>
      </c>
      <c r="U3759" s="46" t="str">
        <f t="shared" si="1572"/>
        <v/>
      </c>
      <c r="V3759" s="46" t="str">
        <f t="shared" si="1572"/>
        <v/>
      </c>
      <c r="W3759" s="46" t="str">
        <f t="shared" si="1572"/>
        <v/>
      </c>
      <c r="X3759" s="46" t="str">
        <f t="shared" si="1572"/>
        <v/>
      </c>
    </row>
    <row r="3760" spans="2:26" s="18" customFormat="1" x14ac:dyDescent="0.25">
      <c r="E3760" s="40"/>
      <c r="G3760" s="40"/>
      <c r="H3760" s="7">
        <f t="shared" ref="H3760:N3760" si="1573">SUM(H3758:H3759)</f>
        <v>0</v>
      </c>
      <c r="I3760" s="7">
        <f t="shared" si="1573"/>
        <v>0</v>
      </c>
      <c r="J3760" s="7">
        <f>SUM(J3758:J3759)</f>
        <v>3</v>
      </c>
      <c r="K3760" s="7">
        <f t="shared" si="1573"/>
        <v>0</v>
      </c>
      <c r="L3760" s="7">
        <f t="shared" si="1573"/>
        <v>3</v>
      </c>
      <c r="M3760" s="7">
        <f t="shared" si="1573"/>
        <v>1</v>
      </c>
      <c r="N3760" s="7">
        <f t="shared" si="1573"/>
        <v>1</v>
      </c>
      <c r="P3760" s="13"/>
      <c r="Q3760" s="13"/>
      <c r="R3760" s="16"/>
      <c r="S3760" s="13"/>
      <c r="T3760" s="15"/>
      <c r="U3760" s="46" t="str">
        <f t="shared" si="1572"/>
        <v/>
      </c>
      <c r="V3760" s="46" t="str">
        <f t="shared" si="1572"/>
        <v/>
      </c>
      <c r="W3760" s="46" t="str">
        <f t="shared" si="1572"/>
        <v/>
      </c>
      <c r="X3760" s="46" t="str">
        <f t="shared" si="1572"/>
        <v/>
      </c>
      <c r="Z3760" s="11"/>
    </row>
    <row r="3761" spans="2:26" s="18" customFormat="1" x14ac:dyDescent="0.25">
      <c r="E3761" s="40"/>
      <c r="G3761" s="40"/>
      <c r="H3761" s="7"/>
      <c r="I3761" s="7"/>
      <c r="J3761" s="7"/>
      <c r="K3761" s="7"/>
      <c r="L3761" s="7"/>
      <c r="M3761" s="8"/>
      <c r="N3761" s="8" t="str">
        <f>IF(R3761="x",1,"")</f>
        <v/>
      </c>
      <c r="P3761" s="13"/>
      <c r="Q3761" s="13"/>
      <c r="R3761" s="13"/>
      <c r="S3761" s="13"/>
      <c r="T3761" s="15"/>
      <c r="U3761" s="46" t="str">
        <f t="shared" si="1572"/>
        <v/>
      </c>
      <c r="V3761" s="46" t="str">
        <f t="shared" si="1572"/>
        <v/>
      </c>
      <c r="W3761" s="46" t="str">
        <f t="shared" si="1572"/>
        <v/>
      </c>
      <c r="X3761" s="46" t="str">
        <f t="shared" si="1572"/>
        <v/>
      </c>
      <c r="Z3761" s="11"/>
    </row>
    <row r="3762" spans="2:26" s="18" customFormat="1" x14ac:dyDescent="0.25">
      <c r="E3762" s="40"/>
      <c r="G3762" s="40"/>
      <c r="H3762" s="7"/>
      <c r="I3762" s="7"/>
      <c r="J3762" s="7"/>
      <c r="K3762" s="7"/>
      <c r="L3762" s="7"/>
      <c r="M3762" s="8"/>
      <c r="N3762" s="8" t="str">
        <f>IF(R3762="x",1,"")</f>
        <v/>
      </c>
      <c r="P3762" s="13"/>
      <c r="Q3762" s="13"/>
      <c r="R3762" s="13"/>
      <c r="S3762" s="13"/>
      <c r="T3762" s="15"/>
      <c r="U3762" s="46" t="str">
        <f t="shared" si="1572"/>
        <v/>
      </c>
      <c r="V3762" s="46" t="str">
        <f t="shared" si="1572"/>
        <v/>
      </c>
      <c r="W3762" s="46" t="str">
        <f t="shared" si="1572"/>
        <v/>
      </c>
      <c r="X3762" s="46" t="str">
        <f t="shared" si="1572"/>
        <v/>
      </c>
      <c r="Z3762" s="11"/>
    </row>
    <row r="3763" spans="2:26" x14ac:dyDescent="0.25">
      <c r="B3763" s="11" t="str">
        <f>CONCATENATE("LRTC","-",LEFT(P3763,2),UPPER(MID(P3763,4,3)),RIGHT(P3763,4))</f>
        <v>LRTC-14JUL1912</v>
      </c>
      <c r="C3763" s="11" t="s">
        <v>5508</v>
      </c>
      <c r="D3763" s="11" t="s">
        <v>2097</v>
      </c>
      <c r="E3763" s="39" t="s">
        <v>2769</v>
      </c>
      <c r="F3763" s="11" t="s">
        <v>2813</v>
      </c>
      <c r="G3763" s="39" t="s">
        <v>5509</v>
      </c>
      <c r="H3763" s="7">
        <v>0</v>
      </c>
      <c r="I3763" s="7">
        <v>0</v>
      </c>
      <c r="J3763" s="17">
        <v>1</v>
      </c>
      <c r="K3763" s="17"/>
      <c r="L3763" s="7">
        <f>SUM(H3763:K3763)</f>
        <v>1</v>
      </c>
      <c r="M3763" s="8">
        <v>1</v>
      </c>
      <c r="N3763" s="8">
        <f>IF(L3763&gt;0,1,"")</f>
        <v>1</v>
      </c>
      <c r="O3763" s="11" t="s">
        <v>1702</v>
      </c>
      <c r="P3763" s="16" t="str">
        <f>IF(LEN(G3763)=10,CONCATENATE("0",G3763),G3763)</f>
        <v>14-Jul-1912</v>
      </c>
      <c r="R3763" s="16" t="str">
        <f>IF($L3763&gt;0,"x","")</f>
        <v>x</v>
      </c>
      <c r="S3763" s="16" t="str">
        <f>IF($L3763&gt;0,"x","")</f>
        <v>x</v>
      </c>
      <c r="U3763" s="46" t="str">
        <f t="shared" si="1572"/>
        <v/>
      </c>
      <c r="V3763" s="46">
        <f t="shared" si="1572"/>
        <v>1</v>
      </c>
      <c r="W3763" s="46" t="str">
        <f t="shared" si="1572"/>
        <v/>
      </c>
      <c r="X3763" s="46" t="str">
        <f t="shared" si="1572"/>
        <v/>
      </c>
    </row>
    <row r="3764" spans="2:26" x14ac:dyDescent="0.25">
      <c r="N3764" s="8" t="str">
        <f>IF(R3764="x",1,"")</f>
        <v/>
      </c>
      <c r="U3764" s="46" t="str">
        <f t="shared" si="1572"/>
        <v/>
      </c>
      <c r="V3764" s="46" t="str">
        <f t="shared" si="1572"/>
        <v/>
      </c>
      <c r="W3764" s="46" t="str">
        <f t="shared" si="1572"/>
        <v/>
      </c>
      <c r="X3764" s="46" t="str">
        <f t="shared" si="1572"/>
        <v/>
      </c>
    </row>
    <row r="3765" spans="2:26" s="18" customFormat="1" x14ac:dyDescent="0.25">
      <c r="E3765" s="40"/>
      <c r="G3765" s="40"/>
      <c r="H3765" s="7">
        <f t="shared" ref="H3765:N3765" si="1574">SUM(H3763:H3764)</f>
        <v>0</v>
      </c>
      <c r="I3765" s="7">
        <f t="shared" si="1574"/>
        <v>0</v>
      </c>
      <c r="J3765" s="7">
        <f>SUM(J3763:J3764)</f>
        <v>1</v>
      </c>
      <c r="K3765" s="7">
        <f t="shared" si="1574"/>
        <v>0</v>
      </c>
      <c r="L3765" s="7">
        <f t="shared" si="1574"/>
        <v>1</v>
      </c>
      <c r="M3765" s="7">
        <f t="shared" si="1574"/>
        <v>1</v>
      </c>
      <c r="N3765" s="7">
        <f t="shared" si="1574"/>
        <v>1</v>
      </c>
      <c r="P3765" s="13"/>
      <c r="Q3765" s="13"/>
      <c r="R3765" s="16"/>
      <c r="S3765" s="13"/>
      <c r="T3765" s="15"/>
      <c r="U3765" s="46" t="str">
        <f t="shared" si="1572"/>
        <v/>
      </c>
      <c r="V3765" s="46" t="str">
        <f t="shared" si="1572"/>
        <v/>
      </c>
      <c r="W3765" s="46" t="str">
        <f t="shared" si="1572"/>
        <v/>
      </c>
      <c r="X3765" s="46" t="str">
        <f t="shared" si="1572"/>
        <v/>
      </c>
      <c r="Z3765" s="11"/>
    </row>
    <row r="3766" spans="2:26" s="18" customFormat="1" x14ac:dyDescent="0.25">
      <c r="E3766" s="40"/>
      <c r="G3766" s="40"/>
      <c r="H3766" s="7"/>
      <c r="I3766" s="7"/>
      <c r="J3766" s="7"/>
      <c r="K3766" s="7"/>
      <c r="L3766" s="7"/>
      <c r="M3766" s="8"/>
      <c r="N3766" s="8" t="str">
        <f>IF(R3766="x",1,"")</f>
        <v/>
      </c>
      <c r="P3766" s="13"/>
      <c r="Q3766" s="13"/>
      <c r="R3766" s="13"/>
      <c r="S3766" s="13"/>
      <c r="T3766" s="15"/>
      <c r="U3766" s="46" t="str">
        <f t="shared" si="1572"/>
        <v/>
      </c>
      <c r="V3766" s="46" t="str">
        <f t="shared" si="1572"/>
        <v/>
      </c>
      <c r="W3766" s="46" t="str">
        <f t="shared" si="1572"/>
        <v/>
      </c>
      <c r="X3766" s="46" t="str">
        <f t="shared" si="1572"/>
        <v/>
      </c>
      <c r="Z3766" s="11"/>
    </row>
    <row r="3767" spans="2:26" s="18" customFormat="1" x14ac:dyDescent="0.25">
      <c r="E3767" s="40"/>
      <c r="G3767" s="40"/>
      <c r="H3767" s="7"/>
      <c r="I3767" s="7"/>
      <c r="J3767" s="7"/>
      <c r="K3767" s="7"/>
      <c r="L3767" s="7"/>
      <c r="M3767" s="8"/>
      <c r="N3767" s="8" t="str">
        <f>IF(R3767="x",1,"")</f>
        <v/>
      </c>
      <c r="P3767" s="13"/>
      <c r="Q3767" s="13"/>
      <c r="R3767" s="13"/>
      <c r="S3767" s="13"/>
      <c r="T3767" s="15"/>
      <c r="U3767" s="46" t="str">
        <f t="shared" si="1572"/>
        <v/>
      </c>
      <c r="V3767" s="46" t="str">
        <f t="shared" si="1572"/>
        <v/>
      </c>
      <c r="W3767" s="46" t="str">
        <f t="shared" si="1572"/>
        <v/>
      </c>
      <c r="X3767" s="46" t="str">
        <f t="shared" si="1572"/>
        <v/>
      </c>
      <c r="Z3767" s="11"/>
    </row>
    <row r="3768" spans="2:26" x14ac:dyDescent="0.25">
      <c r="B3768" s="11" t="str">
        <f>CONCATENATE("LZIO","-",LEFT(P3768,2),UPPER(MID(P3768,4,3)),RIGHT(P3768,4))</f>
        <v>LZIO-11NOV1909</v>
      </c>
      <c r="C3768" s="11" t="s">
        <v>5892</v>
      </c>
      <c r="D3768" s="11" t="s">
        <v>3007</v>
      </c>
      <c r="E3768" s="39" t="s">
        <v>2935</v>
      </c>
      <c r="F3768" s="11" t="s">
        <v>3050</v>
      </c>
      <c r="G3768" s="39" t="s">
        <v>3604</v>
      </c>
      <c r="H3768" s="7">
        <v>0</v>
      </c>
      <c r="J3768" s="17">
        <v>27</v>
      </c>
      <c r="K3768" s="17"/>
      <c r="L3768" s="7">
        <f>SUM(H3768:K3768)</f>
        <v>27</v>
      </c>
      <c r="M3768" s="8">
        <v>1</v>
      </c>
      <c r="N3768" s="8">
        <f>IF(L3768&gt;0,1,"")</f>
        <v>1</v>
      </c>
      <c r="O3768" s="11" t="s">
        <v>1702</v>
      </c>
      <c r="P3768" s="16" t="str">
        <f>IF(LEN(G3768)=10,CONCATENATE("0",G3768),G3768)</f>
        <v>11-Nov-1909</v>
      </c>
      <c r="R3768" s="16" t="str">
        <f>IF($L3768&gt;0,"x","")</f>
        <v>x</v>
      </c>
      <c r="S3768" s="16" t="str">
        <f>IF($L3768&gt;0,"x","")</f>
        <v>x</v>
      </c>
      <c r="U3768" s="46" t="str">
        <f t="shared" si="1572"/>
        <v/>
      </c>
      <c r="V3768" s="46">
        <f t="shared" si="1572"/>
        <v>27</v>
      </c>
      <c r="W3768" s="46" t="str">
        <f t="shared" si="1572"/>
        <v/>
      </c>
      <c r="X3768" s="46" t="str">
        <f t="shared" si="1572"/>
        <v/>
      </c>
    </row>
    <row r="3769" spans="2:26" x14ac:dyDescent="0.25">
      <c r="N3769" s="8" t="str">
        <f>IF(R3769="x",1,"")</f>
        <v/>
      </c>
      <c r="U3769" s="46" t="str">
        <f t="shared" si="1572"/>
        <v/>
      </c>
      <c r="V3769" s="46" t="str">
        <f t="shared" si="1572"/>
        <v/>
      </c>
      <c r="W3769" s="46" t="str">
        <f t="shared" si="1572"/>
        <v/>
      </c>
      <c r="X3769" s="46" t="str">
        <f t="shared" si="1572"/>
        <v/>
      </c>
    </row>
    <row r="3770" spans="2:26" s="18" customFormat="1" x14ac:dyDescent="0.25">
      <c r="E3770" s="40"/>
      <c r="G3770" s="40"/>
      <c r="H3770" s="7">
        <f t="shared" ref="H3770:N3770" si="1575">SUM(H3768:H3769)</f>
        <v>0</v>
      </c>
      <c r="I3770" s="7">
        <f t="shared" si="1575"/>
        <v>0</v>
      </c>
      <c r="J3770" s="7">
        <f>SUM(J3768:J3769)</f>
        <v>27</v>
      </c>
      <c r="K3770" s="7">
        <f t="shared" si="1575"/>
        <v>0</v>
      </c>
      <c r="L3770" s="7">
        <f t="shared" si="1575"/>
        <v>27</v>
      </c>
      <c r="M3770" s="7">
        <f t="shared" si="1575"/>
        <v>1</v>
      </c>
      <c r="N3770" s="7">
        <f t="shared" si="1575"/>
        <v>1</v>
      </c>
      <c r="P3770" s="13"/>
      <c r="Q3770" s="13"/>
      <c r="R3770" s="16"/>
      <c r="S3770" s="13"/>
      <c r="T3770" s="15"/>
      <c r="U3770" s="46" t="str">
        <f t="shared" si="1572"/>
        <v/>
      </c>
      <c r="V3770" s="46" t="str">
        <f t="shared" si="1572"/>
        <v/>
      </c>
      <c r="W3770" s="46" t="str">
        <f t="shared" si="1572"/>
        <v/>
      </c>
      <c r="X3770" s="46" t="str">
        <f t="shared" si="1572"/>
        <v/>
      </c>
      <c r="Z3770" s="11"/>
    </row>
    <row r="3771" spans="2:26" s="18" customFormat="1" x14ac:dyDescent="0.25">
      <c r="E3771" s="40"/>
      <c r="G3771" s="40"/>
      <c r="H3771" s="7"/>
      <c r="I3771" s="7"/>
      <c r="J3771" s="7"/>
      <c r="K3771" s="7"/>
      <c r="L3771" s="7"/>
      <c r="M3771" s="8"/>
      <c r="N3771" s="8" t="str">
        <f>IF(R3771="x",1,"")</f>
        <v/>
      </c>
      <c r="P3771" s="13"/>
      <c r="Q3771" s="13"/>
      <c r="R3771" s="13"/>
      <c r="S3771" s="13"/>
      <c r="T3771" s="15"/>
      <c r="U3771" s="46" t="str">
        <f t="shared" ref="U3771:X3776" si="1576">IF($O3771=U$5,$L3771,"")</f>
        <v/>
      </c>
      <c r="V3771" s="46" t="str">
        <f t="shared" si="1576"/>
        <v/>
      </c>
      <c r="W3771" s="46" t="str">
        <f t="shared" si="1576"/>
        <v/>
      </c>
      <c r="X3771" s="46" t="str">
        <f t="shared" si="1576"/>
        <v/>
      </c>
      <c r="Z3771" s="11"/>
    </row>
    <row r="3772" spans="2:26" s="18" customFormat="1" x14ac:dyDescent="0.25">
      <c r="E3772" s="40"/>
      <c r="G3772" s="40"/>
      <c r="H3772" s="7"/>
      <c r="I3772" s="7"/>
      <c r="J3772" s="7"/>
      <c r="K3772" s="7"/>
      <c r="L3772" s="7"/>
      <c r="M3772" s="8"/>
      <c r="N3772" s="8" t="str">
        <f>IF(R3772="x",1,"")</f>
        <v/>
      </c>
      <c r="P3772" s="13"/>
      <c r="Q3772" s="13"/>
      <c r="R3772" s="13"/>
      <c r="S3772" s="13"/>
      <c r="T3772" s="15"/>
      <c r="U3772" s="46" t="str">
        <f t="shared" si="1576"/>
        <v/>
      </c>
      <c r="V3772" s="46" t="str">
        <f t="shared" si="1576"/>
        <v/>
      </c>
      <c r="W3772" s="46" t="str">
        <f t="shared" si="1576"/>
        <v/>
      </c>
      <c r="X3772" s="46" t="str">
        <f t="shared" si="1576"/>
        <v/>
      </c>
      <c r="Z3772" s="11"/>
    </row>
    <row r="3773" spans="2:26" x14ac:dyDescent="0.25">
      <c r="B3773" s="11" t="str">
        <f t="shared" ref="B3773:B3779" si="1577">CONCATENATE("LEOP","-",LEFT(P3773,2),UPPER(MID(P3773,4,3)),RIGHT(P3773,4))</f>
        <v>LEOP-04MAY1920</v>
      </c>
      <c r="C3773" s="11" t="s">
        <v>3286</v>
      </c>
      <c r="D3773" s="11" t="s">
        <v>1699</v>
      </c>
      <c r="E3773" s="39" t="s">
        <v>4137</v>
      </c>
      <c r="F3773" s="11" t="s">
        <v>1700</v>
      </c>
      <c r="G3773" s="39" t="s">
        <v>6110</v>
      </c>
      <c r="H3773" s="7">
        <v>0</v>
      </c>
      <c r="I3773" s="7">
        <v>0</v>
      </c>
      <c r="J3773" s="17">
        <v>18</v>
      </c>
      <c r="K3773" s="17"/>
      <c r="L3773" s="7">
        <f t="shared" ref="L3773:L3779" si="1578">SUM(H3773:K3773)</f>
        <v>18</v>
      </c>
      <c r="M3773" s="8">
        <v>1</v>
      </c>
      <c r="N3773" s="8">
        <f t="shared" ref="N3773:N3779" si="1579">IF(L3773&gt;0,1,"")</f>
        <v>1</v>
      </c>
      <c r="O3773" s="11" t="s">
        <v>1702</v>
      </c>
      <c r="P3773" s="16" t="str">
        <f t="shared" ref="P3773:P3779" si="1580">IF(LEN(G3773)=10,CONCATENATE("0",G3773),G3773)</f>
        <v>04-May-1920</v>
      </c>
      <c r="R3773" s="16" t="str">
        <f>IF($L3773&gt;0,"x","")</f>
        <v>x</v>
      </c>
      <c r="S3773" s="16" t="str">
        <f>IF($L3773&gt;0,"x","")</f>
        <v>x</v>
      </c>
      <c r="U3773" s="46" t="str">
        <f t="shared" si="1576"/>
        <v/>
      </c>
      <c r="V3773" s="46">
        <f t="shared" si="1576"/>
        <v>18</v>
      </c>
      <c r="W3773" s="46" t="str">
        <f t="shared" si="1576"/>
        <v/>
      </c>
      <c r="X3773" s="46" t="str">
        <f t="shared" si="1576"/>
        <v/>
      </c>
    </row>
    <row r="3774" spans="2:26" x14ac:dyDescent="0.25">
      <c r="B3774" s="11" t="str">
        <f>CONCATENATE("LEOP","-",LEFT(P3774,2),UPPER(MID(P3774,4,3)),RIGHT(P3774,4))</f>
        <v>LEOP-16JUN1920</v>
      </c>
      <c r="C3774" s="11" t="s">
        <v>3286</v>
      </c>
      <c r="D3774" s="11" t="s">
        <v>1699</v>
      </c>
      <c r="E3774" s="39" t="s">
        <v>2803</v>
      </c>
      <c r="F3774" s="11" t="s">
        <v>1700</v>
      </c>
      <c r="G3774" s="39" t="s">
        <v>4526</v>
      </c>
      <c r="H3774" s="7">
        <v>0</v>
      </c>
      <c r="I3774" s="7">
        <v>3</v>
      </c>
      <c r="J3774" s="17">
        <f>45+1</f>
        <v>46</v>
      </c>
      <c r="K3774" s="17"/>
      <c r="L3774" s="7">
        <f>SUM(H3774:K3774)</f>
        <v>49</v>
      </c>
      <c r="M3774" s="8">
        <v>1</v>
      </c>
      <c r="N3774" s="8">
        <f>IF(L3774&gt;0,1,"")</f>
        <v>1</v>
      </c>
      <c r="O3774" s="11" t="s">
        <v>1702</v>
      </c>
      <c r="P3774" s="16" t="str">
        <f>IF(LEN(G3774)=10,CONCATENATE("0",G3774),G3774)</f>
        <v>16-Jun-1920</v>
      </c>
      <c r="R3774" s="16" t="str">
        <f>IF($L3774&gt;0,"x","")</f>
        <v>x</v>
      </c>
      <c r="S3774" s="16" t="str">
        <f>IF($L3774&gt;0,"x","")</f>
        <v>x</v>
      </c>
      <c r="U3774" s="46" t="str">
        <f t="shared" si="1576"/>
        <v/>
      </c>
      <c r="V3774" s="46">
        <f t="shared" si="1576"/>
        <v>49</v>
      </c>
      <c r="W3774" s="46" t="str">
        <f t="shared" si="1576"/>
        <v/>
      </c>
      <c r="X3774" s="46" t="str">
        <f t="shared" si="1576"/>
        <v/>
      </c>
      <c r="Z3774" s="11" t="s">
        <v>6242</v>
      </c>
    </row>
    <row r="3775" spans="2:26" x14ac:dyDescent="0.25">
      <c r="B3775" s="11" t="str">
        <f t="shared" si="1577"/>
        <v>LEOP-27JUL1920</v>
      </c>
      <c r="C3775" s="11" t="s">
        <v>3286</v>
      </c>
      <c r="D3775" s="11" t="s">
        <v>1699</v>
      </c>
      <c r="E3775" s="39" t="s">
        <v>3287</v>
      </c>
      <c r="F3775" s="11" t="s">
        <v>1700</v>
      </c>
      <c r="G3775" s="39" t="s">
        <v>3288</v>
      </c>
      <c r="H3775" s="7">
        <v>0</v>
      </c>
      <c r="I3775" s="7">
        <v>13</v>
      </c>
      <c r="J3775" s="17">
        <f>73+1</f>
        <v>74</v>
      </c>
      <c r="K3775" s="17"/>
      <c r="L3775" s="7">
        <f t="shared" si="1578"/>
        <v>87</v>
      </c>
      <c r="M3775" s="8">
        <v>1</v>
      </c>
      <c r="N3775" s="8">
        <f t="shared" si="1579"/>
        <v>1</v>
      </c>
      <c r="O3775" s="11" t="s">
        <v>1702</v>
      </c>
      <c r="P3775" s="16" t="str">
        <f t="shared" si="1580"/>
        <v>27-Jul-1920</v>
      </c>
      <c r="R3775" s="16" t="str">
        <f t="shared" ref="R3775:S3780" si="1581">IF($L3775&gt;0,"x","")</f>
        <v>x</v>
      </c>
      <c r="S3775" s="16" t="str">
        <f t="shared" si="1581"/>
        <v>x</v>
      </c>
      <c r="U3775" s="46" t="str">
        <f t="shared" si="1576"/>
        <v/>
      </c>
      <c r="V3775" s="46">
        <f t="shared" si="1576"/>
        <v>87</v>
      </c>
      <c r="W3775" s="46" t="str">
        <f t="shared" si="1576"/>
        <v/>
      </c>
      <c r="X3775" s="46" t="str">
        <f t="shared" si="1576"/>
        <v/>
      </c>
    </row>
    <row r="3776" spans="2:26" x14ac:dyDescent="0.25">
      <c r="B3776" s="11" t="str">
        <f t="shared" si="1577"/>
        <v>LEOP-16SEP1920</v>
      </c>
      <c r="C3776" s="11" t="s">
        <v>3286</v>
      </c>
      <c r="D3776" s="11" t="s">
        <v>1699</v>
      </c>
      <c r="E3776" s="39" t="s">
        <v>3654</v>
      </c>
      <c r="F3776" s="11" t="s">
        <v>1700</v>
      </c>
      <c r="G3776" s="39" t="s">
        <v>3655</v>
      </c>
      <c r="H3776" s="7">
        <v>3</v>
      </c>
      <c r="I3776" s="7">
        <v>3</v>
      </c>
      <c r="J3776" s="17">
        <f>98+1</f>
        <v>99</v>
      </c>
      <c r="K3776" s="17"/>
      <c r="L3776" s="7">
        <f t="shared" si="1578"/>
        <v>105</v>
      </c>
      <c r="M3776" s="8">
        <v>1</v>
      </c>
      <c r="N3776" s="8">
        <f t="shared" si="1579"/>
        <v>1</v>
      </c>
      <c r="O3776" s="11" t="s">
        <v>1702</v>
      </c>
      <c r="P3776" s="16" t="str">
        <f t="shared" si="1580"/>
        <v>16-Sep-1920</v>
      </c>
      <c r="R3776" s="16" t="str">
        <f t="shared" si="1581"/>
        <v>x</v>
      </c>
      <c r="S3776" s="16" t="str">
        <f t="shared" si="1581"/>
        <v>x</v>
      </c>
      <c r="U3776" s="46" t="str">
        <f t="shared" si="1576"/>
        <v/>
      </c>
      <c r="V3776" s="46">
        <f t="shared" si="1576"/>
        <v>105</v>
      </c>
      <c r="W3776" s="46" t="str">
        <f t="shared" si="1576"/>
        <v/>
      </c>
      <c r="X3776" s="46" t="str">
        <f t="shared" si="1576"/>
        <v/>
      </c>
    </row>
    <row r="3777" spans="2:26" x14ac:dyDescent="0.25">
      <c r="B3777" s="11" t="str">
        <f t="shared" si="1577"/>
        <v>LEOP-05NOV1920</v>
      </c>
      <c r="C3777" s="11" t="s">
        <v>3286</v>
      </c>
      <c r="D3777" s="11" t="s">
        <v>1699</v>
      </c>
      <c r="E3777" s="39" t="s">
        <v>4001</v>
      </c>
      <c r="F3777" s="11" t="s">
        <v>1700</v>
      </c>
      <c r="G3777" s="39" t="s">
        <v>4002</v>
      </c>
      <c r="H3777" s="7">
        <v>0</v>
      </c>
      <c r="I3777" s="7">
        <v>18</v>
      </c>
      <c r="J3777" s="17">
        <f>59+2</f>
        <v>61</v>
      </c>
      <c r="K3777" s="17"/>
      <c r="L3777" s="7">
        <f t="shared" si="1578"/>
        <v>79</v>
      </c>
      <c r="M3777" s="8">
        <v>1</v>
      </c>
      <c r="N3777" s="8">
        <f t="shared" si="1579"/>
        <v>1</v>
      </c>
      <c r="O3777" s="11" t="s">
        <v>1702</v>
      </c>
      <c r="P3777" s="16" t="str">
        <f t="shared" si="1580"/>
        <v>05-Nov-1920</v>
      </c>
      <c r="R3777" s="16" t="str">
        <f t="shared" si="1581"/>
        <v>x</v>
      </c>
      <c r="S3777" s="16" t="str">
        <f t="shared" si="1581"/>
        <v>x</v>
      </c>
      <c r="U3777" s="46" t="str">
        <f t="shared" ref="U3777:X3778" si="1582">IF($O3777=U$5,$L3777,"")</f>
        <v/>
      </c>
      <c r="V3777" s="46">
        <f t="shared" si="1582"/>
        <v>79</v>
      </c>
      <c r="W3777" s="46" t="str">
        <f t="shared" si="1582"/>
        <v/>
      </c>
      <c r="X3777" s="46" t="str">
        <f t="shared" si="1582"/>
        <v/>
      </c>
    </row>
    <row r="3778" spans="2:26" x14ac:dyDescent="0.25">
      <c r="B3778" s="11" t="str">
        <f t="shared" si="1577"/>
        <v>LEOP-24DEC1920</v>
      </c>
      <c r="C3778" s="11" t="s">
        <v>3286</v>
      </c>
      <c r="D3778" s="11" t="s">
        <v>1699</v>
      </c>
      <c r="E3778" s="39" t="s">
        <v>2043</v>
      </c>
      <c r="F3778" s="11" t="s">
        <v>1700</v>
      </c>
      <c r="G3778" s="39" t="s">
        <v>4000</v>
      </c>
      <c r="I3778" s="7">
        <v>0</v>
      </c>
      <c r="J3778" s="17">
        <v>39</v>
      </c>
      <c r="K3778" s="17"/>
      <c r="L3778" s="7">
        <f t="shared" si="1578"/>
        <v>39</v>
      </c>
      <c r="M3778" s="8">
        <v>1</v>
      </c>
      <c r="N3778" s="8">
        <f t="shared" si="1579"/>
        <v>1</v>
      </c>
      <c r="O3778" s="11" t="s">
        <v>1702</v>
      </c>
      <c r="P3778" s="16" t="str">
        <f t="shared" si="1580"/>
        <v>24-Dec-1920</v>
      </c>
      <c r="R3778" s="16" t="str">
        <f t="shared" si="1581"/>
        <v>x</v>
      </c>
      <c r="S3778" s="16" t="str">
        <f t="shared" si="1581"/>
        <v>x</v>
      </c>
      <c r="U3778" s="46" t="str">
        <f t="shared" si="1582"/>
        <v/>
      </c>
      <c r="V3778" s="46">
        <f t="shared" si="1582"/>
        <v>39</v>
      </c>
      <c r="W3778" s="46" t="str">
        <f t="shared" si="1582"/>
        <v/>
      </c>
      <c r="X3778" s="46" t="str">
        <f t="shared" si="1582"/>
        <v/>
      </c>
    </row>
    <row r="3779" spans="2:26" x14ac:dyDescent="0.25">
      <c r="B3779" s="11" t="str">
        <f t="shared" si="1577"/>
        <v>LEOP-22FEB1921</v>
      </c>
      <c r="C3779" s="11" t="s">
        <v>3286</v>
      </c>
      <c r="D3779" s="11" t="s">
        <v>1699</v>
      </c>
      <c r="E3779" s="39" t="s">
        <v>5056</v>
      </c>
      <c r="F3779" s="11" t="s">
        <v>1700</v>
      </c>
      <c r="G3779" s="39" t="s">
        <v>1590</v>
      </c>
      <c r="I3779" s="7">
        <v>5</v>
      </c>
      <c r="J3779" s="17">
        <v>2</v>
      </c>
      <c r="K3779" s="17"/>
      <c r="L3779" s="7">
        <f t="shared" si="1578"/>
        <v>7</v>
      </c>
      <c r="M3779" s="8">
        <v>1</v>
      </c>
      <c r="N3779" s="8">
        <f t="shared" si="1579"/>
        <v>1</v>
      </c>
      <c r="O3779" s="11" t="s">
        <v>1702</v>
      </c>
      <c r="P3779" s="16" t="str">
        <f t="shared" si="1580"/>
        <v>22-Feb-1921</v>
      </c>
      <c r="R3779" s="16" t="str">
        <f t="shared" si="1581"/>
        <v>x</v>
      </c>
      <c r="S3779" s="16" t="str">
        <f t="shared" si="1581"/>
        <v>x</v>
      </c>
      <c r="U3779" s="46" t="str">
        <f t="shared" ref="U3779:X3782" si="1583">IF($O3779=U$5,$L3779,"")</f>
        <v/>
      </c>
      <c r="V3779" s="46">
        <f t="shared" si="1583"/>
        <v>7</v>
      </c>
      <c r="W3779" s="46" t="str">
        <f t="shared" si="1583"/>
        <v/>
      </c>
      <c r="X3779" s="46" t="str">
        <f t="shared" si="1583"/>
        <v/>
      </c>
    </row>
    <row r="3780" spans="2:26" x14ac:dyDescent="0.25">
      <c r="B3780" s="11" t="str">
        <f>CONCATENATE("LEOP","-",LEFT(P3780,2),UPPER(MID(P3780,4,3)),RIGHT(P3780,4))</f>
        <v>LEOP-22JUN1921</v>
      </c>
      <c r="C3780" s="11" t="s">
        <v>3286</v>
      </c>
      <c r="D3780" s="11" t="s">
        <v>1699</v>
      </c>
      <c r="E3780" s="39" t="s">
        <v>5808</v>
      </c>
      <c r="F3780" s="11" t="s">
        <v>1700</v>
      </c>
      <c r="G3780" s="39" t="s">
        <v>5809</v>
      </c>
      <c r="I3780" s="7">
        <v>0</v>
      </c>
      <c r="J3780" s="17">
        <v>4</v>
      </c>
      <c r="K3780" s="17"/>
      <c r="L3780" s="7">
        <f>SUM(H3780:K3780)</f>
        <v>4</v>
      </c>
      <c r="M3780" s="8">
        <v>1</v>
      </c>
      <c r="N3780" s="8">
        <f>IF(L3780&gt;0,1,"")</f>
        <v>1</v>
      </c>
      <c r="O3780" s="11" t="s">
        <v>1702</v>
      </c>
      <c r="P3780" s="16" t="str">
        <f>IF(LEN(G3780)=10,CONCATENATE("0",G3780),G3780)</f>
        <v>22-Jun-1921</v>
      </c>
      <c r="R3780" s="16" t="str">
        <f t="shared" si="1581"/>
        <v>x</v>
      </c>
      <c r="S3780" s="16" t="str">
        <f t="shared" si="1581"/>
        <v>x</v>
      </c>
      <c r="U3780" s="46" t="str">
        <f t="shared" si="1583"/>
        <v/>
      </c>
      <c r="V3780" s="46">
        <f t="shared" si="1583"/>
        <v>4</v>
      </c>
      <c r="W3780" s="46" t="str">
        <f t="shared" si="1583"/>
        <v/>
      </c>
      <c r="X3780" s="46" t="str">
        <f t="shared" si="1583"/>
        <v/>
      </c>
    </row>
    <row r="3781" spans="2:26" x14ac:dyDescent="0.25">
      <c r="N3781" s="8" t="str">
        <f>IF(R3781="x",1,"")</f>
        <v/>
      </c>
      <c r="U3781" s="46" t="str">
        <f t="shared" si="1583"/>
        <v/>
      </c>
      <c r="V3781" s="46" t="str">
        <f t="shared" si="1583"/>
        <v/>
      </c>
      <c r="W3781" s="46" t="str">
        <f t="shared" si="1583"/>
        <v/>
      </c>
      <c r="X3781" s="46" t="str">
        <f t="shared" si="1583"/>
        <v/>
      </c>
    </row>
    <row r="3782" spans="2:26" s="18" customFormat="1" x14ac:dyDescent="0.25">
      <c r="E3782" s="40"/>
      <c r="G3782" s="40"/>
      <c r="H3782" s="7">
        <f t="shared" ref="H3782:N3782" si="1584">SUM(H3773:H3781)</f>
        <v>3</v>
      </c>
      <c r="I3782" s="7">
        <f t="shared" si="1584"/>
        <v>42</v>
      </c>
      <c r="J3782" s="7">
        <f>SUM(J3773:J3781)</f>
        <v>343</v>
      </c>
      <c r="K3782" s="7">
        <f t="shared" si="1584"/>
        <v>0</v>
      </c>
      <c r="L3782" s="7">
        <f t="shared" si="1584"/>
        <v>388</v>
      </c>
      <c r="M3782" s="7">
        <f t="shared" si="1584"/>
        <v>8</v>
      </c>
      <c r="N3782" s="7">
        <f t="shared" si="1584"/>
        <v>8</v>
      </c>
      <c r="P3782" s="13"/>
      <c r="Q3782" s="13"/>
      <c r="R3782" s="16"/>
      <c r="S3782" s="13"/>
      <c r="T3782" s="15"/>
      <c r="U3782" s="46" t="str">
        <f t="shared" si="1583"/>
        <v/>
      </c>
      <c r="V3782" s="46" t="str">
        <f t="shared" si="1583"/>
        <v/>
      </c>
      <c r="W3782" s="46" t="str">
        <f t="shared" si="1583"/>
        <v/>
      </c>
      <c r="X3782" s="46" t="str">
        <f t="shared" si="1583"/>
        <v/>
      </c>
      <c r="Z3782" s="11"/>
    </row>
    <row r="3783" spans="2:26" x14ac:dyDescent="0.25">
      <c r="B3783" s="18"/>
      <c r="C3783" s="18"/>
      <c r="D3783" s="18"/>
      <c r="E3783" s="40"/>
      <c r="F3783" s="18"/>
      <c r="G3783" s="40"/>
      <c r="N3783" s="8" t="str">
        <f>IF(R3783="x",1,"")</f>
        <v/>
      </c>
      <c r="O3783" s="18"/>
      <c r="P3783" s="13"/>
      <c r="Q3783" s="13"/>
      <c r="R3783" s="13"/>
      <c r="S3783" s="13"/>
      <c r="T3783" s="15"/>
      <c r="U3783" s="46" t="str">
        <f t="shared" ref="U3783:X3787" si="1585">IF($O3783=U$5,$L3783,"")</f>
        <v/>
      </c>
      <c r="V3783" s="46" t="str">
        <f t="shared" si="1585"/>
        <v/>
      </c>
      <c r="W3783" s="46" t="str">
        <f t="shared" si="1585"/>
        <v/>
      </c>
      <c r="X3783" s="46" t="str">
        <f t="shared" si="1585"/>
        <v/>
      </c>
    </row>
    <row r="3784" spans="2:26" x14ac:dyDescent="0.25">
      <c r="B3784" s="18"/>
      <c r="C3784" s="18"/>
      <c r="D3784" s="18"/>
      <c r="E3784" s="40"/>
      <c r="F3784" s="18"/>
      <c r="G3784" s="40"/>
      <c r="N3784" s="8" t="str">
        <f>IF(R3784="x",1,"")</f>
        <v/>
      </c>
      <c r="O3784" s="18"/>
      <c r="P3784" s="13"/>
      <c r="Q3784" s="13"/>
      <c r="R3784" s="13"/>
      <c r="S3784" s="13"/>
      <c r="T3784" s="15"/>
      <c r="U3784" s="46" t="str">
        <f t="shared" si="1585"/>
        <v/>
      </c>
      <c r="V3784" s="46" t="str">
        <f t="shared" si="1585"/>
        <v/>
      </c>
      <c r="W3784" s="46" t="str">
        <f t="shared" si="1585"/>
        <v/>
      </c>
      <c r="X3784" s="46" t="str">
        <f t="shared" si="1585"/>
        <v/>
      </c>
    </row>
    <row r="3785" spans="2:26" x14ac:dyDescent="0.25">
      <c r="B3785" s="11" t="str">
        <f>CONCATENATE("LETI","-",LEFT(P3785,2),UPPER(MID(P3785,4,3)),RIGHT(P3785,4))</f>
        <v>LETI-17OCT1885</v>
      </c>
      <c r="C3785" s="11" t="s">
        <v>5555</v>
      </c>
      <c r="D3785" s="11" t="s">
        <v>3832</v>
      </c>
      <c r="F3785" s="11" t="s">
        <v>1700</v>
      </c>
      <c r="G3785" s="39" t="s">
        <v>5556</v>
      </c>
      <c r="J3785" s="17">
        <v>4</v>
      </c>
      <c r="K3785" s="17"/>
      <c r="L3785" s="7">
        <f>SUM(H3785:K3785)</f>
        <v>4</v>
      </c>
      <c r="M3785" s="8">
        <v>1</v>
      </c>
      <c r="N3785" s="8">
        <f>IF(L3785&gt;0,1,"")</f>
        <v>1</v>
      </c>
      <c r="O3785" s="11" t="s">
        <v>1702</v>
      </c>
      <c r="P3785" s="16" t="str">
        <f>IF(LEN(G3785)=10,CONCATENATE("0",G3785),G3785)</f>
        <v>17-Oct-1885</v>
      </c>
      <c r="R3785" s="16" t="str">
        <f>IF($L3785&gt;0,"x","")</f>
        <v>x</v>
      </c>
      <c r="S3785" s="16" t="str">
        <f>IF($L3785&gt;0,"x","")</f>
        <v>x</v>
      </c>
      <c r="U3785" s="46" t="str">
        <f t="shared" si="1585"/>
        <v/>
      </c>
      <c r="V3785" s="46">
        <f t="shared" si="1585"/>
        <v>4</v>
      </c>
      <c r="W3785" s="46" t="str">
        <f t="shared" si="1585"/>
        <v/>
      </c>
      <c r="X3785" s="46" t="str">
        <f t="shared" si="1585"/>
        <v/>
      </c>
    </row>
    <row r="3786" spans="2:26" x14ac:dyDescent="0.25">
      <c r="N3786" s="8" t="str">
        <f>IF(R3786="x",1,"")</f>
        <v/>
      </c>
      <c r="U3786" s="46" t="str">
        <f t="shared" si="1585"/>
        <v/>
      </c>
      <c r="V3786" s="46" t="str">
        <f t="shared" si="1585"/>
        <v/>
      </c>
      <c r="W3786" s="46" t="str">
        <f t="shared" si="1585"/>
        <v/>
      </c>
      <c r="X3786" s="46" t="str">
        <f t="shared" si="1585"/>
        <v/>
      </c>
    </row>
    <row r="3787" spans="2:26" x14ac:dyDescent="0.25">
      <c r="B3787" s="18"/>
      <c r="C3787" s="18"/>
      <c r="D3787" s="18"/>
      <c r="E3787" s="40"/>
      <c r="F3787" s="18"/>
      <c r="G3787" s="40"/>
      <c r="H3787" s="7">
        <f t="shared" ref="H3787:N3787" si="1586">SUM(H3785:H3786)</f>
        <v>0</v>
      </c>
      <c r="I3787" s="7">
        <f t="shared" si="1586"/>
        <v>0</v>
      </c>
      <c r="J3787" s="7">
        <f>SUM(J3785:J3786)</f>
        <v>4</v>
      </c>
      <c r="K3787" s="7">
        <f t="shared" si="1586"/>
        <v>0</v>
      </c>
      <c r="L3787" s="7">
        <f t="shared" si="1586"/>
        <v>4</v>
      </c>
      <c r="M3787" s="7">
        <f t="shared" si="1586"/>
        <v>1</v>
      </c>
      <c r="N3787" s="7">
        <f t="shared" si="1586"/>
        <v>1</v>
      </c>
      <c r="O3787" s="18"/>
      <c r="P3787" s="13"/>
      <c r="Q3787" s="13"/>
      <c r="S3787" s="13"/>
      <c r="T3787" s="15"/>
      <c r="U3787" s="46" t="str">
        <f t="shared" si="1585"/>
        <v/>
      </c>
      <c r="V3787" s="46" t="str">
        <f t="shared" si="1585"/>
        <v/>
      </c>
      <c r="W3787" s="46" t="str">
        <f t="shared" si="1585"/>
        <v/>
      </c>
      <c r="X3787" s="46" t="str">
        <f t="shared" si="1585"/>
        <v/>
      </c>
    </row>
    <row r="3788" spans="2:26" x14ac:dyDescent="0.25">
      <c r="B3788" s="18"/>
      <c r="C3788" s="18"/>
      <c r="D3788" s="18"/>
      <c r="E3788" s="40"/>
      <c r="F3788" s="18"/>
      <c r="G3788" s="40"/>
      <c r="N3788" s="8" t="str">
        <f>IF(R3788="x",1,"")</f>
        <v/>
      </c>
      <c r="O3788" s="18"/>
      <c r="P3788" s="13"/>
      <c r="Q3788" s="13"/>
      <c r="R3788" s="13"/>
      <c r="S3788" s="13"/>
      <c r="T3788" s="15"/>
      <c r="U3788" s="46" t="str">
        <f t="shared" ref="U3788:X3790" si="1587">IF($O3788=U$5,$L3788,"")</f>
        <v/>
      </c>
      <c r="V3788" s="46" t="str">
        <f t="shared" si="1587"/>
        <v/>
      </c>
      <c r="W3788" s="46" t="str">
        <f t="shared" si="1587"/>
        <v/>
      </c>
      <c r="X3788" s="46" t="str">
        <f t="shared" si="1587"/>
        <v/>
      </c>
    </row>
    <row r="3789" spans="2:26" x14ac:dyDescent="0.25">
      <c r="B3789" s="18"/>
      <c r="C3789" s="18"/>
      <c r="D3789" s="18"/>
      <c r="E3789" s="40"/>
      <c r="F3789" s="18"/>
      <c r="G3789" s="40"/>
      <c r="N3789" s="8" t="str">
        <f>IF(R3789="x",1,"")</f>
        <v/>
      </c>
      <c r="O3789" s="18"/>
      <c r="P3789" s="13"/>
      <c r="Q3789" s="13"/>
      <c r="R3789" s="13"/>
      <c r="S3789" s="13"/>
      <c r="T3789" s="15"/>
      <c r="U3789" s="46" t="str">
        <f t="shared" si="1587"/>
        <v/>
      </c>
      <c r="V3789" s="46" t="str">
        <f t="shared" si="1587"/>
        <v/>
      </c>
      <c r="W3789" s="46" t="str">
        <f t="shared" si="1587"/>
        <v/>
      </c>
      <c r="X3789" s="46" t="str">
        <f t="shared" si="1587"/>
        <v/>
      </c>
    </row>
    <row r="3790" spans="2:26" x14ac:dyDescent="0.25">
      <c r="B3790" s="11" t="str">
        <f t="shared" ref="B3790:B3798" si="1588">CONCATENATE("LEVI","-",LEFT(P3790,2),UPPER(MID(P3790,4,3)),RIGHT(P3790,4))</f>
        <v>LEVI-21JUL1924</v>
      </c>
      <c r="C3790" s="11" t="s">
        <v>4392</v>
      </c>
      <c r="D3790" s="11" t="s">
        <v>2224</v>
      </c>
      <c r="E3790" s="39" t="s">
        <v>5722</v>
      </c>
      <c r="F3790" s="11" t="s">
        <v>1700</v>
      </c>
      <c r="G3790" s="39" t="s">
        <v>5723</v>
      </c>
      <c r="H3790" s="7">
        <v>0</v>
      </c>
      <c r="I3790" s="7">
        <f>0+1</f>
        <v>1</v>
      </c>
      <c r="J3790" s="17">
        <f>0+4</f>
        <v>4</v>
      </c>
      <c r="K3790" s="17"/>
      <c r="L3790" s="7">
        <f t="shared" ref="L3790:L3798" si="1589">SUM(H3790:K3790)</f>
        <v>5</v>
      </c>
      <c r="M3790" s="8">
        <v>1</v>
      </c>
      <c r="N3790" s="8">
        <f t="shared" ref="N3790:N3798" si="1590">IF(L3790&gt;0,1,"")</f>
        <v>1</v>
      </c>
      <c r="O3790" s="11" t="s">
        <v>1702</v>
      </c>
      <c r="P3790" s="16" t="str">
        <f t="shared" ref="P3790:P3798" si="1591">IF(LEN(G3790)=10,CONCATENATE("0",G3790),G3790)</f>
        <v>21-Jul-1924</v>
      </c>
      <c r="R3790" s="16" t="str">
        <f t="shared" ref="R3790:S3792" si="1592">IF($L3790&gt;0,"x","")</f>
        <v>x</v>
      </c>
      <c r="S3790" s="16" t="str">
        <f t="shared" si="1592"/>
        <v>x</v>
      </c>
      <c r="U3790" s="46" t="str">
        <f t="shared" si="1587"/>
        <v/>
      </c>
      <c r="V3790" s="46">
        <f t="shared" si="1587"/>
        <v>5</v>
      </c>
      <c r="W3790" s="46" t="str">
        <f t="shared" si="1587"/>
        <v/>
      </c>
      <c r="X3790" s="46" t="str">
        <f t="shared" si="1587"/>
        <v/>
      </c>
    </row>
    <row r="3791" spans="2:26" x14ac:dyDescent="0.25">
      <c r="B3791" s="11" t="str">
        <f t="shared" si="1588"/>
        <v>LEVI-10NOV1924</v>
      </c>
      <c r="C3791" s="11" t="s">
        <v>4392</v>
      </c>
      <c r="D3791" s="11" t="s">
        <v>3619</v>
      </c>
      <c r="E3791" s="39" t="s">
        <v>4387</v>
      </c>
      <c r="F3791" s="11" t="s">
        <v>1700</v>
      </c>
      <c r="G3791" s="39" t="s">
        <v>6059</v>
      </c>
      <c r="H3791" s="7">
        <v>0</v>
      </c>
      <c r="I3791" s="7">
        <f>2+1</f>
        <v>3</v>
      </c>
      <c r="J3791" s="17">
        <v>0</v>
      </c>
      <c r="K3791" s="17"/>
      <c r="L3791" s="7">
        <f t="shared" si="1589"/>
        <v>3</v>
      </c>
      <c r="M3791" s="8">
        <v>1</v>
      </c>
      <c r="N3791" s="8">
        <f t="shared" si="1590"/>
        <v>1</v>
      </c>
      <c r="O3791" s="11" t="s">
        <v>1702</v>
      </c>
      <c r="P3791" s="16" t="str">
        <f t="shared" si="1591"/>
        <v>10-Nov-1924</v>
      </c>
      <c r="R3791" s="16" t="str">
        <f t="shared" si="1592"/>
        <v>x</v>
      </c>
      <c r="S3791" s="16" t="str">
        <f t="shared" si="1592"/>
        <v>x</v>
      </c>
      <c r="U3791" s="46" t="str">
        <f t="shared" ref="U3791:X3792" si="1593">IF($O3791=U$5,$L3791,"")</f>
        <v/>
      </c>
      <c r="V3791" s="46">
        <f t="shared" si="1593"/>
        <v>3</v>
      </c>
      <c r="W3791" s="46" t="str">
        <f t="shared" si="1593"/>
        <v/>
      </c>
      <c r="X3791" s="46" t="str">
        <f t="shared" si="1593"/>
        <v/>
      </c>
    </row>
    <row r="3792" spans="2:26" x14ac:dyDescent="0.25">
      <c r="B3792" s="11" t="str">
        <f t="shared" si="1588"/>
        <v>LEVI-01DEC1924</v>
      </c>
      <c r="C3792" s="11" t="s">
        <v>4392</v>
      </c>
      <c r="D3792" s="11" t="s">
        <v>2224</v>
      </c>
      <c r="E3792" s="39" t="s">
        <v>4437</v>
      </c>
      <c r="F3792" s="11" t="s">
        <v>1700</v>
      </c>
      <c r="G3792" s="39" t="s">
        <v>4438</v>
      </c>
      <c r="H3792" s="7">
        <v>0</v>
      </c>
      <c r="I3792" s="7">
        <v>1</v>
      </c>
      <c r="J3792" s="17">
        <v>1</v>
      </c>
      <c r="K3792" s="17"/>
      <c r="L3792" s="7">
        <f t="shared" si="1589"/>
        <v>2</v>
      </c>
      <c r="M3792" s="8">
        <v>1</v>
      </c>
      <c r="N3792" s="8">
        <f t="shared" si="1590"/>
        <v>1</v>
      </c>
      <c r="O3792" s="11" t="s">
        <v>1702</v>
      </c>
      <c r="P3792" s="16" t="str">
        <f t="shared" si="1591"/>
        <v>01-Dec-1924</v>
      </c>
      <c r="R3792" s="16" t="str">
        <f t="shared" si="1592"/>
        <v>x</v>
      </c>
      <c r="S3792" s="16" t="str">
        <f t="shared" si="1592"/>
        <v>x</v>
      </c>
      <c r="U3792" s="46" t="str">
        <f t="shared" si="1593"/>
        <v/>
      </c>
      <c r="V3792" s="46">
        <f t="shared" si="1593"/>
        <v>2</v>
      </c>
      <c r="W3792" s="46" t="str">
        <f t="shared" si="1593"/>
        <v/>
      </c>
      <c r="X3792" s="46" t="str">
        <f t="shared" si="1593"/>
        <v/>
      </c>
    </row>
    <row r="3793" spans="2:24" x14ac:dyDescent="0.25">
      <c r="B3793" s="11" t="str">
        <f t="shared" si="1588"/>
        <v>LEVI-20DEC1924</v>
      </c>
      <c r="C3793" s="11" t="s">
        <v>4392</v>
      </c>
      <c r="D3793" s="11" t="s">
        <v>2224</v>
      </c>
      <c r="E3793" s="39" t="s">
        <v>4395</v>
      </c>
      <c r="F3793" s="11" t="s">
        <v>1700</v>
      </c>
      <c r="G3793" s="39" t="s">
        <v>4396</v>
      </c>
      <c r="H3793" s="7">
        <v>0</v>
      </c>
      <c r="I3793" s="7">
        <v>0</v>
      </c>
      <c r="J3793" s="17">
        <f>0+1</f>
        <v>1</v>
      </c>
      <c r="K3793" s="17"/>
      <c r="L3793" s="7">
        <f t="shared" si="1589"/>
        <v>1</v>
      </c>
      <c r="M3793" s="8">
        <v>1</v>
      </c>
      <c r="N3793" s="8">
        <f t="shared" si="1590"/>
        <v>1</v>
      </c>
      <c r="O3793" s="11" t="s">
        <v>1702</v>
      </c>
      <c r="P3793" s="16" t="str">
        <f t="shared" si="1591"/>
        <v>20-Dec-1924</v>
      </c>
      <c r="R3793" s="16" t="str">
        <f t="shared" ref="R3793:S3812" si="1594">IF($L3793&gt;0,"x","")</f>
        <v>x</v>
      </c>
      <c r="S3793" s="16" t="str">
        <f t="shared" si="1594"/>
        <v>x</v>
      </c>
      <c r="U3793" s="46" t="str">
        <f t="shared" ref="U3793:X3796" si="1595">IF($O3793=U$5,$L3793,"")</f>
        <v/>
      </c>
      <c r="V3793" s="46">
        <f t="shared" si="1595"/>
        <v>1</v>
      </c>
      <c r="W3793" s="46" t="str">
        <f t="shared" si="1595"/>
        <v/>
      </c>
      <c r="X3793" s="46" t="str">
        <f t="shared" si="1595"/>
        <v/>
      </c>
    </row>
    <row r="3794" spans="2:24" x14ac:dyDescent="0.25">
      <c r="B3794" s="11" t="str">
        <f t="shared" si="1588"/>
        <v>LEVI-16MAR1925</v>
      </c>
      <c r="C3794" s="11" t="s">
        <v>4392</v>
      </c>
      <c r="D3794" s="11" t="s">
        <v>2224</v>
      </c>
      <c r="E3794" s="39" t="s">
        <v>4393</v>
      </c>
      <c r="F3794" s="11" t="s">
        <v>1700</v>
      </c>
      <c r="G3794" s="39" t="s">
        <v>4394</v>
      </c>
      <c r="H3794" s="7">
        <v>0</v>
      </c>
      <c r="I3794" s="7">
        <v>0</v>
      </c>
      <c r="J3794" s="17">
        <f>4+3</f>
        <v>7</v>
      </c>
      <c r="K3794" s="17"/>
      <c r="L3794" s="7">
        <f t="shared" si="1589"/>
        <v>7</v>
      </c>
      <c r="M3794" s="8">
        <v>1</v>
      </c>
      <c r="N3794" s="8">
        <f t="shared" si="1590"/>
        <v>1</v>
      </c>
      <c r="O3794" s="11" t="s">
        <v>1702</v>
      </c>
      <c r="P3794" s="16" t="str">
        <f t="shared" si="1591"/>
        <v>16-Mar-1925</v>
      </c>
      <c r="R3794" s="16" t="str">
        <f t="shared" si="1594"/>
        <v>x</v>
      </c>
      <c r="S3794" s="16" t="str">
        <f t="shared" si="1594"/>
        <v>x</v>
      </c>
      <c r="U3794" s="46" t="str">
        <f t="shared" si="1595"/>
        <v/>
      </c>
      <c r="V3794" s="46">
        <f t="shared" si="1595"/>
        <v>7</v>
      </c>
      <c r="W3794" s="46" t="str">
        <f t="shared" si="1595"/>
        <v/>
      </c>
      <c r="X3794" s="46" t="str">
        <f t="shared" si="1595"/>
        <v/>
      </c>
    </row>
    <row r="3795" spans="2:24" x14ac:dyDescent="0.25">
      <c r="B3795" s="11" t="str">
        <f t="shared" si="1588"/>
        <v>LEVI-27APR1925</v>
      </c>
      <c r="C3795" s="11" t="s">
        <v>4392</v>
      </c>
      <c r="D3795" s="11" t="s">
        <v>2224</v>
      </c>
      <c r="E3795" s="39" t="s">
        <v>4460</v>
      </c>
      <c r="F3795" s="11" t="s">
        <v>1700</v>
      </c>
      <c r="G3795" s="39" t="s">
        <v>4461</v>
      </c>
      <c r="H3795" s="7">
        <v>0</v>
      </c>
      <c r="I3795" s="7">
        <v>0</v>
      </c>
      <c r="J3795" s="17">
        <f>2+1</f>
        <v>3</v>
      </c>
      <c r="K3795" s="17"/>
      <c r="L3795" s="7">
        <f t="shared" si="1589"/>
        <v>3</v>
      </c>
      <c r="M3795" s="8">
        <v>1</v>
      </c>
      <c r="N3795" s="8">
        <f t="shared" si="1590"/>
        <v>1</v>
      </c>
      <c r="O3795" s="11" t="s">
        <v>1702</v>
      </c>
      <c r="P3795" s="16" t="str">
        <f t="shared" si="1591"/>
        <v>27-Apr-1925</v>
      </c>
      <c r="R3795" s="16" t="str">
        <f t="shared" si="1594"/>
        <v>x</v>
      </c>
      <c r="S3795" s="16" t="str">
        <f t="shared" si="1594"/>
        <v>x</v>
      </c>
      <c r="U3795" s="46" t="str">
        <f t="shared" si="1595"/>
        <v/>
      </c>
      <c r="V3795" s="46">
        <f t="shared" si="1595"/>
        <v>3</v>
      </c>
      <c r="W3795" s="46" t="str">
        <f t="shared" si="1595"/>
        <v/>
      </c>
      <c r="X3795" s="46" t="str">
        <f t="shared" si="1595"/>
        <v/>
      </c>
    </row>
    <row r="3796" spans="2:24" x14ac:dyDescent="0.25">
      <c r="B3796" s="11" t="str">
        <f t="shared" si="1588"/>
        <v>LEVI-29JUN1925</v>
      </c>
      <c r="C3796" s="11" t="s">
        <v>4392</v>
      </c>
      <c r="D3796" s="11" t="s">
        <v>2224</v>
      </c>
      <c r="E3796" s="39" t="s">
        <v>4446</v>
      </c>
      <c r="F3796" s="11" t="s">
        <v>1700</v>
      </c>
      <c r="G3796" s="39" t="s">
        <v>4447</v>
      </c>
      <c r="H3796" s="7">
        <v>1</v>
      </c>
      <c r="I3796" s="7">
        <v>3</v>
      </c>
      <c r="J3796" s="17">
        <f>3+1</f>
        <v>4</v>
      </c>
      <c r="K3796" s="17"/>
      <c r="L3796" s="7">
        <f t="shared" si="1589"/>
        <v>8</v>
      </c>
      <c r="M3796" s="8">
        <v>1</v>
      </c>
      <c r="N3796" s="8">
        <f t="shared" si="1590"/>
        <v>1</v>
      </c>
      <c r="O3796" s="11" t="s">
        <v>1702</v>
      </c>
      <c r="P3796" s="16" t="str">
        <f t="shared" si="1591"/>
        <v>29-Jun-1925</v>
      </c>
      <c r="R3796" s="16" t="str">
        <f t="shared" si="1594"/>
        <v>x</v>
      </c>
      <c r="S3796" s="16" t="str">
        <f t="shared" si="1594"/>
        <v>x</v>
      </c>
      <c r="U3796" s="46" t="str">
        <f t="shared" si="1595"/>
        <v/>
      </c>
      <c r="V3796" s="46">
        <f t="shared" si="1595"/>
        <v>8</v>
      </c>
      <c r="W3796" s="46" t="str">
        <f t="shared" si="1595"/>
        <v/>
      </c>
      <c r="X3796" s="46" t="str">
        <f t="shared" si="1595"/>
        <v/>
      </c>
    </row>
    <row r="3797" spans="2:24" x14ac:dyDescent="0.25">
      <c r="B3797" s="11" t="str">
        <f t="shared" si="1588"/>
        <v>LEVI-10NOV1925</v>
      </c>
      <c r="C3797" s="11" t="s">
        <v>4392</v>
      </c>
      <c r="D3797" s="11" t="s">
        <v>2224</v>
      </c>
      <c r="E3797" s="39" t="s">
        <v>5080</v>
      </c>
      <c r="F3797" s="11" t="s">
        <v>1700</v>
      </c>
      <c r="G3797" s="39" t="s">
        <v>5081</v>
      </c>
      <c r="H3797" s="7">
        <v>3</v>
      </c>
      <c r="I3797" s="7">
        <v>0</v>
      </c>
      <c r="J3797" s="17">
        <f>3+1</f>
        <v>4</v>
      </c>
      <c r="K3797" s="17"/>
      <c r="L3797" s="7">
        <f t="shared" si="1589"/>
        <v>7</v>
      </c>
      <c r="M3797" s="8">
        <v>1</v>
      </c>
      <c r="N3797" s="8">
        <f t="shared" si="1590"/>
        <v>1</v>
      </c>
      <c r="O3797" s="11" t="s">
        <v>1702</v>
      </c>
      <c r="P3797" s="16" t="str">
        <f t="shared" si="1591"/>
        <v>10-Nov-1925</v>
      </c>
      <c r="R3797" s="16" t="str">
        <f t="shared" si="1594"/>
        <v>x</v>
      </c>
      <c r="S3797" s="16" t="str">
        <f t="shared" si="1594"/>
        <v>x</v>
      </c>
      <c r="U3797" s="46" t="str">
        <f t="shared" ref="U3797:X3804" si="1596">IF($O3797=U$5,$L3797,"")</f>
        <v/>
      </c>
      <c r="V3797" s="46">
        <f t="shared" si="1596"/>
        <v>7</v>
      </c>
      <c r="W3797" s="46" t="str">
        <f t="shared" si="1596"/>
        <v/>
      </c>
      <c r="X3797" s="46" t="str">
        <f t="shared" si="1596"/>
        <v/>
      </c>
    </row>
    <row r="3798" spans="2:24" x14ac:dyDescent="0.25">
      <c r="B3798" s="11" t="str">
        <f t="shared" si="1588"/>
        <v>LEVI-27SEP1926</v>
      </c>
      <c r="C3798" s="11" t="s">
        <v>4392</v>
      </c>
      <c r="D3798" s="11" t="s">
        <v>2224</v>
      </c>
      <c r="E3798" s="39" t="s">
        <v>5070</v>
      </c>
      <c r="F3798" s="11" t="s">
        <v>1700</v>
      </c>
      <c r="G3798" s="39" t="s">
        <v>5071</v>
      </c>
      <c r="H3798" s="7">
        <v>0</v>
      </c>
      <c r="I3798" s="7">
        <f>3+1</f>
        <v>4</v>
      </c>
      <c r="J3798" s="17">
        <f>9+4</f>
        <v>13</v>
      </c>
      <c r="K3798" s="17"/>
      <c r="L3798" s="7">
        <f t="shared" si="1589"/>
        <v>17</v>
      </c>
      <c r="M3798" s="8">
        <v>1</v>
      </c>
      <c r="N3798" s="8">
        <f t="shared" si="1590"/>
        <v>1</v>
      </c>
      <c r="O3798" s="11" t="s">
        <v>1702</v>
      </c>
      <c r="P3798" s="16" t="str">
        <f t="shared" si="1591"/>
        <v>27-Sep-1926</v>
      </c>
      <c r="R3798" s="16" t="str">
        <f t="shared" si="1594"/>
        <v>x</v>
      </c>
      <c r="S3798" s="16" t="str">
        <f t="shared" si="1594"/>
        <v>x</v>
      </c>
      <c r="U3798" s="46" t="str">
        <f t="shared" si="1596"/>
        <v/>
      </c>
      <c r="V3798" s="46">
        <f t="shared" si="1596"/>
        <v>17</v>
      </c>
      <c r="W3798" s="46" t="str">
        <f t="shared" si="1596"/>
        <v/>
      </c>
      <c r="X3798" s="46" t="str">
        <f t="shared" si="1596"/>
        <v/>
      </c>
    </row>
    <row r="3799" spans="2:24" x14ac:dyDescent="0.25">
      <c r="B3799" s="11" t="str">
        <f t="shared" ref="B3799:B3804" si="1597">CONCATENATE("LEVI","-",LEFT(P3799,2),UPPER(MID(P3799,4,3)),RIGHT(P3799,4))</f>
        <v>LEVI-16MAY1927</v>
      </c>
      <c r="C3799" s="11" t="s">
        <v>4392</v>
      </c>
      <c r="D3799" s="11" t="s">
        <v>2224</v>
      </c>
      <c r="E3799" s="39" t="s">
        <v>11478</v>
      </c>
      <c r="F3799" s="11" t="s">
        <v>1700</v>
      </c>
      <c r="G3799" s="39" t="s">
        <v>11477</v>
      </c>
      <c r="H3799" s="7">
        <v>0</v>
      </c>
      <c r="I3799" s="7">
        <f>3+1</f>
        <v>4</v>
      </c>
      <c r="J3799" s="17">
        <f>2+2</f>
        <v>4</v>
      </c>
      <c r="K3799" s="17"/>
      <c r="L3799" s="7">
        <f t="shared" ref="L3799:L3804" si="1598">SUM(H3799:K3799)</f>
        <v>8</v>
      </c>
      <c r="M3799" s="8">
        <v>1</v>
      </c>
      <c r="N3799" s="8">
        <f t="shared" ref="N3799:N3804" si="1599">IF(L3799&gt;0,1,"")</f>
        <v>1</v>
      </c>
      <c r="O3799" s="11" t="s">
        <v>1702</v>
      </c>
      <c r="P3799" s="16" t="str">
        <f t="shared" ref="P3799:P3804" si="1600">IF(LEN(G3799)=10,CONCATENATE("0",G3799),G3799)</f>
        <v>16-May-1927</v>
      </c>
      <c r="R3799" s="16" t="str">
        <f t="shared" si="1594"/>
        <v>x</v>
      </c>
      <c r="S3799" s="16" t="str">
        <f t="shared" si="1594"/>
        <v>x</v>
      </c>
      <c r="U3799" s="46" t="str">
        <f t="shared" si="1596"/>
        <v/>
      </c>
      <c r="V3799" s="46">
        <f t="shared" si="1596"/>
        <v>8</v>
      </c>
      <c r="W3799" s="46" t="str">
        <f t="shared" si="1596"/>
        <v/>
      </c>
      <c r="X3799" s="46" t="str">
        <f t="shared" si="1596"/>
        <v/>
      </c>
    </row>
    <row r="3800" spans="2:24" x14ac:dyDescent="0.25">
      <c r="B3800" s="11" t="str">
        <f t="shared" si="1597"/>
        <v>LEVI-18JUL1927</v>
      </c>
      <c r="C3800" s="11" t="s">
        <v>4392</v>
      </c>
      <c r="D3800" s="11" t="s">
        <v>2224</v>
      </c>
      <c r="E3800" s="39" t="s">
        <v>5605</v>
      </c>
      <c r="F3800" s="11" t="s">
        <v>1700</v>
      </c>
      <c r="G3800" s="39" t="s">
        <v>6305</v>
      </c>
      <c r="H3800" s="7">
        <f>0+2</f>
        <v>2</v>
      </c>
      <c r="I3800" s="7">
        <v>4</v>
      </c>
      <c r="J3800" s="17">
        <f>2+1</f>
        <v>3</v>
      </c>
      <c r="K3800" s="17"/>
      <c r="L3800" s="7">
        <f t="shared" si="1598"/>
        <v>9</v>
      </c>
      <c r="M3800" s="8">
        <v>1</v>
      </c>
      <c r="N3800" s="8">
        <f t="shared" si="1599"/>
        <v>1</v>
      </c>
      <c r="O3800" s="11" t="s">
        <v>1702</v>
      </c>
      <c r="P3800" s="16" t="str">
        <f t="shared" si="1600"/>
        <v>18-Jul-1927</v>
      </c>
      <c r="R3800" s="16" t="str">
        <f t="shared" si="1594"/>
        <v>x</v>
      </c>
      <c r="S3800" s="16" t="str">
        <f t="shared" si="1594"/>
        <v>x</v>
      </c>
      <c r="U3800" s="46" t="str">
        <f t="shared" si="1596"/>
        <v/>
      </c>
      <c r="V3800" s="46">
        <f t="shared" si="1596"/>
        <v>9</v>
      </c>
      <c r="W3800" s="46" t="str">
        <f t="shared" si="1596"/>
        <v/>
      </c>
      <c r="X3800" s="46" t="str">
        <f t="shared" si="1596"/>
        <v/>
      </c>
    </row>
    <row r="3801" spans="2:24" x14ac:dyDescent="0.25">
      <c r="B3801" s="11" t="str">
        <f t="shared" si="1597"/>
        <v>LEVI-08NOV1927</v>
      </c>
      <c r="C3801" s="11" t="s">
        <v>4392</v>
      </c>
      <c r="D3801" s="11" t="s">
        <v>2224</v>
      </c>
      <c r="E3801" s="39" t="s">
        <v>4887</v>
      </c>
      <c r="F3801" s="11" t="s">
        <v>1700</v>
      </c>
      <c r="G3801" s="39" t="s">
        <v>4888</v>
      </c>
      <c r="H3801" s="7">
        <v>6</v>
      </c>
      <c r="I3801" s="7">
        <v>4</v>
      </c>
      <c r="J3801" s="17">
        <f>7+1</f>
        <v>8</v>
      </c>
      <c r="K3801" s="17"/>
      <c r="L3801" s="7">
        <f t="shared" si="1598"/>
        <v>18</v>
      </c>
      <c r="M3801" s="8">
        <v>1</v>
      </c>
      <c r="N3801" s="8">
        <f t="shared" si="1599"/>
        <v>1</v>
      </c>
      <c r="O3801" s="11" t="s">
        <v>1702</v>
      </c>
      <c r="P3801" s="16" t="str">
        <f t="shared" si="1600"/>
        <v>08-Nov-1927</v>
      </c>
      <c r="R3801" s="16" t="str">
        <f t="shared" si="1594"/>
        <v>x</v>
      </c>
      <c r="S3801" s="16" t="str">
        <f t="shared" si="1594"/>
        <v>x</v>
      </c>
      <c r="U3801" s="46" t="str">
        <f t="shared" si="1596"/>
        <v/>
      </c>
      <c r="V3801" s="46">
        <f t="shared" si="1596"/>
        <v>18</v>
      </c>
      <c r="W3801" s="46" t="str">
        <f t="shared" si="1596"/>
        <v/>
      </c>
      <c r="X3801" s="46" t="str">
        <f t="shared" si="1596"/>
        <v/>
      </c>
    </row>
    <row r="3802" spans="2:24" x14ac:dyDescent="0.25">
      <c r="B3802" s="11" t="str">
        <f t="shared" si="1597"/>
        <v>LEVI-21DEC1927</v>
      </c>
      <c r="C3802" s="11" t="s">
        <v>4392</v>
      </c>
      <c r="D3802" s="11" t="s">
        <v>2224</v>
      </c>
      <c r="E3802" s="39" t="s">
        <v>11337</v>
      </c>
      <c r="F3802" s="11" t="s">
        <v>1700</v>
      </c>
      <c r="G3802" s="39" t="s">
        <v>11336</v>
      </c>
      <c r="H3802" s="7">
        <v>0</v>
      </c>
      <c r="I3802" s="7">
        <f>15+3</f>
        <v>18</v>
      </c>
      <c r="J3802" s="17">
        <f>17+1</f>
        <v>18</v>
      </c>
      <c r="K3802" s="17"/>
      <c r="L3802" s="7">
        <f t="shared" si="1598"/>
        <v>36</v>
      </c>
      <c r="M3802" s="8">
        <v>1</v>
      </c>
      <c r="N3802" s="8">
        <f t="shared" si="1599"/>
        <v>1</v>
      </c>
      <c r="O3802" s="11" t="s">
        <v>1702</v>
      </c>
      <c r="P3802" s="16" t="str">
        <f t="shared" si="1600"/>
        <v>21-Dec-1927</v>
      </c>
      <c r="R3802" s="16" t="str">
        <f t="shared" si="1594"/>
        <v>x</v>
      </c>
      <c r="S3802" s="16" t="str">
        <f t="shared" si="1594"/>
        <v>x</v>
      </c>
      <c r="U3802" s="46" t="str">
        <f t="shared" si="1596"/>
        <v/>
      </c>
      <c r="V3802" s="46">
        <f t="shared" si="1596"/>
        <v>36</v>
      </c>
      <c r="W3802" s="46" t="str">
        <f t="shared" si="1596"/>
        <v/>
      </c>
      <c r="X3802" s="46" t="str">
        <f t="shared" si="1596"/>
        <v/>
      </c>
    </row>
    <row r="3803" spans="2:24" x14ac:dyDescent="0.25">
      <c r="B3803" s="11" t="str">
        <f t="shared" si="1597"/>
        <v>LEVI-19MAR1928</v>
      </c>
      <c r="C3803" s="11" t="s">
        <v>4392</v>
      </c>
      <c r="D3803" s="11" t="s">
        <v>2224</v>
      </c>
      <c r="E3803" s="39" t="s">
        <v>5013</v>
      </c>
      <c r="F3803" s="11" t="s">
        <v>1700</v>
      </c>
      <c r="G3803" s="39" t="s">
        <v>5014</v>
      </c>
      <c r="H3803" s="7">
        <v>0</v>
      </c>
      <c r="I3803" s="7">
        <v>2</v>
      </c>
      <c r="J3803" s="17">
        <f>2+1</f>
        <v>3</v>
      </c>
      <c r="K3803" s="17"/>
      <c r="L3803" s="7">
        <f t="shared" si="1598"/>
        <v>5</v>
      </c>
      <c r="M3803" s="8">
        <v>1</v>
      </c>
      <c r="N3803" s="8">
        <f t="shared" si="1599"/>
        <v>1</v>
      </c>
      <c r="O3803" s="11" t="s">
        <v>1702</v>
      </c>
      <c r="P3803" s="16" t="str">
        <f t="shared" si="1600"/>
        <v>19-Mar-1928</v>
      </c>
      <c r="R3803" s="16" t="str">
        <f t="shared" si="1594"/>
        <v>x</v>
      </c>
      <c r="S3803" s="16" t="str">
        <f t="shared" si="1594"/>
        <v>x</v>
      </c>
      <c r="U3803" s="46" t="str">
        <f t="shared" si="1596"/>
        <v/>
      </c>
      <c r="V3803" s="46">
        <f t="shared" si="1596"/>
        <v>5</v>
      </c>
      <c r="W3803" s="46" t="str">
        <f t="shared" si="1596"/>
        <v/>
      </c>
      <c r="X3803" s="46" t="str">
        <f t="shared" si="1596"/>
        <v/>
      </c>
    </row>
    <row r="3804" spans="2:24" x14ac:dyDescent="0.25">
      <c r="B3804" s="11" t="str">
        <f t="shared" si="1597"/>
        <v>LEVI-30JUN1928</v>
      </c>
      <c r="C3804" s="11" t="s">
        <v>4392</v>
      </c>
      <c r="D3804" s="11" t="s">
        <v>2224</v>
      </c>
      <c r="E3804" s="39" t="s">
        <v>6240</v>
      </c>
      <c r="F3804" s="11" t="s">
        <v>1700</v>
      </c>
      <c r="G3804" s="39" t="s">
        <v>6113</v>
      </c>
      <c r="H3804" s="7">
        <v>0</v>
      </c>
      <c r="I3804" s="7">
        <v>2</v>
      </c>
      <c r="J3804" s="17">
        <f>14+3</f>
        <v>17</v>
      </c>
      <c r="K3804" s="17"/>
      <c r="L3804" s="7">
        <f t="shared" si="1598"/>
        <v>19</v>
      </c>
      <c r="M3804" s="8">
        <v>1</v>
      </c>
      <c r="N3804" s="8">
        <f t="shared" si="1599"/>
        <v>1</v>
      </c>
      <c r="O3804" s="11" t="s">
        <v>1702</v>
      </c>
      <c r="P3804" s="16" t="str">
        <f t="shared" si="1600"/>
        <v>30-Jun-1928</v>
      </c>
      <c r="R3804" s="16" t="str">
        <f t="shared" si="1594"/>
        <v>x</v>
      </c>
      <c r="S3804" s="16" t="str">
        <f t="shared" si="1594"/>
        <v>x</v>
      </c>
      <c r="U3804" s="46" t="str">
        <f t="shared" si="1596"/>
        <v/>
      </c>
      <c r="V3804" s="46">
        <f t="shared" si="1596"/>
        <v>19</v>
      </c>
      <c r="W3804" s="46" t="str">
        <f t="shared" si="1596"/>
        <v/>
      </c>
      <c r="X3804" s="46" t="str">
        <f t="shared" si="1596"/>
        <v/>
      </c>
    </row>
    <row r="3805" spans="2:24" x14ac:dyDescent="0.25">
      <c r="B3805" s="11" t="str">
        <f>CONCATENATE("LEVI","-",LEFT(P3805,2),UPPER(MID(P3805,4,3)),RIGHT(P3805,4))</f>
        <v>LEVI-19JUL1928</v>
      </c>
      <c r="C3805" s="11" t="s">
        <v>4392</v>
      </c>
      <c r="D3805" s="11" t="s">
        <v>2224</v>
      </c>
      <c r="E3805" s="39" t="s">
        <v>4515</v>
      </c>
      <c r="F3805" s="11" t="s">
        <v>1700</v>
      </c>
      <c r="G3805" s="39" t="s">
        <v>4516</v>
      </c>
      <c r="H3805" s="7">
        <v>0</v>
      </c>
      <c r="I3805" s="7">
        <f>3+1</f>
        <v>4</v>
      </c>
      <c r="J3805" s="17">
        <f>6+6</f>
        <v>12</v>
      </c>
      <c r="K3805" s="17"/>
      <c r="L3805" s="7">
        <f>SUM(H3805:K3805)</f>
        <v>16</v>
      </c>
      <c r="M3805" s="8">
        <v>1</v>
      </c>
      <c r="N3805" s="8">
        <f>IF(L3805&gt;0,1,"")</f>
        <v>1</v>
      </c>
      <c r="O3805" s="11" t="s">
        <v>1702</v>
      </c>
      <c r="P3805" s="16" t="str">
        <f>IF(LEN(G3805)=10,CONCATENATE("0",G3805),G3805)</f>
        <v>19-Jul-1928</v>
      </c>
      <c r="R3805" s="16" t="str">
        <f t="shared" si="1594"/>
        <v>x</v>
      </c>
      <c r="S3805" s="16" t="str">
        <f t="shared" si="1594"/>
        <v>x</v>
      </c>
      <c r="U3805" s="46" t="str">
        <f>IF($O3805=U$5,$L3805,"")</f>
        <v/>
      </c>
      <c r="V3805" s="46">
        <f>IF($O3805=V$5,$L3805,"")</f>
        <v>16</v>
      </c>
      <c r="W3805" s="46" t="str">
        <f>IF($O3805=W$5,$L3805,"")</f>
        <v/>
      </c>
      <c r="X3805" s="46" t="str">
        <f>IF($O3805=X$5,$L3805,"")</f>
        <v/>
      </c>
    </row>
    <row r="3806" spans="2:24" x14ac:dyDescent="0.25">
      <c r="B3806" s="11" t="str">
        <f t="shared" ref="B3806:B3812" si="1601">CONCATENATE("LEVI","-",LEFT(P3806,2),UPPER(MID(P3806,4,3)),RIGHT(P3806,4))</f>
        <v>LEVI-22OCT1928</v>
      </c>
      <c r="C3806" s="11" t="s">
        <v>4392</v>
      </c>
      <c r="D3806" s="11" t="s">
        <v>2224</v>
      </c>
      <c r="E3806" s="39" t="s">
        <v>4567</v>
      </c>
      <c r="F3806" s="11" t="s">
        <v>1700</v>
      </c>
      <c r="G3806" s="39" t="s">
        <v>11145</v>
      </c>
      <c r="H3806" s="7">
        <v>0</v>
      </c>
      <c r="I3806" s="7">
        <v>3</v>
      </c>
      <c r="J3806" s="17">
        <f>7+2</f>
        <v>9</v>
      </c>
      <c r="K3806" s="17"/>
      <c r="L3806" s="7">
        <f t="shared" ref="L3806:L3812" si="1602">SUM(H3806:K3806)</f>
        <v>12</v>
      </c>
      <c r="M3806" s="8">
        <v>1</v>
      </c>
      <c r="N3806" s="8">
        <f t="shared" ref="N3806:N3812" si="1603">IF(L3806&gt;0,1,"")</f>
        <v>1</v>
      </c>
      <c r="O3806" s="11" t="s">
        <v>1702</v>
      </c>
      <c r="P3806" s="16" t="str">
        <f t="shared" ref="P3806:P3812" si="1604">IF(LEN(G3806)=10,CONCATENATE("0",G3806),G3806)</f>
        <v>22-Oct-1928</v>
      </c>
      <c r="R3806" s="16" t="str">
        <f t="shared" si="1594"/>
        <v>x</v>
      </c>
      <c r="S3806" s="16" t="str">
        <f t="shared" si="1594"/>
        <v>x</v>
      </c>
      <c r="U3806" s="46" t="str">
        <f t="shared" ref="U3806:X3812" si="1605">IF($O3806=U$5,$L3806,"")</f>
        <v/>
      </c>
      <c r="V3806" s="46">
        <f t="shared" si="1605"/>
        <v>12</v>
      </c>
      <c r="W3806" s="46" t="str">
        <f t="shared" si="1605"/>
        <v/>
      </c>
      <c r="X3806" s="46" t="str">
        <f t="shared" si="1605"/>
        <v/>
      </c>
    </row>
    <row r="3807" spans="2:24" x14ac:dyDescent="0.25">
      <c r="B3807" s="11" t="str">
        <f t="shared" si="1601"/>
        <v>LEVI-20DEC1928</v>
      </c>
      <c r="C3807" s="11" t="s">
        <v>4392</v>
      </c>
      <c r="D3807" s="11" t="s">
        <v>2224</v>
      </c>
      <c r="E3807" s="39" t="s">
        <v>5971</v>
      </c>
      <c r="F3807" s="11" t="s">
        <v>1700</v>
      </c>
      <c r="G3807" s="39" t="s">
        <v>5972</v>
      </c>
      <c r="H3807" s="7">
        <v>0</v>
      </c>
      <c r="I3807" s="7">
        <v>4</v>
      </c>
      <c r="J3807" s="17">
        <f>0+2</f>
        <v>2</v>
      </c>
      <c r="K3807" s="17"/>
      <c r="L3807" s="7">
        <f t="shared" si="1602"/>
        <v>6</v>
      </c>
      <c r="M3807" s="8">
        <v>1</v>
      </c>
      <c r="N3807" s="8">
        <f t="shared" si="1603"/>
        <v>1</v>
      </c>
      <c r="O3807" s="11" t="s">
        <v>1702</v>
      </c>
      <c r="P3807" s="16" t="str">
        <f t="shared" si="1604"/>
        <v>20-Dec-1928</v>
      </c>
      <c r="R3807" s="16" t="str">
        <f t="shared" si="1594"/>
        <v>x</v>
      </c>
      <c r="S3807" s="16" t="str">
        <f t="shared" si="1594"/>
        <v>x</v>
      </c>
      <c r="T3807" s="11"/>
      <c r="U3807" s="46" t="str">
        <f t="shared" si="1605"/>
        <v/>
      </c>
      <c r="V3807" s="46">
        <f t="shared" si="1605"/>
        <v>6</v>
      </c>
      <c r="W3807" s="46" t="str">
        <f t="shared" si="1605"/>
        <v/>
      </c>
      <c r="X3807" s="46" t="str">
        <f t="shared" si="1605"/>
        <v/>
      </c>
    </row>
    <row r="3808" spans="2:24" x14ac:dyDescent="0.25">
      <c r="B3808" s="11" t="str">
        <f>CONCATENATE("LEVI","-",LEFT(P3808,2),UPPER(MID(P3808,4,3)),RIGHT(P3808,4))</f>
        <v>LEVI-02SEP1929</v>
      </c>
      <c r="C3808" s="11" t="s">
        <v>4392</v>
      </c>
      <c r="D3808" s="11" t="s">
        <v>2224</v>
      </c>
      <c r="E3808" s="39" t="s">
        <v>5899</v>
      </c>
      <c r="F3808" s="11" t="s">
        <v>1700</v>
      </c>
      <c r="G3808" s="39" t="s">
        <v>11288</v>
      </c>
      <c r="H3808" s="7">
        <v>1</v>
      </c>
      <c r="I3808" s="7">
        <v>2</v>
      </c>
      <c r="J3808" s="17">
        <v>7</v>
      </c>
      <c r="K3808" s="17"/>
      <c r="L3808" s="7">
        <f>SUM(H3808:K3808)</f>
        <v>10</v>
      </c>
      <c r="M3808" s="8">
        <v>1</v>
      </c>
      <c r="N3808" s="8">
        <f>IF(L3808&gt;0,1,"")</f>
        <v>1</v>
      </c>
      <c r="O3808" s="11" t="s">
        <v>1702</v>
      </c>
      <c r="P3808" s="16" t="str">
        <f>IF(LEN(G3808)=10,CONCATENATE("0",G3808),G3808)</f>
        <v>02-Sep-1929</v>
      </c>
      <c r="R3808" s="16" t="str">
        <f t="shared" si="1594"/>
        <v>x</v>
      </c>
      <c r="S3808" s="16" t="str">
        <f t="shared" si="1594"/>
        <v>x</v>
      </c>
      <c r="U3808" s="46" t="str">
        <f t="shared" si="1605"/>
        <v/>
      </c>
      <c r="V3808" s="46">
        <f t="shared" si="1605"/>
        <v>10</v>
      </c>
      <c r="W3808" s="46" t="str">
        <f t="shared" si="1605"/>
        <v/>
      </c>
      <c r="X3808" s="46" t="str">
        <f t="shared" si="1605"/>
        <v/>
      </c>
    </row>
    <row r="3809" spans="2:24" x14ac:dyDescent="0.25">
      <c r="B3809" s="11" t="str">
        <f t="shared" si="1601"/>
        <v>LEVI-05DEC1929</v>
      </c>
      <c r="C3809" s="11" t="s">
        <v>4392</v>
      </c>
      <c r="D3809" s="11" t="s">
        <v>2224</v>
      </c>
      <c r="E3809" s="39" t="s">
        <v>5806</v>
      </c>
      <c r="F3809" s="11" t="s">
        <v>1700</v>
      </c>
      <c r="G3809" s="39" t="s">
        <v>5807</v>
      </c>
      <c r="H3809" s="7">
        <v>0</v>
      </c>
      <c r="I3809" s="7">
        <v>2</v>
      </c>
      <c r="J3809" s="17">
        <v>11</v>
      </c>
      <c r="K3809" s="17"/>
      <c r="L3809" s="7">
        <f t="shared" si="1602"/>
        <v>13</v>
      </c>
      <c r="M3809" s="8">
        <v>1</v>
      </c>
      <c r="N3809" s="8">
        <f t="shared" si="1603"/>
        <v>1</v>
      </c>
      <c r="O3809" s="11" t="s">
        <v>1702</v>
      </c>
      <c r="P3809" s="16" t="str">
        <f t="shared" si="1604"/>
        <v>05-Dec-1929</v>
      </c>
      <c r="R3809" s="16" t="str">
        <f t="shared" si="1594"/>
        <v>x</v>
      </c>
      <c r="S3809" s="16" t="str">
        <f t="shared" si="1594"/>
        <v>x</v>
      </c>
      <c r="U3809" s="46" t="str">
        <f t="shared" si="1605"/>
        <v/>
      </c>
      <c r="V3809" s="46">
        <f t="shared" si="1605"/>
        <v>13</v>
      </c>
      <c r="W3809" s="46" t="str">
        <f t="shared" si="1605"/>
        <v/>
      </c>
      <c r="X3809" s="46" t="str">
        <f t="shared" si="1605"/>
        <v/>
      </c>
    </row>
    <row r="3810" spans="2:24" x14ac:dyDescent="0.25">
      <c r="B3810" s="11" t="str">
        <f t="shared" si="1601"/>
        <v>LEVI-09JUN1930</v>
      </c>
      <c r="C3810" s="11" t="s">
        <v>4392</v>
      </c>
      <c r="D3810" s="11" t="s">
        <v>2224</v>
      </c>
      <c r="E3810" s="39" t="s">
        <v>11141</v>
      </c>
      <c r="F3810" s="11" t="s">
        <v>1700</v>
      </c>
      <c r="G3810" s="39" t="s">
        <v>11140</v>
      </c>
      <c r="H3810" s="7">
        <v>0</v>
      </c>
      <c r="J3810" s="17">
        <f>2+1</f>
        <v>3</v>
      </c>
      <c r="K3810" s="17"/>
      <c r="L3810" s="7">
        <f t="shared" si="1602"/>
        <v>3</v>
      </c>
      <c r="M3810" s="8">
        <v>1</v>
      </c>
      <c r="N3810" s="8">
        <f t="shared" si="1603"/>
        <v>1</v>
      </c>
      <c r="O3810" s="11" t="s">
        <v>1702</v>
      </c>
      <c r="P3810" s="16" t="str">
        <f t="shared" si="1604"/>
        <v>09-Jun-1930</v>
      </c>
      <c r="R3810" s="16" t="str">
        <f t="shared" si="1594"/>
        <v>x</v>
      </c>
      <c r="S3810" s="16" t="str">
        <f t="shared" si="1594"/>
        <v>x</v>
      </c>
      <c r="U3810" s="46" t="str">
        <f t="shared" si="1605"/>
        <v/>
      </c>
      <c r="V3810" s="46">
        <f t="shared" si="1605"/>
        <v>3</v>
      </c>
      <c r="W3810" s="46" t="str">
        <f t="shared" si="1605"/>
        <v/>
      </c>
      <c r="X3810" s="46" t="str">
        <f t="shared" si="1605"/>
        <v/>
      </c>
    </row>
    <row r="3811" spans="2:24" x14ac:dyDescent="0.25">
      <c r="B3811" s="11" t="str">
        <f t="shared" si="1601"/>
        <v>LEVI-03NOV1930</v>
      </c>
      <c r="C3811" s="11" t="s">
        <v>4392</v>
      </c>
      <c r="D3811" s="11" t="s">
        <v>2224</v>
      </c>
      <c r="E3811" s="39" t="s">
        <v>5728</v>
      </c>
      <c r="F3811" s="11" t="s">
        <v>1700</v>
      </c>
      <c r="G3811" s="39" t="s">
        <v>5729</v>
      </c>
      <c r="H3811" s="7">
        <v>0</v>
      </c>
      <c r="J3811" s="17">
        <v>4</v>
      </c>
      <c r="K3811" s="17"/>
      <c r="L3811" s="7">
        <f t="shared" si="1602"/>
        <v>4</v>
      </c>
      <c r="M3811" s="8">
        <v>1</v>
      </c>
      <c r="N3811" s="8">
        <f t="shared" si="1603"/>
        <v>1</v>
      </c>
      <c r="O3811" s="11" t="s">
        <v>1702</v>
      </c>
      <c r="P3811" s="16" t="str">
        <f t="shared" si="1604"/>
        <v>03-Nov-1930</v>
      </c>
      <c r="R3811" s="16" t="str">
        <f t="shared" si="1594"/>
        <v>x</v>
      </c>
      <c r="S3811" s="16" t="str">
        <f t="shared" si="1594"/>
        <v>x</v>
      </c>
      <c r="U3811" s="46" t="str">
        <f t="shared" si="1605"/>
        <v/>
      </c>
      <c r="V3811" s="46">
        <f t="shared" si="1605"/>
        <v>4</v>
      </c>
      <c r="W3811" s="46" t="str">
        <f t="shared" si="1605"/>
        <v/>
      </c>
      <c r="X3811" s="46" t="str">
        <f t="shared" si="1605"/>
        <v/>
      </c>
    </row>
    <row r="3812" spans="2:24" x14ac:dyDescent="0.25">
      <c r="B3812" s="11" t="str">
        <f t="shared" si="1601"/>
        <v>LEVI-09OCT1931</v>
      </c>
      <c r="C3812" s="11" t="s">
        <v>4392</v>
      </c>
      <c r="D3812" s="11" t="s">
        <v>2224</v>
      </c>
      <c r="E3812" s="39" t="s">
        <v>6145</v>
      </c>
      <c r="F3812" s="11" t="s">
        <v>1700</v>
      </c>
      <c r="G3812" s="39" t="s">
        <v>6146</v>
      </c>
      <c r="H3812" s="7">
        <v>0</v>
      </c>
      <c r="J3812" s="17">
        <v>9</v>
      </c>
      <c r="K3812" s="17"/>
      <c r="L3812" s="7">
        <f t="shared" si="1602"/>
        <v>9</v>
      </c>
      <c r="M3812" s="8">
        <v>1</v>
      </c>
      <c r="N3812" s="8">
        <f t="shared" si="1603"/>
        <v>1</v>
      </c>
      <c r="O3812" s="11" t="s">
        <v>1702</v>
      </c>
      <c r="P3812" s="16" t="str">
        <f t="shared" si="1604"/>
        <v>09-Oct-1931</v>
      </c>
      <c r="R3812" s="16" t="str">
        <f t="shared" si="1594"/>
        <v>x</v>
      </c>
      <c r="S3812" s="16" t="str">
        <f t="shared" si="1594"/>
        <v>x</v>
      </c>
      <c r="U3812" s="46" t="str">
        <f t="shared" si="1605"/>
        <v/>
      </c>
      <c r="V3812" s="46">
        <f t="shared" si="1605"/>
        <v>9</v>
      </c>
      <c r="W3812" s="46" t="str">
        <f t="shared" si="1605"/>
        <v/>
      </c>
      <c r="X3812" s="46" t="str">
        <f t="shared" si="1605"/>
        <v/>
      </c>
    </row>
    <row r="3813" spans="2:24" x14ac:dyDescent="0.25">
      <c r="N3813" s="8" t="str">
        <f>IF(R3813="x",1,"")</f>
        <v/>
      </c>
      <c r="U3813" s="46" t="str">
        <f t="shared" ref="U3813:X3814" si="1606">IF($O3813=U$5,$L3813,"")</f>
        <v/>
      </c>
      <c r="V3813" s="46" t="str">
        <f t="shared" si="1606"/>
        <v/>
      </c>
      <c r="W3813" s="46" t="str">
        <f t="shared" si="1606"/>
        <v/>
      </c>
      <c r="X3813" s="46" t="str">
        <f t="shared" si="1606"/>
        <v/>
      </c>
    </row>
    <row r="3814" spans="2:24" x14ac:dyDescent="0.25">
      <c r="B3814" s="18"/>
      <c r="C3814" s="18"/>
      <c r="D3814" s="18"/>
      <c r="E3814" s="40"/>
      <c r="F3814" s="18"/>
      <c r="G3814" s="40"/>
      <c r="H3814" s="7">
        <f t="shared" ref="H3814:N3814" si="1607">SUM(H3790:H3813)</f>
        <v>13</v>
      </c>
      <c r="I3814" s="7">
        <f t="shared" si="1607"/>
        <v>61</v>
      </c>
      <c r="J3814" s="7">
        <f>SUM(J3790:J3813)</f>
        <v>147</v>
      </c>
      <c r="K3814" s="7">
        <f t="shared" si="1607"/>
        <v>0</v>
      </c>
      <c r="L3814" s="7">
        <f t="shared" si="1607"/>
        <v>221</v>
      </c>
      <c r="M3814" s="7">
        <f t="shared" si="1607"/>
        <v>23</v>
      </c>
      <c r="N3814" s="7">
        <f t="shared" si="1607"/>
        <v>23</v>
      </c>
      <c r="O3814" s="18"/>
      <c r="P3814" s="13"/>
      <c r="Q3814" s="13"/>
      <c r="S3814" s="13"/>
      <c r="T3814" s="15"/>
      <c r="U3814" s="46" t="str">
        <f t="shared" si="1606"/>
        <v/>
      </c>
      <c r="V3814" s="46" t="str">
        <f t="shared" si="1606"/>
        <v/>
      </c>
      <c r="W3814" s="46" t="str">
        <f t="shared" si="1606"/>
        <v/>
      </c>
      <c r="X3814" s="46" t="str">
        <f t="shared" si="1606"/>
        <v/>
      </c>
    </row>
    <row r="3815" spans="2:24" x14ac:dyDescent="0.25">
      <c r="B3815" s="18"/>
      <c r="C3815" s="18"/>
      <c r="D3815" s="18"/>
      <c r="E3815" s="40"/>
      <c r="F3815" s="18"/>
      <c r="G3815" s="40"/>
      <c r="N3815" s="8" t="str">
        <f>IF(R3815="x",1,"")</f>
        <v/>
      </c>
      <c r="O3815" s="18"/>
      <c r="P3815" s="13"/>
      <c r="Q3815" s="13"/>
      <c r="R3815" s="13"/>
      <c r="S3815" s="13"/>
      <c r="T3815" s="15"/>
      <c r="U3815" s="46" t="str">
        <f t="shared" ref="U3815:X3824" si="1608">IF($O3815=U$5,$L3815,"")</f>
        <v/>
      </c>
      <c r="V3815" s="46" t="str">
        <f t="shared" si="1608"/>
        <v/>
      </c>
      <c r="W3815" s="46" t="str">
        <f t="shared" si="1608"/>
        <v/>
      </c>
      <c r="X3815" s="46" t="str">
        <f t="shared" si="1608"/>
        <v/>
      </c>
    </row>
    <row r="3816" spans="2:24" x14ac:dyDescent="0.25">
      <c r="B3816" s="18"/>
      <c r="C3816" s="18"/>
      <c r="D3816" s="18"/>
      <c r="E3816" s="40"/>
      <c r="F3816" s="18"/>
      <c r="G3816" s="40"/>
      <c r="N3816" s="8" t="str">
        <f>IF(R3816="x",1,"")</f>
        <v/>
      </c>
      <c r="O3816" s="18"/>
      <c r="P3816" s="13"/>
      <c r="Q3816" s="13"/>
      <c r="R3816" s="13"/>
      <c r="S3816" s="13"/>
      <c r="T3816" s="15"/>
      <c r="U3816" s="46" t="str">
        <f t="shared" si="1608"/>
        <v/>
      </c>
      <c r="V3816" s="46" t="str">
        <f t="shared" si="1608"/>
        <v/>
      </c>
      <c r="W3816" s="46" t="str">
        <f t="shared" si="1608"/>
        <v/>
      </c>
      <c r="X3816" s="46" t="str">
        <f t="shared" si="1608"/>
        <v/>
      </c>
    </row>
    <row r="3817" spans="2:24" x14ac:dyDescent="0.25">
      <c r="B3817" s="11" t="str">
        <f>CONCATENATE("LIGU","-",LEFT(P3817,2),UPPER(MID(P3817,4,3)),RIGHT(P3817,4))</f>
        <v>LIGU-06DEC1904</v>
      </c>
      <c r="C3817" s="11" t="s">
        <v>4673</v>
      </c>
      <c r="D3817" s="11" t="s">
        <v>4674</v>
      </c>
      <c r="E3817" s="39" t="s">
        <v>2622</v>
      </c>
      <c r="F3817" s="11" t="s">
        <v>1700</v>
      </c>
      <c r="G3817" s="39" t="s">
        <v>4672</v>
      </c>
      <c r="H3817" s="7">
        <v>0</v>
      </c>
      <c r="I3817" s="7">
        <v>0</v>
      </c>
      <c r="J3817" s="17">
        <v>4</v>
      </c>
      <c r="K3817" s="17"/>
      <c r="L3817" s="7">
        <f>SUM(H3817:K3817)</f>
        <v>4</v>
      </c>
      <c r="M3817" s="8">
        <v>1</v>
      </c>
      <c r="N3817" s="8">
        <f>IF(L3817&gt;0,1,"")</f>
        <v>1</v>
      </c>
      <c r="O3817" s="11" t="s">
        <v>1702</v>
      </c>
      <c r="P3817" s="16" t="str">
        <f>IF(LEN(G3817)=10,CONCATENATE("0",G3817),G3817)</f>
        <v>06-Dec-1904</v>
      </c>
      <c r="R3817" s="16" t="str">
        <f>IF($L3817&gt;0,"x","")</f>
        <v>x</v>
      </c>
      <c r="S3817" s="16" t="str">
        <f>IF($L3817&gt;0,"x","")</f>
        <v>x</v>
      </c>
      <c r="U3817" s="46" t="str">
        <f t="shared" si="1608"/>
        <v/>
      </c>
      <c r="V3817" s="46">
        <f t="shared" si="1608"/>
        <v>4</v>
      </c>
      <c r="W3817" s="46" t="str">
        <f t="shared" si="1608"/>
        <v/>
      </c>
      <c r="X3817" s="46" t="str">
        <f t="shared" si="1608"/>
        <v/>
      </c>
    </row>
    <row r="3818" spans="2:24" x14ac:dyDescent="0.25">
      <c r="N3818" s="8" t="str">
        <f>IF(R3818="x",1,"")</f>
        <v/>
      </c>
      <c r="U3818" s="46" t="str">
        <f t="shared" si="1608"/>
        <v/>
      </c>
      <c r="V3818" s="46" t="str">
        <f t="shared" si="1608"/>
        <v/>
      </c>
      <c r="W3818" s="46" t="str">
        <f t="shared" si="1608"/>
        <v/>
      </c>
      <c r="X3818" s="46" t="str">
        <f t="shared" si="1608"/>
        <v/>
      </c>
    </row>
    <row r="3819" spans="2:24" x14ac:dyDescent="0.25">
      <c r="B3819" s="18"/>
      <c r="C3819" s="18"/>
      <c r="D3819" s="18"/>
      <c r="E3819" s="40"/>
      <c r="F3819" s="18"/>
      <c r="G3819" s="40"/>
      <c r="H3819" s="7">
        <f t="shared" ref="H3819:N3819" si="1609">SUM(H3817:H3818)</f>
        <v>0</v>
      </c>
      <c r="I3819" s="7">
        <f t="shared" si="1609"/>
        <v>0</v>
      </c>
      <c r="J3819" s="7">
        <f>SUM(J3817:J3818)</f>
        <v>4</v>
      </c>
      <c r="K3819" s="7">
        <f t="shared" si="1609"/>
        <v>0</v>
      </c>
      <c r="L3819" s="7">
        <f t="shared" si="1609"/>
        <v>4</v>
      </c>
      <c r="M3819" s="7">
        <f t="shared" si="1609"/>
        <v>1</v>
      </c>
      <c r="N3819" s="7">
        <f t="shared" si="1609"/>
        <v>1</v>
      </c>
      <c r="O3819" s="18"/>
      <c r="P3819" s="13"/>
      <c r="Q3819" s="13"/>
      <c r="S3819" s="13"/>
      <c r="T3819" s="15"/>
      <c r="U3819" s="46" t="str">
        <f t="shared" si="1608"/>
        <v/>
      </c>
      <c r="V3819" s="46" t="str">
        <f t="shared" si="1608"/>
        <v/>
      </c>
      <c r="W3819" s="46" t="str">
        <f t="shared" si="1608"/>
        <v/>
      </c>
      <c r="X3819" s="46" t="str">
        <f t="shared" si="1608"/>
        <v/>
      </c>
    </row>
    <row r="3820" spans="2:24" x14ac:dyDescent="0.25">
      <c r="B3820" s="18"/>
      <c r="C3820" s="18"/>
      <c r="D3820" s="18"/>
      <c r="E3820" s="40"/>
      <c r="F3820" s="18"/>
      <c r="G3820" s="40"/>
      <c r="N3820" s="8" t="str">
        <f>IF(R3820="x",1,"")</f>
        <v/>
      </c>
      <c r="O3820" s="18"/>
      <c r="P3820" s="13"/>
      <c r="Q3820" s="13"/>
      <c r="R3820" s="13"/>
      <c r="S3820" s="13"/>
      <c r="T3820" s="15"/>
      <c r="U3820" s="46" t="str">
        <f t="shared" si="1608"/>
        <v/>
      </c>
      <c r="V3820" s="46" t="str">
        <f t="shared" si="1608"/>
        <v/>
      </c>
      <c r="W3820" s="46" t="str">
        <f t="shared" si="1608"/>
        <v/>
      </c>
      <c r="X3820" s="46" t="str">
        <f t="shared" si="1608"/>
        <v/>
      </c>
    </row>
    <row r="3821" spans="2:24" x14ac:dyDescent="0.25">
      <c r="B3821" s="18"/>
      <c r="C3821" s="18"/>
      <c r="D3821" s="18"/>
      <c r="E3821" s="40"/>
      <c r="F3821" s="18"/>
      <c r="G3821" s="40"/>
      <c r="N3821" s="8" t="str">
        <f>IF(R3821="x",1,"")</f>
        <v/>
      </c>
      <c r="O3821" s="18"/>
      <c r="P3821" s="13"/>
      <c r="Q3821" s="13"/>
      <c r="R3821" s="13"/>
      <c r="S3821" s="13"/>
      <c r="T3821" s="15"/>
      <c r="U3821" s="46" t="str">
        <f t="shared" si="1608"/>
        <v/>
      </c>
      <c r="V3821" s="46" t="str">
        <f t="shared" si="1608"/>
        <v/>
      </c>
      <c r="W3821" s="46" t="str">
        <f t="shared" si="1608"/>
        <v/>
      </c>
      <c r="X3821" s="46" t="str">
        <f t="shared" si="1608"/>
        <v/>
      </c>
    </row>
    <row r="3822" spans="2:24" x14ac:dyDescent="0.25">
      <c r="B3822" s="11" t="str">
        <f>CONCATENATE("LITU","-",LEFT(P3822,2),UPPER(MID(P3822,4,3)),RIGHT(P3822,4))</f>
        <v>LITU-16APR1912</v>
      </c>
      <c r="C3822" s="11" t="s">
        <v>5376</v>
      </c>
      <c r="D3822" s="11" t="s">
        <v>5100</v>
      </c>
      <c r="E3822" s="39" t="s">
        <v>5377</v>
      </c>
      <c r="F3822" s="11" t="s">
        <v>1700</v>
      </c>
      <c r="G3822" s="39" t="s">
        <v>5378</v>
      </c>
      <c r="I3822" s="7">
        <v>0</v>
      </c>
      <c r="J3822" s="17">
        <v>1</v>
      </c>
      <c r="K3822" s="17"/>
      <c r="L3822" s="7">
        <f>SUM(H3822:K3822)</f>
        <v>1</v>
      </c>
      <c r="M3822" s="8">
        <v>1</v>
      </c>
      <c r="N3822" s="8">
        <f>IF(L3822&gt;0,1,"")</f>
        <v>1</v>
      </c>
      <c r="O3822" s="11" t="s">
        <v>1702</v>
      </c>
      <c r="P3822" s="16" t="str">
        <f>IF(LEN(G3822)=10,CONCATENATE("0",G3822),G3822)</f>
        <v>16-Apr-1912</v>
      </c>
      <c r="R3822" s="16" t="str">
        <f>IF($L3822&gt;0,"x","")</f>
        <v>x</v>
      </c>
      <c r="S3822" s="16" t="str">
        <f>IF($L3822&gt;0,"x","")</f>
        <v>x</v>
      </c>
      <c r="U3822" s="46" t="str">
        <f t="shared" si="1608"/>
        <v/>
      </c>
      <c r="V3822" s="46">
        <f t="shared" si="1608"/>
        <v>1</v>
      </c>
      <c r="W3822" s="46" t="str">
        <f t="shared" si="1608"/>
        <v/>
      </c>
      <c r="X3822" s="46" t="str">
        <f t="shared" si="1608"/>
        <v/>
      </c>
    </row>
    <row r="3823" spans="2:24" x14ac:dyDescent="0.25">
      <c r="N3823" s="8" t="str">
        <f>IF(R3823="x",1,"")</f>
        <v/>
      </c>
      <c r="U3823" s="46" t="str">
        <f t="shared" si="1608"/>
        <v/>
      </c>
      <c r="V3823" s="46" t="str">
        <f t="shared" si="1608"/>
        <v/>
      </c>
      <c r="W3823" s="46" t="str">
        <f t="shared" si="1608"/>
        <v/>
      </c>
      <c r="X3823" s="46" t="str">
        <f>IF($O3823=X$5,$L3823,"")</f>
        <v/>
      </c>
    </row>
    <row r="3824" spans="2:24" x14ac:dyDescent="0.25">
      <c r="B3824" s="18"/>
      <c r="C3824" s="18"/>
      <c r="D3824" s="18"/>
      <c r="E3824" s="40"/>
      <c r="F3824" s="18"/>
      <c r="G3824" s="40"/>
      <c r="H3824" s="7">
        <f t="shared" ref="H3824:N3824" si="1610">SUM(H3822:H3823)</f>
        <v>0</v>
      </c>
      <c r="I3824" s="7">
        <f t="shared" si="1610"/>
        <v>0</v>
      </c>
      <c r="J3824" s="7">
        <f>SUM(J3822:J3823)</f>
        <v>1</v>
      </c>
      <c r="K3824" s="7">
        <f t="shared" si="1610"/>
        <v>0</v>
      </c>
      <c r="L3824" s="7">
        <f t="shared" si="1610"/>
        <v>1</v>
      </c>
      <c r="M3824" s="7">
        <f t="shared" si="1610"/>
        <v>1</v>
      </c>
      <c r="N3824" s="7">
        <f t="shared" si="1610"/>
        <v>1</v>
      </c>
      <c r="O3824" s="18"/>
      <c r="P3824" s="13"/>
      <c r="Q3824" s="13"/>
      <c r="S3824" s="13"/>
      <c r="T3824" s="15"/>
      <c r="U3824" s="46" t="str">
        <f t="shared" si="1608"/>
        <v/>
      </c>
      <c r="V3824" s="46" t="str">
        <f t="shared" si="1608"/>
        <v/>
      </c>
      <c r="W3824" s="46" t="str">
        <f t="shared" si="1608"/>
        <v/>
      </c>
      <c r="X3824" s="46" t="str">
        <f t="shared" si="1608"/>
        <v/>
      </c>
    </row>
    <row r="3825" spans="2:26" x14ac:dyDescent="0.25">
      <c r="B3825" s="18"/>
      <c r="C3825" s="18"/>
      <c r="D3825" s="18"/>
      <c r="E3825" s="40"/>
      <c r="F3825" s="18"/>
      <c r="G3825" s="40"/>
      <c r="N3825" s="8" t="str">
        <f>IF(R3825="x",1,"")</f>
        <v/>
      </c>
      <c r="O3825" s="18"/>
      <c r="P3825" s="13"/>
      <c r="Q3825" s="13"/>
      <c r="R3825" s="13"/>
      <c r="S3825" s="13"/>
      <c r="T3825" s="15"/>
      <c r="U3825" s="46" t="str">
        <f t="shared" ref="U3825:X3829" si="1611">IF($O3825=U$5,$L3825,"")</f>
        <v/>
      </c>
      <c r="V3825" s="46" t="str">
        <f t="shared" si="1611"/>
        <v/>
      </c>
      <c r="W3825" s="46" t="str">
        <f t="shared" si="1611"/>
        <v/>
      </c>
      <c r="X3825" s="46" t="str">
        <f t="shared" si="1611"/>
        <v/>
      </c>
    </row>
    <row r="3826" spans="2:26" x14ac:dyDescent="0.25">
      <c r="B3826" s="18"/>
      <c r="C3826" s="18"/>
      <c r="D3826" s="18"/>
      <c r="E3826" s="40"/>
      <c r="F3826" s="18"/>
      <c r="G3826" s="40"/>
      <c r="N3826" s="8" t="str">
        <f>IF(R3826="x",1,"")</f>
        <v/>
      </c>
      <c r="O3826" s="18"/>
      <c r="P3826" s="13"/>
      <c r="Q3826" s="13"/>
      <c r="R3826" s="13"/>
      <c r="S3826" s="13"/>
      <c r="T3826" s="15"/>
      <c r="U3826" s="46" t="str">
        <f t="shared" si="1611"/>
        <v/>
      </c>
      <c r="V3826" s="46" t="str">
        <f t="shared" si="1611"/>
        <v/>
      </c>
      <c r="W3826" s="46" t="str">
        <f t="shared" si="1611"/>
        <v/>
      </c>
      <c r="X3826" s="46" t="str">
        <f t="shared" si="1611"/>
        <v/>
      </c>
    </row>
    <row r="3827" spans="2:26" x14ac:dyDescent="0.25">
      <c r="B3827" s="11" t="str">
        <f>CONCATENATE("LCLI","-",LEFT(P3827,2),UPPER(MID(P3827,4,3)),RIGHT(P3827,4))</f>
        <v>LCLI-29AUG1883</v>
      </c>
      <c r="C3827" s="11" t="s">
        <v>4122</v>
      </c>
      <c r="D3827" s="11" t="s">
        <v>2097</v>
      </c>
      <c r="F3827" s="11" t="s">
        <v>3039</v>
      </c>
      <c r="G3827" s="39" t="s">
        <v>4123</v>
      </c>
      <c r="H3827" s="7">
        <v>0</v>
      </c>
      <c r="J3827" s="17">
        <v>34</v>
      </c>
      <c r="K3827" s="17"/>
      <c r="L3827" s="7">
        <f>SUM(H3827:K3827)</f>
        <v>34</v>
      </c>
      <c r="M3827" s="8">
        <v>1</v>
      </c>
      <c r="N3827" s="8">
        <f>IF(L3827&gt;0,1,"")</f>
        <v>1</v>
      </c>
      <c r="O3827" s="11" t="s">
        <v>1702</v>
      </c>
      <c r="P3827" s="16" t="str">
        <f>IF(LEN(G3827)=10,CONCATENATE("0",G3827),G3827)</f>
        <v>29-Aug-1883</v>
      </c>
      <c r="R3827" s="16" t="str">
        <f>IF($L3827&gt;0,"x","")</f>
        <v>x</v>
      </c>
      <c r="S3827" s="16" t="str">
        <f>IF($L3827&gt;0,"x","")</f>
        <v>x</v>
      </c>
      <c r="U3827" s="46" t="str">
        <f t="shared" si="1611"/>
        <v/>
      </c>
      <c r="V3827" s="46">
        <f t="shared" si="1611"/>
        <v>34</v>
      </c>
      <c r="W3827" s="46" t="str">
        <f t="shared" si="1611"/>
        <v/>
      </c>
      <c r="X3827" s="46" t="str">
        <f t="shared" si="1611"/>
        <v/>
      </c>
    </row>
    <row r="3828" spans="2:26" x14ac:dyDescent="0.25">
      <c r="B3828" s="11" t="str">
        <f>CONCATENATE("LCLI","-",LEFT(P3828,2),UPPER(MID(P3828,4,3)),RIGHT(P3828,4))</f>
        <v>LCLI-23JUL1889</v>
      </c>
      <c r="C3828" s="11" t="s">
        <v>4122</v>
      </c>
      <c r="D3828" s="11" t="s">
        <v>2097</v>
      </c>
      <c r="F3828" s="11" t="s">
        <v>3039</v>
      </c>
      <c r="G3828" s="39" t="s">
        <v>5941</v>
      </c>
      <c r="J3828" s="17">
        <v>33</v>
      </c>
      <c r="K3828" s="17"/>
      <c r="L3828" s="7">
        <f>SUM(H3828:K3828)</f>
        <v>33</v>
      </c>
      <c r="M3828" s="8">
        <v>1</v>
      </c>
      <c r="N3828" s="8">
        <f>IF(L3828&gt;0,1,"")</f>
        <v>1</v>
      </c>
      <c r="O3828" s="11" t="s">
        <v>1702</v>
      </c>
      <c r="P3828" s="16" t="str">
        <f>IF(LEN(G3828)=10,CONCATENATE("0",G3828),G3828)</f>
        <v>23-Jul-1889</v>
      </c>
      <c r="R3828" s="16" t="str">
        <f>IF($L3828&gt;0,"x","")</f>
        <v>x</v>
      </c>
      <c r="S3828" s="16" t="str">
        <f>IF($L3828&gt;0,"x","")</f>
        <v>x</v>
      </c>
      <c r="T3828" s="11"/>
      <c r="U3828" s="46" t="str">
        <f t="shared" si="1611"/>
        <v/>
      </c>
      <c r="V3828" s="46">
        <f t="shared" si="1611"/>
        <v>33</v>
      </c>
      <c r="W3828" s="46" t="str">
        <f t="shared" si="1611"/>
        <v/>
      </c>
      <c r="X3828" s="46" t="str">
        <f t="shared" si="1611"/>
        <v/>
      </c>
    </row>
    <row r="3829" spans="2:26" x14ac:dyDescent="0.25">
      <c r="N3829" s="8" t="str">
        <f>IF(R3829="x",1,"")</f>
        <v/>
      </c>
      <c r="U3829" s="46" t="str">
        <f t="shared" si="1611"/>
        <v/>
      </c>
      <c r="V3829" s="46" t="str">
        <f t="shared" si="1611"/>
        <v/>
      </c>
      <c r="W3829" s="46" t="str">
        <f t="shared" si="1611"/>
        <v/>
      </c>
      <c r="X3829" s="46" t="str">
        <f t="shared" si="1611"/>
        <v/>
      </c>
    </row>
    <row r="3830" spans="2:26" x14ac:dyDescent="0.25">
      <c r="B3830" s="18"/>
      <c r="C3830" s="18"/>
      <c r="D3830" s="18"/>
      <c r="E3830" s="40"/>
      <c r="F3830" s="18"/>
      <c r="G3830" s="40"/>
      <c r="H3830" s="7">
        <f t="shared" ref="H3830:N3830" si="1612">SUM(H3827:H3829)</f>
        <v>0</v>
      </c>
      <c r="I3830" s="7">
        <f t="shared" si="1612"/>
        <v>0</v>
      </c>
      <c r="J3830" s="7">
        <f>SUM(J3827:J3829)</f>
        <v>67</v>
      </c>
      <c r="K3830" s="7">
        <f t="shared" si="1612"/>
        <v>0</v>
      </c>
      <c r="L3830" s="7">
        <f>SUM(L3827:L3829)</f>
        <v>67</v>
      </c>
      <c r="M3830" s="7">
        <f t="shared" si="1612"/>
        <v>2</v>
      </c>
      <c r="N3830" s="7">
        <f t="shared" si="1612"/>
        <v>2</v>
      </c>
      <c r="O3830" s="18"/>
      <c r="P3830" s="13"/>
      <c r="Q3830" s="13"/>
      <c r="S3830" s="13"/>
      <c r="T3830" s="15"/>
      <c r="U3830" s="46" t="str">
        <f t="shared" ref="U3830:X3951" si="1613">IF($O3830=U$5,$L3830,"")</f>
        <v/>
      </c>
      <c r="V3830" s="46" t="str">
        <f t="shared" si="1613"/>
        <v/>
      </c>
      <c r="W3830" s="46" t="str">
        <f t="shared" si="1613"/>
        <v/>
      </c>
      <c r="X3830" s="46" t="str">
        <f t="shared" si="1613"/>
        <v/>
      </c>
    </row>
    <row r="3831" spans="2:26" s="18" customFormat="1" x14ac:dyDescent="0.25">
      <c r="E3831" s="40"/>
      <c r="G3831" s="40"/>
      <c r="H3831" s="7"/>
      <c r="I3831" s="7"/>
      <c r="J3831" s="7"/>
      <c r="K3831" s="7"/>
      <c r="L3831" s="7"/>
      <c r="M3831" s="8"/>
      <c r="N3831" s="8" t="str">
        <f>IF(R3831="x",1,"")</f>
        <v/>
      </c>
      <c r="P3831" s="13"/>
      <c r="Q3831" s="13"/>
      <c r="R3831" s="13"/>
      <c r="S3831" s="13"/>
      <c r="T3831" s="15"/>
      <c r="U3831" s="46" t="str">
        <f t="shared" si="1613"/>
        <v/>
      </c>
      <c r="V3831" s="46" t="str">
        <f t="shared" si="1613"/>
        <v/>
      </c>
      <c r="W3831" s="46" t="str">
        <f t="shared" si="1613"/>
        <v/>
      </c>
      <c r="X3831" s="46" t="str">
        <f t="shared" si="1613"/>
        <v/>
      </c>
      <c r="Z3831" s="11"/>
    </row>
    <row r="3832" spans="2:26" s="18" customFormat="1" x14ac:dyDescent="0.25">
      <c r="E3832" s="40"/>
      <c r="G3832" s="40"/>
      <c r="H3832" s="7"/>
      <c r="I3832" s="7"/>
      <c r="J3832" s="7"/>
      <c r="K3832" s="7"/>
      <c r="L3832" s="7"/>
      <c r="M3832" s="8"/>
      <c r="N3832" s="8" t="str">
        <f>IF(R3832="x",1,"")</f>
        <v/>
      </c>
      <c r="P3832" s="13"/>
      <c r="Q3832" s="13"/>
      <c r="R3832" s="13"/>
      <c r="S3832" s="13"/>
      <c r="T3832" s="15"/>
      <c r="U3832" s="46" t="str">
        <f t="shared" si="1613"/>
        <v/>
      </c>
      <c r="V3832" s="46" t="str">
        <f t="shared" si="1613"/>
        <v/>
      </c>
      <c r="W3832" s="46" t="str">
        <f t="shared" si="1613"/>
        <v/>
      </c>
      <c r="X3832" s="46" t="str">
        <f t="shared" si="1613"/>
        <v/>
      </c>
      <c r="Z3832" s="11"/>
    </row>
    <row r="3833" spans="2:26" x14ac:dyDescent="0.25">
      <c r="B3833" s="11" t="str">
        <f>CONCATENATE("LRDG","-",LEFT(P3833,2),UPPER(MID(P3833,4,3)),RIGHT(P3833,4))</f>
        <v>LRDG-17MAY1887</v>
      </c>
      <c r="C3833" s="11" t="s">
        <v>3221</v>
      </c>
      <c r="D3833" s="11" t="s">
        <v>2097</v>
      </c>
      <c r="E3833" s="39" t="s">
        <v>11352</v>
      </c>
      <c r="F3833" s="11" t="s">
        <v>3039</v>
      </c>
      <c r="G3833" s="39" t="s">
        <v>11353</v>
      </c>
      <c r="J3833" s="17">
        <v>38</v>
      </c>
      <c r="K3833" s="17"/>
      <c r="L3833" s="7">
        <f>SUM(H3833:K3833)</f>
        <v>38</v>
      </c>
      <c r="M3833" s="8">
        <v>1</v>
      </c>
      <c r="N3833" s="8">
        <f>IF(L3833&gt;0,1,"")</f>
        <v>1</v>
      </c>
      <c r="O3833" s="11" t="s">
        <v>1702</v>
      </c>
      <c r="P3833" s="16" t="str">
        <f>IF(LEN(G3833)=10,CONCATENATE("0",G3833),G3833)</f>
        <v>17-May-1887</v>
      </c>
      <c r="R3833" s="16" t="str">
        <f>IF($L3833&gt;0,"x","")</f>
        <v>x</v>
      </c>
      <c r="S3833" s="16" t="str">
        <f>IF($L3833&gt;0,"x","")</f>
        <v>x</v>
      </c>
      <c r="U3833" s="46" t="str">
        <f t="shared" si="1613"/>
        <v/>
      </c>
      <c r="V3833" s="46">
        <f t="shared" si="1613"/>
        <v>38</v>
      </c>
      <c r="W3833" s="46" t="str">
        <f t="shared" si="1613"/>
        <v/>
      </c>
      <c r="X3833" s="46" t="str">
        <f t="shared" si="1613"/>
        <v/>
      </c>
    </row>
    <row r="3834" spans="2:26" x14ac:dyDescent="0.25">
      <c r="B3834" s="11" t="str">
        <f>CONCATENATE("LRDG","-",LEFT(P3834,2),UPPER(MID(P3834,4,3)),RIGHT(P3834,4))</f>
        <v>LRDG-22MAY1893</v>
      </c>
      <c r="C3834" s="11" t="s">
        <v>3221</v>
      </c>
      <c r="D3834" s="11" t="s">
        <v>2097</v>
      </c>
      <c r="E3834" s="39" t="s">
        <v>3222</v>
      </c>
      <c r="F3834" s="11" t="s">
        <v>3039</v>
      </c>
      <c r="G3834" s="39" t="s">
        <v>3223</v>
      </c>
      <c r="H3834" s="7">
        <v>0</v>
      </c>
      <c r="I3834" s="7">
        <v>0</v>
      </c>
      <c r="J3834" s="17">
        <v>2</v>
      </c>
      <c r="K3834" s="17"/>
      <c r="L3834" s="7">
        <f>SUM(H3834:K3834)</f>
        <v>2</v>
      </c>
      <c r="M3834" s="8">
        <v>1</v>
      </c>
      <c r="N3834" s="8">
        <f>IF(L3834&gt;0,1,"")</f>
        <v>1</v>
      </c>
      <c r="O3834" s="11" t="s">
        <v>1702</v>
      </c>
      <c r="P3834" s="16" t="str">
        <f>IF(LEN(G3834)=10,CONCATENATE("0",G3834),G3834)</f>
        <v>22-May-1893</v>
      </c>
      <c r="R3834" s="16" t="str">
        <f>IF($L3834&gt;0,"x","")</f>
        <v>x</v>
      </c>
      <c r="S3834" s="16" t="str">
        <f>IF($L3834&gt;0,"x","")</f>
        <v>x</v>
      </c>
      <c r="U3834" s="46" t="str">
        <f>IF($O3834=U$5,$L3834,"")</f>
        <v/>
      </c>
      <c r="V3834" s="46">
        <f>IF($O3834=V$5,$L3834,"")</f>
        <v>2</v>
      </c>
      <c r="W3834" s="46" t="str">
        <f>IF($O3834=W$5,$L3834,"")</f>
        <v/>
      </c>
      <c r="X3834" s="46" t="str">
        <f>IF($O3834=X$5,$L3834,"")</f>
        <v/>
      </c>
    </row>
    <row r="3835" spans="2:26" x14ac:dyDescent="0.25">
      <c r="N3835" s="8" t="str">
        <f>IF(R3835="x",1,"")</f>
        <v/>
      </c>
      <c r="U3835" s="46" t="str">
        <f t="shared" si="1613"/>
        <v/>
      </c>
      <c r="V3835" s="46" t="str">
        <f t="shared" si="1613"/>
        <v/>
      </c>
      <c r="W3835" s="46" t="str">
        <f t="shared" si="1613"/>
        <v/>
      </c>
      <c r="X3835" s="46" t="str">
        <f t="shared" si="1613"/>
        <v/>
      </c>
    </row>
    <row r="3836" spans="2:26" s="18" customFormat="1" x14ac:dyDescent="0.25">
      <c r="E3836" s="40"/>
      <c r="G3836" s="40"/>
      <c r="H3836" s="7">
        <f t="shared" ref="H3836:N3836" si="1614">SUM(H3833:H3835)</f>
        <v>0</v>
      </c>
      <c r="I3836" s="7">
        <f t="shared" si="1614"/>
        <v>0</v>
      </c>
      <c r="J3836" s="7">
        <f>SUM(J3833:J3835)</f>
        <v>40</v>
      </c>
      <c r="K3836" s="7">
        <f t="shared" si="1614"/>
        <v>0</v>
      </c>
      <c r="L3836" s="7">
        <f t="shared" si="1614"/>
        <v>40</v>
      </c>
      <c r="M3836" s="7">
        <f t="shared" si="1614"/>
        <v>2</v>
      </c>
      <c r="N3836" s="7">
        <f t="shared" si="1614"/>
        <v>2</v>
      </c>
      <c r="P3836" s="13"/>
      <c r="Q3836" s="13"/>
      <c r="R3836" s="16"/>
      <c r="S3836" s="13"/>
      <c r="T3836" s="15"/>
      <c r="U3836" s="46" t="str">
        <f t="shared" si="1613"/>
        <v/>
      </c>
      <c r="V3836" s="46" t="str">
        <f t="shared" si="1613"/>
        <v/>
      </c>
      <c r="W3836" s="46" t="str">
        <f t="shared" si="1613"/>
        <v/>
      </c>
      <c r="X3836" s="46" t="str">
        <f t="shared" si="1613"/>
        <v/>
      </c>
      <c r="Z3836" s="11"/>
    </row>
    <row r="3837" spans="2:26" s="18" customFormat="1" x14ac:dyDescent="0.25">
      <c r="E3837" s="40"/>
      <c r="G3837" s="40"/>
      <c r="H3837" s="7"/>
      <c r="I3837" s="7"/>
      <c r="J3837" s="7"/>
      <c r="K3837" s="7"/>
      <c r="L3837" s="7"/>
      <c r="M3837" s="8"/>
      <c r="N3837" s="8" t="str">
        <f>IF(R3837="x",1,"")</f>
        <v/>
      </c>
      <c r="P3837" s="13"/>
      <c r="Q3837" s="13"/>
      <c r="R3837" s="13"/>
      <c r="S3837" s="13"/>
      <c r="T3837" s="15"/>
      <c r="U3837" s="46" t="str">
        <f t="shared" si="1613"/>
        <v/>
      </c>
      <c r="V3837" s="46" t="str">
        <f t="shared" si="1613"/>
        <v/>
      </c>
      <c r="W3837" s="46" t="str">
        <f t="shared" si="1613"/>
        <v/>
      </c>
      <c r="X3837" s="46" t="str">
        <f t="shared" si="1613"/>
        <v/>
      </c>
      <c r="Z3837" s="11"/>
    </row>
    <row r="3838" spans="2:26" s="18" customFormat="1" x14ac:dyDescent="0.25">
      <c r="E3838" s="40"/>
      <c r="G3838" s="40"/>
      <c r="H3838" s="7"/>
      <c r="I3838" s="7"/>
      <c r="J3838" s="7"/>
      <c r="K3838" s="7"/>
      <c r="L3838" s="7"/>
      <c r="M3838" s="8"/>
      <c r="N3838" s="8" t="str">
        <f>IF(R3838="x",1,"")</f>
        <v/>
      </c>
      <c r="P3838" s="13"/>
      <c r="Q3838" s="13"/>
      <c r="R3838" s="13"/>
      <c r="S3838" s="13"/>
      <c r="T3838" s="15"/>
      <c r="U3838" s="46" t="str">
        <f t="shared" si="1613"/>
        <v/>
      </c>
      <c r="V3838" s="46" t="str">
        <f t="shared" si="1613"/>
        <v/>
      </c>
      <c r="W3838" s="46" t="str">
        <f t="shared" si="1613"/>
        <v/>
      </c>
      <c r="X3838" s="46" t="str">
        <f t="shared" si="1613"/>
        <v/>
      </c>
      <c r="Z3838" s="11"/>
    </row>
    <row r="3839" spans="2:26" x14ac:dyDescent="0.25">
      <c r="B3839" s="11" t="str">
        <f t="shared" ref="B3839:B3846" si="1615">CONCATENATE("LSNE","-",LEFT(P3839,2),UPPER(MID(P3839,4,3)),RIGHT(P3839,4))</f>
        <v>LSNE-12SEP1908</v>
      </c>
      <c r="C3839" s="11" t="s">
        <v>86</v>
      </c>
      <c r="D3839" s="11" t="s">
        <v>1956</v>
      </c>
      <c r="E3839" s="39" t="s">
        <v>1226</v>
      </c>
      <c r="F3839" s="11" t="s">
        <v>1700</v>
      </c>
      <c r="G3839" s="39" t="s">
        <v>1473</v>
      </c>
      <c r="I3839" s="7">
        <v>2</v>
      </c>
      <c r="J3839" s="17"/>
      <c r="K3839" s="17"/>
      <c r="L3839" s="7">
        <f t="shared" ref="L3839:L3846" si="1616">SUM(H3839:K3839)</f>
        <v>2</v>
      </c>
      <c r="M3839" s="8">
        <v>1</v>
      </c>
      <c r="N3839" s="8">
        <f t="shared" ref="N3839:N3846" si="1617">IF(L3839&gt;0,1,"")</f>
        <v>1</v>
      </c>
      <c r="O3839" s="11" t="s">
        <v>1702</v>
      </c>
      <c r="P3839" s="16" t="str">
        <f t="shared" ref="P3839:P3846" si="1618">IF(LEN(G3839)=10,CONCATENATE("0",G3839),G3839)</f>
        <v>12-Sep-1908</v>
      </c>
      <c r="R3839" s="16" t="str">
        <f>IF($L3839&gt;0,"x","")</f>
        <v>x</v>
      </c>
      <c r="S3839" s="16" t="str">
        <f>IF($L3839&gt;0,"x","")</f>
        <v>x</v>
      </c>
      <c r="U3839" s="46" t="str">
        <f t="shared" si="1613"/>
        <v/>
      </c>
      <c r="V3839" s="46">
        <f t="shared" si="1613"/>
        <v>2</v>
      </c>
      <c r="W3839" s="46" t="str">
        <f t="shared" si="1613"/>
        <v/>
      </c>
      <c r="X3839" s="46" t="str">
        <f t="shared" si="1613"/>
        <v/>
      </c>
    </row>
    <row r="3840" spans="2:26" x14ac:dyDescent="0.25">
      <c r="B3840" s="11" t="str">
        <f>CONCATENATE("LSNE","-",LEFT(P3840,2),UPPER(MID(P3840,4,3)),RIGHT(P3840,4))</f>
        <v>LSNE-21MAR1909</v>
      </c>
      <c r="C3840" s="11" t="s">
        <v>86</v>
      </c>
      <c r="D3840" s="11" t="s">
        <v>1699</v>
      </c>
      <c r="E3840" s="39" t="s">
        <v>1236</v>
      </c>
      <c r="F3840" s="11" t="s">
        <v>1700</v>
      </c>
      <c r="G3840" s="39" t="s">
        <v>1477</v>
      </c>
      <c r="I3840" s="7">
        <v>0</v>
      </c>
      <c r="J3840" s="17">
        <v>3</v>
      </c>
      <c r="K3840" s="17"/>
      <c r="L3840" s="7">
        <f>SUM(H3840:K3840)</f>
        <v>3</v>
      </c>
      <c r="M3840" s="8">
        <v>1</v>
      </c>
      <c r="N3840" s="8">
        <f>IF(L3840&gt;0,1,"")</f>
        <v>1</v>
      </c>
      <c r="O3840" s="11" t="s">
        <v>1702</v>
      </c>
      <c r="P3840" s="16" t="str">
        <f>IF(LEN(G3840)=10,CONCATENATE("0",G3840),G3840)</f>
        <v>21-Mar-1909</v>
      </c>
      <c r="R3840" s="16" t="str">
        <f t="shared" ref="R3840:S3845" si="1619">IF($L3840&gt;0,"x","")</f>
        <v>x</v>
      </c>
      <c r="S3840" s="16" t="str">
        <f t="shared" si="1619"/>
        <v>x</v>
      </c>
      <c r="U3840" s="46" t="str">
        <f>IF($O3840=U$5,$L3840,"")</f>
        <v/>
      </c>
      <c r="V3840" s="46">
        <f>IF($O3840=V$5,$L3840,"")</f>
        <v>3</v>
      </c>
      <c r="W3840" s="46" t="str">
        <f>IF($O3840=W$5,$L3840,"")</f>
        <v/>
      </c>
      <c r="X3840" s="46" t="str">
        <f>IF($O3840=X$5,$L3840,"")</f>
        <v/>
      </c>
    </row>
    <row r="3841" spans="2:26" x14ac:dyDescent="0.25">
      <c r="B3841" s="11" t="str">
        <f t="shared" si="1615"/>
        <v>LSNE-11JUN1909</v>
      </c>
      <c r="C3841" s="11" t="s">
        <v>86</v>
      </c>
      <c r="D3841" s="11" t="s">
        <v>1699</v>
      </c>
      <c r="E3841" s="39" t="s">
        <v>1239</v>
      </c>
      <c r="F3841" s="11" t="s">
        <v>1700</v>
      </c>
      <c r="G3841" s="39" t="s">
        <v>3723</v>
      </c>
      <c r="I3841" s="7">
        <v>0</v>
      </c>
      <c r="J3841" s="17">
        <v>38</v>
      </c>
      <c r="K3841" s="17"/>
      <c r="L3841" s="7">
        <f t="shared" si="1616"/>
        <v>38</v>
      </c>
      <c r="M3841" s="8">
        <v>1</v>
      </c>
      <c r="N3841" s="8">
        <f t="shared" si="1617"/>
        <v>1</v>
      </c>
      <c r="O3841" s="11" t="s">
        <v>1702</v>
      </c>
      <c r="P3841" s="16" t="str">
        <f t="shared" si="1618"/>
        <v>11-Jun-1909</v>
      </c>
      <c r="R3841" s="16" t="str">
        <f t="shared" si="1619"/>
        <v>x</v>
      </c>
      <c r="S3841" s="16" t="str">
        <f t="shared" si="1619"/>
        <v>x</v>
      </c>
      <c r="U3841" s="46" t="str">
        <f t="shared" si="1613"/>
        <v/>
      </c>
      <c r="V3841" s="46">
        <f t="shared" si="1613"/>
        <v>38</v>
      </c>
      <c r="W3841" s="46" t="str">
        <f t="shared" si="1613"/>
        <v/>
      </c>
      <c r="X3841" s="46" t="str">
        <f t="shared" si="1613"/>
        <v/>
      </c>
    </row>
    <row r="3842" spans="2:26" x14ac:dyDescent="0.25">
      <c r="B3842" s="11" t="str">
        <f t="shared" si="1615"/>
        <v>LSNE-23JUL1909</v>
      </c>
      <c r="C3842" s="11" t="s">
        <v>86</v>
      </c>
      <c r="D3842" s="11" t="s">
        <v>1699</v>
      </c>
      <c r="E3842" s="39" t="s">
        <v>2047</v>
      </c>
      <c r="F3842" s="11" t="s">
        <v>1700</v>
      </c>
      <c r="G3842" s="39" t="s">
        <v>5041</v>
      </c>
      <c r="I3842" s="7">
        <v>14</v>
      </c>
      <c r="J3842" s="17">
        <v>5</v>
      </c>
      <c r="K3842" s="17"/>
      <c r="L3842" s="7">
        <f t="shared" si="1616"/>
        <v>19</v>
      </c>
      <c r="M3842" s="8">
        <v>1</v>
      </c>
      <c r="N3842" s="8">
        <f t="shared" si="1617"/>
        <v>1</v>
      </c>
      <c r="O3842" s="11" t="s">
        <v>1702</v>
      </c>
      <c r="P3842" s="16" t="str">
        <f t="shared" si="1618"/>
        <v>23-Jul-1909</v>
      </c>
      <c r="R3842" s="16" t="str">
        <f t="shared" si="1619"/>
        <v>x</v>
      </c>
      <c r="S3842" s="16" t="str">
        <f t="shared" si="1619"/>
        <v>x</v>
      </c>
      <c r="U3842" s="46" t="str">
        <f>IF($O3842=U$5,$L3842,"")</f>
        <v/>
      </c>
      <c r="V3842" s="46">
        <f>IF($O3842=V$5,$L3842,"")</f>
        <v>19</v>
      </c>
      <c r="W3842" s="46" t="str">
        <f>IF($O3842=W$5,$L3842,"")</f>
        <v/>
      </c>
      <c r="X3842" s="46" t="str">
        <f>IF($O3842=X$5,$L3842,"")</f>
        <v/>
      </c>
    </row>
    <row r="3843" spans="2:26" x14ac:dyDescent="0.25">
      <c r="B3843" s="11" t="str">
        <f t="shared" si="1615"/>
        <v>LSNE-10SEP1909</v>
      </c>
      <c r="C3843" s="11" t="s">
        <v>86</v>
      </c>
      <c r="D3843" s="11" t="s">
        <v>1699</v>
      </c>
      <c r="E3843" s="39" t="s">
        <v>87</v>
      </c>
      <c r="F3843" s="11" t="s">
        <v>1700</v>
      </c>
      <c r="G3843" s="39" t="s">
        <v>88</v>
      </c>
      <c r="H3843" s="7">
        <v>0</v>
      </c>
      <c r="I3843" s="7">
        <v>0</v>
      </c>
      <c r="J3843" s="17">
        <v>27</v>
      </c>
      <c r="K3843" s="17"/>
      <c r="L3843" s="7">
        <f t="shared" si="1616"/>
        <v>27</v>
      </c>
      <c r="M3843" s="8">
        <v>1</v>
      </c>
      <c r="N3843" s="8">
        <f t="shared" si="1617"/>
        <v>1</v>
      </c>
      <c r="O3843" s="11" t="s">
        <v>1702</v>
      </c>
      <c r="P3843" s="16" t="str">
        <f t="shared" si="1618"/>
        <v>10-Sep-1909</v>
      </c>
      <c r="R3843" s="16" t="str">
        <f t="shared" si="1619"/>
        <v>x</v>
      </c>
      <c r="S3843" s="16" t="str">
        <f t="shared" si="1619"/>
        <v>x</v>
      </c>
      <c r="U3843" s="46" t="str">
        <f t="shared" si="1613"/>
        <v/>
      </c>
      <c r="V3843" s="46">
        <f t="shared" si="1613"/>
        <v>27</v>
      </c>
      <c r="W3843" s="46" t="str">
        <f t="shared" si="1613"/>
        <v/>
      </c>
      <c r="X3843" s="46" t="str">
        <f t="shared" si="1613"/>
        <v/>
      </c>
    </row>
    <row r="3844" spans="2:26" x14ac:dyDescent="0.25">
      <c r="B3844" s="11" t="str">
        <f t="shared" si="1615"/>
        <v>LSNE-30OCT1909</v>
      </c>
      <c r="C3844" s="11" t="s">
        <v>86</v>
      </c>
      <c r="D3844" s="11" t="s">
        <v>1699</v>
      </c>
      <c r="E3844" s="39" t="s">
        <v>3846</v>
      </c>
      <c r="F3844" s="11" t="s">
        <v>1700</v>
      </c>
      <c r="G3844" s="39" t="s">
        <v>1486</v>
      </c>
      <c r="I3844" s="7">
        <v>0</v>
      </c>
      <c r="J3844" s="17">
        <v>20</v>
      </c>
      <c r="K3844" s="17"/>
      <c r="L3844" s="7">
        <f t="shared" si="1616"/>
        <v>20</v>
      </c>
      <c r="M3844" s="8">
        <v>1</v>
      </c>
      <c r="N3844" s="8">
        <f t="shared" si="1617"/>
        <v>1</v>
      </c>
      <c r="O3844" s="11" t="s">
        <v>1702</v>
      </c>
      <c r="P3844" s="16" t="str">
        <f t="shared" si="1618"/>
        <v>30-Oct-1909</v>
      </c>
      <c r="R3844" s="16" t="str">
        <f t="shared" si="1619"/>
        <v>x</v>
      </c>
      <c r="S3844" s="16" t="str">
        <f t="shared" si="1619"/>
        <v>x</v>
      </c>
      <c r="U3844" s="46" t="str">
        <f t="shared" si="1613"/>
        <v/>
      </c>
      <c r="V3844" s="46">
        <f t="shared" si="1613"/>
        <v>20</v>
      </c>
      <c r="W3844" s="46" t="str">
        <f t="shared" si="1613"/>
        <v/>
      </c>
      <c r="X3844" s="46" t="str">
        <f t="shared" si="1613"/>
        <v/>
      </c>
    </row>
    <row r="3845" spans="2:26" x14ac:dyDescent="0.25">
      <c r="B3845" s="11" t="str">
        <f>CONCATENATE("LSNE","-",LEFT(P3845,2),UPPER(MID(P3845,4,3)),RIGHT(P3845,4))</f>
        <v>LSNE-04AUG1912</v>
      </c>
      <c r="C3845" s="11" t="s">
        <v>86</v>
      </c>
      <c r="D3845" s="11" t="s">
        <v>1699</v>
      </c>
      <c r="E3845" s="39" t="s">
        <v>3862</v>
      </c>
      <c r="F3845" s="11" t="s">
        <v>1700</v>
      </c>
      <c r="G3845" s="39" t="s">
        <v>1527</v>
      </c>
      <c r="I3845" s="7">
        <v>0</v>
      </c>
      <c r="J3845" s="17">
        <v>36</v>
      </c>
      <c r="K3845" s="17"/>
      <c r="L3845" s="7">
        <f>SUM(H3845:K3845)</f>
        <v>36</v>
      </c>
      <c r="M3845" s="8">
        <v>1</v>
      </c>
      <c r="N3845" s="8">
        <f>IF(L3845&gt;0,1,"")</f>
        <v>1</v>
      </c>
      <c r="O3845" s="11" t="s">
        <v>1702</v>
      </c>
      <c r="P3845" s="16" t="str">
        <f>IF(LEN(G3845)=10,CONCATENATE("0",G3845),G3845)</f>
        <v>04-Aug-1912</v>
      </c>
      <c r="R3845" s="16" t="str">
        <f t="shared" si="1619"/>
        <v>x</v>
      </c>
      <c r="S3845" s="16" t="str">
        <f t="shared" si="1619"/>
        <v>x</v>
      </c>
      <c r="U3845" s="46" t="str">
        <f t="shared" ref="U3845:X3846" si="1620">IF($O3845=U$5,$L3845,"")</f>
        <v/>
      </c>
      <c r="V3845" s="46">
        <f t="shared" si="1620"/>
        <v>36</v>
      </c>
      <c r="W3845" s="46" t="str">
        <f t="shared" si="1620"/>
        <v/>
      </c>
      <c r="X3845" s="46" t="str">
        <f t="shared" si="1620"/>
        <v/>
      </c>
    </row>
    <row r="3846" spans="2:26" x14ac:dyDescent="0.25">
      <c r="B3846" s="11" t="str">
        <f t="shared" si="1615"/>
        <v>LSNE-28NOV1912</v>
      </c>
      <c r="C3846" s="11" t="s">
        <v>86</v>
      </c>
      <c r="D3846" s="11" t="s">
        <v>1699</v>
      </c>
      <c r="E3846" s="39" t="s">
        <v>996</v>
      </c>
      <c r="F3846" s="11" t="s">
        <v>1700</v>
      </c>
      <c r="G3846" s="39" t="s">
        <v>3952</v>
      </c>
      <c r="I3846" s="7">
        <v>0</v>
      </c>
      <c r="J3846" s="17">
        <v>28</v>
      </c>
      <c r="K3846" s="17"/>
      <c r="L3846" s="7">
        <f t="shared" si="1616"/>
        <v>28</v>
      </c>
      <c r="M3846" s="8">
        <v>1</v>
      </c>
      <c r="N3846" s="8">
        <f t="shared" si="1617"/>
        <v>1</v>
      </c>
      <c r="O3846" s="11" t="s">
        <v>1702</v>
      </c>
      <c r="P3846" s="16" t="str">
        <f t="shared" si="1618"/>
        <v>28-Nov-1912</v>
      </c>
      <c r="R3846" s="16" t="str">
        <f>IF($L3846&gt;0,"x","")</f>
        <v>x</v>
      </c>
      <c r="S3846" s="16" t="str">
        <f>IF($L3846&gt;0,"x","")</f>
        <v>x</v>
      </c>
      <c r="U3846" s="46" t="str">
        <f t="shared" si="1620"/>
        <v/>
      </c>
      <c r="V3846" s="46">
        <f t="shared" si="1620"/>
        <v>28</v>
      </c>
      <c r="W3846" s="46" t="str">
        <f t="shared" si="1620"/>
        <v/>
      </c>
      <c r="X3846" s="46" t="str">
        <f t="shared" si="1620"/>
        <v/>
      </c>
    </row>
    <row r="3847" spans="2:26" x14ac:dyDescent="0.25">
      <c r="N3847" s="8" t="str">
        <f>IF(R3847="x",1,"")</f>
        <v/>
      </c>
      <c r="U3847" s="46" t="str">
        <f t="shared" si="1613"/>
        <v/>
      </c>
      <c r="V3847" s="46" t="str">
        <f t="shared" si="1613"/>
        <v/>
      </c>
      <c r="W3847" s="46" t="str">
        <f t="shared" si="1613"/>
        <v/>
      </c>
      <c r="X3847" s="46" t="str">
        <f t="shared" si="1613"/>
        <v/>
      </c>
    </row>
    <row r="3848" spans="2:26" s="18" customFormat="1" x14ac:dyDescent="0.25">
      <c r="E3848" s="40"/>
      <c r="G3848" s="40"/>
      <c r="H3848" s="7">
        <f t="shared" ref="H3848:N3848" si="1621">SUM(H3839:H3847)</f>
        <v>0</v>
      </c>
      <c r="I3848" s="7">
        <f t="shared" si="1621"/>
        <v>16</v>
      </c>
      <c r="J3848" s="7">
        <f>SUM(J3839:J3847)</f>
        <v>157</v>
      </c>
      <c r="K3848" s="7">
        <f t="shared" si="1621"/>
        <v>0</v>
      </c>
      <c r="L3848" s="7">
        <f t="shared" si="1621"/>
        <v>173</v>
      </c>
      <c r="M3848" s="7">
        <f t="shared" si="1621"/>
        <v>8</v>
      </c>
      <c r="N3848" s="7">
        <f t="shared" si="1621"/>
        <v>8</v>
      </c>
      <c r="P3848" s="13"/>
      <c r="Q3848" s="13"/>
      <c r="R3848" s="16"/>
      <c r="S3848" s="13"/>
      <c r="T3848" s="15"/>
      <c r="U3848" s="46" t="str">
        <f t="shared" si="1613"/>
        <v/>
      </c>
      <c r="V3848" s="46" t="str">
        <f t="shared" si="1613"/>
        <v/>
      </c>
      <c r="W3848" s="46" t="str">
        <f t="shared" si="1613"/>
        <v/>
      </c>
      <c r="X3848" s="46" t="str">
        <f t="shared" si="1613"/>
        <v/>
      </c>
      <c r="Z3848" s="11"/>
    </row>
    <row r="3849" spans="2:26" s="18" customFormat="1" x14ac:dyDescent="0.25">
      <c r="E3849" s="40"/>
      <c r="G3849" s="40"/>
      <c r="H3849" s="7"/>
      <c r="I3849" s="7"/>
      <c r="J3849" s="7"/>
      <c r="K3849" s="7"/>
      <c r="L3849" s="7"/>
      <c r="M3849" s="8"/>
      <c r="N3849" s="8" t="str">
        <f>IF(R3849="x",1,"")</f>
        <v/>
      </c>
      <c r="P3849" s="13"/>
      <c r="Q3849" s="13"/>
      <c r="R3849" s="13"/>
      <c r="S3849" s="13"/>
      <c r="T3849" s="15"/>
      <c r="U3849" s="46" t="str">
        <f t="shared" si="1613"/>
        <v/>
      </c>
      <c r="V3849" s="46" t="str">
        <f t="shared" si="1613"/>
        <v/>
      </c>
      <c r="W3849" s="46" t="str">
        <f t="shared" si="1613"/>
        <v/>
      </c>
      <c r="X3849" s="46" t="str">
        <f t="shared" si="1613"/>
        <v/>
      </c>
      <c r="Z3849" s="11"/>
    </row>
    <row r="3850" spans="2:26" s="18" customFormat="1" x14ac:dyDescent="0.25">
      <c r="E3850" s="40"/>
      <c r="G3850" s="40"/>
      <c r="H3850" s="7"/>
      <c r="I3850" s="7"/>
      <c r="J3850" s="7"/>
      <c r="K3850" s="7"/>
      <c r="L3850" s="7"/>
      <c r="M3850" s="8"/>
      <c r="N3850" s="8" t="str">
        <f>IF(R3850="x",1,"")</f>
        <v/>
      </c>
      <c r="P3850" s="13"/>
      <c r="Q3850" s="13"/>
      <c r="R3850" s="13"/>
      <c r="S3850" s="13"/>
      <c r="T3850" s="15"/>
      <c r="U3850" s="46" t="str">
        <f t="shared" si="1613"/>
        <v/>
      </c>
      <c r="V3850" s="46" t="str">
        <f t="shared" si="1613"/>
        <v/>
      </c>
      <c r="W3850" s="46" t="str">
        <f t="shared" si="1613"/>
        <v/>
      </c>
      <c r="X3850" s="46" t="str">
        <f t="shared" si="1613"/>
        <v/>
      </c>
      <c r="Z3850" s="11"/>
    </row>
    <row r="3851" spans="2:26" x14ac:dyDescent="0.25">
      <c r="B3851" s="11" t="str">
        <f t="shared" ref="B3851:B3857" si="1622">CONCATENATE("LUCA","-",LEFT(P3851,2),UPPER(MID(P3851,4,3)),RIGHT(P3851,4))</f>
        <v>LUCA-07OCT1893</v>
      </c>
      <c r="C3851" s="11" t="s">
        <v>3202</v>
      </c>
      <c r="D3851" s="11" t="s">
        <v>2097</v>
      </c>
      <c r="F3851" s="11" t="s">
        <v>1700</v>
      </c>
      <c r="G3851" s="39" t="s">
        <v>4017</v>
      </c>
      <c r="H3851" s="7">
        <v>0</v>
      </c>
      <c r="I3851" s="7">
        <v>0</v>
      </c>
      <c r="J3851" s="17">
        <v>1</v>
      </c>
      <c r="K3851" s="17"/>
      <c r="L3851" s="7">
        <f t="shared" ref="L3851:L3857" si="1623">SUM(H3851:K3851)</f>
        <v>1</v>
      </c>
      <c r="M3851" s="8">
        <v>1</v>
      </c>
      <c r="N3851" s="8">
        <f t="shared" ref="N3851:N3857" si="1624">IF(L3851&gt;0,1,"")</f>
        <v>1</v>
      </c>
      <c r="O3851" s="11" t="s">
        <v>1702</v>
      </c>
      <c r="P3851" s="16" t="str">
        <f t="shared" ref="P3851:P3857" si="1625">IF(LEN(G3851)=10,CONCATENATE("0",G3851),G3851)</f>
        <v>07-Oct-1893</v>
      </c>
      <c r="R3851" s="16" t="str">
        <f>IF($L3851&gt;0,"x","")</f>
        <v>x</v>
      </c>
      <c r="S3851" s="16" t="str">
        <f>IF($L3851&gt;0,"x","")</f>
        <v>x</v>
      </c>
      <c r="U3851" s="46" t="str">
        <f t="shared" si="1613"/>
        <v/>
      </c>
      <c r="V3851" s="46">
        <f t="shared" si="1613"/>
        <v>1</v>
      </c>
      <c r="W3851" s="46" t="str">
        <f t="shared" si="1613"/>
        <v/>
      </c>
      <c r="X3851" s="46" t="str">
        <f t="shared" si="1613"/>
        <v/>
      </c>
    </row>
    <row r="3852" spans="2:26" x14ac:dyDescent="0.25">
      <c r="B3852" s="11" t="str">
        <f t="shared" si="1622"/>
        <v>LUCA-21JUL1894</v>
      </c>
      <c r="C3852" s="11" t="s">
        <v>3202</v>
      </c>
      <c r="D3852" s="11" t="s">
        <v>2097</v>
      </c>
      <c r="F3852" s="11" t="s">
        <v>1700</v>
      </c>
      <c r="G3852" s="39" t="s">
        <v>5933</v>
      </c>
      <c r="H3852" s="7">
        <v>0</v>
      </c>
      <c r="I3852" s="7">
        <v>3</v>
      </c>
      <c r="J3852" s="17">
        <v>1</v>
      </c>
      <c r="K3852" s="17"/>
      <c r="L3852" s="7">
        <f t="shared" si="1623"/>
        <v>4</v>
      </c>
      <c r="M3852" s="8">
        <v>1</v>
      </c>
      <c r="N3852" s="8">
        <f t="shared" si="1624"/>
        <v>1</v>
      </c>
      <c r="O3852" s="11" t="s">
        <v>1702</v>
      </c>
      <c r="P3852" s="16" t="str">
        <f t="shared" si="1625"/>
        <v>21-Jul-1894</v>
      </c>
      <c r="R3852" s="16" t="str">
        <f>IF($L3852&gt;0,"x","")</f>
        <v>x</v>
      </c>
      <c r="S3852" s="16" t="str">
        <f>IF($L3852&gt;0,"x","")</f>
        <v>x</v>
      </c>
      <c r="T3852" s="11"/>
      <c r="U3852" s="46" t="str">
        <f>IF($O3852=U$5,$L3852,"")</f>
        <v/>
      </c>
      <c r="V3852" s="46">
        <f>IF($O3852=V$5,$L3852,"")</f>
        <v>4</v>
      </c>
      <c r="W3852" s="46" t="str">
        <f>IF($O3852=W$5,$L3852,"")</f>
        <v/>
      </c>
      <c r="X3852" s="46" t="str">
        <f>IF($O3852=X$5,$L3852,"")</f>
        <v/>
      </c>
    </row>
    <row r="3853" spans="2:26" x14ac:dyDescent="0.25">
      <c r="B3853" s="11" t="str">
        <f t="shared" si="1622"/>
        <v>LUCA-19JAN1895</v>
      </c>
      <c r="C3853" s="11" t="s">
        <v>3202</v>
      </c>
      <c r="D3853" s="11" t="s">
        <v>2097</v>
      </c>
      <c r="F3853" s="11" t="s">
        <v>1700</v>
      </c>
      <c r="G3853" s="39" t="s">
        <v>3203</v>
      </c>
      <c r="H3853" s="7">
        <v>0</v>
      </c>
      <c r="I3853" s="7">
        <v>0</v>
      </c>
      <c r="J3853" s="17">
        <v>7</v>
      </c>
      <c r="K3853" s="17"/>
      <c r="L3853" s="7">
        <f t="shared" si="1623"/>
        <v>7</v>
      </c>
      <c r="M3853" s="8">
        <v>1</v>
      </c>
      <c r="N3853" s="8">
        <f t="shared" si="1624"/>
        <v>1</v>
      </c>
      <c r="O3853" s="11" t="s">
        <v>1702</v>
      </c>
      <c r="P3853" s="16" t="str">
        <f t="shared" si="1625"/>
        <v>19-Jan-1895</v>
      </c>
      <c r="R3853" s="16" t="str">
        <f t="shared" ref="R3853:S3857" si="1626">IF($L3853&gt;0,"x","")</f>
        <v>x</v>
      </c>
      <c r="S3853" s="16" t="str">
        <f t="shared" si="1626"/>
        <v>x</v>
      </c>
      <c r="U3853" s="46" t="str">
        <f t="shared" si="1613"/>
        <v/>
      </c>
      <c r="V3853" s="46">
        <f t="shared" si="1613"/>
        <v>7</v>
      </c>
      <c r="W3853" s="46" t="str">
        <f t="shared" si="1613"/>
        <v/>
      </c>
      <c r="X3853" s="46" t="str">
        <f t="shared" si="1613"/>
        <v/>
      </c>
    </row>
    <row r="3854" spans="2:26" x14ac:dyDescent="0.25">
      <c r="B3854" s="11" t="str">
        <f>CONCATENATE("LUCA","-",LEFT(P3854,2),UPPER(MID(P3854,4,3)),RIGHT(P3854,4))</f>
        <v>LUCA-14NOV1896</v>
      </c>
      <c r="C3854" s="11" t="s">
        <v>3202</v>
      </c>
      <c r="D3854" s="11" t="s">
        <v>2097</v>
      </c>
      <c r="F3854" s="11" t="s">
        <v>1700</v>
      </c>
      <c r="G3854" s="39" t="s">
        <v>1708</v>
      </c>
      <c r="H3854" s="7">
        <v>0</v>
      </c>
      <c r="I3854" s="7">
        <v>6</v>
      </c>
      <c r="J3854" s="17">
        <v>2</v>
      </c>
      <c r="K3854" s="17"/>
      <c r="L3854" s="7">
        <f>SUM(H3854:K3854)</f>
        <v>8</v>
      </c>
      <c r="M3854" s="8">
        <v>1</v>
      </c>
      <c r="N3854" s="8">
        <f>IF(L3854&gt;0,1,"")</f>
        <v>1</v>
      </c>
      <c r="O3854" s="11" t="s">
        <v>1702</v>
      </c>
      <c r="P3854" s="16" t="str">
        <f>IF(LEN(G3854)=10,CONCATENATE("0",G3854),G3854)</f>
        <v>14-Nov-1896</v>
      </c>
      <c r="R3854" s="16" t="str">
        <f t="shared" si="1626"/>
        <v>x</v>
      </c>
      <c r="S3854" s="16" t="str">
        <f t="shared" si="1626"/>
        <v>x</v>
      </c>
      <c r="U3854" s="46" t="str">
        <f>IF($O3854=U$5,$L3854,"")</f>
        <v/>
      </c>
      <c r="V3854" s="46">
        <f>IF($O3854=V$5,$L3854,"")</f>
        <v>8</v>
      </c>
      <c r="W3854" s="46" t="str">
        <f>IF($O3854=W$5,$L3854,"")</f>
        <v/>
      </c>
      <c r="X3854" s="46" t="str">
        <f>IF($O3854=X$5,$L3854,"")</f>
        <v/>
      </c>
    </row>
    <row r="3855" spans="2:26" x14ac:dyDescent="0.25">
      <c r="B3855" s="11" t="str">
        <f t="shared" si="1622"/>
        <v>LUCA-20SEP1902</v>
      </c>
      <c r="C3855" s="11" t="s">
        <v>3202</v>
      </c>
      <c r="D3855" s="11" t="s">
        <v>2097</v>
      </c>
      <c r="E3855" s="39" t="s">
        <v>1628</v>
      </c>
      <c r="F3855" s="11" t="s">
        <v>1700</v>
      </c>
      <c r="G3855" s="39" t="s">
        <v>1378</v>
      </c>
      <c r="J3855" s="17">
        <v>1</v>
      </c>
      <c r="K3855" s="17"/>
      <c r="L3855" s="7">
        <f t="shared" si="1623"/>
        <v>1</v>
      </c>
      <c r="M3855" s="8">
        <v>1</v>
      </c>
      <c r="N3855" s="8">
        <f t="shared" si="1624"/>
        <v>1</v>
      </c>
      <c r="O3855" s="11" t="s">
        <v>1702</v>
      </c>
      <c r="P3855" s="16" t="str">
        <f t="shared" si="1625"/>
        <v>20-Sep-1902</v>
      </c>
      <c r="R3855" s="16" t="str">
        <f t="shared" si="1626"/>
        <v>x</v>
      </c>
      <c r="S3855" s="16" t="str">
        <f t="shared" si="1626"/>
        <v>x</v>
      </c>
      <c r="U3855" s="46" t="str">
        <f t="shared" si="1613"/>
        <v/>
      </c>
      <c r="V3855" s="46">
        <f t="shared" si="1613"/>
        <v>1</v>
      </c>
      <c r="W3855" s="46" t="str">
        <f t="shared" si="1613"/>
        <v/>
      </c>
      <c r="X3855" s="46" t="str">
        <f t="shared" si="1613"/>
        <v/>
      </c>
    </row>
    <row r="3856" spans="2:26" x14ac:dyDescent="0.25">
      <c r="B3856" s="11" t="str">
        <f t="shared" si="1622"/>
        <v>LUCA-07MAR1908</v>
      </c>
      <c r="C3856" s="11" t="s">
        <v>3202</v>
      </c>
      <c r="D3856" s="11" t="s">
        <v>2097</v>
      </c>
      <c r="E3856" s="39" t="s">
        <v>1220</v>
      </c>
      <c r="F3856" s="11" t="s">
        <v>1700</v>
      </c>
      <c r="G3856" s="39" t="s">
        <v>843</v>
      </c>
      <c r="H3856" s="7">
        <v>0</v>
      </c>
      <c r="I3856" s="7">
        <v>1</v>
      </c>
      <c r="J3856" s="17">
        <v>3</v>
      </c>
      <c r="K3856" s="17"/>
      <c r="L3856" s="7">
        <f t="shared" si="1623"/>
        <v>4</v>
      </c>
      <c r="M3856" s="8">
        <v>1</v>
      </c>
      <c r="N3856" s="8">
        <f t="shared" si="1624"/>
        <v>1</v>
      </c>
      <c r="O3856" s="11" t="s">
        <v>1702</v>
      </c>
      <c r="P3856" s="16" t="str">
        <f t="shared" si="1625"/>
        <v>07-Mar-1908</v>
      </c>
      <c r="R3856" s="16" t="str">
        <f>IF($L3856&gt;0,"x","")</f>
        <v>x</v>
      </c>
      <c r="S3856" s="16" t="str">
        <f>IF($L3856&gt;0,"x","")</f>
        <v>x</v>
      </c>
      <c r="U3856" s="46" t="str">
        <f>IF($O3856=U$5,$L3856,"")</f>
        <v/>
      </c>
      <c r="V3856" s="46">
        <f>IF($O3856=V$5,$L3856,"")</f>
        <v>4</v>
      </c>
      <c r="W3856" s="46" t="str">
        <f>IF($O3856=W$5,$L3856,"")</f>
        <v/>
      </c>
      <c r="X3856" s="46" t="str">
        <f>IF($O3856=X$5,$L3856,"")</f>
        <v/>
      </c>
    </row>
    <row r="3857" spans="2:26" x14ac:dyDescent="0.25">
      <c r="B3857" s="11" t="str">
        <f t="shared" si="1622"/>
        <v>LUCA-05APR1908</v>
      </c>
      <c r="C3857" s="11" t="s">
        <v>3202</v>
      </c>
      <c r="D3857" s="11" t="s">
        <v>2097</v>
      </c>
      <c r="E3857" s="39" t="s">
        <v>1221</v>
      </c>
      <c r="F3857" s="11" t="s">
        <v>1700</v>
      </c>
      <c r="G3857" s="39" t="s">
        <v>4374</v>
      </c>
      <c r="H3857" s="7">
        <v>0</v>
      </c>
      <c r="I3857" s="7">
        <v>2</v>
      </c>
      <c r="J3857" s="17">
        <v>2</v>
      </c>
      <c r="K3857" s="17"/>
      <c r="L3857" s="7">
        <f t="shared" si="1623"/>
        <v>4</v>
      </c>
      <c r="M3857" s="8">
        <v>1</v>
      </c>
      <c r="N3857" s="8">
        <f t="shared" si="1624"/>
        <v>1</v>
      </c>
      <c r="O3857" s="11" t="s">
        <v>1702</v>
      </c>
      <c r="P3857" s="16" t="str">
        <f t="shared" si="1625"/>
        <v>05-Apr-1908</v>
      </c>
      <c r="R3857" s="16" t="str">
        <f t="shared" si="1626"/>
        <v>x</v>
      </c>
      <c r="S3857" s="16" t="str">
        <f t="shared" si="1626"/>
        <v>x</v>
      </c>
      <c r="U3857" s="46" t="str">
        <f t="shared" si="1613"/>
        <v/>
      </c>
      <c r="V3857" s="46">
        <f t="shared" si="1613"/>
        <v>4</v>
      </c>
      <c r="W3857" s="46" t="str">
        <f t="shared" si="1613"/>
        <v/>
      </c>
      <c r="X3857" s="46" t="str">
        <f t="shared" si="1613"/>
        <v/>
      </c>
    </row>
    <row r="3858" spans="2:26" x14ac:dyDescent="0.25">
      <c r="N3858" s="8" t="str">
        <f>IF(R3858="x",1,"")</f>
        <v/>
      </c>
      <c r="U3858" s="46" t="str">
        <f t="shared" si="1613"/>
        <v/>
      </c>
      <c r="V3858" s="46" t="str">
        <f t="shared" si="1613"/>
        <v/>
      </c>
      <c r="W3858" s="46" t="str">
        <f t="shared" si="1613"/>
        <v/>
      </c>
      <c r="X3858" s="46" t="str">
        <f t="shared" si="1613"/>
        <v/>
      </c>
    </row>
    <row r="3859" spans="2:26" s="18" customFormat="1" x14ac:dyDescent="0.25">
      <c r="E3859" s="40"/>
      <c r="G3859" s="40"/>
      <c r="H3859" s="7">
        <f t="shared" ref="H3859:N3859" si="1627">SUM(H3851:H3858)</f>
        <v>0</v>
      </c>
      <c r="I3859" s="7">
        <f t="shared" si="1627"/>
        <v>12</v>
      </c>
      <c r="J3859" s="7">
        <f>SUM(J3851:J3858)</f>
        <v>17</v>
      </c>
      <c r="K3859" s="7">
        <f t="shared" si="1627"/>
        <v>0</v>
      </c>
      <c r="L3859" s="7">
        <f t="shared" si="1627"/>
        <v>29</v>
      </c>
      <c r="M3859" s="7">
        <f t="shared" si="1627"/>
        <v>7</v>
      </c>
      <c r="N3859" s="7">
        <f t="shared" si="1627"/>
        <v>7</v>
      </c>
      <c r="P3859" s="13"/>
      <c r="Q3859" s="13"/>
      <c r="R3859" s="16"/>
      <c r="S3859" s="13"/>
      <c r="T3859" s="15"/>
      <c r="U3859" s="46" t="str">
        <f t="shared" si="1613"/>
        <v/>
      </c>
      <c r="V3859" s="46" t="str">
        <f t="shared" si="1613"/>
        <v/>
      </c>
      <c r="W3859" s="46" t="str">
        <f t="shared" si="1613"/>
        <v/>
      </c>
      <c r="X3859" s="46" t="str">
        <f t="shared" si="1613"/>
        <v/>
      </c>
      <c r="Z3859" s="11"/>
    </row>
    <row r="3860" spans="2:26" s="18" customFormat="1" x14ac:dyDescent="0.25">
      <c r="E3860" s="40"/>
      <c r="G3860" s="40"/>
      <c r="H3860" s="7"/>
      <c r="I3860" s="7"/>
      <c r="J3860" s="7"/>
      <c r="K3860" s="7"/>
      <c r="L3860" s="7"/>
      <c r="M3860" s="8"/>
      <c r="N3860" s="8" t="str">
        <f>IF(R3860="x",1,"")</f>
        <v/>
      </c>
      <c r="P3860" s="13"/>
      <c r="Q3860" s="13"/>
      <c r="R3860" s="13"/>
      <c r="S3860" s="13"/>
      <c r="T3860" s="15"/>
      <c r="U3860" s="46" t="str">
        <f t="shared" si="1613"/>
        <v/>
      </c>
      <c r="V3860" s="46" t="str">
        <f t="shared" si="1613"/>
        <v/>
      </c>
      <c r="W3860" s="46" t="str">
        <f t="shared" si="1613"/>
        <v/>
      </c>
      <c r="X3860" s="46" t="str">
        <f t="shared" si="1613"/>
        <v/>
      </c>
      <c r="Z3860" s="11"/>
    </row>
    <row r="3861" spans="2:26" s="18" customFormat="1" x14ac:dyDescent="0.25">
      <c r="E3861" s="40"/>
      <c r="G3861" s="40"/>
      <c r="H3861" s="7"/>
      <c r="I3861" s="7"/>
      <c r="J3861" s="7"/>
      <c r="K3861" s="7"/>
      <c r="L3861" s="7"/>
      <c r="M3861" s="8"/>
      <c r="N3861" s="8" t="str">
        <f>IF(R3861="x",1,"")</f>
        <v/>
      </c>
      <c r="P3861" s="13"/>
      <c r="Q3861" s="13"/>
      <c r="R3861" s="13"/>
      <c r="S3861" s="13"/>
      <c r="T3861" s="15"/>
      <c r="U3861" s="46" t="str">
        <f t="shared" si="1613"/>
        <v/>
      </c>
      <c r="V3861" s="46" t="str">
        <f t="shared" si="1613"/>
        <v/>
      </c>
      <c r="W3861" s="46" t="str">
        <f t="shared" si="1613"/>
        <v/>
      </c>
      <c r="X3861" s="46" t="str">
        <f t="shared" si="1613"/>
        <v/>
      </c>
      <c r="Z3861" s="11"/>
    </row>
    <row r="3862" spans="2:26" x14ac:dyDescent="0.25">
      <c r="B3862" s="11" t="str">
        <f>CONCATENATE("LUDG","-",LEFT(P3862,2),UPPER(MID(P3862,4,3)),RIGHT(P3862,4))</f>
        <v>LUDG-18JUL1891</v>
      </c>
      <c r="C3862" s="11" t="s">
        <v>3407</v>
      </c>
      <c r="D3862" s="11" t="s">
        <v>3225</v>
      </c>
      <c r="F3862" s="11" t="s">
        <v>1700</v>
      </c>
      <c r="G3862" s="39" t="s">
        <v>3408</v>
      </c>
      <c r="I3862" s="7">
        <v>6</v>
      </c>
      <c r="J3862" s="17">
        <v>7</v>
      </c>
      <c r="K3862" s="17"/>
      <c r="L3862" s="7">
        <f>SUM(H3862:K3862)</f>
        <v>13</v>
      </c>
      <c r="M3862" s="8">
        <v>1</v>
      </c>
      <c r="N3862" s="8">
        <f>IF(L3862&gt;0,1,"")</f>
        <v>1</v>
      </c>
      <c r="O3862" s="11" t="s">
        <v>1702</v>
      </c>
      <c r="P3862" s="16" t="str">
        <f>IF(LEN(G3862)=10,CONCATENATE("0",G3862),G3862)</f>
        <v>18-Jul-1891</v>
      </c>
      <c r="R3862" s="16" t="str">
        <f>IF($L3862&gt;0,"x","")</f>
        <v>x</v>
      </c>
      <c r="S3862" s="16" t="str">
        <f>IF($L3862&gt;0,"x","")</f>
        <v>x</v>
      </c>
      <c r="U3862" s="46" t="str">
        <f t="shared" si="1613"/>
        <v/>
      </c>
      <c r="V3862" s="46">
        <f t="shared" si="1613"/>
        <v>13</v>
      </c>
      <c r="W3862" s="46" t="str">
        <f t="shared" si="1613"/>
        <v/>
      </c>
      <c r="X3862" s="46" t="str">
        <f t="shared" si="1613"/>
        <v/>
      </c>
    </row>
    <row r="3863" spans="2:26" x14ac:dyDescent="0.25">
      <c r="N3863" s="8" t="str">
        <f>IF(R3863="x",1,"")</f>
        <v/>
      </c>
      <c r="U3863" s="46" t="str">
        <f t="shared" si="1613"/>
        <v/>
      </c>
      <c r="V3863" s="46" t="str">
        <f t="shared" si="1613"/>
        <v/>
      </c>
      <c r="W3863" s="46" t="str">
        <f t="shared" si="1613"/>
        <v/>
      </c>
      <c r="X3863" s="46" t="str">
        <f t="shared" si="1613"/>
        <v/>
      </c>
    </row>
    <row r="3864" spans="2:26" s="18" customFormat="1" x14ac:dyDescent="0.25">
      <c r="E3864" s="40"/>
      <c r="G3864" s="40"/>
      <c r="H3864" s="7">
        <f t="shared" ref="H3864:N3864" si="1628">SUM(H3862:H3863)</f>
        <v>0</v>
      </c>
      <c r="I3864" s="7">
        <f t="shared" si="1628"/>
        <v>6</v>
      </c>
      <c r="J3864" s="7">
        <f>SUM(J3862:J3863)</f>
        <v>7</v>
      </c>
      <c r="K3864" s="7">
        <f t="shared" si="1628"/>
        <v>0</v>
      </c>
      <c r="L3864" s="7">
        <f t="shared" si="1628"/>
        <v>13</v>
      </c>
      <c r="M3864" s="7">
        <f t="shared" si="1628"/>
        <v>1</v>
      </c>
      <c r="N3864" s="7">
        <f t="shared" si="1628"/>
        <v>1</v>
      </c>
      <c r="P3864" s="13"/>
      <c r="Q3864" s="13"/>
      <c r="R3864" s="16"/>
      <c r="S3864" s="13"/>
      <c r="T3864" s="15"/>
      <c r="U3864" s="46" t="str">
        <f t="shared" si="1613"/>
        <v/>
      </c>
      <c r="V3864" s="46" t="str">
        <f t="shared" si="1613"/>
        <v/>
      </c>
      <c r="W3864" s="46" t="str">
        <f t="shared" si="1613"/>
        <v/>
      </c>
      <c r="X3864" s="46" t="str">
        <f t="shared" si="1613"/>
        <v/>
      </c>
      <c r="Z3864" s="11"/>
    </row>
    <row r="3865" spans="2:26" s="18" customFormat="1" x14ac:dyDescent="0.25">
      <c r="E3865" s="40"/>
      <c r="G3865" s="40"/>
      <c r="H3865" s="7"/>
      <c r="I3865" s="7"/>
      <c r="J3865" s="7"/>
      <c r="K3865" s="7"/>
      <c r="L3865" s="7"/>
      <c r="M3865" s="8"/>
      <c r="N3865" s="8" t="str">
        <f>IF(R3865="x",1,"")</f>
        <v/>
      </c>
      <c r="P3865" s="13"/>
      <c r="Q3865" s="13"/>
      <c r="R3865" s="13"/>
      <c r="S3865" s="13"/>
      <c r="T3865" s="15"/>
      <c r="U3865" s="46" t="str">
        <f t="shared" ref="U3865:X3871" si="1629">IF($O3865=U$5,$L3865,"")</f>
        <v/>
      </c>
      <c r="V3865" s="46" t="str">
        <f t="shared" si="1629"/>
        <v/>
      </c>
      <c r="W3865" s="46" t="str">
        <f t="shared" si="1629"/>
        <v/>
      </c>
      <c r="X3865" s="46" t="str">
        <f t="shared" si="1629"/>
        <v/>
      </c>
      <c r="Z3865" s="11"/>
    </row>
    <row r="3866" spans="2:26" s="18" customFormat="1" x14ac:dyDescent="0.25">
      <c r="E3866" s="40"/>
      <c r="G3866" s="40"/>
      <c r="H3866" s="7"/>
      <c r="I3866" s="7"/>
      <c r="J3866" s="7"/>
      <c r="K3866" s="7"/>
      <c r="L3866" s="7"/>
      <c r="M3866" s="8"/>
      <c r="N3866" s="8" t="str">
        <f>IF(R3866="x",1,"")</f>
        <v/>
      </c>
      <c r="P3866" s="13"/>
      <c r="Q3866" s="13"/>
      <c r="R3866" s="13"/>
      <c r="S3866" s="13"/>
      <c r="T3866" s="15"/>
      <c r="U3866" s="46" t="str">
        <f t="shared" si="1629"/>
        <v/>
      </c>
      <c r="V3866" s="46" t="str">
        <f t="shared" si="1629"/>
        <v/>
      </c>
      <c r="W3866" s="46" t="str">
        <f t="shared" si="1629"/>
        <v/>
      </c>
      <c r="X3866" s="46" t="str">
        <f t="shared" si="1629"/>
        <v/>
      </c>
      <c r="Z3866" s="11"/>
    </row>
    <row r="3867" spans="2:26" x14ac:dyDescent="0.25">
      <c r="B3867" s="11" t="str">
        <f>CONCATENATE("LUIS","-",LEFT(P3867,2),UPPER(MID(P3867,4,3)),RIGHT(P3867,4))</f>
        <v>LUIS-11NOV1908</v>
      </c>
      <c r="C3867" s="11" t="s">
        <v>5087</v>
      </c>
      <c r="D3867" s="11" t="s">
        <v>3007</v>
      </c>
      <c r="E3867" s="39" t="s">
        <v>3309</v>
      </c>
      <c r="F3867" s="11" t="s">
        <v>1700</v>
      </c>
      <c r="G3867" s="39" t="s">
        <v>5623</v>
      </c>
      <c r="H3867" s="7">
        <v>0</v>
      </c>
      <c r="J3867" s="17">
        <v>6</v>
      </c>
      <c r="K3867" s="17"/>
      <c r="L3867" s="7">
        <f>SUM(H3867:K3867)</f>
        <v>6</v>
      </c>
      <c r="M3867" s="8">
        <v>1</v>
      </c>
      <c r="N3867" s="8">
        <f>IF(L3867&gt;0,1,"")</f>
        <v>1</v>
      </c>
      <c r="O3867" s="11" t="s">
        <v>1702</v>
      </c>
      <c r="P3867" s="16" t="str">
        <f>IF(LEN(G3867)=10,CONCATENATE("0",G3867),G3867)</f>
        <v>11-Nov-1908</v>
      </c>
      <c r="R3867" s="16" t="str">
        <f t="shared" ref="R3867:S3869" si="1630">IF($L3867&gt;0,"x","")</f>
        <v>x</v>
      </c>
      <c r="S3867" s="16" t="str">
        <f t="shared" si="1630"/>
        <v>x</v>
      </c>
      <c r="U3867" s="46" t="str">
        <f t="shared" si="1629"/>
        <v/>
      </c>
      <c r="V3867" s="46">
        <f t="shared" si="1629"/>
        <v>6</v>
      </c>
      <c r="W3867" s="46" t="str">
        <f t="shared" si="1629"/>
        <v/>
      </c>
      <c r="X3867" s="46" t="str">
        <f t="shared" si="1629"/>
        <v/>
      </c>
    </row>
    <row r="3868" spans="2:26" x14ac:dyDescent="0.25">
      <c r="B3868" s="11" t="str">
        <f>CONCATENATE("LUIS","-",LEFT(P3868,2),UPPER(MID(P3868,4,3)),RIGHT(P3868,4))</f>
        <v>LUIS-12JUL1909</v>
      </c>
      <c r="C3868" s="11" t="s">
        <v>5087</v>
      </c>
      <c r="D3868" s="11" t="s">
        <v>3007</v>
      </c>
      <c r="E3868" s="39" t="s">
        <v>1232</v>
      </c>
      <c r="F3868" s="11" t="s">
        <v>1700</v>
      </c>
      <c r="G3868" s="39" t="s">
        <v>3608</v>
      </c>
      <c r="H3868" s="7">
        <v>0</v>
      </c>
      <c r="J3868" s="17">
        <v>16</v>
      </c>
      <c r="K3868" s="17"/>
      <c r="L3868" s="7">
        <f>SUM(H3868:K3868)</f>
        <v>16</v>
      </c>
      <c r="M3868" s="8">
        <v>1</v>
      </c>
      <c r="N3868" s="8">
        <f>IF(L3868&gt;0,1,"")</f>
        <v>1</v>
      </c>
      <c r="O3868" s="11" t="s">
        <v>1702</v>
      </c>
      <c r="P3868" s="16" t="str">
        <f>IF(LEN(G3868)=10,CONCATENATE("0",G3868),G3868)</f>
        <v>12-Jul-1909</v>
      </c>
      <c r="R3868" s="16" t="str">
        <f t="shared" si="1630"/>
        <v>x</v>
      </c>
      <c r="S3868" s="16" t="str">
        <f t="shared" si="1630"/>
        <v>x</v>
      </c>
      <c r="U3868" s="46" t="str">
        <f t="shared" si="1629"/>
        <v/>
      </c>
      <c r="V3868" s="46">
        <f t="shared" si="1629"/>
        <v>16</v>
      </c>
      <c r="W3868" s="46" t="str">
        <f t="shared" si="1629"/>
        <v/>
      </c>
      <c r="X3868" s="46" t="str">
        <f t="shared" si="1629"/>
        <v/>
      </c>
    </row>
    <row r="3869" spans="2:26" x14ac:dyDescent="0.25">
      <c r="B3869" s="11" t="str">
        <f>CONCATENATE("LUIS","-",LEFT(P3869,2),UPPER(MID(P3869,4,3)),RIGHT(P3869,4))</f>
        <v>LUIS-19JUN1910</v>
      </c>
      <c r="C3869" s="11" t="s">
        <v>5087</v>
      </c>
      <c r="D3869" s="11" t="s">
        <v>3007</v>
      </c>
      <c r="E3869" s="39" t="s">
        <v>5614</v>
      </c>
      <c r="F3869" s="11" t="s">
        <v>1700</v>
      </c>
      <c r="G3869" s="39" t="s">
        <v>5615</v>
      </c>
      <c r="H3869" s="7">
        <v>0</v>
      </c>
      <c r="J3869" s="17">
        <v>5</v>
      </c>
      <c r="K3869" s="17"/>
      <c r="L3869" s="7">
        <f>SUM(H3869:K3869)</f>
        <v>5</v>
      </c>
      <c r="M3869" s="8">
        <v>1</v>
      </c>
      <c r="N3869" s="8">
        <f>IF(L3869&gt;0,1,"")</f>
        <v>1</v>
      </c>
      <c r="O3869" s="11" t="s">
        <v>1702</v>
      </c>
      <c r="P3869" s="16" t="str">
        <f>IF(LEN(G3869)=10,CONCATENATE("0",G3869),G3869)</f>
        <v>19-Jun-1910</v>
      </c>
      <c r="R3869" s="16" t="str">
        <f t="shared" si="1630"/>
        <v>x</v>
      </c>
      <c r="S3869" s="16" t="str">
        <f t="shared" si="1630"/>
        <v>x</v>
      </c>
      <c r="U3869" s="46" t="str">
        <f t="shared" si="1629"/>
        <v/>
      </c>
      <c r="V3869" s="46">
        <f t="shared" si="1629"/>
        <v>5</v>
      </c>
      <c r="W3869" s="46" t="str">
        <f t="shared" si="1629"/>
        <v/>
      </c>
      <c r="X3869" s="46" t="str">
        <f t="shared" si="1629"/>
        <v/>
      </c>
    </row>
    <row r="3870" spans="2:26" x14ac:dyDescent="0.25">
      <c r="N3870" s="8" t="str">
        <f>IF(R3870="x",1,"")</f>
        <v/>
      </c>
      <c r="U3870" s="46" t="str">
        <f t="shared" si="1629"/>
        <v/>
      </c>
      <c r="V3870" s="46" t="str">
        <f t="shared" si="1629"/>
        <v/>
      </c>
      <c r="W3870" s="46" t="str">
        <f t="shared" si="1629"/>
        <v/>
      </c>
      <c r="X3870" s="46" t="str">
        <f t="shared" si="1629"/>
        <v/>
      </c>
    </row>
    <row r="3871" spans="2:26" s="18" customFormat="1" x14ac:dyDescent="0.25">
      <c r="E3871" s="40"/>
      <c r="G3871" s="40"/>
      <c r="H3871" s="7">
        <f t="shared" ref="H3871:N3871" si="1631">SUM(H3867:H3870)</f>
        <v>0</v>
      </c>
      <c r="I3871" s="7">
        <f t="shared" si="1631"/>
        <v>0</v>
      </c>
      <c r="J3871" s="7">
        <f>SUM(J3867:J3870)</f>
        <v>27</v>
      </c>
      <c r="K3871" s="7">
        <f t="shared" si="1631"/>
        <v>0</v>
      </c>
      <c r="L3871" s="7">
        <f t="shared" si="1631"/>
        <v>27</v>
      </c>
      <c r="M3871" s="7">
        <f t="shared" si="1631"/>
        <v>3</v>
      </c>
      <c r="N3871" s="7">
        <f t="shared" si="1631"/>
        <v>3</v>
      </c>
      <c r="P3871" s="13"/>
      <c r="Q3871" s="13"/>
      <c r="R3871" s="16"/>
      <c r="S3871" s="13"/>
      <c r="T3871" s="15"/>
      <c r="U3871" s="46" t="str">
        <f t="shared" si="1629"/>
        <v/>
      </c>
      <c r="V3871" s="46" t="str">
        <f t="shared" si="1629"/>
        <v/>
      </c>
      <c r="W3871" s="46" t="str">
        <f t="shared" si="1629"/>
        <v/>
      </c>
      <c r="X3871" s="46" t="str">
        <f t="shared" si="1629"/>
        <v/>
      </c>
      <c r="Z3871" s="11"/>
    </row>
    <row r="3872" spans="2:26" s="18" customFormat="1" x14ac:dyDescent="0.25">
      <c r="E3872" s="40"/>
      <c r="G3872" s="40"/>
      <c r="H3872" s="7"/>
      <c r="I3872" s="7"/>
      <c r="J3872" s="7"/>
      <c r="K3872" s="7"/>
      <c r="L3872" s="7"/>
      <c r="M3872" s="8"/>
      <c r="N3872" s="8" t="str">
        <f>IF(R3872="x",1,"")</f>
        <v/>
      </c>
      <c r="P3872" s="13"/>
      <c r="Q3872" s="13"/>
      <c r="R3872" s="13"/>
      <c r="S3872" s="13"/>
      <c r="T3872" s="15"/>
      <c r="U3872" s="46" t="str">
        <f t="shared" si="1613"/>
        <v/>
      </c>
      <c r="V3872" s="46" t="str">
        <f t="shared" si="1613"/>
        <v/>
      </c>
      <c r="W3872" s="46" t="str">
        <f t="shared" si="1613"/>
        <v/>
      </c>
      <c r="X3872" s="46" t="str">
        <f t="shared" si="1613"/>
        <v/>
      </c>
      <c r="Z3872" s="11"/>
    </row>
    <row r="3873" spans="2:26" s="18" customFormat="1" x14ac:dyDescent="0.25">
      <c r="E3873" s="40"/>
      <c r="G3873" s="40"/>
      <c r="H3873" s="7"/>
      <c r="I3873" s="7"/>
      <c r="J3873" s="7"/>
      <c r="K3873" s="7"/>
      <c r="L3873" s="7"/>
      <c r="M3873" s="8"/>
      <c r="N3873" s="8" t="str">
        <f>IF(R3873="x",1,"")</f>
        <v/>
      </c>
      <c r="P3873" s="13"/>
      <c r="Q3873" s="13"/>
      <c r="R3873" s="13"/>
      <c r="S3873" s="13"/>
      <c r="T3873" s="15"/>
      <c r="U3873" s="46" t="str">
        <f t="shared" si="1613"/>
        <v/>
      </c>
      <c r="V3873" s="46" t="str">
        <f t="shared" si="1613"/>
        <v/>
      </c>
      <c r="W3873" s="46" t="str">
        <f t="shared" si="1613"/>
        <v/>
      </c>
      <c r="X3873" s="46" t="str">
        <f t="shared" si="1613"/>
        <v/>
      </c>
      <c r="Z3873" s="11"/>
    </row>
    <row r="3874" spans="2:26" x14ac:dyDescent="0.25">
      <c r="B3874" s="11" t="str">
        <f>CONCATENATE("LUSI","-",LEFT(P3874,2),UPPER(MID(P3874,4,3)),RIGHT(P3874,4))</f>
        <v>LUSI-09NOV1907</v>
      </c>
      <c r="C3874" s="11" t="s">
        <v>3549</v>
      </c>
      <c r="D3874" s="11" t="s">
        <v>2097</v>
      </c>
      <c r="E3874" s="39" t="s">
        <v>1809</v>
      </c>
      <c r="F3874" s="11" t="s">
        <v>1700</v>
      </c>
      <c r="G3874" s="39" t="s">
        <v>2300</v>
      </c>
      <c r="H3874" s="7">
        <v>0</v>
      </c>
      <c r="I3874" s="7">
        <v>0</v>
      </c>
      <c r="J3874" s="17">
        <v>12</v>
      </c>
      <c r="K3874" s="17"/>
      <c r="L3874" s="7">
        <f>SUM(H3874:K3874)</f>
        <v>12</v>
      </c>
      <c r="M3874" s="8">
        <v>1</v>
      </c>
      <c r="N3874" s="8">
        <f>IF(L3874&gt;0,1,"")</f>
        <v>1</v>
      </c>
      <c r="O3874" s="11" t="s">
        <v>1702</v>
      </c>
      <c r="P3874" s="16" t="str">
        <f>IF(LEN(G3874)=10,CONCATENATE("0",G3874),G3874)</f>
        <v>09-Nov-1907</v>
      </c>
      <c r="R3874" s="16" t="str">
        <f t="shared" ref="R3874:S3876" si="1632">IF($L3874&gt;0,"x","")</f>
        <v>x</v>
      </c>
      <c r="S3874" s="16" t="str">
        <f t="shared" si="1632"/>
        <v>x</v>
      </c>
      <c r="U3874" s="46" t="str">
        <f t="shared" si="1613"/>
        <v/>
      </c>
      <c r="V3874" s="46">
        <f t="shared" si="1613"/>
        <v>12</v>
      </c>
      <c r="W3874" s="46" t="str">
        <f t="shared" si="1613"/>
        <v/>
      </c>
      <c r="X3874" s="46" t="str">
        <f t="shared" si="1613"/>
        <v/>
      </c>
    </row>
    <row r="3875" spans="2:26" x14ac:dyDescent="0.25">
      <c r="B3875" s="11" t="str">
        <f>CONCATENATE("LUSI","-",LEFT(P3875,2),UPPER(MID(P3875,4,3)),RIGHT(P3875,4))</f>
        <v>LUSI-11NOV1910</v>
      </c>
      <c r="C3875" s="11" t="s">
        <v>3549</v>
      </c>
      <c r="D3875" s="11" t="s">
        <v>2097</v>
      </c>
      <c r="E3875" s="39" t="s">
        <v>1494</v>
      </c>
      <c r="F3875" s="11" t="s">
        <v>1700</v>
      </c>
      <c r="G3875" s="39" t="s">
        <v>6224</v>
      </c>
      <c r="H3875" s="7">
        <v>0</v>
      </c>
      <c r="I3875" s="7">
        <v>0</v>
      </c>
      <c r="J3875" s="17">
        <v>3</v>
      </c>
      <c r="K3875" s="17"/>
      <c r="L3875" s="7">
        <f>SUM(H3875:K3875)</f>
        <v>3</v>
      </c>
      <c r="M3875" s="8">
        <v>1</v>
      </c>
      <c r="N3875" s="8">
        <f>IF(L3875&gt;0,1,"")</f>
        <v>1</v>
      </c>
      <c r="O3875" s="11" t="s">
        <v>1702</v>
      </c>
      <c r="P3875" s="16" t="str">
        <f>IF(LEN(G3875)=10,CONCATENATE("0",G3875),G3875)</f>
        <v>11-Nov-1910</v>
      </c>
      <c r="R3875" s="16" t="str">
        <f t="shared" si="1632"/>
        <v>x</v>
      </c>
      <c r="S3875" s="16" t="str">
        <f t="shared" si="1632"/>
        <v>x</v>
      </c>
      <c r="U3875" s="46" t="str">
        <f t="shared" ref="U3875:X3876" si="1633">IF($O3875=U$5,$L3875,"")</f>
        <v/>
      </c>
      <c r="V3875" s="46">
        <f t="shared" si="1633"/>
        <v>3</v>
      </c>
      <c r="W3875" s="46" t="str">
        <f t="shared" si="1633"/>
        <v/>
      </c>
      <c r="X3875" s="46" t="str">
        <f t="shared" si="1633"/>
        <v/>
      </c>
    </row>
    <row r="3876" spans="2:26" x14ac:dyDescent="0.25">
      <c r="B3876" s="11" t="str">
        <f>CONCATENATE("LUSI","-",LEFT(P3876,2),UPPER(MID(P3876,4,3)),RIGHT(P3876,4))</f>
        <v>LUSI-13OCT1911</v>
      </c>
      <c r="C3876" s="11" t="s">
        <v>3549</v>
      </c>
      <c r="D3876" s="11" t="s">
        <v>2097</v>
      </c>
      <c r="E3876" s="39" t="s">
        <v>904</v>
      </c>
      <c r="F3876" s="11" t="s">
        <v>1700</v>
      </c>
      <c r="G3876" s="39" t="s">
        <v>5326</v>
      </c>
      <c r="H3876" s="7">
        <v>0</v>
      </c>
      <c r="I3876" s="7">
        <v>0</v>
      </c>
      <c r="J3876" s="17">
        <v>1</v>
      </c>
      <c r="K3876" s="17"/>
      <c r="L3876" s="7">
        <f>SUM(H3876:K3876)</f>
        <v>1</v>
      </c>
      <c r="M3876" s="8">
        <v>1</v>
      </c>
      <c r="N3876" s="8">
        <f>IF(L3876&gt;0,1,"")</f>
        <v>1</v>
      </c>
      <c r="O3876" s="11" t="s">
        <v>1702</v>
      </c>
      <c r="P3876" s="16" t="str">
        <f>IF(LEN(G3876)=10,CONCATENATE("0",G3876),G3876)</f>
        <v>13-Oct-1911</v>
      </c>
      <c r="R3876" s="16" t="str">
        <f t="shared" si="1632"/>
        <v>x</v>
      </c>
      <c r="S3876" s="16" t="str">
        <f t="shared" si="1632"/>
        <v>x</v>
      </c>
      <c r="U3876" s="46" t="str">
        <f t="shared" si="1633"/>
        <v/>
      </c>
      <c r="V3876" s="46">
        <f t="shared" si="1633"/>
        <v>1</v>
      </c>
      <c r="W3876" s="46" t="str">
        <f t="shared" si="1633"/>
        <v/>
      </c>
      <c r="X3876" s="46" t="str">
        <f t="shared" si="1633"/>
        <v/>
      </c>
    </row>
    <row r="3877" spans="2:26" x14ac:dyDescent="0.25">
      <c r="N3877" s="8" t="str">
        <f>IF(R3877="x",1,"")</f>
        <v/>
      </c>
      <c r="U3877" s="46" t="str">
        <f t="shared" si="1613"/>
        <v/>
      </c>
      <c r="V3877" s="46" t="str">
        <f t="shared" si="1613"/>
        <v/>
      </c>
      <c r="W3877" s="46" t="str">
        <f t="shared" si="1613"/>
        <v/>
      </c>
      <c r="X3877" s="46" t="str">
        <f t="shared" si="1613"/>
        <v/>
      </c>
    </row>
    <row r="3878" spans="2:26" s="18" customFormat="1" x14ac:dyDescent="0.25">
      <c r="E3878" s="40"/>
      <c r="G3878" s="40"/>
      <c r="H3878" s="7">
        <f t="shared" ref="H3878:N3878" si="1634">SUM(H3874:H3877)</f>
        <v>0</v>
      </c>
      <c r="I3878" s="7">
        <f t="shared" si="1634"/>
        <v>0</v>
      </c>
      <c r="J3878" s="7">
        <f>SUM(J3874:J3877)</f>
        <v>16</v>
      </c>
      <c r="K3878" s="7">
        <f t="shared" si="1634"/>
        <v>0</v>
      </c>
      <c r="L3878" s="7">
        <f t="shared" si="1634"/>
        <v>16</v>
      </c>
      <c r="M3878" s="7">
        <f t="shared" si="1634"/>
        <v>3</v>
      </c>
      <c r="N3878" s="7">
        <f t="shared" si="1634"/>
        <v>3</v>
      </c>
      <c r="P3878" s="13"/>
      <c r="Q3878" s="13"/>
      <c r="R3878" s="16"/>
      <c r="S3878" s="13"/>
      <c r="T3878" s="15"/>
      <c r="U3878" s="46" t="str">
        <f t="shared" si="1613"/>
        <v/>
      </c>
      <c r="V3878" s="46" t="str">
        <f t="shared" si="1613"/>
        <v/>
      </c>
      <c r="W3878" s="46" t="str">
        <f t="shared" si="1613"/>
        <v/>
      </c>
      <c r="X3878" s="46" t="str">
        <f t="shared" si="1613"/>
        <v/>
      </c>
      <c r="Z3878" s="11"/>
    </row>
    <row r="3879" spans="2:26" s="18" customFormat="1" x14ac:dyDescent="0.25">
      <c r="E3879" s="40"/>
      <c r="G3879" s="40"/>
      <c r="H3879" s="7"/>
      <c r="I3879" s="7"/>
      <c r="J3879" s="7"/>
      <c r="K3879" s="7"/>
      <c r="L3879" s="7"/>
      <c r="M3879" s="8"/>
      <c r="N3879" s="8" t="str">
        <f>IF(R3879="x",1,"")</f>
        <v/>
      </c>
      <c r="P3879" s="13"/>
      <c r="Q3879" s="13"/>
      <c r="R3879" s="13"/>
      <c r="S3879" s="13"/>
      <c r="T3879" s="15"/>
      <c r="U3879" s="46" t="str">
        <f t="shared" ref="U3879:X3883" si="1635">IF($O3879=U$5,$L3879,"")</f>
        <v/>
      </c>
      <c r="V3879" s="46" t="str">
        <f t="shared" si="1635"/>
        <v/>
      </c>
      <c r="W3879" s="46" t="str">
        <f t="shared" si="1635"/>
        <v/>
      </c>
      <c r="X3879" s="46" t="str">
        <f t="shared" si="1635"/>
        <v/>
      </c>
      <c r="Z3879" s="11"/>
    </row>
    <row r="3880" spans="2:26" s="18" customFormat="1" x14ac:dyDescent="0.25">
      <c r="E3880" s="40"/>
      <c r="G3880" s="40"/>
      <c r="H3880" s="7"/>
      <c r="I3880" s="7"/>
      <c r="J3880" s="7"/>
      <c r="K3880" s="7"/>
      <c r="L3880" s="7"/>
      <c r="M3880" s="8"/>
      <c r="N3880" s="8" t="str">
        <f>IF(R3880="x",1,"")</f>
        <v/>
      </c>
      <c r="P3880" s="13"/>
      <c r="Q3880" s="13"/>
      <c r="R3880" s="13"/>
      <c r="S3880" s="13"/>
      <c r="T3880" s="15"/>
      <c r="U3880" s="46" t="str">
        <f t="shared" si="1635"/>
        <v/>
      </c>
      <c r="V3880" s="46" t="str">
        <f t="shared" si="1635"/>
        <v/>
      </c>
      <c r="W3880" s="46" t="str">
        <f t="shared" si="1635"/>
        <v/>
      </c>
      <c r="X3880" s="46" t="str">
        <f t="shared" si="1635"/>
        <v/>
      </c>
      <c r="Z3880" s="11"/>
    </row>
    <row r="3881" spans="2:26" x14ac:dyDescent="0.25">
      <c r="B3881" s="11" t="str">
        <f>CONCATENATE("LYDM","-",LEFT(P3881,2),UPPER(MID(P3881,4,3)),RIGHT(P3881,4))</f>
        <v>LYDM-06JUN1882</v>
      </c>
      <c r="C3881" s="11" t="s">
        <v>4801</v>
      </c>
      <c r="D3881" s="11" t="s">
        <v>3225</v>
      </c>
      <c r="F3881" s="11" t="s">
        <v>1700</v>
      </c>
      <c r="G3881" s="39" t="s">
        <v>4802</v>
      </c>
      <c r="H3881" s="7">
        <v>0</v>
      </c>
      <c r="J3881" s="17">
        <v>1</v>
      </c>
      <c r="K3881" s="17"/>
      <c r="L3881" s="7">
        <f>SUM(H3881:K3881)</f>
        <v>1</v>
      </c>
      <c r="M3881" s="8">
        <v>1</v>
      </c>
      <c r="N3881" s="8">
        <f>IF(L3881&gt;0,1,"")</f>
        <v>1</v>
      </c>
      <c r="O3881" s="11" t="s">
        <v>1702</v>
      </c>
      <c r="P3881" s="16" t="str">
        <f>IF(LEN(G3881)=10,CONCATENATE("0",G3881),G3881)</f>
        <v>06-Jun-1882</v>
      </c>
      <c r="R3881" s="16" t="str">
        <f>IF($L3881&gt;0,"x","")</f>
        <v>x</v>
      </c>
      <c r="S3881" s="16" t="str">
        <f>IF($L3881&gt;0,"x","")</f>
        <v>x</v>
      </c>
      <c r="U3881" s="46" t="str">
        <f t="shared" si="1635"/>
        <v/>
      </c>
      <c r="V3881" s="46">
        <f t="shared" si="1635"/>
        <v>1</v>
      </c>
      <c r="W3881" s="46" t="str">
        <f t="shared" si="1635"/>
        <v/>
      </c>
      <c r="X3881" s="46" t="str">
        <f t="shared" si="1635"/>
        <v/>
      </c>
    </row>
    <row r="3882" spans="2:26" x14ac:dyDescent="0.25">
      <c r="N3882" s="8" t="str">
        <f>IF(R3882="x",1,"")</f>
        <v/>
      </c>
      <c r="U3882" s="46" t="str">
        <f t="shared" si="1635"/>
        <v/>
      </c>
      <c r="V3882" s="46" t="str">
        <f t="shared" si="1635"/>
        <v/>
      </c>
      <c r="W3882" s="46" t="str">
        <f t="shared" si="1635"/>
        <v/>
      </c>
      <c r="X3882" s="46" t="str">
        <f t="shared" si="1635"/>
        <v/>
      </c>
    </row>
    <row r="3883" spans="2:26" s="18" customFormat="1" x14ac:dyDescent="0.25">
      <c r="E3883" s="40"/>
      <c r="G3883" s="40"/>
      <c r="H3883" s="7">
        <f t="shared" ref="H3883:N3883" si="1636">SUM(H3881:H3882)</f>
        <v>0</v>
      </c>
      <c r="I3883" s="7">
        <f t="shared" si="1636"/>
        <v>0</v>
      </c>
      <c r="J3883" s="7">
        <f>SUM(J3881:J3882)</f>
        <v>1</v>
      </c>
      <c r="K3883" s="7">
        <f t="shared" si="1636"/>
        <v>0</v>
      </c>
      <c r="L3883" s="7">
        <f t="shared" si="1636"/>
        <v>1</v>
      </c>
      <c r="M3883" s="7">
        <f t="shared" si="1636"/>
        <v>1</v>
      </c>
      <c r="N3883" s="7">
        <f t="shared" si="1636"/>
        <v>1</v>
      </c>
      <c r="P3883" s="13"/>
      <c r="Q3883" s="13"/>
      <c r="R3883" s="16"/>
      <c r="S3883" s="13"/>
      <c r="T3883" s="15"/>
      <c r="U3883" s="46" t="str">
        <f t="shared" si="1635"/>
        <v/>
      </c>
      <c r="V3883" s="46" t="str">
        <f t="shared" si="1635"/>
        <v/>
      </c>
      <c r="W3883" s="46" t="str">
        <f t="shared" si="1635"/>
        <v/>
      </c>
      <c r="X3883" s="46" t="str">
        <f t="shared" si="1635"/>
        <v/>
      </c>
      <c r="Z3883" s="11"/>
    </row>
    <row r="3884" spans="2:26" s="18" customFormat="1" x14ac:dyDescent="0.25">
      <c r="E3884" s="40"/>
      <c r="G3884" s="40"/>
      <c r="H3884" s="7"/>
      <c r="I3884" s="7"/>
      <c r="J3884" s="7"/>
      <c r="K3884" s="7"/>
      <c r="L3884" s="7"/>
      <c r="M3884" s="8"/>
      <c r="N3884" s="8" t="str">
        <f>IF(R3884="x",1,"")</f>
        <v/>
      </c>
      <c r="P3884" s="13"/>
      <c r="Q3884" s="13"/>
      <c r="R3884" s="13"/>
      <c r="S3884" s="13"/>
      <c r="T3884" s="15"/>
      <c r="U3884" s="46" t="str">
        <f t="shared" si="1613"/>
        <v/>
      </c>
      <c r="V3884" s="46" t="str">
        <f t="shared" si="1613"/>
        <v/>
      </c>
      <c r="W3884" s="46" t="str">
        <f t="shared" si="1613"/>
        <v/>
      </c>
      <c r="X3884" s="46" t="str">
        <f t="shared" si="1613"/>
        <v/>
      </c>
      <c r="Z3884" s="11"/>
    </row>
    <row r="3885" spans="2:26" s="18" customFormat="1" x14ac:dyDescent="0.25">
      <c r="E3885" s="40"/>
      <c r="G3885" s="40"/>
      <c r="H3885" s="7"/>
      <c r="I3885" s="7"/>
      <c r="J3885" s="7"/>
      <c r="K3885" s="7"/>
      <c r="L3885" s="7"/>
      <c r="M3885" s="8"/>
      <c r="N3885" s="8" t="str">
        <f>IF(R3885="x",1,"")</f>
        <v/>
      </c>
      <c r="P3885" s="13"/>
      <c r="Q3885" s="13"/>
      <c r="R3885" s="13"/>
      <c r="S3885" s="13"/>
      <c r="T3885" s="15"/>
      <c r="U3885" s="46" t="str">
        <f t="shared" si="1613"/>
        <v/>
      </c>
      <c r="V3885" s="46" t="str">
        <f t="shared" si="1613"/>
        <v/>
      </c>
      <c r="W3885" s="46" t="str">
        <f t="shared" si="1613"/>
        <v/>
      </c>
      <c r="X3885" s="46" t="str">
        <f t="shared" si="1613"/>
        <v/>
      </c>
      <c r="Z3885" s="11"/>
    </row>
    <row r="3886" spans="2:26" x14ac:dyDescent="0.25">
      <c r="B3886" s="11" t="str">
        <f t="shared" ref="B3886:B3902" si="1637">CONCATENATE("MAAS","-",LEFT(P3886,2),UPPER(MID(P3886,4,3)),RIGHT(P3886,4))</f>
        <v>MAAS-15SEP1890</v>
      </c>
      <c r="C3886" s="11" t="s">
        <v>3215</v>
      </c>
      <c r="D3886" s="11" t="s">
        <v>3707</v>
      </c>
      <c r="F3886" s="11" t="s">
        <v>1700</v>
      </c>
      <c r="G3886" s="39" t="s">
        <v>5955</v>
      </c>
      <c r="H3886" s="7">
        <v>0</v>
      </c>
      <c r="I3886" s="7">
        <v>0</v>
      </c>
      <c r="J3886" s="17">
        <v>4</v>
      </c>
      <c r="K3886" s="17"/>
      <c r="L3886" s="7">
        <f t="shared" ref="L3886:L3902" si="1638">SUM(H3886:K3886)</f>
        <v>4</v>
      </c>
      <c r="M3886" s="8">
        <v>1</v>
      </c>
      <c r="N3886" s="8">
        <f t="shared" ref="N3886:N3902" si="1639">IF(L3886&gt;0,1,"")</f>
        <v>1</v>
      </c>
      <c r="O3886" s="11" t="s">
        <v>1702</v>
      </c>
      <c r="P3886" s="16" t="str">
        <f t="shared" ref="P3886:P3902" si="1640">IF(LEN(G3886)=10,CONCATENATE("0",G3886),G3886)</f>
        <v>15-Sep-1890</v>
      </c>
      <c r="R3886" s="16" t="str">
        <f t="shared" ref="R3886:S3888" si="1641">IF($L3886&gt;0,"x","")</f>
        <v>x</v>
      </c>
      <c r="S3886" s="16" t="str">
        <f t="shared" si="1641"/>
        <v>x</v>
      </c>
      <c r="T3886" s="11"/>
      <c r="U3886" s="46" t="str">
        <f t="shared" si="1613"/>
        <v/>
      </c>
      <c r="V3886" s="46">
        <f t="shared" si="1613"/>
        <v>4</v>
      </c>
      <c r="W3886" s="46" t="str">
        <f t="shared" si="1613"/>
        <v/>
      </c>
      <c r="X3886" s="46" t="str">
        <f t="shared" si="1613"/>
        <v/>
      </c>
    </row>
    <row r="3887" spans="2:26" x14ac:dyDescent="0.25">
      <c r="B3887" s="11" t="str">
        <f>CONCATENATE("MAAS","-",LEFT(P3887,2),UPPER(MID(P3887,4,3)),RIGHT(P3887,4))</f>
        <v>MAAS-27OCT1890</v>
      </c>
      <c r="C3887" s="11" t="s">
        <v>3215</v>
      </c>
      <c r="D3887" s="11" t="s">
        <v>3707</v>
      </c>
      <c r="F3887" s="11" t="s">
        <v>1700</v>
      </c>
      <c r="G3887" s="39" t="s">
        <v>11135</v>
      </c>
      <c r="H3887" s="7">
        <v>0</v>
      </c>
      <c r="I3887" s="7">
        <v>0</v>
      </c>
      <c r="J3887" s="17">
        <v>4</v>
      </c>
      <c r="K3887" s="17"/>
      <c r="L3887" s="7">
        <f>SUM(H3887:K3887)</f>
        <v>4</v>
      </c>
      <c r="M3887" s="8">
        <v>1</v>
      </c>
      <c r="N3887" s="8">
        <f>IF(L3887&gt;0,1,"")</f>
        <v>1</v>
      </c>
      <c r="O3887" s="11" t="s">
        <v>1702</v>
      </c>
      <c r="P3887" s="16" t="str">
        <f>IF(LEN(G3887)=10,CONCATENATE("0",G3887),G3887)</f>
        <v>27-Oct-1890</v>
      </c>
      <c r="R3887" s="16" t="str">
        <f t="shared" si="1641"/>
        <v>x</v>
      </c>
      <c r="S3887" s="16" t="str">
        <f t="shared" si="1641"/>
        <v>x</v>
      </c>
      <c r="U3887" s="46" t="str">
        <f t="shared" ref="U3887:X3888" si="1642">IF($O3887=U$5,$L3887,"")</f>
        <v/>
      </c>
      <c r="V3887" s="46">
        <f t="shared" si="1642"/>
        <v>4</v>
      </c>
      <c r="W3887" s="46" t="str">
        <f t="shared" si="1642"/>
        <v/>
      </c>
      <c r="X3887" s="46" t="str">
        <f t="shared" si="1642"/>
        <v/>
      </c>
    </row>
    <row r="3888" spans="2:26" x14ac:dyDescent="0.25">
      <c r="B3888" s="11" t="str">
        <f t="shared" si="1637"/>
        <v>MAAS-26AUG1891</v>
      </c>
      <c r="C3888" s="11" t="s">
        <v>3215</v>
      </c>
      <c r="D3888" s="11" t="s">
        <v>2103</v>
      </c>
      <c r="F3888" s="11" t="s">
        <v>1700</v>
      </c>
      <c r="G3888" s="39" t="s">
        <v>3563</v>
      </c>
      <c r="J3888" s="17">
        <v>19</v>
      </c>
      <c r="K3888" s="17"/>
      <c r="L3888" s="7">
        <f t="shared" si="1638"/>
        <v>19</v>
      </c>
      <c r="M3888" s="8">
        <v>1</v>
      </c>
      <c r="N3888" s="8">
        <f t="shared" si="1639"/>
        <v>1</v>
      </c>
      <c r="O3888" s="11" t="s">
        <v>1702</v>
      </c>
      <c r="P3888" s="16" t="str">
        <f t="shared" si="1640"/>
        <v>26-Aug-1891</v>
      </c>
      <c r="R3888" s="16" t="str">
        <f t="shared" si="1641"/>
        <v>x</v>
      </c>
      <c r="S3888" s="16" t="str">
        <f t="shared" si="1641"/>
        <v>x</v>
      </c>
      <c r="U3888" s="46" t="str">
        <f t="shared" si="1642"/>
        <v/>
      </c>
      <c r="V3888" s="46">
        <f t="shared" si="1642"/>
        <v>19</v>
      </c>
      <c r="W3888" s="46" t="str">
        <f t="shared" si="1642"/>
        <v/>
      </c>
      <c r="X3888" s="46" t="str">
        <f t="shared" si="1642"/>
        <v/>
      </c>
    </row>
    <row r="3889" spans="2:26" x14ac:dyDescent="0.25">
      <c r="B3889" s="11" t="str">
        <f t="shared" si="1637"/>
        <v>MAAS-21OCT1895</v>
      </c>
      <c r="C3889" s="11" t="s">
        <v>3215</v>
      </c>
      <c r="D3889" s="11" t="s">
        <v>2103</v>
      </c>
      <c r="F3889" s="11" t="s">
        <v>1700</v>
      </c>
      <c r="G3889" s="39" t="s">
        <v>265</v>
      </c>
      <c r="H3889" s="7">
        <v>0</v>
      </c>
      <c r="I3889" s="7">
        <v>0</v>
      </c>
      <c r="J3889" s="17">
        <v>5</v>
      </c>
      <c r="K3889" s="17"/>
      <c r="L3889" s="7">
        <f t="shared" si="1638"/>
        <v>5</v>
      </c>
      <c r="M3889" s="8">
        <v>1</v>
      </c>
      <c r="N3889" s="8">
        <f t="shared" si="1639"/>
        <v>1</v>
      </c>
      <c r="O3889" s="11" t="s">
        <v>1702</v>
      </c>
      <c r="P3889" s="16" t="str">
        <f t="shared" si="1640"/>
        <v>21-Oct-1895</v>
      </c>
      <c r="R3889" s="16" t="str">
        <f t="shared" ref="R3889:S3902" si="1643">IF($L3889&gt;0,"x","")</f>
        <v>x</v>
      </c>
      <c r="S3889" s="16" t="str">
        <f t="shared" si="1643"/>
        <v>x</v>
      </c>
      <c r="U3889" s="46" t="str">
        <f t="shared" ref="U3889:X3890" si="1644">IF($O3889=U$5,$L3889,"")</f>
        <v/>
      </c>
      <c r="V3889" s="46">
        <f t="shared" si="1644"/>
        <v>5</v>
      </c>
      <c r="W3889" s="46" t="str">
        <f t="shared" si="1644"/>
        <v/>
      </c>
      <c r="X3889" s="46" t="str">
        <f t="shared" si="1644"/>
        <v/>
      </c>
    </row>
    <row r="3890" spans="2:26" x14ac:dyDescent="0.25">
      <c r="B3890" s="11" t="str">
        <f t="shared" si="1637"/>
        <v>MAAS-27APR1896</v>
      </c>
      <c r="C3890" s="11" t="s">
        <v>3215</v>
      </c>
      <c r="D3890" s="11" t="s">
        <v>2103</v>
      </c>
      <c r="F3890" s="11" t="s">
        <v>1700</v>
      </c>
      <c r="G3890" s="39" t="s">
        <v>11</v>
      </c>
      <c r="H3890" s="7">
        <v>0</v>
      </c>
      <c r="I3890" s="7">
        <v>0</v>
      </c>
      <c r="J3890" s="17">
        <v>5</v>
      </c>
      <c r="K3890" s="17"/>
      <c r="L3890" s="7">
        <f t="shared" si="1638"/>
        <v>5</v>
      </c>
      <c r="M3890" s="8">
        <v>1</v>
      </c>
      <c r="N3890" s="8">
        <f t="shared" si="1639"/>
        <v>1</v>
      </c>
      <c r="O3890" s="11" t="s">
        <v>1702</v>
      </c>
      <c r="P3890" s="16" t="str">
        <f t="shared" si="1640"/>
        <v>27-Apr-1896</v>
      </c>
      <c r="R3890" s="16" t="str">
        <f t="shared" si="1643"/>
        <v>x</v>
      </c>
      <c r="S3890" s="16" t="str">
        <f t="shared" si="1643"/>
        <v>x</v>
      </c>
      <c r="U3890" s="46" t="str">
        <f t="shared" si="1644"/>
        <v/>
      </c>
      <c r="V3890" s="46">
        <f t="shared" si="1644"/>
        <v>5</v>
      </c>
      <c r="W3890" s="46" t="str">
        <f t="shared" si="1644"/>
        <v/>
      </c>
      <c r="X3890" s="46" t="str">
        <f t="shared" si="1644"/>
        <v/>
      </c>
    </row>
    <row r="3891" spans="2:26" x14ac:dyDescent="0.25">
      <c r="B3891" s="11" t="str">
        <f t="shared" si="1637"/>
        <v>MAAS-07DEC1896</v>
      </c>
      <c r="C3891" s="11" t="s">
        <v>3215</v>
      </c>
      <c r="D3891" s="11" t="s">
        <v>2103</v>
      </c>
      <c r="F3891" s="11" t="s">
        <v>1700</v>
      </c>
      <c r="G3891" s="39" t="s">
        <v>270</v>
      </c>
      <c r="H3891" s="7">
        <v>0</v>
      </c>
      <c r="I3891" s="7">
        <v>0</v>
      </c>
      <c r="J3891" s="17">
        <v>22</v>
      </c>
      <c r="K3891" s="17"/>
      <c r="L3891" s="7">
        <f t="shared" si="1638"/>
        <v>22</v>
      </c>
      <c r="M3891" s="8">
        <v>1</v>
      </c>
      <c r="N3891" s="8">
        <f t="shared" si="1639"/>
        <v>1</v>
      </c>
      <c r="O3891" s="11" t="s">
        <v>1702</v>
      </c>
      <c r="P3891" s="16" t="str">
        <f t="shared" si="1640"/>
        <v>07-Dec-1896</v>
      </c>
      <c r="R3891" s="16" t="str">
        <f t="shared" si="1643"/>
        <v>x</v>
      </c>
      <c r="S3891" s="16" t="str">
        <f t="shared" si="1643"/>
        <v>x</v>
      </c>
      <c r="U3891" s="46" t="str">
        <f t="shared" si="1613"/>
        <v/>
      </c>
      <c r="V3891" s="46">
        <f t="shared" si="1613"/>
        <v>22</v>
      </c>
      <c r="W3891" s="46" t="str">
        <f t="shared" si="1613"/>
        <v/>
      </c>
      <c r="X3891" s="46" t="str">
        <f t="shared" si="1613"/>
        <v/>
      </c>
    </row>
    <row r="3892" spans="2:26" x14ac:dyDescent="0.25">
      <c r="B3892" s="11" t="str">
        <f t="shared" si="1637"/>
        <v>MAAS-17MAY1897</v>
      </c>
      <c r="C3892" s="11" t="s">
        <v>3215</v>
      </c>
      <c r="D3892" s="11" t="s">
        <v>3707</v>
      </c>
      <c r="F3892" s="11" t="s">
        <v>1700</v>
      </c>
      <c r="G3892" s="39" t="s">
        <v>275</v>
      </c>
      <c r="H3892" s="7">
        <v>0</v>
      </c>
      <c r="I3892" s="7">
        <v>0</v>
      </c>
      <c r="J3892" s="17">
        <v>1</v>
      </c>
      <c r="K3892" s="17"/>
      <c r="L3892" s="7">
        <f t="shared" si="1638"/>
        <v>1</v>
      </c>
      <c r="M3892" s="8">
        <v>1</v>
      </c>
      <c r="N3892" s="8">
        <f t="shared" si="1639"/>
        <v>1</v>
      </c>
      <c r="O3892" s="11" t="s">
        <v>1702</v>
      </c>
      <c r="P3892" s="16" t="str">
        <f t="shared" si="1640"/>
        <v>17-May-1897</v>
      </c>
      <c r="R3892" s="16" t="str">
        <f>IF($L3892&gt;0,"x","")</f>
        <v>x</v>
      </c>
      <c r="S3892" s="16" t="str">
        <f>IF($L3892&gt;0,"x","")</f>
        <v>x</v>
      </c>
      <c r="U3892" s="46" t="str">
        <f t="shared" ref="U3892:X3899" si="1645">IF($O3892=U$5,$L3892,"")</f>
        <v/>
      </c>
      <c r="V3892" s="46">
        <f t="shared" si="1645"/>
        <v>1</v>
      </c>
      <c r="W3892" s="46" t="str">
        <f t="shared" si="1645"/>
        <v/>
      </c>
      <c r="X3892" s="46" t="str">
        <f t="shared" si="1645"/>
        <v/>
      </c>
    </row>
    <row r="3893" spans="2:26" x14ac:dyDescent="0.25">
      <c r="B3893" s="11" t="str">
        <f t="shared" si="1637"/>
        <v>MAAS-29JUN1897</v>
      </c>
      <c r="C3893" s="11" t="s">
        <v>3215</v>
      </c>
      <c r="D3893" s="11" t="s">
        <v>2103</v>
      </c>
      <c r="E3893" s="39" t="s">
        <v>1709</v>
      </c>
      <c r="F3893" s="11" t="s">
        <v>1700</v>
      </c>
      <c r="G3893" s="39" t="s">
        <v>5698</v>
      </c>
      <c r="J3893" s="17">
        <v>21</v>
      </c>
      <c r="K3893" s="17"/>
      <c r="L3893" s="7">
        <f t="shared" si="1638"/>
        <v>21</v>
      </c>
      <c r="M3893" s="8">
        <v>1</v>
      </c>
      <c r="N3893" s="8">
        <f t="shared" si="1639"/>
        <v>1</v>
      </c>
      <c r="O3893" s="11" t="s">
        <v>1702</v>
      </c>
      <c r="P3893" s="16" t="str">
        <f t="shared" si="1640"/>
        <v>29-Jun-1897</v>
      </c>
      <c r="R3893" s="16" t="str">
        <f>IF($L3893&gt;0,"x","")</f>
        <v>x</v>
      </c>
      <c r="S3893" s="16" t="str">
        <f>IF($L3893&gt;0,"x","")</f>
        <v>x</v>
      </c>
      <c r="U3893" s="46" t="str">
        <f t="shared" si="1645"/>
        <v/>
      </c>
      <c r="V3893" s="46">
        <f t="shared" si="1645"/>
        <v>21</v>
      </c>
      <c r="W3893" s="46" t="str">
        <f t="shared" si="1645"/>
        <v/>
      </c>
      <c r="X3893" s="46" t="str">
        <f t="shared" si="1645"/>
        <v/>
      </c>
    </row>
    <row r="3894" spans="2:26" x14ac:dyDescent="0.25">
      <c r="B3894" s="11" t="str">
        <f t="shared" si="1637"/>
        <v>MAAS-10OCT1897</v>
      </c>
      <c r="C3894" s="11" t="s">
        <v>3215</v>
      </c>
      <c r="D3894" s="11" t="s">
        <v>3707</v>
      </c>
      <c r="E3894" s="39" t="s">
        <v>4616</v>
      </c>
      <c r="F3894" s="11" t="s">
        <v>1700</v>
      </c>
      <c r="G3894" s="39" t="s">
        <v>26</v>
      </c>
      <c r="J3894" s="17">
        <v>26</v>
      </c>
      <c r="K3894" s="17"/>
      <c r="L3894" s="7">
        <f t="shared" si="1638"/>
        <v>26</v>
      </c>
      <c r="M3894" s="8">
        <v>1</v>
      </c>
      <c r="N3894" s="8">
        <f t="shared" si="1639"/>
        <v>1</v>
      </c>
      <c r="O3894" s="11" t="s">
        <v>1702</v>
      </c>
      <c r="P3894" s="16" t="str">
        <f t="shared" si="1640"/>
        <v>10-Oct-1897</v>
      </c>
      <c r="R3894" s="16" t="str">
        <f t="shared" si="1643"/>
        <v>x</v>
      </c>
      <c r="S3894" s="16" t="str">
        <f t="shared" si="1643"/>
        <v>x</v>
      </c>
      <c r="U3894" s="46" t="str">
        <f t="shared" si="1645"/>
        <v/>
      </c>
      <c r="V3894" s="46">
        <f t="shared" si="1645"/>
        <v>26</v>
      </c>
      <c r="W3894" s="46" t="str">
        <f t="shared" si="1645"/>
        <v/>
      </c>
      <c r="X3894" s="46" t="str">
        <f t="shared" si="1645"/>
        <v/>
      </c>
    </row>
    <row r="3895" spans="2:26" x14ac:dyDescent="0.25">
      <c r="B3895" s="11" t="str">
        <f t="shared" si="1637"/>
        <v>MAAS-06JUN1898</v>
      </c>
      <c r="C3895" s="11" t="s">
        <v>3215</v>
      </c>
      <c r="D3895" s="11" t="s">
        <v>2103</v>
      </c>
      <c r="E3895" s="39" t="s">
        <v>5120</v>
      </c>
      <c r="F3895" s="11" t="s">
        <v>1700</v>
      </c>
      <c r="G3895" s="39" t="s">
        <v>5121</v>
      </c>
      <c r="J3895" s="17">
        <v>1</v>
      </c>
      <c r="K3895" s="17"/>
      <c r="L3895" s="7">
        <f t="shared" si="1638"/>
        <v>1</v>
      </c>
      <c r="M3895" s="8">
        <v>1</v>
      </c>
      <c r="N3895" s="8">
        <f t="shared" si="1639"/>
        <v>1</v>
      </c>
      <c r="O3895" s="11" t="s">
        <v>1702</v>
      </c>
      <c r="P3895" s="16" t="str">
        <f t="shared" si="1640"/>
        <v>06-Jun-1898</v>
      </c>
      <c r="R3895" s="16" t="str">
        <f t="shared" si="1643"/>
        <v>x</v>
      </c>
      <c r="S3895" s="16" t="str">
        <f t="shared" si="1643"/>
        <v>x</v>
      </c>
      <c r="U3895" s="46" t="str">
        <f t="shared" si="1645"/>
        <v/>
      </c>
      <c r="V3895" s="46">
        <f t="shared" si="1645"/>
        <v>1</v>
      </c>
      <c r="W3895" s="46" t="str">
        <f t="shared" si="1645"/>
        <v/>
      </c>
      <c r="X3895" s="46" t="str">
        <f t="shared" si="1645"/>
        <v/>
      </c>
    </row>
    <row r="3896" spans="2:26" x14ac:dyDescent="0.25">
      <c r="B3896" s="11" t="str">
        <f t="shared" si="1637"/>
        <v>MAAS-24OCT1898</v>
      </c>
      <c r="C3896" s="11" t="s">
        <v>3215</v>
      </c>
      <c r="D3896" s="11" t="s">
        <v>2103</v>
      </c>
      <c r="E3896" s="39" t="s">
        <v>6096</v>
      </c>
      <c r="F3896" s="11" t="s">
        <v>1700</v>
      </c>
      <c r="G3896" s="39" t="s">
        <v>6097</v>
      </c>
      <c r="J3896" s="17">
        <v>2</v>
      </c>
      <c r="K3896" s="17"/>
      <c r="L3896" s="7">
        <f t="shared" si="1638"/>
        <v>2</v>
      </c>
      <c r="M3896" s="8">
        <v>1</v>
      </c>
      <c r="N3896" s="8">
        <f t="shared" si="1639"/>
        <v>1</v>
      </c>
      <c r="O3896" s="11" t="s">
        <v>1702</v>
      </c>
      <c r="P3896" s="16" t="str">
        <f t="shared" si="1640"/>
        <v>24-Oct-1898</v>
      </c>
      <c r="R3896" s="16" t="str">
        <f t="shared" si="1643"/>
        <v>x</v>
      </c>
      <c r="S3896" s="16" t="str">
        <f t="shared" si="1643"/>
        <v>x</v>
      </c>
      <c r="U3896" s="46" t="str">
        <f t="shared" si="1645"/>
        <v/>
      </c>
      <c r="V3896" s="46">
        <f t="shared" si="1645"/>
        <v>2</v>
      </c>
      <c r="W3896" s="46" t="str">
        <f t="shared" si="1645"/>
        <v/>
      </c>
      <c r="X3896" s="46" t="str">
        <f t="shared" si="1645"/>
        <v/>
      </c>
    </row>
    <row r="3897" spans="2:26" x14ac:dyDescent="0.25">
      <c r="B3897" s="11" t="str">
        <f t="shared" si="1637"/>
        <v>MAAS-31JUL1899</v>
      </c>
      <c r="C3897" s="11" t="s">
        <v>3215</v>
      </c>
      <c r="D3897" s="11" t="s">
        <v>2103</v>
      </c>
      <c r="E3897" s="39" t="s">
        <v>6282</v>
      </c>
      <c r="F3897" s="11" t="s">
        <v>1700</v>
      </c>
      <c r="G3897" s="39" t="s">
        <v>5664</v>
      </c>
      <c r="J3897" s="17">
        <v>11</v>
      </c>
      <c r="K3897" s="17"/>
      <c r="L3897" s="7">
        <f t="shared" si="1638"/>
        <v>11</v>
      </c>
      <c r="M3897" s="8">
        <v>1</v>
      </c>
      <c r="N3897" s="8">
        <f t="shared" si="1639"/>
        <v>1</v>
      </c>
      <c r="O3897" s="11" t="s">
        <v>1702</v>
      </c>
      <c r="P3897" s="16" t="str">
        <f t="shared" si="1640"/>
        <v>31-Jul-1899</v>
      </c>
      <c r="R3897" s="16" t="str">
        <f t="shared" si="1643"/>
        <v>x</v>
      </c>
      <c r="S3897" s="16" t="str">
        <f t="shared" si="1643"/>
        <v>x</v>
      </c>
      <c r="U3897" s="46" t="str">
        <f t="shared" si="1645"/>
        <v/>
      </c>
      <c r="V3897" s="46">
        <f t="shared" si="1645"/>
        <v>11</v>
      </c>
      <c r="W3897" s="46" t="str">
        <f t="shared" si="1645"/>
        <v/>
      </c>
      <c r="X3897" s="46" t="str">
        <f t="shared" si="1645"/>
        <v/>
      </c>
    </row>
    <row r="3898" spans="2:26" x14ac:dyDescent="0.25">
      <c r="B3898" s="11" t="str">
        <f t="shared" si="1637"/>
        <v>MAAS-11SEP1899</v>
      </c>
      <c r="C3898" s="11" t="s">
        <v>3215</v>
      </c>
      <c r="D3898" s="11" t="s">
        <v>2103</v>
      </c>
      <c r="E3898" s="39" t="s">
        <v>5861</v>
      </c>
      <c r="F3898" s="11" t="s">
        <v>1700</v>
      </c>
      <c r="G3898" s="39" t="s">
        <v>5862</v>
      </c>
      <c r="J3898" s="17">
        <v>13</v>
      </c>
      <c r="K3898" s="17"/>
      <c r="L3898" s="7">
        <f t="shared" si="1638"/>
        <v>13</v>
      </c>
      <c r="M3898" s="8">
        <v>1</v>
      </c>
      <c r="N3898" s="8">
        <f t="shared" si="1639"/>
        <v>1</v>
      </c>
      <c r="O3898" s="11" t="s">
        <v>1702</v>
      </c>
      <c r="P3898" s="16" t="str">
        <f t="shared" si="1640"/>
        <v>11-Sep-1899</v>
      </c>
      <c r="R3898" s="16" t="str">
        <f t="shared" si="1643"/>
        <v>x</v>
      </c>
      <c r="S3898" s="16" t="str">
        <f t="shared" si="1643"/>
        <v>x</v>
      </c>
      <c r="U3898" s="46" t="str">
        <f t="shared" si="1645"/>
        <v/>
      </c>
      <c r="V3898" s="46">
        <f t="shared" si="1645"/>
        <v>13</v>
      </c>
      <c r="W3898" s="46" t="str">
        <f t="shared" si="1645"/>
        <v/>
      </c>
      <c r="X3898" s="46" t="str">
        <f t="shared" si="1645"/>
        <v/>
      </c>
    </row>
    <row r="3899" spans="2:26" x14ac:dyDescent="0.25">
      <c r="B3899" s="11" t="str">
        <f t="shared" si="1637"/>
        <v>MAAS-16OCT1899</v>
      </c>
      <c r="C3899" s="11" t="s">
        <v>3215</v>
      </c>
      <c r="D3899" s="11" t="s">
        <v>2103</v>
      </c>
      <c r="E3899" s="39" t="s">
        <v>5355</v>
      </c>
      <c r="F3899" s="11" t="s">
        <v>1700</v>
      </c>
      <c r="G3899" s="39" t="s">
        <v>483</v>
      </c>
      <c r="J3899" s="17">
        <v>6</v>
      </c>
      <c r="K3899" s="17"/>
      <c r="L3899" s="7">
        <f t="shared" si="1638"/>
        <v>6</v>
      </c>
      <c r="M3899" s="8">
        <v>1</v>
      </c>
      <c r="N3899" s="8">
        <f t="shared" si="1639"/>
        <v>1</v>
      </c>
      <c r="O3899" s="11" t="s">
        <v>1702</v>
      </c>
      <c r="P3899" s="16" t="str">
        <f t="shared" si="1640"/>
        <v>16-Oct-1899</v>
      </c>
      <c r="R3899" s="16" t="str">
        <f t="shared" si="1643"/>
        <v>x</v>
      </c>
      <c r="S3899" s="16" t="str">
        <f t="shared" si="1643"/>
        <v>x</v>
      </c>
      <c r="U3899" s="46" t="str">
        <f t="shared" si="1645"/>
        <v/>
      </c>
      <c r="V3899" s="46">
        <f t="shared" si="1645"/>
        <v>6</v>
      </c>
      <c r="W3899" s="46" t="str">
        <f t="shared" si="1645"/>
        <v/>
      </c>
      <c r="X3899" s="46" t="str">
        <f t="shared" si="1645"/>
        <v/>
      </c>
    </row>
    <row r="3900" spans="2:26" x14ac:dyDescent="0.25">
      <c r="B3900" s="11" t="str">
        <f t="shared" si="1637"/>
        <v>MAAS-04SEP1900</v>
      </c>
      <c r="C3900" s="11" t="s">
        <v>3215</v>
      </c>
      <c r="D3900" s="11" t="s">
        <v>2103</v>
      </c>
      <c r="E3900" s="39" t="s">
        <v>4111</v>
      </c>
      <c r="F3900" s="11" t="s">
        <v>1700</v>
      </c>
      <c r="G3900" s="39" t="s">
        <v>4112</v>
      </c>
      <c r="J3900" s="17">
        <v>39</v>
      </c>
      <c r="K3900" s="17"/>
      <c r="L3900" s="7">
        <f t="shared" si="1638"/>
        <v>39</v>
      </c>
      <c r="M3900" s="8">
        <v>1</v>
      </c>
      <c r="N3900" s="8">
        <f t="shared" si="1639"/>
        <v>1</v>
      </c>
      <c r="O3900" s="11" t="s">
        <v>1702</v>
      </c>
      <c r="P3900" s="16" t="str">
        <f t="shared" si="1640"/>
        <v>04-Sep-1900</v>
      </c>
      <c r="R3900" s="16" t="str">
        <f t="shared" si="1643"/>
        <v>x</v>
      </c>
      <c r="S3900" s="16" t="str">
        <f t="shared" si="1643"/>
        <v>x</v>
      </c>
      <c r="U3900" s="46" t="str">
        <f t="shared" si="1613"/>
        <v/>
      </c>
      <c r="V3900" s="46">
        <f t="shared" si="1613"/>
        <v>39</v>
      </c>
      <c r="W3900" s="46" t="str">
        <f t="shared" si="1613"/>
        <v/>
      </c>
      <c r="X3900" s="46" t="str">
        <f t="shared" si="1613"/>
        <v/>
      </c>
    </row>
    <row r="3901" spans="2:26" x14ac:dyDescent="0.25">
      <c r="B3901" s="11" t="str">
        <f t="shared" si="1637"/>
        <v>MAAS-12NOV1900</v>
      </c>
      <c r="C3901" s="11" t="s">
        <v>3215</v>
      </c>
      <c r="D3901" s="11" t="s">
        <v>2103</v>
      </c>
      <c r="E3901" s="39" t="s">
        <v>3220</v>
      </c>
      <c r="F3901" s="11" t="s">
        <v>1700</v>
      </c>
      <c r="G3901" s="39" t="s">
        <v>3219</v>
      </c>
      <c r="J3901" s="17">
        <v>10</v>
      </c>
      <c r="K3901" s="17"/>
      <c r="L3901" s="7">
        <f t="shared" si="1638"/>
        <v>10</v>
      </c>
      <c r="M3901" s="8">
        <v>1</v>
      </c>
      <c r="N3901" s="8">
        <f t="shared" si="1639"/>
        <v>1</v>
      </c>
      <c r="O3901" s="11" t="s">
        <v>1702</v>
      </c>
      <c r="P3901" s="16" t="str">
        <f t="shared" si="1640"/>
        <v>12-Nov-1900</v>
      </c>
      <c r="R3901" s="16" t="str">
        <f t="shared" si="1643"/>
        <v>x</v>
      </c>
      <c r="S3901" s="16" t="str">
        <f t="shared" si="1643"/>
        <v>x</v>
      </c>
      <c r="U3901" s="46" t="str">
        <f t="shared" si="1613"/>
        <v/>
      </c>
      <c r="V3901" s="46">
        <f t="shared" si="1613"/>
        <v>10</v>
      </c>
      <c r="W3901" s="46" t="str">
        <f t="shared" si="1613"/>
        <v/>
      </c>
      <c r="X3901" s="46" t="str">
        <f t="shared" si="1613"/>
        <v/>
      </c>
    </row>
    <row r="3902" spans="2:26" x14ac:dyDescent="0.25">
      <c r="B3902" s="11" t="str">
        <f t="shared" si="1637"/>
        <v>MAAS-10JUN1901</v>
      </c>
      <c r="C3902" s="11" t="s">
        <v>3215</v>
      </c>
      <c r="D3902" s="11" t="s">
        <v>2103</v>
      </c>
      <c r="E3902" s="39" t="s">
        <v>3340</v>
      </c>
      <c r="F3902" s="11" t="s">
        <v>1700</v>
      </c>
      <c r="G3902" s="39" t="s">
        <v>3339</v>
      </c>
      <c r="J3902" s="17">
        <v>6</v>
      </c>
      <c r="K3902" s="17"/>
      <c r="L3902" s="7">
        <f t="shared" si="1638"/>
        <v>6</v>
      </c>
      <c r="M3902" s="8">
        <v>1</v>
      </c>
      <c r="N3902" s="8">
        <f t="shared" si="1639"/>
        <v>1</v>
      </c>
      <c r="O3902" s="11" t="s">
        <v>1702</v>
      </c>
      <c r="P3902" s="16" t="str">
        <f t="shared" si="1640"/>
        <v>10-Jun-1901</v>
      </c>
      <c r="R3902" s="16" t="str">
        <f t="shared" si="1643"/>
        <v>x</v>
      </c>
      <c r="S3902" s="16" t="str">
        <f t="shared" si="1643"/>
        <v>x</v>
      </c>
      <c r="U3902" s="46" t="str">
        <f t="shared" si="1613"/>
        <v/>
      </c>
      <c r="V3902" s="46">
        <f t="shared" si="1613"/>
        <v>6</v>
      </c>
      <c r="W3902" s="46" t="str">
        <f t="shared" si="1613"/>
        <v/>
      </c>
      <c r="X3902" s="46" t="str">
        <f t="shared" si="1613"/>
        <v/>
      </c>
    </row>
    <row r="3903" spans="2:26" x14ac:dyDescent="0.25">
      <c r="N3903" s="8" t="str">
        <f>IF(R3903="x",1,"")</f>
        <v/>
      </c>
      <c r="U3903" s="46" t="str">
        <f t="shared" si="1613"/>
        <v/>
      </c>
      <c r="V3903" s="46" t="str">
        <f t="shared" si="1613"/>
        <v/>
      </c>
      <c r="W3903" s="46" t="str">
        <f t="shared" si="1613"/>
        <v/>
      </c>
      <c r="X3903" s="46" t="str">
        <f t="shared" si="1613"/>
        <v/>
      </c>
    </row>
    <row r="3904" spans="2:26" s="18" customFormat="1" x14ac:dyDescent="0.25">
      <c r="E3904" s="40"/>
      <c r="G3904" s="40"/>
      <c r="H3904" s="7">
        <f t="shared" ref="H3904:N3904" si="1646">SUM(H3886:H3903)</f>
        <v>0</v>
      </c>
      <c r="I3904" s="7">
        <f t="shared" si="1646"/>
        <v>0</v>
      </c>
      <c r="J3904" s="7">
        <f>SUM(J3886:J3903)</f>
        <v>195</v>
      </c>
      <c r="K3904" s="7">
        <f t="shared" si="1646"/>
        <v>0</v>
      </c>
      <c r="L3904" s="7">
        <f t="shared" si="1646"/>
        <v>195</v>
      </c>
      <c r="M3904" s="7">
        <f t="shared" si="1646"/>
        <v>17</v>
      </c>
      <c r="N3904" s="7">
        <f t="shared" si="1646"/>
        <v>17</v>
      </c>
      <c r="P3904" s="13"/>
      <c r="Q3904" s="13"/>
      <c r="R3904" s="16"/>
      <c r="S3904" s="13"/>
      <c r="T3904" s="15"/>
      <c r="U3904" s="46" t="str">
        <f t="shared" si="1613"/>
        <v/>
      </c>
      <c r="V3904" s="46" t="str">
        <f t="shared" si="1613"/>
        <v/>
      </c>
      <c r="W3904" s="46" t="str">
        <f t="shared" si="1613"/>
        <v/>
      </c>
      <c r="X3904" s="46" t="str">
        <f t="shared" si="1613"/>
        <v/>
      </c>
      <c r="Z3904" s="11"/>
    </row>
    <row r="3905" spans="2:26" s="18" customFormat="1" x14ac:dyDescent="0.25">
      <c r="E3905" s="40"/>
      <c r="G3905" s="40"/>
      <c r="H3905" s="7"/>
      <c r="I3905" s="7"/>
      <c r="J3905" s="7"/>
      <c r="K3905" s="7"/>
      <c r="L3905" s="7"/>
      <c r="M3905" s="8"/>
      <c r="N3905" s="8" t="str">
        <f>IF(R3905="x",1,"")</f>
        <v/>
      </c>
      <c r="P3905" s="13"/>
      <c r="Q3905" s="13"/>
      <c r="R3905" s="13"/>
      <c r="S3905" s="13"/>
      <c r="T3905" s="15"/>
      <c r="U3905" s="46" t="str">
        <f t="shared" ref="U3905:X3909" si="1647">IF($O3905=U$5,$L3905,"")</f>
        <v/>
      </c>
      <c r="V3905" s="46" t="str">
        <f t="shared" si="1647"/>
        <v/>
      </c>
      <c r="W3905" s="46" t="str">
        <f t="shared" si="1647"/>
        <v/>
      </c>
      <c r="X3905" s="46" t="str">
        <f t="shared" si="1647"/>
        <v/>
      </c>
      <c r="Z3905" s="11"/>
    </row>
    <row r="3906" spans="2:26" s="18" customFormat="1" x14ac:dyDescent="0.25">
      <c r="E3906" s="40"/>
      <c r="G3906" s="40"/>
      <c r="H3906" s="7"/>
      <c r="I3906" s="7"/>
      <c r="J3906" s="7"/>
      <c r="K3906" s="7"/>
      <c r="L3906" s="7"/>
      <c r="M3906" s="8"/>
      <c r="N3906" s="8" t="str">
        <f>IF(R3906="x",1,"")</f>
        <v/>
      </c>
      <c r="P3906" s="13"/>
      <c r="Q3906" s="13"/>
      <c r="R3906" s="13"/>
      <c r="S3906" s="13"/>
      <c r="T3906" s="15"/>
      <c r="U3906" s="46" t="str">
        <f t="shared" si="1647"/>
        <v/>
      </c>
      <c r="V3906" s="46" t="str">
        <f t="shared" si="1647"/>
        <v/>
      </c>
      <c r="W3906" s="46" t="str">
        <f t="shared" si="1647"/>
        <v/>
      </c>
      <c r="X3906" s="46" t="str">
        <f t="shared" si="1647"/>
        <v/>
      </c>
      <c r="Z3906" s="11"/>
    </row>
    <row r="3907" spans="2:26" x14ac:dyDescent="0.25">
      <c r="B3907" s="11" t="str">
        <f>CONCATENATE("MACD","-",LEFT(P3907,2),UPPER(MID(P3907,4,3)),RIGHT(P3907,4))</f>
        <v>MACD-20APR1912</v>
      </c>
      <c r="C3907" s="11" t="s">
        <v>4907</v>
      </c>
      <c r="D3907" s="11" t="s">
        <v>847</v>
      </c>
      <c r="E3907" s="39" t="s">
        <v>1896</v>
      </c>
      <c r="F3907" s="11" t="s">
        <v>1700</v>
      </c>
      <c r="G3907" s="39" t="s">
        <v>1897</v>
      </c>
      <c r="H3907" s="7">
        <v>0</v>
      </c>
      <c r="I3907" s="7">
        <v>0</v>
      </c>
      <c r="J3907" s="17">
        <v>3</v>
      </c>
      <c r="K3907" s="17"/>
      <c r="L3907" s="7">
        <f>SUM(H3907:K3907)</f>
        <v>3</v>
      </c>
      <c r="M3907" s="8">
        <v>1</v>
      </c>
      <c r="N3907" s="8">
        <f>IF(L3907&gt;0,1,"")</f>
        <v>1</v>
      </c>
      <c r="O3907" s="11" t="s">
        <v>1702</v>
      </c>
      <c r="P3907" s="16" t="str">
        <f>IF(LEN(G3907)=10,CONCATENATE("0",G3907),G3907)</f>
        <v>20-Apr-1912</v>
      </c>
      <c r="R3907" s="16" t="str">
        <f>IF($L3907&gt;0,"x","")</f>
        <v>x</v>
      </c>
      <c r="S3907" s="16" t="str">
        <f>IF($L3907&gt;0,"x","")</f>
        <v>x</v>
      </c>
      <c r="U3907" s="46" t="str">
        <f t="shared" si="1647"/>
        <v/>
      </c>
      <c r="V3907" s="46">
        <f t="shared" si="1647"/>
        <v>3</v>
      </c>
      <c r="W3907" s="46" t="str">
        <f t="shared" si="1647"/>
        <v/>
      </c>
      <c r="X3907" s="46" t="str">
        <f t="shared" si="1647"/>
        <v/>
      </c>
    </row>
    <row r="3908" spans="2:26" x14ac:dyDescent="0.25">
      <c r="N3908" s="8" t="str">
        <f>IF(R3908="x",1,"")</f>
        <v/>
      </c>
      <c r="U3908" s="46" t="str">
        <f t="shared" si="1647"/>
        <v/>
      </c>
      <c r="V3908" s="46" t="str">
        <f t="shared" si="1647"/>
        <v/>
      </c>
      <c r="W3908" s="46" t="str">
        <f t="shared" si="1647"/>
        <v/>
      </c>
      <c r="X3908" s="46" t="str">
        <f t="shared" si="1647"/>
        <v/>
      </c>
    </row>
    <row r="3909" spans="2:26" s="18" customFormat="1" x14ac:dyDescent="0.25">
      <c r="E3909" s="40"/>
      <c r="G3909" s="40"/>
      <c r="H3909" s="7">
        <f t="shared" ref="H3909:N3909" si="1648">SUM(H3907:H3908)</f>
        <v>0</v>
      </c>
      <c r="I3909" s="7">
        <f t="shared" si="1648"/>
        <v>0</v>
      </c>
      <c r="J3909" s="7">
        <f>SUM(J3907:J3908)</f>
        <v>3</v>
      </c>
      <c r="K3909" s="7">
        <f t="shared" si="1648"/>
        <v>0</v>
      </c>
      <c r="L3909" s="7">
        <f t="shared" si="1648"/>
        <v>3</v>
      </c>
      <c r="M3909" s="7">
        <f t="shared" si="1648"/>
        <v>1</v>
      </c>
      <c r="N3909" s="7">
        <f t="shared" si="1648"/>
        <v>1</v>
      </c>
      <c r="P3909" s="13"/>
      <c r="Q3909" s="13"/>
      <c r="R3909" s="16"/>
      <c r="S3909" s="13"/>
      <c r="T3909" s="15"/>
      <c r="U3909" s="46" t="str">
        <f t="shared" si="1647"/>
        <v/>
      </c>
      <c r="V3909" s="46" t="str">
        <f t="shared" si="1647"/>
        <v/>
      </c>
      <c r="W3909" s="46" t="str">
        <f t="shared" si="1647"/>
        <v/>
      </c>
      <c r="X3909" s="46" t="str">
        <f t="shared" si="1647"/>
        <v/>
      </c>
      <c r="Z3909" s="11"/>
    </row>
    <row r="3910" spans="2:26" s="18" customFormat="1" x14ac:dyDescent="0.25">
      <c r="E3910" s="40"/>
      <c r="G3910" s="40"/>
      <c r="H3910" s="7"/>
      <c r="I3910" s="7"/>
      <c r="J3910" s="7"/>
      <c r="K3910" s="7"/>
      <c r="L3910" s="7"/>
      <c r="M3910" s="8"/>
      <c r="N3910" s="8" t="str">
        <f>IF(R3910="x",1,"")</f>
        <v/>
      </c>
      <c r="P3910" s="13"/>
      <c r="Q3910" s="13"/>
      <c r="R3910" s="13"/>
      <c r="S3910" s="13"/>
      <c r="T3910" s="15"/>
      <c r="U3910" s="46" t="str">
        <f t="shared" si="1613"/>
        <v/>
      </c>
      <c r="V3910" s="46" t="str">
        <f t="shared" si="1613"/>
        <v/>
      </c>
      <c r="W3910" s="46" t="str">
        <f t="shared" si="1613"/>
        <v/>
      </c>
      <c r="X3910" s="46" t="str">
        <f t="shared" si="1613"/>
        <v/>
      </c>
      <c r="Z3910" s="11"/>
    </row>
    <row r="3911" spans="2:26" s="18" customFormat="1" x14ac:dyDescent="0.25">
      <c r="E3911" s="40"/>
      <c r="G3911" s="40"/>
      <c r="H3911" s="7"/>
      <c r="I3911" s="7"/>
      <c r="J3911" s="7"/>
      <c r="K3911" s="7"/>
      <c r="L3911" s="7"/>
      <c r="M3911" s="8"/>
      <c r="N3911" s="8" t="str">
        <f>IF(R3911="x",1,"")</f>
        <v/>
      </c>
      <c r="P3911" s="13"/>
      <c r="Q3911" s="13"/>
      <c r="R3911" s="13"/>
      <c r="S3911" s="13"/>
      <c r="T3911" s="15"/>
      <c r="U3911" s="46" t="str">
        <f t="shared" si="1613"/>
        <v/>
      </c>
      <c r="V3911" s="46" t="str">
        <f t="shared" si="1613"/>
        <v/>
      </c>
      <c r="W3911" s="46" t="str">
        <f t="shared" si="1613"/>
        <v/>
      </c>
      <c r="X3911" s="46" t="str">
        <f t="shared" si="1613"/>
        <v/>
      </c>
      <c r="Z3911" s="11"/>
    </row>
    <row r="3912" spans="2:26" x14ac:dyDescent="0.25">
      <c r="B3912" s="11" t="str">
        <f t="shared" ref="B3912:B3925" si="1649">CONCATENATE("MADO","-",LEFT(P3912,2),UPPER(MID(P3912,4,3)),RIGHT(P3912,4))</f>
        <v>MADO-30JUN1905</v>
      </c>
      <c r="C3912" s="11" t="s">
        <v>3148</v>
      </c>
      <c r="D3912" s="11" t="s">
        <v>870</v>
      </c>
      <c r="E3912" s="39" t="s">
        <v>5513</v>
      </c>
      <c r="F3912" s="11" t="s">
        <v>1700</v>
      </c>
      <c r="G3912" s="39" t="s">
        <v>3758</v>
      </c>
      <c r="J3912" s="17">
        <v>23</v>
      </c>
      <c r="K3912" s="17"/>
      <c r="L3912" s="7">
        <f t="shared" ref="L3912:L3925" si="1650">SUM(H3912:K3912)</f>
        <v>23</v>
      </c>
      <c r="M3912" s="8">
        <v>1</v>
      </c>
      <c r="N3912" s="8">
        <f t="shared" ref="N3912:N3925" si="1651">IF(L3912&gt;0,1,"")</f>
        <v>1</v>
      </c>
      <c r="O3912" s="11" t="s">
        <v>1702</v>
      </c>
      <c r="P3912" s="16" t="str">
        <f t="shared" ref="P3912:P3925" si="1652">IF(LEN(G3912)=10,CONCATENATE("0",G3912),G3912)</f>
        <v>30-Jun-1905</v>
      </c>
      <c r="R3912" s="16" t="str">
        <f t="shared" ref="R3912:S3914" si="1653">IF($L3912&gt;0,"x","")</f>
        <v>x</v>
      </c>
      <c r="S3912" s="16" t="str">
        <f t="shared" si="1653"/>
        <v>x</v>
      </c>
      <c r="U3912" s="46" t="str">
        <f t="shared" si="1613"/>
        <v/>
      </c>
      <c r="V3912" s="46">
        <f t="shared" si="1613"/>
        <v>23</v>
      </c>
      <c r="W3912" s="46" t="str">
        <f t="shared" si="1613"/>
        <v/>
      </c>
      <c r="X3912" s="46" t="str">
        <f t="shared" si="1613"/>
        <v/>
      </c>
    </row>
    <row r="3913" spans="2:26" x14ac:dyDescent="0.25">
      <c r="B3913" s="11" t="str">
        <f>CONCATENATE("MADO","-",LEFT(P3913,2),UPPER(MID(P3913,4,3)),RIGHT(P3913,4))</f>
        <v>MADO-04FEB1911</v>
      </c>
      <c r="C3913" s="11" t="s">
        <v>3148</v>
      </c>
      <c r="D3913" s="11" t="s">
        <v>870</v>
      </c>
      <c r="E3913" s="39" t="s">
        <v>4224</v>
      </c>
      <c r="F3913" s="11" t="s">
        <v>1700</v>
      </c>
      <c r="G3913" s="39" t="s">
        <v>1265</v>
      </c>
      <c r="H3913" s="7">
        <v>0</v>
      </c>
      <c r="J3913" s="17">
        <v>3</v>
      </c>
      <c r="K3913" s="17"/>
      <c r="L3913" s="7">
        <f>SUM(H3913:K3913)</f>
        <v>3</v>
      </c>
      <c r="M3913" s="8">
        <v>1</v>
      </c>
      <c r="N3913" s="8">
        <f>IF(L3913&gt;0,1,"")</f>
        <v>1</v>
      </c>
      <c r="O3913" s="11" t="s">
        <v>1702</v>
      </c>
      <c r="P3913" s="16" t="str">
        <f>IF(LEN(G3913)=10,CONCATENATE("0",G3913),G3913)</f>
        <v>04-Feb-1911</v>
      </c>
      <c r="R3913" s="16" t="str">
        <f t="shared" si="1653"/>
        <v>x</v>
      </c>
      <c r="S3913" s="16" t="str">
        <f t="shared" si="1653"/>
        <v>x</v>
      </c>
      <c r="U3913" s="46" t="str">
        <f t="shared" ref="U3913:X3914" si="1654">IF($O3913=U$5,$L3913,"")</f>
        <v/>
      </c>
      <c r="V3913" s="46">
        <f t="shared" si="1654"/>
        <v>3</v>
      </c>
      <c r="W3913" s="46" t="str">
        <f t="shared" si="1654"/>
        <v/>
      </c>
      <c r="X3913" s="46" t="str">
        <f t="shared" si="1654"/>
        <v/>
      </c>
    </row>
    <row r="3914" spans="2:26" x14ac:dyDescent="0.25">
      <c r="B3914" s="11" t="str">
        <f>CONCATENATE("MADO","-",LEFT(P3914,2),UPPER(MID(P3914,4,3)),RIGHT(P3914,4))</f>
        <v>MADO-21SEP1911</v>
      </c>
      <c r="C3914" s="11" t="s">
        <v>3148</v>
      </c>
      <c r="D3914" s="11" t="s">
        <v>870</v>
      </c>
      <c r="E3914" s="39" t="s">
        <v>1259</v>
      </c>
      <c r="F3914" s="11" t="s">
        <v>1700</v>
      </c>
      <c r="G3914" s="39" t="s">
        <v>5177</v>
      </c>
      <c r="J3914" s="17">
        <v>7</v>
      </c>
      <c r="K3914" s="17"/>
      <c r="L3914" s="7">
        <f>SUM(H3914:K3914)</f>
        <v>7</v>
      </c>
      <c r="M3914" s="8">
        <v>1</v>
      </c>
      <c r="N3914" s="8">
        <f>IF(L3914&gt;0,1,"")</f>
        <v>1</v>
      </c>
      <c r="O3914" s="11" t="s">
        <v>1702</v>
      </c>
      <c r="P3914" s="16" t="str">
        <f>IF(LEN(G3914)=10,CONCATENATE("0",G3914),G3914)</f>
        <v>21-Sep-1911</v>
      </c>
      <c r="R3914" s="16" t="str">
        <f t="shared" si="1653"/>
        <v>x</v>
      </c>
      <c r="S3914" s="16" t="str">
        <f t="shared" si="1653"/>
        <v>x</v>
      </c>
      <c r="U3914" s="46" t="str">
        <f t="shared" si="1654"/>
        <v/>
      </c>
      <c r="V3914" s="46">
        <f t="shared" si="1654"/>
        <v>7</v>
      </c>
      <c r="W3914" s="46" t="str">
        <f t="shared" si="1654"/>
        <v/>
      </c>
      <c r="X3914" s="46" t="str">
        <f t="shared" si="1654"/>
        <v/>
      </c>
    </row>
    <row r="3915" spans="2:26" x14ac:dyDescent="0.25">
      <c r="B3915" s="11" t="str">
        <f t="shared" si="1649"/>
        <v>MADO-02JUL1912</v>
      </c>
      <c r="C3915" s="11" t="s">
        <v>3148</v>
      </c>
      <c r="D3915" s="11" t="s">
        <v>870</v>
      </c>
      <c r="E3915" s="39" t="s">
        <v>3152</v>
      </c>
      <c r="F3915" s="11" t="s">
        <v>1602</v>
      </c>
      <c r="G3915" s="39" t="s">
        <v>3153</v>
      </c>
      <c r="J3915" s="17">
        <v>13</v>
      </c>
      <c r="K3915" s="17"/>
      <c r="L3915" s="7">
        <f t="shared" si="1650"/>
        <v>13</v>
      </c>
      <c r="M3915" s="8">
        <v>1</v>
      </c>
      <c r="N3915" s="8">
        <f t="shared" si="1651"/>
        <v>1</v>
      </c>
      <c r="O3915" s="11" t="s">
        <v>1702</v>
      </c>
      <c r="P3915" s="16" t="str">
        <f t="shared" si="1652"/>
        <v>02-Jul-1912</v>
      </c>
      <c r="R3915" s="16" t="str">
        <f t="shared" ref="R3915:S3939" si="1655">IF($L3915&gt;0,"x","")</f>
        <v>x</v>
      </c>
      <c r="S3915" s="16" t="str">
        <f t="shared" si="1655"/>
        <v>x</v>
      </c>
      <c r="U3915" s="46" t="str">
        <f t="shared" si="1613"/>
        <v/>
      </c>
      <c r="V3915" s="46">
        <f t="shared" si="1613"/>
        <v>13</v>
      </c>
      <c r="W3915" s="46" t="str">
        <f t="shared" si="1613"/>
        <v/>
      </c>
      <c r="X3915" s="46" t="str">
        <f t="shared" si="1613"/>
        <v/>
      </c>
    </row>
    <row r="3916" spans="2:26" x14ac:dyDescent="0.25">
      <c r="B3916" s="11" t="str">
        <f>CONCATENATE("MADO","-",LEFT(P3916,2),UPPER(MID(P3916,4,3)),RIGHT(P3916,4))</f>
        <v>MADO-17AUG1912</v>
      </c>
      <c r="C3916" s="11" t="s">
        <v>3148</v>
      </c>
      <c r="D3916" s="11" t="s">
        <v>870</v>
      </c>
      <c r="E3916" s="39" t="s">
        <v>5436</v>
      </c>
      <c r="F3916" s="11" t="s">
        <v>1602</v>
      </c>
      <c r="G3916" s="39" t="s">
        <v>1901</v>
      </c>
      <c r="I3916" s="7">
        <v>0</v>
      </c>
      <c r="J3916" s="17">
        <v>12</v>
      </c>
      <c r="K3916" s="17"/>
      <c r="L3916" s="7">
        <f>SUM(H3916:K3916)</f>
        <v>12</v>
      </c>
      <c r="M3916" s="8">
        <v>1</v>
      </c>
      <c r="N3916" s="8">
        <f>IF(L3916&gt;0,1,"")</f>
        <v>1</v>
      </c>
      <c r="O3916" s="11" t="s">
        <v>1702</v>
      </c>
      <c r="P3916" s="16" t="str">
        <f>IF(LEN(G3916)=10,CONCATENATE("0",G3916),G3916)</f>
        <v>17-Aug-1912</v>
      </c>
      <c r="R3916" s="16" t="str">
        <f>IF($L3916&gt;0,"x","")</f>
        <v>x</v>
      </c>
      <c r="S3916" s="16" t="str">
        <f>IF($L3916&gt;0,"x","")</f>
        <v>x</v>
      </c>
      <c r="U3916" s="46" t="str">
        <f t="shared" ref="U3916:X3917" si="1656">IF($O3916=U$5,$L3916,"")</f>
        <v/>
      </c>
      <c r="V3916" s="46">
        <f t="shared" si="1656"/>
        <v>12</v>
      </c>
      <c r="W3916" s="46" t="str">
        <f t="shared" si="1656"/>
        <v/>
      </c>
      <c r="X3916" s="46" t="str">
        <f t="shared" si="1656"/>
        <v/>
      </c>
    </row>
    <row r="3917" spans="2:26" x14ac:dyDescent="0.25">
      <c r="B3917" s="11" t="str">
        <f>CONCATENATE("MADO","-",LEFT(P3917,2),UPPER(MID(P3917,4,3)),RIGHT(P3917,4))</f>
        <v>MADO-18AUG1912</v>
      </c>
      <c r="C3917" s="11" t="s">
        <v>3148</v>
      </c>
      <c r="D3917" s="11" t="s">
        <v>870</v>
      </c>
      <c r="E3917" s="39" t="s">
        <v>5436</v>
      </c>
      <c r="F3917" s="11" t="s">
        <v>1700</v>
      </c>
      <c r="G3917" s="39" t="s">
        <v>6018</v>
      </c>
      <c r="H3917" s="7">
        <v>0</v>
      </c>
      <c r="I3917" s="7">
        <v>0</v>
      </c>
      <c r="J3917" s="17">
        <v>4</v>
      </c>
      <c r="K3917" s="17"/>
      <c r="L3917" s="7">
        <f>SUM(H3917:K3917)</f>
        <v>4</v>
      </c>
      <c r="M3917" s="8">
        <v>1</v>
      </c>
      <c r="N3917" s="8">
        <f>IF(L3917&gt;0,1,"")</f>
        <v>1</v>
      </c>
      <c r="O3917" s="11" t="s">
        <v>1702</v>
      </c>
      <c r="P3917" s="16" t="str">
        <f>IF(LEN(G3917)=10,CONCATENATE("0",G3917),G3917)</f>
        <v>18-Aug-1912</v>
      </c>
      <c r="R3917" s="16" t="str">
        <f>IF($L3917&gt;0,"x","")</f>
        <v>x</v>
      </c>
      <c r="S3917" s="16" t="str">
        <f>IF($L3917&gt;0,"x","")</f>
        <v>x</v>
      </c>
      <c r="U3917" s="46" t="str">
        <f t="shared" si="1656"/>
        <v/>
      </c>
      <c r="V3917" s="46">
        <f t="shared" si="1656"/>
        <v>4</v>
      </c>
      <c r="W3917" s="46" t="str">
        <f t="shared" si="1656"/>
        <v/>
      </c>
      <c r="X3917" s="46" t="str">
        <f t="shared" si="1656"/>
        <v/>
      </c>
    </row>
    <row r="3918" spans="2:26" x14ac:dyDescent="0.25">
      <c r="B3918" s="11" t="str">
        <f>CONCATENATE("MADO","-",LEFT(P3918,2),UPPER(MID(P3918,4,3)),RIGHT(P3918,4))</f>
        <v>MADO-12JUL1913</v>
      </c>
      <c r="C3918" s="11" t="s">
        <v>3148</v>
      </c>
      <c r="D3918" s="11" t="s">
        <v>870</v>
      </c>
      <c r="E3918" s="39" t="s">
        <v>3364</v>
      </c>
      <c r="F3918" s="11" t="s">
        <v>1602</v>
      </c>
      <c r="G3918" s="39" t="s">
        <v>1541</v>
      </c>
      <c r="I3918" s="7">
        <v>0</v>
      </c>
      <c r="J3918" s="17">
        <v>103</v>
      </c>
      <c r="K3918" s="17"/>
      <c r="L3918" s="7">
        <f>SUM(H3918:K3918)</f>
        <v>103</v>
      </c>
      <c r="M3918" s="8">
        <v>1</v>
      </c>
      <c r="N3918" s="8">
        <f>IF(L3918&gt;0,1,"")</f>
        <v>1</v>
      </c>
      <c r="O3918" s="11" t="s">
        <v>1702</v>
      </c>
      <c r="P3918" s="16" t="str">
        <f>IF(LEN(G3918)=10,CONCATENATE("0",G3918),G3918)</f>
        <v>12-Jul-1913</v>
      </c>
      <c r="R3918" s="16" t="str">
        <f t="shared" si="1655"/>
        <v>x</v>
      </c>
      <c r="S3918" s="16" t="str">
        <f t="shared" si="1655"/>
        <v>x</v>
      </c>
      <c r="U3918" s="46" t="str">
        <f t="shared" si="1613"/>
        <v/>
      </c>
      <c r="V3918" s="46">
        <f t="shared" si="1613"/>
        <v>103</v>
      </c>
      <c r="W3918" s="46" t="str">
        <f t="shared" si="1613"/>
        <v/>
      </c>
      <c r="X3918" s="46" t="str">
        <f t="shared" si="1613"/>
        <v/>
      </c>
    </row>
    <row r="3919" spans="2:26" x14ac:dyDescent="0.25">
      <c r="B3919" s="11" t="str">
        <f t="shared" si="1649"/>
        <v>MADO-13JUL1913</v>
      </c>
      <c r="C3919" s="11" t="s">
        <v>3148</v>
      </c>
      <c r="D3919" s="11" t="s">
        <v>870</v>
      </c>
      <c r="E3919" s="39" t="s">
        <v>3364</v>
      </c>
      <c r="F3919" s="11" t="s">
        <v>1700</v>
      </c>
      <c r="G3919" s="39" t="s">
        <v>2353</v>
      </c>
      <c r="H3919" s="7">
        <v>0</v>
      </c>
      <c r="I3919" s="7">
        <v>0</v>
      </c>
      <c r="J3919" s="17">
        <v>2</v>
      </c>
      <c r="K3919" s="17"/>
      <c r="L3919" s="7">
        <f t="shared" si="1650"/>
        <v>2</v>
      </c>
      <c r="M3919" s="8">
        <v>1</v>
      </c>
      <c r="N3919" s="8">
        <f t="shared" si="1651"/>
        <v>1</v>
      </c>
      <c r="O3919" s="11" t="s">
        <v>1702</v>
      </c>
      <c r="P3919" s="16" t="str">
        <f t="shared" si="1652"/>
        <v>13-Jul-1913</v>
      </c>
      <c r="R3919" s="16" t="str">
        <f t="shared" si="1655"/>
        <v>x</v>
      </c>
      <c r="S3919" s="16" t="str">
        <f t="shared" si="1655"/>
        <v>x</v>
      </c>
      <c r="U3919" s="46" t="str">
        <f t="shared" si="1613"/>
        <v/>
      </c>
      <c r="V3919" s="46">
        <f t="shared" si="1613"/>
        <v>2</v>
      </c>
      <c r="W3919" s="46" t="str">
        <f t="shared" si="1613"/>
        <v/>
      </c>
      <c r="X3919" s="46" t="str">
        <f t="shared" si="1613"/>
        <v/>
      </c>
    </row>
    <row r="3920" spans="2:26" x14ac:dyDescent="0.25">
      <c r="B3920" s="11" t="str">
        <f t="shared" si="1649"/>
        <v>MADO-13JUL1913</v>
      </c>
      <c r="C3920" s="11" t="s">
        <v>3148</v>
      </c>
      <c r="D3920" s="11" t="s">
        <v>3363</v>
      </c>
      <c r="E3920" s="39" t="s">
        <v>3362</v>
      </c>
      <c r="F3920" s="11" t="s">
        <v>1700</v>
      </c>
      <c r="G3920" s="39" t="s">
        <v>2353</v>
      </c>
      <c r="H3920" s="7">
        <v>0</v>
      </c>
      <c r="I3920" s="7">
        <v>0</v>
      </c>
      <c r="J3920" s="17">
        <v>1</v>
      </c>
      <c r="K3920" s="17"/>
      <c r="L3920" s="7">
        <f t="shared" si="1650"/>
        <v>1</v>
      </c>
      <c r="M3920" s="8">
        <v>1</v>
      </c>
      <c r="N3920" s="8">
        <f t="shared" si="1651"/>
        <v>1</v>
      </c>
      <c r="O3920" s="11" t="s">
        <v>1702</v>
      </c>
      <c r="P3920" s="16" t="str">
        <f t="shared" si="1652"/>
        <v>13-Jul-1913</v>
      </c>
      <c r="R3920" s="16" t="str">
        <f t="shared" si="1655"/>
        <v>x</v>
      </c>
      <c r="S3920" s="16" t="str">
        <f t="shared" si="1655"/>
        <v>x</v>
      </c>
      <c r="U3920" s="46" t="str">
        <f t="shared" si="1613"/>
        <v/>
      </c>
      <c r="V3920" s="46">
        <f t="shared" si="1613"/>
        <v>1</v>
      </c>
      <c r="W3920" s="46" t="str">
        <f t="shared" si="1613"/>
        <v/>
      </c>
      <c r="X3920" s="46" t="str">
        <f t="shared" si="1613"/>
        <v/>
      </c>
    </row>
    <row r="3921" spans="2:24" x14ac:dyDescent="0.25">
      <c r="B3921" s="11" t="str">
        <f t="shared" si="1649"/>
        <v>MADO-12OCT1913</v>
      </c>
      <c r="C3921" s="11" t="s">
        <v>3148</v>
      </c>
      <c r="D3921" s="11" t="s">
        <v>870</v>
      </c>
      <c r="E3921" s="39" t="s">
        <v>2362</v>
      </c>
      <c r="F3921" s="11" t="s">
        <v>1602</v>
      </c>
      <c r="G3921" s="39" t="s">
        <v>3760</v>
      </c>
      <c r="I3921" s="7">
        <v>0</v>
      </c>
      <c r="J3921" s="17">
        <v>76</v>
      </c>
      <c r="K3921" s="17"/>
      <c r="L3921" s="7">
        <f t="shared" si="1650"/>
        <v>76</v>
      </c>
      <c r="M3921" s="8">
        <v>1</v>
      </c>
      <c r="N3921" s="8">
        <f t="shared" si="1651"/>
        <v>1</v>
      </c>
      <c r="O3921" s="11" t="s">
        <v>1702</v>
      </c>
      <c r="P3921" s="16" t="str">
        <f t="shared" si="1652"/>
        <v>12-Oct-1913</v>
      </c>
      <c r="R3921" s="16" t="str">
        <f t="shared" si="1655"/>
        <v>x</v>
      </c>
      <c r="S3921" s="16" t="str">
        <f t="shared" si="1655"/>
        <v>x</v>
      </c>
      <c r="U3921" s="46" t="str">
        <f t="shared" si="1613"/>
        <v/>
      </c>
      <c r="V3921" s="46">
        <f t="shared" si="1613"/>
        <v>76</v>
      </c>
      <c r="W3921" s="46" t="str">
        <f t="shared" si="1613"/>
        <v/>
      </c>
      <c r="X3921" s="46" t="str">
        <f t="shared" si="1613"/>
        <v/>
      </c>
    </row>
    <row r="3922" spans="2:24" x14ac:dyDescent="0.25">
      <c r="B3922" s="11" t="str">
        <f t="shared" si="1649"/>
        <v>MADO-18JAN1914</v>
      </c>
      <c r="C3922" s="11" t="s">
        <v>3148</v>
      </c>
      <c r="D3922" s="11" t="s">
        <v>870</v>
      </c>
      <c r="E3922" s="39" t="s">
        <v>2370</v>
      </c>
      <c r="F3922" s="11" t="s">
        <v>1602</v>
      </c>
      <c r="G3922" s="39" t="s">
        <v>1300</v>
      </c>
      <c r="J3922" s="17">
        <v>85</v>
      </c>
      <c r="K3922" s="17"/>
      <c r="L3922" s="7">
        <f t="shared" si="1650"/>
        <v>85</v>
      </c>
      <c r="M3922" s="8">
        <v>1</v>
      </c>
      <c r="N3922" s="8">
        <f t="shared" si="1651"/>
        <v>1</v>
      </c>
      <c r="O3922" s="11" t="s">
        <v>1702</v>
      </c>
      <c r="P3922" s="16" t="str">
        <f t="shared" si="1652"/>
        <v>18-Jan-1914</v>
      </c>
      <c r="R3922" s="16" t="str">
        <f t="shared" si="1655"/>
        <v>x</v>
      </c>
      <c r="S3922" s="16" t="str">
        <f t="shared" si="1655"/>
        <v>x</v>
      </c>
      <c r="U3922" s="46" t="str">
        <f t="shared" si="1613"/>
        <v/>
      </c>
      <c r="V3922" s="46">
        <f t="shared" si="1613"/>
        <v>85</v>
      </c>
      <c r="W3922" s="46" t="str">
        <f t="shared" si="1613"/>
        <v/>
      </c>
      <c r="X3922" s="46" t="str">
        <f t="shared" si="1613"/>
        <v/>
      </c>
    </row>
    <row r="3923" spans="2:24" x14ac:dyDescent="0.25">
      <c r="B3923" s="11" t="str">
        <f>CONCATENATE("MADO","-",LEFT(P3923,2),UPPER(MID(P3923,4,3)),RIGHT(P3923,4))</f>
        <v>MADO-14OCT1914</v>
      </c>
      <c r="C3923" s="11" t="s">
        <v>3148</v>
      </c>
      <c r="D3923" s="11" t="s">
        <v>870</v>
      </c>
      <c r="E3923" s="39" t="s">
        <v>5457</v>
      </c>
      <c r="F3923" s="11" t="s">
        <v>1700</v>
      </c>
      <c r="G3923" s="39" t="s">
        <v>5458</v>
      </c>
      <c r="H3923" s="7">
        <v>0</v>
      </c>
      <c r="J3923" s="17">
        <v>11</v>
      </c>
      <c r="K3923" s="17"/>
      <c r="L3923" s="7">
        <f>SUM(H3923:K3923)</f>
        <v>11</v>
      </c>
      <c r="M3923" s="8">
        <v>1</v>
      </c>
      <c r="N3923" s="8">
        <f>IF(L3923&gt;0,1,"")</f>
        <v>1</v>
      </c>
      <c r="O3923" s="11" t="s">
        <v>1702</v>
      </c>
      <c r="P3923" s="16" t="str">
        <f>IF(LEN(G3923)=10,CONCATENATE("0",G3923),G3923)</f>
        <v>14-Oct-1914</v>
      </c>
      <c r="R3923" s="16" t="str">
        <f t="shared" si="1655"/>
        <v>x</v>
      </c>
      <c r="S3923" s="16" t="str">
        <f t="shared" si="1655"/>
        <v>x</v>
      </c>
      <c r="U3923" s="46" t="str">
        <f>IF($O3923=U$5,$L3923,"")</f>
        <v/>
      </c>
      <c r="V3923" s="46">
        <f>IF($O3923=V$5,$L3923,"")</f>
        <v>11</v>
      </c>
      <c r="W3923" s="46" t="str">
        <f>IF($O3923=W$5,$L3923,"")</f>
        <v/>
      </c>
      <c r="X3923" s="46" t="str">
        <f>IF($O3923=X$5,$L3923,"")</f>
        <v/>
      </c>
    </row>
    <row r="3924" spans="2:24" x14ac:dyDescent="0.25">
      <c r="B3924" s="11" t="str">
        <f>CONCATENATE("MADO","-",LEFT(P3924,2),UPPER(MID(P3924,4,3)),RIGHT(P3924,4))</f>
        <v>MADO-01SEP1922</v>
      </c>
      <c r="C3924" s="11" t="s">
        <v>3148</v>
      </c>
      <c r="D3924" s="11" t="s">
        <v>2808</v>
      </c>
      <c r="E3924" s="39" t="s">
        <v>4487</v>
      </c>
      <c r="F3924" s="11" t="s">
        <v>1700</v>
      </c>
      <c r="G3924" s="39" t="s">
        <v>2079</v>
      </c>
      <c r="I3924" s="7">
        <v>2</v>
      </c>
      <c r="J3924" s="17">
        <v>14</v>
      </c>
      <c r="K3924" s="17"/>
      <c r="L3924" s="7">
        <f>SUM(H3924:K3924)</f>
        <v>16</v>
      </c>
      <c r="M3924" s="8">
        <v>1</v>
      </c>
      <c r="N3924" s="8">
        <f>IF(L3924&gt;0,1,"")</f>
        <v>1</v>
      </c>
      <c r="O3924" s="11" t="s">
        <v>1702</v>
      </c>
      <c r="P3924" s="16" t="str">
        <f>IF(LEN(G3924)=10,CONCATENATE("0",G3924),G3924)</f>
        <v>01-Sep-1922</v>
      </c>
      <c r="R3924" s="16" t="str">
        <f t="shared" si="1655"/>
        <v>x</v>
      </c>
      <c r="S3924" s="16" t="str">
        <f t="shared" si="1655"/>
        <v>x</v>
      </c>
      <c r="U3924" s="46" t="str">
        <f t="shared" ref="U3924:X3925" si="1657">IF($O3924=U$5,$L3924,"")</f>
        <v/>
      </c>
      <c r="V3924" s="46">
        <f t="shared" si="1657"/>
        <v>16</v>
      </c>
      <c r="W3924" s="46" t="str">
        <f t="shared" si="1657"/>
        <v/>
      </c>
      <c r="X3924" s="46" t="str">
        <f t="shared" si="1657"/>
        <v/>
      </c>
    </row>
    <row r="3925" spans="2:24" x14ac:dyDescent="0.25">
      <c r="B3925" s="11" t="str">
        <f t="shared" si="1649"/>
        <v>MADO-01SEP1922</v>
      </c>
      <c r="C3925" s="11" t="s">
        <v>3148</v>
      </c>
      <c r="D3925" s="11" t="s">
        <v>2983</v>
      </c>
      <c r="E3925" s="39" t="s">
        <v>4923</v>
      </c>
      <c r="F3925" s="11" t="s">
        <v>1700</v>
      </c>
      <c r="G3925" s="39" t="s">
        <v>2079</v>
      </c>
      <c r="I3925" s="7">
        <v>8</v>
      </c>
      <c r="J3925" s="17">
        <v>6</v>
      </c>
      <c r="K3925" s="17"/>
      <c r="L3925" s="7">
        <f t="shared" si="1650"/>
        <v>14</v>
      </c>
      <c r="M3925" s="8">
        <v>1</v>
      </c>
      <c r="N3925" s="8">
        <f t="shared" si="1651"/>
        <v>1</v>
      </c>
      <c r="O3925" s="11" t="s">
        <v>1702</v>
      </c>
      <c r="P3925" s="16" t="str">
        <f t="shared" si="1652"/>
        <v>01-Sep-1922</v>
      </c>
      <c r="R3925" s="16" t="str">
        <f t="shared" si="1655"/>
        <v>x</v>
      </c>
      <c r="S3925" s="16" t="str">
        <f t="shared" si="1655"/>
        <v>x</v>
      </c>
      <c r="U3925" s="46" t="str">
        <f t="shared" si="1657"/>
        <v/>
      </c>
      <c r="V3925" s="46">
        <f t="shared" si="1657"/>
        <v>14</v>
      </c>
      <c r="W3925" s="46" t="str">
        <f t="shared" si="1657"/>
        <v/>
      </c>
      <c r="X3925" s="46" t="str">
        <f t="shared" si="1657"/>
        <v/>
      </c>
    </row>
    <row r="3926" spans="2:24" x14ac:dyDescent="0.25">
      <c r="B3926" s="11" t="str">
        <f t="shared" ref="B3926:B3939" si="1658">CONCATENATE("MADO","-",LEFT(P3926,2),UPPER(MID(P3926,4,3)),RIGHT(P3926,4))</f>
        <v>MADO-01NOV1922</v>
      </c>
      <c r="C3926" s="11" t="s">
        <v>3148</v>
      </c>
      <c r="D3926" s="11" t="s">
        <v>2808</v>
      </c>
      <c r="E3926" s="39" t="s">
        <v>4227</v>
      </c>
      <c r="F3926" s="11" t="s">
        <v>1700</v>
      </c>
      <c r="G3926" s="39" t="s">
        <v>3034</v>
      </c>
      <c r="I3926" s="7">
        <f>29+2</f>
        <v>31</v>
      </c>
      <c r="J3926" s="17">
        <f>102+8</f>
        <v>110</v>
      </c>
      <c r="K3926" s="17"/>
      <c r="L3926" s="7">
        <f t="shared" ref="L3926:L3939" si="1659">SUM(H3926:K3926)</f>
        <v>141</v>
      </c>
      <c r="M3926" s="8">
        <v>1</v>
      </c>
      <c r="N3926" s="8">
        <f t="shared" ref="N3926:N3939" si="1660">IF(L3926&gt;0,1,"")</f>
        <v>1</v>
      </c>
      <c r="O3926" s="11" t="s">
        <v>1702</v>
      </c>
      <c r="P3926" s="16" t="str">
        <f t="shared" ref="P3926:P3939" si="1661">IF(LEN(G3926)=10,CONCATENATE("0",G3926),G3926)</f>
        <v>01-Nov-1922</v>
      </c>
      <c r="R3926" s="16" t="str">
        <f t="shared" si="1655"/>
        <v>x</v>
      </c>
      <c r="S3926" s="16" t="str">
        <f t="shared" si="1655"/>
        <v>x</v>
      </c>
      <c r="U3926" s="46" t="str">
        <f t="shared" si="1613"/>
        <v/>
      </c>
      <c r="V3926" s="46">
        <f t="shared" si="1613"/>
        <v>141</v>
      </c>
      <c r="W3926" s="46" t="str">
        <f t="shared" si="1613"/>
        <v/>
      </c>
      <c r="X3926" s="46" t="str">
        <f t="shared" si="1613"/>
        <v/>
      </c>
    </row>
    <row r="3927" spans="2:24" x14ac:dyDescent="0.25">
      <c r="B3927" s="11" t="str">
        <f>CONCATENATE("MADO","-",LEFT(P3927,2),UPPER(MID(P3927,4,3)),RIGHT(P3927,4))</f>
        <v>MADO-02FEB1923</v>
      </c>
      <c r="C3927" s="11" t="s">
        <v>3148</v>
      </c>
      <c r="D3927" s="11" t="s">
        <v>2808</v>
      </c>
      <c r="E3927" s="39" t="s">
        <v>5574</v>
      </c>
      <c r="F3927" s="11" t="s">
        <v>1700</v>
      </c>
      <c r="G3927" s="39" t="s">
        <v>5575</v>
      </c>
      <c r="I3927" s="7">
        <f>20+1</f>
        <v>21</v>
      </c>
      <c r="J3927" s="17">
        <v>42</v>
      </c>
      <c r="K3927" s="17"/>
      <c r="L3927" s="7">
        <f>SUM(H3927:K3927)</f>
        <v>63</v>
      </c>
      <c r="M3927" s="8">
        <v>1</v>
      </c>
      <c r="N3927" s="8">
        <f>IF(L3927&gt;0,1,"")</f>
        <v>1</v>
      </c>
      <c r="O3927" s="11" t="s">
        <v>1702</v>
      </c>
      <c r="P3927" s="16" t="str">
        <f>IF(LEN(G3927)=10,CONCATENATE("0",G3927),G3927)</f>
        <v>02-Feb-1923</v>
      </c>
      <c r="R3927" s="16" t="str">
        <f t="shared" si="1655"/>
        <v>x</v>
      </c>
      <c r="S3927" s="16" t="str">
        <f t="shared" si="1655"/>
        <v>x</v>
      </c>
      <c r="U3927" s="46" t="str">
        <f t="shared" ref="U3927:X3928" si="1662">IF($O3927=U$5,$L3927,"")</f>
        <v/>
      </c>
      <c r="V3927" s="46">
        <f t="shared" si="1662"/>
        <v>63</v>
      </c>
      <c r="W3927" s="46" t="str">
        <f t="shared" si="1662"/>
        <v/>
      </c>
      <c r="X3927" s="46" t="str">
        <f t="shared" si="1662"/>
        <v/>
      </c>
    </row>
    <row r="3928" spans="2:24" x14ac:dyDescent="0.25">
      <c r="B3928" s="11" t="str">
        <f>CONCATENATE("MADO","-",LEFT(P3928,2),UPPER(MID(P3928,4,3)),RIGHT(P3928,4))</f>
        <v>MADO-02FEB1923</v>
      </c>
      <c r="C3928" s="11" t="s">
        <v>3148</v>
      </c>
      <c r="F3928" s="11" t="s">
        <v>1700</v>
      </c>
      <c r="G3928" s="39" t="s">
        <v>5575</v>
      </c>
      <c r="J3928" s="17"/>
      <c r="K3928" s="17">
        <v>1</v>
      </c>
      <c r="L3928" s="7">
        <f>SUM(H3928:K3928)</f>
        <v>1</v>
      </c>
      <c r="M3928" s="8">
        <v>1</v>
      </c>
      <c r="N3928" s="8">
        <f>IF(L3928&gt;0,1,"")</f>
        <v>1</v>
      </c>
      <c r="O3928" s="11" t="s">
        <v>1702</v>
      </c>
      <c r="P3928" s="16" t="str">
        <f>IF(LEN(G3928)=10,CONCATENATE("0",G3928),G3928)</f>
        <v>02-Feb-1923</v>
      </c>
      <c r="R3928" s="16" t="str">
        <f t="shared" si="1655"/>
        <v>x</v>
      </c>
      <c r="S3928" s="16" t="str">
        <f t="shared" si="1655"/>
        <v>x</v>
      </c>
      <c r="U3928" s="46" t="str">
        <f t="shared" si="1662"/>
        <v/>
      </c>
      <c r="V3928" s="46">
        <f t="shared" si="1662"/>
        <v>1</v>
      </c>
      <c r="W3928" s="46" t="str">
        <f t="shared" si="1662"/>
        <v/>
      </c>
      <c r="X3928" s="46" t="str">
        <f t="shared" si="1662"/>
        <v/>
      </c>
    </row>
    <row r="3929" spans="2:24" x14ac:dyDescent="0.25">
      <c r="B3929" s="11" t="str">
        <f t="shared" si="1658"/>
        <v>MADO-01AUG1923</v>
      </c>
      <c r="C3929" s="11" t="s">
        <v>3148</v>
      </c>
      <c r="D3929" s="11" t="s">
        <v>3056</v>
      </c>
      <c r="E3929" s="39" t="s">
        <v>4320</v>
      </c>
      <c r="F3929" s="11" t="s">
        <v>1700</v>
      </c>
      <c r="G3929" s="39" t="s">
        <v>2970</v>
      </c>
      <c r="H3929" s="7">
        <v>1</v>
      </c>
      <c r="J3929" s="17">
        <f>60+2</f>
        <v>62</v>
      </c>
      <c r="K3929" s="17"/>
      <c r="L3929" s="7">
        <f t="shared" si="1659"/>
        <v>63</v>
      </c>
      <c r="M3929" s="8">
        <v>1</v>
      </c>
      <c r="N3929" s="8">
        <f t="shared" si="1660"/>
        <v>1</v>
      </c>
      <c r="O3929" s="11" t="s">
        <v>1702</v>
      </c>
      <c r="P3929" s="16" t="str">
        <f t="shared" si="1661"/>
        <v>01-Aug-1923</v>
      </c>
      <c r="R3929" s="16" t="str">
        <f t="shared" si="1655"/>
        <v>x</v>
      </c>
      <c r="S3929" s="16" t="str">
        <f t="shared" si="1655"/>
        <v>x</v>
      </c>
      <c r="U3929" s="46" t="str">
        <f t="shared" si="1613"/>
        <v/>
      </c>
      <c r="V3929" s="46">
        <f t="shared" si="1613"/>
        <v>63</v>
      </c>
      <c r="W3929" s="46" t="str">
        <f t="shared" si="1613"/>
        <v/>
      </c>
      <c r="X3929" s="46" t="str">
        <f t="shared" si="1613"/>
        <v/>
      </c>
    </row>
    <row r="3930" spans="2:24" x14ac:dyDescent="0.25">
      <c r="B3930" s="11" t="str">
        <f>CONCATENATE("MADO","-",LEFT(P3930,2),UPPER(MID(P3930,4,3)),RIGHT(P3930,4))</f>
        <v>MADO-01AUG1923</v>
      </c>
      <c r="C3930" s="11" t="s">
        <v>3148</v>
      </c>
      <c r="D3930" s="11" t="s">
        <v>2808</v>
      </c>
      <c r="E3930" s="39" t="s">
        <v>2862</v>
      </c>
      <c r="F3930" s="11" t="s">
        <v>1700</v>
      </c>
      <c r="G3930" s="39" t="s">
        <v>2970</v>
      </c>
      <c r="H3930" s="7">
        <f>16+1</f>
        <v>17</v>
      </c>
      <c r="J3930" s="17">
        <f>35+1</f>
        <v>36</v>
      </c>
      <c r="K3930" s="17"/>
      <c r="L3930" s="7">
        <f>SUM(H3930:K3930)</f>
        <v>53</v>
      </c>
      <c r="M3930" s="8">
        <v>1</v>
      </c>
      <c r="N3930" s="8">
        <f>IF(L3930&gt;0,1,"")</f>
        <v>1</v>
      </c>
      <c r="O3930" s="11" t="s">
        <v>1702</v>
      </c>
      <c r="P3930" s="16" t="str">
        <f>IF(LEN(G3930)=10,CONCATENATE("0",G3930),G3930)</f>
        <v>01-Aug-1923</v>
      </c>
      <c r="R3930" s="16" t="str">
        <f t="shared" si="1655"/>
        <v>x</v>
      </c>
      <c r="S3930" s="16" t="str">
        <f t="shared" si="1655"/>
        <v>x</v>
      </c>
      <c r="U3930" s="46" t="str">
        <f t="shared" ref="U3930:X3931" si="1663">IF($O3930=U$5,$L3930,"")</f>
        <v/>
      </c>
      <c r="V3930" s="46">
        <f t="shared" si="1663"/>
        <v>53</v>
      </c>
      <c r="W3930" s="46" t="str">
        <f t="shared" si="1663"/>
        <v/>
      </c>
      <c r="X3930" s="46" t="str">
        <f t="shared" si="1663"/>
        <v/>
      </c>
    </row>
    <row r="3931" spans="2:24" x14ac:dyDescent="0.25">
      <c r="B3931" s="11" t="str">
        <f>CONCATENATE("MADO","-",LEFT(P3931,2),UPPER(MID(P3931,4,3)),RIGHT(P3931,4))</f>
        <v>MADO-01AUG1923</v>
      </c>
      <c r="C3931" s="11" t="s">
        <v>3148</v>
      </c>
      <c r="D3931" s="11" t="s">
        <v>847</v>
      </c>
      <c r="E3931" s="39" t="s">
        <v>6319</v>
      </c>
      <c r="F3931" s="11" t="s">
        <v>1700</v>
      </c>
      <c r="G3931" s="39" t="s">
        <v>2970</v>
      </c>
      <c r="H3931" s="7">
        <v>1</v>
      </c>
      <c r="J3931" s="17">
        <v>29</v>
      </c>
      <c r="K3931" s="17"/>
      <c r="L3931" s="7">
        <f>SUM(H3931:K3931)</f>
        <v>30</v>
      </c>
      <c r="M3931" s="8">
        <v>1</v>
      </c>
      <c r="N3931" s="8">
        <f>IF(L3931&gt;0,1,"")</f>
        <v>1</v>
      </c>
      <c r="O3931" s="11" t="s">
        <v>1702</v>
      </c>
      <c r="P3931" s="16" t="str">
        <f>IF(LEN(G3931)=10,CONCATENATE("0",G3931),G3931)</f>
        <v>01-Aug-1923</v>
      </c>
      <c r="R3931" s="16" t="str">
        <f t="shared" si="1655"/>
        <v>x</v>
      </c>
      <c r="S3931" s="16" t="str">
        <f t="shared" si="1655"/>
        <v>x</v>
      </c>
      <c r="U3931" s="46" t="str">
        <f t="shared" si="1663"/>
        <v/>
      </c>
      <c r="V3931" s="46">
        <f t="shared" si="1663"/>
        <v>30</v>
      </c>
      <c r="W3931" s="46" t="str">
        <f t="shared" si="1663"/>
        <v/>
      </c>
      <c r="X3931" s="46" t="str">
        <f t="shared" si="1663"/>
        <v/>
      </c>
    </row>
    <row r="3932" spans="2:24" x14ac:dyDescent="0.25">
      <c r="B3932" s="11" t="str">
        <f t="shared" si="1658"/>
        <v>MADO-01NOV1923</v>
      </c>
      <c r="C3932" s="11" t="s">
        <v>3148</v>
      </c>
      <c r="D3932" s="11" t="s">
        <v>3056</v>
      </c>
      <c r="E3932" s="39" t="s">
        <v>2964</v>
      </c>
      <c r="F3932" s="11" t="s">
        <v>1602</v>
      </c>
      <c r="G3932" s="39" t="s">
        <v>3716</v>
      </c>
      <c r="H3932" s="7">
        <v>5</v>
      </c>
      <c r="J3932" s="17">
        <f>7+1</f>
        <v>8</v>
      </c>
      <c r="K3932" s="17"/>
      <c r="L3932" s="7">
        <f t="shared" si="1659"/>
        <v>13</v>
      </c>
      <c r="M3932" s="8">
        <v>1</v>
      </c>
      <c r="N3932" s="8">
        <f t="shared" si="1660"/>
        <v>1</v>
      </c>
      <c r="O3932" s="11" t="s">
        <v>1702</v>
      </c>
      <c r="P3932" s="16" t="str">
        <f t="shared" si="1661"/>
        <v>01-Nov-1923</v>
      </c>
      <c r="R3932" s="16" t="str">
        <f t="shared" si="1655"/>
        <v>x</v>
      </c>
      <c r="S3932" s="16" t="str">
        <f t="shared" si="1655"/>
        <v>x</v>
      </c>
      <c r="U3932" s="46" t="str">
        <f t="shared" si="1613"/>
        <v/>
      </c>
      <c r="V3932" s="46">
        <f t="shared" si="1613"/>
        <v>13</v>
      </c>
      <c r="W3932" s="46" t="str">
        <f t="shared" si="1613"/>
        <v/>
      </c>
      <c r="X3932" s="46" t="str">
        <f t="shared" si="1613"/>
        <v/>
      </c>
    </row>
    <row r="3933" spans="2:24" x14ac:dyDescent="0.25">
      <c r="B3933" s="11" t="str">
        <f t="shared" si="1658"/>
        <v>MADO-01NOV1923</v>
      </c>
      <c r="C3933" s="11" t="s">
        <v>3148</v>
      </c>
      <c r="D3933" s="11" t="s">
        <v>2808</v>
      </c>
      <c r="E3933" s="39" t="s">
        <v>2845</v>
      </c>
      <c r="F3933" s="11" t="s">
        <v>1602</v>
      </c>
      <c r="G3933" s="39" t="s">
        <v>3716</v>
      </c>
      <c r="H3933" s="7">
        <v>6</v>
      </c>
      <c r="J3933" s="17">
        <v>45</v>
      </c>
      <c r="K3933" s="17"/>
      <c r="L3933" s="7">
        <f t="shared" si="1659"/>
        <v>51</v>
      </c>
      <c r="M3933" s="8">
        <v>1</v>
      </c>
      <c r="N3933" s="8">
        <f t="shared" si="1660"/>
        <v>1</v>
      </c>
      <c r="O3933" s="11" t="s">
        <v>1702</v>
      </c>
      <c r="P3933" s="16" t="str">
        <f t="shared" si="1661"/>
        <v>01-Nov-1923</v>
      </c>
      <c r="R3933" s="16" t="str">
        <f t="shared" si="1655"/>
        <v>x</v>
      </c>
      <c r="S3933" s="16" t="str">
        <f t="shared" si="1655"/>
        <v>x</v>
      </c>
      <c r="U3933" s="46" t="str">
        <f t="shared" si="1613"/>
        <v/>
      </c>
      <c r="V3933" s="46">
        <f t="shared" si="1613"/>
        <v>51</v>
      </c>
      <c r="W3933" s="46" t="str">
        <f t="shared" si="1613"/>
        <v/>
      </c>
      <c r="X3933" s="46" t="str">
        <f t="shared" si="1613"/>
        <v/>
      </c>
    </row>
    <row r="3934" spans="2:24" x14ac:dyDescent="0.25">
      <c r="B3934" s="11" t="str">
        <f t="shared" si="1658"/>
        <v>MADO-04MAR1924</v>
      </c>
      <c r="C3934" s="11" t="s">
        <v>3148</v>
      </c>
      <c r="D3934" s="11" t="s">
        <v>2808</v>
      </c>
      <c r="E3934" s="39" t="s">
        <v>4247</v>
      </c>
      <c r="F3934" s="11" t="s">
        <v>1700</v>
      </c>
      <c r="G3934" s="39" t="s">
        <v>1173</v>
      </c>
      <c r="I3934" s="7">
        <v>1</v>
      </c>
      <c r="J3934" s="17">
        <f>7+4</f>
        <v>11</v>
      </c>
      <c r="K3934" s="17"/>
      <c r="L3934" s="7">
        <f t="shared" si="1659"/>
        <v>12</v>
      </c>
      <c r="M3934" s="8">
        <v>1</v>
      </c>
      <c r="N3934" s="8">
        <f t="shared" si="1660"/>
        <v>1</v>
      </c>
      <c r="O3934" s="11" t="s">
        <v>1702</v>
      </c>
      <c r="P3934" s="16" t="str">
        <f t="shared" si="1661"/>
        <v>04-Mar-1924</v>
      </c>
      <c r="R3934" s="16" t="str">
        <f t="shared" si="1655"/>
        <v>x</v>
      </c>
      <c r="S3934" s="16" t="str">
        <f t="shared" si="1655"/>
        <v>x</v>
      </c>
      <c r="U3934" s="46" t="str">
        <f t="shared" si="1613"/>
        <v/>
      </c>
      <c r="V3934" s="46">
        <f t="shared" si="1613"/>
        <v>12</v>
      </c>
      <c r="W3934" s="46" t="str">
        <f t="shared" si="1613"/>
        <v/>
      </c>
      <c r="X3934" s="46" t="str">
        <f t="shared" si="1613"/>
        <v/>
      </c>
    </row>
    <row r="3935" spans="2:24" x14ac:dyDescent="0.25">
      <c r="B3935" s="11" t="str">
        <f t="shared" si="1658"/>
        <v>MADO-04MAR1924</v>
      </c>
      <c r="C3935" s="11" t="s">
        <v>3148</v>
      </c>
      <c r="D3935" s="11" t="s">
        <v>3056</v>
      </c>
      <c r="E3935" s="39" t="s">
        <v>4248</v>
      </c>
      <c r="F3935" s="11" t="s">
        <v>1700</v>
      </c>
      <c r="G3935" s="39" t="s">
        <v>1173</v>
      </c>
      <c r="I3935" s="7">
        <f>1+2</f>
        <v>3</v>
      </c>
      <c r="J3935" s="17">
        <v>2</v>
      </c>
      <c r="K3935" s="17"/>
      <c r="L3935" s="7">
        <f t="shared" si="1659"/>
        <v>5</v>
      </c>
      <c r="M3935" s="8">
        <v>1</v>
      </c>
      <c r="N3935" s="8">
        <f t="shared" si="1660"/>
        <v>1</v>
      </c>
      <c r="O3935" s="11" t="s">
        <v>1702</v>
      </c>
      <c r="P3935" s="16" t="str">
        <f t="shared" si="1661"/>
        <v>04-Mar-1924</v>
      </c>
      <c r="R3935" s="16" t="str">
        <f t="shared" si="1655"/>
        <v>x</v>
      </c>
      <c r="S3935" s="16" t="str">
        <f t="shared" si="1655"/>
        <v>x</v>
      </c>
      <c r="U3935" s="46" t="str">
        <f t="shared" si="1613"/>
        <v/>
      </c>
      <c r="V3935" s="46">
        <f t="shared" si="1613"/>
        <v>5</v>
      </c>
      <c r="W3935" s="46" t="str">
        <f t="shared" si="1613"/>
        <v/>
      </c>
      <c r="X3935" s="46" t="str">
        <f t="shared" si="1613"/>
        <v/>
      </c>
    </row>
    <row r="3936" spans="2:24" x14ac:dyDescent="0.25">
      <c r="B3936" s="11" t="str">
        <f t="shared" si="1658"/>
        <v>MADO-03MAR1924</v>
      </c>
      <c r="C3936" s="11" t="s">
        <v>3148</v>
      </c>
      <c r="D3936" s="11" t="s">
        <v>847</v>
      </c>
      <c r="E3936" s="39" t="s">
        <v>4544</v>
      </c>
      <c r="F3936" s="11" t="s">
        <v>1602</v>
      </c>
      <c r="G3936" s="39" t="s">
        <v>4545</v>
      </c>
      <c r="J3936" s="17">
        <v>1</v>
      </c>
      <c r="K3936" s="17"/>
      <c r="L3936" s="7">
        <f t="shared" si="1659"/>
        <v>1</v>
      </c>
      <c r="M3936" s="8">
        <v>1</v>
      </c>
      <c r="N3936" s="8">
        <f t="shared" si="1660"/>
        <v>1</v>
      </c>
      <c r="O3936" s="11" t="s">
        <v>1702</v>
      </c>
      <c r="P3936" s="16" t="str">
        <f t="shared" si="1661"/>
        <v>03-Mar-1924</v>
      </c>
      <c r="R3936" s="16" t="str">
        <f t="shared" si="1655"/>
        <v>x</v>
      </c>
      <c r="S3936" s="16" t="str">
        <f t="shared" si="1655"/>
        <v>x</v>
      </c>
      <c r="U3936" s="46" t="str">
        <f>IF($O3936=U$5,$L3936,"")</f>
        <v/>
      </c>
      <c r="V3936" s="46">
        <f>IF($O3936=V$5,$L3936,"")</f>
        <v>1</v>
      </c>
      <c r="W3936" s="46" t="str">
        <f>IF($O3936=W$5,$L3936,"")</f>
        <v/>
      </c>
      <c r="X3936" s="46" t="str">
        <f>IF($O3936=X$5,$L3936,"")</f>
        <v/>
      </c>
    </row>
    <row r="3937" spans="2:26" x14ac:dyDescent="0.25">
      <c r="B3937" s="11" t="str">
        <f t="shared" si="1658"/>
        <v>MADO-01APR1925</v>
      </c>
      <c r="C3937" s="11" t="s">
        <v>3148</v>
      </c>
      <c r="D3937" s="11" t="s">
        <v>2808</v>
      </c>
      <c r="E3937" s="39" t="s">
        <v>4354</v>
      </c>
      <c r="F3937" s="11" t="s">
        <v>1602</v>
      </c>
      <c r="G3937" s="39" t="s">
        <v>4352</v>
      </c>
      <c r="H3937" s="7">
        <v>1</v>
      </c>
      <c r="J3937" s="17">
        <v>5</v>
      </c>
      <c r="K3937" s="17"/>
      <c r="L3937" s="7">
        <f t="shared" si="1659"/>
        <v>6</v>
      </c>
      <c r="M3937" s="8">
        <v>1</v>
      </c>
      <c r="N3937" s="8">
        <f t="shared" si="1660"/>
        <v>1</v>
      </c>
      <c r="O3937" s="11" t="s">
        <v>1702</v>
      </c>
      <c r="P3937" s="16" t="str">
        <f t="shared" si="1661"/>
        <v>01-Apr-1925</v>
      </c>
      <c r="R3937" s="16" t="str">
        <f t="shared" si="1655"/>
        <v>x</v>
      </c>
      <c r="S3937" s="16" t="str">
        <f t="shared" si="1655"/>
        <v>x</v>
      </c>
      <c r="U3937" s="46" t="str">
        <f t="shared" si="1613"/>
        <v/>
      </c>
      <c r="V3937" s="46">
        <f t="shared" si="1613"/>
        <v>6</v>
      </c>
      <c r="W3937" s="46" t="str">
        <f t="shared" si="1613"/>
        <v/>
      </c>
      <c r="X3937" s="46" t="str">
        <f t="shared" si="1613"/>
        <v/>
      </c>
    </row>
    <row r="3938" spans="2:26" x14ac:dyDescent="0.25">
      <c r="B3938" s="11" t="str">
        <f t="shared" si="1658"/>
        <v>MADO-01APR1925</v>
      </c>
      <c r="C3938" s="11" t="s">
        <v>3148</v>
      </c>
      <c r="D3938" s="11" t="s">
        <v>3056</v>
      </c>
      <c r="E3938" s="39" t="s">
        <v>4353</v>
      </c>
      <c r="F3938" s="11" t="s">
        <v>1602</v>
      </c>
      <c r="G3938" s="39" t="s">
        <v>4352</v>
      </c>
      <c r="H3938" s="7">
        <f>1+1</f>
        <v>2</v>
      </c>
      <c r="J3938" s="17">
        <v>4</v>
      </c>
      <c r="K3938" s="17"/>
      <c r="L3938" s="7">
        <f t="shared" si="1659"/>
        <v>6</v>
      </c>
      <c r="M3938" s="8">
        <v>1</v>
      </c>
      <c r="N3938" s="8">
        <f t="shared" si="1660"/>
        <v>1</v>
      </c>
      <c r="O3938" s="11" t="s">
        <v>1702</v>
      </c>
      <c r="P3938" s="16" t="str">
        <f t="shared" si="1661"/>
        <v>01-Apr-1925</v>
      </c>
      <c r="R3938" s="16" t="str">
        <f t="shared" si="1655"/>
        <v>x</v>
      </c>
      <c r="S3938" s="16" t="str">
        <f t="shared" si="1655"/>
        <v>x</v>
      </c>
      <c r="U3938" s="46" t="str">
        <f t="shared" si="1613"/>
        <v/>
      </c>
      <c r="V3938" s="46">
        <f t="shared" si="1613"/>
        <v>6</v>
      </c>
      <c r="W3938" s="46" t="str">
        <f t="shared" si="1613"/>
        <v/>
      </c>
      <c r="X3938" s="46" t="str">
        <f t="shared" si="1613"/>
        <v/>
      </c>
    </row>
    <row r="3939" spans="2:26" x14ac:dyDescent="0.25">
      <c r="B3939" s="11" t="str">
        <f t="shared" si="1658"/>
        <v>MADO-01APR1925</v>
      </c>
      <c r="C3939" s="11" t="s">
        <v>3148</v>
      </c>
      <c r="D3939" s="11" t="s">
        <v>847</v>
      </c>
      <c r="E3939" s="39" t="s">
        <v>4351</v>
      </c>
      <c r="F3939" s="11" t="s">
        <v>1602</v>
      </c>
      <c r="G3939" s="39" t="s">
        <v>4352</v>
      </c>
      <c r="H3939" s="7">
        <v>2</v>
      </c>
      <c r="J3939" s="17">
        <v>0</v>
      </c>
      <c r="K3939" s="17"/>
      <c r="L3939" s="7">
        <f t="shared" si="1659"/>
        <v>2</v>
      </c>
      <c r="M3939" s="8">
        <v>1</v>
      </c>
      <c r="N3939" s="8">
        <f t="shared" si="1660"/>
        <v>1</v>
      </c>
      <c r="O3939" s="11" t="s">
        <v>1702</v>
      </c>
      <c r="P3939" s="16" t="str">
        <f t="shared" si="1661"/>
        <v>01-Apr-1925</v>
      </c>
      <c r="R3939" s="16" t="str">
        <f t="shared" si="1655"/>
        <v>x</v>
      </c>
      <c r="S3939" s="16" t="str">
        <f t="shared" si="1655"/>
        <v>x</v>
      </c>
      <c r="U3939" s="46" t="str">
        <f t="shared" si="1613"/>
        <v/>
      </c>
      <c r="V3939" s="46">
        <f t="shared" si="1613"/>
        <v>2</v>
      </c>
      <c r="W3939" s="46" t="str">
        <f t="shared" si="1613"/>
        <v/>
      </c>
      <c r="X3939" s="46" t="str">
        <f t="shared" si="1613"/>
        <v/>
      </c>
    </row>
    <row r="3940" spans="2:26" x14ac:dyDescent="0.25">
      <c r="N3940" s="8" t="str">
        <f>IF(R3940="x",1,"")</f>
        <v/>
      </c>
      <c r="U3940" s="46" t="str">
        <f t="shared" si="1613"/>
        <v/>
      </c>
      <c r="V3940" s="46" t="str">
        <f t="shared" si="1613"/>
        <v/>
      </c>
      <c r="W3940" s="46" t="str">
        <f t="shared" si="1613"/>
        <v/>
      </c>
      <c r="X3940" s="46" t="str">
        <f t="shared" si="1613"/>
        <v/>
      </c>
    </row>
    <row r="3941" spans="2:26" s="18" customFormat="1" x14ac:dyDescent="0.25">
      <c r="E3941" s="40"/>
      <c r="G3941" s="40"/>
      <c r="H3941" s="7">
        <f t="shared" ref="H3941:N3941" si="1664">SUM(H3912:H3940)</f>
        <v>35</v>
      </c>
      <c r="I3941" s="7">
        <f t="shared" si="1664"/>
        <v>66</v>
      </c>
      <c r="J3941" s="7">
        <f t="shared" si="1664"/>
        <v>715</v>
      </c>
      <c r="K3941" s="7">
        <f t="shared" si="1664"/>
        <v>1</v>
      </c>
      <c r="L3941" s="7">
        <f t="shared" si="1664"/>
        <v>817</v>
      </c>
      <c r="M3941" s="7">
        <f t="shared" si="1664"/>
        <v>28</v>
      </c>
      <c r="N3941" s="7">
        <f t="shared" si="1664"/>
        <v>28</v>
      </c>
      <c r="P3941" s="13"/>
      <c r="Q3941" s="13"/>
      <c r="R3941" s="16"/>
      <c r="S3941" s="13"/>
      <c r="T3941" s="15"/>
      <c r="U3941" s="46" t="str">
        <f t="shared" si="1613"/>
        <v/>
      </c>
      <c r="V3941" s="46" t="str">
        <f t="shared" si="1613"/>
        <v/>
      </c>
      <c r="W3941" s="46" t="str">
        <f t="shared" si="1613"/>
        <v/>
      </c>
      <c r="X3941" s="46" t="str">
        <f t="shared" si="1613"/>
        <v/>
      </c>
      <c r="Z3941" s="11"/>
    </row>
    <row r="3942" spans="2:26" x14ac:dyDescent="0.25">
      <c r="B3942" s="18"/>
      <c r="C3942" s="18"/>
      <c r="D3942" s="18"/>
      <c r="E3942" s="40"/>
      <c r="F3942" s="18"/>
      <c r="G3942" s="40"/>
      <c r="N3942" s="8" t="str">
        <f>IF(R3942="x",1,"")</f>
        <v/>
      </c>
      <c r="O3942" s="18"/>
      <c r="P3942" s="13"/>
      <c r="Q3942" s="13"/>
      <c r="R3942" s="13"/>
      <c r="S3942" s="13"/>
      <c r="T3942" s="15"/>
      <c r="U3942" s="46" t="str">
        <f t="shared" ref="U3942:X3948" si="1665">IF($O3942=U$5,$L3942,"")</f>
        <v/>
      </c>
      <c r="V3942" s="46" t="str">
        <f t="shared" si="1665"/>
        <v/>
      </c>
      <c r="W3942" s="46" t="str">
        <f t="shared" si="1665"/>
        <v/>
      </c>
      <c r="X3942" s="46" t="str">
        <f t="shared" si="1665"/>
        <v/>
      </c>
    </row>
    <row r="3943" spans="2:26" x14ac:dyDescent="0.25">
      <c r="B3943" s="18"/>
      <c r="C3943" s="18"/>
      <c r="D3943" s="18"/>
      <c r="E3943" s="40"/>
      <c r="F3943" s="18"/>
      <c r="G3943" s="40"/>
      <c r="N3943" s="8" t="str">
        <f>IF(R3943="x",1,"")</f>
        <v/>
      </c>
      <c r="O3943" s="18"/>
      <c r="P3943" s="13"/>
      <c r="Q3943" s="13"/>
      <c r="R3943" s="13"/>
      <c r="S3943" s="13"/>
      <c r="T3943" s="15"/>
      <c r="U3943" s="46" t="str">
        <f t="shared" si="1665"/>
        <v/>
      </c>
      <c r="V3943" s="46" t="str">
        <f t="shared" si="1665"/>
        <v/>
      </c>
      <c r="W3943" s="46" t="str">
        <f t="shared" si="1665"/>
        <v/>
      </c>
      <c r="X3943" s="46" t="str">
        <f t="shared" si="1665"/>
        <v/>
      </c>
    </row>
    <row r="3944" spans="2:26" s="18" customFormat="1" x14ac:dyDescent="0.25">
      <c r="B3944" s="11" t="str">
        <f>CONCATENATE("MAIN","-",LEFT(P3944,2),UPPER(MID(P3944,4,3)),RIGHT(P3944,4))</f>
        <v>MAIN-06JUL1907</v>
      </c>
      <c r="C3944" s="11" t="s">
        <v>5602</v>
      </c>
      <c r="D3944" s="11" t="s">
        <v>3359</v>
      </c>
      <c r="E3944" s="39" t="s">
        <v>2726</v>
      </c>
      <c r="F3944" s="11" t="s">
        <v>1700</v>
      </c>
      <c r="G3944" s="39" t="s">
        <v>832</v>
      </c>
      <c r="H3944" s="7"/>
      <c r="I3944" s="7">
        <v>1</v>
      </c>
      <c r="J3944" s="17">
        <v>0</v>
      </c>
      <c r="K3944" s="17"/>
      <c r="L3944" s="7">
        <f>SUM(H3944:K3944)</f>
        <v>1</v>
      </c>
      <c r="M3944" s="8">
        <v>1</v>
      </c>
      <c r="N3944" s="8">
        <f>IF(L3944&gt;0,1,"")</f>
        <v>1</v>
      </c>
      <c r="O3944" s="11" t="s">
        <v>1702</v>
      </c>
      <c r="P3944" s="16" t="str">
        <f>IF(LEN(G3944)=10,CONCATENATE("0",G3944),G3944)</f>
        <v>06-Jul-1907</v>
      </c>
      <c r="Q3944" s="16"/>
      <c r="R3944" s="16" t="str">
        <f t="shared" ref="R3944:S3946" si="1666">IF($L3944&gt;0,"x","")</f>
        <v>x</v>
      </c>
      <c r="S3944" s="16" t="str">
        <f t="shared" si="1666"/>
        <v>x</v>
      </c>
      <c r="T3944" s="12"/>
      <c r="U3944" s="46" t="str">
        <f t="shared" si="1665"/>
        <v/>
      </c>
      <c r="V3944" s="46">
        <f t="shared" si="1665"/>
        <v>1</v>
      </c>
      <c r="W3944" s="46" t="str">
        <f t="shared" si="1665"/>
        <v/>
      </c>
      <c r="X3944" s="46" t="str">
        <f t="shared" si="1665"/>
        <v/>
      </c>
      <c r="Z3944" s="11"/>
    </row>
    <row r="3945" spans="2:26" s="18" customFormat="1" x14ac:dyDescent="0.25">
      <c r="B3945" s="11" t="str">
        <f>CONCATENATE("MAIN","-",LEFT(P3945,2),UPPER(MID(P3945,4,3)),RIGHT(P3945,4))</f>
        <v>MAIN-12OCT1907</v>
      </c>
      <c r="C3945" s="11" t="s">
        <v>5602</v>
      </c>
      <c r="D3945" s="11" t="s">
        <v>3359</v>
      </c>
      <c r="E3945" s="39" t="s">
        <v>1207</v>
      </c>
      <c r="F3945" s="11" t="s">
        <v>1700</v>
      </c>
      <c r="G3945" s="39" t="s">
        <v>1808</v>
      </c>
      <c r="H3945" s="7"/>
      <c r="I3945" s="7">
        <v>0</v>
      </c>
      <c r="J3945" s="17">
        <v>2</v>
      </c>
      <c r="K3945" s="17"/>
      <c r="L3945" s="7">
        <f>SUM(H3945:K3945)</f>
        <v>2</v>
      </c>
      <c r="M3945" s="8">
        <v>1</v>
      </c>
      <c r="N3945" s="8">
        <f>IF(L3945&gt;0,1,"")</f>
        <v>1</v>
      </c>
      <c r="O3945" s="11" t="s">
        <v>1702</v>
      </c>
      <c r="P3945" s="16" t="str">
        <f>IF(LEN(G3945)=10,CONCATENATE("0",G3945),G3945)</f>
        <v>12-Oct-1907</v>
      </c>
      <c r="Q3945" s="16"/>
      <c r="R3945" s="16" t="str">
        <f t="shared" si="1666"/>
        <v>x</v>
      </c>
      <c r="S3945" s="16" t="str">
        <f t="shared" si="1666"/>
        <v>x</v>
      </c>
      <c r="T3945" s="12"/>
      <c r="U3945" s="46" t="str">
        <f t="shared" si="1665"/>
        <v/>
      </c>
      <c r="V3945" s="46">
        <f t="shared" si="1665"/>
        <v>2</v>
      </c>
      <c r="W3945" s="46" t="str">
        <f t="shared" si="1665"/>
        <v/>
      </c>
      <c r="X3945" s="46" t="str">
        <f t="shared" si="1665"/>
        <v/>
      </c>
      <c r="Z3945" s="11"/>
    </row>
    <row r="3946" spans="2:26" s="18" customFormat="1" x14ac:dyDescent="0.25">
      <c r="B3946" s="11" t="str">
        <f>CONCATENATE("MAIN","-",LEFT(P3946,2),UPPER(MID(P3946,4,3)),RIGHT(P3946,4))</f>
        <v>MAIN-06APR1914</v>
      </c>
      <c r="C3946" s="11" t="s">
        <v>5602</v>
      </c>
      <c r="D3946" s="11" t="s">
        <v>3359</v>
      </c>
      <c r="E3946" s="39" t="s">
        <v>6160</v>
      </c>
      <c r="F3946" s="11" t="s">
        <v>3538</v>
      </c>
      <c r="G3946" s="39" t="s">
        <v>4327</v>
      </c>
      <c r="H3946" s="7"/>
      <c r="I3946" s="7">
        <v>0</v>
      </c>
      <c r="J3946" s="17">
        <v>9</v>
      </c>
      <c r="K3946" s="17"/>
      <c r="L3946" s="7">
        <f>SUM(H3946:K3946)</f>
        <v>9</v>
      </c>
      <c r="M3946" s="8">
        <v>1</v>
      </c>
      <c r="N3946" s="8">
        <f>IF(L3946&gt;0,1,"")</f>
        <v>1</v>
      </c>
      <c r="O3946" s="11" t="s">
        <v>1702</v>
      </c>
      <c r="P3946" s="16" t="str">
        <f>IF(LEN(G3946)=10,CONCATENATE("0",G3946),G3946)</f>
        <v>06-Apr-1914</v>
      </c>
      <c r="Q3946" s="16"/>
      <c r="R3946" s="16" t="str">
        <f t="shared" si="1666"/>
        <v>x</v>
      </c>
      <c r="S3946" s="16" t="str">
        <f t="shared" si="1666"/>
        <v>x</v>
      </c>
      <c r="T3946" s="12"/>
      <c r="U3946" s="46" t="str">
        <f t="shared" si="1665"/>
        <v/>
      </c>
      <c r="V3946" s="46">
        <f t="shared" si="1665"/>
        <v>9</v>
      </c>
      <c r="W3946" s="46" t="str">
        <f t="shared" si="1665"/>
        <v/>
      </c>
      <c r="X3946" s="46" t="str">
        <f t="shared" si="1665"/>
        <v/>
      </c>
      <c r="Z3946" s="11"/>
    </row>
    <row r="3947" spans="2:26" s="18" customFormat="1" x14ac:dyDescent="0.25">
      <c r="B3947" s="11"/>
      <c r="C3947" s="11"/>
      <c r="D3947" s="11"/>
      <c r="E3947" s="39"/>
      <c r="F3947" s="11"/>
      <c r="G3947" s="39"/>
      <c r="H3947" s="7"/>
      <c r="I3947" s="7"/>
      <c r="J3947" s="7"/>
      <c r="K3947" s="7"/>
      <c r="L3947" s="7"/>
      <c r="M3947" s="8"/>
      <c r="N3947" s="8" t="str">
        <f>IF(R3947="x",1,"")</f>
        <v/>
      </c>
      <c r="O3947" s="11"/>
      <c r="P3947" s="16"/>
      <c r="Q3947" s="16"/>
      <c r="R3947" s="16"/>
      <c r="S3947" s="16"/>
      <c r="T3947" s="12"/>
      <c r="U3947" s="46" t="str">
        <f t="shared" si="1665"/>
        <v/>
      </c>
      <c r="V3947" s="46" t="str">
        <f t="shared" si="1665"/>
        <v/>
      </c>
      <c r="W3947" s="46" t="str">
        <f t="shared" si="1665"/>
        <v/>
      </c>
      <c r="X3947" s="46" t="str">
        <f t="shared" si="1665"/>
        <v/>
      </c>
      <c r="Z3947" s="11"/>
    </row>
    <row r="3948" spans="2:26" x14ac:dyDescent="0.25">
      <c r="B3948" s="18"/>
      <c r="C3948" s="18"/>
      <c r="D3948" s="18"/>
      <c r="E3948" s="40"/>
      <c r="F3948" s="18"/>
      <c r="G3948" s="40"/>
      <c r="H3948" s="7">
        <f t="shared" ref="H3948:N3948" si="1667">SUM(H3944:H3947)</f>
        <v>0</v>
      </c>
      <c r="I3948" s="7">
        <f t="shared" si="1667"/>
        <v>1</v>
      </c>
      <c r="J3948" s="7">
        <f>SUM(J3944:J3947)</f>
        <v>11</v>
      </c>
      <c r="K3948" s="7">
        <f t="shared" si="1667"/>
        <v>0</v>
      </c>
      <c r="L3948" s="7">
        <f t="shared" si="1667"/>
        <v>12</v>
      </c>
      <c r="M3948" s="7">
        <f t="shared" si="1667"/>
        <v>3</v>
      </c>
      <c r="N3948" s="7">
        <f t="shared" si="1667"/>
        <v>3</v>
      </c>
      <c r="O3948" s="18"/>
      <c r="P3948" s="13"/>
      <c r="Q3948" s="13"/>
      <c r="S3948" s="13"/>
      <c r="T3948" s="15"/>
      <c r="U3948" s="46" t="str">
        <f t="shared" si="1665"/>
        <v/>
      </c>
      <c r="V3948" s="46" t="str">
        <f t="shared" si="1665"/>
        <v/>
      </c>
      <c r="W3948" s="46" t="str">
        <f t="shared" si="1665"/>
        <v/>
      </c>
      <c r="X3948" s="46" t="str">
        <f t="shared" si="1665"/>
        <v/>
      </c>
    </row>
    <row r="3949" spans="2:26" s="18" customFormat="1" x14ac:dyDescent="0.25">
      <c r="E3949" s="40"/>
      <c r="G3949" s="40"/>
      <c r="H3949" s="7"/>
      <c r="I3949" s="7"/>
      <c r="J3949" s="7"/>
      <c r="K3949" s="7"/>
      <c r="L3949" s="7"/>
      <c r="M3949" s="8"/>
      <c r="N3949" s="8" t="str">
        <f>IF(R3949="x",1,"")</f>
        <v/>
      </c>
      <c r="P3949" s="13"/>
      <c r="Q3949" s="13"/>
      <c r="R3949" s="13"/>
      <c r="S3949" s="13"/>
      <c r="T3949" s="15"/>
      <c r="U3949" s="46" t="str">
        <f t="shared" si="1613"/>
        <v/>
      </c>
      <c r="V3949" s="46" t="str">
        <f t="shared" si="1613"/>
        <v/>
      </c>
      <c r="W3949" s="46" t="str">
        <f t="shared" si="1613"/>
        <v/>
      </c>
      <c r="X3949" s="46" t="str">
        <f t="shared" si="1613"/>
        <v/>
      </c>
      <c r="Z3949" s="11"/>
    </row>
    <row r="3950" spans="2:26" s="18" customFormat="1" x14ac:dyDescent="0.25">
      <c r="E3950" s="40"/>
      <c r="G3950" s="40"/>
      <c r="H3950" s="7"/>
      <c r="I3950" s="7"/>
      <c r="J3950" s="7"/>
      <c r="K3950" s="7"/>
      <c r="L3950" s="7"/>
      <c r="M3950" s="8"/>
      <c r="N3950" s="8" t="str">
        <f>IF(R3950="x",1,"")</f>
        <v/>
      </c>
      <c r="P3950" s="13"/>
      <c r="Q3950" s="13"/>
      <c r="R3950" s="13"/>
      <c r="S3950" s="13"/>
      <c r="T3950" s="15"/>
      <c r="U3950" s="46" t="str">
        <f t="shared" si="1613"/>
        <v/>
      </c>
      <c r="V3950" s="46" t="str">
        <f t="shared" si="1613"/>
        <v/>
      </c>
      <c r="W3950" s="46" t="str">
        <f t="shared" si="1613"/>
        <v/>
      </c>
      <c r="X3950" s="46" t="str">
        <f t="shared" si="1613"/>
        <v/>
      </c>
      <c r="Z3950" s="11"/>
    </row>
    <row r="3951" spans="2:26" x14ac:dyDescent="0.25">
      <c r="B3951" s="11" t="str">
        <f t="shared" ref="B3951:B3979" si="1668">CONCATENATE("MJST","-",LEFT(P3951,2),UPPER(MID(P3951,4,3)),RIGHT(P3951,4))</f>
        <v>MJST-14AUG1895</v>
      </c>
      <c r="C3951" s="11" t="s">
        <v>152</v>
      </c>
      <c r="D3951" s="11" t="s">
        <v>2097</v>
      </c>
      <c r="F3951" s="11" t="s">
        <v>1700</v>
      </c>
      <c r="G3951" s="39" t="s">
        <v>6071</v>
      </c>
      <c r="H3951" s="7">
        <v>0</v>
      </c>
      <c r="I3951" s="7">
        <v>5</v>
      </c>
      <c r="J3951" s="17">
        <v>1</v>
      </c>
      <c r="K3951" s="17"/>
      <c r="L3951" s="7">
        <f t="shared" ref="L3951:L3979" si="1669">SUM(H3951:K3951)</f>
        <v>6</v>
      </c>
      <c r="M3951" s="8">
        <v>1</v>
      </c>
      <c r="N3951" s="8">
        <f t="shared" ref="N3951:N3979" si="1670">IF(L3951&gt;0,1,"")</f>
        <v>1</v>
      </c>
      <c r="O3951" s="11" t="s">
        <v>1702</v>
      </c>
      <c r="P3951" s="16" t="str">
        <f t="shared" ref="P3951:P3979" si="1671">IF(LEN(G3951)=10,CONCATENATE("0",G3951),G3951)</f>
        <v>14-Aug-1895</v>
      </c>
      <c r="R3951" s="16" t="str">
        <f>IF($L3951&gt;0,"x","")</f>
        <v>x</v>
      </c>
      <c r="S3951" s="16" t="str">
        <f>IF($L3951&gt;0,"x","")</f>
        <v>x</v>
      </c>
      <c r="U3951" s="46" t="str">
        <f t="shared" si="1613"/>
        <v/>
      </c>
      <c r="V3951" s="46">
        <f t="shared" si="1613"/>
        <v>6</v>
      </c>
      <c r="W3951" s="46" t="str">
        <f t="shared" si="1613"/>
        <v/>
      </c>
      <c r="X3951" s="46" t="str">
        <f t="shared" ref="X3951:X3959" si="1672">IF($O3951=X$5,$L3951,"")</f>
        <v/>
      </c>
    </row>
    <row r="3952" spans="2:26" x14ac:dyDescent="0.25">
      <c r="B3952" s="11" t="str">
        <f>CONCATENATE("MJST","-",LEFT(P3952,2),UPPER(MID(P3952,4,3)),RIGHT(P3952,4))</f>
        <v>MJST-12NOV1896</v>
      </c>
      <c r="C3952" s="11" t="s">
        <v>152</v>
      </c>
      <c r="D3952" s="11" t="s">
        <v>2097</v>
      </c>
      <c r="F3952" s="11" t="s">
        <v>1700</v>
      </c>
      <c r="G3952" s="39" t="s">
        <v>3218</v>
      </c>
      <c r="H3952" s="7">
        <v>0</v>
      </c>
      <c r="I3952" s="7">
        <v>0</v>
      </c>
      <c r="J3952" s="17">
        <v>1</v>
      </c>
      <c r="K3952" s="17"/>
      <c r="L3952" s="7">
        <f>SUM(H3952:K3952)</f>
        <v>1</v>
      </c>
      <c r="M3952" s="8">
        <v>1</v>
      </c>
      <c r="N3952" s="8">
        <f>IF(L3952&gt;0,1,"")</f>
        <v>1</v>
      </c>
      <c r="O3952" s="11" t="s">
        <v>1702</v>
      </c>
      <c r="P3952" s="16" t="str">
        <f>IF(LEN(G3952)=10,CONCATENATE("0",G3952),G3952)</f>
        <v>12-Nov-1896</v>
      </c>
      <c r="R3952" s="16" t="str">
        <f t="shared" ref="R3952:S3962" si="1673">IF($L3952&gt;0,"x","")</f>
        <v>x</v>
      </c>
      <c r="S3952" s="16" t="str">
        <f t="shared" si="1673"/>
        <v>x</v>
      </c>
      <c r="U3952" s="46" t="str">
        <f>IF($O3952=U$5,$L3952,"")</f>
        <v/>
      </c>
      <c r="V3952" s="46">
        <f>IF($O3952=V$5,$L3952,"")</f>
        <v>1</v>
      </c>
      <c r="W3952" s="46" t="str">
        <f>IF($O3952=W$5,$L3952,"")</f>
        <v/>
      </c>
      <c r="X3952" s="46" t="str">
        <f t="shared" si="1672"/>
        <v/>
      </c>
    </row>
    <row r="3953" spans="2:24" x14ac:dyDescent="0.25">
      <c r="B3953" s="11" t="str">
        <f>CONCATENATE("MJST","-",LEFT(P3953,2),UPPER(MID(P3953,4,3)),RIGHT(P3953,4))</f>
        <v>MJST-14APR1898</v>
      </c>
      <c r="C3953" s="11" t="s">
        <v>152</v>
      </c>
      <c r="D3953" s="11" t="s">
        <v>2097</v>
      </c>
      <c r="E3953" s="39" t="s">
        <v>6274</v>
      </c>
      <c r="F3953" s="11" t="s">
        <v>1700</v>
      </c>
      <c r="G3953" s="39" t="s">
        <v>636</v>
      </c>
      <c r="J3953" s="17">
        <v>0</v>
      </c>
      <c r="K3953" s="17"/>
      <c r="L3953" s="7">
        <f>SUM(H3953:K3953)</f>
        <v>0</v>
      </c>
      <c r="M3953" s="8">
        <v>1</v>
      </c>
      <c r="N3953" s="8" t="str">
        <f>IF(L3953&gt;0,1,"")</f>
        <v/>
      </c>
      <c r="O3953" s="11" t="s">
        <v>1702</v>
      </c>
      <c r="P3953" s="16" t="str">
        <f>IF(LEN(G3953)=10,CONCATENATE("0",G3953),G3953)</f>
        <v>14-Apr-1898</v>
      </c>
      <c r="R3953" s="16" t="str">
        <f t="shared" si="1673"/>
        <v/>
      </c>
      <c r="S3953" s="16" t="str">
        <f t="shared" si="1673"/>
        <v/>
      </c>
      <c r="U3953" s="46" t="str">
        <f t="shared" ref="U3953:W3954" si="1674">IF($O3953=U$5,$L3953,"")</f>
        <v/>
      </c>
      <c r="V3953" s="46">
        <f t="shared" si="1674"/>
        <v>0</v>
      </c>
      <c r="W3953" s="46" t="str">
        <f t="shared" si="1674"/>
        <v/>
      </c>
      <c r="X3953" s="46" t="str">
        <f t="shared" si="1672"/>
        <v/>
      </c>
    </row>
    <row r="3954" spans="2:24" x14ac:dyDescent="0.25">
      <c r="B3954" s="11" t="str">
        <f>CONCATENATE("MJST","-",LEFT(P3954,2),UPPER(MID(P3954,4,3)),RIGHT(P3954,4))</f>
        <v>MJST-12JAN1905</v>
      </c>
      <c r="C3954" s="11" t="s">
        <v>152</v>
      </c>
      <c r="D3954" s="11" t="s">
        <v>2097</v>
      </c>
      <c r="E3954" s="39" t="s">
        <v>6029</v>
      </c>
      <c r="F3954" s="11" t="s">
        <v>1700</v>
      </c>
      <c r="G3954" s="39" t="s">
        <v>5183</v>
      </c>
      <c r="H3954" s="7">
        <v>0</v>
      </c>
      <c r="I3954" s="7">
        <v>4</v>
      </c>
      <c r="J3954" s="17">
        <v>0</v>
      </c>
      <c r="K3954" s="17"/>
      <c r="L3954" s="7">
        <f>SUM(H3954:K3954)</f>
        <v>4</v>
      </c>
      <c r="M3954" s="8">
        <v>1</v>
      </c>
      <c r="N3954" s="8">
        <f>IF(L3954&gt;0,1,"")</f>
        <v>1</v>
      </c>
      <c r="O3954" s="11" t="s">
        <v>1702</v>
      </c>
      <c r="P3954" s="16" t="str">
        <f>IF(LEN(G3954)=10,CONCATENATE("0",G3954),G3954)</f>
        <v>12-Jan-1905</v>
      </c>
      <c r="R3954" s="16" t="str">
        <f t="shared" si="1673"/>
        <v>x</v>
      </c>
      <c r="S3954" s="16" t="str">
        <f t="shared" si="1673"/>
        <v>x</v>
      </c>
      <c r="U3954" s="46" t="str">
        <f t="shared" si="1674"/>
        <v/>
      </c>
      <c r="V3954" s="46">
        <f t="shared" si="1674"/>
        <v>4</v>
      </c>
      <c r="W3954" s="46" t="str">
        <f t="shared" si="1674"/>
        <v/>
      </c>
      <c r="X3954" s="46" t="str">
        <f t="shared" si="1672"/>
        <v/>
      </c>
    </row>
    <row r="3955" spans="2:24" x14ac:dyDescent="0.25">
      <c r="B3955" s="11" t="str">
        <f t="shared" si="1668"/>
        <v>MJST-29APR1909</v>
      </c>
      <c r="C3955" s="11" t="s">
        <v>152</v>
      </c>
      <c r="D3955" s="11" t="s">
        <v>2224</v>
      </c>
      <c r="E3955" s="39" t="s">
        <v>158</v>
      </c>
      <c r="F3955" s="11" t="s">
        <v>1700</v>
      </c>
      <c r="G3955" s="39" t="s">
        <v>159</v>
      </c>
      <c r="H3955" s="7">
        <v>0</v>
      </c>
      <c r="I3955" s="7">
        <v>0</v>
      </c>
      <c r="J3955" s="17">
        <v>8</v>
      </c>
      <c r="K3955" s="17"/>
      <c r="L3955" s="7">
        <f t="shared" si="1669"/>
        <v>8</v>
      </c>
      <c r="M3955" s="8">
        <v>1</v>
      </c>
      <c r="N3955" s="8">
        <f t="shared" si="1670"/>
        <v>1</v>
      </c>
      <c r="O3955" s="11" t="s">
        <v>1702</v>
      </c>
      <c r="P3955" s="16" t="str">
        <f t="shared" si="1671"/>
        <v>29-Apr-1909</v>
      </c>
      <c r="R3955" s="16" t="str">
        <f t="shared" si="1673"/>
        <v>x</v>
      </c>
      <c r="S3955" s="16" t="str">
        <f t="shared" si="1673"/>
        <v>x</v>
      </c>
      <c r="U3955" s="46" t="str">
        <f t="shared" ref="U3955:W3959" si="1675">IF($O3955=U$5,$L3955,"")</f>
        <v/>
      </c>
      <c r="V3955" s="46">
        <f t="shared" si="1675"/>
        <v>8</v>
      </c>
      <c r="W3955" s="46" t="str">
        <f t="shared" si="1675"/>
        <v/>
      </c>
      <c r="X3955" s="46" t="str">
        <f t="shared" si="1672"/>
        <v/>
      </c>
    </row>
    <row r="3956" spans="2:24" x14ac:dyDescent="0.25">
      <c r="B3956" s="11" t="str">
        <f t="shared" si="1668"/>
        <v>MJST-14OCT1909</v>
      </c>
      <c r="C3956" s="11" t="s">
        <v>152</v>
      </c>
      <c r="D3956" s="11" t="s">
        <v>2224</v>
      </c>
      <c r="E3956" s="39" t="s">
        <v>3012</v>
      </c>
      <c r="F3956" s="11" t="s">
        <v>1700</v>
      </c>
      <c r="G3956" s="39" t="s">
        <v>5134</v>
      </c>
      <c r="H3956" s="7">
        <v>0</v>
      </c>
      <c r="I3956" s="7">
        <v>1</v>
      </c>
      <c r="J3956" s="17">
        <v>9</v>
      </c>
      <c r="K3956" s="17"/>
      <c r="L3956" s="7">
        <f t="shared" si="1669"/>
        <v>10</v>
      </c>
      <c r="M3956" s="8">
        <v>1</v>
      </c>
      <c r="N3956" s="8">
        <f t="shared" si="1670"/>
        <v>1</v>
      </c>
      <c r="O3956" s="11" t="s">
        <v>1702</v>
      </c>
      <c r="P3956" s="16" t="str">
        <f t="shared" si="1671"/>
        <v>14-Oct-1909</v>
      </c>
      <c r="R3956" s="16" t="str">
        <f t="shared" si="1673"/>
        <v>x</v>
      </c>
      <c r="S3956" s="16" t="str">
        <f t="shared" si="1673"/>
        <v>x</v>
      </c>
      <c r="U3956" s="46" t="str">
        <f t="shared" si="1675"/>
        <v/>
      </c>
      <c r="V3956" s="46">
        <f t="shared" si="1675"/>
        <v>10</v>
      </c>
      <c r="W3956" s="46" t="str">
        <f t="shared" si="1675"/>
        <v/>
      </c>
      <c r="X3956" s="46" t="str">
        <f t="shared" si="1672"/>
        <v/>
      </c>
    </row>
    <row r="3957" spans="2:24" x14ac:dyDescent="0.25">
      <c r="B3957" s="11" t="str">
        <f t="shared" si="1668"/>
        <v>MJST-11NOV1909</v>
      </c>
      <c r="C3957" s="11" t="s">
        <v>152</v>
      </c>
      <c r="D3957" s="11" t="s">
        <v>2224</v>
      </c>
      <c r="E3957" s="39" t="s">
        <v>3605</v>
      </c>
      <c r="F3957" s="11" t="s">
        <v>1700</v>
      </c>
      <c r="G3957" s="39" t="s">
        <v>3604</v>
      </c>
      <c r="H3957" s="7">
        <v>0</v>
      </c>
      <c r="I3957" s="7">
        <v>0</v>
      </c>
      <c r="J3957" s="17">
        <v>35</v>
      </c>
      <c r="K3957" s="17"/>
      <c r="L3957" s="7">
        <f t="shared" si="1669"/>
        <v>35</v>
      </c>
      <c r="M3957" s="8">
        <v>1</v>
      </c>
      <c r="N3957" s="8">
        <f t="shared" si="1670"/>
        <v>1</v>
      </c>
      <c r="O3957" s="11" t="s">
        <v>1702</v>
      </c>
      <c r="P3957" s="16" t="str">
        <f t="shared" si="1671"/>
        <v>11-Nov-1909</v>
      </c>
      <c r="R3957" s="16" t="str">
        <f t="shared" si="1673"/>
        <v>x</v>
      </c>
      <c r="S3957" s="16" t="str">
        <f t="shared" si="1673"/>
        <v>x</v>
      </c>
      <c r="U3957" s="46" t="str">
        <f t="shared" si="1675"/>
        <v/>
      </c>
      <c r="V3957" s="46">
        <f t="shared" si="1675"/>
        <v>35</v>
      </c>
      <c r="W3957" s="46" t="str">
        <f t="shared" si="1675"/>
        <v/>
      </c>
      <c r="X3957" s="46" t="str">
        <f t="shared" si="1672"/>
        <v/>
      </c>
    </row>
    <row r="3958" spans="2:24" x14ac:dyDescent="0.25">
      <c r="B3958" s="11" t="str">
        <f>CONCATENATE("MJST","-",LEFT(P3958,2),UPPER(MID(P3958,4,3)),RIGHT(P3958,4))</f>
        <v>MJST-19MAY1910</v>
      </c>
      <c r="C3958" s="11" t="s">
        <v>152</v>
      </c>
      <c r="D3958" s="11" t="s">
        <v>2224</v>
      </c>
      <c r="E3958" s="39" t="s">
        <v>2949</v>
      </c>
      <c r="F3958" s="11" t="s">
        <v>1700</v>
      </c>
      <c r="G3958" s="39" t="s">
        <v>11465</v>
      </c>
      <c r="H3958" s="7">
        <v>0</v>
      </c>
      <c r="I3958" s="7">
        <v>3</v>
      </c>
      <c r="J3958" s="17">
        <v>0</v>
      </c>
      <c r="K3958" s="17"/>
      <c r="L3958" s="7">
        <f>SUM(H3958:K3958)</f>
        <v>3</v>
      </c>
      <c r="M3958" s="8">
        <v>1</v>
      </c>
      <c r="N3958" s="8">
        <f>IF(L3958&gt;0,1,"")</f>
        <v>1</v>
      </c>
      <c r="O3958" s="11" t="s">
        <v>1702</v>
      </c>
      <c r="P3958" s="16" t="str">
        <f>IF(LEN(G3958)=10,CONCATENATE("0",G3958),G3958)</f>
        <v>19-May-1910</v>
      </c>
      <c r="R3958" s="16" t="str">
        <f t="shared" si="1673"/>
        <v>x</v>
      </c>
      <c r="S3958" s="16" t="str">
        <f t="shared" si="1673"/>
        <v>x</v>
      </c>
      <c r="U3958" s="46" t="str">
        <f t="shared" si="1675"/>
        <v/>
      </c>
      <c r="V3958" s="46">
        <f t="shared" si="1675"/>
        <v>3</v>
      </c>
      <c r="W3958" s="46" t="str">
        <f t="shared" si="1675"/>
        <v/>
      </c>
      <c r="X3958" s="46" t="str">
        <f t="shared" si="1672"/>
        <v/>
      </c>
    </row>
    <row r="3959" spans="2:24" x14ac:dyDescent="0.25">
      <c r="B3959" s="11" t="str">
        <f t="shared" si="1668"/>
        <v>MJST-14JUL1910</v>
      </c>
      <c r="C3959" s="11" t="s">
        <v>152</v>
      </c>
      <c r="D3959" s="11" t="s">
        <v>2224</v>
      </c>
      <c r="E3959" s="39" t="s">
        <v>3022</v>
      </c>
      <c r="F3959" s="11" t="s">
        <v>1700</v>
      </c>
      <c r="G3959" s="39" t="s">
        <v>3976</v>
      </c>
      <c r="H3959" s="7">
        <v>0</v>
      </c>
      <c r="I3959" s="7">
        <v>0</v>
      </c>
      <c r="J3959" s="17">
        <v>5</v>
      </c>
      <c r="K3959" s="17"/>
      <c r="L3959" s="7">
        <f t="shared" si="1669"/>
        <v>5</v>
      </c>
      <c r="M3959" s="8">
        <v>1</v>
      </c>
      <c r="N3959" s="8">
        <f t="shared" si="1670"/>
        <v>1</v>
      </c>
      <c r="O3959" s="11" t="s">
        <v>1702</v>
      </c>
      <c r="P3959" s="16" t="str">
        <f t="shared" si="1671"/>
        <v>14-Jul-1910</v>
      </c>
      <c r="R3959" s="16" t="str">
        <f t="shared" si="1673"/>
        <v>x</v>
      </c>
      <c r="S3959" s="16" t="str">
        <f t="shared" si="1673"/>
        <v>x</v>
      </c>
      <c r="U3959" s="46" t="str">
        <f t="shared" si="1675"/>
        <v/>
      </c>
      <c r="V3959" s="46">
        <f t="shared" si="1675"/>
        <v>5</v>
      </c>
      <c r="W3959" s="46" t="str">
        <f t="shared" si="1675"/>
        <v/>
      </c>
      <c r="X3959" s="46" t="str">
        <f t="shared" si="1672"/>
        <v/>
      </c>
    </row>
    <row r="3960" spans="2:24" x14ac:dyDescent="0.25">
      <c r="B3960" s="11" t="str">
        <f t="shared" si="1668"/>
        <v>MJST-11AUG1910</v>
      </c>
      <c r="C3960" s="11" t="s">
        <v>152</v>
      </c>
      <c r="D3960" s="11" t="s">
        <v>2224</v>
      </c>
      <c r="E3960" s="39" t="s">
        <v>3010</v>
      </c>
      <c r="F3960" s="11" t="s">
        <v>1700</v>
      </c>
      <c r="G3960" s="39" t="s">
        <v>5098</v>
      </c>
      <c r="H3960" s="7">
        <v>0</v>
      </c>
      <c r="J3960" s="17">
        <v>5</v>
      </c>
      <c r="K3960" s="17"/>
      <c r="L3960" s="7">
        <f t="shared" si="1669"/>
        <v>5</v>
      </c>
      <c r="M3960" s="8">
        <v>1</v>
      </c>
      <c r="N3960" s="8">
        <f t="shared" si="1670"/>
        <v>1</v>
      </c>
      <c r="O3960" s="11" t="s">
        <v>1702</v>
      </c>
      <c r="P3960" s="16" t="str">
        <f t="shared" si="1671"/>
        <v>11-Aug-1910</v>
      </c>
      <c r="R3960" s="16" t="str">
        <f t="shared" si="1673"/>
        <v>x</v>
      </c>
      <c r="S3960" s="16" t="str">
        <f t="shared" si="1673"/>
        <v>x</v>
      </c>
      <c r="U3960" s="46" t="str">
        <f t="shared" ref="U3960:X3962" si="1676">IF($O3960=U$5,$L3960,"")</f>
        <v/>
      </c>
      <c r="V3960" s="46">
        <f t="shared" si="1676"/>
        <v>5</v>
      </c>
      <c r="W3960" s="46" t="str">
        <f t="shared" si="1676"/>
        <v/>
      </c>
      <c r="X3960" s="46" t="str">
        <f t="shared" si="1676"/>
        <v/>
      </c>
    </row>
    <row r="3961" spans="2:24" x14ac:dyDescent="0.25">
      <c r="B3961" s="11" t="str">
        <f>CONCATENATE("MJST","-",LEFT(P3961,2),UPPER(MID(P3961,4,3)),RIGHT(P3961,4))</f>
        <v>MJST-01DEC1910</v>
      </c>
      <c r="C3961" s="11" t="s">
        <v>152</v>
      </c>
      <c r="D3961" s="11" t="s">
        <v>3619</v>
      </c>
      <c r="E3961" s="39" t="s">
        <v>953</v>
      </c>
      <c r="F3961" s="11" t="s">
        <v>1700</v>
      </c>
      <c r="G3961" s="39" t="s">
        <v>11456</v>
      </c>
      <c r="H3961" s="7">
        <v>2</v>
      </c>
      <c r="I3961" s="7">
        <v>0</v>
      </c>
      <c r="J3961" s="17">
        <v>0</v>
      </c>
      <c r="K3961" s="17"/>
      <c r="L3961" s="7">
        <f>SUM(H3961:K3961)</f>
        <v>2</v>
      </c>
      <c r="M3961" s="8">
        <v>1</v>
      </c>
      <c r="N3961" s="8">
        <f>IF(L3961&gt;0,1,"")</f>
        <v>1</v>
      </c>
      <c r="O3961" s="11" t="s">
        <v>1702</v>
      </c>
      <c r="P3961" s="16" t="str">
        <f>IF(LEN(G3961)=10,CONCATENATE("0",G3961),G3961)</f>
        <v>01-Dec-1910</v>
      </c>
      <c r="R3961" s="16" t="str">
        <f t="shared" si="1673"/>
        <v>x</v>
      </c>
      <c r="S3961" s="16" t="str">
        <f t="shared" si="1673"/>
        <v>x</v>
      </c>
      <c r="U3961" s="46" t="str">
        <f t="shared" si="1676"/>
        <v/>
      </c>
      <c r="V3961" s="46">
        <f t="shared" si="1676"/>
        <v>2</v>
      </c>
      <c r="W3961" s="46" t="str">
        <f t="shared" si="1676"/>
        <v/>
      </c>
      <c r="X3961" s="46" t="str">
        <f t="shared" si="1676"/>
        <v/>
      </c>
    </row>
    <row r="3962" spans="2:24" x14ac:dyDescent="0.25">
      <c r="B3962" s="11" t="str">
        <f>CONCATENATE("MJST","-",LEFT(P3962,2),UPPER(MID(P3962,4,3)),RIGHT(P3962,4))</f>
        <v>MJST-11JUL1912</v>
      </c>
      <c r="C3962" s="11" t="s">
        <v>152</v>
      </c>
      <c r="D3962" s="11" t="s">
        <v>2224</v>
      </c>
      <c r="E3962" s="39" t="s">
        <v>2507</v>
      </c>
      <c r="F3962" s="11" t="s">
        <v>1700</v>
      </c>
      <c r="G3962" s="39" t="s">
        <v>4903</v>
      </c>
      <c r="H3962" s="7">
        <v>0</v>
      </c>
      <c r="I3962" s="7">
        <v>0</v>
      </c>
      <c r="J3962" s="17">
        <v>20</v>
      </c>
      <c r="K3962" s="17"/>
      <c r="L3962" s="7">
        <f>SUM(H3962:K3962)</f>
        <v>20</v>
      </c>
      <c r="M3962" s="8">
        <v>1</v>
      </c>
      <c r="N3962" s="8">
        <f>IF(L3962&gt;0,1,"")</f>
        <v>1</v>
      </c>
      <c r="O3962" s="11" t="s">
        <v>1702</v>
      </c>
      <c r="P3962" s="16" t="str">
        <f>IF(LEN(G3962)=10,CONCATENATE("0",G3962),G3962)</f>
        <v>11-Jul-1912</v>
      </c>
      <c r="R3962" s="16" t="str">
        <f t="shared" si="1673"/>
        <v>x</v>
      </c>
      <c r="S3962" s="16" t="str">
        <f t="shared" si="1673"/>
        <v>x</v>
      </c>
      <c r="U3962" s="46" t="str">
        <f t="shared" si="1676"/>
        <v/>
      </c>
      <c r="V3962" s="46">
        <f t="shared" si="1676"/>
        <v>20</v>
      </c>
      <c r="W3962" s="46" t="str">
        <f t="shared" si="1676"/>
        <v/>
      </c>
      <c r="X3962" s="46" t="str">
        <f t="shared" si="1676"/>
        <v/>
      </c>
    </row>
    <row r="3963" spans="2:24" x14ac:dyDescent="0.25">
      <c r="B3963" s="11" t="str">
        <f t="shared" si="1668"/>
        <v>MJST-22AUG1912</v>
      </c>
      <c r="C3963" s="11" t="s">
        <v>152</v>
      </c>
      <c r="D3963" s="11" t="s">
        <v>2224</v>
      </c>
      <c r="E3963" s="39" t="s">
        <v>3099</v>
      </c>
      <c r="F3963" s="11" t="s">
        <v>1700</v>
      </c>
      <c r="G3963" s="39" t="s">
        <v>3100</v>
      </c>
      <c r="H3963" s="7">
        <v>0</v>
      </c>
      <c r="I3963" s="7">
        <v>0</v>
      </c>
      <c r="J3963" s="17">
        <v>4</v>
      </c>
      <c r="K3963" s="17"/>
      <c r="L3963" s="7">
        <f t="shared" si="1669"/>
        <v>4</v>
      </c>
      <c r="M3963" s="8">
        <v>1</v>
      </c>
      <c r="N3963" s="8">
        <f t="shared" si="1670"/>
        <v>1</v>
      </c>
      <c r="O3963" s="11" t="s">
        <v>1702</v>
      </c>
      <c r="P3963" s="16" t="str">
        <f t="shared" si="1671"/>
        <v>22-Aug-1912</v>
      </c>
      <c r="R3963" s="16" t="str">
        <f t="shared" ref="R3963:S3969" si="1677">IF($L3963&gt;0,"x","")</f>
        <v>x</v>
      </c>
      <c r="S3963" s="16" t="str">
        <f t="shared" si="1677"/>
        <v>x</v>
      </c>
      <c r="U3963" s="46" t="str">
        <f t="shared" ref="U3963:X3971" si="1678">IF($O3963=U$5,$L3963,"")</f>
        <v/>
      </c>
      <c r="V3963" s="46">
        <f t="shared" si="1678"/>
        <v>4</v>
      </c>
      <c r="W3963" s="46" t="str">
        <f t="shared" si="1678"/>
        <v/>
      </c>
      <c r="X3963" s="46" t="str">
        <f t="shared" si="1678"/>
        <v/>
      </c>
    </row>
    <row r="3964" spans="2:24" x14ac:dyDescent="0.25">
      <c r="B3964" s="11" t="str">
        <f t="shared" si="1668"/>
        <v>MJST-24OCT1912</v>
      </c>
      <c r="C3964" s="11" t="s">
        <v>152</v>
      </c>
      <c r="D3964" s="11" t="s">
        <v>2224</v>
      </c>
      <c r="E3964" s="39" t="s">
        <v>4087</v>
      </c>
      <c r="F3964" s="11" t="s">
        <v>1700</v>
      </c>
      <c r="G3964" s="39" t="s">
        <v>4088</v>
      </c>
      <c r="H3964" s="7">
        <v>0</v>
      </c>
      <c r="I3964" s="7">
        <v>2</v>
      </c>
      <c r="J3964" s="17">
        <v>14</v>
      </c>
      <c r="K3964" s="17"/>
      <c r="L3964" s="7">
        <f t="shared" si="1669"/>
        <v>16</v>
      </c>
      <c r="M3964" s="8">
        <v>1</v>
      </c>
      <c r="N3964" s="8">
        <f t="shared" si="1670"/>
        <v>1</v>
      </c>
      <c r="O3964" s="11" t="s">
        <v>1702</v>
      </c>
      <c r="P3964" s="16" t="str">
        <f t="shared" si="1671"/>
        <v>24-Oct-1912</v>
      </c>
      <c r="R3964" s="16" t="str">
        <f t="shared" si="1677"/>
        <v>x</v>
      </c>
      <c r="S3964" s="16" t="str">
        <f t="shared" si="1677"/>
        <v>x</v>
      </c>
      <c r="U3964" s="46" t="str">
        <f t="shared" si="1678"/>
        <v/>
      </c>
      <c r="V3964" s="46">
        <f t="shared" si="1678"/>
        <v>16</v>
      </c>
      <c r="W3964" s="46" t="str">
        <f t="shared" si="1678"/>
        <v/>
      </c>
      <c r="X3964" s="46" t="str">
        <f t="shared" si="1678"/>
        <v/>
      </c>
    </row>
    <row r="3965" spans="2:24" x14ac:dyDescent="0.25">
      <c r="B3965" s="11" t="str">
        <f t="shared" si="1668"/>
        <v>MJST-14NOV1912</v>
      </c>
      <c r="C3965" s="11" t="s">
        <v>152</v>
      </c>
      <c r="D3965" s="11" t="s">
        <v>3619</v>
      </c>
      <c r="E3965" s="39" t="s">
        <v>156</v>
      </c>
      <c r="F3965" s="11" t="s">
        <v>1700</v>
      </c>
      <c r="G3965" s="39" t="s">
        <v>157</v>
      </c>
      <c r="H3965" s="7">
        <v>0</v>
      </c>
      <c r="I3965" s="7">
        <v>0</v>
      </c>
      <c r="J3965" s="17">
        <v>7</v>
      </c>
      <c r="K3965" s="17"/>
      <c r="L3965" s="7">
        <f t="shared" si="1669"/>
        <v>7</v>
      </c>
      <c r="M3965" s="8">
        <v>1</v>
      </c>
      <c r="N3965" s="8">
        <f t="shared" si="1670"/>
        <v>1</v>
      </c>
      <c r="O3965" s="11" t="s">
        <v>1702</v>
      </c>
      <c r="P3965" s="16" t="str">
        <f t="shared" si="1671"/>
        <v>14-Nov-1912</v>
      </c>
      <c r="R3965" s="16" t="str">
        <f>IF($L3965&gt;0,"x","")</f>
        <v>x</v>
      </c>
      <c r="S3965" s="16" t="str">
        <f>IF($L3965&gt;0,"x","")</f>
        <v>x</v>
      </c>
      <c r="U3965" s="46" t="str">
        <f t="shared" si="1678"/>
        <v/>
      </c>
      <c r="V3965" s="46">
        <f t="shared" si="1678"/>
        <v>7</v>
      </c>
      <c r="W3965" s="46" t="str">
        <f t="shared" si="1678"/>
        <v/>
      </c>
      <c r="X3965" s="46" t="str">
        <f t="shared" si="1678"/>
        <v/>
      </c>
    </row>
    <row r="3966" spans="2:24" x14ac:dyDescent="0.25">
      <c r="B3966" s="11" t="str">
        <f t="shared" si="1668"/>
        <v>MJST-28DEC1912</v>
      </c>
      <c r="C3966" s="11" t="s">
        <v>152</v>
      </c>
      <c r="D3966" s="11" t="s">
        <v>2224</v>
      </c>
      <c r="E3966" s="39" t="s">
        <v>3149</v>
      </c>
      <c r="F3966" s="11" t="s">
        <v>1700</v>
      </c>
      <c r="G3966" s="39" t="s">
        <v>1339</v>
      </c>
      <c r="H3966" s="7">
        <v>0</v>
      </c>
      <c r="I3966" s="7">
        <v>0</v>
      </c>
      <c r="J3966" s="17">
        <v>11</v>
      </c>
      <c r="K3966" s="17"/>
      <c r="L3966" s="7">
        <f t="shared" si="1669"/>
        <v>11</v>
      </c>
      <c r="M3966" s="8">
        <v>1</v>
      </c>
      <c r="N3966" s="8">
        <f t="shared" si="1670"/>
        <v>1</v>
      </c>
      <c r="O3966" s="11" t="s">
        <v>1702</v>
      </c>
      <c r="P3966" s="16" t="str">
        <f t="shared" si="1671"/>
        <v>28-Dec-1912</v>
      </c>
      <c r="R3966" s="16" t="str">
        <f t="shared" si="1677"/>
        <v>x</v>
      </c>
      <c r="S3966" s="16" t="str">
        <f t="shared" si="1677"/>
        <v>x</v>
      </c>
      <c r="U3966" s="46" t="str">
        <f t="shared" si="1678"/>
        <v/>
      </c>
      <c r="V3966" s="46">
        <f t="shared" si="1678"/>
        <v>11</v>
      </c>
      <c r="W3966" s="46" t="str">
        <f t="shared" si="1678"/>
        <v/>
      </c>
      <c r="X3966" s="46" t="str">
        <f t="shared" si="1678"/>
        <v/>
      </c>
    </row>
    <row r="3967" spans="2:24" x14ac:dyDescent="0.25">
      <c r="B3967" s="11" t="str">
        <f t="shared" si="1668"/>
        <v>MJST-26FEB1913</v>
      </c>
      <c r="C3967" s="11" t="s">
        <v>152</v>
      </c>
      <c r="D3967" s="11" t="s">
        <v>2224</v>
      </c>
      <c r="E3967" s="39" t="s">
        <v>4865</v>
      </c>
      <c r="F3967" s="11" t="s">
        <v>1700</v>
      </c>
      <c r="G3967" s="39" t="s">
        <v>4866</v>
      </c>
      <c r="H3967" s="7">
        <v>0</v>
      </c>
      <c r="I3967" s="7">
        <v>0</v>
      </c>
      <c r="J3967" s="17">
        <v>5</v>
      </c>
      <c r="K3967" s="17"/>
      <c r="L3967" s="7">
        <f t="shared" si="1669"/>
        <v>5</v>
      </c>
      <c r="M3967" s="8">
        <v>1</v>
      </c>
      <c r="N3967" s="8">
        <f t="shared" si="1670"/>
        <v>1</v>
      </c>
      <c r="O3967" s="11" t="s">
        <v>1702</v>
      </c>
      <c r="P3967" s="16" t="str">
        <f t="shared" si="1671"/>
        <v>26-Feb-1913</v>
      </c>
      <c r="R3967" s="16" t="str">
        <f>IF($L3967&gt;0,"x","")</f>
        <v>x</v>
      </c>
      <c r="S3967" s="16" t="str">
        <f>IF($L3967&gt;0,"x","")</f>
        <v>x</v>
      </c>
      <c r="U3967" s="46" t="str">
        <f t="shared" si="1678"/>
        <v/>
      </c>
      <c r="V3967" s="46">
        <f t="shared" si="1678"/>
        <v>5</v>
      </c>
      <c r="W3967" s="46" t="str">
        <f t="shared" si="1678"/>
        <v/>
      </c>
      <c r="X3967" s="46" t="str">
        <f t="shared" si="1678"/>
        <v/>
      </c>
    </row>
    <row r="3968" spans="2:24" x14ac:dyDescent="0.25">
      <c r="B3968" s="11" t="str">
        <f t="shared" si="1668"/>
        <v>MJST-20MAR1913</v>
      </c>
      <c r="C3968" s="11" t="s">
        <v>152</v>
      </c>
      <c r="D3968" s="11" t="s">
        <v>3619</v>
      </c>
      <c r="E3968" s="39" t="s">
        <v>3642</v>
      </c>
      <c r="F3968" s="11" t="s">
        <v>1700</v>
      </c>
      <c r="G3968" s="39" t="s">
        <v>3643</v>
      </c>
      <c r="H3968" s="7">
        <v>0</v>
      </c>
      <c r="I3968" s="7">
        <v>2</v>
      </c>
      <c r="J3968" s="17">
        <v>4</v>
      </c>
      <c r="K3968" s="17"/>
      <c r="L3968" s="7">
        <f t="shared" si="1669"/>
        <v>6</v>
      </c>
      <c r="M3968" s="8">
        <v>1</v>
      </c>
      <c r="N3968" s="8">
        <f t="shared" si="1670"/>
        <v>1</v>
      </c>
      <c r="O3968" s="11" t="s">
        <v>1702</v>
      </c>
      <c r="P3968" s="16" t="str">
        <f t="shared" si="1671"/>
        <v>20-Mar-1913</v>
      </c>
      <c r="R3968" s="16" t="str">
        <f t="shared" si="1677"/>
        <v>x</v>
      </c>
      <c r="S3968" s="16" t="str">
        <f t="shared" si="1677"/>
        <v>x</v>
      </c>
      <c r="U3968" s="46" t="str">
        <f t="shared" si="1678"/>
        <v/>
      </c>
      <c r="V3968" s="46">
        <f t="shared" si="1678"/>
        <v>6</v>
      </c>
      <c r="W3968" s="46" t="str">
        <f t="shared" si="1678"/>
        <v/>
      </c>
      <c r="X3968" s="46" t="str">
        <f t="shared" si="1678"/>
        <v/>
      </c>
    </row>
    <row r="3969" spans="2:26" x14ac:dyDescent="0.25">
      <c r="B3969" s="11" t="str">
        <f>CONCATENATE("MJST","-",LEFT(P3969,2),UPPER(MID(P3969,4,3)),RIGHT(P3969,4))</f>
        <v>MJST-29MAY1913</v>
      </c>
      <c r="C3969" s="11" t="s">
        <v>152</v>
      </c>
      <c r="D3969" s="11" t="s">
        <v>2224</v>
      </c>
      <c r="E3969" s="39" t="s">
        <v>2522</v>
      </c>
      <c r="F3969" s="11" t="s">
        <v>1700</v>
      </c>
      <c r="G3969" s="39" t="s">
        <v>5817</v>
      </c>
      <c r="H3969" s="7">
        <v>0</v>
      </c>
      <c r="I3969" s="7">
        <v>0</v>
      </c>
      <c r="J3969" s="17">
        <v>8</v>
      </c>
      <c r="K3969" s="17"/>
      <c r="L3969" s="7">
        <f>SUM(H3969:K3969)</f>
        <v>8</v>
      </c>
      <c r="M3969" s="8">
        <v>1</v>
      </c>
      <c r="N3969" s="8">
        <f>IF(L3969&gt;0,1,"")</f>
        <v>1</v>
      </c>
      <c r="O3969" s="11" t="s">
        <v>1702</v>
      </c>
      <c r="P3969" s="16" t="str">
        <f>IF(LEN(G3969)=10,CONCATENATE("0",G3969),G3969)</f>
        <v>29-May-1913</v>
      </c>
      <c r="R3969" s="16" t="str">
        <f t="shared" si="1677"/>
        <v>x</v>
      </c>
      <c r="S3969" s="16" t="str">
        <f t="shared" si="1677"/>
        <v>x</v>
      </c>
      <c r="U3969" s="46" t="str">
        <f t="shared" si="1678"/>
        <v/>
      </c>
      <c r="V3969" s="46">
        <f t="shared" si="1678"/>
        <v>8</v>
      </c>
      <c r="W3969" s="46" t="str">
        <f t="shared" si="1678"/>
        <v/>
      </c>
      <c r="X3969" s="46" t="str">
        <f t="shared" si="1678"/>
        <v/>
      </c>
    </row>
    <row r="3970" spans="2:26" x14ac:dyDescent="0.25">
      <c r="B3970" s="11" t="str">
        <f t="shared" si="1668"/>
        <v>MJST-19JUN1913</v>
      </c>
      <c r="C3970" s="11" t="s">
        <v>152</v>
      </c>
      <c r="D3970" s="11" t="s">
        <v>3619</v>
      </c>
      <c r="E3970" s="39" t="s">
        <v>153</v>
      </c>
      <c r="F3970" s="11" t="s">
        <v>1700</v>
      </c>
      <c r="G3970" s="39" t="s">
        <v>154</v>
      </c>
      <c r="H3970" s="7">
        <v>0</v>
      </c>
      <c r="I3970" s="7">
        <v>0</v>
      </c>
      <c r="J3970" s="17">
        <f>60+9</f>
        <v>69</v>
      </c>
      <c r="K3970" s="17"/>
      <c r="L3970" s="7">
        <f t="shared" si="1669"/>
        <v>69</v>
      </c>
      <c r="M3970" s="8">
        <v>1</v>
      </c>
      <c r="N3970" s="8">
        <f t="shared" si="1670"/>
        <v>1</v>
      </c>
      <c r="O3970" s="11" t="s">
        <v>1702</v>
      </c>
      <c r="P3970" s="16" t="str">
        <f t="shared" si="1671"/>
        <v>19-Jun-1913</v>
      </c>
      <c r="R3970" s="16" t="str">
        <f t="shared" ref="R3970:S3975" si="1679">IF($L3970&gt;0,"x","")</f>
        <v>x</v>
      </c>
      <c r="S3970" s="16" t="str">
        <f t="shared" si="1679"/>
        <v>x</v>
      </c>
      <c r="U3970" s="46" t="str">
        <f t="shared" si="1678"/>
        <v/>
      </c>
      <c r="V3970" s="46">
        <f t="shared" si="1678"/>
        <v>69</v>
      </c>
      <c r="W3970" s="46" t="str">
        <f t="shared" si="1678"/>
        <v/>
      </c>
      <c r="X3970" s="46" t="str">
        <f t="shared" si="1678"/>
        <v/>
      </c>
    </row>
    <row r="3971" spans="2:26" x14ac:dyDescent="0.25">
      <c r="B3971" s="11" t="str">
        <f t="shared" si="1668"/>
        <v>MJST-10JUL1913</v>
      </c>
      <c r="C3971" s="11" t="s">
        <v>152</v>
      </c>
      <c r="D3971" s="11" t="s">
        <v>2224</v>
      </c>
      <c r="E3971" s="39" t="s">
        <v>2524</v>
      </c>
      <c r="F3971" s="11" t="s">
        <v>1700</v>
      </c>
      <c r="G3971" s="39" t="s">
        <v>3629</v>
      </c>
      <c r="H3971" s="7">
        <v>0</v>
      </c>
      <c r="I3971" s="7">
        <v>0</v>
      </c>
      <c r="J3971" s="17">
        <v>23</v>
      </c>
      <c r="K3971" s="17"/>
      <c r="L3971" s="7">
        <f t="shared" si="1669"/>
        <v>23</v>
      </c>
      <c r="M3971" s="8">
        <v>1</v>
      </c>
      <c r="N3971" s="8">
        <f t="shared" si="1670"/>
        <v>1</v>
      </c>
      <c r="O3971" s="11" t="s">
        <v>1702</v>
      </c>
      <c r="P3971" s="16" t="str">
        <f t="shared" si="1671"/>
        <v>10-Jul-1913</v>
      </c>
      <c r="R3971" s="16" t="str">
        <f t="shared" si="1679"/>
        <v>x</v>
      </c>
      <c r="S3971" s="16" t="str">
        <f t="shared" si="1679"/>
        <v>x</v>
      </c>
      <c r="U3971" s="46" t="str">
        <f t="shared" si="1678"/>
        <v/>
      </c>
      <c r="V3971" s="46">
        <f t="shared" si="1678"/>
        <v>23</v>
      </c>
      <c r="W3971" s="46" t="str">
        <f t="shared" si="1678"/>
        <v/>
      </c>
      <c r="X3971" s="46" t="str">
        <f t="shared" si="1678"/>
        <v/>
      </c>
    </row>
    <row r="3972" spans="2:26" x14ac:dyDescent="0.25">
      <c r="B3972" s="11" t="str">
        <f>CONCATENATE("MJST","-",LEFT(P3972,2),UPPER(MID(P3972,4,3)),RIGHT(P3972,4))</f>
        <v>MJST-07AUG1913</v>
      </c>
      <c r="C3972" s="11" t="s">
        <v>152</v>
      </c>
      <c r="D3972" s="11" t="s">
        <v>2224</v>
      </c>
      <c r="E3972" s="39" t="s">
        <v>2525</v>
      </c>
      <c r="F3972" s="11" t="s">
        <v>1700</v>
      </c>
      <c r="G3972" s="39" t="s">
        <v>3051</v>
      </c>
      <c r="H3972" s="7">
        <v>0</v>
      </c>
      <c r="I3972" s="7">
        <v>0</v>
      </c>
      <c r="J3972" s="17">
        <v>14</v>
      </c>
      <c r="K3972" s="17"/>
      <c r="L3972" s="7">
        <f>SUM(H3972:K3972)</f>
        <v>14</v>
      </c>
      <c r="M3972" s="8">
        <v>1</v>
      </c>
      <c r="N3972" s="8">
        <f>IF(L3972&gt;0,1,"")</f>
        <v>1</v>
      </c>
      <c r="O3972" s="11" t="s">
        <v>1702</v>
      </c>
      <c r="P3972" s="16" t="str">
        <f>IF(LEN(G3972)=10,CONCATENATE("0",G3972),G3972)</f>
        <v>07-Aug-1913</v>
      </c>
      <c r="R3972" s="16" t="str">
        <f t="shared" si="1679"/>
        <v>x</v>
      </c>
      <c r="S3972" s="16" t="str">
        <f t="shared" si="1679"/>
        <v>x</v>
      </c>
      <c r="U3972" s="46" t="str">
        <f t="shared" ref="U3972:X3975" si="1680">IF($O3972=U$5,$L3972,"")</f>
        <v/>
      </c>
      <c r="V3972" s="46">
        <f t="shared" si="1680"/>
        <v>14</v>
      </c>
      <c r="W3972" s="46" t="str">
        <f t="shared" si="1680"/>
        <v/>
      </c>
      <c r="X3972" s="46" t="str">
        <f t="shared" si="1680"/>
        <v/>
      </c>
      <c r="Z3972" s="11" t="s">
        <v>807</v>
      </c>
    </row>
    <row r="3973" spans="2:26" x14ac:dyDescent="0.25">
      <c r="B3973" s="11" t="str">
        <f>CONCATENATE("MJST","-",LEFT(P3973,2),UPPER(MID(P3973,4,3)),RIGHT(P3973,4))</f>
        <v>MJST-28AUG1913</v>
      </c>
      <c r="C3973" s="11" t="s">
        <v>152</v>
      </c>
      <c r="D3973" s="11" t="s">
        <v>2224</v>
      </c>
      <c r="E3973" s="39" t="s">
        <v>2526</v>
      </c>
      <c r="F3973" s="11" t="s">
        <v>1700</v>
      </c>
      <c r="G3973" s="39" t="s">
        <v>5805</v>
      </c>
      <c r="H3973" s="7">
        <v>0</v>
      </c>
      <c r="I3973" s="7">
        <v>0</v>
      </c>
      <c r="J3973" s="17">
        <v>5</v>
      </c>
      <c r="K3973" s="17"/>
      <c r="L3973" s="7">
        <f>SUM(H3973:K3973)</f>
        <v>5</v>
      </c>
      <c r="M3973" s="8">
        <v>1</v>
      </c>
      <c r="N3973" s="8">
        <f>IF(L3973&gt;0,1,"")</f>
        <v>1</v>
      </c>
      <c r="O3973" s="11" t="s">
        <v>1702</v>
      </c>
      <c r="P3973" s="16" t="str">
        <f>IF(LEN(G3973)=10,CONCATENATE("0",G3973),G3973)</f>
        <v>28-Aug-1913</v>
      </c>
      <c r="R3973" s="16" t="str">
        <f t="shared" si="1679"/>
        <v>x</v>
      </c>
      <c r="S3973" s="16" t="str">
        <f t="shared" si="1679"/>
        <v>x</v>
      </c>
      <c r="U3973" s="46" t="str">
        <f t="shared" si="1680"/>
        <v/>
      </c>
      <c r="V3973" s="46">
        <f t="shared" si="1680"/>
        <v>5</v>
      </c>
      <c r="W3973" s="46" t="str">
        <f t="shared" si="1680"/>
        <v/>
      </c>
      <c r="X3973" s="46" t="str">
        <f t="shared" si="1680"/>
        <v/>
      </c>
    </row>
    <row r="3974" spans="2:26" x14ac:dyDescent="0.25">
      <c r="B3974" s="11" t="str">
        <f>CONCATENATE("MJST","-",LEFT(P3974,2),UPPER(MID(P3974,4,3)),RIGHT(P3974,4))</f>
        <v>MJST-18SEP1913</v>
      </c>
      <c r="C3974" s="11" t="s">
        <v>152</v>
      </c>
      <c r="D3974" s="11" t="s">
        <v>2224</v>
      </c>
      <c r="E3974" s="39" t="s">
        <v>2527</v>
      </c>
      <c r="F3974" s="11" t="s">
        <v>1700</v>
      </c>
      <c r="G3974" s="39" t="s">
        <v>6307</v>
      </c>
      <c r="H3974" s="7">
        <v>0</v>
      </c>
      <c r="I3974" s="7">
        <v>0</v>
      </c>
      <c r="J3974" s="17">
        <v>12</v>
      </c>
      <c r="K3974" s="17"/>
      <c r="L3974" s="7">
        <f>SUM(H3974:K3974)</f>
        <v>12</v>
      </c>
      <c r="M3974" s="8">
        <v>1</v>
      </c>
      <c r="N3974" s="8">
        <f>IF(L3974&gt;0,1,"")</f>
        <v>1</v>
      </c>
      <c r="O3974" s="11" t="s">
        <v>1702</v>
      </c>
      <c r="P3974" s="16" t="str">
        <f>IF(LEN(G3974)=10,CONCATENATE("0",G3974),G3974)</f>
        <v>18-Sep-1913</v>
      </c>
      <c r="R3974" s="16" t="str">
        <f t="shared" si="1679"/>
        <v>x</v>
      </c>
      <c r="S3974" s="16" t="str">
        <f t="shared" si="1679"/>
        <v>x</v>
      </c>
      <c r="U3974" s="46" t="str">
        <f t="shared" si="1680"/>
        <v/>
      </c>
      <c r="V3974" s="46">
        <f t="shared" si="1680"/>
        <v>12</v>
      </c>
      <c r="W3974" s="46" t="str">
        <f t="shared" si="1680"/>
        <v/>
      </c>
      <c r="X3974" s="46" t="str">
        <f t="shared" si="1680"/>
        <v/>
      </c>
    </row>
    <row r="3975" spans="2:26" x14ac:dyDescent="0.25">
      <c r="B3975" s="11" t="str">
        <f>CONCATENATE("MJST","-",LEFT(P3975,2),UPPER(MID(P3975,4,3)),RIGHT(P3975,4))</f>
        <v>MJST-09OCT1913</v>
      </c>
      <c r="C3975" s="11" t="s">
        <v>152</v>
      </c>
      <c r="D3975" s="11" t="s">
        <v>2224</v>
      </c>
      <c r="E3975" s="39" t="s">
        <v>5233</v>
      </c>
      <c r="F3975" s="11" t="s">
        <v>1700</v>
      </c>
      <c r="G3975" s="39" t="s">
        <v>5666</v>
      </c>
      <c r="H3975" s="7">
        <v>0</v>
      </c>
      <c r="I3975" s="7">
        <v>2</v>
      </c>
      <c r="J3975" s="17">
        <v>5</v>
      </c>
      <c r="K3975" s="17"/>
      <c r="L3975" s="7">
        <f>SUM(H3975:K3975)</f>
        <v>7</v>
      </c>
      <c r="M3975" s="8">
        <v>1</v>
      </c>
      <c r="N3975" s="8">
        <f>IF(L3975&gt;0,1,"")</f>
        <v>1</v>
      </c>
      <c r="O3975" s="11" t="s">
        <v>1702</v>
      </c>
      <c r="P3975" s="16" t="str">
        <f>IF(LEN(G3975)=10,CONCATENATE("0",G3975),G3975)</f>
        <v>09-Oct-1913</v>
      </c>
      <c r="R3975" s="16" t="str">
        <f t="shared" si="1679"/>
        <v>x</v>
      </c>
      <c r="S3975" s="16" t="str">
        <f t="shared" si="1679"/>
        <v>x</v>
      </c>
      <c r="U3975" s="46" t="str">
        <f t="shared" si="1680"/>
        <v/>
      </c>
      <c r="V3975" s="46">
        <f t="shared" si="1680"/>
        <v>7</v>
      </c>
      <c r="W3975" s="46" t="str">
        <f t="shared" si="1680"/>
        <v/>
      </c>
      <c r="X3975" s="46" t="str">
        <f t="shared" si="1680"/>
        <v/>
      </c>
    </row>
    <row r="3976" spans="2:26" x14ac:dyDescent="0.25">
      <c r="B3976" s="11" t="str">
        <f t="shared" si="1668"/>
        <v>MJST-30OCT1913</v>
      </c>
      <c r="C3976" s="11" t="s">
        <v>152</v>
      </c>
      <c r="D3976" s="11" t="s">
        <v>2224</v>
      </c>
      <c r="E3976" s="39" t="s">
        <v>2529</v>
      </c>
      <c r="F3976" s="11" t="s">
        <v>1700</v>
      </c>
      <c r="G3976" s="39" t="s">
        <v>3185</v>
      </c>
      <c r="H3976" s="7">
        <v>0</v>
      </c>
      <c r="I3976" s="7">
        <v>0</v>
      </c>
      <c r="J3976" s="17">
        <v>10</v>
      </c>
      <c r="K3976" s="17"/>
      <c r="L3976" s="7">
        <f t="shared" si="1669"/>
        <v>10</v>
      </c>
      <c r="M3976" s="8">
        <v>1</v>
      </c>
      <c r="N3976" s="8">
        <f t="shared" si="1670"/>
        <v>1</v>
      </c>
      <c r="O3976" s="11" t="s">
        <v>1702</v>
      </c>
      <c r="P3976" s="16" t="str">
        <f t="shared" si="1671"/>
        <v>30-Oct-1913</v>
      </c>
      <c r="R3976" s="16" t="str">
        <f t="shared" ref="R3976:S3991" si="1681">IF($L3976&gt;0,"x","")</f>
        <v>x</v>
      </c>
      <c r="S3976" s="16" t="str">
        <f t="shared" si="1681"/>
        <v>x</v>
      </c>
      <c r="U3976" s="46" t="str">
        <f t="shared" ref="U3976:X3986" si="1682">IF($O3976=U$5,$L3976,"")</f>
        <v/>
      </c>
      <c r="V3976" s="46">
        <f t="shared" si="1682"/>
        <v>10</v>
      </c>
      <c r="W3976" s="46" t="str">
        <f t="shared" si="1682"/>
        <v/>
      </c>
      <c r="X3976" s="46" t="str">
        <f t="shared" si="1682"/>
        <v/>
      </c>
    </row>
    <row r="3977" spans="2:26" x14ac:dyDescent="0.25">
      <c r="B3977" s="11" t="str">
        <f t="shared" si="1668"/>
        <v>MJST-20NOV1913</v>
      </c>
      <c r="C3977" s="11" t="s">
        <v>152</v>
      </c>
      <c r="D3977" s="11" t="s">
        <v>2224</v>
      </c>
      <c r="E3977" s="39" t="s">
        <v>1337</v>
      </c>
      <c r="F3977" s="11" t="s">
        <v>1700</v>
      </c>
      <c r="G3977" s="39" t="s">
        <v>4656</v>
      </c>
      <c r="H3977" s="7">
        <v>0</v>
      </c>
      <c r="I3977" s="7">
        <v>0</v>
      </c>
      <c r="J3977" s="17">
        <f>10+2</f>
        <v>12</v>
      </c>
      <c r="K3977" s="17"/>
      <c r="L3977" s="7">
        <f t="shared" si="1669"/>
        <v>12</v>
      </c>
      <c r="M3977" s="8">
        <v>1</v>
      </c>
      <c r="N3977" s="8">
        <f t="shared" si="1670"/>
        <v>1</v>
      </c>
      <c r="O3977" s="11" t="s">
        <v>1702</v>
      </c>
      <c r="P3977" s="16" t="str">
        <f t="shared" si="1671"/>
        <v>20-Nov-1913</v>
      </c>
      <c r="R3977" s="16" t="str">
        <f t="shared" si="1681"/>
        <v>x</v>
      </c>
      <c r="S3977" s="16" t="str">
        <f t="shared" si="1681"/>
        <v>x</v>
      </c>
      <c r="U3977" s="46" t="str">
        <f t="shared" si="1682"/>
        <v/>
      </c>
      <c r="V3977" s="46">
        <f t="shared" si="1682"/>
        <v>12</v>
      </c>
      <c r="W3977" s="46" t="str">
        <f t="shared" si="1682"/>
        <v/>
      </c>
      <c r="X3977" s="46" t="str">
        <f t="shared" si="1682"/>
        <v/>
      </c>
    </row>
    <row r="3978" spans="2:26" x14ac:dyDescent="0.25">
      <c r="B3978" s="11" t="str">
        <f t="shared" si="1668"/>
        <v>MJST-26DEC1913</v>
      </c>
      <c r="C3978" s="11" t="s">
        <v>152</v>
      </c>
      <c r="D3978" s="11" t="s">
        <v>2224</v>
      </c>
      <c r="E3978" s="39" t="s">
        <v>3370</v>
      </c>
      <c r="F3978" s="11" t="s">
        <v>1700</v>
      </c>
      <c r="G3978" s="39" t="s">
        <v>3289</v>
      </c>
      <c r="H3978" s="7">
        <v>0</v>
      </c>
      <c r="I3978" s="7">
        <v>1</v>
      </c>
      <c r="J3978" s="17">
        <f>1+13</f>
        <v>14</v>
      </c>
      <c r="K3978" s="17"/>
      <c r="L3978" s="7">
        <f t="shared" si="1669"/>
        <v>15</v>
      </c>
      <c r="M3978" s="8">
        <v>1</v>
      </c>
      <c r="N3978" s="8">
        <f t="shared" si="1670"/>
        <v>1</v>
      </c>
      <c r="O3978" s="11" t="s">
        <v>1702</v>
      </c>
      <c r="P3978" s="16" t="str">
        <f t="shared" si="1671"/>
        <v>26-Dec-1913</v>
      </c>
      <c r="R3978" s="16" t="str">
        <f t="shared" si="1681"/>
        <v>x</v>
      </c>
      <c r="S3978" s="16" t="str">
        <f t="shared" si="1681"/>
        <v>x</v>
      </c>
      <c r="U3978" s="46" t="str">
        <f t="shared" si="1682"/>
        <v/>
      </c>
      <c r="V3978" s="46">
        <f t="shared" si="1682"/>
        <v>15</v>
      </c>
      <c r="W3978" s="46" t="str">
        <f t="shared" si="1682"/>
        <v/>
      </c>
      <c r="X3978" s="46" t="str">
        <f t="shared" si="1682"/>
        <v/>
      </c>
    </row>
    <row r="3979" spans="2:26" x14ac:dyDescent="0.25">
      <c r="B3979" s="11" t="str">
        <f t="shared" si="1668"/>
        <v>MJST-16MAY1922</v>
      </c>
      <c r="C3979" s="11" t="s">
        <v>152</v>
      </c>
      <c r="D3979" s="11" t="s">
        <v>3619</v>
      </c>
      <c r="E3979" s="39" t="s">
        <v>3910</v>
      </c>
      <c r="F3979" s="11" t="s">
        <v>1700</v>
      </c>
      <c r="G3979" s="39" t="s">
        <v>4219</v>
      </c>
      <c r="H3979" s="7">
        <v>0</v>
      </c>
      <c r="I3979" s="7">
        <f>0+2</f>
        <v>2</v>
      </c>
      <c r="J3979" s="17">
        <v>0</v>
      </c>
      <c r="K3979" s="17"/>
      <c r="L3979" s="7">
        <f t="shared" si="1669"/>
        <v>2</v>
      </c>
      <c r="M3979" s="8">
        <v>1</v>
      </c>
      <c r="N3979" s="8">
        <f t="shared" si="1670"/>
        <v>1</v>
      </c>
      <c r="O3979" s="11" t="s">
        <v>1702</v>
      </c>
      <c r="P3979" s="16" t="str">
        <f t="shared" si="1671"/>
        <v>16-May-1922</v>
      </c>
      <c r="R3979" s="16" t="str">
        <f t="shared" si="1681"/>
        <v>x</v>
      </c>
      <c r="S3979" s="16" t="str">
        <f t="shared" si="1681"/>
        <v>x</v>
      </c>
      <c r="U3979" s="46" t="str">
        <f t="shared" si="1682"/>
        <v/>
      </c>
      <c r="V3979" s="46">
        <f t="shared" si="1682"/>
        <v>2</v>
      </c>
      <c r="W3979" s="46" t="str">
        <f t="shared" si="1682"/>
        <v/>
      </c>
      <c r="X3979" s="46" t="str">
        <f t="shared" si="1682"/>
        <v/>
      </c>
    </row>
    <row r="3980" spans="2:26" x14ac:dyDescent="0.25">
      <c r="B3980" s="11" t="str">
        <f t="shared" ref="B3980:B3992" si="1683">CONCATENATE("MJST","-",LEFT(P3980,2),UPPER(MID(P3980,4,3)),RIGHT(P3980,4))</f>
        <v>MJST-23AUG1922</v>
      </c>
      <c r="C3980" s="11" t="s">
        <v>152</v>
      </c>
      <c r="D3980" s="11" t="s">
        <v>2224</v>
      </c>
      <c r="E3980" s="39" t="s">
        <v>2837</v>
      </c>
      <c r="F3980" s="11" t="s">
        <v>1700</v>
      </c>
      <c r="G3980" s="39" t="s">
        <v>4146</v>
      </c>
      <c r="H3980" s="7">
        <f>0+3</f>
        <v>3</v>
      </c>
      <c r="I3980" s="7">
        <v>2</v>
      </c>
      <c r="J3980" s="17">
        <v>5</v>
      </c>
      <c r="K3980" s="17"/>
      <c r="L3980" s="7">
        <f t="shared" ref="L3980:L3992" si="1684">SUM(H3980:K3980)</f>
        <v>10</v>
      </c>
      <c r="M3980" s="8">
        <v>1</v>
      </c>
      <c r="N3980" s="8">
        <f t="shared" ref="N3980:N3992" si="1685">IF(L3980&gt;0,1,"")</f>
        <v>1</v>
      </c>
      <c r="O3980" s="11" t="s">
        <v>1702</v>
      </c>
      <c r="P3980" s="16" t="str">
        <f t="shared" ref="P3980:P3992" si="1686">IF(LEN(G3980)=10,CONCATENATE("0",G3980),G3980)</f>
        <v>23-Aug-1922</v>
      </c>
      <c r="R3980" s="16" t="str">
        <f t="shared" si="1681"/>
        <v>x</v>
      </c>
      <c r="S3980" s="16" t="str">
        <f t="shared" si="1681"/>
        <v>x</v>
      </c>
      <c r="U3980" s="46" t="str">
        <f t="shared" si="1682"/>
        <v/>
      </c>
      <c r="V3980" s="46">
        <f t="shared" si="1682"/>
        <v>10</v>
      </c>
      <c r="W3980" s="46" t="str">
        <f t="shared" si="1682"/>
        <v/>
      </c>
      <c r="X3980" s="46" t="str">
        <f t="shared" si="1682"/>
        <v/>
      </c>
    </row>
    <row r="3981" spans="2:26" x14ac:dyDescent="0.25">
      <c r="B3981" s="11" t="str">
        <f t="shared" si="1683"/>
        <v>MJST-17APR1923</v>
      </c>
      <c r="C3981" s="11" t="s">
        <v>152</v>
      </c>
      <c r="D3981" s="11" t="s">
        <v>2224</v>
      </c>
      <c r="E3981" s="39" t="s">
        <v>4304</v>
      </c>
      <c r="F3981" s="11" t="s">
        <v>1700</v>
      </c>
      <c r="G3981" s="39" t="s">
        <v>4350</v>
      </c>
      <c r="H3981" s="7">
        <f>0+1</f>
        <v>1</v>
      </c>
      <c r="I3981" s="7">
        <v>4</v>
      </c>
      <c r="J3981" s="17">
        <v>1</v>
      </c>
      <c r="K3981" s="17"/>
      <c r="L3981" s="7">
        <f t="shared" si="1684"/>
        <v>6</v>
      </c>
      <c r="M3981" s="8">
        <v>1</v>
      </c>
      <c r="N3981" s="8">
        <f t="shared" si="1685"/>
        <v>1</v>
      </c>
      <c r="O3981" s="11" t="s">
        <v>1702</v>
      </c>
      <c r="P3981" s="16" t="str">
        <f t="shared" si="1686"/>
        <v>17-Apr-1923</v>
      </c>
      <c r="R3981" s="16" t="str">
        <f t="shared" si="1681"/>
        <v>x</v>
      </c>
      <c r="S3981" s="16" t="str">
        <f t="shared" si="1681"/>
        <v>x</v>
      </c>
      <c r="U3981" s="46" t="str">
        <f t="shared" si="1682"/>
        <v/>
      </c>
      <c r="V3981" s="46">
        <f t="shared" si="1682"/>
        <v>6</v>
      </c>
      <c r="W3981" s="46" t="str">
        <f t="shared" si="1682"/>
        <v/>
      </c>
      <c r="X3981" s="46" t="str">
        <f t="shared" si="1682"/>
        <v/>
      </c>
    </row>
    <row r="3982" spans="2:26" x14ac:dyDescent="0.25">
      <c r="B3982" s="11" t="str">
        <f t="shared" si="1683"/>
        <v>MJST-01AUG1923</v>
      </c>
      <c r="C3982" s="11" t="s">
        <v>152</v>
      </c>
      <c r="D3982" s="11" t="s">
        <v>2224</v>
      </c>
      <c r="E3982" s="39" t="s">
        <v>4430</v>
      </c>
      <c r="F3982" s="11" t="s">
        <v>1700</v>
      </c>
      <c r="G3982" s="39" t="s">
        <v>2970</v>
      </c>
      <c r="H3982" s="7">
        <v>0</v>
      </c>
      <c r="I3982" s="7">
        <f>9+1</f>
        <v>10</v>
      </c>
      <c r="J3982" s="17">
        <v>0</v>
      </c>
      <c r="K3982" s="17"/>
      <c r="L3982" s="7">
        <f t="shared" si="1684"/>
        <v>10</v>
      </c>
      <c r="M3982" s="8">
        <v>1</v>
      </c>
      <c r="N3982" s="8">
        <f t="shared" si="1685"/>
        <v>1</v>
      </c>
      <c r="O3982" s="11" t="s">
        <v>1702</v>
      </c>
      <c r="P3982" s="16" t="str">
        <f t="shared" si="1686"/>
        <v>01-Aug-1923</v>
      </c>
      <c r="R3982" s="16" t="str">
        <f t="shared" si="1681"/>
        <v>x</v>
      </c>
      <c r="S3982" s="16" t="str">
        <f t="shared" si="1681"/>
        <v>x</v>
      </c>
      <c r="U3982" s="46" t="str">
        <f t="shared" si="1682"/>
        <v/>
      </c>
      <c r="V3982" s="46">
        <f t="shared" si="1682"/>
        <v>10</v>
      </c>
      <c r="W3982" s="46" t="str">
        <f t="shared" si="1682"/>
        <v/>
      </c>
      <c r="X3982" s="46" t="str">
        <f t="shared" si="1682"/>
        <v/>
      </c>
    </row>
    <row r="3983" spans="2:26" x14ac:dyDescent="0.25">
      <c r="B3983" s="11" t="str">
        <f t="shared" si="1683"/>
        <v>MJST-01AUG1923</v>
      </c>
      <c r="C3983" s="11" t="s">
        <v>152</v>
      </c>
      <c r="D3983" s="11" t="s">
        <v>2224</v>
      </c>
      <c r="E3983" s="39" t="s">
        <v>4430</v>
      </c>
      <c r="F3983" s="11" t="s">
        <v>3050</v>
      </c>
      <c r="G3983" s="39" t="s">
        <v>2970</v>
      </c>
      <c r="J3983" s="17">
        <v>56</v>
      </c>
      <c r="K3983" s="17"/>
      <c r="L3983" s="7">
        <f t="shared" si="1684"/>
        <v>56</v>
      </c>
      <c r="M3983" s="8">
        <v>1</v>
      </c>
      <c r="N3983" s="8">
        <f t="shared" si="1685"/>
        <v>1</v>
      </c>
      <c r="O3983" s="11" t="s">
        <v>1702</v>
      </c>
      <c r="P3983" s="16" t="str">
        <f t="shared" si="1686"/>
        <v>01-Aug-1923</v>
      </c>
      <c r="R3983" s="16" t="str">
        <f t="shared" si="1681"/>
        <v>x</v>
      </c>
      <c r="S3983" s="16" t="str">
        <f t="shared" si="1681"/>
        <v>x</v>
      </c>
      <c r="U3983" s="46" t="str">
        <f t="shared" si="1682"/>
        <v/>
      </c>
      <c r="V3983" s="46">
        <f t="shared" si="1682"/>
        <v>56</v>
      </c>
      <c r="W3983" s="46" t="str">
        <f t="shared" si="1682"/>
        <v/>
      </c>
      <c r="X3983" s="46" t="str">
        <f t="shared" si="1682"/>
        <v/>
      </c>
    </row>
    <row r="3984" spans="2:26" x14ac:dyDescent="0.25">
      <c r="B3984" s="11" t="str">
        <f t="shared" si="1683"/>
        <v>MJST-11DEC1923</v>
      </c>
      <c r="C3984" s="11" t="s">
        <v>152</v>
      </c>
      <c r="D3984" s="11" t="s">
        <v>2224</v>
      </c>
      <c r="E3984" s="39" t="s">
        <v>4245</v>
      </c>
      <c r="F3984" s="11" t="s">
        <v>1700</v>
      </c>
      <c r="G3984" s="39" t="s">
        <v>2867</v>
      </c>
      <c r="H3984" s="7">
        <f>0+2</f>
        <v>2</v>
      </c>
      <c r="I3984" s="7">
        <v>1</v>
      </c>
      <c r="J3984" s="17">
        <f>15+4</f>
        <v>19</v>
      </c>
      <c r="K3984" s="17"/>
      <c r="L3984" s="7">
        <f t="shared" si="1684"/>
        <v>22</v>
      </c>
      <c r="M3984" s="8">
        <v>1</v>
      </c>
      <c r="N3984" s="8">
        <f t="shared" si="1685"/>
        <v>1</v>
      </c>
      <c r="O3984" s="11" t="s">
        <v>1702</v>
      </c>
      <c r="P3984" s="16" t="str">
        <f t="shared" si="1686"/>
        <v>11-Dec-1923</v>
      </c>
      <c r="R3984" s="16" t="str">
        <f t="shared" si="1681"/>
        <v>x</v>
      </c>
      <c r="S3984" s="16" t="str">
        <f t="shared" si="1681"/>
        <v>x</v>
      </c>
      <c r="U3984" s="46" t="str">
        <f t="shared" si="1682"/>
        <v/>
      </c>
      <c r="V3984" s="46">
        <f t="shared" si="1682"/>
        <v>22</v>
      </c>
      <c r="W3984" s="46" t="str">
        <f t="shared" si="1682"/>
        <v/>
      </c>
      <c r="X3984" s="46" t="str">
        <f t="shared" si="1682"/>
        <v/>
      </c>
    </row>
    <row r="3985" spans="2:26" x14ac:dyDescent="0.25">
      <c r="B3985" s="11" t="str">
        <f t="shared" si="1683"/>
        <v>MJST-13MAY1924</v>
      </c>
      <c r="C3985" s="11" t="s">
        <v>152</v>
      </c>
      <c r="D3985" s="11" t="s">
        <v>2224</v>
      </c>
      <c r="E3985" s="39" t="s">
        <v>4464</v>
      </c>
      <c r="F3985" s="11" t="s">
        <v>1700</v>
      </c>
      <c r="G3985" s="39" t="s">
        <v>4465</v>
      </c>
      <c r="H3985" s="7">
        <v>0</v>
      </c>
      <c r="I3985" s="7">
        <f>1+1</f>
        <v>2</v>
      </c>
      <c r="J3985" s="17">
        <f>2+1</f>
        <v>3</v>
      </c>
      <c r="K3985" s="17"/>
      <c r="L3985" s="7">
        <f t="shared" si="1684"/>
        <v>5</v>
      </c>
      <c r="M3985" s="8">
        <v>1</v>
      </c>
      <c r="N3985" s="8">
        <f t="shared" si="1685"/>
        <v>1</v>
      </c>
      <c r="O3985" s="11" t="s">
        <v>1702</v>
      </c>
      <c r="P3985" s="16" t="str">
        <f t="shared" si="1686"/>
        <v>13-May-1924</v>
      </c>
      <c r="R3985" s="16" t="str">
        <f t="shared" si="1681"/>
        <v>x</v>
      </c>
      <c r="S3985" s="16" t="str">
        <f t="shared" si="1681"/>
        <v>x</v>
      </c>
      <c r="U3985" s="46" t="str">
        <f t="shared" si="1682"/>
        <v/>
      </c>
      <c r="V3985" s="46">
        <f t="shared" si="1682"/>
        <v>5</v>
      </c>
      <c r="W3985" s="46" t="str">
        <f t="shared" si="1682"/>
        <v/>
      </c>
      <c r="X3985" s="46" t="str">
        <f t="shared" si="1682"/>
        <v/>
      </c>
    </row>
    <row r="3986" spans="2:26" x14ac:dyDescent="0.25">
      <c r="B3986" s="11" t="str">
        <f t="shared" si="1683"/>
        <v>MJST-04NOV1924</v>
      </c>
      <c r="C3986" s="11" t="s">
        <v>152</v>
      </c>
      <c r="D3986" s="11" t="s">
        <v>2224</v>
      </c>
      <c r="E3986" s="39" t="s">
        <v>4388</v>
      </c>
      <c r="F3986" s="11" t="s">
        <v>1700</v>
      </c>
      <c r="G3986" s="39" t="s">
        <v>4387</v>
      </c>
      <c r="H3986" s="7">
        <v>0</v>
      </c>
      <c r="I3986" s="7">
        <f>1+1</f>
        <v>2</v>
      </c>
      <c r="J3986" s="17">
        <f>3+2</f>
        <v>5</v>
      </c>
      <c r="K3986" s="17"/>
      <c r="L3986" s="7">
        <f t="shared" si="1684"/>
        <v>7</v>
      </c>
      <c r="M3986" s="8">
        <v>1</v>
      </c>
      <c r="N3986" s="8">
        <f t="shared" si="1685"/>
        <v>1</v>
      </c>
      <c r="O3986" s="11" t="s">
        <v>1702</v>
      </c>
      <c r="P3986" s="16" t="str">
        <f t="shared" si="1686"/>
        <v>04-Nov-1924</v>
      </c>
      <c r="R3986" s="16" t="str">
        <f t="shared" si="1681"/>
        <v>x</v>
      </c>
      <c r="S3986" s="16" t="str">
        <f t="shared" si="1681"/>
        <v>x</v>
      </c>
      <c r="U3986" s="46" t="str">
        <f t="shared" si="1682"/>
        <v/>
      </c>
      <c r="V3986" s="46">
        <f t="shared" si="1682"/>
        <v>7</v>
      </c>
      <c r="W3986" s="46" t="str">
        <f t="shared" si="1682"/>
        <v/>
      </c>
      <c r="X3986" s="46" t="str">
        <f t="shared" si="1682"/>
        <v/>
      </c>
    </row>
    <row r="3987" spans="2:26" x14ac:dyDescent="0.25">
      <c r="B3987" s="11" t="str">
        <f>CONCATENATE("MJST","-",LEFT(P3987,2),UPPER(MID(P3987,4,3)),RIGHT(P3987,4))</f>
        <v>MJST-19MAY1925</v>
      </c>
      <c r="C3987" s="11" t="s">
        <v>152</v>
      </c>
      <c r="D3987" s="11" t="s">
        <v>2224</v>
      </c>
      <c r="E3987" s="39" t="s">
        <v>5813</v>
      </c>
      <c r="F3987" s="11" t="s">
        <v>1700</v>
      </c>
      <c r="G3987" s="39" t="s">
        <v>5814</v>
      </c>
      <c r="H3987" s="7">
        <v>0</v>
      </c>
      <c r="I3987" s="7">
        <f>2+2</f>
        <v>4</v>
      </c>
      <c r="J3987" s="17">
        <f>2+1</f>
        <v>3</v>
      </c>
      <c r="K3987" s="17"/>
      <c r="L3987" s="7">
        <f>SUM(H3987:K3987)</f>
        <v>7</v>
      </c>
      <c r="M3987" s="8">
        <v>1</v>
      </c>
      <c r="N3987" s="8">
        <f>IF(L3987&gt;0,1,"")</f>
        <v>1</v>
      </c>
      <c r="O3987" s="11" t="s">
        <v>1702</v>
      </c>
      <c r="P3987" s="16" t="str">
        <f>IF(LEN(G3987)=10,CONCATENATE("0",G3987),G3987)</f>
        <v>19-May-1925</v>
      </c>
      <c r="R3987" s="16" t="str">
        <f t="shared" si="1681"/>
        <v>x</v>
      </c>
      <c r="S3987" s="16" t="str">
        <f t="shared" si="1681"/>
        <v>x</v>
      </c>
      <c r="U3987" s="46" t="str">
        <f t="shared" ref="U3987:X3998" si="1687">IF($O3987=U$5,$L3987,"")</f>
        <v/>
      </c>
      <c r="V3987" s="46">
        <f t="shared" si="1687"/>
        <v>7</v>
      </c>
      <c r="W3987" s="46" t="str">
        <f t="shared" si="1687"/>
        <v/>
      </c>
      <c r="X3987" s="46" t="str">
        <f t="shared" si="1687"/>
        <v/>
      </c>
    </row>
    <row r="3988" spans="2:26" x14ac:dyDescent="0.25">
      <c r="B3988" s="11" t="str">
        <f>CONCATENATE("MJST","-",LEFT(P3988,2),UPPER(MID(P3988,4,3)),RIGHT(P3988,4))</f>
        <v>MJST-12JUL1927</v>
      </c>
      <c r="C3988" s="11" t="s">
        <v>152</v>
      </c>
      <c r="D3988" s="11" t="s">
        <v>2224</v>
      </c>
      <c r="E3988" s="39" t="s">
        <v>5604</v>
      </c>
      <c r="F3988" s="11" t="s">
        <v>1700</v>
      </c>
      <c r="G3988" s="39" t="s">
        <v>5605</v>
      </c>
      <c r="H3988" s="7">
        <v>0</v>
      </c>
      <c r="I3988" s="7">
        <v>0</v>
      </c>
      <c r="J3988" s="17">
        <f>2+3</f>
        <v>5</v>
      </c>
      <c r="K3988" s="17"/>
      <c r="L3988" s="7">
        <f>SUM(H3988:K3988)</f>
        <v>5</v>
      </c>
      <c r="M3988" s="8">
        <v>1</v>
      </c>
      <c r="N3988" s="8">
        <f>IF(L3988&gt;0,1,"")</f>
        <v>1</v>
      </c>
      <c r="O3988" s="11" t="s">
        <v>1702</v>
      </c>
      <c r="P3988" s="16" t="str">
        <f>IF(LEN(G3988)=10,CONCATENATE("0",G3988),G3988)</f>
        <v>12-Jul-1927</v>
      </c>
      <c r="R3988" s="16" t="str">
        <f t="shared" si="1681"/>
        <v>x</v>
      </c>
      <c r="S3988" s="16" t="str">
        <f t="shared" si="1681"/>
        <v>x</v>
      </c>
      <c r="U3988" s="46" t="str">
        <f t="shared" si="1687"/>
        <v/>
      </c>
      <c r="V3988" s="46">
        <f t="shared" si="1687"/>
        <v>5</v>
      </c>
      <c r="W3988" s="46" t="str">
        <f t="shared" si="1687"/>
        <v/>
      </c>
      <c r="X3988" s="46" t="str">
        <f t="shared" si="1687"/>
        <v/>
      </c>
    </row>
    <row r="3989" spans="2:26" x14ac:dyDescent="0.25">
      <c r="B3989" s="11" t="str">
        <f>CONCATENATE("MJST","-",LEFT(P3989,2),UPPER(MID(P3989,4,3)),RIGHT(P3989,4))</f>
        <v>MJST-22NOV1927</v>
      </c>
      <c r="C3989" s="11" t="s">
        <v>152</v>
      </c>
      <c r="D3989" s="11" t="s">
        <v>2224</v>
      </c>
      <c r="E3989" s="39" t="s">
        <v>4962</v>
      </c>
      <c r="F3989" s="11" t="s">
        <v>1700</v>
      </c>
      <c r="G3989" s="39" t="s">
        <v>4963</v>
      </c>
      <c r="H3989" s="7">
        <v>0</v>
      </c>
      <c r="I3989" s="7">
        <v>2</v>
      </c>
      <c r="J3989" s="17">
        <v>10</v>
      </c>
      <c r="K3989" s="17"/>
      <c r="L3989" s="7">
        <f>SUM(H3989:K3989)</f>
        <v>12</v>
      </c>
      <c r="M3989" s="8">
        <v>1</v>
      </c>
      <c r="N3989" s="8">
        <f>IF(L3989&gt;0,1,"")</f>
        <v>1</v>
      </c>
      <c r="O3989" s="11" t="s">
        <v>1702</v>
      </c>
      <c r="P3989" s="16" t="str">
        <f>IF(LEN(G3989)=10,CONCATENATE("0",G3989),G3989)</f>
        <v>22-Nov-1927</v>
      </c>
      <c r="R3989" s="16" t="str">
        <f>IF($L3989&gt;0,"x","")</f>
        <v>x</v>
      </c>
      <c r="S3989" s="16" t="str">
        <f>IF($L3989&gt;0,"x","")</f>
        <v>x</v>
      </c>
      <c r="U3989" s="46" t="str">
        <f t="shared" si="1687"/>
        <v/>
      </c>
      <c r="V3989" s="46">
        <f t="shared" si="1687"/>
        <v>12</v>
      </c>
      <c r="W3989" s="46" t="str">
        <f t="shared" si="1687"/>
        <v/>
      </c>
      <c r="X3989" s="46" t="str">
        <f t="shared" si="1687"/>
        <v/>
      </c>
    </row>
    <row r="3990" spans="2:26" x14ac:dyDescent="0.25">
      <c r="B3990" s="11" t="str">
        <f>CONCATENATE("MJST","-",LEFT(P3990,2),UPPER(MID(P3990,4,3)),RIGHT(P3990,4))</f>
        <v>MJST-10JAN1928</v>
      </c>
      <c r="C3990" s="11" t="s">
        <v>152</v>
      </c>
      <c r="D3990" s="11" t="s">
        <v>2224</v>
      </c>
      <c r="E3990" s="39" t="s">
        <v>11132</v>
      </c>
      <c r="F3990" s="11" t="s">
        <v>1700</v>
      </c>
      <c r="G3990" s="39" t="s">
        <v>6335</v>
      </c>
      <c r="H3990" s="7">
        <v>0</v>
      </c>
      <c r="I3990" s="7">
        <f>4+1</f>
        <v>5</v>
      </c>
      <c r="J3990" s="17">
        <f>8+3</f>
        <v>11</v>
      </c>
      <c r="K3990" s="17"/>
      <c r="L3990" s="7">
        <f>SUM(H3990:K3990)</f>
        <v>16</v>
      </c>
      <c r="M3990" s="8">
        <v>1</v>
      </c>
      <c r="N3990" s="8">
        <f>IF(L3990&gt;0,1,"")</f>
        <v>1</v>
      </c>
      <c r="O3990" s="11" t="s">
        <v>1702</v>
      </c>
      <c r="P3990" s="16" t="str">
        <f>IF(LEN(G3990)=10,CONCATENATE("0",G3990),G3990)</f>
        <v>10-Jan-1928</v>
      </c>
      <c r="R3990" s="16" t="str">
        <f>IF($L3990&gt;0,"x","")</f>
        <v>x</v>
      </c>
      <c r="S3990" s="16" t="str">
        <f>IF($L3990&gt;0,"x","")</f>
        <v>x</v>
      </c>
      <c r="U3990" s="46" t="str">
        <f t="shared" si="1687"/>
        <v/>
      </c>
      <c r="V3990" s="46">
        <f t="shared" si="1687"/>
        <v>16</v>
      </c>
      <c r="W3990" s="46" t="str">
        <f t="shared" si="1687"/>
        <v/>
      </c>
      <c r="X3990" s="46" t="str">
        <f t="shared" si="1687"/>
        <v/>
      </c>
    </row>
    <row r="3991" spans="2:26" x14ac:dyDescent="0.25">
      <c r="B3991" s="11" t="str">
        <f>CONCATENATE("MJST","-",LEFT(P3991,2),UPPER(MID(P3991,4,3)),RIGHT(P3991,4))</f>
        <v>MJST-10JUL1928</v>
      </c>
      <c r="C3991" s="11" t="s">
        <v>152</v>
      </c>
      <c r="D3991" s="11" t="s">
        <v>2224</v>
      </c>
      <c r="E3991" s="39" t="s">
        <v>4818</v>
      </c>
      <c r="F3991" s="11" t="s">
        <v>1700</v>
      </c>
      <c r="G3991" s="39" t="s">
        <v>4819</v>
      </c>
      <c r="H3991" s="7">
        <v>0</v>
      </c>
      <c r="I3991" s="7">
        <v>5</v>
      </c>
      <c r="J3991" s="17">
        <v>4</v>
      </c>
      <c r="K3991" s="17"/>
      <c r="L3991" s="7">
        <f>SUM(H3991:K3991)</f>
        <v>9</v>
      </c>
      <c r="M3991" s="8">
        <v>1</v>
      </c>
      <c r="N3991" s="8">
        <f>IF(L3991&gt;0,1,"")</f>
        <v>1</v>
      </c>
      <c r="O3991" s="11" t="s">
        <v>1702</v>
      </c>
      <c r="P3991" s="16" t="str">
        <f>IF(LEN(G3991)=10,CONCATENATE("0",G3991),G3991)</f>
        <v>10-Jul-1928</v>
      </c>
      <c r="R3991" s="16" t="str">
        <f t="shared" si="1681"/>
        <v>x</v>
      </c>
      <c r="S3991" s="16" t="str">
        <f t="shared" si="1681"/>
        <v>x</v>
      </c>
      <c r="U3991" s="46" t="str">
        <f t="shared" si="1687"/>
        <v/>
      </c>
      <c r="V3991" s="46">
        <f t="shared" si="1687"/>
        <v>9</v>
      </c>
      <c r="W3991" s="46" t="str">
        <f t="shared" si="1687"/>
        <v/>
      </c>
      <c r="X3991" s="46" t="str">
        <f t="shared" si="1687"/>
        <v/>
      </c>
    </row>
    <row r="3992" spans="2:26" x14ac:dyDescent="0.25">
      <c r="B3992" s="11" t="str">
        <f t="shared" si="1683"/>
        <v>MJST-31JUL1928</v>
      </c>
      <c r="C3992" s="11" t="s">
        <v>152</v>
      </c>
      <c r="D3992" s="11" t="s">
        <v>2224</v>
      </c>
      <c r="E3992" s="39" t="s">
        <v>5280</v>
      </c>
      <c r="F3992" s="11" t="s">
        <v>1700</v>
      </c>
      <c r="G3992" s="39" t="s">
        <v>5281</v>
      </c>
      <c r="H3992" s="7">
        <v>0</v>
      </c>
      <c r="I3992" s="7">
        <v>1</v>
      </c>
      <c r="J3992" s="17">
        <f>4+1</f>
        <v>5</v>
      </c>
      <c r="K3992" s="17"/>
      <c r="L3992" s="7">
        <f t="shared" si="1684"/>
        <v>6</v>
      </c>
      <c r="M3992" s="8">
        <v>1</v>
      </c>
      <c r="N3992" s="8">
        <f t="shared" si="1685"/>
        <v>1</v>
      </c>
      <c r="O3992" s="11" t="s">
        <v>1702</v>
      </c>
      <c r="P3992" s="16" t="str">
        <f t="shared" si="1686"/>
        <v>31-Jul-1928</v>
      </c>
      <c r="R3992" s="16" t="str">
        <f>IF($L3992&gt;0,"x","")</f>
        <v>x</v>
      </c>
      <c r="S3992" s="16" t="str">
        <f>IF($L3992&gt;0,"x","")</f>
        <v>x</v>
      </c>
      <c r="U3992" s="46" t="str">
        <f t="shared" si="1687"/>
        <v/>
      </c>
      <c r="V3992" s="46">
        <f t="shared" si="1687"/>
        <v>6</v>
      </c>
      <c r="W3992" s="46" t="str">
        <f t="shared" si="1687"/>
        <v/>
      </c>
      <c r="X3992" s="46" t="str">
        <f t="shared" si="1687"/>
        <v/>
      </c>
    </row>
    <row r="3993" spans="2:26" x14ac:dyDescent="0.25">
      <c r="B3993" s="11" t="str">
        <f t="shared" ref="B3993:B3998" si="1688">CONCATENATE("MJST","-",LEFT(P3993,2),UPPER(MID(P3993,4,3)),RIGHT(P3993,4))</f>
        <v>MJST-21AUG1928</v>
      </c>
      <c r="C3993" s="11" t="s">
        <v>152</v>
      </c>
      <c r="D3993" s="11" t="s">
        <v>2224</v>
      </c>
      <c r="E3993" s="39" t="s">
        <v>6167</v>
      </c>
      <c r="F3993" s="11" t="s">
        <v>1700</v>
      </c>
      <c r="G3993" s="39" t="s">
        <v>6168</v>
      </c>
      <c r="H3993" s="7">
        <v>2</v>
      </c>
      <c r="I3993" s="7">
        <v>3</v>
      </c>
      <c r="J3993" s="17">
        <f>10+1</f>
        <v>11</v>
      </c>
      <c r="K3993" s="17"/>
      <c r="L3993" s="7">
        <f t="shared" ref="L3993:L3998" si="1689">SUM(H3993:K3993)</f>
        <v>16</v>
      </c>
      <c r="M3993" s="8">
        <v>1</v>
      </c>
      <c r="N3993" s="8">
        <f t="shared" ref="N3993:N3998" si="1690">IF(L3993&gt;0,1,"")</f>
        <v>1</v>
      </c>
      <c r="O3993" s="11" t="s">
        <v>1702</v>
      </c>
      <c r="P3993" s="16" t="str">
        <f t="shared" ref="P3993:P3998" si="1691">IF(LEN(G3993)=10,CONCATENATE("0",G3993),G3993)</f>
        <v>21-Aug-1928</v>
      </c>
      <c r="R3993" s="16" t="str">
        <f t="shared" ref="R3993:S3998" si="1692">IF($L3993&gt;0,"x","")</f>
        <v>x</v>
      </c>
      <c r="S3993" s="16" t="str">
        <f t="shared" si="1692"/>
        <v>x</v>
      </c>
      <c r="U3993" s="46" t="str">
        <f t="shared" si="1687"/>
        <v/>
      </c>
      <c r="V3993" s="46">
        <f t="shared" si="1687"/>
        <v>16</v>
      </c>
      <c r="W3993" s="46" t="str">
        <f t="shared" si="1687"/>
        <v/>
      </c>
      <c r="X3993" s="46" t="str">
        <f t="shared" si="1687"/>
        <v/>
      </c>
    </row>
    <row r="3994" spans="2:26" x14ac:dyDescent="0.25">
      <c r="B3994" s="11" t="str">
        <f t="shared" si="1688"/>
        <v>MJST-25DEC1928</v>
      </c>
      <c r="C3994" s="11" t="s">
        <v>152</v>
      </c>
      <c r="D3994" s="11" t="s">
        <v>2224</v>
      </c>
      <c r="E3994" s="39" t="s">
        <v>11171</v>
      </c>
      <c r="F3994" s="11" t="s">
        <v>1700</v>
      </c>
      <c r="G3994" s="39" t="s">
        <v>11172</v>
      </c>
      <c r="H3994" s="7">
        <v>0</v>
      </c>
      <c r="I3994" s="7">
        <f>0+1</f>
        <v>1</v>
      </c>
      <c r="J3994" s="17">
        <v>5</v>
      </c>
      <c r="K3994" s="17"/>
      <c r="L3994" s="7">
        <f t="shared" si="1689"/>
        <v>6</v>
      </c>
      <c r="M3994" s="8">
        <v>1</v>
      </c>
      <c r="N3994" s="8">
        <f t="shared" si="1690"/>
        <v>1</v>
      </c>
      <c r="O3994" s="11" t="s">
        <v>1702</v>
      </c>
      <c r="P3994" s="16" t="str">
        <f t="shared" si="1691"/>
        <v>25-Dec-1928</v>
      </c>
      <c r="R3994" s="16" t="str">
        <f t="shared" si="1692"/>
        <v>x</v>
      </c>
      <c r="S3994" s="16" t="str">
        <f t="shared" si="1692"/>
        <v>x</v>
      </c>
      <c r="U3994" s="46" t="str">
        <f t="shared" si="1687"/>
        <v/>
      </c>
      <c r="V3994" s="46">
        <f t="shared" si="1687"/>
        <v>6</v>
      </c>
      <c r="W3994" s="46" t="str">
        <f t="shared" si="1687"/>
        <v/>
      </c>
      <c r="X3994" s="46" t="str">
        <f t="shared" si="1687"/>
        <v/>
      </c>
    </row>
    <row r="3995" spans="2:26" x14ac:dyDescent="0.25">
      <c r="B3995" s="11" t="str">
        <f t="shared" si="1688"/>
        <v>MJST-22OCT1929</v>
      </c>
      <c r="C3995" s="11" t="s">
        <v>152</v>
      </c>
      <c r="D3995" s="11" t="s">
        <v>2224</v>
      </c>
      <c r="E3995" s="39" t="s">
        <v>6252</v>
      </c>
      <c r="F3995" s="11" t="s">
        <v>1700</v>
      </c>
      <c r="G3995" s="39" t="s">
        <v>6253</v>
      </c>
      <c r="H3995" s="7">
        <v>0</v>
      </c>
      <c r="I3995" s="7">
        <v>5</v>
      </c>
      <c r="J3995" s="17">
        <f>11+4</f>
        <v>15</v>
      </c>
      <c r="K3995" s="17"/>
      <c r="L3995" s="7">
        <f t="shared" si="1689"/>
        <v>20</v>
      </c>
      <c r="M3995" s="8">
        <v>1</v>
      </c>
      <c r="N3995" s="8">
        <f t="shared" si="1690"/>
        <v>1</v>
      </c>
      <c r="O3995" s="11" t="s">
        <v>1702</v>
      </c>
      <c r="P3995" s="16" t="str">
        <f t="shared" si="1691"/>
        <v>22-Oct-1929</v>
      </c>
      <c r="R3995" s="16" t="str">
        <f t="shared" si="1692"/>
        <v>x</v>
      </c>
      <c r="S3995" s="16" t="str">
        <f t="shared" si="1692"/>
        <v>x</v>
      </c>
      <c r="U3995" s="46" t="str">
        <f t="shared" si="1687"/>
        <v/>
      </c>
      <c r="V3995" s="46">
        <f t="shared" si="1687"/>
        <v>20</v>
      </c>
      <c r="W3995" s="46" t="str">
        <f t="shared" si="1687"/>
        <v/>
      </c>
      <c r="X3995" s="46" t="str">
        <f t="shared" si="1687"/>
        <v/>
      </c>
    </row>
    <row r="3996" spans="2:26" x14ac:dyDescent="0.25">
      <c r="B3996" s="11" t="str">
        <f t="shared" si="1688"/>
        <v>MJST-26AUG1930</v>
      </c>
      <c r="C3996" s="11" t="s">
        <v>152</v>
      </c>
      <c r="D3996" s="11" t="s">
        <v>2224</v>
      </c>
      <c r="E3996" s="39" t="s">
        <v>6246</v>
      </c>
      <c r="F3996" s="11" t="s">
        <v>1700</v>
      </c>
      <c r="G3996" s="39" t="s">
        <v>6247</v>
      </c>
      <c r="H3996" s="7">
        <v>0</v>
      </c>
      <c r="I3996" s="7">
        <v>0</v>
      </c>
      <c r="J3996" s="17">
        <f>4+1</f>
        <v>5</v>
      </c>
      <c r="K3996" s="17"/>
      <c r="L3996" s="7">
        <f t="shared" si="1689"/>
        <v>5</v>
      </c>
      <c r="M3996" s="8">
        <v>1</v>
      </c>
      <c r="N3996" s="8">
        <f t="shared" si="1690"/>
        <v>1</v>
      </c>
      <c r="O3996" s="11" t="s">
        <v>1702</v>
      </c>
      <c r="P3996" s="16" t="str">
        <f t="shared" si="1691"/>
        <v>26-Aug-1930</v>
      </c>
      <c r="R3996" s="16" t="str">
        <f t="shared" si="1692"/>
        <v>x</v>
      </c>
      <c r="S3996" s="16" t="str">
        <f t="shared" si="1692"/>
        <v>x</v>
      </c>
      <c r="U3996" s="46" t="str">
        <f t="shared" si="1687"/>
        <v/>
      </c>
      <c r="V3996" s="46">
        <f t="shared" si="1687"/>
        <v>5</v>
      </c>
      <c r="W3996" s="46" t="str">
        <f t="shared" si="1687"/>
        <v/>
      </c>
      <c r="X3996" s="46" t="str">
        <f t="shared" si="1687"/>
        <v/>
      </c>
    </row>
    <row r="3997" spans="2:26" x14ac:dyDescent="0.25">
      <c r="B3997" s="11" t="str">
        <f t="shared" si="1688"/>
        <v>MJST-21OCT1931</v>
      </c>
      <c r="C3997" s="11" t="s">
        <v>152</v>
      </c>
      <c r="D3997" s="11" t="s">
        <v>2224</v>
      </c>
      <c r="E3997" s="39" t="s">
        <v>5629</v>
      </c>
      <c r="F3997" s="11" t="s">
        <v>1700</v>
      </c>
      <c r="G3997" s="39" t="s">
        <v>11209</v>
      </c>
      <c r="H3997" s="7">
        <f>2+1</f>
        <v>3</v>
      </c>
      <c r="J3997" s="17">
        <v>2</v>
      </c>
      <c r="K3997" s="17"/>
      <c r="L3997" s="7">
        <f t="shared" si="1689"/>
        <v>5</v>
      </c>
      <c r="M3997" s="8">
        <v>1</v>
      </c>
      <c r="N3997" s="8">
        <f t="shared" si="1690"/>
        <v>1</v>
      </c>
      <c r="O3997" s="11" t="s">
        <v>1702</v>
      </c>
      <c r="P3997" s="16" t="str">
        <f t="shared" si="1691"/>
        <v>21-Oct-1931</v>
      </c>
      <c r="R3997" s="16" t="str">
        <f t="shared" si="1692"/>
        <v>x</v>
      </c>
      <c r="S3997" s="16" t="str">
        <f t="shared" si="1692"/>
        <v>x</v>
      </c>
      <c r="U3997" s="46" t="str">
        <f t="shared" si="1687"/>
        <v/>
      </c>
      <c r="V3997" s="46">
        <f t="shared" si="1687"/>
        <v>5</v>
      </c>
      <c r="W3997" s="46" t="str">
        <f t="shared" si="1687"/>
        <v/>
      </c>
      <c r="X3997" s="46" t="str">
        <f t="shared" si="1687"/>
        <v/>
      </c>
    </row>
    <row r="3998" spans="2:26" x14ac:dyDescent="0.25">
      <c r="B3998" s="11" t="str">
        <f t="shared" si="1688"/>
        <v>MJST-24OCT1933</v>
      </c>
      <c r="C3998" s="11" t="s">
        <v>152</v>
      </c>
      <c r="D3998" s="11" t="s">
        <v>2224</v>
      </c>
      <c r="E3998" s="39" t="s">
        <v>11434</v>
      </c>
      <c r="F3998" s="11" t="s">
        <v>1700</v>
      </c>
      <c r="G3998" s="39" t="s">
        <v>11435</v>
      </c>
      <c r="H3998" s="7">
        <v>0</v>
      </c>
      <c r="J3998" s="17">
        <v>1</v>
      </c>
      <c r="K3998" s="17"/>
      <c r="L3998" s="7">
        <f t="shared" si="1689"/>
        <v>1</v>
      </c>
      <c r="M3998" s="8">
        <v>1</v>
      </c>
      <c r="N3998" s="8">
        <f t="shared" si="1690"/>
        <v>1</v>
      </c>
      <c r="O3998" s="11" t="s">
        <v>1702</v>
      </c>
      <c r="P3998" s="16" t="str">
        <f t="shared" si="1691"/>
        <v>24-Oct-1933</v>
      </c>
      <c r="R3998" s="16" t="str">
        <f t="shared" si="1692"/>
        <v>x</v>
      </c>
      <c r="S3998" s="16" t="str">
        <f t="shared" si="1692"/>
        <v>x</v>
      </c>
      <c r="U3998" s="46" t="str">
        <f t="shared" si="1687"/>
        <v/>
      </c>
      <c r="V3998" s="46">
        <f t="shared" si="1687"/>
        <v>1</v>
      </c>
      <c r="W3998" s="46" t="str">
        <f t="shared" si="1687"/>
        <v/>
      </c>
      <c r="X3998" s="46" t="str">
        <f t="shared" si="1687"/>
        <v/>
      </c>
    </row>
    <row r="3999" spans="2:26" x14ac:dyDescent="0.25">
      <c r="N3999" s="8" t="str">
        <f>IF(R3999="x",1,"")</f>
        <v/>
      </c>
      <c r="U3999" s="46" t="str">
        <f t="shared" ref="U3999:X4000" si="1693">IF($O3999=U$5,$L3999,"")</f>
        <v/>
      </c>
      <c r="V3999" s="46" t="str">
        <f t="shared" si="1693"/>
        <v/>
      </c>
      <c r="W3999" s="46" t="str">
        <f t="shared" si="1693"/>
        <v/>
      </c>
      <c r="X3999" s="46" t="str">
        <f t="shared" si="1693"/>
        <v/>
      </c>
    </row>
    <row r="4000" spans="2:26" s="18" customFormat="1" x14ac:dyDescent="0.25">
      <c r="E4000" s="40"/>
      <c r="G4000" s="40"/>
      <c r="H4000" s="7">
        <f t="shared" ref="H4000:N4000" si="1694">SUM(H3951:H3999)</f>
        <v>13</v>
      </c>
      <c r="I4000" s="7">
        <f t="shared" si="1694"/>
        <v>69</v>
      </c>
      <c r="J4000" s="7">
        <f>SUM(J3951:J3999)</f>
        <v>467</v>
      </c>
      <c r="K4000" s="7">
        <f t="shared" si="1694"/>
        <v>0</v>
      </c>
      <c r="L4000" s="7">
        <f t="shared" si="1694"/>
        <v>549</v>
      </c>
      <c r="M4000" s="7">
        <f t="shared" si="1694"/>
        <v>48</v>
      </c>
      <c r="N4000" s="7">
        <f t="shared" si="1694"/>
        <v>47</v>
      </c>
      <c r="P4000" s="13"/>
      <c r="Q4000" s="13"/>
      <c r="R4000" s="16"/>
      <c r="S4000" s="13"/>
      <c r="T4000" s="15"/>
      <c r="U4000" s="46" t="str">
        <f t="shared" si="1693"/>
        <v/>
      </c>
      <c r="V4000" s="46" t="str">
        <f t="shared" si="1693"/>
        <v/>
      </c>
      <c r="W4000" s="46" t="str">
        <f t="shared" si="1693"/>
        <v/>
      </c>
      <c r="X4000" s="46" t="str">
        <f t="shared" si="1693"/>
        <v/>
      </c>
      <c r="Z4000" s="11"/>
    </row>
    <row r="4001" spans="2:26" s="18" customFormat="1" x14ac:dyDescent="0.25">
      <c r="E4001" s="40"/>
      <c r="G4001" s="40"/>
      <c r="H4001" s="7"/>
      <c r="I4001" s="7"/>
      <c r="J4001" s="7"/>
      <c r="K4001" s="7"/>
      <c r="L4001" s="7"/>
      <c r="M4001" s="8"/>
      <c r="N4001" s="8" t="str">
        <f>IF(R4001="x",1,"")</f>
        <v/>
      </c>
      <c r="P4001" s="13"/>
      <c r="Q4001" s="13"/>
      <c r="R4001" s="13"/>
      <c r="S4001" s="13"/>
      <c r="T4001" s="15"/>
      <c r="U4001" s="46" t="str">
        <f t="shared" ref="U4001:X4005" si="1695">IF($O4001=U$5,$L4001,"")</f>
        <v/>
      </c>
      <c r="V4001" s="46" t="str">
        <f t="shared" si="1695"/>
        <v/>
      </c>
      <c r="W4001" s="46" t="str">
        <f t="shared" si="1695"/>
        <v/>
      </c>
      <c r="X4001" s="46" t="str">
        <f t="shared" si="1695"/>
        <v/>
      </c>
      <c r="Z4001" s="11"/>
    </row>
    <row r="4002" spans="2:26" s="18" customFormat="1" x14ac:dyDescent="0.25">
      <c r="E4002" s="40"/>
      <c r="G4002" s="40"/>
      <c r="H4002" s="7"/>
      <c r="I4002" s="7"/>
      <c r="J4002" s="7"/>
      <c r="K4002" s="7"/>
      <c r="L4002" s="7"/>
      <c r="M4002" s="8"/>
      <c r="N4002" s="8" t="str">
        <f>IF(R4002="x",1,"")</f>
        <v/>
      </c>
      <c r="P4002" s="13"/>
      <c r="Q4002" s="13"/>
      <c r="R4002" s="13"/>
      <c r="S4002" s="13"/>
      <c r="T4002" s="15"/>
      <c r="U4002" s="46" t="str">
        <f t="shared" si="1695"/>
        <v/>
      </c>
      <c r="V4002" s="46" t="str">
        <f t="shared" si="1695"/>
        <v/>
      </c>
      <c r="W4002" s="46" t="str">
        <f t="shared" si="1695"/>
        <v/>
      </c>
      <c r="X4002" s="46" t="str">
        <f t="shared" si="1695"/>
        <v/>
      </c>
      <c r="Z4002" s="11"/>
    </row>
    <row r="4003" spans="2:26" x14ac:dyDescent="0.25">
      <c r="B4003" s="11" t="str">
        <f>CONCATENATE("MCTR","-",LEFT(P4003,2),UPPER(MID(P4003,4,3)),RIGHT(P4003,4))</f>
        <v>MCTR-18APR1906</v>
      </c>
      <c r="C4003" s="11" t="s">
        <v>11149</v>
      </c>
      <c r="F4003" s="11" t="s">
        <v>2904</v>
      </c>
      <c r="G4003" s="39" t="s">
        <v>806</v>
      </c>
      <c r="J4003" s="17">
        <v>1</v>
      </c>
      <c r="K4003" s="17"/>
      <c r="L4003" s="7">
        <f>SUM(H4003:K4003)</f>
        <v>1</v>
      </c>
      <c r="M4003" s="8">
        <v>1</v>
      </c>
      <c r="N4003" s="8">
        <f>IF(L4003&gt;0,1,"")</f>
        <v>1</v>
      </c>
      <c r="O4003" s="11" t="s">
        <v>1702</v>
      </c>
      <c r="P4003" s="16" t="str">
        <f>IF(LEN(G4003)=10,CONCATENATE("0",G4003),G4003)</f>
        <v>18-Apr-1906</v>
      </c>
      <c r="R4003" s="16" t="str">
        <f>IF($L4003&gt;0,"x","")</f>
        <v>x</v>
      </c>
      <c r="S4003" s="16" t="str">
        <f>IF($L4003&gt;0,"x","")</f>
        <v>x</v>
      </c>
      <c r="U4003" s="46" t="str">
        <f t="shared" si="1695"/>
        <v/>
      </c>
      <c r="V4003" s="46">
        <f t="shared" si="1695"/>
        <v>1</v>
      </c>
      <c r="W4003" s="46" t="str">
        <f t="shared" si="1695"/>
        <v/>
      </c>
      <c r="X4003" s="46" t="str">
        <f t="shared" si="1695"/>
        <v/>
      </c>
    </row>
    <row r="4004" spans="2:26" x14ac:dyDescent="0.25">
      <c r="N4004" s="8" t="str">
        <f>IF(R4004="x",1,"")</f>
        <v/>
      </c>
      <c r="U4004" s="46" t="str">
        <f t="shared" si="1695"/>
        <v/>
      </c>
      <c r="V4004" s="46" t="str">
        <f t="shared" si="1695"/>
        <v/>
      </c>
      <c r="W4004" s="46" t="str">
        <f t="shared" si="1695"/>
        <v/>
      </c>
      <c r="X4004" s="46" t="str">
        <f t="shared" si="1695"/>
        <v/>
      </c>
    </row>
    <row r="4005" spans="2:26" s="18" customFormat="1" x14ac:dyDescent="0.25">
      <c r="E4005" s="40"/>
      <c r="G4005" s="40"/>
      <c r="H4005" s="7">
        <f t="shared" ref="H4005:N4005" si="1696">SUM(H4003:H4004)</f>
        <v>0</v>
      </c>
      <c r="I4005" s="7">
        <f t="shared" si="1696"/>
        <v>0</v>
      </c>
      <c r="J4005" s="7">
        <f>SUM(J4003:J4004)</f>
        <v>1</v>
      </c>
      <c r="K4005" s="7">
        <f t="shared" si="1696"/>
        <v>0</v>
      </c>
      <c r="L4005" s="7">
        <f t="shared" si="1696"/>
        <v>1</v>
      </c>
      <c r="M4005" s="7">
        <f t="shared" si="1696"/>
        <v>1</v>
      </c>
      <c r="N4005" s="7">
        <f t="shared" si="1696"/>
        <v>1</v>
      </c>
      <c r="P4005" s="13"/>
      <c r="Q4005" s="13"/>
      <c r="R4005" s="16"/>
      <c r="S4005" s="13"/>
      <c r="T4005" s="15"/>
      <c r="U4005" s="46" t="str">
        <f t="shared" si="1695"/>
        <v/>
      </c>
      <c r="V4005" s="46" t="str">
        <f t="shared" si="1695"/>
        <v/>
      </c>
      <c r="W4005" s="46" t="str">
        <f t="shared" si="1695"/>
        <v/>
      </c>
      <c r="X4005" s="46" t="str">
        <f t="shared" si="1695"/>
        <v/>
      </c>
      <c r="Z4005" s="11"/>
    </row>
    <row r="4006" spans="2:26" s="18" customFormat="1" x14ac:dyDescent="0.25">
      <c r="E4006" s="40"/>
      <c r="G4006" s="40"/>
      <c r="H4006" s="7"/>
      <c r="I4006" s="7"/>
      <c r="J4006" s="7"/>
      <c r="K4006" s="7"/>
      <c r="L4006" s="7"/>
      <c r="M4006" s="8"/>
      <c r="N4006" s="8" t="str">
        <f>IF(R4006="x",1,"")</f>
        <v/>
      </c>
      <c r="P4006" s="13"/>
      <c r="Q4006" s="13"/>
      <c r="R4006" s="13"/>
      <c r="S4006" s="13"/>
      <c r="T4006" s="15"/>
      <c r="U4006" s="46" t="str">
        <f t="shared" ref="U4006:X4011" si="1697">IF($O4006=U$5,$L4006,"")</f>
        <v/>
      </c>
      <c r="V4006" s="46" t="str">
        <f t="shared" si="1697"/>
        <v/>
      </c>
      <c r="W4006" s="46" t="str">
        <f t="shared" si="1697"/>
        <v/>
      </c>
      <c r="X4006" s="46" t="str">
        <f t="shared" si="1697"/>
        <v/>
      </c>
      <c r="Z4006" s="11"/>
    </row>
    <row r="4007" spans="2:26" s="18" customFormat="1" x14ac:dyDescent="0.25">
      <c r="E4007" s="40"/>
      <c r="G4007" s="40"/>
      <c r="H4007" s="7"/>
      <c r="I4007" s="7"/>
      <c r="J4007" s="7"/>
      <c r="K4007" s="7"/>
      <c r="L4007" s="7"/>
      <c r="M4007" s="8"/>
      <c r="N4007" s="8" t="str">
        <f>IF(R4007="x",1,"")</f>
        <v/>
      </c>
      <c r="P4007" s="13"/>
      <c r="Q4007" s="13"/>
      <c r="R4007" s="13"/>
      <c r="S4007" s="13"/>
      <c r="T4007" s="15"/>
      <c r="U4007" s="46" t="str">
        <f t="shared" si="1697"/>
        <v/>
      </c>
      <c r="V4007" s="46" t="str">
        <f t="shared" si="1697"/>
        <v/>
      </c>
      <c r="W4007" s="46" t="str">
        <f t="shared" si="1697"/>
        <v/>
      </c>
      <c r="X4007" s="46" t="str">
        <f t="shared" si="1697"/>
        <v/>
      </c>
      <c r="Z4007" s="11"/>
    </row>
    <row r="4008" spans="2:26" x14ac:dyDescent="0.25">
      <c r="B4008" s="11" t="str">
        <f>CONCATENATE("MANH","-",LEFT(P4008,2),UPPER(MID(P4008,4,3)),RIGHT(P4008,4))</f>
        <v>MANH-16FEB1933</v>
      </c>
      <c r="C4008" s="11" t="s">
        <v>5632</v>
      </c>
      <c r="D4008" s="11" t="s">
        <v>1699</v>
      </c>
      <c r="E4008" s="39" t="s">
        <v>5633</v>
      </c>
      <c r="F4008" s="11" t="s">
        <v>1700</v>
      </c>
      <c r="G4008" s="39" t="s">
        <v>5634</v>
      </c>
      <c r="H4008" s="7">
        <v>1</v>
      </c>
      <c r="J4008" s="17">
        <f>4+2</f>
        <v>6</v>
      </c>
      <c r="K4008" s="17"/>
      <c r="L4008" s="7">
        <f>SUM(H4008:K4008)</f>
        <v>7</v>
      </c>
      <c r="M4008" s="8">
        <v>1</v>
      </c>
      <c r="N4008" s="8">
        <f>IF(L4008&gt;0,1,"")</f>
        <v>1</v>
      </c>
      <c r="O4008" s="11" t="s">
        <v>1702</v>
      </c>
      <c r="P4008" s="16" t="str">
        <f>IF(LEN(G4008)=10,CONCATENATE("0",G4008),G4008)</f>
        <v>16-Feb-1933</v>
      </c>
      <c r="R4008" s="16" t="str">
        <f>IF($L4008&gt;0,"x","")</f>
        <v>x</v>
      </c>
      <c r="S4008" s="16" t="str">
        <f>IF($L4008&gt;0,"x","")</f>
        <v>x</v>
      </c>
      <c r="U4008" s="46" t="str">
        <f t="shared" si="1697"/>
        <v/>
      </c>
      <c r="V4008" s="46">
        <f t="shared" si="1697"/>
        <v>7</v>
      </c>
      <c r="W4008" s="46" t="str">
        <f t="shared" si="1697"/>
        <v/>
      </c>
      <c r="X4008" s="46" t="str">
        <f t="shared" si="1697"/>
        <v/>
      </c>
    </row>
    <row r="4009" spans="2:26" x14ac:dyDescent="0.25">
      <c r="B4009" s="11" t="str">
        <f>CONCATENATE("MANH","-",LEFT(P4009,2),UPPER(MID(P4009,4,3)),RIGHT(P4009,4))</f>
        <v>MANH-13JUL1933</v>
      </c>
      <c r="C4009" s="11" t="s">
        <v>5632</v>
      </c>
      <c r="D4009" s="11" t="s">
        <v>1699</v>
      </c>
      <c r="E4009" s="39" t="s">
        <v>5838</v>
      </c>
      <c r="F4009" s="11" t="s">
        <v>1700</v>
      </c>
      <c r="G4009" s="39" t="s">
        <v>5839</v>
      </c>
      <c r="H4009" s="7">
        <v>0</v>
      </c>
      <c r="J4009" s="17">
        <f>3+2</f>
        <v>5</v>
      </c>
      <c r="K4009" s="17"/>
      <c r="L4009" s="7">
        <f>SUM(H4009:K4009)</f>
        <v>5</v>
      </c>
      <c r="M4009" s="8">
        <v>1</v>
      </c>
      <c r="N4009" s="8">
        <f>IF(L4009&gt;0,1,"")</f>
        <v>1</v>
      </c>
      <c r="O4009" s="11" t="s">
        <v>1702</v>
      </c>
      <c r="P4009" s="16" t="str">
        <f>IF(LEN(G4009)=10,CONCATENATE("0",G4009),G4009)</f>
        <v>13-Jul-1933</v>
      </c>
      <c r="R4009" s="16" t="str">
        <f>IF($L4009&gt;0,"x","")</f>
        <v>x</v>
      </c>
      <c r="S4009" s="16" t="str">
        <f>IF($L4009&gt;0,"x","")</f>
        <v>x</v>
      </c>
      <c r="U4009" s="46" t="str">
        <f t="shared" si="1697"/>
        <v/>
      </c>
      <c r="V4009" s="46">
        <f t="shared" si="1697"/>
        <v>5</v>
      </c>
      <c r="W4009" s="46" t="str">
        <f t="shared" si="1697"/>
        <v/>
      </c>
      <c r="X4009" s="46" t="str">
        <f t="shared" si="1697"/>
        <v/>
      </c>
    </row>
    <row r="4010" spans="2:26" x14ac:dyDescent="0.25">
      <c r="N4010" s="8" t="str">
        <f>IF(R4010="x",1,"")</f>
        <v/>
      </c>
      <c r="U4010" s="46" t="str">
        <f t="shared" si="1697"/>
        <v/>
      </c>
      <c r="V4010" s="46" t="str">
        <f t="shared" si="1697"/>
        <v/>
      </c>
      <c r="W4010" s="46" t="str">
        <f t="shared" si="1697"/>
        <v/>
      </c>
      <c r="X4010" s="46" t="str">
        <f t="shared" si="1697"/>
        <v/>
      </c>
    </row>
    <row r="4011" spans="2:26" s="18" customFormat="1" x14ac:dyDescent="0.25">
      <c r="E4011" s="40"/>
      <c r="G4011" s="40"/>
      <c r="H4011" s="7">
        <f t="shared" ref="H4011:N4011" si="1698">SUM(H4008:H4010)</f>
        <v>1</v>
      </c>
      <c r="I4011" s="7">
        <f t="shared" si="1698"/>
        <v>0</v>
      </c>
      <c r="J4011" s="7">
        <f>SUM(J4008:J4010)</f>
        <v>11</v>
      </c>
      <c r="K4011" s="7">
        <f t="shared" si="1698"/>
        <v>0</v>
      </c>
      <c r="L4011" s="7">
        <f t="shared" si="1698"/>
        <v>12</v>
      </c>
      <c r="M4011" s="7">
        <f t="shared" si="1698"/>
        <v>2</v>
      </c>
      <c r="N4011" s="7">
        <f t="shared" si="1698"/>
        <v>2</v>
      </c>
      <c r="P4011" s="13"/>
      <c r="Q4011" s="13"/>
      <c r="R4011" s="16"/>
      <c r="S4011" s="13"/>
      <c r="T4011" s="15"/>
      <c r="U4011" s="46" t="str">
        <f t="shared" si="1697"/>
        <v/>
      </c>
      <c r="V4011" s="46" t="str">
        <f t="shared" si="1697"/>
        <v/>
      </c>
      <c r="W4011" s="46" t="str">
        <f t="shared" si="1697"/>
        <v/>
      </c>
      <c r="X4011" s="46" t="str">
        <f t="shared" si="1697"/>
        <v/>
      </c>
      <c r="Z4011" s="11"/>
    </row>
    <row r="4012" spans="2:26" s="18" customFormat="1" x14ac:dyDescent="0.25">
      <c r="E4012" s="40"/>
      <c r="G4012" s="40"/>
      <c r="H4012" s="7"/>
      <c r="I4012" s="7"/>
      <c r="J4012" s="7"/>
      <c r="K4012" s="7"/>
      <c r="L4012" s="7"/>
      <c r="M4012" s="8"/>
      <c r="N4012" s="8" t="str">
        <f>IF(R4012="x",1,"")</f>
        <v/>
      </c>
      <c r="P4012" s="13"/>
      <c r="Q4012" s="13"/>
      <c r="R4012" s="13"/>
      <c r="S4012" s="13"/>
      <c r="T4012" s="15"/>
      <c r="U4012" s="46" t="str">
        <f t="shared" ref="U4012:X4023" si="1699">IF($O4012=U$5,$L4012,"")</f>
        <v/>
      </c>
      <c r="V4012" s="46" t="str">
        <f t="shared" si="1699"/>
        <v/>
      </c>
      <c r="W4012" s="46" t="str">
        <f t="shared" si="1699"/>
        <v/>
      </c>
      <c r="X4012" s="46" t="str">
        <f t="shared" si="1699"/>
        <v/>
      </c>
      <c r="Z4012" s="11"/>
    </row>
    <row r="4013" spans="2:26" s="18" customFormat="1" x14ac:dyDescent="0.25">
      <c r="E4013" s="40"/>
      <c r="G4013" s="40"/>
      <c r="H4013" s="7"/>
      <c r="I4013" s="7"/>
      <c r="J4013" s="7"/>
      <c r="K4013" s="7"/>
      <c r="L4013" s="7"/>
      <c r="M4013" s="8"/>
      <c r="N4013" s="8" t="str">
        <f>IF(R4013="x",1,"")</f>
        <v/>
      </c>
      <c r="P4013" s="13"/>
      <c r="Q4013" s="13"/>
      <c r="R4013" s="13"/>
      <c r="S4013" s="13"/>
      <c r="T4013" s="15"/>
      <c r="U4013" s="46" t="str">
        <f t="shared" si="1699"/>
        <v/>
      </c>
      <c r="V4013" s="46" t="str">
        <f t="shared" si="1699"/>
        <v/>
      </c>
      <c r="W4013" s="46" t="str">
        <f t="shared" si="1699"/>
        <v/>
      </c>
      <c r="X4013" s="46" t="str">
        <f t="shared" si="1699"/>
        <v/>
      </c>
      <c r="Z4013" s="11"/>
    </row>
    <row r="4014" spans="2:26" x14ac:dyDescent="0.25">
      <c r="B4014" s="11" t="str">
        <f>CONCATENATE("MARB","-",LEFT(P4014,2),UPPER(MID(P4014,4,3)),RIGHT(P4014,4))</f>
        <v>MARB-25JAN1925</v>
      </c>
      <c r="C4014" s="11" t="s">
        <v>4648</v>
      </c>
      <c r="D4014" s="11" t="s">
        <v>2224</v>
      </c>
      <c r="E4014" s="39" t="s">
        <v>4649</v>
      </c>
      <c r="F4014" s="11" t="s">
        <v>211</v>
      </c>
      <c r="G4014" s="39" t="s">
        <v>4650</v>
      </c>
      <c r="I4014" s="7">
        <v>1</v>
      </c>
      <c r="J4014" s="17">
        <v>16</v>
      </c>
      <c r="K4014" s="17"/>
      <c r="L4014" s="7">
        <f>SUM(H4014:K4014)</f>
        <v>17</v>
      </c>
      <c r="M4014" s="8">
        <v>1</v>
      </c>
      <c r="N4014" s="8">
        <f>IF(L4014&gt;0,1,"")</f>
        <v>1</v>
      </c>
      <c r="O4014" s="11" t="s">
        <v>1702</v>
      </c>
      <c r="P4014" s="16" t="str">
        <f>IF(LEN(G4014)=10,CONCATENATE("0",G4014),G4014)</f>
        <v>25-Jan-1925</v>
      </c>
      <c r="R4014" s="16" t="str">
        <f>IF($L4014&gt;0,"x","")</f>
        <v>x</v>
      </c>
      <c r="S4014" s="16" t="str">
        <f>IF($L4014&gt;0,"x","")</f>
        <v>x</v>
      </c>
      <c r="U4014" s="46" t="str">
        <f t="shared" si="1699"/>
        <v/>
      </c>
      <c r="V4014" s="46">
        <f t="shared" si="1699"/>
        <v>17</v>
      </c>
      <c r="W4014" s="46" t="str">
        <f t="shared" si="1699"/>
        <v/>
      </c>
      <c r="X4014" s="46" t="str">
        <f t="shared" si="1699"/>
        <v/>
      </c>
    </row>
    <row r="4015" spans="2:26" x14ac:dyDescent="0.25">
      <c r="B4015" s="11" t="str">
        <f>CONCATENATE("MARB","-",LEFT(P4015,2),UPPER(MID(P4015,4,3)),RIGHT(P4015,4))</f>
        <v>MARB-03MAR1925</v>
      </c>
      <c r="C4015" s="11" t="s">
        <v>4648</v>
      </c>
      <c r="D4015" s="11" t="s">
        <v>2224</v>
      </c>
      <c r="E4015" s="39" t="s">
        <v>5749</v>
      </c>
      <c r="F4015" s="11" t="s">
        <v>211</v>
      </c>
      <c r="G4015" s="39" t="s">
        <v>4353</v>
      </c>
      <c r="H4015" s="7">
        <v>0</v>
      </c>
      <c r="J4015" s="17">
        <v>14</v>
      </c>
      <c r="K4015" s="17"/>
      <c r="L4015" s="7">
        <f>SUM(H4015:K4015)</f>
        <v>14</v>
      </c>
      <c r="M4015" s="8">
        <v>1</v>
      </c>
      <c r="N4015" s="8">
        <f>IF(L4015&gt;0,1,"")</f>
        <v>1</v>
      </c>
      <c r="O4015" s="11" t="s">
        <v>1702</v>
      </c>
      <c r="P4015" s="16" t="str">
        <f>IF(LEN(G4015)=10,CONCATENATE("0",G4015),G4015)</f>
        <v>03-Mar-1925</v>
      </c>
      <c r="R4015" s="16" t="str">
        <f>IF($L4015&gt;0,"x","")</f>
        <v>x</v>
      </c>
      <c r="S4015" s="16" t="str">
        <f>IF($L4015&gt;0,"x","")</f>
        <v>x</v>
      </c>
      <c r="U4015" s="46" t="str">
        <f t="shared" si="1699"/>
        <v/>
      </c>
      <c r="V4015" s="46">
        <f t="shared" si="1699"/>
        <v>14</v>
      </c>
      <c r="W4015" s="46" t="str">
        <f t="shared" si="1699"/>
        <v/>
      </c>
      <c r="X4015" s="46" t="str">
        <f t="shared" si="1699"/>
        <v/>
      </c>
    </row>
    <row r="4016" spans="2:26" x14ac:dyDescent="0.25">
      <c r="B4016" s="11" t="str">
        <f>CONCATENATE("MARB","-",LEFT(P4016,2),UPPER(MID(P4016,4,3)),RIGHT(P4016,4))</f>
        <v>MARB-25APR1925</v>
      </c>
      <c r="C4016" s="11" t="s">
        <v>4648</v>
      </c>
      <c r="D4016" s="11" t="s">
        <v>2224</v>
      </c>
      <c r="E4016" s="39" t="s">
        <v>11418</v>
      </c>
      <c r="F4016" s="11" t="s">
        <v>2813</v>
      </c>
      <c r="G4016" s="39" t="s">
        <v>11419</v>
      </c>
      <c r="J4016" s="17">
        <v>3</v>
      </c>
      <c r="K4016" s="17"/>
      <c r="L4016" s="7">
        <f>SUM(H4016:K4016)</f>
        <v>3</v>
      </c>
      <c r="M4016" s="8">
        <v>1</v>
      </c>
      <c r="N4016" s="8">
        <f>IF(L4016&gt;0,1,"")</f>
        <v>1</v>
      </c>
      <c r="O4016" s="11" t="s">
        <v>1702</v>
      </c>
      <c r="P4016" s="16" t="str">
        <f>IF(LEN(G4016)=10,CONCATENATE("0",G4016),G4016)</f>
        <v>25-Apr-1925</v>
      </c>
      <c r="Q4016" s="80"/>
      <c r="S4016" s="16" t="str">
        <f>IF($L4016&gt;0,"x","")</f>
        <v>x</v>
      </c>
      <c r="U4016" s="46" t="str">
        <f t="shared" si="1699"/>
        <v/>
      </c>
      <c r="V4016" s="46">
        <f t="shared" si="1699"/>
        <v>3</v>
      </c>
      <c r="W4016" s="46" t="str">
        <f t="shared" si="1699"/>
        <v/>
      </c>
      <c r="X4016" s="46" t="str">
        <f t="shared" si="1699"/>
        <v/>
      </c>
    </row>
    <row r="4017" spans="2:26" x14ac:dyDescent="0.25">
      <c r="N4017" s="8" t="str">
        <f>IF(R4017="x",1,"")</f>
        <v/>
      </c>
      <c r="U4017" s="46" t="str">
        <f t="shared" si="1699"/>
        <v/>
      </c>
      <c r="V4017" s="46" t="str">
        <f t="shared" si="1699"/>
        <v/>
      </c>
      <c r="W4017" s="46" t="str">
        <f t="shared" si="1699"/>
        <v/>
      </c>
      <c r="X4017" s="46" t="str">
        <f t="shared" si="1699"/>
        <v/>
      </c>
    </row>
    <row r="4018" spans="2:26" s="18" customFormat="1" x14ac:dyDescent="0.25">
      <c r="E4018" s="40"/>
      <c r="G4018" s="40"/>
      <c r="H4018" s="7">
        <f t="shared" ref="H4018:N4018" si="1700">SUM(H4014:H4017)</f>
        <v>0</v>
      </c>
      <c r="I4018" s="7">
        <f t="shared" si="1700"/>
        <v>1</v>
      </c>
      <c r="J4018" s="7">
        <f>SUM(J4014:J4017)</f>
        <v>33</v>
      </c>
      <c r="K4018" s="7">
        <f t="shared" si="1700"/>
        <v>0</v>
      </c>
      <c r="L4018" s="7">
        <f t="shared" si="1700"/>
        <v>34</v>
      </c>
      <c r="M4018" s="7">
        <f t="shared" si="1700"/>
        <v>3</v>
      </c>
      <c r="N4018" s="7">
        <f t="shared" si="1700"/>
        <v>3</v>
      </c>
      <c r="P4018" s="13"/>
      <c r="Q4018" s="13"/>
      <c r="R4018" s="16"/>
      <c r="S4018" s="13"/>
      <c r="T4018" s="15"/>
      <c r="U4018" s="46" t="str">
        <f t="shared" si="1699"/>
        <v/>
      </c>
      <c r="V4018" s="46" t="str">
        <f t="shared" si="1699"/>
        <v/>
      </c>
      <c r="W4018" s="46" t="str">
        <f t="shared" si="1699"/>
        <v/>
      </c>
      <c r="X4018" s="46" t="str">
        <f t="shared" si="1699"/>
        <v/>
      </c>
      <c r="Z4018" s="11"/>
    </row>
    <row r="4019" spans="2:26" s="18" customFormat="1" x14ac:dyDescent="0.25">
      <c r="E4019" s="40"/>
      <c r="G4019" s="40"/>
      <c r="H4019" s="7"/>
      <c r="I4019" s="7"/>
      <c r="J4019" s="7"/>
      <c r="K4019" s="7"/>
      <c r="L4019" s="7"/>
      <c r="M4019" s="8"/>
      <c r="N4019" s="8" t="str">
        <f>IF(R4019="x",1,"")</f>
        <v/>
      </c>
      <c r="P4019" s="13"/>
      <c r="Q4019" s="13"/>
      <c r="R4019" s="13"/>
      <c r="S4019" s="13"/>
      <c r="T4019" s="15"/>
      <c r="U4019" s="46" t="str">
        <f t="shared" si="1699"/>
        <v/>
      </c>
      <c r="V4019" s="46" t="str">
        <f t="shared" si="1699"/>
        <v/>
      </c>
      <c r="W4019" s="46" t="str">
        <f t="shared" si="1699"/>
        <v/>
      </c>
      <c r="X4019" s="46" t="str">
        <f t="shared" si="1699"/>
        <v/>
      </c>
      <c r="Z4019" s="11"/>
    </row>
    <row r="4020" spans="2:26" s="18" customFormat="1" x14ac:dyDescent="0.25">
      <c r="E4020" s="40"/>
      <c r="G4020" s="40"/>
      <c r="H4020" s="7"/>
      <c r="I4020" s="7"/>
      <c r="J4020" s="7"/>
      <c r="K4020" s="7"/>
      <c r="L4020" s="7"/>
      <c r="M4020" s="8"/>
      <c r="N4020" s="8" t="str">
        <f>IF(R4020="x",1,"")</f>
        <v/>
      </c>
      <c r="P4020" s="13"/>
      <c r="Q4020" s="13"/>
      <c r="R4020" s="13"/>
      <c r="S4020" s="13"/>
      <c r="T4020" s="15"/>
      <c r="U4020" s="46" t="str">
        <f t="shared" si="1699"/>
        <v/>
      </c>
      <c r="V4020" s="46" t="str">
        <f t="shared" si="1699"/>
        <v/>
      </c>
      <c r="W4020" s="46" t="str">
        <f t="shared" si="1699"/>
        <v/>
      </c>
      <c r="X4020" s="46" t="str">
        <f t="shared" si="1699"/>
        <v/>
      </c>
      <c r="Z4020" s="11"/>
    </row>
    <row r="4021" spans="2:26" x14ac:dyDescent="0.25">
      <c r="B4021" s="11" t="str">
        <f>CONCATENATE("MARG","-",LEFT(P4021,2),UPPER(MID(P4021,4,3)),RIGHT(P4021,4))</f>
        <v>MARG-27MAY1923</v>
      </c>
      <c r="C4021" s="11" t="s">
        <v>11367</v>
      </c>
      <c r="D4021" s="11" t="s">
        <v>598</v>
      </c>
      <c r="E4021" s="39" t="s">
        <v>4386</v>
      </c>
      <c r="F4021" s="11" t="s">
        <v>2813</v>
      </c>
      <c r="G4021" s="39" t="s">
        <v>11368</v>
      </c>
      <c r="J4021" s="17">
        <v>6</v>
      </c>
      <c r="K4021" s="17"/>
      <c r="L4021" s="7">
        <f>SUM(H4021:K4021)</f>
        <v>6</v>
      </c>
      <c r="M4021" s="8">
        <v>1</v>
      </c>
      <c r="N4021" s="8">
        <f>IF(L4021&gt;0,1,"")</f>
        <v>1</v>
      </c>
      <c r="O4021" s="11" t="s">
        <v>1702</v>
      </c>
      <c r="P4021" s="16" t="str">
        <f>IF(LEN(G4021)=10,CONCATENATE("0",G4021),G4021)</f>
        <v>27-May-1923</v>
      </c>
      <c r="R4021" s="16" t="str">
        <f>IF($L4021&gt;0,"x","")</f>
        <v>x</v>
      </c>
      <c r="S4021" s="16" t="str">
        <f>IF($L4021&gt;0,"x","")</f>
        <v>x</v>
      </c>
      <c r="U4021" s="46" t="str">
        <f t="shared" si="1699"/>
        <v/>
      </c>
      <c r="V4021" s="46">
        <f t="shared" si="1699"/>
        <v>6</v>
      </c>
      <c r="W4021" s="46" t="str">
        <f t="shared" si="1699"/>
        <v/>
      </c>
      <c r="X4021" s="46" t="str">
        <f t="shared" si="1699"/>
        <v/>
      </c>
    </row>
    <row r="4022" spans="2:26" x14ac:dyDescent="0.25">
      <c r="N4022" s="8" t="str">
        <f>IF(R4022="x",1,"")</f>
        <v/>
      </c>
      <c r="U4022" s="46" t="str">
        <f t="shared" si="1699"/>
        <v/>
      </c>
      <c r="V4022" s="46" t="str">
        <f t="shared" si="1699"/>
        <v/>
      </c>
      <c r="W4022" s="46" t="str">
        <f t="shared" si="1699"/>
        <v/>
      </c>
      <c r="X4022" s="46" t="str">
        <f t="shared" si="1699"/>
        <v/>
      </c>
    </row>
    <row r="4023" spans="2:26" s="18" customFormat="1" x14ac:dyDescent="0.25">
      <c r="E4023" s="40"/>
      <c r="G4023" s="40"/>
      <c r="H4023" s="7">
        <f t="shared" ref="H4023:N4023" si="1701">SUM(H4021:H4022)</f>
        <v>0</v>
      </c>
      <c r="I4023" s="7">
        <f t="shared" si="1701"/>
        <v>0</v>
      </c>
      <c r="J4023" s="7">
        <f t="shared" si="1701"/>
        <v>6</v>
      </c>
      <c r="K4023" s="7">
        <f t="shared" si="1701"/>
        <v>0</v>
      </c>
      <c r="L4023" s="7">
        <f t="shared" si="1701"/>
        <v>6</v>
      </c>
      <c r="M4023" s="7">
        <f t="shared" si="1701"/>
        <v>1</v>
      </c>
      <c r="N4023" s="7">
        <f t="shared" si="1701"/>
        <v>1</v>
      </c>
      <c r="P4023" s="13"/>
      <c r="Q4023" s="13"/>
      <c r="R4023" s="16"/>
      <c r="S4023" s="13"/>
      <c r="T4023" s="15"/>
      <c r="U4023" s="46" t="str">
        <f t="shared" si="1699"/>
        <v/>
      </c>
      <c r="V4023" s="46" t="str">
        <f t="shared" si="1699"/>
        <v/>
      </c>
      <c r="W4023" s="46" t="str">
        <f t="shared" si="1699"/>
        <v/>
      </c>
      <c r="X4023" s="46" t="str">
        <f t="shared" si="1699"/>
        <v/>
      </c>
      <c r="Z4023" s="11"/>
    </row>
    <row r="4024" spans="2:26" s="18" customFormat="1" x14ac:dyDescent="0.25">
      <c r="E4024" s="40"/>
      <c r="G4024" s="40"/>
      <c r="H4024" s="7"/>
      <c r="I4024" s="7"/>
      <c r="J4024" s="7"/>
      <c r="K4024" s="7"/>
      <c r="L4024" s="7"/>
      <c r="M4024" s="8"/>
      <c r="N4024" s="8" t="str">
        <f>IF(R4024="x",1,"")</f>
        <v/>
      </c>
      <c r="P4024" s="13"/>
      <c r="Q4024" s="13"/>
      <c r="R4024" s="13"/>
      <c r="S4024" s="13"/>
      <c r="T4024" s="15"/>
      <c r="U4024" s="46" t="str">
        <f t="shared" ref="U4024:X4039" si="1702">IF($O4024=U$5,$L4024,"")</f>
        <v/>
      </c>
      <c r="V4024" s="46" t="str">
        <f t="shared" si="1702"/>
        <v/>
      </c>
      <c r="W4024" s="46" t="str">
        <f t="shared" si="1702"/>
        <v/>
      </c>
      <c r="X4024" s="46" t="str">
        <f t="shared" si="1702"/>
        <v/>
      </c>
      <c r="Z4024" s="11"/>
    </row>
    <row r="4025" spans="2:26" s="18" customFormat="1" x14ac:dyDescent="0.25">
      <c r="E4025" s="40"/>
      <c r="G4025" s="40"/>
      <c r="H4025" s="7"/>
      <c r="I4025" s="7"/>
      <c r="J4025" s="7"/>
      <c r="K4025" s="7"/>
      <c r="L4025" s="7"/>
      <c r="M4025" s="8"/>
      <c r="N4025" s="8" t="str">
        <f>IF(R4025="x",1,"")</f>
        <v/>
      </c>
      <c r="P4025" s="13"/>
      <c r="Q4025" s="13"/>
      <c r="R4025" s="13"/>
      <c r="S4025" s="13"/>
      <c r="T4025" s="15"/>
      <c r="U4025" s="46" t="str">
        <f t="shared" si="1702"/>
        <v/>
      </c>
      <c r="V4025" s="46" t="str">
        <f t="shared" si="1702"/>
        <v/>
      </c>
      <c r="W4025" s="46" t="str">
        <f t="shared" si="1702"/>
        <v/>
      </c>
      <c r="X4025" s="46" t="str">
        <f t="shared" si="1702"/>
        <v/>
      </c>
      <c r="Z4025" s="11"/>
    </row>
    <row r="4026" spans="2:26" x14ac:dyDescent="0.25">
      <c r="B4026" s="11" t="str">
        <f t="shared" ref="B4026:B4037" si="1703">CONCATENATE("MRSL","-",LEFT(P4026,2),UPPER(MID(P4026,4,3)),RIGHT(P4026,4))</f>
        <v>MRSL-15JUN1895</v>
      </c>
      <c r="C4026" s="11" t="s">
        <v>123</v>
      </c>
      <c r="D4026" s="11" t="s">
        <v>1699</v>
      </c>
      <c r="F4026" s="11" t="s">
        <v>1700</v>
      </c>
      <c r="G4026" s="39" t="s">
        <v>689</v>
      </c>
      <c r="H4026" s="7">
        <v>0</v>
      </c>
      <c r="I4026" s="7">
        <v>0</v>
      </c>
      <c r="J4026" s="17">
        <v>0</v>
      </c>
      <c r="K4026" s="17"/>
      <c r="L4026" s="7">
        <f t="shared" ref="L4026:L4037" si="1704">SUM(H4026:K4026)</f>
        <v>0</v>
      </c>
      <c r="M4026" s="8">
        <v>1</v>
      </c>
      <c r="N4026" s="8" t="str">
        <f t="shared" ref="N4026:N4037" si="1705">IF(L4026&gt;0,1,"")</f>
        <v/>
      </c>
      <c r="O4026" s="11" t="s">
        <v>1702</v>
      </c>
      <c r="P4026" s="16" t="str">
        <f t="shared" ref="P4026:P4037" si="1706">IF(LEN(G4026)=10,CONCATENATE("0",G4026),G4026)</f>
        <v>15-Jun-1895</v>
      </c>
      <c r="R4026" s="16" t="str">
        <f t="shared" ref="R4026:S4037" si="1707">IF($L4026&gt;0,"x","")</f>
        <v/>
      </c>
      <c r="S4026" s="16" t="str">
        <f t="shared" si="1707"/>
        <v/>
      </c>
      <c r="U4026" s="46" t="str">
        <f t="shared" si="1702"/>
        <v/>
      </c>
      <c r="V4026" s="46">
        <f t="shared" si="1702"/>
        <v>0</v>
      </c>
      <c r="W4026" s="46" t="str">
        <f t="shared" si="1702"/>
        <v/>
      </c>
      <c r="X4026" s="46" t="str">
        <f t="shared" si="1702"/>
        <v/>
      </c>
    </row>
    <row r="4027" spans="2:26" x14ac:dyDescent="0.25">
      <c r="B4027" s="11" t="str">
        <f t="shared" si="1703"/>
        <v>MRSL-07OCT1895</v>
      </c>
      <c r="C4027" s="11" t="s">
        <v>123</v>
      </c>
      <c r="D4027" s="11" t="s">
        <v>1699</v>
      </c>
      <c r="F4027" s="11" t="s">
        <v>1700</v>
      </c>
      <c r="G4027" s="39" t="s">
        <v>1701</v>
      </c>
      <c r="H4027" s="7">
        <v>0</v>
      </c>
      <c r="I4027" s="7">
        <v>0</v>
      </c>
      <c r="J4027" s="17">
        <v>4</v>
      </c>
      <c r="K4027" s="17"/>
      <c r="L4027" s="7">
        <f t="shared" si="1704"/>
        <v>4</v>
      </c>
      <c r="M4027" s="8">
        <v>1</v>
      </c>
      <c r="N4027" s="8">
        <f t="shared" si="1705"/>
        <v>1</v>
      </c>
      <c r="O4027" s="11" t="s">
        <v>1702</v>
      </c>
      <c r="P4027" s="16" t="str">
        <f t="shared" si="1706"/>
        <v>07-Oct-1895</v>
      </c>
      <c r="R4027" s="16" t="str">
        <f t="shared" si="1707"/>
        <v>x</v>
      </c>
      <c r="S4027" s="16" t="str">
        <f t="shared" si="1707"/>
        <v>x</v>
      </c>
      <c r="U4027" s="46" t="str">
        <f t="shared" si="1702"/>
        <v/>
      </c>
      <c r="V4027" s="46">
        <f t="shared" si="1702"/>
        <v>4</v>
      </c>
      <c r="W4027" s="46" t="str">
        <f t="shared" si="1702"/>
        <v/>
      </c>
      <c r="X4027" s="46" t="str">
        <f t="shared" si="1702"/>
        <v/>
      </c>
    </row>
    <row r="4028" spans="2:26" x14ac:dyDescent="0.25">
      <c r="B4028" s="11" t="str">
        <f t="shared" si="1703"/>
        <v>MRSL-02DEC1895</v>
      </c>
      <c r="C4028" s="11" t="s">
        <v>123</v>
      </c>
      <c r="D4028" s="11" t="s">
        <v>1699</v>
      </c>
      <c r="E4028" s="39" t="s">
        <v>694</v>
      </c>
      <c r="F4028" s="11" t="s">
        <v>1700</v>
      </c>
      <c r="G4028" s="39" t="s">
        <v>535</v>
      </c>
      <c r="H4028" s="7">
        <v>0</v>
      </c>
      <c r="I4028" s="7">
        <v>0</v>
      </c>
      <c r="J4028" s="17">
        <v>18</v>
      </c>
      <c r="K4028" s="17"/>
      <c r="L4028" s="7">
        <f t="shared" si="1704"/>
        <v>18</v>
      </c>
      <c r="M4028" s="8">
        <v>1</v>
      </c>
      <c r="N4028" s="8">
        <f t="shared" si="1705"/>
        <v>1</v>
      </c>
      <c r="O4028" s="11" t="s">
        <v>1702</v>
      </c>
      <c r="P4028" s="16" t="str">
        <f t="shared" si="1706"/>
        <v>02-Dec-1895</v>
      </c>
      <c r="R4028" s="16" t="str">
        <f t="shared" si="1707"/>
        <v>x</v>
      </c>
      <c r="S4028" s="16" t="str">
        <f t="shared" si="1707"/>
        <v>x</v>
      </c>
      <c r="U4028" s="46" t="str">
        <f t="shared" si="1702"/>
        <v/>
      </c>
      <c r="V4028" s="46">
        <f t="shared" si="1702"/>
        <v>18</v>
      </c>
      <c r="W4028" s="46" t="str">
        <f t="shared" si="1702"/>
        <v/>
      </c>
      <c r="X4028" s="46" t="str">
        <f t="shared" si="1702"/>
        <v/>
      </c>
    </row>
    <row r="4029" spans="2:26" x14ac:dyDescent="0.25">
      <c r="B4029" s="11" t="str">
        <f t="shared" si="1703"/>
        <v>MRSL-27JAN1896</v>
      </c>
      <c r="C4029" s="11" t="s">
        <v>123</v>
      </c>
      <c r="D4029" s="11" t="s">
        <v>1699</v>
      </c>
      <c r="F4029" s="11" t="s">
        <v>1700</v>
      </c>
      <c r="G4029" s="39" t="s">
        <v>385</v>
      </c>
      <c r="H4029" s="7">
        <v>0</v>
      </c>
      <c r="I4029" s="7">
        <v>0</v>
      </c>
      <c r="J4029" s="17">
        <v>8</v>
      </c>
      <c r="K4029" s="17"/>
      <c r="L4029" s="7">
        <f t="shared" si="1704"/>
        <v>8</v>
      </c>
      <c r="M4029" s="8">
        <v>1</v>
      </c>
      <c r="N4029" s="8">
        <f t="shared" si="1705"/>
        <v>1</v>
      </c>
      <c r="O4029" s="11" t="s">
        <v>1702</v>
      </c>
      <c r="P4029" s="16" t="str">
        <f t="shared" si="1706"/>
        <v>27-Jan-1896</v>
      </c>
      <c r="R4029" s="16" t="str">
        <f t="shared" si="1707"/>
        <v>x</v>
      </c>
      <c r="S4029" s="16" t="str">
        <f t="shared" si="1707"/>
        <v>x</v>
      </c>
      <c r="U4029" s="46" t="str">
        <f t="shared" si="1702"/>
        <v/>
      </c>
      <c r="V4029" s="46">
        <f t="shared" si="1702"/>
        <v>8</v>
      </c>
      <c r="W4029" s="46" t="str">
        <f t="shared" si="1702"/>
        <v/>
      </c>
      <c r="X4029" s="46" t="str">
        <f t="shared" si="1702"/>
        <v/>
      </c>
    </row>
    <row r="4030" spans="2:26" x14ac:dyDescent="0.25">
      <c r="B4030" s="11" t="str">
        <f t="shared" si="1703"/>
        <v>MRSL-25MAY1896</v>
      </c>
      <c r="C4030" s="11" t="s">
        <v>123</v>
      </c>
      <c r="D4030" s="11" t="s">
        <v>1699</v>
      </c>
      <c r="E4030" s="39" t="s">
        <v>615</v>
      </c>
      <c r="F4030" s="11" t="s">
        <v>1700</v>
      </c>
      <c r="G4030" s="39" t="s">
        <v>12</v>
      </c>
      <c r="H4030" s="7">
        <v>0</v>
      </c>
      <c r="I4030" s="7">
        <v>0</v>
      </c>
      <c r="J4030" s="17">
        <v>6</v>
      </c>
      <c r="K4030" s="17"/>
      <c r="L4030" s="7">
        <f t="shared" si="1704"/>
        <v>6</v>
      </c>
      <c r="M4030" s="8">
        <v>1</v>
      </c>
      <c r="N4030" s="8">
        <f t="shared" si="1705"/>
        <v>1</v>
      </c>
      <c r="O4030" s="11" t="s">
        <v>1702</v>
      </c>
      <c r="P4030" s="16" t="str">
        <f t="shared" si="1706"/>
        <v>25-May-1896</v>
      </c>
      <c r="R4030" s="16" t="str">
        <f t="shared" si="1707"/>
        <v>x</v>
      </c>
      <c r="S4030" s="16" t="str">
        <f t="shared" si="1707"/>
        <v>x</v>
      </c>
      <c r="U4030" s="46" t="str">
        <f t="shared" si="1702"/>
        <v/>
      </c>
      <c r="V4030" s="46">
        <f t="shared" si="1702"/>
        <v>6</v>
      </c>
      <c r="W4030" s="46" t="str">
        <f t="shared" si="1702"/>
        <v/>
      </c>
      <c r="X4030" s="46" t="str">
        <f t="shared" si="1702"/>
        <v/>
      </c>
    </row>
    <row r="4031" spans="2:26" x14ac:dyDescent="0.25">
      <c r="B4031" s="11" t="str">
        <f t="shared" si="1703"/>
        <v>MRSL-25JUL1896</v>
      </c>
      <c r="C4031" s="11" t="s">
        <v>123</v>
      </c>
      <c r="D4031" s="11" t="s">
        <v>1699</v>
      </c>
      <c r="F4031" s="11" t="s">
        <v>1700</v>
      </c>
      <c r="G4031" s="39" t="s">
        <v>690</v>
      </c>
      <c r="H4031" s="7">
        <v>0</v>
      </c>
      <c r="I4031" s="7">
        <v>0</v>
      </c>
      <c r="J4031" s="17">
        <v>0</v>
      </c>
      <c r="K4031" s="17"/>
      <c r="L4031" s="7">
        <f t="shared" si="1704"/>
        <v>0</v>
      </c>
      <c r="M4031" s="8">
        <v>1</v>
      </c>
      <c r="N4031" s="8" t="str">
        <f t="shared" si="1705"/>
        <v/>
      </c>
      <c r="O4031" s="11" t="s">
        <v>1702</v>
      </c>
      <c r="P4031" s="16" t="str">
        <f t="shared" si="1706"/>
        <v>25-Jul-1896</v>
      </c>
      <c r="R4031" s="16" t="str">
        <f t="shared" si="1707"/>
        <v/>
      </c>
      <c r="S4031" s="16" t="str">
        <f t="shared" si="1707"/>
        <v/>
      </c>
      <c r="U4031" s="46" t="str">
        <f t="shared" si="1702"/>
        <v/>
      </c>
      <c r="V4031" s="46">
        <f t="shared" si="1702"/>
        <v>0</v>
      </c>
      <c r="W4031" s="46" t="str">
        <f t="shared" si="1702"/>
        <v/>
      </c>
      <c r="X4031" s="46" t="str">
        <f t="shared" si="1702"/>
        <v/>
      </c>
    </row>
    <row r="4032" spans="2:26" x14ac:dyDescent="0.25">
      <c r="B4032" s="11" t="str">
        <f t="shared" si="1703"/>
        <v>MRSL-21SEP1896</v>
      </c>
      <c r="C4032" s="11" t="s">
        <v>123</v>
      </c>
      <c r="D4032" s="11" t="s">
        <v>1699</v>
      </c>
      <c r="E4032" s="39" t="s">
        <v>698</v>
      </c>
      <c r="F4032" s="11" t="s">
        <v>1700</v>
      </c>
      <c r="G4032" s="39" t="s">
        <v>440</v>
      </c>
      <c r="H4032" s="7">
        <v>0</v>
      </c>
      <c r="I4032" s="7">
        <v>0</v>
      </c>
      <c r="J4032" s="17">
        <v>46</v>
      </c>
      <c r="K4032" s="17"/>
      <c r="L4032" s="7">
        <f t="shared" si="1704"/>
        <v>46</v>
      </c>
      <c r="M4032" s="8">
        <v>1</v>
      </c>
      <c r="N4032" s="8">
        <f t="shared" si="1705"/>
        <v>1</v>
      </c>
      <c r="O4032" s="11" t="s">
        <v>1702</v>
      </c>
      <c r="P4032" s="16" t="str">
        <f t="shared" si="1706"/>
        <v>21-Sep-1896</v>
      </c>
      <c r="R4032" s="16" t="str">
        <f t="shared" si="1707"/>
        <v>x</v>
      </c>
      <c r="S4032" s="16" t="str">
        <f t="shared" si="1707"/>
        <v>x</v>
      </c>
      <c r="U4032" s="46" t="str">
        <f t="shared" si="1702"/>
        <v/>
      </c>
      <c r="V4032" s="46">
        <f t="shared" si="1702"/>
        <v>46</v>
      </c>
      <c r="W4032" s="46" t="str">
        <f t="shared" si="1702"/>
        <v/>
      </c>
      <c r="X4032" s="46" t="str">
        <f t="shared" si="1702"/>
        <v/>
      </c>
    </row>
    <row r="4033" spans="2:26" x14ac:dyDescent="0.25">
      <c r="B4033" s="11" t="str">
        <f t="shared" si="1703"/>
        <v>MRSL-14NOV1896</v>
      </c>
      <c r="C4033" s="11" t="s">
        <v>123</v>
      </c>
      <c r="D4033" s="11" t="s">
        <v>1699</v>
      </c>
      <c r="F4033" s="11" t="s">
        <v>1700</v>
      </c>
      <c r="G4033" s="39" t="s">
        <v>1708</v>
      </c>
      <c r="H4033" s="7">
        <v>0</v>
      </c>
      <c r="I4033" s="7">
        <v>0</v>
      </c>
      <c r="J4033" s="17">
        <v>1</v>
      </c>
      <c r="K4033" s="17"/>
      <c r="L4033" s="7">
        <f t="shared" si="1704"/>
        <v>1</v>
      </c>
      <c r="M4033" s="8">
        <v>1</v>
      </c>
      <c r="N4033" s="8">
        <f t="shared" si="1705"/>
        <v>1</v>
      </c>
      <c r="O4033" s="11" t="s">
        <v>1702</v>
      </c>
      <c r="P4033" s="16" t="str">
        <f t="shared" si="1706"/>
        <v>14-Nov-1896</v>
      </c>
      <c r="R4033" s="16" t="str">
        <f t="shared" si="1707"/>
        <v>x</v>
      </c>
      <c r="S4033" s="16" t="str">
        <f t="shared" si="1707"/>
        <v>x</v>
      </c>
      <c r="U4033" s="46" t="str">
        <f t="shared" si="1702"/>
        <v/>
      </c>
      <c r="V4033" s="46">
        <f t="shared" si="1702"/>
        <v>1</v>
      </c>
      <c r="W4033" s="46" t="str">
        <f t="shared" si="1702"/>
        <v/>
      </c>
      <c r="X4033" s="46" t="str">
        <f t="shared" si="1702"/>
        <v/>
      </c>
    </row>
    <row r="4034" spans="2:26" x14ac:dyDescent="0.25">
      <c r="B4034" s="11" t="str">
        <f t="shared" si="1703"/>
        <v>MRSL-01FEB1897</v>
      </c>
      <c r="C4034" s="11" t="s">
        <v>123</v>
      </c>
      <c r="D4034" s="11" t="s">
        <v>1699</v>
      </c>
      <c r="E4034" s="39" t="s">
        <v>695</v>
      </c>
      <c r="F4034" s="11" t="s">
        <v>1700</v>
      </c>
      <c r="G4034" s="39" t="s">
        <v>19</v>
      </c>
      <c r="H4034" s="7">
        <v>0</v>
      </c>
      <c r="I4034" s="7">
        <v>0</v>
      </c>
      <c r="J4034" s="17">
        <v>8</v>
      </c>
      <c r="K4034" s="17"/>
      <c r="L4034" s="7">
        <f t="shared" si="1704"/>
        <v>8</v>
      </c>
      <c r="M4034" s="8">
        <v>1</v>
      </c>
      <c r="N4034" s="8">
        <f t="shared" si="1705"/>
        <v>1</v>
      </c>
      <c r="O4034" s="11" t="s">
        <v>1702</v>
      </c>
      <c r="P4034" s="16" t="str">
        <f t="shared" si="1706"/>
        <v>01-Feb-1897</v>
      </c>
      <c r="R4034" s="16" t="str">
        <f t="shared" si="1707"/>
        <v>x</v>
      </c>
      <c r="S4034" s="16" t="str">
        <f t="shared" si="1707"/>
        <v>x</v>
      </c>
      <c r="U4034" s="46" t="str">
        <f t="shared" si="1702"/>
        <v/>
      </c>
      <c r="V4034" s="46">
        <f t="shared" si="1702"/>
        <v>8</v>
      </c>
      <c r="W4034" s="46" t="str">
        <f t="shared" si="1702"/>
        <v/>
      </c>
      <c r="X4034" s="46" t="str">
        <f t="shared" si="1702"/>
        <v/>
      </c>
    </row>
    <row r="4035" spans="2:26" x14ac:dyDescent="0.25">
      <c r="B4035" s="11" t="str">
        <f t="shared" si="1703"/>
        <v>MRSL-16APR1897</v>
      </c>
      <c r="C4035" s="11" t="s">
        <v>123</v>
      </c>
      <c r="D4035" s="11" t="s">
        <v>1699</v>
      </c>
      <c r="F4035" s="11" t="s">
        <v>1700</v>
      </c>
      <c r="G4035" s="39" t="s">
        <v>691</v>
      </c>
      <c r="H4035" s="7">
        <v>0</v>
      </c>
      <c r="I4035" s="7">
        <v>0</v>
      </c>
      <c r="J4035" s="17">
        <v>35</v>
      </c>
      <c r="K4035" s="17"/>
      <c r="L4035" s="7">
        <f t="shared" si="1704"/>
        <v>35</v>
      </c>
      <c r="M4035" s="8">
        <v>1</v>
      </c>
      <c r="N4035" s="8">
        <f t="shared" si="1705"/>
        <v>1</v>
      </c>
      <c r="O4035" s="11" t="s">
        <v>1702</v>
      </c>
      <c r="P4035" s="16" t="str">
        <f t="shared" si="1706"/>
        <v>16-Apr-1897</v>
      </c>
      <c r="R4035" s="16" t="str">
        <f t="shared" si="1707"/>
        <v>x</v>
      </c>
      <c r="S4035" s="16" t="str">
        <f t="shared" si="1707"/>
        <v>x</v>
      </c>
      <c r="U4035" s="46" t="str">
        <f t="shared" si="1702"/>
        <v/>
      </c>
      <c r="V4035" s="46">
        <f t="shared" si="1702"/>
        <v>35</v>
      </c>
      <c r="W4035" s="46" t="str">
        <f t="shared" si="1702"/>
        <v/>
      </c>
      <c r="X4035" s="46" t="str">
        <f t="shared" si="1702"/>
        <v/>
      </c>
    </row>
    <row r="4036" spans="2:26" x14ac:dyDescent="0.25">
      <c r="B4036" s="11" t="str">
        <f t="shared" si="1703"/>
        <v>MRSL-18JUN1897</v>
      </c>
      <c r="C4036" s="11" t="s">
        <v>123</v>
      </c>
      <c r="D4036" s="11" t="s">
        <v>1699</v>
      </c>
      <c r="E4036" s="39" t="s">
        <v>696</v>
      </c>
      <c r="F4036" s="11" t="s">
        <v>1700</v>
      </c>
      <c r="G4036" s="39" t="s">
        <v>692</v>
      </c>
      <c r="J4036" s="17">
        <v>2</v>
      </c>
      <c r="K4036" s="17"/>
      <c r="L4036" s="7">
        <f t="shared" si="1704"/>
        <v>2</v>
      </c>
      <c r="M4036" s="8">
        <v>1</v>
      </c>
      <c r="N4036" s="8">
        <f t="shared" si="1705"/>
        <v>1</v>
      </c>
      <c r="O4036" s="11" t="s">
        <v>1702</v>
      </c>
      <c r="P4036" s="16" t="str">
        <f t="shared" si="1706"/>
        <v>18-Jun-1897</v>
      </c>
      <c r="R4036" s="16" t="str">
        <f t="shared" si="1707"/>
        <v>x</v>
      </c>
      <c r="S4036" s="16" t="str">
        <f t="shared" si="1707"/>
        <v>x</v>
      </c>
      <c r="U4036" s="46" t="str">
        <f t="shared" si="1702"/>
        <v/>
      </c>
      <c r="V4036" s="46">
        <f t="shared" si="1702"/>
        <v>2</v>
      </c>
      <c r="W4036" s="46" t="str">
        <f t="shared" si="1702"/>
        <v/>
      </c>
      <c r="X4036" s="46" t="str">
        <f t="shared" si="1702"/>
        <v/>
      </c>
    </row>
    <row r="4037" spans="2:26" x14ac:dyDescent="0.25">
      <c r="B4037" s="11" t="str">
        <f t="shared" si="1703"/>
        <v>MRSL-23OCT1897</v>
      </c>
      <c r="C4037" s="11" t="s">
        <v>123</v>
      </c>
      <c r="D4037" s="11" t="s">
        <v>1699</v>
      </c>
      <c r="F4037" s="11" t="s">
        <v>1700</v>
      </c>
      <c r="G4037" s="39" t="s">
        <v>693</v>
      </c>
      <c r="J4037" s="17">
        <v>0</v>
      </c>
      <c r="K4037" s="17"/>
      <c r="L4037" s="7">
        <f t="shared" si="1704"/>
        <v>0</v>
      </c>
      <c r="M4037" s="8">
        <v>1</v>
      </c>
      <c r="N4037" s="8" t="str">
        <f t="shared" si="1705"/>
        <v/>
      </c>
      <c r="O4037" s="11" t="s">
        <v>1702</v>
      </c>
      <c r="P4037" s="16" t="str">
        <f t="shared" si="1706"/>
        <v>23-Oct-1897</v>
      </c>
      <c r="R4037" s="16" t="str">
        <f t="shared" si="1707"/>
        <v/>
      </c>
      <c r="S4037" s="16" t="str">
        <f t="shared" si="1707"/>
        <v/>
      </c>
      <c r="U4037" s="46" t="str">
        <f t="shared" si="1702"/>
        <v/>
      </c>
      <c r="V4037" s="46">
        <f t="shared" si="1702"/>
        <v>0</v>
      </c>
      <c r="W4037" s="46" t="str">
        <f t="shared" si="1702"/>
        <v/>
      </c>
      <c r="X4037" s="46" t="str">
        <f t="shared" si="1702"/>
        <v/>
      </c>
    </row>
    <row r="4038" spans="2:26" x14ac:dyDescent="0.25">
      <c r="N4038" s="8" t="str">
        <f>IF(R4038="x",1,"")</f>
        <v/>
      </c>
      <c r="U4038" s="46" t="str">
        <f t="shared" si="1702"/>
        <v/>
      </c>
      <c r="V4038" s="46" t="str">
        <f t="shared" si="1702"/>
        <v/>
      </c>
      <c r="W4038" s="46" t="str">
        <f t="shared" si="1702"/>
        <v/>
      </c>
      <c r="X4038" s="46" t="str">
        <f t="shared" si="1702"/>
        <v/>
      </c>
    </row>
    <row r="4039" spans="2:26" s="18" customFormat="1" x14ac:dyDescent="0.25">
      <c r="E4039" s="40"/>
      <c r="G4039" s="40"/>
      <c r="H4039" s="7">
        <f t="shared" ref="H4039:N4039" si="1708">SUM(H4026:H4038)</f>
        <v>0</v>
      </c>
      <c r="I4039" s="7">
        <f t="shared" si="1708"/>
        <v>0</v>
      </c>
      <c r="J4039" s="7">
        <f>SUM(J4026:J4038)</f>
        <v>128</v>
      </c>
      <c r="K4039" s="7">
        <f t="shared" si="1708"/>
        <v>0</v>
      </c>
      <c r="L4039" s="7">
        <f t="shared" si="1708"/>
        <v>128</v>
      </c>
      <c r="M4039" s="7">
        <f t="shared" si="1708"/>
        <v>12</v>
      </c>
      <c r="N4039" s="7">
        <f t="shared" si="1708"/>
        <v>9</v>
      </c>
      <c r="P4039" s="13"/>
      <c r="Q4039" s="13"/>
      <c r="R4039" s="16"/>
      <c r="S4039" s="13"/>
      <c r="T4039" s="15"/>
      <c r="U4039" s="46" t="str">
        <f t="shared" si="1702"/>
        <v/>
      </c>
      <c r="V4039" s="46" t="str">
        <f t="shared" si="1702"/>
        <v/>
      </c>
      <c r="W4039" s="46" t="str">
        <f t="shared" si="1702"/>
        <v/>
      </c>
      <c r="X4039" s="46" t="str">
        <f t="shared" si="1702"/>
        <v/>
      </c>
      <c r="Z4039" s="11"/>
    </row>
    <row r="4040" spans="2:26" s="18" customFormat="1" x14ac:dyDescent="0.25">
      <c r="E4040" s="40"/>
      <c r="G4040" s="40"/>
      <c r="H4040" s="7"/>
      <c r="I4040" s="7"/>
      <c r="J4040" s="7"/>
      <c r="K4040" s="7"/>
      <c r="L4040" s="7"/>
      <c r="M4040" s="8"/>
      <c r="N4040" s="8" t="str">
        <f>IF(R4040="x",1,"")</f>
        <v/>
      </c>
      <c r="P4040" s="13"/>
      <c r="Q4040" s="13"/>
      <c r="R4040" s="13"/>
      <c r="S4040" s="13"/>
      <c r="T4040" s="15"/>
      <c r="U4040" s="46" t="str">
        <f t="shared" ref="U4040:X4044" si="1709">IF($O4040=U$5,$L4040,"")</f>
        <v/>
      </c>
      <c r="V4040" s="46" t="str">
        <f t="shared" si="1709"/>
        <v/>
      </c>
      <c r="W4040" s="46" t="str">
        <f t="shared" si="1709"/>
        <v/>
      </c>
      <c r="X4040" s="46" t="str">
        <f t="shared" si="1709"/>
        <v/>
      </c>
      <c r="Z4040" s="11"/>
    </row>
    <row r="4041" spans="2:26" s="18" customFormat="1" x14ac:dyDescent="0.25">
      <c r="E4041" s="40"/>
      <c r="G4041" s="40"/>
      <c r="H4041" s="7"/>
      <c r="I4041" s="7"/>
      <c r="J4041" s="7"/>
      <c r="K4041" s="7"/>
      <c r="L4041" s="7"/>
      <c r="M4041" s="8"/>
      <c r="N4041" s="8" t="str">
        <f>IF(R4041="x",1,"")</f>
        <v/>
      </c>
      <c r="P4041" s="13"/>
      <c r="Q4041" s="13"/>
      <c r="R4041" s="13"/>
      <c r="S4041" s="13"/>
      <c r="T4041" s="15"/>
      <c r="U4041" s="46" t="str">
        <f t="shared" si="1709"/>
        <v/>
      </c>
      <c r="V4041" s="46" t="str">
        <f t="shared" si="1709"/>
        <v/>
      </c>
      <c r="W4041" s="46" t="str">
        <f t="shared" si="1709"/>
        <v/>
      </c>
      <c r="X4041" s="46" t="str">
        <f t="shared" si="1709"/>
        <v/>
      </c>
      <c r="Z4041" s="11"/>
    </row>
    <row r="4042" spans="2:26" x14ac:dyDescent="0.25">
      <c r="B4042" s="11" t="str">
        <f>CONCATENATE("MRTL","-",LEFT(P4042,2),UPPER(MID(P4042,4,3)),RIGHT(P4042,4))</f>
        <v>MRTL-31AUG1891</v>
      </c>
      <c r="C4042" s="11" t="s">
        <v>5952</v>
      </c>
      <c r="D4042" s="11" t="s">
        <v>5953</v>
      </c>
      <c r="F4042" s="11" t="s">
        <v>1700</v>
      </c>
      <c r="G4042" s="39" t="s">
        <v>5954</v>
      </c>
      <c r="H4042" s="7">
        <v>4</v>
      </c>
      <c r="J4042" s="17">
        <v>0</v>
      </c>
      <c r="K4042" s="17"/>
      <c r="L4042" s="7">
        <f>SUM(H4042:K4042)</f>
        <v>4</v>
      </c>
      <c r="M4042" s="8">
        <v>1</v>
      </c>
      <c r="N4042" s="8">
        <f>IF(L4042&gt;0,1,"")</f>
        <v>1</v>
      </c>
      <c r="O4042" s="11" t="s">
        <v>1702</v>
      </c>
      <c r="P4042" s="16" t="str">
        <f>IF(LEN(G4042)=10,CONCATENATE("0",G4042),G4042)</f>
        <v>31-Aug-1891</v>
      </c>
      <c r="R4042" s="16" t="str">
        <f>IF($L4042&gt;0,"x","")</f>
        <v>x</v>
      </c>
      <c r="S4042" s="16" t="str">
        <f>IF($L4042&gt;0,"x","")</f>
        <v>x</v>
      </c>
      <c r="T4042" s="11"/>
      <c r="U4042" s="46" t="str">
        <f t="shared" si="1709"/>
        <v/>
      </c>
      <c r="V4042" s="46">
        <f t="shared" si="1709"/>
        <v>4</v>
      </c>
      <c r="W4042" s="46" t="str">
        <f t="shared" si="1709"/>
        <v/>
      </c>
      <c r="X4042" s="46" t="str">
        <f t="shared" si="1709"/>
        <v/>
      </c>
    </row>
    <row r="4043" spans="2:26" x14ac:dyDescent="0.25">
      <c r="N4043" s="8" t="str">
        <f>IF(R4043="x",1,"")</f>
        <v/>
      </c>
      <c r="U4043" s="46" t="str">
        <f t="shared" si="1709"/>
        <v/>
      </c>
      <c r="V4043" s="46" t="str">
        <f t="shared" si="1709"/>
        <v/>
      </c>
      <c r="W4043" s="46" t="str">
        <f t="shared" si="1709"/>
        <v/>
      </c>
      <c r="X4043" s="46" t="str">
        <f t="shared" si="1709"/>
        <v/>
      </c>
    </row>
    <row r="4044" spans="2:26" s="18" customFormat="1" x14ac:dyDescent="0.25">
      <c r="E4044" s="40"/>
      <c r="G4044" s="40"/>
      <c r="H4044" s="7">
        <f t="shared" ref="H4044:N4044" si="1710">SUM(H4042:H4043)</f>
        <v>4</v>
      </c>
      <c r="I4044" s="7">
        <f t="shared" si="1710"/>
        <v>0</v>
      </c>
      <c r="J4044" s="7">
        <f>SUM(J4042:J4043)</f>
        <v>0</v>
      </c>
      <c r="K4044" s="7">
        <f t="shared" si="1710"/>
        <v>0</v>
      </c>
      <c r="L4044" s="7">
        <f t="shared" si="1710"/>
        <v>4</v>
      </c>
      <c r="M4044" s="7">
        <f t="shared" si="1710"/>
        <v>1</v>
      </c>
      <c r="N4044" s="7">
        <f t="shared" si="1710"/>
        <v>1</v>
      </c>
      <c r="P4044" s="13"/>
      <c r="Q4044" s="13"/>
      <c r="R4044" s="16"/>
      <c r="S4044" s="13"/>
      <c r="T4044" s="15"/>
      <c r="U4044" s="46" t="str">
        <f t="shared" si="1709"/>
        <v/>
      </c>
      <c r="V4044" s="46" t="str">
        <f t="shared" si="1709"/>
        <v/>
      </c>
      <c r="W4044" s="46" t="str">
        <f t="shared" si="1709"/>
        <v/>
      </c>
      <c r="X4044" s="46" t="str">
        <f t="shared" si="1709"/>
        <v/>
      </c>
      <c r="Z4044" s="11"/>
    </row>
    <row r="4045" spans="2:26" s="18" customFormat="1" x14ac:dyDescent="0.25">
      <c r="E4045" s="40"/>
      <c r="G4045" s="40"/>
      <c r="H4045" s="7"/>
      <c r="I4045" s="7"/>
      <c r="J4045" s="7"/>
      <c r="K4045" s="7"/>
      <c r="L4045" s="7"/>
      <c r="M4045" s="8"/>
      <c r="N4045" s="8" t="str">
        <f>IF(R4045="x",1,"")</f>
        <v/>
      </c>
      <c r="P4045" s="13"/>
      <c r="Q4045" s="13"/>
      <c r="R4045" s="13"/>
      <c r="S4045" s="13"/>
      <c r="T4045" s="15"/>
      <c r="U4045" s="46" t="str">
        <f t="shared" ref="U4045:X4047" si="1711">IF($O4045=U$5,$L4045,"")</f>
        <v/>
      </c>
      <c r="V4045" s="46" t="str">
        <f t="shared" si="1711"/>
        <v/>
      </c>
      <c r="W4045" s="46" t="str">
        <f t="shared" si="1711"/>
        <v/>
      </c>
      <c r="X4045" s="46" t="str">
        <f t="shared" si="1711"/>
        <v/>
      </c>
      <c r="Z4045" s="11"/>
    </row>
    <row r="4046" spans="2:26" s="18" customFormat="1" x14ac:dyDescent="0.25">
      <c r="E4046" s="40"/>
      <c r="G4046" s="40"/>
      <c r="H4046" s="7"/>
      <c r="I4046" s="7"/>
      <c r="J4046" s="7"/>
      <c r="K4046" s="7"/>
      <c r="L4046" s="7"/>
      <c r="M4046" s="8"/>
      <c r="N4046" s="8" t="str">
        <f>IF(R4046="x",1,"")</f>
        <v/>
      </c>
      <c r="P4046" s="13"/>
      <c r="Q4046" s="13"/>
      <c r="R4046" s="13"/>
      <c r="S4046" s="13"/>
      <c r="T4046" s="15"/>
      <c r="U4046" s="46" t="str">
        <f t="shared" si="1711"/>
        <v/>
      </c>
      <c r="V4046" s="46" t="str">
        <f t="shared" si="1711"/>
        <v/>
      </c>
      <c r="W4046" s="46" t="str">
        <f t="shared" si="1711"/>
        <v/>
      </c>
      <c r="X4046" s="46" t="str">
        <f t="shared" si="1711"/>
        <v/>
      </c>
      <c r="Z4046" s="11"/>
    </row>
    <row r="4047" spans="2:26" x14ac:dyDescent="0.25">
      <c r="B4047" s="11" t="str">
        <f>CONCATENATE("MWAS","-",LEFT(P4047,2),UPPER(MID(P4047,4,3)),RIGHT(P4047,4))</f>
        <v>MWAS-10SEP1908</v>
      </c>
      <c r="C4047" s="11" t="s">
        <v>3256</v>
      </c>
      <c r="D4047" s="11" t="s">
        <v>1906</v>
      </c>
      <c r="E4047" s="39" t="s">
        <v>4065</v>
      </c>
      <c r="F4047" s="11" t="s">
        <v>1700</v>
      </c>
      <c r="G4047" s="39" t="s">
        <v>4066</v>
      </c>
      <c r="H4047" s="7">
        <v>0</v>
      </c>
      <c r="I4047" s="7">
        <v>4</v>
      </c>
      <c r="J4047" s="17">
        <v>1</v>
      </c>
      <c r="K4047" s="17"/>
      <c r="L4047" s="7">
        <f>SUM(H4047:K4047)</f>
        <v>5</v>
      </c>
      <c r="M4047" s="8">
        <v>1</v>
      </c>
      <c r="N4047" s="8">
        <f>IF(L4047&gt;0,1,"")</f>
        <v>1</v>
      </c>
      <c r="O4047" s="11" t="s">
        <v>1702</v>
      </c>
      <c r="P4047" s="16" t="str">
        <f>IF(LEN(G4047)=10,CONCATENATE("0",G4047),G4047)</f>
        <v>10-Sep-1908</v>
      </c>
      <c r="R4047" s="16" t="str">
        <f t="shared" ref="R4047:S4053" si="1712">IF($L4047&gt;0,"x","")</f>
        <v>x</v>
      </c>
      <c r="S4047" s="16" t="str">
        <f t="shared" si="1712"/>
        <v>x</v>
      </c>
      <c r="U4047" s="46" t="str">
        <f t="shared" si="1711"/>
        <v/>
      </c>
      <c r="V4047" s="46">
        <f t="shared" si="1711"/>
        <v>5</v>
      </c>
      <c r="W4047" s="46" t="str">
        <f t="shared" si="1711"/>
        <v/>
      </c>
      <c r="X4047" s="46" t="str">
        <f t="shared" si="1711"/>
        <v/>
      </c>
    </row>
    <row r="4048" spans="2:26" x14ac:dyDescent="0.25">
      <c r="B4048" s="11" t="str">
        <f>CONCATENATE("MWAS","-",LEFT(P4048,2),UPPER(MID(P4048,4,3)),RIGHT(P4048,4))</f>
        <v>MWAS-02FEB1909</v>
      </c>
      <c r="C4048" s="11" t="s">
        <v>3256</v>
      </c>
      <c r="D4048" s="11" t="s">
        <v>1906</v>
      </c>
      <c r="E4048" s="39" t="s">
        <v>1476</v>
      </c>
      <c r="F4048" s="11" t="s">
        <v>1700</v>
      </c>
      <c r="G4048" s="39" t="s">
        <v>4536</v>
      </c>
      <c r="H4048" s="7">
        <v>0</v>
      </c>
      <c r="I4048" s="7">
        <v>0</v>
      </c>
      <c r="J4048" s="17">
        <v>5</v>
      </c>
      <c r="K4048" s="17"/>
      <c r="L4048" s="7">
        <f>SUM(H4048:K4048)</f>
        <v>5</v>
      </c>
      <c r="M4048" s="8">
        <v>1</v>
      </c>
      <c r="N4048" s="8">
        <f>IF(L4048&gt;0,1,"")</f>
        <v>1</v>
      </c>
      <c r="O4048" s="11" t="s">
        <v>1702</v>
      </c>
      <c r="P4048" s="16" t="str">
        <f>IF(LEN(G4048)=10,CONCATENATE("0",G4048),G4048)</f>
        <v>02-Feb-1909</v>
      </c>
      <c r="R4048" s="16" t="str">
        <f>IF($L4048&gt;0,"x","")</f>
        <v>x</v>
      </c>
      <c r="S4048" s="16" t="str">
        <f>IF($L4048&gt;0,"x","")</f>
        <v>x</v>
      </c>
      <c r="U4048" s="46" t="str">
        <f t="shared" ref="U4048:X4053" si="1713">IF($O4048=U$5,$L4048,"")</f>
        <v/>
      </c>
      <c r="V4048" s="46">
        <f t="shared" si="1713"/>
        <v>5</v>
      </c>
      <c r="W4048" s="46" t="str">
        <f t="shared" si="1713"/>
        <v/>
      </c>
      <c r="X4048" s="46" t="str">
        <f t="shared" si="1713"/>
        <v/>
      </c>
    </row>
    <row r="4049" spans="2:24" x14ac:dyDescent="0.25">
      <c r="B4049" s="11" t="str">
        <f>CONCATENATE("MWAS","-",LEFT(P4049,2),UPPER(MID(P4049,4,3)),RIGHT(P4049,4))</f>
        <v>MWAS-17MAR1909</v>
      </c>
      <c r="C4049" s="11" t="s">
        <v>3256</v>
      </c>
      <c r="D4049" s="11" t="s">
        <v>1906</v>
      </c>
      <c r="E4049" s="39" t="s">
        <v>2046</v>
      </c>
      <c r="F4049" s="11" t="s">
        <v>1700</v>
      </c>
      <c r="G4049" s="39" t="s">
        <v>4854</v>
      </c>
      <c r="H4049" s="7">
        <v>1</v>
      </c>
      <c r="I4049" s="7">
        <v>0</v>
      </c>
      <c r="J4049" s="17">
        <v>5</v>
      </c>
      <c r="K4049" s="17"/>
      <c r="L4049" s="7">
        <f>SUM(H4049:K4049)</f>
        <v>6</v>
      </c>
      <c r="M4049" s="8">
        <v>1</v>
      </c>
      <c r="N4049" s="8">
        <f>IF(L4049&gt;0,1,"")</f>
        <v>1</v>
      </c>
      <c r="O4049" s="11" t="s">
        <v>1702</v>
      </c>
      <c r="P4049" s="16" t="str">
        <f>IF(LEN(G4049)=10,CONCATENATE("0",G4049),G4049)</f>
        <v>17-Mar-1909</v>
      </c>
      <c r="R4049" s="16" t="str">
        <f t="shared" si="1712"/>
        <v>x</v>
      </c>
      <c r="S4049" s="16" t="str">
        <f t="shared" si="1712"/>
        <v>x</v>
      </c>
      <c r="U4049" s="46" t="str">
        <f t="shared" si="1713"/>
        <v/>
      </c>
      <c r="V4049" s="46">
        <f t="shared" si="1713"/>
        <v>6</v>
      </c>
      <c r="W4049" s="46" t="str">
        <f t="shared" si="1713"/>
        <v/>
      </c>
      <c r="X4049" s="46" t="str">
        <f t="shared" si="1713"/>
        <v/>
      </c>
    </row>
    <row r="4050" spans="2:24" x14ac:dyDescent="0.25">
      <c r="B4050" s="11" t="str">
        <f>CONCATENATE("MWAS","-",LEFT(P4050,2),UPPER(MID(P4050,4,3)),RIGHT(P4050,4))</f>
        <v>MWAS-02AUG1909</v>
      </c>
      <c r="C4050" s="11" t="s">
        <v>3256</v>
      </c>
      <c r="D4050" s="11" t="s">
        <v>1906</v>
      </c>
      <c r="E4050" s="39" t="s">
        <v>855</v>
      </c>
      <c r="F4050" s="11" t="s">
        <v>1700</v>
      </c>
      <c r="G4050" s="39" t="s">
        <v>2938</v>
      </c>
      <c r="H4050" s="7">
        <v>0</v>
      </c>
      <c r="I4050" s="7">
        <v>0</v>
      </c>
      <c r="J4050" s="17">
        <v>25</v>
      </c>
      <c r="K4050" s="17"/>
      <c r="L4050" s="7">
        <f>SUM(H4050:K4050)</f>
        <v>25</v>
      </c>
      <c r="M4050" s="8">
        <v>1</v>
      </c>
      <c r="N4050" s="8">
        <f>IF(L4050&gt;0,1,"")</f>
        <v>1</v>
      </c>
      <c r="O4050" s="11" t="s">
        <v>1702</v>
      </c>
      <c r="P4050" s="16" t="str">
        <f>IF(LEN(G4050)=10,CONCATENATE("0",G4050),G4050)</f>
        <v>02-Aug-1909</v>
      </c>
      <c r="R4050" s="16" t="str">
        <f t="shared" si="1712"/>
        <v>x</v>
      </c>
      <c r="S4050" s="16" t="str">
        <f t="shared" si="1712"/>
        <v>x</v>
      </c>
      <c r="U4050" s="46" t="str">
        <f t="shared" si="1713"/>
        <v/>
      </c>
      <c r="V4050" s="46">
        <f t="shared" si="1713"/>
        <v>25</v>
      </c>
      <c r="W4050" s="46" t="str">
        <f t="shared" si="1713"/>
        <v/>
      </c>
      <c r="X4050" s="46" t="str">
        <f t="shared" si="1713"/>
        <v/>
      </c>
    </row>
    <row r="4051" spans="2:24" x14ac:dyDescent="0.25">
      <c r="B4051" s="11" t="str">
        <f t="shared" ref="B4051:B4062" si="1714">CONCATENATE("MWAS","-",LEFT(P4051,2),UPPER(MID(P4051,4,3)),RIGHT(P4051,4))</f>
        <v>MWAS-17SEP1909</v>
      </c>
      <c r="C4051" s="11" t="s">
        <v>3256</v>
      </c>
      <c r="D4051" s="11" t="s">
        <v>1906</v>
      </c>
      <c r="E4051" s="39" t="s">
        <v>1233</v>
      </c>
      <c r="F4051" s="11" t="s">
        <v>1700</v>
      </c>
      <c r="G4051" s="39" t="s">
        <v>4978</v>
      </c>
      <c r="H4051" s="7">
        <v>0</v>
      </c>
      <c r="I4051" s="7">
        <v>0</v>
      </c>
      <c r="J4051" s="17">
        <v>62</v>
      </c>
      <c r="K4051" s="17"/>
      <c r="L4051" s="7">
        <f t="shared" ref="L4051:L4062" si="1715">SUM(H4051:K4051)</f>
        <v>62</v>
      </c>
      <c r="M4051" s="8">
        <v>1</v>
      </c>
      <c r="N4051" s="8">
        <f t="shared" ref="N4051:N4062" si="1716">IF(L4051&gt;0,1,"")</f>
        <v>1</v>
      </c>
      <c r="O4051" s="11" t="s">
        <v>1702</v>
      </c>
      <c r="P4051" s="16" t="str">
        <f t="shared" ref="P4051:P4062" si="1717">IF(LEN(G4051)=10,CONCATENATE("0",G4051),G4051)</f>
        <v>17-Sep-1909</v>
      </c>
      <c r="R4051" s="16" t="str">
        <f t="shared" si="1712"/>
        <v>x</v>
      </c>
      <c r="S4051" s="16" t="str">
        <f t="shared" si="1712"/>
        <v>x</v>
      </c>
      <c r="U4051" s="46" t="str">
        <f t="shared" si="1713"/>
        <v/>
      </c>
      <c r="V4051" s="46">
        <f t="shared" si="1713"/>
        <v>62</v>
      </c>
      <c r="W4051" s="46" t="str">
        <f t="shared" si="1713"/>
        <v/>
      </c>
      <c r="X4051" s="46" t="str">
        <f t="shared" si="1713"/>
        <v/>
      </c>
    </row>
    <row r="4052" spans="2:24" x14ac:dyDescent="0.25">
      <c r="B4052" s="11" t="str">
        <f>CONCATENATE("MWAS","-",LEFT(P4052,2),UPPER(MID(P4052,4,3)),RIGHT(P4052,4))</f>
        <v>MWAS-03NOV1909</v>
      </c>
      <c r="C4052" s="11" t="s">
        <v>3256</v>
      </c>
      <c r="D4052" s="11" t="s">
        <v>1906</v>
      </c>
      <c r="E4052" s="39" t="s">
        <v>937</v>
      </c>
      <c r="F4052" s="11" t="s">
        <v>1700</v>
      </c>
      <c r="G4052" s="39" t="s">
        <v>3605</v>
      </c>
      <c r="H4052" s="7">
        <v>0</v>
      </c>
      <c r="I4052" s="7">
        <v>0</v>
      </c>
      <c r="J4052" s="17">
        <v>74</v>
      </c>
      <c r="K4052" s="17"/>
      <c r="L4052" s="7">
        <f>SUM(H4052:K4052)</f>
        <v>74</v>
      </c>
      <c r="M4052" s="8">
        <v>1</v>
      </c>
      <c r="N4052" s="8">
        <f>IF(L4052&gt;0,1,"")</f>
        <v>1</v>
      </c>
      <c r="O4052" s="11" t="s">
        <v>1702</v>
      </c>
      <c r="P4052" s="16" t="str">
        <f>IF(LEN(G4052)=10,CONCATENATE("0",G4052),G4052)</f>
        <v>03-Nov-1909</v>
      </c>
      <c r="R4052" s="16" t="str">
        <f t="shared" si="1712"/>
        <v>x</v>
      </c>
      <c r="S4052" s="16" t="str">
        <f t="shared" si="1712"/>
        <v>x</v>
      </c>
      <c r="U4052" s="46" t="str">
        <f t="shared" si="1713"/>
        <v/>
      </c>
      <c r="V4052" s="46">
        <f t="shared" si="1713"/>
        <v>74</v>
      </c>
      <c r="W4052" s="46" t="str">
        <f t="shared" si="1713"/>
        <v/>
      </c>
      <c r="X4052" s="46" t="str">
        <f t="shared" si="1713"/>
        <v/>
      </c>
    </row>
    <row r="4053" spans="2:24" x14ac:dyDescent="0.25">
      <c r="B4053" s="11" t="str">
        <f>CONCATENATE("MWAS","-",LEFT(P4053,2),UPPER(MID(P4053,4,3)),RIGHT(P4053,4))</f>
        <v>MWAS-13FEB1910</v>
      </c>
      <c r="C4053" s="11" t="s">
        <v>3256</v>
      </c>
      <c r="D4053" s="11" t="s">
        <v>1906</v>
      </c>
      <c r="E4053" s="39" t="s">
        <v>1496</v>
      </c>
      <c r="F4053" s="11" t="s">
        <v>1700</v>
      </c>
      <c r="G4053" s="39" t="s">
        <v>1243</v>
      </c>
      <c r="H4053" s="7">
        <v>0</v>
      </c>
      <c r="I4053" s="7">
        <v>0</v>
      </c>
      <c r="J4053" s="17">
        <v>25</v>
      </c>
      <c r="K4053" s="17"/>
      <c r="L4053" s="7">
        <f>SUM(H4053:K4053)</f>
        <v>25</v>
      </c>
      <c r="M4053" s="8">
        <v>1</v>
      </c>
      <c r="N4053" s="8">
        <f>IF(L4053&gt;0,1,"")</f>
        <v>1</v>
      </c>
      <c r="O4053" s="11" t="s">
        <v>1702</v>
      </c>
      <c r="P4053" s="16" t="str">
        <f>IF(LEN(G4053)=10,CONCATENATE("0",G4053),G4053)</f>
        <v>13-Feb-1910</v>
      </c>
      <c r="R4053" s="16" t="str">
        <f t="shared" si="1712"/>
        <v>x</v>
      </c>
      <c r="S4053" s="16" t="str">
        <f t="shared" si="1712"/>
        <v>x</v>
      </c>
      <c r="U4053" s="46" t="str">
        <f t="shared" si="1713"/>
        <v/>
      </c>
      <c r="V4053" s="46">
        <f t="shared" si="1713"/>
        <v>25</v>
      </c>
      <c r="W4053" s="46" t="str">
        <f t="shared" si="1713"/>
        <v/>
      </c>
      <c r="X4053" s="46" t="str">
        <f t="shared" si="1713"/>
        <v/>
      </c>
    </row>
    <row r="4054" spans="2:24" x14ac:dyDescent="0.25">
      <c r="B4054" s="11" t="str">
        <f t="shared" si="1714"/>
        <v>MWAS-05JUL1910</v>
      </c>
      <c r="C4054" s="11" t="s">
        <v>3256</v>
      </c>
      <c r="D4054" s="11" t="s">
        <v>1906</v>
      </c>
      <c r="E4054" s="39" t="s">
        <v>3918</v>
      </c>
      <c r="F4054" s="11" t="s">
        <v>1700</v>
      </c>
      <c r="G4054" s="39" t="s">
        <v>3017</v>
      </c>
      <c r="H4054" s="7">
        <v>0</v>
      </c>
      <c r="I4054" s="7">
        <v>0</v>
      </c>
      <c r="J4054" s="17">
        <v>34</v>
      </c>
      <c r="K4054" s="17"/>
      <c r="L4054" s="7">
        <f t="shared" si="1715"/>
        <v>34</v>
      </c>
      <c r="M4054" s="8">
        <v>1</v>
      </c>
      <c r="N4054" s="8">
        <f t="shared" si="1716"/>
        <v>1</v>
      </c>
      <c r="O4054" s="11" t="s">
        <v>1702</v>
      </c>
      <c r="P4054" s="16" t="str">
        <f t="shared" si="1717"/>
        <v>05-Jul-1910</v>
      </c>
      <c r="R4054" s="16" t="str">
        <f t="shared" ref="R4054:S4062" si="1718">IF($L4054&gt;0,"x","")</f>
        <v>x</v>
      </c>
      <c r="S4054" s="16" t="str">
        <f t="shared" si="1718"/>
        <v>x</v>
      </c>
      <c r="U4054" s="46" t="str">
        <f>IF($O4054=U$5,$L4054,"")</f>
        <v/>
      </c>
      <c r="V4054" s="46">
        <f>IF($O4054=V$5,$L4054,"")</f>
        <v>34</v>
      </c>
      <c r="W4054" s="46" t="str">
        <f>IF($O4054=W$5,$L4054,"")</f>
        <v/>
      </c>
      <c r="X4054" s="46" t="str">
        <f>IF($O4054=X$5,$L4054,"")</f>
        <v/>
      </c>
    </row>
    <row r="4055" spans="2:24" x14ac:dyDescent="0.25">
      <c r="B4055" s="11" t="str">
        <f t="shared" si="1714"/>
        <v>MWAS-21AUG1910</v>
      </c>
      <c r="C4055" s="11" t="s">
        <v>3256</v>
      </c>
      <c r="D4055" s="11" t="s">
        <v>1906</v>
      </c>
      <c r="E4055" s="39" t="s">
        <v>877</v>
      </c>
      <c r="F4055" s="11" t="s">
        <v>1700</v>
      </c>
      <c r="G4055" s="39" t="s">
        <v>1864</v>
      </c>
      <c r="H4055" s="7">
        <v>0</v>
      </c>
      <c r="I4055" s="7">
        <v>1</v>
      </c>
      <c r="J4055" s="17">
        <v>12</v>
      </c>
      <c r="K4055" s="17"/>
      <c r="L4055" s="7">
        <f t="shared" si="1715"/>
        <v>13</v>
      </c>
      <c r="M4055" s="8">
        <v>1</v>
      </c>
      <c r="N4055" s="8">
        <f t="shared" si="1716"/>
        <v>1</v>
      </c>
      <c r="O4055" s="11" t="s">
        <v>1702</v>
      </c>
      <c r="P4055" s="16" t="str">
        <f t="shared" si="1717"/>
        <v>21-Aug-1910</v>
      </c>
      <c r="R4055" s="16" t="str">
        <f t="shared" si="1718"/>
        <v>x</v>
      </c>
      <c r="S4055" s="80"/>
      <c r="T4055" s="12" t="s">
        <v>11508</v>
      </c>
      <c r="U4055" s="46" t="str">
        <f t="shared" ref="U4055:X4060" si="1719">IF($O4055=U$5,$L4055,"")</f>
        <v/>
      </c>
      <c r="V4055" s="46">
        <f t="shared" si="1719"/>
        <v>13</v>
      </c>
      <c r="W4055" s="46" t="str">
        <f t="shared" si="1719"/>
        <v/>
      </c>
      <c r="X4055" s="46" t="str">
        <f t="shared" si="1719"/>
        <v/>
      </c>
    </row>
    <row r="4056" spans="2:24" x14ac:dyDescent="0.25">
      <c r="B4056" s="11" t="str">
        <f>CONCATENATE("MWAS","-",LEFT(P4056,2),UPPER(MID(P4056,4,3)),RIGHT(P4056,4))</f>
        <v>MWAS-23JAN1911</v>
      </c>
      <c r="C4056" s="11" t="s">
        <v>3256</v>
      </c>
      <c r="D4056" s="11" t="s">
        <v>1906</v>
      </c>
      <c r="E4056" s="39" t="s">
        <v>5105</v>
      </c>
      <c r="F4056" s="11" t="s">
        <v>1700</v>
      </c>
      <c r="G4056" s="39" t="s">
        <v>5106</v>
      </c>
      <c r="H4056" s="7">
        <v>0</v>
      </c>
      <c r="I4056" s="7">
        <v>0</v>
      </c>
      <c r="J4056" s="17">
        <v>25</v>
      </c>
      <c r="K4056" s="17"/>
      <c r="L4056" s="7">
        <f>SUM(H4056:K4056)</f>
        <v>25</v>
      </c>
      <c r="M4056" s="8">
        <v>1</v>
      </c>
      <c r="N4056" s="8">
        <f>IF(L4056&gt;0,1,"")</f>
        <v>1</v>
      </c>
      <c r="O4056" s="11" t="s">
        <v>1702</v>
      </c>
      <c r="P4056" s="16" t="str">
        <f>IF(LEN(G4056)=10,CONCATENATE("0",G4056),G4056)</f>
        <v>23-Jan-1911</v>
      </c>
      <c r="R4056" s="16" t="str">
        <f t="shared" si="1718"/>
        <v>x</v>
      </c>
      <c r="S4056" s="16" t="str">
        <f t="shared" si="1718"/>
        <v>x</v>
      </c>
      <c r="U4056" s="46" t="str">
        <f t="shared" si="1719"/>
        <v/>
      </c>
      <c r="V4056" s="46">
        <f t="shared" si="1719"/>
        <v>25</v>
      </c>
      <c r="W4056" s="46" t="str">
        <f t="shared" si="1719"/>
        <v/>
      </c>
      <c r="X4056" s="46" t="str">
        <f t="shared" si="1719"/>
        <v/>
      </c>
    </row>
    <row r="4057" spans="2:24" x14ac:dyDescent="0.25">
      <c r="B4057" s="11" t="str">
        <f t="shared" si="1714"/>
        <v>MWAS-12JUN1911</v>
      </c>
      <c r="C4057" s="11" t="s">
        <v>3256</v>
      </c>
      <c r="D4057" s="11" t="s">
        <v>1906</v>
      </c>
      <c r="E4057" s="39" t="s">
        <v>5091</v>
      </c>
      <c r="F4057" s="11" t="s">
        <v>1700</v>
      </c>
      <c r="G4057" s="39" t="s">
        <v>5092</v>
      </c>
      <c r="H4057" s="7">
        <v>0</v>
      </c>
      <c r="I4057" s="7">
        <v>3</v>
      </c>
      <c r="J4057" s="17">
        <v>23</v>
      </c>
      <c r="K4057" s="17"/>
      <c r="L4057" s="7">
        <f t="shared" si="1715"/>
        <v>26</v>
      </c>
      <c r="M4057" s="8">
        <v>1</v>
      </c>
      <c r="N4057" s="8">
        <f t="shared" si="1716"/>
        <v>1</v>
      </c>
      <c r="O4057" s="11" t="s">
        <v>1702</v>
      </c>
      <c r="P4057" s="16" t="str">
        <f t="shared" si="1717"/>
        <v>12-Jun-1911</v>
      </c>
      <c r="R4057" s="16" t="str">
        <f t="shared" si="1718"/>
        <v>x</v>
      </c>
      <c r="S4057" s="16" t="str">
        <f t="shared" si="1718"/>
        <v>x</v>
      </c>
      <c r="U4057" s="46" t="str">
        <f t="shared" si="1719"/>
        <v/>
      </c>
      <c r="V4057" s="46">
        <f t="shared" si="1719"/>
        <v>26</v>
      </c>
      <c r="W4057" s="46" t="str">
        <f t="shared" si="1719"/>
        <v/>
      </c>
      <c r="X4057" s="46" t="str">
        <f t="shared" si="1719"/>
        <v/>
      </c>
    </row>
    <row r="4058" spans="2:24" x14ac:dyDescent="0.25">
      <c r="B4058" s="11" t="str">
        <f>CONCATENATE("MWAS","-",LEFT(P4058,2),UPPER(MID(P4058,4,3)),RIGHT(P4058,4))</f>
        <v>MWAS-23JUL1911</v>
      </c>
      <c r="C4058" s="11" t="s">
        <v>3256</v>
      </c>
      <c r="D4058" s="11" t="s">
        <v>1906</v>
      </c>
      <c r="E4058" s="39" t="s">
        <v>5193</v>
      </c>
      <c r="F4058" s="11" t="s">
        <v>1700</v>
      </c>
      <c r="G4058" s="39" t="s">
        <v>5194</v>
      </c>
      <c r="H4058" s="7">
        <v>1</v>
      </c>
      <c r="I4058" s="7">
        <v>3</v>
      </c>
      <c r="J4058" s="17">
        <v>43</v>
      </c>
      <c r="K4058" s="17"/>
      <c r="L4058" s="7">
        <f>SUM(H4058:K4058)</f>
        <v>47</v>
      </c>
      <c r="M4058" s="8">
        <v>1</v>
      </c>
      <c r="N4058" s="8">
        <f>IF(L4058&gt;0,1,"")</f>
        <v>1</v>
      </c>
      <c r="O4058" s="11" t="s">
        <v>1702</v>
      </c>
      <c r="P4058" s="16" t="str">
        <f>IF(LEN(G4058)=10,CONCATENATE("0",G4058),G4058)</f>
        <v>23-Jul-1911</v>
      </c>
      <c r="R4058" s="16" t="str">
        <f t="shared" si="1718"/>
        <v>x</v>
      </c>
      <c r="S4058" s="16" t="str">
        <f t="shared" si="1718"/>
        <v>x</v>
      </c>
      <c r="U4058" s="46" t="str">
        <f t="shared" si="1719"/>
        <v/>
      </c>
      <c r="V4058" s="46">
        <f t="shared" si="1719"/>
        <v>47</v>
      </c>
      <c r="W4058" s="46" t="str">
        <f t="shared" si="1719"/>
        <v/>
      </c>
      <c r="X4058" s="46" t="str">
        <f t="shared" si="1719"/>
        <v/>
      </c>
    </row>
    <row r="4059" spans="2:24" x14ac:dyDescent="0.25">
      <c r="B4059" s="11" t="str">
        <f>CONCATENATE("MWAS","-",LEFT(P4059,2),UPPER(MID(P4059,4,3)),RIGHT(P4059,4))</f>
        <v>MWAS-24OCT1911</v>
      </c>
      <c r="C4059" s="11" t="s">
        <v>3256</v>
      </c>
      <c r="D4059" s="11" t="s">
        <v>1906</v>
      </c>
      <c r="E4059" s="39" t="s">
        <v>5156</v>
      </c>
      <c r="F4059" s="11" t="s">
        <v>1700</v>
      </c>
      <c r="G4059" s="39" t="s">
        <v>1309</v>
      </c>
      <c r="H4059" s="7">
        <v>0</v>
      </c>
      <c r="I4059" s="7">
        <v>8</v>
      </c>
      <c r="J4059" s="17">
        <v>52</v>
      </c>
      <c r="K4059" s="17"/>
      <c r="L4059" s="7">
        <f>SUM(H4059:K4059)</f>
        <v>60</v>
      </c>
      <c r="M4059" s="8">
        <v>1</v>
      </c>
      <c r="N4059" s="8">
        <f>IF(L4059&gt;0,1,"")</f>
        <v>1</v>
      </c>
      <c r="O4059" s="11" t="s">
        <v>1702</v>
      </c>
      <c r="P4059" s="16" t="str">
        <f>IF(LEN(G4059)=10,CONCATENATE("0",G4059),G4059)</f>
        <v>24-Oct-1911</v>
      </c>
      <c r="R4059" s="16" t="str">
        <f t="shared" si="1718"/>
        <v>x</v>
      </c>
      <c r="S4059" s="16" t="str">
        <f t="shared" si="1718"/>
        <v>x</v>
      </c>
      <c r="U4059" s="46" t="str">
        <f t="shared" si="1719"/>
        <v/>
      </c>
      <c r="V4059" s="46">
        <f t="shared" si="1719"/>
        <v>60</v>
      </c>
      <c r="W4059" s="46" t="str">
        <f t="shared" si="1719"/>
        <v/>
      </c>
      <c r="X4059" s="46" t="str">
        <f t="shared" si="1719"/>
        <v/>
      </c>
    </row>
    <row r="4060" spans="2:24" x14ac:dyDescent="0.25">
      <c r="B4060" s="11" t="str">
        <f t="shared" si="1714"/>
        <v>MWAS-06DEC1911</v>
      </c>
      <c r="C4060" s="11" t="s">
        <v>3256</v>
      </c>
      <c r="D4060" s="11" t="s">
        <v>1906</v>
      </c>
      <c r="E4060" s="39" t="s">
        <v>4615</v>
      </c>
      <c r="F4060" s="11" t="s">
        <v>1700</v>
      </c>
      <c r="G4060" s="39" t="s">
        <v>3736</v>
      </c>
      <c r="H4060" s="7">
        <v>0</v>
      </c>
      <c r="I4060" s="7">
        <v>5</v>
      </c>
      <c r="J4060" s="17">
        <v>102</v>
      </c>
      <c r="K4060" s="17"/>
      <c r="L4060" s="7">
        <f t="shared" si="1715"/>
        <v>107</v>
      </c>
      <c r="M4060" s="8">
        <v>1</v>
      </c>
      <c r="N4060" s="8">
        <f t="shared" si="1716"/>
        <v>1</v>
      </c>
      <c r="O4060" s="11" t="s">
        <v>1702</v>
      </c>
      <c r="P4060" s="16" t="str">
        <f t="shared" si="1717"/>
        <v>06-Dec-1911</v>
      </c>
      <c r="R4060" s="16" t="str">
        <f t="shared" si="1718"/>
        <v>x</v>
      </c>
      <c r="S4060" s="16" t="str">
        <f t="shared" si="1718"/>
        <v>x</v>
      </c>
      <c r="U4060" s="46" t="str">
        <f t="shared" si="1719"/>
        <v/>
      </c>
      <c r="V4060" s="46">
        <f t="shared" si="1719"/>
        <v>107</v>
      </c>
      <c r="W4060" s="46" t="str">
        <f t="shared" si="1719"/>
        <v/>
      </c>
      <c r="X4060" s="46" t="str">
        <f t="shared" si="1719"/>
        <v/>
      </c>
    </row>
    <row r="4061" spans="2:24" x14ac:dyDescent="0.25">
      <c r="B4061" s="11" t="str">
        <f t="shared" si="1714"/>
        <v>MWAS-20MAY1912</v>
      </c>
      <c r="C4061" s="11" t="s">
        <v>3256</v>
      </c>
      <c r="D4061" s="11" t="s">
        <v>1906</v>
      </c>
      <c r="E4061" s="39" t="s">
        <v>3808</v>
      </c>
      <c r="F4061" s="11" t="s">
        <v>1700</v>
      </c>
      <c r="G4061" s="39" t="s">
        <v>1320</v>
      </c>
      <c r="H4061" s="7">
        <v>0</v>
      </c>
      <c r="I4061" s="7">
        <v>0</v>
      </c>
      <c r="J4061" s="17">
        <v>15</v>
      </c>
      <c r="K4061" s="17"/>
      <c r="L4061" s="7">
        <f t="shared" si="1715"/>
        <v>15</v>
      </c>
      <c r="M4061" s="8">
        <v>1</v>
      </c>
      <c r="N4061" s="8">
        <f t="shared" si="1716"/>
        <v>1</v>
      </c>
      <c r="O4061" s="11" t="s">
        <v>1702</v>
      </c>
      <c r="P4061" s="16" t="str">
        <f t="shared" si="1717"/>
        <v>20-May-1912</v>
      </c>
      <c r="R4061" s="16" t="str">
        <f t="shared" si="1718"/>
        <v>x</v>
      </c>
      <c r="S4061" s="16" t="str">
        <f t="shared" si="1718"/>
        <v>x</v>
      </c>
      <c r="U4061" s="46" t="str">
        <f t="shared" ref="U4061:X4072" si="1720">IF($O4061=U$5,$L4061,"")</f>
        <v/>
      </c>
      <c r="V4061" s="46">
        <f t="shared" si="1720"/>
        <v>15</v>
      </c>
      <c r="W4061" s="46" t="str">
        <f t="shared" si="1720"/>
        <v/>
      </c>
      <c r="X4061" s="46" t="str">
        <f t="shared" si="1720"/>
        <v/>
      </c>
    </row>
    <row r="4062" spans="2:24" x14ac:dyDescent="0.25">
      <c r="B4062" s="11" t="str">
        <f t="shared" si="1714"/>
        <v>MWAS-01JUL1912</v>
      </c>
      <c r="C4062" s="11" t="s">
        <v>3256</v>
      </c>
      <c r="D4062" s="11" t="s">
        <v>1906</v>
      </c>
      <c r="E4062" s="39" t="s">
        <v>848</v>
      </c>
      <c r="F4062" s="11" t="s">
        <v>1700</v>
      </c>
      <c r="G4062" s="39" t="s">
        <v>5413</v>
      </c>
      <c r="H4062" s="7">
        <v>0</v>
      </c>
      <c r="I4062" s="7">
        <v>9</v>
      </c>
      <c r="J4062" s="17">
        <v>68</v>
      </c>
      <c r="K4062" s="17"/>
      <c r="L4062" s="7">
        <f t="shared" si="1715"/>
        <v>77</v>
      </c>
      <c r="M4062" s="8">
        <v>1</v>
      </c>
      <c r="N4062" s="8">
        <f t="shared" si="1716"/>
        <v>1</v>
      </c>
      <c r="O4062" s="11" t="s">
        <v>1702</v>
      </c>
      <c r="P4062" s="16" t="str">
        <f t="shared" si="1717"/>
        <v>01-Jul-1912</v>
      </c>
      <c r="R4062" s="16" t="str">
        <f t="shared" si="1718"/>
        <v>x</v>
      </c>
      <c r="S4062" s="16" t="str">
        <f t="shared" si="1718"/>
        <v>x</v>
      </c>
      <c r="U4062" s="46" t="str">
        <f t="shared" si="1720"/>
        <v/>
      </c>
      <c r="V4062" s="46">
        <f t="shared" si="1720"/>
        <v>77</v>
      </c>
      <c r="W4062" s="46" t="str">
        <f t="shared" si="1720"/>
        <v/>
      </c>
      <c r="X4062" s="46" t="str">
        <f t="shared" si="1720"/>
        <v/>
      </c>
    </row>
    <row r="4063" spans="2:24" x14ac:dyDescent="0.25">
      <c r="B4063" s="11" t="str">
        <f t="shared" ref="B4063:B4077" si="1721">CONCATENATE("MWAS","-",LEFT(P4063,2),UPPER(MID(P4063,4,3)),RIGHT(P4063,4))</f>
        <v>MWAS-13AUG1912</v>
      </c>
      <c r="C4063" s="11" t="s">
        <v>3256</v>
      </c>
      <c r="D4063" s="11" t="s">
        <v>1906</v>
      </c>
      <c r="E4063" s="39" t="s">
        <v>3740</v>
      </c>
      <c r="F4063" s="11" t="s">
        <v>1700</v>
      </c>
      <c r="G4063" s="39" t="s">
        <v>994</v>
      </c>
      <c r="H4063" s="7">
        <v>2</v>
      </c>
      <c r="I4063" s="7">
        <v>2</v>
      </c>
      <c r="J4063" s="17">
        <v>27</v>
      </c>
      <c r="K4063" s="17"/>
      <c r="L4063" s="7">
        <f t="shared" ref="L4063:L4077" si="1722">SUM(H4063:K4063)</f>
        <v>31</v>
      </c>
      <c r="M4063" s="8">
        <v>1</v>
      </c>
      <c r="N4063" s="8">
        <f t="shared" ref="N4063:N4077" si="1723">IF(L4063&gt;0,1,"")</f>
        <v>1</v>
      </c>
      <c r="O4063" s="11" t="s">
        <v>1702</v>
      </c>
      <c r="P4063" s="16" t="str">
        <f t="shared" ref="P4063:P4077" si="1724">IF(LEN(G4063)=10,CONCATENATE("0",G4063),G4063)</f>
        <v>13-Aug-1912</v>
      </c>
      <c r="R4063" s="16" t="str">
        <f t="shared" ref="R4063:S4069" si="1725">IF($L4063&gt;0,"x","")</f>
        <v>x</v>
      </c>
      <c r="S4063" s="16" t="str">
        <f t="shared" si="1725"/>
        <v>x</v>
      </c>
      <c r="U4063" s="46" t="str">
        <f t="shared" si="1720"/>
        <v/>
      </c>
      <c r="V4063" s="46">
        <f t="shared" si="1720"/>
        <v>31</v>
      </c>
      <c r="W4063" s="46" t="str">
        <f t="shared" si="1720"/>
        <v/>
      </c>
      <c r="X4063" s="46" t="str">
        <f t="shared" si="1720"/>
        <v/>
      </c>
    </row>
    <row r="4064" spans="2:24" x14ac:dyDescent="0.25">
      <c r="B4064" s="11" t="str">
        <f>CONCATENATE("MWAS","-",LEFT(P4064,2),UPPER(MID(P4064,4,3)),RIGHT(P4064,4))</f>
        <v>MWAS-29SEP1912</v>
      </c>
      <c r="C4064" s="11" t="s">
        <v>3256</v>
      </c>
      <c r="D4064" s="11" t="s">
        <v>1906</v>
      </c>
      <c r="E4064" s="39" t="s">
        <v>6049</v>
      </c>
      <c r="F4064" s="11" t="s">
        <v>1700</v>
      </c>
      <c r="G4064" s="39" t="s">
        <v>11193</v>
      </c>
      <c r="H4064" s="7">
        <v>0</v>
      </c>
      <c r="I4064" s="7">
        <v>6</v>
      </c>
      <c r="J4064" s="17">
        <v>38</v>
      </c>
      <c r="K4064" s="17"/>
      <c r="L4064" s="7">
        <f>SUM(H4064:K4064)</f>
        <v>44</v>
      </c>
      <c r="M4064" s="8">
        <v>1</v>
      </c>
      <c r="N4064" s="8">
        <f>IF(L4064&gt;0,1,"")</f>
        <v>1</v>
      </c>
      <c r="O4064" s="11" t="s">
        <v>1702</v>
      </c>
      <c r="P4064" s="16" t="str">
        <f>IF(LEN(G4064)=10,CONCATENATE("0",G4064),G4064)</f>
        <v>29-Sep-1912</v>
      </c>
      <c r="R4064" s="16" t="str">
        <f t="shared" si="1725"/>
        <v>x</v>
      </c>
      <c r="S4064" s="16" t="str">
        <f t="shared" si="1725"/>
        <v>x</v>
      </c>
      <c r="U4064" s="46" t="str">
        <f t="shared" si="1720"/>
        <v/>
      </c>
      <c r="V4064" s="46">
        <f t="shared" si="1720"/>
        <v>44</v>
      </c>
      <c r="W4064" s="46" t="str">
        <f t="shared" si="1720"/>
        <v/>
      </c>
      <c r="X4064" s="46" t="str">
        <f t="shared" si="1720"/>
        <v/>
      </c>
    </row>
    <row r="4065" spans="2:26" x14ac:dyDescent="0.25">
      <c r="B4065" s="11" t="str">
        <f t="shared" si="1721"/>
        <v>MWAS-12NOV1912</v>
      </c>
      <c r="C4065" s="11" t="s">
        <v>3256</v>
      </c>
      <c r="D4065" s="11" t="s">
        <v>1906</v>
      </c>
      <c r="E4065" s="39" t="s">
        <v>3898</v>
      </c>
      <c r="F4065" s="11" t="s">
        <v>1700</v>
      </c>
      <c r="G4065" s="39" t="s">
        <v>3897</v>
      </c>
      <c r="H4065" s="7">
        <v>0</v>
      </c>
      <c r="I4065" s="7">
        <v>2</v>
      </c>
      <c r="J4065" s="17">
        <v>74</v>
      </c>
      <c r="K4065" s="17"/>
      <c r="L4065" s="7">
        <f t="shared" si="1722"/>
        <v>76</v>
      </c>
      <c r="M4065" s="8">
        <v>1</v>
      </c>
      <c r="N4065" s="8">
        <f t="shared" si="1723"/>
        <v>1</v>
      </c>
      <c r="O4065" s="11" t="s">
        <v>1702</v>
      </c>
      <c r="P4065" s="16" t="str">
        <f t="shared" si="1724"/>
        <v>12-Nov-1912</v>
      </c>
      <c r="R4065" s="16" t="str">
        <f t="shared" si="1725"/>
        <v>x</v>
      </c>
      <c r="S4065" s="16" t="str">
        <f t="shared" si="1725"/>
        <v>x</v>
      </c>
      <c r="U4065" s="46" t="str">
        <f t="shared" si="1720"/>
        <v/>
      </c>
      <c r="V4065" s="46">
        <f t="shared" si="1720"/>
        <v>76</v>
      </c>
      <c r="W4065" s="46" t="str">
        <f t="shared" si="1720"/>
        <v/>
      </c>
      <c r="X4065" s="46" t="str">
        <f t="shared" si="1720"/>
        <v/>
      </c>
    </row>
    <row r="4066" spans="2:26" x14ac:dyDescent="0.25">
      <c r="B4066" s="11" t="str">
        <f t="shared" si="1721"/>
        <v>MWAS-26DEC1912</v>
      </c>
      <c r="C4066" s="11" t="s">
        <v>3256</v>
      </c>
      <c r="D4066" s="11" t="s">
        <v>1906</v>
      </c>
      <c r="E4066" s="39" t="s">
        <v>2345</v>
      </c>
      <c r="F4066" s="11" t="s">
        <v>1700</v>
      </c>
      <c r="G4066" s="39" t="s">
        <v>4003</v>
      </c>
      <c r="H4066" s="7">
        <v>1</v>
      </c>
      <c r="I4066" s="7">
        <v>0</v>
      </c>
      <c r="J4066" s="17">
        <v>27</v>
      </c>
      <c r="K4066" s="17"/>
      <c r="L4066" s="7">
        <f t="shared" si="1722"/>
        <v>28</v>
      </c>
      <c r="M4066" s="8">
        <v>1</v>
      </c>
      <c r="N4066" s="8">
        <f t="shared" si="1723"/>
        <v>1</v>
      </c>
      <c r="O4066" s="11" t="s">
        <v>1702</v>
      </c>
      <c r="P4066" s="16" t="str">
        <f t="shared" si="1724"/>
        <v>26-Dec-1912</v>
      </c>
      <c r="R4066" s="16" t="str">
        <f t="shared" si="1725"/>
        <v>x</v>
      </c>
      <c r="S4066" s="16" t="str">
        <f t="shared" si="1725"/>
        <v>x</v>
      </c>
      <c r="U4066" s="46" t="str">
        <f t="shared" si="1720"/>
        <v/>
      </c>
      <c r="V4066" s="46">
        <f t="shared" si="1720"/>
        <v>28</v>
      </c>
      <c r="W4066" s="46" t="str">
        <f t="shared" si="1720"/>
        <v/>
      </c>
      <c r="X4066" s="46" t="str">
        <f t="shared" si="1720"/>
        <v/>
      </c>
    </row>
    <row r="4067" spans="2:26" x14ac:dyDescent="0.25">
      <c r="B4067" s="11" t="str">
        <f t="shared" si="1721"/>
        <v>MWAS-05FEB1913</v>
      </c>
      <c r="C4067" s="11" t="s">
        <v>3256</v>
      </c>
      <c r="D4067" s="11" t="s">
        <v>1906</v>
      </c>
      <c r="E4067" s="39" t="s">
        <v>2359</v>
      </c>
      <c r="F4067" s="11" t="s">
        <v>1700</v>
      </c>
      <c r="G4067" s="39" t="s">
        <v>3095</v>
      </c>
      <c r="H4067" s="7">
        <v>0</v>
      </c>
      <c r="I4067" s="7">
        <v>1</v>
      </c>
      <c r="J4067" s="17">
        <v>96</v>
      </c>
      <c r="K4067" s="17"/>
      <c r="L4067" s="7">
        <f t="shared" si="1722"/>
        <v>97</v>
      </c>
      <c r="M4067" s="8">
        <v>1</v>
      </c>
      <c r="N4067" s="8">
        <f t="shared" si="1723"/>
        <v>1</v>
      </c>
      <c r="O4067" s="11" t="s">
        <v>1702</v>
      </c>
      <c r="P4067" s="16" t="str">
        <f t="shared" si="1724"/>
        <v>05-Feb-1913</v>
      </c>
      <c r="R4067" s="16" t="str">
        <f t="shared" si="1725"/>
        <v>x</v>
      </c>
      <c r="S4067" s="16" t="str">
        <f t="shared" si="1725"/>
        <v>x</v>
      </c>
      <c r="U4067" s="46" t="str">
        <f t="shared" si="1720"/>
        <v/>
      </c>
      <c r="V4067" s="46">
        <f t="shared" si="1720"/>
        <v>97</v>
      </c>
      <c r="W4067" s="46" t="str">
        <f t="shared" si="1720"/>
        <v/>
      </c>
      <c r="X4067" s="46" t="str">
        <f t="shared" si="1720"/>
        <v/>
      </c>
    </row>
    <row r="4068" spans="2:26" x14ac:dyDescent="0.25">
      <c r="B4068" s="11" t="str">
        <f t="shared" si="1721"/>
        <v>MWAS-01MAY1913</v>
      </c>
      <c r="C4068" s="11" t="s">
        <v>3256</v>
      </c>
      <c r="D4068" s="11" t="s">
        <v>1906</v>
      </c>
      <c r="E4068" s="39" t="s">
        <v>3785</v>
      </c>
      <c r="F4068" s="11" t="s">
        <v>1700</v>
      </c>
      <c r="G4068" s="39" t="s">
        <v>3786</v>
      </c>
      <c r="H4068" s="7">
        <v>0</v>
      </c>
      <c r="I4068" s="7">
        <v>0</v>
      </c>
      <c r="J4068" s="17">
        <v>46</v>
      </c>
      <c r="K4068" s="17"/>
      <c r="L4068" s="7">
        <f t="shared" si="1722"/>
        <v>46</v>
      </c>
      <c r="M4068" s="8">
        <v>1</v>
      </c>
      <c r="N4068" s="8">
        <f t="shared" si="1723"/>
        <v>1</v>
      </c>
      <c r="O4068" s="11" t="s">
        <v>1702</v>
      </c>
      <c r="P4068" s="16" t="str">
        <f t="shared" si="1724"/>
        <v>01-May-1913</v>
      </c>
      <c r="R4068" s="16" t="str">
        <f t="shared" si="1725"/>
        <v>x</v>
      </c>
      <c r="S4068" s="16" t="str">
        <f t="shared" si="1725"/>
        <v>x</v>
      </c>
      <c r="U4068" s="46" t="str">
        <f t="shared" si="1720"/>
        <v/>
      </c>
      <c r="V4068" s="46">
        <f t="shared" si="1720"/>
        <v>46</v>
      </c>
      <c r="W4068" s="46" t="str">
        <f t="shared" si="1720"/>
        <v/>
      </c>
      <c r="X4068" s="46" t="str">
        <f t="shared" si="1720"/>
        <v/>
      </c>
    </row>
    <row r="4069" spans="2:26" x14ac:dyDescent="0.25">
      <c r="B4069" s="11" t="str">
        <f>CONCATENATE("MWAS","-",LEFT(P4069,2),UPPER(MID(P4069,4,3)),RIGHT(P4069,4))</f>
        <v>MWAS-09JUN1913</v>
      </c>
      <c r="C4069" s="11" t="s">
        <v>3256</v>
      </c>
      <c r="D4069" s="11" t="s">
        <v>1906</v>
      </c>
      <c r="E4069" s="39" t="s">
        <v>5358</v>
      </c>
      <c r="F4069" s="11" t="s">
        <v>1700</v>
      </c>
      <c r="G4069" s="39" t="s">
        <v>4558</v>
      </c>
      <c r="H4069" s="7">
        <v>0</v>
      </c>
      <c r="I4069" s="7">
        <f>0+2</f>
        <v>2</v>
      </c>
      <c r="J4069" s="17">
        <v>56</v>
      </c>
      <c r="K4069" s="17"/>
      <c r="L4069" s="7">
        <f>SUM(H4069:K4069)</f>
        <v>58</v>
      </c>
      <c r="M4069" s="8">
        <v>1</v>
      </c>
      <c r="N4069" s="8">
        <f>IF(L4069&gt;0,1,"")</f>
        <v>1</v>
      </c>
      <c r="O4069" s="11" t="s">
        <v>1702</v>
      </c>
      <c r="P4069" s="16" t="str">
        <f>IF(LEN(G4069)=10,CONCATENATE("0",G4069),G4069)</f>
        <v>09-Jun-1913</v>
      </c>
      <c r="R4069" s="16" t="str">
        <f t="shared" si="1725"/>
        <v>x</v>
      </c>
      <c r="S4069" s="16" t="str">
        <f t="shared" si="1725"/>
        <v>x</v>
      </c>
      <c r="U4069" s="46" t="str">
        <f t="shared" si="1720"/>
        <v/>
      </c>
      <c r="V4069" s="46">
        <f t="shared" si="1720"/>
        <v>58</v>
      </c>
      <c r="W4069" s="46" t="str">
        <f t="shared" si="1720"/>
        <v/>
      </c>
      <c r="X4069" s="46" t="str">
        <f t="shared" si="1720"/>
        <v/>
      </c>
    </row>
    <row r="4070" spans="2:26" x14ac:dyDescent="0.25">
      <c r="B4070" s="11" t="str">
        <f t="shared" si="1721"/>
        <v>MWAS-23JUL1913</v>
      </c>
      <c r="C4070" s="11" t="s">
        <v>3256</v>
      </c>
      <c r="D4070" s="11" t="s">
        <v>1906</v>
      </c>
      <c r="E4070" s="39" t="s">
        <v>3257</v>
      </c>
      <c r="F4070" s="11" t="s">
        <v>1700</v>
      </c>
      <c r="G4070" s="39" t="s">
        <v>2537</v>
      </c>
      <c r="H4070" s="7">
        <v>0</v>
      </c>
      <c r="I4070" s="7">
        <v>4</v>
      </c>
      <c r="J4070" s="17">
        <v>90</v>
      </c>
      <c r="K4070" s="17"/>
      <c r="L4070" s="7">
        <f t="shared" si="1722"/>
        <v>94</v>
      </c>
      <c r="M4070" s="8">
        <v>1</v>
      </c>
      <c r="N4070" s="8">
        <f t="shared" si="1723"/>
        <v>1</v>
      </c>
      <c r="O4070" s="11" t="s">
        <v>1702</v>
      </c>
      <c r="P4070" s="16" t="str">
        <f t="shared" si="1724"/>
        <v>23-Jul-1913</v>
      </c>
      <c r="R4070" s="16" t="str">
        <f t="shared" ref="R4070:S4076" si="1726">IF($L4070&gt;0,"x","")</f>
        <v>x</v>
      </c>
      <c r="S4070" s="16" t="str">
        <f t="shared" si="1726"/>
        <v>x</v>
      </c>
      <c r="U4070" s="46" t="str">
        <f t="shared" si="1720"/>
        <v/>
      </c>
      <c r="V4070" s="46">
        <f t="shared" si="1720"/>
        <v>94</v>
      </c>
      <c r="W4070" s="46" t="str">
        <f t="shared" si="1720"/>
        <v/>
      </c>
      <c r="X4070" s="46" t="str">
        <f t="shared" si="1720"/>
        <v/>
      </c>
    </row>
    <row r="4071" spans="2:26" x14ac:dyDescent="0.25">
      <c r="B4071" s="11" t="str">
        <f t="shared" si="1721"/>
        <v>MWAS-08SEP1913</v>
      </c>
      <c r="C4071" s="11" t="s">
        <v>3256</v>
      </c>
      <c r="D4071" s="11" t="s">
        <v>1906</v>
      </c>
      <c r="E4071" s="39" t="s">
        <v>3304</v>
      </c>
      <c r="F4071" s="11" t="s">
        <v>1700</v>
      </c>
      <c r="G4071" s="39" t="s">
        <v>5022</v>
      </c>
      <c r="I4071" s="7">
        <v>4</v>
      </c>
      <c r="J4071" s="17">
        <v>73</v>
      </c>
      <c r="K4071" s="17"/>
      <c r="L4071" s="7">
        <f t="shared" si="1722"/>
        <v>77</v>
      </c>
      <c r="M4071" s="8">
        <v>1</v>
      </c>
      <c r="N4071" s="8">
        <f t="shared" si="1723"/>
        <v>1</v>
      </c>
      <c r="O4071" s="11" t="s">
        <v>1702</v>
      </c>
      <c r="P4071" s="16" t="str">
        <f t="shared" si="1724"/>
        <v>08-Sep-1913</v>
      </c>
      <c r="R4071" s="16" t="str">
        <f t="shared" si="1726"/>
        <v>x</v>
      </c>
      <c r="S4071" s="16" t="str">
        <f t="shared" si="1726"/>
        <v>x</v>
      </c>
      <c r="U4071" s="46" t="str">
        <f t="shared" si="1720"/>
        <v/>
      </c>
      <c r="V4071" s="46">
        <f t="shared" si="1720"/>
        <v>77</v>
      </c>
      <c r="W4071" s="46" t="str">
        <f t="shared" si="1720"/>
        <v/>
      </c>
      <c r="X4071" s="46" t="str">
        <f t="shared" si="1720"/>
        <v/>
      </c>
    </row>
    <row r="4072" spans="2:26" x14ac:dyDescent="0.25">
      <c r="B4072" s="11" t="str">
        <f t="shared" si="1721"/>
        <v>MWAS-20OCT1913</v>
      </c>
      <c r="C4072" s="11" t="s">
        <v>3256</v>
      </c>
      <c r="D4072" s="11" t="s">
        <v>1906</v>
      </c>
      <c r="E4072" s="39" t="s">
        <v>2775</v>
      </c>
      <c r="F4072" s="11" t="s">
        <v>1700</v>
      </c>
      <c r="G4072" s="39" t="s">
        <v>1015</v>
      </c>
      <c r="I4072" s="7">
        <v>1</v>
      </c>
      <c r="J4072" s="17">
        <v>80</v>
      </c>
      <c r="K4072" s="17"/>
      <c r="L4072" s="7">
        <f t="shared" si="1722"/>
        <v>81</v>
      </c>
      <c r="M4072" s="8">
        <v>1</v>
      </c>
      <c r="N4072" s="8">
        <f t="shared" si="1723"/>
        <v>1</v>
      </c>
      <c r="O4072" s="11" t="s">
        <v>1702</v>
      </c>
      <c r="P4072" s="16" t="str">
        <f t="shared" si="1724"/>
        <v>20-Oct-1913</v>
      </c>
      <c r="R4072" s="16" t="str">
        <f t="shared" si="1726"/>
        <v>x</v>
      </c>
      <c r="S4072" s="16" t="str">
        <f t="shared" si="1726"/>
        <v>x</v>
      </c>
      <c r="U4072" s="46" t="str">
        <f t="shared" si="1720"/>
        <v/>
      </c>
      <c r="V4072" s="46">
        <f t="shared" si="1720"/>
        <v>81</v>
      </c>
      <c r="W4072" s="46" t="str">
        <f t="shared" si="1720"/>
        <v/>
      </c>
      <c r="X4072" s="46" t="str">
        <f t="shared" si="1720"/>
        <v/>
      </c>
    </row>
    <row r="4073" spans="2:26" x14ac:dyDescent="0.25">
      <c r="B4073" s="11" t="str">
        <f t="shared" si="1721"/>
        <v>MWAS-08DEC1913</v>
      </c>
      <c r="C4073" s="11" t="s">
        <v>3256</v>
      </c>
      <c r="D4073" s="11" t="s">
        <v>1906</v>
      </c>
      <c r="E4073" s="39" t="s">
        <v>4667</v>
      </c>
      <c r="F4073" s="11" t="s">
        <v>1700</v>
      </c>
      <c r="G4073" s="39" t="s">
        <v>3290</v>
      </c>
      <c r="H4073" s="7">
        <v>0</v>
      </c>
      <c r="I4073" s="7">
        <v>5</v>
      </c>
      <c r="J4073" s="17">
        <f>92+1</f>
        <v>93</v>
      </c>
      <c r="K4073" s="17"/>
      <c r="L4073" s="7">
        <f t="shared" si="1722"/>
        <v>98</v>
      </c>
      <c r="M4073" s="8">
        <v>1</v>
      </c>
      <c r="N4073" s="8">
        <f t="shared" si="1723"/>
        <v>1</v>
      </c>
      <c r="O4073" s="11" t="s">
        <v>1702</v>
      </c>
      <c r="P4073" s="16" t="str">
        <f t="shared" si="1724"/>
        <v>08-Dec-1913</v>
      </c>
      <c r="R4073" s="16" t="str">
        <f t="shared" si="1726"/>
        <v>x</v>
      </c>
      <c r="S4073" s="16" t="str">
        <f t="shared" si="1726"/>
        <v>x</v>
      </c>
      <c r="U4073" s="46" t="str">
        <f t="shared" ref="U4073:X4076" si="1727">IF($O4073=U$5,$L4073,"")</f>
        <v/>
      </c>
      <c r="V4073" s="46">
        <f t="shared" si="1727"/>
        <v>98</v>
      </c>
      <c r="W4073" s="46" t="str">
        <f t="shared" si="1727"/>
        <v/>
      </c>
      <c r="X4073" s="46" t="str">
        <f t="shared" si="1727"/>
        <v/>
      </c>
    </row>
    <row r="4074" spans="2:26" x14ac:dyDescent="0.25">
      <c r="B4074" s="11" t="str">
        <f>CONCATENATE("MWAS","-",LEFT(P4074,2),UPPER(MID(P4074,4,3)),RIGHT(P4074,4))</f>
        <v>MWAS-03FEB1914</v>
      </c>
      <c r="C4074" s="11" t="s">
        <v>3256</v>
      </c>
      <c r="D4074" s="11" t="s">
        <v>1906</v>
      </c>
      <c r="E4074" s="39" t="s">
        <v>5216</v>
      </c>
      <c r="F4074" s="11" t="s">
        <v>1700</v>
      </c>
      <c r="G4074" s="39" t="s">
        <v>5217</v>
      </c>
      <c r="H4074" s="7">
        <v>0</v>
      </c>
      <c r="I4074" s="7">
        <v>0</v>
      </c>
      <c r="J4074" s="17">
        <v>24</v>
      </c>
      <c r="K4074" s="17"/>
      <c r="L4074" s="7">
        <f>SUM(H4074:K4074)</f>
        <v>24</v>
      </c>
      <c r="M4074" s="8">
        <v>1</v>
      </c>
      <c r="N4074" s="8">
        <f>IF(L4074&gt;0,1,"")</f>
        <v>1</v>
      </c>
      <c r="O4074" s="11" t="s">
        <v>1702</v>
      </c>
      <c r="P4074" s="16" t="str">
        <f>IF(LEN(G4074)=10,CONCATENATE("0",G4074),G4074)</f>
        <v>03-Feb-1914</v>
      </c>
      <c r="R4074" s="16" t="str">
        <f t="shared" si="1726"/>
        <v>x</v>
      </c>
      <c r="S4074" s="16" t="str">
        <f t="shared" si="1726"/>
        <v>x</v>
      </c>
      <c r="U4074" s="46" t="str">
        <f t="shared" si="1727"/>
        <v/>
      </c>
      <c r="V4074" s="46">
        <f t="shared" si="1727"/>
        <v>24</v>
      </c>
      <c r="W4074" s="46" t="str">
        <f t="shared" si="1727"/>
        <v/>
      </c>
      <c r="X4074" s="46" t="str">
        <f t="shared" si="1727"/>
        <v/>
      </c>
    </row>
    <row r="4075" spans="2:26" x14ac:dyDescent="0.25">
      <c r="B4075" s="11" t="str">
        <f>CONCATENATE("MWAS","-",LEFT(P4075,2),UPPER(MID(P4075,4,3)),RIGHT(P4075,4))</f>
        <v>MWAS-10JUN1914</v>
      </c>
      <c r="C4075" s="11" t="s">
        <v>3256</v>
      </c>
      <c r="D4075" s="11" t="s">
        <v>1906</v>
      </c>
      <c r="E4075" s="39" t="s">
        <v>1042</v>
      </c>
      <c r="F4075" s="11" t="s">
        <v>1700</v>
      </c>
      <c r="G4075" s="39" t="s">
        <v>2563</v>
      </c>
      <c r="H4075" s="7">
        <v>0</v>
      </c>
      <c r="I4075" s="7">
        <v>0</v>
      </c>
      <c r="J4075" s="17">
        <v>17</v>
      </c>
      <c r="K4075" s="17"/>
      <c r="L4075" s="7">
        <f>SUM(H4075:K4075)</f>
        <v>17</v>
      </c>
      <c r="M4075" s="8">
        <v>1</v>
      </c>
      <c r="N4075" s="8">
        <f>IF(L4075&gt;0,1,"")</f>
        <v>1</v>
      </c>
      <c r="O4075" s="11" t="s">
        <v>1702</v>
      </c>
      <c r="P4075" s="16" t="str">
        <f>IF(LEN(G4075)=10,CONCATENATE("0",G4075),G4075)</f>
        <v>10-Jun-1914</v>
      </c>
      <c r="R4075" s="16" t="str">
        <f t="shared" si="1726"/>
        <v>x</v>
      </c>
      <c r="S4075" s="16" t="str">
        <f t="shared" si="1726"/>
        <v>x</v>
      </c>
      <c r="U4075" s="46" t="str">
        <f t="shared" si="1727"/>
        <v/>
      </c>
      <c r="V4075" s="46">
        <f t="shared" si="1727"/>
        <v>17</v>
      </c>
      <c r="W4075" s="46" t="str">
        <f t="shared" si="1727"/>
        <v/>
      </c>
      <c r="X4075" s="46" t="str">
        <f t="shared" si="1727"/>
        <v/>
      </c>
    </row>
    <row r="4076" spans="2:26" x14ac:dyDescent="0.25">
      <c r="B4076" s="11" t="str">
        <f t="shared" si="1721"/>
        <v>MWAS-01NOV1923</v>
      </c>
      <c r="C4076" s="11" t="s">
        <v>3256</v>
      </c>
      <c r="D4076" s="11" t="s">
        <v>1906</v>
      </c>
      <c r="E4076" s="39" t="s">
        <v>3909</v>
      </c>
      <c r="F4076" s="11" t="s">
        <v>3050</v>
      </c>
      <c r="G4076" s="39" t="s">
        <v>3716</v>
      </c>
      <c r="H4076" s="7">
        <v>0</v>
      </c>
      <c r="I4076" s="7">
        <v>11</v>
      </c>
      <c r="J4076" s="17">
        <v>3</v>
      </c>
      <c r="K4076" s="17"/>
      <c r="L4076" s="7">
        <f t="shared" si="1722"/>
        <v>14</v>
      </c>
      <c r="M4076" s="8">
        <v>1</v>
      </c>
      <c r="N4076" s="8">
        <f t="shared" si="1723"/>
        <v>1</v>
      </c>
      <c r="O4076" s="11" t="s">
        <v>1702</v>
      </c>
      <c r="P4076" s="16" t="str">
        <f t="shared" si="1724"/>
        <v>01-Nov-1923</v>
      </c>
      <c r="R4076" s="16" t="str">
        <f t="shared" si="1726"/>
        <v>x</v>
      </c>
      <c r="S4076" s="16" t="str">
        <f t="shared" si="1726"/>
        <v>x</v>
      </c>
      <c r="U4076" s="46" t="str">
        <f t="shared" si="1727"/>
        <v/>
      </c>
      <c r="V4076" s="46">
        <f t="shared" si="1727"/>
        <v>14</v>
      </c>
      <c r="W4076" s="46" t="str">
        <f t="shared" si="1727"/>
        <v/>
      </c>
      <c r="X4076" s="46" t="str">
        <f t="shared" si="1727"/>
        <v/>
      </c>
    </row>
    <row r="4077" spans="2:26" x14ac:dyDescent="0.25">
      <c r="B4077" s="11" t="str">
        <f t="shared" si="1721"/>
        <v>MWAS-30JUN1927</v>
      </c>
      <c r="C4077" s="11" t="s">
        <v>3256</v>
      </c>
      <c r="D4077" s="11" t="s">
        <v>11452</v>
      </c>
      <c r="E4077" s="39" t="s">
        <v>4775</v>
      </c>
      <c r="F4077" s="11" t="s">
        <v>1700</v>
      </c>
      <c r="G4077" s="39" t="s">
        <v>4776</v>
      </c>
      <c r="H4077" s="7">
        <v>0</v>
      </c>
      <c r="I4077" s="7">
        <v>4</v>
      </c>
      <c r="J4077" s="17"/>
      <c r="K4077" s="17"/>
      <c r="L4077" s="7">
        <f t="shared" si="1722"/>
        <v>4</v>
      </c>
      <c r="M4077" s="8">
        <v>1</v>
      </c>
      <c r="N4077" s="8">
        <f t="shared" si="1723"/>
        <v>1</v>
      </c>
      <c r="O4077" s="11" t="s">
        <v>1702</v>
      </c>
      <c r="P4077" s="16" t="str">
        <f t="shared" si="1724"/>
        <v>30-Jun-1927</v>
      </c>
      <c r="S4077" s="16" t="s">
        <v>1703</v>
      </c>
      <c r="U4077" s="46" t="str">
        <f t="shared" ref="U4077:X4094" si="1728">IF($O4077=U$5,$L4077,"")</f>
        <v/>
      </c>
      <c r="V4077" s="46">
        <f t="shared" si="1728"/>
        <v>4</v>
      </c>
      <c r="W4077" s="46" t="str">
        <f t="shared" si="1728"/>
        <v/>
      </c>
      <c r="X4077" s="46" t="str">
        <f t="shared" si="1728"/>
        <v/>
      </c>
    </row>
    <row r="4078" spans="2:26" x14ac:dyDescent="0.25">
      <c r="N4078" s="8" t="str">
        <f>IF(R4078="x",1,"")</f>
        <v/>
      </c>
      <c r="U4078" s="46" t="str">
        <f t="shared" si="1728"/>
        <v/>
      </c>
      <c r="V4078" s="46" t="str">
        <f t="shared" si="1728"/>
        <v/>
      </c>
      <c r="W4078" s="46" t="str">
        <f t="shared" si="1728"/>
        <v/>
      </c>
      <c r="X4078" s="46" t="str">
        <f t="shared" si="1728"/>
        <v/>
      </c>
    </row>
    <row r="4079" spans="2:26" s="18" customFormat="1" x14ac:dyDescent="0.25">
      <c r="E4079" s="40"/>
      <c r="G4079" s="40"/>
      <c r="H4079" s="7">
        <f t="shared" ref="H4079:N4079" si="1729">SUM(H4047:H4078)</f>
        <v>5</v>
      </c>
      <c r="I4079" s="7">
        <f t="shared" si="1729"/>
        <v>75</v>
      </c>
      <c r="J4079" s="7">
        <f>SUM(J4047:J4078)</f>
        <v>1315</v>
      </c>
      <c r="K4079" s="7">
        <f t="shared" si="1729"/>
        <v>0</v>
      </c>
      <c r="L4079" s="7">
        <f t="shared" si="1729"/>
        <v>1395</v>
      </c>
      <c r="M4079" s="7">
        <f t="shared" si="1729"/>
        <v>31</v>
      </c>
      <c r="N4079" s="7">
        <f t="shared" si="1729"/>
        <v>31</v>
      </c>
      <c r="P4079" s="13"/>
      <c r="Q4079" s="13"/>
      <c r="R4079" s="16"/>
      <c r="S4079" s="13"/>
      <c r="T4079" s="15"/>
      <c r="U4079" s="46" t="str">
        <f t="shared" si="1728"/>
        <v/>
      </c>
      <c r="V4079" s="46" t="str">
        <f t="shared" si="1728"/>
        <v/>
      </c>
      <c r="W4079" s="46" t="str">
        <f t="shared" si="1728"/>
        <v/>
      </c>
      <c r="X4079" s="46" t="str">
        <f t="shared" si="1728"/>
        <v/>
      </c>
      <c r="Z4079" s="11"/>
    </row>
    <row r="4080" spans="2:26" s="18" customFormat="1" x14ac:dyDescent="0.25">
      <c r="E4080" s="40"/>
      <c r="G4080" s="40"/>
      <c r="H4080" s="7"/>
      <c r="I4080" s="7"/>
      <c r="J4080" s="7"/>
      <c r="K4080" s="7"/>
      <c r="L4080" s="7"/>
      <c r="M4080" s="8"/>
      <c r="N4080" s="8" t="str">
        <f>IF(R4080="x",1,"")</f>
        <v/>
      </c>
      <c r="P4080" s="13"/>
      <c r="Q4080" s="13"/>
      <c r="R4080" s="13"/>
      <c r="S4080" s="13"/>
      <c r="T4080" s="15"/>
      <c r="U4080" s="46" t="str">
        <f t="shared" si="1728"/>
        <v/>
      </c>
      <c r="V4080" s="46" t="str">
        <f t="shared" si="1728"/>
        <v/>
      </c>
      <c r="W4080" s="46" t="str">
        <f t="shared" si="1728"/>
        <v/>
      </c>
      <c r="X4080" s="46" t="str">
        <f t="shared" si="1728"/>
        <v/>
      </c>
      <c r="Z4080" s="11"/>
    </row>
    <row r="4081" spans="2:26" s="18" customFormat="1" x14ac:dyDescent="0.25">
      <c r="E4081" s="40"/>
      <c r="G4081" s="40"/>
      <c r="H4081" s="7"/>
      <c r="I4081" s="7"/>
      <c r="J4081" s="7"/>
      <c r="K4081" s="7"/>
      <c r="L4081" s="7"/>
      <c r="M4081" s="8"/>
      <c r="N4081" s="8" t="str">
        <f>IF(R4081="x",1,"")</f>
        <v/>
      </c>
      <c r="P4081" s="13"/>
      <c r="Q4081" s="13"/>
      <c r="R4081" s="13"/>
      <c r="S4081" s="13"/>
      <c r="T4081" s="15"/>
      <c r="U4081" s="46" t="str">
        <f t="shared" si="1728"/>
        <v/>
      </c>
      <c r="V4081" s="46" t="str">
        <f t="shared" si="1728"/>
        <v/>
      </c>
      <c r="W4081" s="46" t="str">
        <f t="shared" si="1728"/>
        <v/>
      </c>
      <c r="X4081" s="46" t="str">
        <f t="shared" si="1728"/>
        <v/>
      </c>
      <c r="Z4081" s="11"/>
    </row>
    <row r="4082" spans="2:26" x14ac:dyDescent="0.25">
      <c r="B4082" s="11" t="str">
        <f t="shared" ref="B4082:B4087" si="1730">CONCATENATE("MASS","-",LEFT(P4082,2),UPPER(MID(P4082,4,3)),RIGHT(P4082,4))</f>
        <v>MASS-06JUL1897</v>
      </c>
      <c r="C4082" s="11" t="s">
        <v>3296</v>
      </c>
      <c r="D4082" s="11" t="s">
        <v>870</v>
      </c>
      <c r="E4082" s="39" t="s">
        <v>276</v>
      </c>
      <c r="F4082" s="11" t="s">
        <v>1700</v>
      </c>
      <c r="G4082" s="39" t="s">
        <v>186</v>
      </c>
      <c r="J4082" s="17">
        <v>4</v>
      </c>
      <c r="K4082" s="17"/>
      <c r="L4082" s="7">
        <f t="shared" ref="L4082:L4087" si="1731">SUM(H4082:K4082)</f>
        <v>4</v>
      </c>
      <c r="M4082" s="8">
        <v>1</v>
      </c>
      <c r="N4082" s="8">
        <f t="shared" ref="N4082:N4087" si="1732">IF(L4082&gt;0,1,"")</f>
        <v>1</v>
      </c>
      <c r="O4082" s="11" t="s">
        <v>1702</v>
      </c>
      <c r="P4082" s="16" t="str">
        <f t="shared" ref="P4082:P4087" si="1733">IF(LEN(G4082)=10,CONCATENATE("0",G4082),G4082)</f>
        <v>06-Jul-1897</v>
      </c>
      <c r="R4082" s="16" t="str">
        <f t="shared" ref="R4082:S4086" si="1734">IF($L4082&gt;0,"x","")</f>
        <v>x</v>
      </c>
      <c r="S4082" s="16" t="str">
        <f t="shared" si="1734"/>
        <v>x</v>
      </c>
      <c r="U4082" s="46" t="str">
        <f t="shared" si="1728"/>
        <v/>
      </c>
      <c r="V4082" s="46">
        <f t="shared" si="1728"/>
        <v>4</v>
      </c>
      <c r="W4082" s="46" t="str">
        <f t="shared" si="1728"/>
        <v/>
      </c>
      <c r="X4082" s="46" t="str">
        <f t="shared" si="1728"/>
        <v/>
      </c>
    </row>
    <row r="4083" spans="2:26" x14ac:dyDescent="0.25">
      <c r="B4083" s="11" t="str">
        <f t="shared" si="1730"/>
        <v>MASS-05JAN1898</v>
      </c>
      <c r="C4083" s="11" t="s">
        <v>3296</v>
      </c>
      <c r="D4083" s="11" t="s">
        <v>870</v>
      </c>
      <c r="E4083" s="39" t="s">
        <v>549</v>
      </c>
      <c r="F4083" s="11" t="s">
        <v>1700</v>
      </c>
      <c r="G4083" s="39" t="s">
        <v>4580</v>
      </c>
      <c r="J4083" s="17">
        <v>4</v>
      </c>
      <c r="K4083" s="17"/>
      <c r="L4083" s="7">
        <f t="shared" si="1731"/>
        <v>4</v>
      </c>
      <c r="M4083" s="8">
        <v>1</v>
      </c>
      <c r="N4083" s="8">
        <f t="shared" si="1732"/>
        <v>1</v>
      </c>
      <c r="O4083" s="11" t="s">
        <v>1702</v>
      </c>
      <c r="P4083" s="16" t="str">
        <f t="shared" si="1733"/>
        <v>05-Jan-1898</v>
      </c>
      <c r="R4083" s="16" t="str">
        <f t="shared" si="1734"/>
        <v>x</v>
      </c>
      <c r="S4083" s="16" t="str">
        <f t="shared" si="1734"/>
        <v>x</v>
      </c>
      <c r="U4083" s="46" t="str">
        <f t="shared" si="1728"/>
        <v/>
      </c>
      <c r="V4083" s="46">
        <f t="shared" si="1728"/>
        <v>4</v>
      </c>
      <c r="W4083" s="46" t="str">
        <f t="shared" si="1728"/>
        <v/>
      </c>
      <c r="X4083" s="46" t="str">
        <f t="shared" si="1728"/>
        <v/>
      </c>
    </row>
    <row r="4084" spans="2:26" x14ac:dyDescent="0.25">
      <c r="B4084" s="11" t="str">
        <f t="shared" si="1730"/>
        <v>MASS-03NOV1902</v>
      </c>
      <c r="C4084" s="11" t="s">
        <v>3296</v>
      </c>
      <c r="D4084" s="11" t="s">
        <v>870</v>
      </c>
      <c r="E4084" s="39" t="s">
        <v>1629</v>
      </c>
      <c r="F4084" s="11" t="s">
        <v>1700</v>
      </c>
      <c r="G4084" s="39" t="s">
        <v>3988</v>
      </c>
      <c r="J4084" s="17">
        <v>5</v>
      </c>
      <c r="K4084" s="17"/>
      <c r="L4084" s="7">
        <f t="shared" si="1731"/>
        <v>5</v>
      </c>
      <c r="M4084" s="8">
        <v>1</v>
      </c>
      <c r="N4084" s="8">
        <f t="shared" si="1732"/>
        <v>1</v>
      </c>
      <c r="O4084" s="11" t="s">
        <v>1702</v>
      </c>
      <c r="P4084" s="16" t="str">
        <f t="shared" si="1733"/>
        <v>03-Nov-1902</v>
      </c>
      <c r="R4084" s="16" t="str">
        <f t="shared" si="1734"/>
        <v>x</v>
      </c>
      <c r="S4084" s="16" t="str">
        <f t="shared" si="1734"/>
        <v>x</v>
      </c>
      <c r="U4084" s="46" t="str">
        <f t="shared" si="1728"/>
        <v/>
      </c>
      <c r="V4084" s="46">
        <f t="shared" si="1728"/>
        <v>5</v>
      </c>
      <c r="W4084" s="46" t="str">
        <f t="shared" si="1728"/>
        <v/>
      </c>
      <c r="X4084" s="46" t="str">
        <f t="shared" si="1728"/>
        <v/>
      </c>
    </row>
    <row r="4085" spans="2:26" x14ac:dyDescent="0.25">
      <c r="B4085" s="11" t="str">
        <f t="shared" si="1730"/>
        <v>MASS-23JUL1903</v>
      </c>
      <c r="C4085" s="11" t="s">
        <v>3296</v>
      </c>
      <c r="D4085" s="11" t="s">
        <v>870</v>
      </c>
      <c r="E4085" s="39" t="s">
        <v>3445</v>
      </c>
      <c r="F4085" s="11" t="s">
        <v>1700</v>
      </c>
      <c r="G4085" s="39" t="s">
        <v>3444</v>
      </c>
      <c r="J4085" s="17">
        <v>3</v>
      </c>
      <c r="K4085" s="17"/>
      <c r="L4085" s="7">
        <f t="shared" si="1731"/>
        <v>3</v>
      </c>
      <c r="M4085" s="8">
        <v>1</v>
      </c>
      <c r="N4085" s="8">
        <f t="shared" si="1732"/>
        <v>1</v>
      </c>
      <c r="O4085" s="11" t="s">
        <v>1702</v>
      </c>
      <c r="P4085" s="16" t="str">
        <f t="shared" si="1733"/>
        <v>23-Jul-1903</v>
      </c>
      <c r="R4085" s="16" t="str">
        <f t="shared" si="1734"/>
        <v>x</v>
      </c>
      <c r="S4085" s="16" t="str">
        <f t="shared" si="1734"/>
        <v>x</v>
      </c>
      <c r="U4085" s="46" t="str">
        <f t="shared" si="1728"/>
        <v/>
      </c>
      <c r="V4085" s="46">
        <f t="shared" si="1728"/>
        <v>3</v>
      </c>
      <c r="W4085" s="46" t="str">
        <f t="shared" si="1728"/>
        <v/>
      </c>
      <c r="X4085" s="46" t="str">
        <f t="shared" si="1728"/>
        <v/>
      </c>
    </row>
    <row r="4086" spans="2:26" x14ac:dyDescent="0.25">
      <c r="B4086" s="11" t="str">
        <f t="shared" si="1730"/>
        <v>MASS-23JUL1903</v>
      </c>
      <c r="C4086" s="11" t="s">
        <v>3296</v>
      </c>
      <c r="D4086" s="11" t="s">
        <v>3007</v>
      </c>
      <c r="E4086" s="39" t="s">
        <v>1653</v>
      </c>
      <c r="F4086" s="11" t="s">
        <v>1700</v>
      </c>
      <c r="G4086" s="39" t="s">
        <v>3444</v>
      </c>
      <c r="H4086" s="7">
        <v>0</v>
      </c>
      <c r="J4086" s="17">
        <v>5</v>
      </c>
      <c r="K4086" s="17"/>
      <c r="L4086" s="7">
        <f t="shared" si="1731"/>
        <v>5</v>
      </c>
      <c r="M4086" s="8">
        <v>1</v>
      </c>
      <c r="N4086" s="8">
        <f t="shared" si="1732"/>
        <v>1</v>
      </c>
      <c r="O4086" s="11" t="s">
        <v>1702</v>
      </c>
      <c r="P4086" s="16" t="str">
        <f t="shared" si="1733"/>
        <v>23-Jul-1903</v>
      </c>
      <c r="R4086" s="16" t="str">
        <f t="shared" si="1734"/>
        <v>x</v>
      </c>
      <c r="S4086" s="16" t="str">
        <f t="shared" si="1734"/>
        <v>x</v>
      </c>
      <c r="U4086" s="46" t="str">
        <f t="shared" si="1728"/>
        <v/>
      </c>
      <c r="V4086" s="46">
        <f t="shared" si="1728"/>
        <v>5</v>
      </c>
      <c r="W4086" s="46" t="str">
        <f t="shared" si="1728"/>
        <v/>
      </c>
      <c r="X4086" s="46" t="str">
        <f t="shared" si="1728"/>
        <v/>
      </c>
    </row>
    <row r="4087" spans="2:26" x14ac:dyDescent="0.25">
      <c r="B4087" s="11" t="str">
        <f t="shared" si="1730"/>
        <v>MASS-06SEP1910</v>
      </c>
      <c r="C4087" s="11" t="s">
        <v>3296</v>
      </c>
      <c r="D4087" s="11" t="s">
        <v>870</v>
      </c>
      <c r="E4087" s="39" t="s">
        <v>5284</v>
      </c>
      <c r="F4087" s="11" t="s">
        <v>1700</v>
      </c>
      <c r="G4087" s="39" t="s">
        <v>3637</v>
      </c>
      <c r="H4087" s="7">
        <v>2</v>
      </c>
      <c r="J4087" s="17">
        <v>0</v>
      </c>
      <c r="K4087" s="17"/>
      <c r="L4087" s="7">
        <f t="shared" si="1731"/>
        <v>2</v>
      </c>
      <c r="M4087" s="8">
        <v>1</v>
      </c>
      <c r="N4087" s="8">
        <f t="shared" si="1732"/>
        <v>1</v>
      </c>
      <c r="O4087" s="11" t="s">
        <v>1702</v>
      </c>
      <c r="P4087" s="16" t="str">
        <f t="shared" si="1733"/>
        <v>06-Sep-1910</v>
      </c>
      <c r="R4087" s="16" t="str">
        <f>IF($L4087&gt;0,"x","")</f>
        <v>x</v>
      </c>
      <c r="S4087" s="16" t="str">
        <f>IF($L4087&gt;0,"x","")</f>
        <v>x</v>
      </c>
      <c r="U4087" s="46" t="str">
        <f t="shared" si="1728"/>
        <v/>
      </c>
      <c r="V4087" s="46">
        <f t="shared" si="1728"/>
        <v>2</v>
      </c>
      <c r="W4087" s="46" t="str">
        <f t="shared" si="1728"/>
        <v/>
      </c>
      <c r="X4087" s="46" t="str">
        <f t="shared" si="1728"/>
        <v/>
      </c>
    </row>
    <row r="4088" spans="2:26" x14ac:dyDescent="0.25">
      <c r="N4088" s="8" t="str">
        <f>IF(R4088="x",1,"")</f>
        <v/>
      </c>
      <c r="U4088" s="46" t="str">
        <f t="shared" si="1728"/>
        <v/>
      </c>
      <c r="V4088" s="46" t="str">
        <f t="shared" si="1728"/>
        <v/>
      </c>
      <c r="W4088" s="46" t="str">
        <f t="shared" si="1728"/>
        <v/>
      </c>
      <c r="X4088" s="46" t="str">
        <f t="shared" si="1728"/>
        <v/>
      </c>
    </row>
    <row r="4089" spans="2:26" s="18" customFormat="1" x14ac:dyDescent="0.25">
      <c r="E4089" s="40"/>
      <c r="G4089" s="40"/>
      <c r="H4089" s="7">
        <f t="shared" ref="H4089:N4089" si="1735">SUM(H4082:H4088)</f>
        <v>2</v>
      </c>
      <c r="I4089" s="7">
        <f t="shared" si="1735"/>
        <v>0</v>
      </c>
      <c r="J4089" s="7">
        <f>SUM(J4082:J4088)</f>
        <v>21</v>
      </c>
      <c r="K4089" s="7">
        <f t="shared" si="1735"/>
        <v>0</v>
      </c>
      <c r="L4089" s="7">
        <f t="shared" si="1735"/>
        <v>23</v>
      </c>
      <c r="M4089" s="7">
        <f t="shared" si="1735"/>
        <v>6</v>
      </c>
      <c r="N4089" s="7">
        <f t="shared" si="1735"/>
        <v>6</v>
      </c>
      <c r="P4089" s="13"/>
      <c r="Q4089" s="13"/>
      <c r="R4089" s="16"/>
      <c r="S4089" s="13"/>
      <c r="T4089" s="15"/>
      <c r="U4089" s="46" t="str">
        <f t="shared" si="1728"/>
        <v/>
      </c>
      <c r="V4089" s="46" t="str">
        <f t="shared" si="1728"/>
        <v/>
      </c>
      <c r="W4089" s="46" t="str">
        <f t="shared" si="1728"/>
        <v/>
      </c>
      <c r="X4089" s="46" t="str">
        <f t="shared" si="1728"/>
        <v/>
      </c>
      <c r="Z4089" s="11"/>
    </row>
    <row r="4090" spans="2:26" s="18" customFormat="1" x14ac:dyDescent="0.25">
      <c r="E4090" s="40"/>
      <c r="G4090" s="40"/>
      <c r="H4090" s="7"/>
      <c r="I4090" s="7"/>
      <c r="J4090" s="7"/>
      <c r="K4090" s="7"/>
      <c r="L4090" s="7"/>
      <c r="M4090" s="8"/>
      <c r="N4090" s="8" t="str">
        <f>IF(R4090="x",1,"")</f>
        <v/>
      </c>
      <c r="P4090" s="13"/>
      <c r="Q4090" s="13"/>
      <c r="R4090" s="13"/>
      <c r="S4090" s="13"/>
      <c r="T4090" s="15"/>
      <c r="U4090" s="46" t="str">
        <f t="shared" si="1728"/>
        <v/>
      </c>
      <c r="V4090" s="46" t="str">
        <f t="shared" si="1728"/>
        <v/>
      </c>
      <c r="W4090" s="46" t="str">
        <f t="shared" si="1728"/>
        <v/>
      </c>
      <c r="X4090" s="46" t="str">
        <f t="shared" si="1728"/>
        <v/>
      </c>
      <c r="Z4090" s="11"/>
    </row>
    <row r="4091" spans="2:26" s="18" customFormat="1" x14ac:dyDescent="0.25">
      <c r="E4091" s="40"/>
      <c r="G4091" s="40"/>
      <c r="H4091" s="7"/>
      <c r="I4091" s="7"/>
      <c r="J4091" s="7"/>
      <c r="K4091" s="7"/>
      <c r="L4091" s="7"/>
      <c r="M4091" s="8"/>
      <c r="N4091" s="8" t="str">
        <f>IF(R4091="x",1,"")</f>
        <v/>
      </c>
      <c r="P4091" s="13"/>
      <c r="Q4091" s="13"/>
      <c r="R4091" s="13"/>
      <c r="S4091" s="13"/>
      <c r="T4091" s="15"/>
      <c r="U4091" s="46" t="str">
        <f t="shared" si="1728"/>
        <v/>
      </c>
      <c r="V4091" s="46" t="str">
        <f t="shared" si="1728"/>
        <v/>
      </c>
      <c r="W4091" s="46" t="str">
        <f t="shared" si="1728"/>
        <v/>
      </c>
      <c r="X4091" s="46" t="str">
        <f t="shared" si="1728"/>
        <v/>
      </c>
      <c r="Z4091" s="11"/>
    </row>
    <row r="4092" spans="2:26" x14ac:dyDescent="0.25">
      <c r="B4092" s="11" t="str">
        <f t="shared" ref="B4092:B4108" si="1736">CONCATENATE("MAUR","-",LEFT(P4092,2),UPPER(MID(P4092,4,3)),RIGHT(P4092,4))</f>
        <v>MAUR-21DEC1907</v>
      </c>
      <c r="C4092" s="11" t="s">
        <v>3264</v>
      </c>
      <c r="D4092" s="11" t="s">
        <v>2097</v>
      </c>
      <c r="E4092" s="39" t="s">
        <v>2252</v>
      </c>
      <c r="F4092" s="11" t="s">
        <v>1700</v>
      </c>
      <c r="G4092" s="39" t="s">
        <v>1210</v>
      </c>
      <c r="H4092" s="7">
        <v>0</v>
      </c>
      <c r="I4092" s="7">
        <v>2</v>
      </c>
      <c r="J4092" s="17">
        <v>12</v>
      </c>
      <c r="K4092" s="17"/>
      <c r="L4092" s="7">
        <f>SUM(H4092:K4092)</f>
        <v>14</v>
      </c>
      <c r="M4092" s="8">
        <v>1</v>
      </c>
      <c r="N4092" s="8">
        <f>IF(L4092&gt;0,1,"")</f>
        <v>1</v>
      </c>
      <c r="O4092" s="11" t="s">
        <v>1702</v>
      </c>
      <c r="P4092" s="16" t="str">
        <f>IF(LEN(G4092)=10,CONCATENATE("0",G4092),G4092)</f>
        <v>21-Dec-1907</v>
      </c>
      <c r="R4092" s="16" t="str">
        <f t="shared" ref="R4092:S4100" si="1737">IF($L4092&gt;0,"x","")</f>
        <v>x</v>
      </c>
      <c r="S4092" s="16" t="str">
        <f t="shared" si="1737"/>
        <v>x</v>
      </c>
      <c r="U4092" s="46" t="str">
        <f t="shared" si="1728"/>
        <v/>
      </c>
      <c r="V4092" s="46">
        <f t="shared" si="1728"/>
        <v>14</v>
      </c>
      <c r="W4092" s="46" t="str">
        <f t="shared" si="1728"/>
        <v/>
      </c>
      <c r="X4092" s="46" t="str">
        <f t="shared" si="1728"/>
        <v/>
      </c>
    </row>
    <row r="4093" spans="2:26" x14ac:dyDescent="0.25">
      <c r="B4093" s="11" t="str">
        <f>CONCATENATE("MAUR","-",LEFT(P4093,2),UPPER(MID(P4093,4,3)),RIGHT(P4093,4))</f>
        <v>MAUR-08MAY1908</v>
      </c>
      <c r="C4093" s="11" t="s">
        <v>3264</v>
      </c>
      <c r="D4093" s="11" t="s">
        <v>2097</v>
      </c>
      <c r="E4093" s="39" t="s">
        <v>1211</v>
      </c>
      <c r="F4093" s="11" t="s">
        <v>1700</v>
      </c>
      <c r="G4093" s="39" t="s">
        <v>5703</v>
      </c>
      <c r="H4093" s="7">
        <v>0</v>
      </c>
      <c r="I4093" s="7">
        <v>0</v>
      </c>
      <c r="J4093" s="17">
        <v>1</v>
      </c>
      <c r="K4093" s="17"/>
      <c r="L4093" s="7">
        <f t="shared" ref="L4093:L4099" si="1738">SUM(H4093:K4093)</f>
        <v>1</v>
      </c>
      <c r="M4093" s="8">
        <v>1</v>
      </c>
      <c r="N4093" s="8">
        <f t="shared" ref="N4093:N4099" si="1739">IF(L4093&gt;0,1,"")</f>
        <v>1</v>
      </c>
      <c r="O4093" s="11" t="s">
        <v>1702</v>
      </c>
      <c r="P4093" s="16" t="str">
        <f t="shared" ref="P4093:P4099" si="1740">IF(LEN(G4093)=10,CONCATENATE("0",G4093),G4093)</f>
        <v>08-May-1908</v>
      </c>
      <c r="R4093" s="16" t="str">
        <f>IF($L4093&gt;0,"x","")</f>
        <v>x</v>
      </c>
      <c r="S4093" s="16" t="str">
        <f>IF($L4093&gt;0,"x","")</f>
        <v>x</v>
      </c>
      <c r="U4093" s="46" t="str">
        <f t="shared" si="1728"/>
        <v/>
      </c>
      <c r="V4093" s="46">
        <f t="shared" si="1728"/>
        <v>1</v>
      </c>
      <c r="W4093" s="46" t="str">
        <f t="shared" si="1728"/>
        <v/>
      </c>
      <c r="X4093" s="46" t="str">
        <f t="shared" si="1728"/>
        <v/>
      </c>
    </row>
    <row r="4094" spans="2:26" x14ac:dyDescent="0.25">
      <c r="B4094" s="11" t="str">
        <f t="shared" si="1736"/>
        <v>MAUR-09APR1909</v>
      </c>
      <c r="C4094" s="11" t="s">
        <v>3264</v>
      </c>
      <c r="D4094" s="11" t="s">
        <v>2097</v>
      </c>
      <c r="E4094" s="39" t="s">
        <v>1237</v>
      </c>
      <c r="F4094" s="11" t="s">
        <v>1700</v>
      </c>
      <c r="G4094" s="39" t="s">
        <v>4147</v>
      </c>
      <c r="H4094" s="7">
        <v>0</v>
      </c>
      <c r="I4094" s="7">
        <v>2</v>
      </c>
      <c r="J4094" s="17">
        <v>0</v>
      </c>
      <c r="K4094" s="17"/>
      <c r="L4094" s="7">
        <f t="shared" si="1738"/>
        <v>2</v>
      </c>
      <c r="M4094" s="8">
        <v>1</v>
      </c>
      <c r="N4094" s="8">
        <f t="shared" si="1739"/>
        <v>1</v>
      </c>
      <c r="O4094" s="11" t="s">
        <v>1702</v>
      </c>
      <c r="P4094" s="16" t="str">
        <f t="shared" si="1740"/>
        <v>09-Apr-1909</v>
      </c>
      <c r="R4094" s="16" t="str">
        <f t="shared" si="1737"/>
        <v>x</v>
      </c>
      <c r="S4094" s="16" t="str">
        <f t="shared" si="1737"/>
        <v>x</v>
      </c>
      <c r="U4094" s="46" t="str">
        <f t="shared" si="1728"/>
        <v/>
      </c>
      <c r="V4094" s="46">
        <f t="shared" si="1728"/>
        <v>2</v>
      </c>
      <c r="W4094" s="46" t="str">
        <f t="shared" si="1728"/>
        <v/>
      </c>
      <c r="X4094" s="46" t="str">
        <f t="shared" si="1728"/>
        <v/>
      </c>
    </row>
    <row r="4095" spans="2:26" x14ac:dyDescent="0.25">
      <c r="B4095" s="11" t="str">
        <f>CONCATENATE("MAUR","-",LEFT(P4095,2),UPPER(MID(P4095,4,3)),RIGHT(P4095,4))</f>
        <v>MAUR-25NOV1910</v>
      </c>
      <c r="C4095" s="11" t="s">
        <v>3264</v>
      </c>
      <c r="D4095" s="11" t="s">
        <v>2097</v>
      </c>
      <c r="E4095" s="39" t="s">
        <v>895</v>
      </c>
      <c r="F4095" s="11" t="s">
        <v>1700</v>
      </c>
      <c r="G4095" s="39" t="s">
        <v>5198</v>
      </c>
      <c r="H4095" s="7">
        <v>0</v>
      </c>
      <c r="I4095" s="7">
        <v>0</v>
      </c>
      <c r="J4095" s="17">
        <v>0</v>
      </c>
      <c r="K4095" s="17"/>
      <c r="L4095" s="7">
        <f t="shared" si="1738"/>
        <v>0</v>
      </c>
      <c r="M4095" s="8">
        <v>1</v>
      </c>
      <c r="N4095" s="8" t="str">
        <f t="shared" si="1739"/>
        <v/>
      </c>
      <c r="O4095" s="11" t="s">
        <v>1702</v>
      </c>
      <c r="P4095" s="16" t="str">
        <f t="shared" si="1740"/>
        <v>25-Nov-1910</v>
      </c>
      <c r="U4095" s="46" t="str">
        <f t="shared" ref="U4095:W4096" si="1741">IF($O4095=U$5,$L4095,"")</f>
        <v/>
      </c>
      <c r="V4095" s="46">
        <f t="shared" si="1741"/>
        <v>0</v>
      </c>
      <c r="W4095" s="46" t="str">
        <f t="shared" si="1741"/>
        <v/>
      </c>
      <c r="X4095" s="46" t="str">
        <f>IF($O4095=X$5,$L4095,"")</f>
        <v/>
      </c>
    </row>
    <row r="4096" spans="2:26" x14ac:dyDescent="0.25">
      <c r="B4096" s="11" t="str">
        <f>CONCATENATE("MAUR","-",LEFT(P4096,2),UPPER(MID(P4096,4,3)),RIGHT(P4096,4))</f>
        <v>MAUR-17FEB1911</v>
      </c>
      <c r="C4096" s="11" t="s">
        <v>3264</v>
      </c>
      <c r="D4096" s="11" t="s">
        <v>2097</v>
      </c>
      <c r="E4096" s="39" t="s">
        <v>1255</v>
      </c>
      <c r="F4096" s="11" t="s">
        <v>1700</v>
      </c>
      <c r="G4096" s="39" t="s">
        <v>4897</v>
      </c>
      <c r="H4096" s="7">
        <v>0</v>
      </c>
      <c r="I4096" s="7">
        <v>3</v>
      </c>
      <c r="J4096" s="17">
        <v>1</v>
      </c>
      <c r="K4096" s="17"/>
      <c r="L4096" s="7">
        <f t="shared" si="1738"/>
        <v>4</v>
      </c>
      <c r="M4096" s="8">
        <v>1</v>
      </c>
      <c r="N4096" s="8">
        <f t="shared" si="1739"/>
        <v>1</v>
      </c>
      <c r="O4096" s="11" t="s">
        <v>1702</v>
      </c>
      <c r="P4096" s="16" t="str">
        <f t="shared" si="1740"/>
        <v>17-Feb-1911</v>
      </c>
      <c r="R4096" s="16" t="str">
        <f t="shared" si="1737"/>
        <v>x</v>
      </c>
      <c r="S4096" s="16" t="str">
        <f t="shared" si="1737"/>
        <v>x</v>
      </c>
      <c r="U4096" s="46" t="str">
        <f t="shared" si="1741"/>
        <v/>
      </c>
      <c r="V4096" s="46">
        <f t="shared" si="1741"/>
        <v>4</v>
      </c>
      <c r="W4096" s="46" t="str">
        <f t="shared" si="1741"/>
        <v/>
      </c>
      <c r="X4096" s="46" t="str">
        <f>IF($O4096=X$5,$L4096,"")</f>
        <v/>
      </c>
    </row>
    <row r="4097" spans="2:26" x14ac:dyDescent="0.25">
      <c r="B4097" s="11" t="str">
        <f t="shared" si="1736"/>
        <v>MAUR-18AUG1911</v>
      </c>
      <c r="C4097" s="11" t="s">
        <v>3264</v>
      </c>
      <c r="D4097" s="11" t="s">
        <v>2097</v>
      </c>
      <c r="E4097" s="39" t="s">
        <v>901</v>
      </c>
      <c r="F4097" s="11" t="s">
        <v>1700</v>
      </c>
      <c r="G4097" s="39" t="s">
        <v>4409</v>
      </c>
      <c r="H4097" s="7">
        <v>4</v>
      </c>
      <c r="I4097" s="7">
        <v>0</v>
      </c>
      <c r="J4097" s="17">
        <v>2</v>
      </c>
      <c r="K4097" s="17"/>
      <c r="L4097" s="7">
        <f t="shared" si="1738"/>
        <v>6</v>
      </c>
      <c r="M4097" s="8">
        <v>1</v>
      </c>
      <c r="N4097" s="8">
        <f t="shared" si="1739"/>
        <v>1</v>
      </c>
      <c r="O4097" s="11" t="s">
        <v>1702</v>
      </c>
      <c r="P4097" s="16" t="str">
        <f t="shared" si="1740"/>
        <v>18-Aug-1911</v>
      </c>
      <c r="R4097" s="16" t="str">
        <f t="shared" si="1737"/>
        <v>x</v>
      </c>
      <c r="S4097" s="16" t="str">
        <f t="shared" si="1737"/>
        <v>x</v>
      </c>
      <c r="U4097" s="46" t="str">
        <f t="shared" ref="U4097:X4197" si="1742">IF($O4097=U$5,$L4097,"")</f>
        <v/>
      </c>
      <c r="V4097" s="46">
        <f t="shared" si="1742"/>
        <v>6</v>
      </c>
      <c r="W4097" s="46" t="str">
        <f t="shared" si="1742"/>
        <v/>
      </c>
      <c r="X4097" s="46" t="str">
        <f t="shared" si="1742"/>
        <v/>
      </c>
    </row>
    <row r="4098" spans="2:26" x14ac:dyDescent="0.25">
      <c r="B4098" s="11" t="str">
        <f>CONCATENATE("MAUR","-",LEFT(P4098,2),UPPER(MID(P4098,4,3)),RIGHT(P4098,4))</f>
        <v>MAUR-17NOV1911</v>
      </c>
      <c r="C4098" s="11" t="s">
        <v>3264</v>
      </c>
      <c r="D4098" s="11" t="s">
        <v>2097</v>
      </c>
      <c r="E4098" s="39" t="s">
        <v>1273</v>
      </c>
      <c r="F4098" s="11" t="s">
        <v>1700</v>
      </c>
      <c r="G4098" s="39" t="s">
        <v>11365</v>
      </c>
      <c r="H4098" s="7">
        <v>0</v>
      </c>
      <c r="I4098" s="7">
        <v>0</v>
      </c>
      <c r="J4098" s="17">
        <v>3</v>
      </c>
      <c r="K4098" s="17"/>
      <c r="L4098" s="7">
        <f>SUM(H4098:K4098)</f>
        <v>3</v>
      </c>
      <c r="M4098" s="8">
        <v>1</v>
      </c>
      <c r="N4098" s="8">
        <f>IF(L4098&gt;0,1,"")</f>
        <v>1</v>
      </c>
      <c r="O4098" s="11" t="s">
        <v>1702</v>
      </c>
      <c r="P4098" s="16" t="str">
        <f>IF(LEN(G4098)=10,CONCATENATE("0",G4098),G4098)</f>
        <v>17-Nov-1911</v>
      </c>
      <c r="R4098" s="16" t="str">
        <f>IF($L4098&gt;0,"x","")</f>
        <v>x</v>
      </c>
      <c r="S4098" s="16" t="str">
        <f>IF($L4098&gt;0,"x","")</f>
        <v>x</v>
      </c>
      <c r="U4098" s="46" t="str">
        <f t="shared" ref="U4098:X4099" si="1743">IF($O4098=U$5,$L4098,"")</f>
        <v/>
      </c>
      <c r="V4098" s="46">
        <f t="shared" si="1743"/>
        <v>3</v>
      </c>
      <c r="W4098" s="46" t="str">
        <f t="shared" si="1743"/>
        <v/>
      </c>
      <c r="X4098" s="46" t="str">
        <f t="shared" si="1743"/>
        <v/>
      </c>
    </row>
    <row r="4099" spans="2:26" x14ac:dyDescent="0.25">
      <c r="B4099" s="11" t="str">
        <f>CONCATENATE("MAUR","-",LEFT(P4099,2),UPPER(MID(P4099,4,3)),RIGHT(P4099,4))</f>
        <v>MAUR-27JUN1913</v>
      </c>
      <c r="C4099" s="11" t="s">
        <v>3264</v>
      </c>
      <c r="D4099" s="11" t="s">
        <v>2097</v>
      </c>
      <c r="E4099" s="39" t="s">
        <v>1675</v>
      </c>
      <c r="F4099" s="11" t="s">
        <v>1700</v>
      </c>
      <c r="G4099" s="39" t="s">
        <v>3364</v>
      </c>
      <c r="H4099" s="7">
        <v>1</v>
      </c>
      <c r="I4099" s="7">
        <v>1</v>
      </c>
      <c r="J4099" s="17">
        <v>1</v>
      </c>
      <c r="K4099" s="17"/>
      <c r="L4099" s="7">
        <f t="shared" si="1738"/>
        <v>3</v>
      </c>
      <c r="M4099" s="8">
        <v>1</v>
      </c>
      <c r="N4099" s="8">
        <f t="shared" si="1739"/>
        <v>1</v>
      </c>
      <c r="O4099" s="11" t="s">
        <v>1702</v>
      </c>
      <c r="P4099" s="16" t="str">
        <f t="shared" si="1740"/>
        <v>27-Jun-1913</v>
      </c>
      <c r="R4099" s="16" t="str">
        <f t="shared" si="1737"/>
        <v>x</v>
      </c>
      <c r="S4099" s="16" t="str">
        <f t="shared" si="1737"/>
        <v>x</v>
      </c>
      <c r="U4099" s="46" t="str">
        <f t="shared" si="1743"/>
        <v/>
      </c>
      <c r="V4099" s="46">
        <f t="shared" si="1743"/>
        <v>3</v>
      </c>
      <c r="W4099" s="46" t="str">
        <f t="shared" si="1743"/>
        <v/>
      </c>
      <c r="X4099" s="46" t="str">
        <f t="shared" si="1743"/>
        <v/>
      </c>
    </row>
    <row r="4100" spans="2:26" x14ac:dyDescent="0.25">
      <c r="B4100" s="11" t="str">
        <f t="shared" si="1736"/>
        <v>MAUR-22MAY1914</v>
      </c>
      <c r="C4100" s="11" t="s">
        <v>3264</v>
      </c>
      <c r="D4100" s="11" t="s">
        <v>2097</v>
      </c>
      <c r="E4100" s="39" t="s">
        <v>1304</v>
      </c>
      <c r="F4100" s="11" t="s">
        <v>1700</v>
      </c>
      <c r="G4100" s="39" t="s">
        <v>3811</v>
      </c>
      <c r="H4100" s="7">
        <v>0</v>
      </c>
      <c r="I4100" s="7">
        <v>1</v>
      </c>
      <c r="J4100" s="17">
        <v>1</v>
      </c>
      <c r="K4100" s="17"/>
      <c r="L4100" s="7">
        <f t="shared" ref="L4100:L4109" si="1744">SUM(H4100:K4100)</f>
        <v>2</v>
      </c>
      <c r="M4100" s="8">
        <v>1</v>
      </c>
      <c r="N4100" s="8">
        <f t="shared" ref="N4100:N4109" si="1745">IF(L4100&gt;0,1,"")</f>
        <v>1</v>
      </c>
      <c r="O4100" s="11" t="s">
        <v>1702</v>
      </c>
      <c r="P4100" s="16" t="str">
        <f t="shared" ref="P4100:P4109" si="1746">IF(LEN(G4100)=10,CONCATENATE("0",G4100),G4100)</f>
        <v>22-May-1914</v>
      </c>
      <c r="R4100" s="16" t="str">
        <f t="shared" si="1737"/>
        <v>x</v>
      </c>
      <c r="S4100" s="16" t="str">
        <f t="shared" si="1737"/>
        <v>x</v>
      </c>
      <c r="U4100" s="46" t="str">
        <f t="shared" si="1742"/>
        <v/>
      </c>
      <c r="V4100" s="46">
        <f t="shared" si="1742"/>
        <v>2</v>
      </c>
      <c r="W4100" s="46" t="str">
        <f t="shared" si="1742"/>
        <v/>
      </c>
      <c r="X4100" s="46" t="str">
        <f t="shared" si="1742"/>
        <v/>
      </c>
    </row>
    <row r="4101" spans="2:26" x14ac:dyDescent="0.25">
      <c r="B4101" s="11" t="str">
        <f t="shared" si="1736"/>
        <v>MAUR-23OCT1920</v>
      </c>
      <c r="C4101" s="11" t="s">
        <v>3264</v>
      </c>
      <c r="D4101" s="11" t="s">
        <v>598</v>
      </c>
      <c r="E4101" s="39" t="s">
        <v>3265</v>
      </c>
      <c r="F4101" s="11" t="s">
        <v>1700</v>
      </c>
      <c r="G4101" s="39" t="s">
        <v>3266</v>
      </c>
      <c r="H4101" s="7">
        <v>0</v>
      </c>
      <c r="I4101" s="7">
        <v>0</v>
      </c>
      <c r="J4101" s="17">
        <v>8</v>
      </c>
      <c r="K4101" s="17"/>
      <c r="L4101" s="7">
        <f t="shared" si="1744"/>
        <v>8</v>
      </c>
      <c r="M4101" s="8">
        <v>1</v>
      </c>
      <c r="N4101" s="8">
        <f t="shared" si="1745"/>
        <v>1</v>
      </c>
      <c r="O4101" s="11" t="s">
        <v>1702</v>
      </c>
      <c r="P4101" s="16" t="str">
        <f t="shared" si="1746"/>
        <v>23-Oct-1920</v>
      </c>
      <c r="R4101" s="16" t="str">
        <f t="shared" ref="R4101:S4109" si="1747">IF($L4101&gt;0,"x","")</f>
        <v>x</v>
      </c>
      <c r="S4101" s="16" t="str">
        <f t="shared" si="1747"/>
        <v>x</v>
      </c>
      <c r="U4101" s="46" t="str">
        <f t="shared" si="1742"/>
        <v/>
      </c>
      <c r="V4101" s="46">
        <f t="shared" si="1742"/>
        <v>8</v>
      </c>
      <c r="W4101" s="46" t="str">
        <f t="shared" si="1742"/>
        <v/>
      </c>
      <c r="X4101" s="46" t="str">
        <f t="shared" si="1742"/>
        <v/>
      </c>
    </row>
    <row r="4102" spans="2:26" x14ac:dyDescent="0.25">
      <c r="B4102" s="11" t="str">
        <f t="shared" si="1736"/>
        <v>MAUR-23OCT1920</v>
      </c>
      <c r="C4102" s="11" t="s">
        <v>3264</v>
      </c>
      <c r="D4102" s="11" t="s">
        <v>2224</v>
      </c>
      <c r="E4102" s="39" t="s">
        <v>3265</v>
      </c>
      <c r="F4102" s="11" t="s">
        <v>1700</v>
      </c>
      <c r="G4102" s="39" t="s">
        <v>3266</v>
      </c>
      <c r="H4102" s="7">
        <v>1</v>
      </c>
      <c r="I4102" s="7">
        <v>0</v>
      </c>
      <c r="J4102" s="17">
        <v>0</v>
      </c>
      <c r="K4102" s="17"/>
      <c r="L4102" s="7">
        <f t="shared" si="1744"/>
        <v>1</v>
      </c>
      <c r="M4102" s="8">
        <v>1</v>
      </c>
      <c r="N4102" s="8">
        <f t="shared" si="1745"/>
        <v>1</v>
      </c>
      <c r="O4102" s="11" t="s">
        <v>1702</v>
      </c>
      <c r="P4102" s="16" t="str">
        <f t="shared" si="1746"/>
        <v>23-Oct-1920</v>
      </c>
      <c r="R4102" s="16" t="str">
        <f t="shared" si="1747"/>
        <v>x</v>
      </c>
      <c r="S4102" s="16" t="str">
        <f t="shared" si="1747"/>
        <v>x</v>
      </c>
      <c r="U4102" s="46" t="str">
        <f t="shared" si="1742"/>
        <v/>
      </c>
      <c r="V4102" s="46">
        <f t="shared" si="1742"/>
        <v>1</v>
      </c>
      <c r="W4102" s="46" t="str">
        <f t="shared" si="1742"/>
        <v/>
      </c>
      <c r="X4102" s="46" t="str">
        <f t="shared" si="1742"/>
        <v/>
      </c>
    </row>
    <row r="4103" spans="2:26" x14ac:dyDescent="0.25">
      <c r="B4103" s="11" t="str">
        <f t="shared" si="1736"/>
        <v>MAUR-02APR1921</v>
      </c>
      <c r="C4103" s="11" t="s">
        <v>3264</v>
      </c>
      <c r="D4103" s="11" t="s">
        <v>2224</v>
      </c>
      <c r="E4103" s="39" t="s">
        <v>4252</v>
      </c>
      <c r="F4103" s="11" t="s">
        <v>1700</v>
      </c>
      <c r="G4103" s="39" t="s">
        <v>4253</v>
      </c>
      <c r="H4103" s="7">
        <v>0</v>
      </c>
      <c r="I4103" s="7">
        <v>1</v>
      </c>
      <c r="J4103" s="17">
        <f>4+2</f>
        <v>6</v>
      </c>
      <c r="K4103" s="17"/>
      <c r="L4103" s="7">
        <f t="shared" si="1744"/>
        <v>7</v>
      </c>
      <c r="M4103" s="8">
        <v>1</v>
      </c>
      <c r="N4103" s="8">
        <f t="shared" si="1745"/>
        <v>1</v>
      </c>
      <c r="O4103" s="11" t="s">
        <v>1702</v>
      </c>
      <c r="P4103" s="16" t="str">
        <f t="shared" si="1746"/>
        <v>02-Apr-1921</v>
      </c>
      <c r="R4103" s="16" t="str">
        <f t="shared" si="1747"/>
        <v>x</v>
      </c>
      <c r="S4103" s="16" t="str">
        <f t="shared" si="1747"/>
        <v>x</v>
      </c>
      <c r="U4103" s="46" t="str">
        <f t="shared" si="1742"/>
        <v/>
      </c>
      <c r="V4103" s="46">
        <f t="shared" si="1742"/>
        <v>7</v>
      </c>
      <c r="W4103" s="46" t="str">
        <f t="shared" si="1742"/>
        <v/>
      </c>
      <c r="X4103" s="46" t="str">
        <f t="shared" si="1742"/>
        <v/>
      </c>
    </row>
    <row r="4104" spans="2:26" x14ac:dyDescent="0.25">
      <c r="B4104" s="11" t="str">
        <f t="shared" si="1736"/>
        <v>MAUR-01FEB1923</v>
      </c>
      <c r="C4104" s="11" t="s">
        <v>3264</v>
      </c>
      <c r="D4104" s="11" t="s">
        <v>2224</v>
      </c>
      <c r="E4104" s="39" t="s">
        <v>4281</v>
      </c>
      <c r="F4104" s="11" t="s">
        <v>1700</v>
      </c>
      <c r="G4104" s="39" t="s">
        <v>4282</v>
      </c>
      <c r="H4104" s="7">
        <v>0</v>
      </c>
      <c r="I4104" s="7">
        <v>0</v>
      </c>
      <c r="J4104" s="17">
        <f>3+6</f>
        <v>9</v>
      </c>
      <c r="K4104" s="17"/>
      <c r="L4104" s="7">
        <f t="shared" si="1744"/>
        <v>9</v>
      </c>
      <c r="M4104" s="8">
        <v>1</v>
      </c>
      <c r="N4104" s="8">
        <f t="shared" si="1745"/>
        <v>1</v>
      </c>
      <c r="O4104" s="11" t="s">
        <v>1702</v>
      </c>
      <c r="P4104" s="16" t="str">
        <f t="shared" si="1746"/>
        <v>01-Feb-1923</v>
      </c>
      <c r="R4104" s="16" t="str">
        <f t="shared" si="1747"/>
        <v>x</v>
      </c>
      <c r="S4104" s="16" t="str">
        <f t="shared" si="1747"/>
        <v>x</v>
      </c>
      <c r="U4104" s="46" t="str">
        <f t="shared" si="1742"/>
        <v/>
      </c>
      <c r="V4104" s="46">
        <f t="shared" si="1742"/>
        <v>9</v>
      </c>
      <c r="W4104" s="46" t="str">
        <f t="shared" si="1742"/>
        <v/>
      </c>
      <c r="X4104" s="46" t="str">
        <f t="shared" si="1742"/>
        <v/>
      </c>
    </row>
    <row r="4105" spans="2:26" x14ac:dyDescent="0.25">
      <c r="B4105" s="11" t="str">
        <f t="shared" si="1736"/>
        <v>MAUR-27JUN1924</v>
      </c>
      <c r="C4105" s="11" t="s">
        <v>3264</v>
      </c>
      <c r="D4105" s="11" t="s">
        <v>598</v>
      </c>
      <c r="E4105" s="39" t="s">
        <v>3267</v>
      </c>
      <c r="F4105" s="11" t="s">
        <v>1700</v>
      </c>
      <c r="G4105" s="39" t="s">
        <v>3268</v>
      </c>
      <c r="H4105" s="7">
        <v>0</v>
      </c>
      <c r="I4105" s="7">
        <v>4</v>
      </c>
      <c r="J4105" s="17">
        <v>5</v>
      </c>
      <c r="K4105" s="17"/>
      <c r="L4105" s="7">
        <f t="shared" si="1744"/>
        <v>9</v>
      </c>
      <c r="M4105" s="8">
        <v>1</v>
      </c>
      <c r="N4105" s="8">
        <f t="shared" si="1745"/>
        <v>1</v>
      </c>
      <c r="O4105" s="11" t="s">
        <v>1702</v>
      </c>
      <c r="P4105" s="16" t="str">
        <f t="shared" si="1746"/>
        <v>27-Jun-1924</v>
      </c>
      <c r="R4105" s="16" t="str">
        <f t="shared" si="1747"/>
        <v>x</v>
      </c>
      <c r="S4105" s="16" t="str">
        <f t="shared" si="1747"/>
        <v>x</v>
      </c>
      <c r="U4105" s="46" t="str">
        <f t="shared" si="1742"/>
        <v/>
      </c>
      <c r="V4105" s="46">
        <f t="shared" si="1742"/>
        <v>9</v>
      </c>
      <c r="W4105" s="46" t="str">
        <f t="shared" si="1742"/>
        <v/>
      </c>
      <c r="X4105" s="46" t="str">
        <f t="shared" si="1742"/>
        <v/>
      </c>
    </row>
    <row r="4106" spans="2:26" x14ac:dyDescent="0.25">
      <c r="B4106" s="11" t="str">
        <f t="shared" si="1736"/>
        <v>MAUR-27JUN1924</v>
      </c>
      <c r="C4106" s="11" t="s">
        <v>3264</v>
      </c>
      <c r="D4106" s="11" t="s">
        <v>2224</v>
      </c>
      <c r="E4106" s="39" t="s">
        <v>3267</v>
      </c>
      <c r="F4106" s="11" t="s">
        <v>1700</v>
      </c>
      <c r="G4106" s="39" t="s">
        <v>3268</v>
      </c>
      <c r="H4106" s="7">
        <v>0</v>
      </c>
      <c r="I4106" s="7">
        <v>1</v>
      </c>
      <c r="J4106" s="17">
        <v>0</v>
      </c>
      <c r="K4106" s="17"/>
      <c r="L4106" s="7">
        <f t="shared" si="1744"/>
        <v>1</v>
      </c>
      <c r="M4106" s="8">
        <v>1</v>
      </c>
      <c r="N4106" s="8">
        <f t="shared" si="1745"/>
        <v>1</v>
      </c>
      <c r="O4106" s="11" t="s">
        <v>1702</v>
      </c>
      <c r="P4106" s="16" t="str">
        <f t="shared" si="1746"/>
        <v>27-Jun-1924</v>
      </c>
      <c r="R4106" s="16" t="str">
        <f t="shared" si="1747"/>
        <v>x</v>
      </c>
      <c r="S4106" s="16" t="str">
        <f t="shared" si="1747"/>
        <v>x</v>
      </c>
      <c r="U4106" s="46" t="str">
        <f t="shared" si="1742"/>
        <v/>
      </c>
      <c r="V4106" s="46">
        <f t="shared" si="1742"/>
        <v>1</v>
      </c>
      <c r="W4106" s="46" t="str">
        <f t="shared" si="1742"/>
        <v/>
      </c>
      <c r="X4106" s="46" t="str">
        <f t="shared" si="1742"/>
        <v/>
      </c>
    </row>
    <row r="4107" spans="2:26" x14ac:dyDescent="0.25">
      <c r="B4107" s="11" t="str">
        <f>CONCATENATE("MAUR","-",LEFT(P4107,2),UPPER(MID(P4107,4,3)),RIGHT(P4107,4))</f>
        <v>MAUR-01JUL1927</v>
      </c>
      <c r="C4107" s="11" t="s">
        <v>3264</v>
      </c>
      <c r="D4107" s="11" t="s">
        <v>2224</v>
      </c>
      <c r="E4107" s="39" t="s">
        <v>4598</v>
      </c>
      <c r="F4107" s="11" t="s">
        <v>1700</v>
      </c>
      <c r="G4107" s="39" t="s">
        <v>4599</v>
      </c>
      <c r="H4107" s="7">
        <v>0</v>
      </c>
      <c r="I4107" s="7">
        <v>2</v>
      </c>
      <c r="J4107" s="17">
        <v>5</v>
      </c>
      <c r="K4107" s="17"/>
      <c r="L4107" s="7">
        <f>SUM(H4107:K4107)</f>
        <v>7</v>
      </c>
      <c r="M4107" s="8">
        <v>1</v>
      </c>
      <c r="N4107" s="8">
        <f>IF(L4107&gt;0,1,"")</f>
        <v>1</v>
      </c>
      <c r="O4107" s="11" t="s">
        <v>1702</v>
      </c>
      <c r="P4107" s="16" t="str">
        <f>IF(LEN(G4107)=10,CONCATENATE("0",G4107),G4107)</f>
        <v>01-Jul-1927</v>
      </c>
      <c r="R4107" s="16" t="str">
        <f t="shared" si="1747"/>
        <v>x</v>
      </c>
      <c r="S4107" s="16" t="str">
        <f t="shared" si="1747"/>
        <v>x</v>
      </c>
      <c r="U4107" s="46" t="str">
        <f t="shared" ref="U4107:X4109" si="1748">IF($O4107=U$5,$L4107,"")</f>
        <v/>
      </c>
      <c r="V4107" s="46">
        <f t="shared" si="1748"/>
        <v>7</v>
      </c>
      <c r="W4107" s="46" t="str">
        <f t="shared" si="1748"/>
        <v/>
      </c>
      <c r="X4107" s="46" t="str">
        <f t="shared" si="1748"/>
        <v/>
      </c>
    </row>
    <row r="4108" spans="2:26" x14ac:dyDescent="0.25">
      <c r="B4108" s="11" t="str">
        <f t="shared" si="1736"/>
        <v>MAUR-02SEP1927</v>
      </c>
      <c r="C4108" s="11" t="s">
        <v>3264</v>
      </c>
      <c r="D4108" s="11" t="s">
        <v>2224</v>
      </c>
      <c r="E4108" s="39" t="s">
        <v>11479</v>
      </c>
      <c r="F4108" s="11" t="s">
        <v>1700</v>
      </c>
      <c r="G4108" s="39" t="s">
        <v>4696</v>
      </c>
      <c r="H4108" s="7">
        <v>0</v>
      </c>
      <c r="I4108" s="7">
        <v>0</v>
      </c>
      <c r="J4108" s="17">
        <v>7</v>
      </c>
      <c r="K4108" s="17"/>
      <c r="L4108" s="7">
        <f t="shared" si="1744"/>
        <v>7</v>
      </c>
      <c r="M4108" s="8">
        <v>1</v>
      </c>
      <c r="N4108" s="8">
        <f t="shared" si="1745"/>
        <v>1</v>
      </c>
      <c r="O4108" s="11" t="s">
        <v>1702</v>
      </c>
      <c r="P4108" s="16" t="str">
        <f t="shared" si="1746"/>
        <v>02-Sep-1927</v>
      </c>
      <c r="R4108" s="16" t="str">
        <f t="shared" si="1747"/>
        <v>x</v>
      </c>
      <c r="S4108" s="16" t="str">
        <f t="shared" si="1747"/>
        <v>x</v>
      </c>
      <c r="U4108" s="46" t="str">
        <f t="shared" si="1748"/>
        <v/>
      </c>
      <c r="V4108" s="46">
        <f t="shared" si="1748"/>
        <v>7</v>
      </c>
      <c r="W4108" s="46" t="str">
        <f t="shared" si="1748"/>
        <v/>
      </c>
      <c r="X4108" s="46" t="str">
        <f t="shared" si="1748"/>
        <v/>
      </c>
    </row>
    <row r="4109" spans="2:26" x14ac:dyDescent="0.25">
      <c r="B4109" s="11" t="str">
        <f>CONCATENATE("MAUR","-",LEFT(P4109,2),UPPER(MID(P4109,4,3)),RIGHT(P4109,4))</f>
        <v>MAUR-11OCT1929</v>
      </c>
      <c r="C4109" s="11" t="s">
        <v>3264</v>
      </c>
      <c r="D4109" s="11" t="s">
        <v>2224</v>
      </c>
      <c r="E4109" s="39" t="s">
        <v>5973</v>
      </c>
      <c r="F4109" s="11" t="s">
        <v>1700</v>
      </c>
      <c r="G4109" s="39" t="s">
        <v>5974</v>
      </c>
      <c r="H4109" s="7">
        <v>1</v>
      </c>
      <c r="I4109" s="7">
        <v>0</v>
      </c>
      <c r="J4109" s="17">
        <f>0+1</f>
        <v>1</v>
      </c>
      <c r="K4109" s="17"/>
      <c r="L4109" s="7">
        <f t="shared" si="1744"/>
        <v>2</v>
      </c>
      <c r="M4109" s="8">
        <v>1</v>
      </c>
      <c r="N4109" s="8">
        <f t="shared" si="1745"/>
        <v>1</v>
      </c>
      <c r="O4109" s="11" t="s">
        <v>1702</v>
      </c>
      <c r="P4109" s="16" t="str">
        <f t="shared" si="1746"/>
        <v>11-Oct-1929</v>
      </c>
      <c r="R4109" s="16" t="str">
        <f t="shared" si="1747"/>
        <v>x</v>
      </c>
      <c r="S4109" s="16" t="str">
        <f t="shared" si="1747"/>
        <v>x</v>
      </c>
      <c r="T4109" s="11"/>
      <c r="U4109" s="46" t="str">
        <f t="shared" si="1748"/>
        <v/>
      </c>
      <c r="V4109" s="46">
        <f t="shared" si="1748"/>
        <v>2</v>
      </c>
      <c r="W4109" s="46" t="str">
        <f t="shared" si="1748"/>
        <v/>
      </c>
      <c r="X4109" s="46" t="str">
        <f t="shared" si="1748"/>
        <v/>
      </c>
    </row>
    <row r="4110" spans="2:26" x14ac:dyDescent="0.25">
      <c r="N4110" s="8" t="str">
        <f>IF(R4110="x",1,"")</f>
        <v/>
      </c>
      <c r="U4110" s="46" t="str">
        <f t="shared" si="1742"/>
        <v/>
      </c>
      <c r="V4110" s="46" t="str">
        <f t="shared" si="1742"/>
        <v/>
      </c>
      <c r="W4110" s="46" t="str">
        <f t="shared" si="1742"/>
        <v/>
      </c>
      <c r="X4110" s="46" t="str">
        <f t="shared" si="1742"/>
        <v/>
      </c>
    </row>
    <row r="4111" spans="2:26" s="18" customFormat="1" x14ac:dyDescent="0.25">
      <c r="E4111" s="40"/>
      <c r="G4111" s="40"/>
      <c r="H4111" s="7">
        <f t="shared" ref="H4111:N4111" si="1749">SUM(H4092:H4110)</f>
        <v>7</v>
      </c>
      <c r="I4111" s="7">
        <f t="shared" si="1749"/>
        <v>17</v>
      </c>
      <c r="J4111" s="7">
        <f>SUM(J4092:J4110)</f>
        <v>62</v>
      </c>
      <c r="K4111" s="7">
        <f t="shared" si="1749"/>
        <v>0</v>
      </c>
      <c r="L4111" s="7">
        <f t="shared" si="1749"/>
        <v>86</v>
      </c>
      <c r="M4111" s="7">
        <f t="shared" si="1749"/>
        <v>18</v>
      </c>
      <c r="N4111" s="7">
        <f t="shared" si="1749"/>
        <v>17</v>
      </c>
      <c r="P4111" s="13"/>
      <c r="Q4111" s="13"/>
      <c r="R4111" s="16"/>
      <c r="S4111" s="13"/>
      <c r="T4111" s="15"/>
      <c r="U4111" s="46" t="str">
        <f t="shared" si="1742"/>
        <v/>
      </c>
      <c r="V4111" s="46" t="str">
        <f t="shared" si="1742"/>
        <v/>
      </c>
      <c r="W4111" s="46" t="str">
        <f t="shared" si="1742"/>
        <v/>
      </c>
      <c r="X4111" s="46" t="str">
        <f t="shared" si="1742"/>
        <v/>
      </c>
      <c r="Z4111" s="11"/>
    </row>
    <row r="4112" spans="2:26" x14ac:dyDescent="0.25">
      <c r="B4112" s="18"/>
      <c r="C4112" s="18"/>
      <c r="D4112" s="18"/>
      <c r="E4112" s="40"/>
      <c r="F4112" s="18"/>
      <c r="G4112" s="40"/>
      <c r="N4112" s="8" t="str">
        <f>IF(R4112="x",1,"")</f>
        <v/>
      </c>
      <c r="O4112" s="18"/>
      <c r="P4112" s="13"/>
      <c r="Q4112" s="13"/>
      <c r="R4112" s="13"/>
      <c r="S4112" s="13"/>
      <c r="T4112" s="15"/>
      <c r="U4112" s="46" t="str">
        <f t="shared" ref="U4112:X4116" si="1750">IF($O4112=U$5,$L4112,"")</f>
        <v/>
      </c>
      <c r="V4112" s="46" t="str">
        <f t="shared" si="1750"/>
        <v/>
      </c>
      <c r="W4112" s="46" t="str">
        <f t="shared" si="1750"/>
        <v/>
      </c>
      <c r="X4112" s="46" t="str">
        <f t="shared" si="1750"/>
        <v/>
      </c>
    </row>
    <row r="4113" spans="2:26" x14ac:dyDescent="0.25">
      <c r="B4113" s="18"/>
      <c r="C4113" s="18"/>
      <c r="D4113" s="18"/>
      <c r="E4113" s="40"/>
      <c r="F4113" s="18"/>
      <c r="G4113" s="40"/>
      <c r="N4113" s="8" t="str">
        <f>IF(R4113="x",1,"")</f>
        <v/>
      </c>
      <c r="O4113" s="18"/>
      <c r="P4113" s="13"/>
      <c r="Q4113" s="13"/>
      <c r="R4113" s="13"/>
      <c r="S4113" s="13"/>
      <c r="T4113" s="15"/>
      <c r="U4113" s="46" t="str">
        <f t="shared" si="1750"/>
        <v/>
      </c>
      <c r="V4113" s="46" t="str">
        <f t="shared" si="1750"/>
        <v/>
      </c>
      <c r="W4113" s="46" t="str">
        <f t="shared" si="1750"/>
        <v/>
      </c>
      <c r="X4113" s="46" t="str">
        <f t="shared" si="1750"/>
        <v/>
      </c>
    </row>
    <row r="4114" spans="2:26" x14ac:dyDescent="0.25">
      <c r="B4114" s="11" t="str">
        <f>CONCATENATE("MAYF","-",LEFT(P4114,2),UPPER(MID(P4114,4,3)),RIGHT(P4114,4))</f>
        <v>MAYF-10AUG1903</v>
      </c>
      <c r="C4114" s="11" t="s">
        <v>5129</v>
      </c>
      <c r="D4114" s="11" t="s">
        <v>2097</v>
      </c>
      <c r="E4114" s="39" t="s">
        <v>1748</v>
      </c>
      <c r="F4114" s="11" t="s">
        <v>3050</v>
      </c>
      <c r="G4114" s="39" t="s">
        <v>5130</v>
      </c>
      <c r="H4114" s="7">
        <v>0</v>
      </c>
      <c r="I4114" s="7">
        <v>0</v>
      </c>
      <c r="J4114" s="17">
        <v>21</v>
      </c>
      <c r="K4114" s="17"/>
      <c r="L4114" s="7">
        <f>SUM(H4114:K4114)</f>
        <v>21</v>
      </c>
      <c r="M4114" s="8">
        <v>1</v>
      </c>
      <c r="N4114" s="8">
        <f>IF(L4114&gt;0,1,"")</f>
        <v>1</v>
      </c>
      <c r="O4114" s="11" t="s">
        <v>1702</v>
      </c>
      <c r="P4114" s="16" t="str">
        <f>IF(LEN(G4114)=10,CONCATENATE("0",G4114),G4114)</f>
        <v>10-Aug-1903</v>
      </c>
      <c r="R4114" s="16" t="str">
        <f>IF($L4114&gt;0,"x","")</f>
        <v>x</v>
      </c>
      <c r="S4114" s="16" t="str">
        <f>IF($L4114&gt;0,"x","")</f>
        <v>x</v>
      </c>
      <c r="U4114" s="46" t="str">
        <f t="shared" si="1750"/>
        <v/>
      </c>
      <c r="V4114" s="46">
        <f t="shared" si="1750"/>
        <v>21</v>
      </c>
      <c r="W4114" s="46" t="str">
        <f t="shared" si="1750"/>
        <v/>
      </c>
      <c r="X4114" s="46" t="str">
        <f t="shared" si="1750"/>
        <v/>
      </c>
    </row>
    <row r="4115" spans="2:26" x14ac:dyDescent="0.25">
      <c r="N4115" s="8" t="str">
        <f>IF(R4115="x",1,"")</f>
        <v/>
      </c>
      <c r="U4115" s="46" t="str">
        <f t="shared" si="1750"/>
        <v/>
      </c>
      <c r="V4115" s="46" t="str">
        <f t="shared" si="1750"/>
        <v/>
      </c>
      <c r="W4115" s="46" t="str">
        <f t="shared" si="1750"/>
        <v/>
      </c>
      <c r="X4115" s="46" t="str">
        <f t="shared" si="1750"/>
        <v/>
      </c>
    </row>
    <row r="4116" spans="2:26" x14ac:dyDescent="0.25">
      <c r="B4116" s="18"/>
      <c r="C4116" s="18"/>
      <c r="D4116" s="18"/>
      <c r="E4116" s="40"/>
      <c r="F4116" s="18"/>
      <c r="G4116" s="40"/>
      <c r="H4116" s="7">
        <f t="shared" ref="H4116:N4116" si="1751">SUM(H4114:H4115)</f>
        <v>0</v>
      </c>
      <c r="I4116" s="7">
        <f t="shared" si="1751"/>
        <v>0</v>
      </c>
      <c r="J4116" s="7">
        <f>SUM(J4114:J4115)</f>
        <v>21</v>
      </c>
      <c r="K4116" s="7">
        <f t="shared" si="1751"/>
        <v>0</v>
      </c>
      <c r="L4116" s="7">
        <f t="shared" si="1751"/>
        <v>21</v>
      </c>
      <c r="M4116" s="7">
        <f t="shared" si="1751"/>
        <v>1</v>
      </c>
      <c r="N4116" s="7">
        <f t="shared" si="1751"/>
        <v>1</v>
      </c>
      <c r="O4116" s="18"/>
      <c r="P4116" s="13"/>
      <c r="Q4116" s="13"/>
      <c r="S4116" s="13"/>
      <c r="T4116" s="15"/>
      <c r="U4116" s="46" t="str">
        <f t="shared" si="1750"/>
        <v/>
      </c>
      <c r="V4116" s="46" t="str">
        <f t="shared" si="1750"/>
        <v/>
      </c>
      <c r="W4116" s="46" t="str">
        <f t="shared" si="1750"/>
        <v/>
      </c>
      <c r="X4116" s="46" t="str">
        <f t="shared" si="1750"/>
        <v/>
      </c>
    </row>
    <row r="4117" spans="2:26" s="18" customFormat="1" x14ac:dyDescent="0.25">
      <c r="E4117" s="40"/>
      <c r="G4117" s="40"/>
      <c r="H4117" s="7"/>
      <c r="I4117" s="7"/>
      <c r="J4117" s="7"/>
      <c r="K4117" s="7"/>
      <c r="L4117" s="7"/>
      <c r="M4117" s="8"/>
      <c r="N4117" s="8" t="str">
        <f>IF(R4117="x",1,"")</f>
        <v/>
      </c>
      <c r="P4117" s="13"/>
      <c r="Q4117" s="13"/>
      <c r="R4117" s="13"/>
      <c r="S4117" s="13"/>
      <c r="T4117" s="15"/>
      <c r="U4117" s="46" t="str">
        <f t="shared" si="1742"/>
        <v/>
      </c>
      <c r="V4117" s="46" t="str">
        <f t="shared" si="1742"/>
        <v/>
      </c>
      <c r="W4117" s="46" t="str">
        <f t="shared" si="1742"/>
        <v/>
      </c>
      <c r="X4117" s="46" t="str">
        <f t="shared" si="1742"/>
        <v/>
      </c>
      <c r="Z4117" s="11"/>
    </row>
    <row r="4118" spans="2:26" s="18" customFormat="1" x14ac:dyDescent="0.25">
      <c r="E4118" s="40"/>
      <c r="G4118" s="40"/>
      <c r="H4118" s="7"/>
      <c r="I4118" s="7"/>
      <c r="J4118" s="7"/>
      <c r="K4118" s="7"/>
      <c r="L4118" s="7"/>
      <c r="M4118" s="8"/>
      <c r="N4118" s="8" t="str">
        <f>IF(R4118="x",1,"")</f>
        <v/>
      </c>
      <c r="P4118" s="13"/>
      <c r="Q4118" s="13"/>
      <c r="R4118" s="13"/>
      <c r="S4118" s="13"/>
      <c r="T4118" s="15"/>
      <c r="U4118" s="46" t="str">
        <f t="shared" si="1742"/>
        <v/>
      </c>
      <c r="V4118" s="46" t="str">
        <f t="shared" si="1742"/>
        <v/>
      </c>
      <c r="W4118" s="46" t="str">
        <f t="shared" si="1742"/>
        <v/>
      </c>
      <c r="X4118" s="46" t="str">
        <f t="shared" si="1742"/>
        <v/>
      </c>
      <c r="Z4118" s="11"/>
    </row>
    <row r="4119" spans="2:26" x14ac:dyDescent="0.25">
      <c r="B4119" s="11" t="str">
        <f t="shared" ref="B4119:B4132" si="1752">CONCATENATE("MGHL","-",LEFT(P4119,2),UPPER(MID(P4119,4,3)),RIGHT(P4119,4))</f>
        <v>MGHL-29OCT1919</v>
      </c>
      <c r="C4119" s="11" t="s">
        <v>2807</v>
      </c>
      <c r="D4119" s="11" t="s">
        <v>847</v>
      </c>
      <c r="E4119" s="39" t="s">
        <v>1560</v>
      </c>
      <c r="F4119" s="11" t="s">
        <v>1700</v>
      </c>
      <c r="G4119" s="39" t="s">
        <v>5882</v>
      </c>
      <c r="H4119" s="7">
        <v>4</v>
      </c>
      <c r="I4119" s="7">
        <v>8</v>
      </c>
      <c r="J4119" s="17">
        <v>13</v>
      </c>
      <c r="K4119" s="17"/>
      <c r="L4119" s="7">
        <f t="shared" ref="L4119:L4132" si="1753">SUM(H4119:K4119)</f>
        <v>25</v>
      </c>
      <c r="M4119" s="8">
        <v>1</v>
      </c>
      <c r="N4119" s="8">
        <f t="shared" ref="N4119:N4132" si="1754">IF(L4119&gt;0,1,"")</f>
        <v>1</v>
      </c>
      <c r="O4119" s="11" t="s">
        <v>1702</v>
      </c>
      <c r="P4119" s="16" t="str">
        <f t="shared" ref="P4119:P4132" si="1755">IF(LEN(G4119)=10,CONCATENATE("0",G4119),G4119)</f>
        <v>29-Oct-1919</v>
      </c>
      <c r="R4119" s="16" t="str">
        <f>IF($L4119&gt;0,"x","")</f>
        <v>x</v>
      </c>
      <c r="S4119" s="16" t="str">
        <f>IF($L4119&gt;0,"x","")</f>
        <v>x</v>
      </c>
      <c r="U4119" s="46" t="str">
        <f t="shared" si="1742"/>
        <v/>
      </c>
      <c r="V4119" s="46">
        <f t="shared" si="1742"/>
        <v>25</v>
      </c>
      <c r="W4119" s="46" t="str">
        <f t="shared" si="1742"/>
        <v/>
      </c>
      <c r="X4119" s="46" t="str">
        <f t="shared" si="1742"/>
        <v/>
      </c>
    </row>
    <row r="4120" spans="2:26" x14ac:dyDescent="0.25">
      <c r="B4120" s="11" t="str">
        <f>CONCATENATE("MGHL","-",LEFT(P4120,2),UPPER(MID(P4120,4,3)),RIGHT(P4120,4))</f>
        <v>MGHL-26DEC1919</v>
      </c>
      <c r="C4120" s="11" t="s">
        <v>2807</v>
      </c>
      <c r="D4120" s="11" t="s">
        <v>847</v>
      </c>
      <c r="E4120" s="39" t="s">
        <v>2400</v>
      </c>
      <c r="F4120" s="11" t="s">
        <v>1700</v>
      </c>
      <c r="G4120" s="39" t="s">
        <v>5627</v>
      </c>
      <c r="H4120" s="7">
        <v>0</v>
      </c>
      <c r="I4120" s="7">
        <v>4</v>
      </c>
      <c r="J4120" s="17">
        <v>20</v>
      </c>
      <c r="K4120" s="17"/>
      <c r="L4120" s="7">
        <f>SUM(H4120:K4120)</f>
        <v>24</v>
      </c>
      <c r="M4120" s="8">
        <v>1</v>
      </c>
      <c r="N4120" s="8">
        <f>IF(L4120&gt;0,1,"")</f>
        <v>1</v>
      </c>
      <c r="O4120" s="11" t="s">
        <v>1702</v>
      </c>
      <c r="P4120" s="16" t="str">
        <f>IF(LEN(G4120)=10,CONCATENATE("0",G4120),G4120)</f>
        <v>26-Dec-1919</v>
      </c>
      <c r="R4120" s="16" t="str">
        <f>IF($L4120&gt;0,"x","")</f>
        <v>x</v>
      </c>
      <c r="S4120" s="16" t="str">
        <f>IF($L4120&gt;0,"x","")</f>
        <v>x</v>
      </c>
      <c r="U4120" s="46" t="str">
        <f t="shared" ref="U4120:X4121" si="1756">IF($O4120=U$5,$L4120,"")</f>
        <v/>
      </c>
      <c r="V4120" s="46">
        <f t="shared" si="1756"/>
        <v>24</v>
      </c>
      <c r="W4120" s="46" t="str">
        <f t="shared" si="1756"/>
        <v/>
      </c>
      <c r="X4120" s="46" t="str">
        <f t="shared" si="1756"/>
        <v/>
      </c>
    </row>
    <row r="4121" spans="2:26" x14ac:dyDescent="0.25">
      <c r="B4121" s="11" t="str">
        <f>CONCATENATE("MGHL","-",LEFT(P4121,2),UPPER(MID(P4121,4,3)),RIGHT(P4121,4))</f>
        <v>MGHL-22FEB1920</v>
      </c>
      <c r="C4121" s="11" t="s">
        <v>2807</v>
      </c>
      <c r="D4121" s="11" t="s">
        <v>847</v>
      </c>
      <c r="E4121" s="39" t="s">
        <v>4199</v>
      </c>
      <c r="F4121" s="11" t="s">
        <v>1700</v>
      </c>
      <c r="G4121" s="39" t="s">
        <v>4198</v>
      </c>
      <c r="H4121" s="7">
        <v>5</v>
      </c>
      <c r="I4121" s="7">
        <v>0</v>
      </c>
      <c r="J4121" s="17">
        <f>2+1</f>
        <v>3</v>
      </c>
      <c r="K4121" s="17"/>
      <c r="L4121" s="7">
        <f>SUM(H4121:K4121)</f>
        <v>8</v>
      </c>
      <c r="M4121" s="8">
        <v>1</v>
      </c>
      <c r="N4121" s="8">
        <f>IF(L4121&gt;0,1,"")</f>
        <v>1</v>
      </c>
      <c r="O4121" s="11" t="s">
        <v>1702</v>
      </c>
      <c r="P4121" s="16" t="str">
        <f>IF(LEN(G4121)=10,CONCATENATE("0",G4121),G4121)</f>
        <v>22-Feb-1920</v>
      </c>
      <c r="R4121" s="16" t="str">
        <f t="shared" ref="R4121:S4126" si="1757">IF($L4121&gt;0,"x","")</f>
        <v>x</v>
      </c>
      <c r="S4121" s="16" t="str">
        <f t="shared" si="1757"/>
        <v>x</v>
      </c>
      <c r="U4121" s="46" t="str">
        <f t="shared" si="1756"/>
        <v/>
      </c>
      <c r="V4121" s="46">
        <f t="shared" si="1756"/>
        <v>8</v>
      </c>
      <c r="W4121" s="46" t="str">
        <f t="shared" si="1756"/>
        <v/>
      </c>
      <c r="X4121" s="46" t="str">
        <f t="shared" si="1756"/>
        <v/>
      </c>
    </row>
    <row r="4122" spans="2:26" x14ac:dyDescent="0.25">
      <c r="B4122" s="11" t="str">
        <f t="shared" si="1752"/>
        <v>MGHL-24JUN1920</v>
      </c>
      <c r="C4122" s="11" t="s">
        <v>2807</v>
      </c>
      <c r="D4122" s="11" t="s">
        <v>847</v>
      </c>
      <c r="E4122" s="39" t="s">
        <v>2034</v>
      </c>
      <c r="F4122" s="11" t="s">
        <v>1700</v>
      </c>
      <c r="G4122" s="39" t="s">
        <v>3713</v>
      </c>
      <c r="H4122" s="7">
        <v>0</v>
      </c>
      <c r="I4122" s="7">
        <v>43</v>
      </c>
      <c r="J4122" s="17">
        <v>115</v>
      </c>
      <c r="K4122" s="17"/>
      <c r="L4122" s="7">
        <f t="shared" si="1753"/>
        <v>158</v>
      </c>
      <c r="M4122" s="8">
        <v>1</v>
      </c>
      <c r="N4122" s="8">
        <f t="shared" si="1754"/>
        <v>1</v>
      </c>
      <c r="O4122" s="11" t="s">
        <v>1702</v>
      </c>
      <c r="P4122" s="16" t="str">
        <f t="shared" si="1755"/>
        <v>24-Jun-1920</v>
      </c>
      <c r="R4122" s="16" t="str">
        <f t="shared" si="1757"/>
        <v>x</v>
      </c>
      <c r="S4122" s="16" t="str">
        <f t="shared" si="1757"/>
        <v>x</v>
      </c>
      <c r="U4122" s="46" t="str">
        <f t="shared" si="1742"/>
        <v/>
      </c>
      <c r="V4122" s="46">
        <f t="shared" si="1742"/>
        <v>158</v>
      </c>
      <c r="W4122" s="46" t="str">
        <f t="shared" si="1742"/>
        <v/>
      </c>
      <c r="X4122" s="46" t="str">
        <f t="shared" si="1742"/>
        <v/>
      </c>
    </row>
    <row r="4123" spans="2:26" x14ac:dyDescent="0.25">
      <c r="B4123" s="11" t="str">
        <f t="shared" si="1752"/>
        <v>MGHL-10AUG1920</v>
      </c>
      <c r="C4123" s="11" t="s">
        <v>2807</v>
      </c>
      <c r="D4123" s="11" t="s">
        <v>847</v>
      </c>
      <c r="E4123" s="39" t="s">
        <v>4130</v>
      </c>
      <c r="F4123" s="11" t="s">
        <v>1700</v>
      </c>
      <c r="G4123" s="39" t="s">
        <v>4129</v>
      </c>
      <c r="H4123" s="7">
        <v>0</v>
      </c>
      <c r="I4123" s="7">
        <f>29+6</f>
        <v>35</v>
      </c>
      <c r="J4123" s="17">
        <f>132+2</f>
        <v>134</v>
      </c>
      <c r="K4123" s="17"/>
      <c r="L4123" s="7">
        <f t="shared" si="1753"/>
        <v>169</v>
      </c>
      <c r="M4123" s="8">
        <v>1</v>
      </c>
      <c r="N4123" s="8">
        <f t="shared" si="1754"/>
        <v>1</v>
      </c>
      <c r="O4123" s="11" t="s">
        <v>1702</v>
      </c>
      <c r="P4123" s="16" t="str">
        <f t="shared" si="1755"/>
        <v>10-Aug-1920</v>
      </c>
      <c r="R4123" s="16" t="str">
        <f t="shared" si="1757"/>
        <v>x</v>
      </c>
      <c r="S4123" s="16" t="str">
        <f t="shared" si="1757"/>
        <v>x</v>
      </c>
      <c r="U4123" s="46" t="str">
        <f t="shared" si="1742"/>
        <v/>
      </c>
      <c r="V4123" s="46">
        <f t="shared" si="1742"/>
        <v>169</v>
      </c>
      <c r="W4123" s="46" t="str">
        <f t="shared" si="1742"/>
        <v/>
      </c>
      <c r="X4123" s="46" t="str">
        <f t="shared" si="1742"/>
        <v/>
      </c>
    </row>
    <row r="4124" spans="2:26" x14ac:dyDescent="0.25">
      <c r="B4124" s="11" t="str">
        <f t="shared" si="1752"/>
        <v>MGHL-04OCT1920</v>
      </c>
      <c r="C4124" s="11" t="s">
        <v>2807</v>
      </c>
      <c r="D4124" s="11" t="s">
        <v>847</v>
      </c>
      <c r="E4124" s="39" t="s">
        <v>3657</v>
      </c>
      <c r="F4124" s="11" t="s">
        <v>1700</v>
      </c>
      <c r="G4124" s="39" t="s">
        <v>3658</v>
      </c>
      <c r="H4124" s="7">
        <v>2</v>
      </c>
      <c r="I4124" s="7">
        <v>34</v>
      </c>
      <c r="J4124" s="17">
        <f>107+3</f>
        <v>110</v>
      </c>
      <c r="K4124" s="17"/>
      <c r="L4124" s="7">
        <f t="shared" si="1753"/>
        <v>146</v>
      </c>
      <c r="M4124" s="8">
        <v>1</v>
      </c>
      <c r="N4124" s="8">
        <f t="shared" si="1754"/>
        <v>1</v>
      </c>
      <c r="O4124" s="11" t="s">
        <v>1702</v>
      </c>
      <c r="P4124" s="16" t="str">
        <f t="shared" si="1755"/>
        <v>04-Oct-1920</v>
      </c>
      <c r="R4124" s="16" t="str">
        <f t="shared" si="1757"/>
        <v>x</v>
      </c>
      <c r="S4124" s="16" t="str">
        <f t="shared" si="1757"/>
        <v>x</v>
      </c>
      <c r="U4124" s="46" t="str">
        <f t="shared" si="1742"/>
        <v/>
      </c>
      <c r="V4124" s="46">
        <f t="shared" si="1742"/>
        <v>146</v>
      </c>
      <c r="W4124" s="46" t="str">
        <f t="shared" si="1742"/>
        <v/>
      </c>
      <c r="X4124" s="46" t="str">
        <f t="shared" si="1742"/>
        <v/>
      </c>
    </row>
    <row r="4125" spans="2:26" x14ac:dyDescent="0.25">
      <c r="B4125" s="11" t="str">
        <f t="shared" si="1752"/>
        <v>MGHL-27NOV1920</v>
      </c>
      <c r="C4125" s="11" t="s">
        <v>2807</v>
      </c>
      <c r="D4125" s="11" t="s">
        <v>847</v>
      </c>
      <c r="E4125" s="39" t="s">
        <v>2419</v>
      </c>
      <c r="F4125" s="11" t="s">
        <v>1700</v>
      </c>
      <c r="G4125" s="39" t="s">
        <v>3047</v>
      </c>
      <c r="H4125" s="7">
        <v>2</v>
      </c>
      <c r="I4125" s="7">
        <v>14</v>
      </c>
      <c r="J4125" s="17">
        <v>90</v>
      </c>
      <c r="K4125" s="17"/>
      <c r="L4125" s="7">
        <f t="shared" si="1753"/>
        <v>106</v>
      </c>
      <c r="M4125" s="8">
        <v>1</v>
      </c>
      <c r="N4125" s="8">
        <f t="shared" si="1754"/>
        <v>1</v>
      </c>
      <c r="O4125" s="11" t="s">
        <v>1702</v>
      </c>
      <c r="P4125" s="16" t="str">
        <f t="shared" si="1755"/>
        <v>27-Nov-1920</v>
      </c>
      <c r="R4125" s="16" t="str">
        <f t="shared" si="1757"/>
        <v>x</v>
      </c>
      <c r="S4125" s="16" t="str">
        <f t="shared" si="1757"/>
        <v>x</v>
      </c>
      <c r="U4125" s="46" t="str">
        <f t="shared" si="1742"/>
        <v/>
      </c>
      <c r="V4125" s="46">
        <f t="shared" si="1742"/>
        <v>106</v>
      </c>
      <c r="W4125" s="46" t="str">
        <f t="shared" si="1742"/>
        <v/>
      </c>
      <c r="X4125" s="46" t="str">
        <f t="shared" si="1742"/>
        <v/>
      </c>
    </row>
    <row r="4126" spans="2:26" x14ac:dyDescent="0.25">
      <c r="B4126" s="11" t="str">
        <f t="shared" si="1752"/>
        <v>MGHL-20JAN1921</v>
      </c>
      <c r="C4126" s="11" t="s">
        <v>2807</v>
      </c>
      <c r="D4126" s="11" t="s">
        <v>847</v>
      </c>
      <c r="E4126" s="39" t="s">
        <v>4397</v>
      </c>
      <c r="F4126" s="11" t="s">
        <v>1700</v>
      </c>
      <c r="G4126" s="39" t="s">
        <v>1612</v>
      </c>
      <c r="H4126" s="7">
        <v>0</v>
      </c>
      <c r="I4126" s="7">
        <v>16</v>
      </c>
      <c r="J4126" s="17">
        <f>114+2</f>
        <v>116</v>
      </c>
      <c r="K4126" s="17"/>
      <c r="L4126" s="7">
        <f t="shared" si="1753"/>
        <v>132</v>
      </c>
      <c r="M4126" s="8">
        <v>1</v>
      </c>
      <c r="N4126" s="8">
        <f t="shared" si="1754"/>
        <v>1</v>
      </c>
      <c r="O4126" s="11" t="s">
        <v>1702</v>
      </c>
      <c r="P4126" s="16" t="str">
        <f t="shared" si="1755"/>
        <v>20-Jan-1921</v>
      </c>
      <c r="R4126" s="16" t="str">
        <f t="shared" si="1757"/>
        <v>x</v>
      </c>
      <c r="S4126" s="16" t="str">
        <f t="shared" si="1757"/>
        <v>x</v>
      </c>
      <c r="U4126" s="46" t="str">
        <f t="shared" si="1742"/>
        <v/>
      </c>
      <c r="V4126" s="46">
        <f t="shared" si="1742"/>
        <v>132</v>
      </c>
      <c r="W4126" s="46" t="str">
        <f t="shared" si="1742"/>
        <v/>
      </c>
      <c r="X4126" s="46" t="str">
        <f t="shared" si="1742"/>
        <v/>
      </c>
    </row>
    <row r="4127" spans="2:26" x14ac:dyDescent="0.25">
      <c r="B4127" s="11" t="str">
        <f t="shared" si="1752"/>
        <v>MGHL-01APR1921</v>
      </c>
      <c r="C4127" s="11" t="s">
        <v>2807</v>
      </c>
      <c r="D4127" s="11" t="s">
        <v>847</v>
      </c>
      <c r="E4127" s="39" t="s">
        <v>3111</v>
      </c>
      <c r="F4127" s="11" t="s">
        <v>1700</v>
      </c>
      <c r="G4127" s="39" t="s">
        <v>3112</v>
      </c>
      <c r="H4127" s="7">
        <v>5</v>
      </c>
      <c r="I4127" s="7">
        <v>26</v>
      </c>
      <c r="J4127" s="17">
        <f>203+3</f>
        <v>206</v>
      </c>
      <c r="K4127" s="17"/>
      <c r="L4127" s="7">
        <f t="shared" si="1753"/>
        <v>237</v>
      </c>
      <c r="M4127" s="8">
        <v>1</v>
      </c>
      <c r="N4127" s="8">
        <f t="shared" si="1754"/>
        <v>1</v>
      </c>
      <c r="O4127" s="11" t="s">
        <v>1702</v>
      </c>
      <c r="P4127" s="16" t="str">
        <f t="shared" si="1755"/>
        <v>01-Apr-1921</v>
      </c>
      <c r="R4127" s="16" t="str">
        <f t="shared" ref="R4127:S4143" si="1758">IF($L4127&gt;0,"x","")</f>
        <v>x</v>
      </c>
      <c r="S4127" s="16" t="str">
        <f t="shared" si="1758"/>
        <v>x</v>
      </c>
      <c r="U4127" s="46" t="str">
        <f t="shared" si="1742"/>
        <v/>
      </c>
      <c r="V4127" s="46">
        <f t="shared" si="1742"/>
        <v>237</v>
      </c>
      <c r="W4127" s="46" t="str">
        <f t="shared" si="1742"/>
        <v/>
      </c>
      <c r="X4127" s="46" t="str">
        <f t="shared" si="1742"/>
        <v/>
      </c>
    </row>
    <row r="4128" spans="2:26" x14ac:dyDescent="0.25">
      <c r="B4128" s="11" t="str">
        <f t="shared" si="1752"/>
        <v>MGHL-29MAY1921</v>
      </c>
      <c r="C4128" s="11" t="s">
        <v>2807</v>
      </c>
      <c r="D4128" s="11" t="s">
        <v>847</v>
      </c>
      <c r="E4128" s="39" t="s">
        <v>1141</v>
      </c>
      <c r="F4128" s="11" t="s">
        <v>1700</v>
      </c>
      <c r="G4128" s="39" t="s">
        <v>4502</v>
      </c>
      <c r="H4128" s="7">
        <v>3</v>
      </c>
      <c r="I4128" s="7">
        <v>33</v>
      </c>
      <c r="J4128" s="17">
        <f>151+1</f>
        <v>152</v>
      </c>
      <c r="K4128" s="17"/>
      <c r="L4128" s="7">
        <f t="shared" si="1753"/>
        <v>188</v>
      </c>
      <c r="M4128" s="8">
        <v>1</v>
      </c>
      <c r="N4128" s="8">
        <f t="shared" si="1754"/>
        <v>1</v>
      </c>
      <c r="O4128" s="11" t="s">
        <v>1702</v>
      </c>
      <c r="P4128" s="16" t="str">
        <f t="shared" si="1755"/>
        <v>29-May-1921</v>
      </c>
      <c r="R4128" s="16" t="str">
        <f t="shared" si="1758"/>
        <v>x</v>
      </c>
      <c r="S4128" s="16" t="str">
        <f t="shared" si="1758"/>
        <v>x</v>
      </c>
      <c r="U4128" s="46" t="str">
        <f t="shared" si="1742"/>
        <v/>
      </c>
      <c r="V4128" s="46">
        <f t="shared" si="1742"/>
        <v>188</v>
      </c>
      <c r="W4128" s="46" t="str">
        <f t="shared" si="1742"/>
        <v/>
      </c>
      <c r="X4128" s="46" t="str">
        <f t="shared" si="1742"/>
        <v/>
      </c>
    </row>
    <row r="4129" spans="2:24" x14ac:dyDescent="0.25">
      <c r="B4129" s="11" t="str">
        <f t="shared" si="1752"/>
        <v>MGHL-01AUG1921</v>
      </c>
      <c r="C4129" s="11" t="s">
        <v>2807</v>
      </c>
      <c r="D4129" s="11" t="s">
        <v>2808</v>
      </c>
      <c r="E4129" s="39" t="s">
        <v>3374</v>
      </c>
      <c r="F4129" s="11" t="s">
        <v>1700</v>
      </c>
      <c r="G4129" s="39" t="s">
        <v>3373</v>
      </c>
      <c r="H4129" s="7">
        <v>3</v>
      </c>
      <c r="I4129" s="7">
        <f>5+40</f>
        <v>45</v>
      </c>
      <c r="J4129" s="17">
        <v>95</v>
      </c>
      <c r="K4129" s="17"/>
      <c r="L4129" s="7">
        <f t="shared" si="1753"/>
        <v>143</v>
      </c>
      <c r="M4129" s="8">
        <v>1</v>
      </c>
      <c r="N4129" s="8">
        <f t="shared" si="1754"/>
        <v>1</v>
      </c>
      <c r="O4129" s="11" t="s">
        <v>1702</v>
      </c>
      <c r="P4129" s="16" t="str">
        <f t="shared" si="1755"/>
        <v>01-Aug-1921</v>
      </c>
      <c r="R4129" s="16" t="str">
        <f t="shared" si="1758"/>
        <v>x</v>
      </c>
      <c r="S4129" s="16" t="str">
        <f t="shared" si="1758"/>
        <v>x</v>
      </c>
      <c r="U4129" s="46" t="str">
        <f t="shared" si="1742"/>
        <v/>
      </c>
      <c r="V4129" s="46">
        <f t="shared" si="1742"/>
        <v>143</v>
      </c>
      <c r="W4129" s="46" t="str">
        <f t="shared" si="1742"/>
        <v/>
      </c>
      <c r="X4129" s="46" t="str">
        <f t="shared" si="1742"/>
        <v/>
      </c>
    </row>
    <row r="4130" spans="2:24" x14ac:dyDescent="0.25">
      <c r="B4130" s="11" t="str">
        <f t="shared" si="1752"/>
        <v>MGHL-01AUG1921</v>
      </c>
      <c r="C4130" s="11" t="s">
        <v>2807</v>
      </c>
      <c r="D4130" s="11" t="s">
        <v>847</v>
      </c>
      <c r="E4130" s="39" t="s">
        <v>1143</v>
      </c>
      <c r="F4130" s="11" t="s">
        <v>1700</v>
      </c>
      <c r="G4130" s="39" t="s">
        <v>3373</v>
      </c>
      <c r="H4130" s="7">
        <v>0</v>
      </c>
      <c r="I4130" s="7">
        <v>2</v>
      </c>
      <c r="J4130" s="17">
        <v>5</v>
      </c>
      <c r="K4130" s="17"/>
      <c r="L4130" s="7">
        <f t="shared" si="1753"/>
        <v>7</v>
      </c>
      <c r="M4130" s="8">
        <v>1</v>
      </c>
      <c r="N4130" s="8">
        <f t="shared" si="1754"/>
        <v>1</v>
      </c>
      <c r="O4130" s="11" t="s">
        <v>1702</v>
      </c>
      <c r="P4130" s="16" t="str">
        <f t="shared" si="1755"/>
        <v>01-Aug-1921</v>
      </c>
      <c r="R4130" s="16" t="str">
        <f t="shared" si="1758"/>
        <v>x</v>
      </c>
      <c r="S4130" s="16" t="str">
        <f t="shared" si="1758"/>
        <v>x</v>
      </c>
      <c r="U4130" s="46" t="str">
        <f t="shared" si="1742"/>
        <v/>
      </c>
      <c r="V4130" s="46">
        <f t="shared" si="1742"/>
        <v>7</v>
      </c>
      <c r="W4130" s="46" t="str">
        <f t="shared" si="1742"/>
        <v/>
      </c>
      <c r="X4130" s="46" t="str">
        <f t="shared" si="1742"/>
        <v/>
      </c>
    </row>
    <row r="4131" spans="2:24" x14ac:dyDescent="0.25">
      <c r="B4131" s="11" t="str">
        <f t="shared" si="1752"/>
        <v>MGHL-01AUG1921</v>
      </c>
      <c r="C4131" s="11" t="s">
        <v>2807</v>
      </c>
      <c r="D4131" s="11" t="s">
        <v>1906</v>
      </c>
      <c r="E4131" s="39" t="s">
        <v>2881</v>
      </c>
      <c r="F4131" s="11" t="s">
        <v>1700</v>
      </c>
      <c r="G4131" s="39" t="s">
        <v>3373</v>
      </c>
      <c r="H4131" s="7">
        <v>0</v>
      </c>
      <c r="I4131" s="7">
        <v>2</v>
      </c>
      <c r="J4131" s="17">
        <f>0+3</f>
        <v>3</v>
      </c>
      <c r="K4131" s="17"/>
      <c r="L4131" s="7">
        <f t="shared" si="1753"/>
        <v>5</v>
      </c>
      <c r="M4131" s="8">
        <v>1</v>
      </c>
      <c r="N4131" s="8">
        <f t="shared" si="1754"/>
        <v>1</v>
      </c>
      <c r="O4131" s="11" t="s">
        <v>1702</v>
      </c>
      <c r="P4131" s="16" t="str">
        <f t="shared" si="1755"/>
        <v>01-Aug-1921</v>
      </c>
      <c r="R4131" s="16" t="str">
        <f t="shared" si="1758"/>
        <v>x</v>
      </c>
      <c r="S4131" s="16" t="str">
        <f t="shared" si="1758"/>
        <v>x</v>
      </c>
      <c r="U4131" s="46" t="str">
        <f t="shared" si="1742"/>
        <v/>
      </c>
      <c r="V4131" s="46">
        <f t="shared" si="1742"/>
        <v>5</v>
      </c>
      <c r="W4131" s="46" t="str">
        <f t="shared" si="1742"/>
        <v/>
      </c>
      <c r="X4131" s="46" t="str">
        <f t="shared" si="1742"/>
        <v/>
      </c>
    </row>
    <row r="4132" spans="2:24" x14ac:dyDescent="0.25">
      <c r="B4132" s="11" t="str">
        <f t="shared" si="1752"/>
        <v>MGHL-01OCT1921</v>
      </c>
      <c r="C4132" s="11" t="s">
        <v>2807</v>
      </c>
      <c r="D4132" s="11" t="s">
        <v>2808</v>
      </c>
      <c r="E4132" s="39" t="s">
        <v>3081</v>
      </c>
      <c r="F4132" s="11" t="s">
        <v>1700</v>
      </c>
      <c r="G4132" s="39" t="s">
        <v>3080</v>
      </c>
      <c r="H4132" s="7">
        <v>3</v>
      </c>
      <c r="I4132" s="7">
        <v>38</v>
      </c>
      <c r="J4132" s="17">
        <f>88+1</f>
        <v>89</v>
      </c>
      <c r="K4132" s="17"/>
      <c r="L4132" s="7">
        <f t="shared" si="1753"/>
        <v>130</v>
      </c>
      <c r="M4132" s="8">
        <v>1</v>
      </c>
      <c r="N4132" s="8">
        <f t="shared" si="1754"/>
        <v>1</v>
      </c>
      <c r="O4132" s="11" t="s">
        <v>1702</v>
      </c>
      <c r="P4132" s="16" t="str">
        <f t="shared" si="1755"/>
        <v>01-Oct-1921</v>
      </c>
      <c r="R4132" s="16" t="str">
        <f t="shared" si="1758"/>
        <v>x</v>
      </c>
      <c r="S4132" s="16" t="str">
        <f t="shared" si="1758"/>
        <v>x</v>
      </c>
      <c r="U4132" s="46" t="str">
        <f t="shared" si="1742"/>
        <v/>
      </c>
      <c r="V4132" s="46">
        <f t="shared" si="1742"/>
        <v>130</v>
      </c>
      <c r="W4132" s="46" t="str">
        <f t="shared" si="1742"/>
        <v/>
      </c>
      <c r="X4132" s="46" t="str">
        <f t="shared" si="1742"/>
        <v/>
      </c>
    </row>
    <row r="4133" spans="2:24" x14ac:dyDescent="0.25">
      <c r="B4133" s="11" t="str">
        <f t="shared" ref="B4133:B4143" si="1759">CONCATENATE("MGHL","-",LEFT(P4133,2),UPPER(MID(P4133,4,3)),RIGHT(P4133,4))</f>
        <v>MGHL-01OCT1921</v>
      </c>
      <c r="C4133" s="11" t="s">
        <v>2807</v>
      </c>
      <c r="D4133" s="11" t="s">
        <v>847</v>
      </c>
      <c r="E4133" s="39" t="s">
        <v>3082</v>
      </c>
      <c r="F4133" s="11" t="s">
        <v>1700</v>
      </c>
      <c r="G4133" s="39" t="s">
        <v>3080</v>
      </c>
      <c r="H4133" s="7">
        <v>1</v>
      </c>
      <c r="I4133" s="7">
        <v>1</v>
      </c>
      <c r="J4133" s="17">
        <f>3+1</f>
        <v>4</v>
      </c>
      <c r="K4133" s="17"/>
      <c r="L4133" s="7">
        <f t="shared" ref="L4133:L4143" si="1760">SUM(H4133:K4133)</f>
        <v>6</v>
      </c>
      <c r="M4133" s="8">
        <v>1</v>
      </c>
      <c r="N4133" s="8">
        <f t="shared" ref="N4133:N4143" si="1761">IF(L4133&gt;0,1,"")</f>
        <v>1</v>
      </c>
      <c r="O4133" s="11" t="s">
        <v>1702</v>
      </c>
      <c r="P4133" s="16" t="str">
        <f t="shared" ref="P4133:P4143" si="1762">IF(LEN(G4133)=10,CONCATENATE("0",G4133),G4133)</f>
        <v>01-Oct-1921</v>
      </c>
      <c r="R4133" s="16" t="str">
        <f t="shared" si="1758"/>
        <v>x</v>
      </c>
      <c r="S4133" s="16" t="str">
        <f t="shared" si="1758"/>
        <v>x</v>
      </c>
      <c r="U4133" s="46" t="str">
        <f t="shared" si="1742"/>
        <v/>
      </c>
      <c r="V4133" s="46">
        <f t="shared" si="1742"/>
        <v>6</v>
      </c>
      <c r="W4133" s="46" t="str">
        <f t="shared" si="1742"/>
        <v/>
      </c>
      <c r="X4133" s="46" t="str">
        <f t="shared" si="1742"/>
        <v/>
      </c>
    </row>
    <row r="4134" spans="2:24" x14ac:dyDescent="0.25">
      <c r="B4134" s="11" t="str">
        <f t="shared" si="1759"/>
        <v>MGHL-01DEC1921</v>
      </c>
      <c r="C4134" s="11" t="s">
        <v>2807</v>
      </c>
      <c r="D4134" s="11" t="s">
        <v>2808</v>
      </c>
      <c r="E4134" s="39" t="s">
        <v>2810</v>
      </c>
      <c r="F4134" s="11" t="s">
        <v>1700</v>
      </c>
      <c r="G4134" s="39" t="s">
        <v>2809</v>
      </c>
      <c r="H4134" s="7">
        <v>4</v>
      </c>
      <c r="I4134" s="7">
        <v>30</v>
      </c>
      <c r="J4134" s="17">
        <f>7+7</f>
        <v>14</v>
      </c>
      <c r="K4134" s="17"/>
      <c r="L4134" s="7">
        <f t="shared" si="1760"/>
        <v>48</v>
      </c>
      <c r="M4134" s="8">
        <v>1</v>
      </c>
      <c r="N4134" s="8">
        <f t="shared" si="1761"/>
        <v>1</v>
      </c>
      <c r="O4134" s="11" t="s">
        <v>1702</v>
      </c>
      <c r="P4134" s="16" t="str">
        <f t="shared" si="1762"/>
        <v>01-Dec-1921</v>
      </c>
      <c r="R4134" s="16" t="str">
        <f t="shared" si="1758"/>
        <v>x</v>
      </c>
      <c r="S4134" s="16" t="str">
        <f t="shared" si="1758"/>
        <v>x</v>
      </c>
      <c r="U4134" s="46" t="str">
        <f t="shared" si="1742"/>
        <v/>
      </c>
      <c r="V4134" s="46">
        <f t="shared" si="1742"/>
        <v>48</v>
      </c>
      <c r="W4134" s="46" t="str">
        <f t="shared" si="1742"/>
        <v/>
      </c>
      <c r="X4134" s="46" t="str">
        <f t="shared" si="1742"/>
        <v/>
      </c>
    </row>
    <row r="4135" spans="2:24" x14ac:dyDescent="0.25">
      <c r="B4135" s="11" t="str">
        <f>CONCATENATE("MGHL","-",LEFT(P4135,2),UPPER(MID(P4135,4,3)),RIGHT(P4135,4))</f>
        <v>MGHL-07FEB1922</v>
      </c>
      <c r="C4135" s="11" t="s">
        <v>2807</v>
      </c>
      <c r="D4135" s="11" t="s">
        <v>2808</v>
      </c>
      <c r="E4135" s="39" t="s">
        <v>4215</v>
      </c>
      <c r="F4135" s="11" t="s">
        <v>1700</v>
      </c>
      <c r="G4135" s="39" t="s">
        <v>4216</v>
      </c>
      <c r="H4135" s="7">
        <v>0</v>
      </c>
      <c r="I4135" s="7">
        <f>5+3</f>
        <v>8</v>
      </c>
      <c r="J4135" s="17">
        <v>8</v>
      </c>
      <c r="K4135" s="17"/>
      <c r="L4135" s="7">
        <f>SUM(H4135:K4135)</f>
        <v>16</v>
      </c>
      <c r="M4135" s="8">
        <v>1</v>
      </c>
      <c r="N4135" s="8">
        <f>IF(L4135&gt;0,1,"")</f>
        <v>1</v>
      </c>
      <c r="O4135" s="11" t="s">
        <v>1702</v>
      </c>
      <c r="P4135" s="16" t="str">
        <f>IF(LEN(G4135)=10,CONCATENATE("0",G4135),G4135)</f>
        <v>07-Feb-1922</v>
      </c>
      <c r="R4135" s="16" t="str">
        <f t="shared" si="1758"/>
        <v>x</v>
      </c>
      <c r="S4135" s="16" t="str">
        <f t="shared" si="1758"/>
        <v>x</v>
      </c>
      <c r="U4135" s="46" t="str">
        <f t="shared" si="1742"/>
        <v/>
      </c>
      <c r="V4135" s="46">
        <f t="shared" si="1742"/>
        <v>16</v>
      </c>
      <c r="W4135" s="46" t="str">
        <f t="shared" si="1742"/>
        <v/>
      </c>
      <c r="X4135" s="46" t="str">
        <f t="shared" si="1742"/>
        <v/>
      </c>
    </row>
    <row r="4136" spans="2:24" x14ac:dyDescent="0.25">
      <c r="B4136" s="11" t="str">
        <f>CONCATENATE("MGHL","-",LEFT(P4136,2),UPPER(MID(P4136,4,3)),RIGHT(P4136,4))</f>
        <v>MGHL-07FEB1922</v>
      </c>
      <c r="C4136" s="11" t="s">
        <v>2807</v>
      </c>
      <c r="D4136" s="11" t="s">
        <v>847</v>
      </c>
      <c r="E4136" s="39" t="s">
        <v>4628</v>
      </c>
      <c r="F4136" s="11" t="s">
        <v>1700</v>
      </c>
      <c r="G4136" s="39" t="s">
        <v>4216</v>
      </c>
      <c r="H4136" s="7">
        <v>0</v>
      </c>
      <c r="I4136" s="7">
        <v>2</v>
      </c>
      <c r="J4136" s="17">
        <v>0</v>
      </c>
      <c r="K4136" s="17"/>
      <c r="L4136" s="7">
        <f>SUM(H4136:K4136)</f>
        <v>2</v>
      </c>
      <c r="M4136" s="8">
        <v>1</v>
      </c>
      <c r="N4136" s="8">
        <f>IF(L4136&gt;0,1,"")</f>
        <v>1</v>
      </c>
      <c r="O4136" s="11" t="s">
        <v>1702</v>
      </c>
      <c r="P4136" s="16" t="str">
        <f>IF(LEN(G4136)=10,CONCATENATE("0",G4136),G4136)</f>
        <v>07-Feb-1922</v>
      </c>
      <c r="R4136" s="16" t="str">
        <f t="shared" si="1758"/>
        <v>x</v>
      </c>
      <c r="S4136" s="16" t="str">
        <f t="shared" si="1758"/>
        <v>x</v>
      </c>
      <c r="U4136" s="46" t="str">
        <f t="shared" ref="U4136:X4137" si="1763">IF($O4136=U$5,$L4136,"")</f>
        <v/>
      </c>
      <c r="V4136" s="46">
        <f t="shared" si="1763"/>
        <v>2</v>
      </c>
      <c r="W4136" s="46" t="str">
        <f t="shared" si="1763"/>
        <v/>
      </c>
      <c r="X4136" s="46" t="str">
        <f t="shared" si="1763"/>
        <v/>
      </c>
    </row>
    <row r="4137" spans="2:24" x14ac:dyDescent="0.25">
      <c r="B4137" s="11" t="str">
        <f>CONCATENATE("MGHL","-",LEFT(P4137,2),UPPER(MID(P4137,4,3)),RIGHT(P4137,4))</f>
        <v>MGHL-07FEB1922</v>
      </c>
      <c r="C4137" s="11" t="s">
        <v>2807</v>
      </c>
      <c r="D4137" s="11" t="s">
        <v>1906</v>
      </c>
      <c r="E4137" s="39" t="s">
        <v>4629</v>
      </c>
      <c r="F4137" s="11" t="s">
        <v>1700</v>
      </c>
      <c r="G4137" s="39" t="s">
        <v>4216</v>
      </c>
      <c r="H4137" s="7">
        <v>0</v>
      </c>
      <c r="I4137" s="7">
        <v>0</v>
      </c>
      <c r="J4137" s="17">
        <v>0</v>
      </c>
      <c r="K4137" s="17"/>
      <c r="L4137" s="7">
        <f>SUM(H4137:K4137)</f>
        <v>0</v>
      </c>
      <c r="M4137" s="8">
        <v>1</v>
      </c>
      <c r="N4137" s="8" t="str">
        <f>IF(L4137&gt;0,1,"")</f>
        <v/>
      </c>
      <c r="O4137" s="11" t="s">
        <v>1702</v>
      </c>
      <c r="P4137" s="16" t="str">
        <f>IF(LEN(G4137)=10,CONCATENATE("0",G4137),G4137)</f>
        <v>07-Feb-1922</v>
      </c>
      <c r="R4137" s="16" t="str">
        <f t="shared" si="1758"/>
        <v/>
      </c>
      <c r="S4137" s="16" t="str">
        <f t="shared" si="1758"/>
        <v/>
      </c>
      <c r="U4137" s="46" t="str">
        <f t="shared" si="1763"/>
        <v/>
      </c>
      <c r="V4137" s="46">
        <f t="shared" si="1763"/>
        <v>0</v>
      </c>
      <c r="W4137" s="46" t="str">
        <f t="shared" si="1763"/>
        <v/>
      </c>
      <c r="X4137" s="46" t="str">
        <f t="shared" si="1763"/>
        <v/>
      </c>
    </row>
    <row r="4138" spans="2:24" x14ac:dyDescent="0.25">
      <c r="B4138" s="11" t="str">
        <f>CONCATENATE("MGHL","-",LEFT(P4138,2),UPPER(MID(P4138,4,3)),RIGHT(P4138,4))</f>
        <v>MGHL-13APR1922</v>
      </c>
      <c r="C4138" s="11" t="s">
        <v>2807</v>
      </c>
      <c r="D4138" s="11" t="s">
        <v>2808</v>
      </c>
      <c r="E4138" s="39" t="s">
        <v>4217</v>
      </c>
      <c r="F4138" s="11" t="s">
        <v>1700</v>
      </c>
      <c r="G4138" s="39" t="s">
        <v>4218</v>
      </c>
      <c r="H4138" s="7">
        <v>0</v>
      </c>
      <c r="I4138" s="7">
        <f>0+2</f>
        <v>2</v>
      </c>
      <c r="J4138" s="17">
        <f>6+2</f>
        <v>8</v>
      </c>
      <c r="K4138" s="17"/>
      <c r="L4138" s="7">
        <f>SUM(H4138:K4138)</f>
        <v>10</v>
      </c>
      <c r="M4138" s="8">
        <v>1</v>
      </c>
      <c r="N4138" s="8">
        <f>IF(L4138&gt;0,1,"")</f>
        <v>1</v>
      </c>
      <c r="O4138" s="11" t="s">
        <v>1702</v>
      </c>
      <c r="P4138" s="16" t="str">
        <f>IF(LEN(G4138)=10,CONCATENATE("0",G4138),G4138)</f>
        <v>13-Apr-1922</v>
      </c>
      <c r="R4138" s="16" t="str">
        <f t="shared" si="1758"/>
        <v>x</v>
      </c>
      <c r="S4138" s="16" t="str">
        <f t="shared" si="1758"/>
        <v>x</v>
      </c>
      <c r="U4138" s="46" t="str">
        <f t="shared" si="1742"/>
        <v/>
      </c>
      <c r="V4138" s="46">
        <f t="shared" si="1742"/>
        <v>10</v>
      </c>
      <c r="W4138" s="46" t="str">
        <f t="shared" si="1742"/>
        <v/>
      </c>
      <c r="X4138" s="46" t="str">
        <f t="shared" si="1742"/>
        <v/>
      </c>
    </row>
    <row r="4139" spans="2:24" x14ac:dyDescent="0.25">
      <c r="B4139" s="11" t="str">
        <f t="shared" si="1759"/>
        <v>MGHL-16JUN1922</v>
      </c>
      <c r="C4139" s="11" t="s">
        <v>2807</v>
      </c>
      <c r="D4139" s="11" t="s">
        <v>2808</v>
      </c>
      <c r="E4139" s="39" t="s">
        <v>3036</v>
      </c>
      <c r="F4139" s="11" t="s">
        <v>1700</v>
      </c>
      <c r="G4139" s="39" t="s">
        <v>3037</v>
      </c>
      <c r="H4139" s="7">
        <v>2</v>
      </c>
      <c r="I4139" s="7">
        <v>0</v>
      </c>
      <c r="J4139" s="17">
        <v>2</v>
      </c>
      <c r="K4139" s="17"/>
      <c r="L4139" s="7">
        <f t="shared" si="1760"/>
        <v>4</v>
      </c>
      <c r="M4139" s="8">
        <v>1</v>
      </c>
      <c r="N4139" s="8">
        <f t="shared" si="1761"/>
        <v>1</v>
      </c>
      <c r="O4139" s="11" t="s">
        <v>1702</v>
      </c>
      <c r="P4139" s="16" t="str">
        <f t="shared" si="1762"/>
        <v>16-Jun-1922</v>
      </c>
      <c r="R4139" s="16" t="str">
        <f t="shared" si="1758"/>
        <v>x</v>
      </c>
      <c r="S4139" s="16" t="str">
        <f t="shared" si="1758"/>
        <v>x</v>
      </c>
      <c r="U4139" s="46" t="str">
        <f t="shared" si="1742"/>
        <v/>
      </c>
      <c r="V4139" s="46">
        <f t="shared" si="1742"/>
        <v>4</v>
      </c>
      <c r="W4139" s="46" t="str">
        <f t="shared" si="1742"/>
        <v/>
      </c>
      <c r="X4139" s="46" t="str">
        <f t="shared" si="1742"/>
        <v/>
      </c>
    </row>
    <row r="4140" spans="2:24" x14ac:dyDescent="0.25">
      <c r="B4140" s="11" t="str">
        <f t="shared" si="1759"/>
        <v>MGHL-16JUN1922</v>
      </c>
      <c r="C4140" s="11" t="s">
        <v>2807</v>
      </c>
      <c r="D4140" s="11" t="s">
        <v>2983</v>
      </c>
      <c r="E4140" s="39" t="s">
        <v>2975</v>
      </c>
      <c r="F4140" s="11" t="s">
        <v>1700</v>
      </c>
      <c r="G4140" s="39" t="s">
        <v>3037</v>
      </c>
      <c r="H4140" s="7">
        <v>0</v>
      </c>
      <c r="I4140" s="7">
        <v>1</v>
      </c>
      <c r="J4140" s="17">
        <v>0</v>
      </c>
      <c r="K4140" s="17"/>
      <c r="L4140" s="7">
        <f t="shared" si="1760"/>
        <v>1</v>
      </c>
      <c r="M4140" s="8">
        <v>1</v>
      </c>
      <c r="N4140" s="8">
        <f t="shared" si="1761"/>
        <v>1</v>
      </c>
      <c r="O4140" s="11" t="s">
        <v>1702</v>
      </c>
      <c r="P4140" s="16" t="str">
        <f t="shared" si="1762"/>
        <v>16-Jun-1922</v>
      </c>
      <c r="R4140" s="16" t="str">
        <f t="shared" si="1758"/>
        <v>x</v>
      </c>
      <c r="S4140" s="16" t="str">
        <f t="shared" si="1758"/>
        <v>x</v>
      </c>
      <c r="U4140" s="46" t="str">
        <f t="shared" si="1742"/>
        <v/>
      </c>
      <c r="V4140" s="46">
        <f t="shared" si="1742"/>
        <v>1</v>
      </c>
      <c r="W4140" s="46" t="str">
        <f t="shared" si="1742"/>
        <v/>
      </c>
      <c r="X4140" s="46" t="str">
        <f t="shared" si="1742"/>
        <v/>
      </c>
    </row>
    <row r="4141" spans="2:24" x14ac:dyDescent="0.25">
      <c r="B4141" s="11" t="str">
        <f>CONCATENATE("MGHL","-",LEFT(P4141,2),UPPER(MID(P4141,4,3)),RIGHT(P4141,4))</f>
        <v>MGHL-16JUN1922</v>
      </c>
      <c r="C4141" s="11" t="s">
        <v>2807</v>
      </c>
      <c r="D4141" s="11" t="s">
        <v>847</v>
      </c>
      <c r="E4141" s="39" t="s">
        <v>3038</v>
      </c>
      <c r="F4141" s="11" t="s">
        <v>1700</v>
      </c>
      <c r="G4141" s="39" t="s">
        <v>3037</v>
      </c>
      <c r="H4141" s="7">
        <v>0</v>
      </c>
      <c r="I4141" s="7">
        <v>0</v>
      </c>
      <c r="J4141" s="17">
        <v>2</v>
      </c>
      <c r="K4141" s="17"/>
      <c r="L4141" s="7">
        <f>SUM(H4141:K4141)</f>
        <v>2</v>
      </c>
      <c r="M4141" s="8">
        <v>1</v>
      </c>
      <c r="N4141" s="8">
        <f>IF(L4141&gt;0,1,"")</f>
        <v>1</v>
      </c>
      <c r="O4141" s="11" t="s">
        <v>1702</v>
      </c>
      <c r="P4141" s="16" t="str">
        <f>IF(LEN(G4141)=10,CONCATENATE("0",G4141),G4141)</f>
        <v>16-Jun-1922</v>
      </c>
      <c r="R4141" s="16" t="str">
        <f t="shared" si="1758"/>
        <v>x</v>
      </c>
      <c r="S4141" s="16" t="str">
        <f t="shared" si="1758"/>
        <v>x</v>
      </c>
      <c r="U4141" s="46" t="str">
        <f t="shared" ref="U4141:X4142" si="1764">IF($O4141=U$5,$L4141,"")</f>
        <v/>
      </c>
      <c r="V4141" s="46">
        <f t="shared" si="1764"/>
        <v>2</v>
      </c>
      <c r="W4141" s="46" t="str">
        <f t="shared" si="1764"/>
        <v/>
      </c>
      <c r="X4141" s="46" t="str">
        <f t="shared" si="1764"/>
        <v/>
      </c>
    </row>
    <row r="4142" spans="2:24" x14ac:dyDescent="0.25">
      <c r="B4142" s="11" t="str">
        <f>CONCATENATE("MGHL","-",LEFT(P4142,2),UPPER(MID(P4142,4,3)),RIGHT(P4142,4))</f>
        <v>MGHL-16AUG1922</v>
      </c>
      <c r="C4142" s="11" t="s">
        <v>2807</v>
      </c>
      <c r="D4142" s="11" t="s">
        <v>2808</v>
      </c>
      <c r="E4142" s="39" t="s">
        <v>11480</v>
      </c>
      <c r="F4142" s="11" t="s">
        <v>1700</v>
      </c>
      <c r="G4142" s="39" t="s">
        <v>2837</v>
      </c>
      <c r="H4142" s="7">
        <v>0</v>
      </c>
      <c r="I4142" s="7">
        <v>11</v>
      </c>
      <c r="J4142" s="17">
        <f>7+3</f>
        <v>10</v>
      </c>
      <c r="K4142" s="17"/>
      <c r="L4142" s="7">
        <f>SUM(H4142:K4142)</f>
        <v>21</v>
      </c>
      <c r="M4142" s="8">
        <v>1</v>
      </c>
      <c r="N4142" s="8">
        <f>IF(L4142&gt;0,1,"")</f>
        <v>1</v>
      </c>
      <c r="O4142" s="11" t="s">
        <v>1702</v>
      </c>
      <c r="P4142" s="16" t="str">
        <f>IF(LEN(G4142)=10,CONCATENATE("0",G4142),G4142)</f>
        <v>16-Aug-1922</v>
      </c>
      <c r="R4142" s="16" t="str">
        <f t="shared" si="1758"/>
        <v>x</v>
      </c>
      <c r="S4142" s="16" t="str">
        <f t="shared" si="1758"/>
        <v>x</v>
      </c>
      <c r="U4142" s="46" t="str">
        <f t="shared" si="1764"/>
        <v/>
      </c>
      <c r="V4142" s="46">
        <f t="shared" si="1764"/>
        <v>21</v>
      </c>
      <c r="W4142" s="46" t="str">
        <f t="shared" si="1764"/>
        <v/>
      </c>
      <c r="X4142" s="46" t="str">
        <f t="shared" si="1764"/>
        <v/>
      </c>
    </row>
    <row r="4143" spans="2:24" x14ac:dyDescent="0.25">
      <c r="B4143" s="11" t="str">
        <f t="shared" si="1759"/>
        <v>MGHL-06FEB1923</v>
      </c>
      <c r="C4143" s="11" t="s">
        <v>2807</v>
      </c>
      <c r="D4143" s="11" t="s">
        <v>2808</v>
      </c>
      <c r="E4143" s="39" t="s">
        <v>11197</v>
      </c>
      <c r="F4143" s="11" t="s">
        <v>1700</v>
      </c>
      <c r="G4143" s="39" t="s">
        <v>11198</v>
      </c>
      <c r="H4143" s="7">
        <v>0</v>
      </c>
      <c r="I4143" s="7">
        <v>3</v>
      </c>
      <c r="J4143" s="17">
        <f>11+5</f>
        <v>16</v>
      </c>
      <c r="K4143" s="17"/>
      <c r="L4143" s="7">
        <f t="shared" si="1760"/>
        <v>19</v>
      </c>
      <c r="M4143" s="8">
        <v>1</v>
      </c>
      <c r="N4143" s="8">
        <f t="shared" si="1761"/>
        <v>1</v>
      </c>
      <c r="O4143" s="11" t="s">
        <v>1702</v>
      </c>
      <c r="P4143" s="16" t="str">
        <f t="shared" si="1762"/>
        <v>06-Feb-1923</v>
      </c>
      <c r="R4143" s="16" t="str">
        <f t="shared" si="1758"/>
        <v>x</v>
      </c>
      <c r="S4143" s="16" t="str">
        <f t="shared" si="1758"/>
        <v>x</v>
      </c>
      <c r="U4143" s="46" t="str">
        <f t="shared" si="1742"/>
        <v/>
      </c>
      <c r="V4143" s="46">
        <f t="shared" si="1742"/>
        <v>19</v>
      </c>
      <c r="W4143" s="46" t="str">
        <f t="shared" si="1742"/>
        <v/>
      </c>
      <c r="X4143" s="46" t="str">
        <f t="shared" si="1742"/>
        <v/>
      </c>
    </row>
    <row r="4144" spans="2:24" x14ac:dyDescent="0.25">
      <c r="N4144" s="8" t="str">
        <f>IF(R4144="x",1,"")</f>
        <v/>
      </c>
      <c r="U4144" s="46" t="str">
        <f t="shared" si="1742"/>
        <v/>
      </c>
      <c r="V4144" s="46" t="str">
        <f t="shared" si="1742"/>
        <v/>
      </c>
      <c r="W4144" s="46" t="str">
        <f t="shared" si="1742"/>
        <v/>
      </c>
      <c r="X4144" s="46" t="str">
        <f t="shared" si="1742"/>
        <v/>
      </c>
    </row>
    <row r="4145" spans="2:26" s="18" customFormat="1" x14ac:dyDescent="0.25">
      <c r="E4145" s="40"/>
      <c r="G4145" s="40"/>
      <c r="H4145" s="7">
        <f t="shared" ref="H4145:N4145" si="1765">SUM(H4119:H4144)</f>
        <v>34</v>
      </c>
      <c r="I4145" s="7">
        <f t="shared" si="1765"/>
        <v>358</v>
      </c>
      <c r="J4145" s="7">
        <f>SUM(J4119:J4144)</f>
        <v>1215</v>
      </c>
      <c r="K4145" s="7">
        <f t="shared" si="1765"/>
        <v>0</v>
      </c>
      <c r="L4145" s="7">
        <f t="shared" si="1765"/>
        <v>1607</v>
      </c>
      <c r="M4145" s="7">
        <f t="shared" si="1765"/>
        <v>25</v>
      </c>
      <c r="N4145" s="7">
        <f t="shared" si="1765"/>
        <v>24</v>
      </c>
      <c r="P4145" s="13"/>
      <c r="Q4145" s="13"/>
      <c r="R4145" s="16"/>
      <c r="S4145" s="13"/>
      <c r="T4145" s="15"/>
      <c r="U4145" s="46" t="str">
        <f t="shared" si="1742"/>
        <v/>
      </c>
      <c r="V4145" s="46" t="str">
        <f t="shared" si="1742"/>
        <v/>
      </c>
      <c r="W4145" s="46" t="str">
        <f t="shared" si="1742"/>
        <v/>
      </c>
      <c r="X4145" s="46" t="str">
        <f t="shared" si="1742"/>
        <v/>
      </c>
      <c r="Z4145" s="11"/>
    </row>
    <row r="4146" spans="2:26" x14ac:dyDescent="0.25">
      <c r="B4146" s="18"/>
      <c r="C4146" s="18"/>
      <c r="D4146" s="18"/>
      <c r="E4146" s="40"/>
      <c r="F4146" s="18"/>
      <c r="G4146" s="40"/>
      <c r="N4146" s="8" t="str">
        <f>IF(R4146="x",1,"")</f>
        <v/>
      </c>
      <c r="O4146" s="18"/>
      <c r="P4146" s="13"/>
      <c r="Q4146" s="13"/>
      <c r="R4146" s="13"/>
      <c r="S4146" s="13"/>
      <c r="T4146" s="15"/>
      <c r="U4146" s="46" t="str">
        <f t="shared" ref="U4146:X4152" si="1766">IF($O4146=U$5,$L4146,"")</f>
        <v/>
      </c>
      <c r="V4146" s="46" t="str">
        <f t="shared" si="1766"/>
        <v/>
      </c>
      <c r="W4146" s="46" t="str">
        <f t="shared" si="1766"/>
        <v/>
      </c>
      <c r="X4146" s="46" t="str">
        <f t="shared" si="1766"/>
        <v/>
      </c>
    </row>
    <row r="4147" spans="2:26" x14ac:dyDescent="0.25">
      <c r="B4147" s="18"/>
      <c r="C4147" s="18"/>
      <c r="D4147" s="18"/>
      <c r="E4147" s="40"/>
      <c r="F4147" s="18"/>
      <c r="G4147" s="40"/>
      <c r="N4147" s="8" t="str">
        <f>IF(R4147="x",1,"")</f>
        <v/>
      </c>
      <c r="O4147" s="18"/>
      <c r="P4147" s="13"/>
      <c r="Q4147" s="13"/>
      <c r="R4147" s="13"/>
      <c r="S4147" s="13"/>
      <c r="T4147" s="15"/>
      <c r="U4147" s="46" t="str">
        <f t="shared" si="1766"/>
        <v/>
      </c>
      <c r="V4147" s="46" t="str">
        <f t="shared" si="1766"/>
        <v/>
      </c>
      <c r="W4147" s="46" t="str">
        <f t="shared" si="1766"/>
        <v/>
      </c>
      <c r="X4147" s="46" t="str">
        <f t="shared" si="1766"/>
        <v/>
      </c>
    </row>
    <row r="4148" spans="2:26" x14ac:dyDescent="0.25">
      <c r="B4148" s="11" t="str">
        <f>CONCATENATE("MEGA","-",LEFT(P4148,2),UPPER(MID(P4148,4,3)),RIGHT(P4148,4))</f>
        <v>MEGA-19SEP1914</v>
      </c>
      <c r="C4148" s="11" t="s">
        <v>4573</v>
      </c>
      <c r="D4148" s="11" t="s">
        <v>2097</v>
      </c>
      <c r="E4148" s="39" t="s">
        <v>3738</v>
      </c>
      <c r="F4148" s="11" t="s">
        <v>3854</v>
      </c>
      <c r="G4148" s="39" t="s">
        <v>4574</v>
      </c>
      <c r="H4148" s="7">
        <v>0</v>
      </c>
      <c r="I4148" s="7">
        <v>0</v>
      </c>
      <c r="J4148" s="17">
        <v>2</v>
      </c>
      <c r="K4148" s="17"/>
      <c r="L4148" s="7">
        <f>SUM(H4148:K4148)</f>
        <v>2</v>
      </c>
      <c r="M4148" s="8">
        <v>1</v>
      </c>
      <c r="N4148" s="8">
        <f>IF(L4148&gt;0,1,"")</f>
        <v>1</v>
      </c>
      <c r="O4148" s="11" t="s">
        <v>1702</v>
      </c>
      <c r="P4148" s="16" t="str">
        <f>IF(LEN(G4148)=10,CONCATENATE("0",G4148),G4148)</f>
        <v>19-Sep-1914</v>
      </c>
      <c r="R4148" s="16" t="str">
        <f t="shared" ref="R4148:S4150" si="1767">IF($L4148&gt;0,"x","")</f>
        <v>x</v>
      </c>
      <c r="S4148" s="16" t="str">
        <f t="shared" si="1767"/>
        <v>x</v>
      </c>
      <c r="U4148" s="46" t="str">
        <f t="shared" si="1766"/>
        <v/>
      </c>
      <c r="V4148" s="46">
        <f t="shared" si="1766"/>
        <v>2</v>
      </c>
      <c r="W4148" s="46" t="str">
        <f t="shared" si="1766"/>
        <v/>
      </c>
      <c r="X4148" s="46" t="str">
        <f t="shared" si="1766"/>
        <v/>
      </c>
    </row>
    <row r="4149" spans="2:26" x14ac:dyDescent="0.25">
      <c r="B4149" s="11" t="str">
        <f>CONCATENATE("MEGA","-",LEFT(P4149,2),UPPER(MID(P4149,4,3)),RIGHT(P4149,4))</f>
        <v>MEGA-19SEP1914</v>
      </c>
      <c r="C4149" s="11" t="s">
        <v>4573</v>
      </c>
      <c r="D4149" s="11" t="s">
        <v>2097</v>
      </c>
      <c r="E4149" s="39" t="s">
        <v>3738</v>
      </c>
      <c r="F4149" s="11" t="s">
        <v>2813</v>
      </c>
      <c r="G4149" s="39" t="s">
        <v>4574</v>
      </c>
      <c r="H4149" s="7">
        <v>1</v>
      </c>
      <c r="I4149" s="7">
        <v>0</v>
      </c>
      <c r="J4149" s="17">
        <v>4</v>
      </c>
      <c r="K4149" s="17"/>
      <c r="L4149" s="7">
        <f>SUM(H4149:K4149)</f>
        <v>5</v>
      </c>
      <c r="M4149" s="8">
        <v>1</v>
      </c>
      <c r="N4149" s="8">
        <f>IF(L4149&gt;0,1,"")</f>
        <v>1</v>
      </c>
      <c r="O4149" s="11" t="s">
        <v>1702</v>
      </c>
      <c r="P4149" s="16" t="str">
        <f>IF(LEN(G4149)=10,CONCATENATE("0",G4149),G4149)</f>
        <v>19-Sep-1914</v>
      </c>
      <c r="R4149" s="16" t="str">
        <f t="shared" si="1767"/>
        <v>x</v>
      </c>
      <c r="S4149" s="16" t="str">
        <f t="shared" si="1767"/>
        <v>x</v>
      </c>
      <c r="U4149" s="46" t="str">
        <f t="shared" si="1766"/>
        <v/>
      </c>
      <c r="V4149" s="46">
        <f t="shared" si="1766"/>
        <v>5</v>
      </c>
      <c r="W4149" s="46" t="str">
        <f t="shared" si="1766"/>
        <v/>
      </c>
      <c r="X4149" s="46" t="str">
        <f t="shared" si="1766"/>
        <v/>
      </c>
    </row>
    <row r="4150" spans="2:26" x14ac:dyDescent="0.25">
      <c r="B4150" s="11" t="str">
        <f>CONCATENATE("MEGA","-",LEFT(P4150,2),UPPER(MID(P4150,4,3)),RIGHT(P4150,4))</f>
        <v>MEGA-23MAY1920</v>
      </c>
      <c r="C4150" s="11" t="s">
        <v>4573</v>
      </c>
      <c r="F4150" s="11" t="s">
        <v>2813</v>
      </c>
      <c r="G4150" s="39" t="s">
        <v>6215</v>
      </c>
      <c r="H4150" s="7">
        <v>0</v>
      </c>
      <c r="J4150" s="17">
        <v>3</v>
      </c>
      <c r="K4150" s="17"/>
      <c r="L4150" s="7">
        <f>SUM(H4150:K4150)</f>
        <v>3</v>
      </c>
      <c r="M4150" s="8">
        <v>1</v>
      </c>
      <c r="N4150" s="8">
        <f>IF(L4150&gt;0,1,"")</f>
        <v>1</v>
      </c>
      <c r="O4150" s="11" t="s">
        <v>1702</v>
      </c>
      <c r="P4150" s="16" t="str">
        <f>IF(LEN(G4150)=10,CONCATENATE("0",G4150),G4150)</f>
        <v>23-May-1920</v>
      </c>
      <c r="R4150" s="16" t="str">
        <f t="shared" si="1767"/>
        <v>x</v>
      </c>
      <c r="S4150" s="16" t="str">
        <f t="shared" si="1767"/>
        <v>x</v>
      </c>
      <c r="U4150" s="46" t="str">
        <f t="shared" si="1766"/>
        <v/>
      </c>
      <c r="V4150" s="46">
        <f t="shared" si="1766"/>
        <v>3</v>
      </c>
      <c r="W4150" s="46" t="str">
        <f t="shared" si="1766"/>
        <v/>
      </c>
      <c r="X4150" s="46" t="str">
        <f t="shared" si="1766"/>
        <v/>
      </c>
    </row>
    <row r="4151" spans="2:26" x14ac:dyDescent="0.25">
      <c r="N4151" s="8" t="str">
        <f>IF(R4151="x",1,"")</f>
        <v/>
      </c>
      <c r="U4151" s="46" t="str">
        <f t="shared" si="1766"/>
        <v/>
      </c>
      <c r="V4151" s="46" t="str">
        <f t="shared" si="1766"/>
        <v/>
      </c>
      <c r="W4151" s="46" t="str">
        <f t="shared" si="1766"/>
        <v/>
      </c>
      <c r="X4151" s="46" t="str">
        <f t="shared" si="1766"/>
        <v/>
      </c>
    </row>
    <row r="4152" spans="2:26" x14ac:dyDescent="0.25">
      <c r="B4152" s="18"/>
      <c r="C4152" s="18"/>
      <c r="D4152" s="18"/>
      <c r="E4152" s="40"/>
      <c r="F4152" s="18"/>
      <c r="G4152" s="40"/>
      <c r="H4152" s="7">
        <f t="shared" ref="H4152:N4152" si="1768">SUM(H4148:H4151)</f>
        <v>1</v>
      </c>
      <c r="I4152" s="7">
        <f t="shared" si="1768"/>
        <v>0</v>
      </c>
      <c r="J4152" s="7">
        <f>SUM(J4148:J4151)</f>
        <v>9</v>
      </c>
      <c r="K4152" s="7">
        <f t="shared" si="1768"/>
        <v>0</v>
      </c>
      <c r="L4152" s="7">
        <f t="shared" si="1768"/>
        <v>10</v>
      </c>
      <c r="M4152" s="7">
        <f t="shared" si="1768"/>
        <v>3</v>
      </c>
      <c r="N4152" s="7">
        <f t="shared" si="1768"/>
        <v>3</v>
      </c>
      <c r="O4152" s="18"/>
      <c r="P4152" s="13"/>
      <c r="Q4152" s="13"/>
      <c r="S4152" s="13"/>
      <c r="T4152" s="15"/>
      <c r="U4152" s="46" t="str">
        <f t="shared" si="1766"/>
        <v/>
      </c>
      <c r="V4152" s="46" t="str">
        <f t="shared" si="1766"/>
        <v/>
      </c>
      <c r="W4152" s="46" t="str">
        <f t="shared" si="1766"/>
        <v/>
      </c>
      <c r="X4152" s="46" t="str">
        <f t="shared" si="1766"/>
        <v/>
      </c>
    </row>
    <row r="4153" spans="2:26" s="18" customFormat="1" x14ac:dyDescent="0.25">
      <c r="E4153" s="40"/>
      <c r="G4153" s="40"/>
      <c r="H4153" s="7"/>
      <c r="I4153" s="7"/>
      <c r="J4153" s="7"/>
      <c r="K4153" s="7"/>
      <c r="L4153" s="7"/>
      <c r="M4153" s="8"/>
      <c r="N4153" s="8" t="str">
        <f>IF(R4153="x",1,"")</f>
        <v/>
      </c>
      <c r="P4153" s="13"/>
      <c r="Q4153" s="13"/>
      <c r="R4153" s="13"/>
      <c r="S4153" s="13"/>
      <c r="T4153" s="15"/>
      <c r="U4153" s="46" t="str">
        <f t="shared" si="1742"/>
        <v/>
      </c>
      <c r="V4153" s="46" t="str">
        <f t="shared" si="1742"/>
        <v/>
      </c>
      <c r="W4153" s="46" t="str">
        <f t="shared" si="1742"/>
        <v/>
      </c>
      <c r="X4153" s="46" t="str">
        <f t="shared" si="1742"/>
        <v/>
      </c>
      <c r="Z4153" s="11"/>
    </row>
    <row r="4154" spans="2:26" s="18" customFormat="1" x14ac:dyDescent="0.25">
      <c r="E4154" s="40"/>
      <c r="G4154" s="40"/>
      <c r="H4154" s="7"/>
      <c r="I4154" s="7"/>
      <c r="J4154" s="7"/>
      <c r="K4154" s="7"/>
      <c r="L4154" s="7"/>
      <c r="M4154" s="8"/>
      <c r="N4154" s="8" t="str">
        <f>IF(R4154="x",1,"")</f>
        <v/>
      </c>
      <c r="P4154" s="13"/>
      <c r="Q4154" s="13"/>
      <c r="R4154" s="13"/>
      <c r="S4154" s="13"/>
      <c r="T4154" s="15"/>
      <c r="U4154" s="46" t="str">
        <f t="shared" si="1742"/>
        <v/>
      </c>
      <c r="V4154" s="46" t="str">
        <f t="shared" si="1742"/>
        <v/>
      </c>
      <c r="W4154" s="46" t="str">
        <f t="shared" si="1742"/>
        <v/>
      </c>
      <c r="X4154" s="46" t="str">
        <f t="shared" si="1742"/>
        <v/>
      </c>
      <c r="Z4154" s="11"/>
    </row>
    <row r="4155" spans="2:26" x14ac:dyDescent="0.25">
      <c r="B4155" s="11" t="str">
        <f>CONCATENATE("MLTA","-",LEFT(P4155,2),UPPER(MID(P4155,4,3)),RIGHT(P4155,4))</f>
        <v>MLTA-20AUG1920</v>
      </c>
      <c r="C4155" s="11" t="s">
        <v>2855</v>
      </c>
      <c r="D4155" s="11" t="s">
        <v>2097</v>
      </c>
      <c r="E4155" s="39" t="s">
        <v>4587</v>
      </c>
      <c r="F4155" s="11" t="s">
        <v>2813</v>
      </c>
      <c r="G4155" s="39" t="s">
        <v>4662</v>
      </c>
      <c r="I4155" s="7">
        <v>0</v>
      </c>
      <c r="J4155" s="17">
        <v>27</v>
      </c>
      <c r="K4155" s="17"/>
      <c r="L4155" s="7">
        <f>SUM(H4155:K4155)</f>
        <v>27</v>
      </c>
      <c r="M4155" s="8">
        <v>1</v>
      </c>
      <c r="N4155" s="8">
        <f>IF(L4155&gt;0,1,"")</f>
        <v>1</v>
      </c>
      <c r="O4155" s="11" t="s">
        <v>1702</v>
      </c>
      <c r="P4155" s="16" t="str">
        <f>IF(LEN(G4155)=10,CONCATENATE("0",G4155),G4155)</f>
        <v>20-Aug-1920</v>
      </c>
      <c r="R4155" s="16" t="str">
        <f>IF($L4155&gt;0,"x","")</f>
        <v>x</v>
      </c>
      <c r="S4155" s="16" t="str">
        <f>IF($L4155&gt;0,"x","")</f>
        <v>x</v>
      </c>
      <c r="U4155" s="46" t="str">
        <f t="shared" si="1742"/>
        <v/>
      </c>
      <c r="V4155" s="46">
        <f t="shared" si="1742"/>
        <v>27</v>
      </c>
      <c r="W4155" s="46" t="str">
        <f t="shared" si="1742"/>
        <v/>
      </c>
      <c r="X4155" s="46" t="str">
        <f t="shared" si="1742"/>
        <v/>
      </c>
    </row>
    <row r="4156" spans="2:26" x14ac:dyDescent="0.25">
      <c r="B4156" s="11" t="str">
        <f t="shared" ref="B4156:B4185" si="1769">CONCATENATE("MLTA","-",LEFT(P4156,2),UPPER(MID(P4156,4,3)),RIGHT(P4156,4))</f>
        <v>MLTA-22FEB1921</v>
      </c>
      <c r="C4156" s="11" t="s">
        <v>2855</v>
      </c>
      <c r="D4156" s="11" t="s">
        <v>1699</v>
      </c>
      <c r="E4156" s="39" t="s">
        <v>1597</v>
      </c>
      <c r="F4156" s="11" t="s">
        <v>211</v>
      </c>
      <c r="G4156" s="39" t="s">
        <v>1590</v>
      </c>
      <c r="J4156" s="17">
        <v>9</v>
      </c>
      <c r="K4156" s="17"/>
      <c r="L4156" s="7">
        <f>SUM(H4156:K4156)</f>
        <v>9</v>
      </c>
      <c r="M4156" s="8">
        <v>1</v>
      </c>
      <c r="N4156" s="8">
        <f>IF(L4156&gt;0,1,"")</f>
        <v>1</v>
      </c>
      <c r="O4156" s="11" t="s">
        <v>1702</v>
      </c>
      <c r="P4156" s="16" t="str">
        <f>IF(LEN(G4156)=10,CONCATENATE("0",G4156),G4156)</f>
        <v>22-Feb-1921</v>
      </c>
      <c r="R4156" s="16" t="str">
        <f t="shared" ref="R4156:S4179" si="1770">IF($L4156&gt;0,"x","")</f>
        <v>x</v>
      </c>
      <c r="S4156" s="16" t="str">
        <f t="shared" si="1770"/>
        <v>x</v>
      </c>
      <c r="U4156" s="46" t="str">
        <f>IF($O4156=U$5,$L4156,"")</f>
        <v/>
      </c>
      <c r="V4156" s="46">
        <f>IF($O4156=V$5,$L4156,"")</f>
        <v>9</v>
      </c>
      <c r="W4156" s="46" t="str">
        <f>IF($O4156=W$5,$L4156,"")</f>
        <v/>
      </c>
      <c r="X4156" s="46" t="str">
        <f>IF($O4156=X$5,$L4156,"")</f>
        <v/>
      </c>
    </row>
    <row r="4157" spans="2:26" x14ac:dyDescent="0.25">
      <c r="B4157" s="11" t="str">
        <f t="shared" si="1769"/>
        <v>MLTA-21MAR1921</v>
      </c>
      <c r="C4157" s="11" t="s">
        <v>2855</v>
      </c>
      <c r="D4157" s="11" t="s">
        <v>2878</v>
      </c>
      <c r="E4157" s="39" t="s">
        <v>1598</v>
      </c>
      <c r="F4157" s="11" t="s">
        <v>211</v>
      </c>
      <c r="G4157" s="39" t="s">
        <v>2856</v>
      </c>
      <c r="J4157" s="17">
        <v>6</v>
      </c>
      <c r="K4157" s="17"/>
      <c r="L4157" s="7">
        <f>SUM(H4157:K4157)</f>
        <v>6</v>
      </c>
      <c r="M4157" s="8">
        <v>1</v>
      </c>
      <c r="N4157" s="8">
        <f>IF(L4157&gt;0,1,"")</f>
        <v>1</v>
      </c>
      <c r="O4157" s="11" t="s">
        <v>1702</v>
      </c>
      <c r="P4157" s="16" t="str">
        <f>IF(LEN(G4157)=10,CONCATENATE("0",G4157),G4157)</f>
        <v>21-Mar-1921</v>
      </c>
      <c r="R4157" s="16" t="str">
        <f t="shared" si="1770"/>
        <v>x</v>
      </c>
      <c r="S4157" s="16" t="str">
        <f t="shared" si="1770"/>
        <v>x</v>
      </c>
      <c r="U4157" s="46" t="str">
        <f t="shared" si="1742"/>
        <v/>
      </c>
      <c r="V4157" s="46">
        <f t="shared" si="1742"/>
        <v>6</v>
      </c>
      <c r="W4157" s="46" t="str">
        <f t="shared" si="1742"/>
        <v/>
      </c>
      <c r="X4157" s="46" t="str">
        <f t="shared" si="1742"/>
        <v/>
      </c>
    </row>
    <row r="4158" spans="2:26" x14ac:dyDescent="0.25">
      <c r="B4158" s="11" t="str">
        <f t="shared" si="1769"/>
        <v>MLTA-23JUL1921</v>
      </c>
      <c r="C4158" s="11" t="s">
        <v>2855</v>
      </c>
      <c r="D4158" s="11" t="s">
        <v>2097</v>
      </c>
      <c r="E4158" s="39" t="s">
        <v>2881</v>
      </c>
      <c r="F4158" s="11" t="s">
        <v>2813</v>
      </c>
      <c r="G4158" s="39" t="s">
        <v>1133</v>
      </c>
      <c r="J4158" s="17">
        <v>2</v>
      </c>
      <c r="K4158" s="17"/>
      <c r="L4158" s="7">
        <f t="shared" ref="L4158:L4179" si="1771">SUM(H4158:K4158)</f>
        <v>2</v>
      </c>
      <c r="M4158" s="8">
        <v>1</v>
      </c>
      <c r="N4158" s="8">
        <f t="shared" ref="N4158:N4179" si="1772">IF(L4158&gt;0,1,"")</f>
        <v>1</v>
      </c>
      <c r="O4158" s="11" t="s">
        <v>1702</v>
      </c>
      <c r="P4158" s="16" t="str">
        <f t="shared" ref="P4158:P4179" si="1773">IF(LEN(G4158)=10,CONCATENATE("0",G4158),G4158)</f>
        <v>23-Jul-1921</v>
      </c>
      <c r="R4158" s="16" t="str">
        <f t="shared" si="1770"/>
        <v>x</v>
      </c>
      <c r="S4158" s="16" t="str">
        <f t="shared" si="1770"/>
        <v>x</v>
      </c>
      <c r="U4158" s="46" t="str">
        <f t="shared" si="1742"/>
        <v/>
      </c>
      <c r="V4158" s="46">
        <f t="shared" si="1742"/>
        <v>2</v>
      </c>
      <c r="W4158" s="46" t="str">
        <f t="shared" si="1742"/>
        <v/>
      </c>
      <c r="X4158" s="46" t="str">
        <f t="shared" si="1742"/>
        <v/>
      </c>
    </row>
    <row r="4159" spans="2:26" x14ac:dyDescent="0.25">
      <c r="B4159" s="11" t="str">
        <f t="shared" si="1769"/>
        <v>MLTA-05FEB1923</v>
      </c>
      <c r="C4159" s="11" t="s">
        <v>2855</v>
      </c>
      <c r="D4159" s="11" t="s">
        <v>2814</v>
      </c>
      <c r="E4159" s="39" t="s">
        <v>2883</v>
      </c>
      <c r="F4159" s="11" t="s">
        <v>211</v>
      </c>
      <c r="G4159" s="39" t="s">
        <v>2857</v>
      </c>
      <c r="J4159" s="17">
        <v>1</v>
      </c>
      <c r="K4159" s="17"/>
      <c r="L4159" s="7">
        <f t="shared" si="1771"/>
        <v>1</v>
      </c>
      <c r="M4159" s="8">
        <v>1</v>
      </c>
      <c r="N4159" s="8">
        <f t="shared" si="1772"/>
        <v>1</v>
      </c>
      <c r="O4159" s="11" t="s">
        <v>1702</v>
      </c>
      <c r="P4159" s="16" t="str">
        <f t="shared" si="1773"/>
        <v>05-Feb-1923</v>
      </c>
      <c r="R4159" s="16" t="str">
        <f t="shared" si="1770"/>
        <v>x</v>
      </c>
      <c r="S4159" s="16" t="str">
        <f t="shared" si="1770"/>
        <v>x</v>
      </c>
      <c r="U4159" s="46" t="str">
        <f t="shared" si="1742"/>
        <v/>
      </c>
      <c r="V4159" s="46">
        <f t="shared" si="1742"/>
        <v>1</v>
      </c>
      <c r="W4159" s="46" t="str">
        <f t="shared" si="1742"/>
        <v/>
      </c>
      <c r="X4159" s="46" t="str">
        <f t="shared" si="1742"/>
        <v/>
      </c>
    </row>
    <row r="4160" spans="2:26" x14ac:dyDescent="0.25">
      <c r="B4160" s="11" t="str">
        <f t="shared" si="1769"/>
        <v>MLTA-12MAR1923</v>
      </c>
      <c r="C4160" s="11" t="s">
        <v>2855</v>
      </c>
      <c r="D4160" s="11" t="s">
        <v>2814</v>
      </c>
      <c r="E4160" s="39" t="s">
        <v>1164</v>
      </c>
      <c r="F4160" s="11" t="s">
        <v>211</v>
      </c>
      <c r="G4160" s="39" t="s">
        <v>2858</v>
      </c>
      <c r="J4160" s="17">
        <v>15</v>
      </c>
      <c r="K4160" s="17"/>
      <c r="L4160" s="7">
        <f t="shared" si="1771"/>
        <v>15</v>
      </c>
      <c r="M4160" s="8">
        <v>1</v>
      </c>
      <c r="N4160" s="8">
        <f t="shared" si="1772"/>
        <v>1</v>
      </c>
      <c r="O4160" s="11" t="s">
        <v>1702</v>
      </c>
      <c r="P4160" s="16" t="str">
        <f t="shared" si="1773"/>
        <v>12-Mar-1923</v>
      </c>
      <c r="R4160" s="16" t="str">
        <f t="shared" si="1770"/>
        <v>x</v>
      </c>
      <c r="S4160" s="16" t="str">
        <f t="shared" si="1770"/>
        <v>x</v>
      </c>
      <c r="U4160" s="46" t="str">
        <f t="shared" si="1742"/>
        <v/>
      </c>
      <c r="V4160" s="46">
        <f t="shared" si="1742"/>
        <v>15</v>
      </c>
      <c r="W4160" s="46" t="str">
        <f t="shared" si="1742"/>
        <v/>
      </c>
      <c r="X4160" s="46" t="str">
        <f t="shared" si="1742"/>
        <v/>
      </c>
    </row>
    <row r="4161" spans="2:24" x14ac:dyDescent="0.25">
      <c r="B4161" s="11" t="str">
        <f t="shared" si="1769"/>
        <v>MLTA-15APR1923</v>
      </c>
      <c r="C4161" s="11" t="s">
        <v>2855</v>
      </c>
      <c r="D4161" s="11" t="s">
        <v>2814</v>
      </c>
      <c r="E4161" s="39" t="s">
        <v>2884</v>
      </c>
      <c r="F4161" s="11" t="s">
        <v>211</v>
      </c>
      <c r="G4161" s="39" t="s">
        <v>2859</v>
      </c>
      <c r="J4161" s="17">
        <v>3</v>
      </c>
      <c r="K4161" s="17"/>
      <c r="L4161" s="7">
        <f t="shared" si="1771"/>
        <v>3</v>
      </c>
      <c r="M4161" s="8">
        <v>1</v>
      </c>
      <c r="N4161" s="8">
        <f t="shared" si="1772"/>
        <v>1</v>
      </c>
      <c r="O4161" s="11" t="s">
        <v>1702</v>
      </c>
      <c r="P4161" s="16" t="str">
        <f t="shared" si="1773"/>
        <v>15-Apr-1923</v>
      </c>
      <c r="R4161" s="16" t="str">
        <f t="shared" si="1770"/>
        <v>x</v>
      </c>
      <c r="S4161" s="16" t="str">
        <f t="shared" si="1770"/>
        <v>x</v>
      </c>
      <c r="U4161" s="46" t="str">
        <f t="shared" si="1742"/>
        <v/>
      </c>
      <c r="V4161" s="46">
        <f t="shared" si="1742"/>
        <v>3</v>
      </c>
      <c r="W4161" s="46" t="str">
        <f t="shared" si="1742"/>
        <v/>
      </c>
      <c r="X4161" s="46" t="str">
        <f t="shared" si="1742"/>
        <v/>
      </c>
    </row>
    <row r="4162" spans="2:24" x14ac:dyDescent="0.25">
      <c r="B4162" s="11" t="str">
        <f t="shared" si="1769"/>
        <v>MLTA-20MAY1923</v>
      </c>
      <c r="C4162" s="11" t="s">
        <v>2855</v>
      </c>
      <c r="D4162" s="11" t="s">
        <v>2814</v>
      </c>
      <c r="E4162" s="39" t="s">
        <v>2879</v>
      </c>
      <c r="F4162" s="11" t="s">
        <v>2813</v>
      </c>
      <c r="G4162" s="39" t="s">
        <v>2860</v>
      </c>
      <c r="I4162" s="7">
        <v>1</v>
      </c>
      <c r="J4162" s="17">
        <v>4</v>
      </c>
      <c r="K4162" s="17"/>
      <c r="L4162" s="7">
        <f t="shared" si="1771"/>
        <v>5</v>
      </c>
      <c r="M4162" s="8">
        <v>1</v>
      </c>
      <c r="N4162" s="8">
        <f t="shared" si="1772"/>
        <v>1</v>
      </c>
      <c r="O4162" s="11" t="s">
        <v>1702</v>
      </c>
      <c r="P4162" s="16" t="str">
        <f t="shared" si="1773"/>
        <v>20-May-1923</v>
      </c>
      <c r="R4162" s="16" t="str">
        <f t="shared" si="1770"/>
        <v>x</v>
      </c>
      <c r="S4162" s="16" t="str">
        <f t="shared" si="1770"/>
        <v>x</v>
      </c>
      <c r="U4162" s="46" t="str">
        <f t="shared" si="1742"/>
        <v/>
      </c>
      <c r="V4162" s="46">
        <f t="shared" si="1742"/>
        <v>5</v>
      </c>
      <c r="W4162" s="46" t="str">
        <f t="shared" si="1742"/>
        <v/>
      </c>
      <c r="X4162" s="46" t="str">
        <f t="shared" si="1742"/>
        <v/>
      </c>
    </row>
    <row r="4163" spans="2:24" x14ac:dyDescent="0.25">
      <c r="B4163" s="11" t="str">
        <f t="shared" si="1769"/>
        <v>MLTA-16JUN1923</v>
      </c>
      <c r="C4163" s="11" t="s">
        <v>2855</v>
      </c>
      <c r="D4163" s="11" t="s">
        <v>2814</v>
      </c>
      <c r="E4163" s="39" t="s">
        <v>2885</v>
      </c>
      <c r="F4163" s="11" t="s">
        <v>2813</v>
      </c>
      <c r="G4163" s="39" t="s">
        <v>2861</v>
      </c>
      <c r="J4163" s="17">
        <v>3</v>
      </c>
      <c r="K4163" s="17"/>
      <c r="L4163" s="7">
        <f t="shared" si="1771"/>
        <v>3</v>
      </c>
      <c r="M4163" s="8">
        <v>1</v>
      </c>
      <c r="N4163" s="8">
        <f t="shared" si="1772"/>
        <v>1</v>
      </c>
      <c r="O4163" s="11" t="s">
        <v>1702</v>
      </c>
      <c r="P4163" s="16" t="str">
        <f t="shared" si="1773"/>
        <v>16-Jun-1923</v>
      </c>
      <c r="R4163" s="16" t="str">
        <f t="shared" si="1770"/>
        <v>x</v>
      </c>
      <c r="S4163" s="16" t="str">
        <f t="shared" si="1770"/>
        <v>x</v>
      </c>
      <c r="U4163" s="46" t="str">
        <f t="shared" si="1742"/>
        <v/>
      </c>
      <c r="V4163" s="46">
        <f t="shared" si="1742"/>
        <v>3</v>
      </c>
      <c r="W4163" s="46" t="str">
        <f t="shared" si="1742"/>
        <v/>
      </c>
      <c r="X4163" s="46" t="str">
        <f t="shared" si="1742"/>
        <v/>
      </c>
    </row>
    <row r="4164" spans="2:24" x14ac:dyDescent="0.25">
      <c r="B4164" s="11" t="str">
        <f t="shared" si="1769"/>
        <v>MLTA-13JUL1923</v>
      </c>
      <c r="C4164" s="11" t="s">
        <v>2855</v>
      </c>
      <c r="D4164" s="11" t="s">
        <v>2814</v>
      </c>
      <c r="E4164" s="39" t="s">
        <v>2886</v>
      </c>
      <c r="F4164" s="11" t="s">
        <v>2813</v>
      </c>
      <c r="G4164" s="39" t="s">
        <v>2862</v>
      </c>
      <c r="J4164" s="17">
        <v>19</v>
      </c>
      <c r="K4164" s="17"/>
      <c r="L4164" s="7">
        <f t="shared" si="1771"/>
        <v>19</v>
      </c>
      <c r="M4164" s="8">
        <v>1</v>
      </c>
      <c r="N4164" s="8">
        <f t="shared" si="1772"/>
        <v>1</v>
      </c>
      <c r="O4164" s="11" t="s">
        <v>1702</v>
      </c>
      <c r="P4164" s="16" t="str">
        <f t="shared" si="1773"/>
        <v>13-Jul-1923</v>
      </c>
      <c r="R4164" s="16" t="str">
        <f t="shared" si="1770"/>
        <v>x</v>
      </c>
      <c r="S4164" s="16" t="str">
        <f t="shared" si="1770"/>
        <v>x</v>
      </c>
      <c r="U4164" s="46" t="str">
        <f t="shared" si="1742"/>
        <v/>
      </c>
      <c r="V4164" s="46">
        <f t="shared" si="1742"/>
        <v>19</v>
      </c>
      <c r="W4164" s="46" t="str">
        <f t="shared" si="1742"/>
        <v/>
      </c>
      <c r="X4164" s="46" t="str">
        <f t="shared" si="1742"/>
        <v/>
      </c>
    </row>
    <row r="4165" spans="2:24" x14ac:dyDescent="0.25">
      <c r="B4165" s="11" t="str">
        <f t="shared" si="1769"/>
        <v>MLTA-10AUG1923</v>
      </c>
      <c r="C4165" s="11" t="s">
        <v>2855</v>
      </c>
      <c r="D4165" s="11" t="s">
        <v>2814</v>
      </c>
      <c r="E4165" s="39" t="s">
        <v>2887</v>
      </c>
      <c r="F4165" s="11" t="s">
        <v>2813</v>
      </c>
      <c r="G4165" s="39" t="s">
        <v>2863</v>
      </c>
      <c r="J4165" s="17">
        <v>16</v>
      </c>
      <c r="K4165" s="17"/>
      <c r="L4165" s="7">
        <f t="shared" si="1771"/>
        <v>16</v>
      </c>
      <c r="M4165" s="8">
        <v>1</v>
      </c>
      <c r="N4165" s="8">
        <f t="shared" si="1772"/>
        <v>1</v>
      </c>
      <c r="O4165" s="11" t="s">
        <v>1702</v>
      </c>
      <c r="P4165" s="16" t="str">
        <f t="shared" si="1773"/>
        <v>10-Aug-1923</v>
      </c>
      <c r="R4165" s="16" t="str">
        <f t="shared" si="1770"/>
        <v>x</v>
      </c>
      <c r="S4165" s="16" t="str">
        <f t="shared" si="1770"/>
        <v>x</v>
      </c>
      <c r="T4165" s="11"/>
      <c r="U4165" s="46" t="str">
        <f t="shared" si="1742"/>
        <v/>
      </c>
      <c r="V4165" s="46">
        <f t="shared" si="1742"/>
        <v>16</v>
      </c>
      <c r="W4165" s="46" t="str">
        <f t="shared" si="1742"/>
        <v/>
      </c>
      <c r="X4165" s="46" t="str">
        <f t="shared" si="1742"/>
        <v/>
      </c>
    </row>
    <row r="4166" spans="2:24" x14ac:dyDescent="0.25">
      <c r="B4166" s="11" t="str">
        <f t="shared" si="1769"/>
        <v>MLTA-08SEP1923</v>
      </c>
      <c r="C4166" s="11" t="s">
        <v>2855</v>
      </c>
      <c r="D4166" s="11" t="s">
        <v>2814</v>
      </c>
      <c r="E4166" s="39" t="s">
        <v>2888</v>
      </c>
      <c r="F4166" s="11" t="s">
        <v>2813</v>
      </c>
      <c r="G4166" s="39" t="s">
        <v>2864</v>
      </c>
      <c r="J4166" s="17">
        <v>12</v>
      </c>
      <c r="K4166" s="17"/>
      <c r="L4166" s="7">
        <f t="shared" si="1771"/>
        <v>12</v>
      </c>
      <c r="M4166" s="8">
        <v>1</v>
      </c>
      <c r="N4166" s="8">
        <f t="shared" si="1772"/>
        <v>1</v>
      </c>
      <c r="O4166" s="11" t="s">
        <v>1702</v>
      </c>
      <c r="P4166" s="16" t="str">
        <f t="shared" si="1773"/>
        <v>08-Sep-1923</v>
      </c>
      <c r="R4166" s="16" t="str">
        <f t="shared" si="1770"/>
        <v>x</v>
      </c>
      <c r="S4166" s="16" t="str">
        <f t="shared" si="1770"/>
        <v>x</v>
      </c>
      <c r="T4166" s="11"/>
      <c r="U4166" s="46" t="str">
        <f t="shared" si="1742"/>
        <v/>
      </c>
      <c r="V4166" s="46">
        <f t="shared" si="1742"/>
        <v>12</v>
      </c>
      <c r="W4166" s="46" t="str">
        <f t="shared" si="1742"/>
        <v/>
      </c>
      <c r="X4166" s="46" t="str">
        <f t="shared" si="1742"/>
        <v/>
      </c>
    </row>
    <row r="4167" spans="2:24" x14ac:dyDescent="0.25">
      <c r="B4167" s="11" t="str">
        <f t="shared" si="1769"/>
        <v>MLTA-05OCT1923</v>
      </c>
      <c r="C4167" s="11" t="s">
        <v>2855</v>
      </c>
      <c r="D4167" s="11" t="s">
        <v>2814</v>
      </c>
      <c r="E4167" s="39" t="s">
        <v>2889</v>
      </c>
      <c r="F4167" s="11" t="s">
        <v>2813</v>
      </c>
      <c r="G4167" s="39" t="s">
        <v>2865</v>
      </c>
      <c r="J4167" s="17">
        <v>2</v>
      </c>
      <c r="K4167" s="17"/>
      <c r="L4167" s="7">
        <f t="shared" si="1771"/>
        <v>2</v>
      </c>
      <c r="M4167" s="8">
        <v>1</v>
      </c>
      <c r="N4167" s="8">
        <f t="shared" si="1772"/>
        <v>1</v>
      </c>
      <c r="O4167" s="11" t="s">
        <v>1702</v>
      </c>
      <c r="P4167" s="16" t="str">
        <f t="shared" si="1773"/>
        <v>05-Oct-1923</v>
      </c>
      <c r="R4167" s="16" t="str">
        <f t="shared" si="1770"/>
        <v>x</v>
      </c>
      <c r="S4167" s="16" t="str">
        <f t="shared" si="1770"/>
        <v>x</v>
      </c>
      <c r="T4167" s="11"/>
      <c r="U4167" s="46" t="str">
        <f t="shared" si="1742"/>
        <v/>
      </c>
      <c r="V4167" s="46">
        <f t="shared" si="1742"/>
        <v>2</v>
      </c>
      <c r="W4167" s="46" t="str">
        <f t="shared" si="1742"/>
        <v/>
      </c>
      <c r="X4167" s="46" t="str">
        <f t="shared" si="1742"/>
        <v/>
      </c>
    </row>
    <row r="4168" spans="2:24" x14ac:dyDescent="0.25">
      <c r="B4168" s="11" t="str">
        <f t="shared" si="1769"/>
        <v>MLTA-03NOV1923</v>
      </c>
      <c r="C4168" s="11" t="s">
        <v>2855</v>
      </c>
      <c r="D4168" s="11" t="s">
        <v>2814</v>
      </c>
      <c r="E4168" s="39" t="s">
        <v>2890</v>
      </c>
      <c r="F4168" s="11" t="s">
        <v>2813</v>
      </c>
      <c r="G4168" s="39" t="s">
        <v>2866</v>
      </c>
      <c r="J4168" s="17">
        <v>4</v>
      </c>
      <c r="K4168" s="17"/>
      <c r="L4168" s="7">
        <f t="shared" si="1771"/>
        <v>4</v>
      </c>
      <c r="M4168" s="8">
        <v>1</v>
      </c>
      <c r="N4168" s="8">
        <f t="shared" si="1772"/>
        <v>1</v>
      </c>
      <c r="O4168" s="11" t="s">
        <v>1702</v>
      </c>
      <c r="P4168" s="16" t="str">
        <f t="shared" si="1773"/>
        <v>03-Nov-1923</v>
      </c>
      <c r="R4168" s="16" t="str">
        <f t="shared" si="1770"/>
        <v>x</v>
      </c>
      <c r="S4168" s="16" t="str">
        <f t="shared" si="1770"/>
        <v>x</v>
      </c>
      <c r="T4168" s="11"/>
      <c r="U4168" s="46" t="str">
        <f t="shared" si="1742"/>
        <v/>
      </c>
      <c r="V4168" s="46">
        <f t="shared" si="1742"/>
        <v>4</v>
      </c>
      <c r="W4168" s="46" t="str">
        <f t="shared" si="1742"/>
        <v/>
      </c>
      <c r="X4168" s="46" t="str">
        <f t="shared" si="1742"/>
        <v/>
      </c>
    </row>
    <row r="4169" spans="2:24" x14ac:dyDescent="0.25">
      <c r="B4169" s="11" t="str">
        <f t="shared" si="1769"/>
        <v>MLTA-11DEC1923</v>
      </c>
      <c r="C4169" s="11" t="s">
        <v>2855</v>
      </c>
      <c r="D4169" s="11" t="s">
        <v>2814</v>
      </c>
      <c r="E4169" s="39" t="s">
        <v>2891</v>
      </c>
      <c r="F4169" s="11" t="s">
        <v>211</v>
      </c>
      <c r="G4169" s="39" t="s">
        <v>2867</v>
      </c>
      <c r="I4169" s="7">
        <v>1</v>
      </c>
      <c r="J4169" s="17">
        <v>25</v>
      </c>
      <c r="K4169" s="17"/>
      <c r="L4169" s="7">
        <f t="shared" si="1771"/>
        <v>26</v>
      </c>
      <c r="M4169" s="8">
        <v>1</v>
      </c>
      <c r="N4169" s="8">
        <f t="shared" si="1772"/>
        <v>1</v>
      </c>
      <c r="O4169" s="11" t="s">
        <v>1702</v>
      </c>
      <c r="P4169" s="16" t="str">
        <f t="shared" si="1773"/>
        <v>11-Dec-1923</v>
      </c>
      <c r="R4169" s="16" t="str">
        <f t="shared" si="1770"/>
        <v>x</v>
      </c>
      <c r="S4169" s="16" t="str">
        <f t="shared" si="1770"/>
        <v>x</v>
      </c>
      <c r="U4169" s="46" t="str">
        <f t="shared" si="1742"/>
        <v/>
      </c>
      <c r="V4169" s="46">
        <f t="shared" si="1742"/>
        <v>26</v>
      </c>
      <c r="W4169" s="46" t="str">
        <f t="shared" si="1742"/>
        <v/>
      </c>
      <c r="X4169" s="46" t="str">
        <f t="shared" si="1742"/>
        <v/>
      </c>
    </row>
    <row r="4170" spans="2:24" x14ac:dyDescent="0.25">
      <c r="B4170" s="11" t="str">
        <f t="shared" si="1769"/>
        <v>MLTA-10FEB1924</v>
      </c>
      <c r="C4170" s="11" t="s">
        <v>2855</v>
      </c>
      <c r="D4170" s="11" t="s">
        <v>2814</v>
      </c>
      <c r="E4170" s="39" t="s">
        <v>2892</v>
      </c>
      <c r="F4170" s="11" t="s">
        <v>211</v>
      </c>
      <c r="G4170" s="39" t="s">
        <v>2868</v>
      </c>
      <c r="J4170" s="17">
        <v>18</v>
      </c>
      <c r="K4170" s="17"/>
      <c r="L4170" s="7">
        <f t="shared" si="1771"/>
        <v>18</v>
      </c>
      <c r="M4170" s="8">
        <v>1</v>
      </c>
      <c r="N4170" s="8">
        <f t="shared" si="1772"/>
        <v>1</v>
      </c>
      <c r="O4170" s="11" t="s">
        <v>1702</v>
      </c>
      <c r="P4170" s="16" t="str">
        <f t="shared" si="1773"/>
        <v>10-Feb-1924</v>
      </c>
      <c r="R4170" s="16" t="str">
        <f t="shared" si="1770"/>
        <v>x</v>
      </c>
      <c r="S4170" s="16" t="str">
        <f t="shared" si="1770"/>
        <v>x</v>
      </c>
      <c r="T4170" s="11"/>
      <c r="U4170" s="46" t="str">
        <f t="shared" si="1742"/>
        <v/>
      </c>
      <c r="V4170" s="46">
        <f t="shared" si="1742"/>
        <v>18</v>
      </c>
      <c r="W4170" s="46" t="str">
        <f t="shared" si="1742"/>
        <v/>
      </c>
      <c r="X4170" s="46" t="str">
        <f t="shared" si="1742"/>
        <v/>
      </c>
    </row>
    <row r="4171" spans="2:24" x14ac:dyDescent="0.25">
      <c r="B4171" s="11" t="str">
        <f t="shared" si="1769"/>
        <v>MLTA-14MAR1924</v>
      </c>
      <c r="C4171" s="11" t="s">
        <v>2855</v>
      </c>
      <c r="D4171" s="11" t="s">
        <v>2814</v>
      </c>
      <c r="E4171" s="39" t="s">
        <v>2893</v>
      </c>
      <c r="F4171" s="11" t="s">
        <v>211</v>
      </c>
      <c r="G4171" s="39" t="s">
        <v>2869</v>
      </c>
      <c r="J4171" s="17">
        <v>9</v>
      </c>
      <c r="K4171" s="17"/>
      <c r="L4171" s="7">
        <f t="shared" si="1771"/>
        <v>9</v>
      </c>
      <c r="M4171" s="8">
        <v>1</v>
      </c>
      <c r="N4171" s="8">
        <f t="shared" si="1772"/>
        <v>1</v>
      </c>
      <c r="O4171" s="11" t="s">
        <v>1702</v>
      </c>
      <c r="P4171" s="16" t="str">
        <f t="shared" si="1773"/>
        <v>14-Mar-1924</v>
      </c>
      <c r="R4171" s="16" t="str">
        <f t="shared" si="1770"/>
        <v>x</v>
      </c>
      <c r="S4171" s="16" t="str">
        <f t="shared" si="1770"/>
        <v>x</v>
      </c>
      <c r="T4171" s="11"/>
      <c r="U4171" s="46" t="str">
        <f t="shared" si="1742"/>
        <v/>
      </c>
      <c r="V4171" s="46">
        <f t="shared" si="1742"/>
        <v>9</v>
      </c>
      <c r="W4171" s="46" t="str">
        <f t="shared" si="1742"/>
        <v/>
      </c>
      <c r="X4171" s="46" t="str">
        <f t="shared" si="1742"/>
        <v/>
      </c>
    </row>
    <row r="4172" spans="2:24" x14ac:dyDescent="0.25">
      <c r="B4172" s="11" t="str">
        <f t="shared" si="1769"/>
        <v>MLTA-12APR1924</v>
      </c>
      <c r="C4172" s="11" t="s">
        <v>2855</v>
      </c>
      <c r="D4172" s="11" t="s">
        <v>2814</v>
      </c>
      <c r="E4172" s="39" t="s">
        <v>2894</v>
      </c>
      <c r="F4172" s="11" t="s">
        <v>211</v>
      </c>
      <c r="G4172" s="39" t="s">
        <v>2870</v>
      </c>
      <c r="J4172" s="17">
        <v>23</v>
      </c>
      <c r="K4172" s="17"/>
      <c r="L4172" s="7">
        <f t="shared" si="1771"/>
        <v>23</v>
      </c>
      <c r="M4172" s="8">
        <v>1</v>
      </c>
      <c r="N4172" s="8">
        <f t="shared" si="1772"/>
        <v>1</v>
      </c>
      <c r="O4172" s="11" t="s">
        <v>1702</v>
      </c>
      <c r="P4172" s="16" t="str">
        <f t="shared" si="1773"/>
        <v>12-Apr-1924</v>
      </c>
      <c r="R4172" s="16" t="str">
        <f t="shared" si="1770"/>
        <v>x</v>
      </c>
      <c r="S4172" s="16" t="str">
        <f t="shared" si="1770"/>
        <v>x</v>
      </c>
      <c r="T4172" s="11"/>
      <c r="U4172" s="46" t="str">
        <f t="shared" si="1742"/>
        <v/>
      </c>
      <c r="V4172" s="46">
        <f t="shared" si="1742"/>
        <v>23</v>
      </c>
      <c r="W4172" s="46" t="str">
        <f t="shared" si="1742"/>
        <v/>
      </c>
      <c r="X4172" s="46" t="str">
        <f t="shared" si="1742"/>
        <v/>
      </c>
    </row>
    <row r="4173" spans="2:24" x14ac:dyDescent="0.25">
      <c r="B4173" s="11" t="str">
        <f t="shared" si="1769"/>
        <v>MLTA-10MAY1924</v>
      </c>
      <c r="C4173" s="11" t="s">
        <v>2855</v>
      </c>
      <c r="D4173" s="11" t="s">
        <v>2814</v>
      </c>
      <c r="E4173" s="39" t="s">
        <v>2895</v>
      </c>
      <c r="F4173" s="11" t="s">
        <v>2813</v>
      </c>
      <c r="G4173" s="39" t="s">
        <v>2871</v>
      </c>
      <c r="I4173" s="7">
        <v>3</v>
      </c>
      <c r="J4173" s="17">
        <v>1</v>
      </c>
      <c r="K4173" s="17"/>
      <c r="L4173" s="7">
        <f t="shared" si="1771"/>
        <v>4</v>
      </c>
      <c r="M4173" s="8">
        <v>1</v>
      </c>
      <c r="N4173" s="8">
        <f t="shared" si="1772"/>
        <v>1</v>
      </c>
      <c r="O4173" s="11" t="s">
        <v>1702</v>
      </c>
      <c r="P4173" s="16" t="str">
        <f t="shared" si="1773"/>
        <v>10-May-1924</v>
      </c>
      <c r="R4173" s="16" t="str">
        <f t="shared" si="1770"/>
        <v>x</v>
      </c>
      <c r="S4173" s="16" t="str">
        <f t="shared" si="1770"/>
        <v>x</v>
      </c>
      <c r="T4173" s="11"/>
      <c r="U4173" s="46" t="str">
        <f t="shared" si="1742"/>
        <v/>
      </c>
      <c r="V4173" s="46">
        <f t="shared" si="1742"/>
        <v>4</v>
      </c>
      <c r="W4173" s="46" t="str">
        <f t="shared" si="1742"/>
        <v/>
      </c>
      <c r="X4173" s="46" t="str">
        <f t="shared" si="1742"/>
        <v/>
      </c>
    </row>
    <row r="4174" spans="2:24" x14ac:dyDescent="0.25">
      <c r="B4174" s="11" t="str">
        <f t="shared" si="1769"/>
        <v>MLTA-06JUN1924</v>
      </c>
      <c r="C4174" s="11" t="s">
        <v>2855</v>
      </c>
      <c r="D4174" s="11" t="s">
        <v>2814</v>
      </c>
      <c r="E4174" s="39" t="s">
        <v>2896</v>
      </c>
      <c r="F4174" s="11" t="s">
        <v>2813</v>
      </c>
      <c r="G4174" s="39" t="s">
        <v>2872</v>
      </c>
      <c r="J4174" s="17">
        <v>5</v>
      </c>
      <c r="K4174" s="17"/>
      <c r="L4174" s="7">
        <f t="shared" si="1771"/>
        <v>5</v>
      </c>
      <c r="M4174" s="8">
        <v>1</v>
      </c>
      <c r="N4174" s="8">
        <f t="shared" si="1772"/>
        <v>1</v>
      </c>
      <c r="O4174" s="11" t="s">
        <v>1702</v>
      </c>
      <c r="P4174" s="16" t="str">
        <f t="shared" si="1773"/>
        <v>06-Jun-1924</v>
      </c>
      <c r="R4174" s="16" t="str">
        <f t="shared" si="1770"/>
        <v>x</v>
      </c>
      <c r="S4174" s="16" t="str">
        <f t="shared" si="1770"/>
        <v>x</v>
      </c>
      <c r="T4174" s="11"/>
      <c r="U4174" s="46" t="str">
        <f t="shared" si="1742"/>
        <v/>
      </c>
      <c r="V4174" s="46">
        <f t="shared" si="1742"/>
        <v>5</v>
      </c>
      <c r="W4174" s="46" t="str">
        <f t="shared" si="1742"/>
        <v/>
      </c>
      <c r="X4174" s="46" t="str">
        <f t="shared" si="1742"/>
        <v/>
      </c>
    </row>
    <row r="4175" spans="2:24" x14ac:dyDescent="0.25">
      <c r="B4175" s="11" t="str">
        <f t="shared" si="1769"/>
        <v>MLTA-04JUL1924</v>
      </c>
      <c r="C4175" s="11" t="s">
        <v>2855</v>
      </c>
      <c r="D4175" s="11" t="s">
        <v>2814</v>
      </c>
      <c r="E4175" s="39" t="s">
        <v>2897</v>
      </c>
      <c r="F4175" s="11" t="s">
        <v>2813</v>
      </c>
      <c r="G4175" s="39" t="s">
        <v>2873</v>
      </c>
      <c r="J4175" s="17">
        <v>6</v>
      </c>
      <c r="K4175" s="17"/>
      <c r="L4175" s="7">
        <f t="shared" si="1771"/>
        <v>6</v>
      </c>
      <c r="M4175" s="8">
        <v>1</v>
      </c>
      <c r="N4175" s="8">
        <f t="shared" si="1772"/>
        <v>1</v>
      </c>
      <c r="O4175" s="11" t="s">
        <v>1702</v>
      </c>
      <c r="P4175" s="16" t="str">
        <f t="shared" si="1773"/>
        <v>04-Jul-1924</v>
      </c>
      <c r="R4175" s="16" t="str">
        <f t="shared" si="1770"/>
        <v>x</v>
      </c>
      <c r="S4175" s="16" t="str">
        <f t="shared" si="1770"/>
        <v>x</v>
      </c>
      <c r="T4175" s="11"/>
      <c r="U4175" s="46" t="str">
        <f t="shared" si="1742"/>
        <v/>
      </c>
      <c r="V4175" s="46">
        <f t="shared" si="1742"/>
        <v>6</v>
      </c>
      <c r="W4175" s="46" t="str">
        <f t="shared" si="1742"/>
        <v/>
      </c>
      <c r="X4175" s="46" t="str">
        <f t="shared" si="1742"/>
        <v/>
      </c>
    </row>
    <row r="4176" spans="2:24" x14ac:dyDescent="0.25">
      <c r="B4176" s="11" t="str">
        <f t="shared" si="1769"/>
        <v>MLTA-01AUG1924</v>
      </c>
      <c r="C4176" s="11" t="s">
        <v>2855</v>
      </c>
      <c r="D4176" s="11" t="s">
        <v>2814</v>
      </c>
      <c r="E4176" s="39" t="s">
        <v>2898</v>
      </c>
      <c r="F4176" s="11" t="s">
        <v>2813</v>
      </c>
      <c r="G4176" s="39" t="s">
        <v>2874</v>
      </c>
      <c r="J4176" s="17">
        <v>4</v>
      </c>
      <c r="K4176" s="17"/>
      <c r="L4176" s="7">
        <f t="shared" si="1771"/>
        <v>4</v>
      </c>
      <c r="M4176" s="8">
        <v>1</v>
      </c>
      <c r="N4176" s="8">
        <f t="shared" si="1772"/>
        <v>1</v>
      </c>
      <c r="O4176" s="11" t="s">
        <v>1702</v>
      </c>
      <c r="P4176" s="16" t="str">
        <f t="shared" si="1773"/>
        <v>01-Aug-1924</v>
      </c>
      <c r="R4176" s="16" t="str">
        <f t="shared" si="1770"/>
        <v>x</v>
      </c>
      <c r="S4176" s="16" t="str">
        <f t="shared" si="1770"/>
        <v>x</v>
      </c>
      <c r="T4176" s="11"/>
      <c r="U4176" s="46" t="str">
        <f t="shared" si="1742"/>
        <v/>
      </c>
      <c r="V4176" s="46">
        <f t="shared" si="1742"/>
        <v>4</v>
      </c>
      <c r="W4176" s="46" t="str">
        <f t="shared" si="1742"/>
        <v/>
      </c>
      <c r="X4176" s="46" t="str">
        <f t="shared" si="1742"/>
        <v/>
      </c>
    </row>
    <row r="4177" spans="2:26" x14ac:dyDescent="0.25">
      <c r="B4177" s="11" t="str">
        <f t="shared" si="1769"/>
        <v>MLTA-28SEP1924</v>
      </c>
      <c r="C4177" s="11" t="s">
        <v>2855</v>
      </c>
      <c r="D4177" s="11" t="s">
        <v>2814</v>
      </c>
      <c r="E4177" s="39" t="s">
        <v>2880</v>
      </c>
      <c r="F4177" s="11" t="s">
        <v>2813</v>
      </c>
      <c r="G4177" s="39" t="s">
        <v>2875</v>
      </c>
      <c r="J4177" s="17">
        <v>2</v>
      </c>
      <c r="K4177" s="17"/>
      <c r="L4177" s="7">
        <f t="shared" si="1771"/>
        <v>2</v>
      </c>
      <c r="M4177" s="8">
        <v>1</v>
      </c>
      <c r="N4177" s="8">
        <f t="shared" si="1772"/>
        <v>1</v>
      </c>
      <c r="O4177" s="11" t="s">
        <v>1702</v>
      </c>
      <c r="P4177" s="16" t="str">
        <f t="shared" si="1773"/>
        <v>28-Sep-1924</v>
      </c>
      <c r="R4177" s="16" t="str">
        <f t="shared" si="1770"/>
        <v>x</v>
      </c>
      <c r="S4177" s="16" t="str">
        <f t="shared" si="1770"/>
        <v>x</v>
      </c>
      <c r="T4177" s="11"/>
      <c r="U4177" s="46" t="str">
        <f t="shared" si="1742"/>
        <v/>
      </c>
      <c r="V4177" s="46">
        <f t="shared" si="1742"/>
        <v>2</v>
      </c>
      <c r="W4177" s="46" t="str">
        <f t="shared" si="1742"/>
        <v/>
      </c>
      <c r="X4177" s="46" t="str">
        <f t="shared" si="1742"/>
        <v/>
      </c>
    </row>
    <row r="4178" spans="2:26" x14ac:dyDescent="0.25">
      <c r="B4178" s="11" t="str">
        <f t="shared" si="1769"/>
        <v>MLTA-26OCT1924</v>
      </c>
      <c r="C4178" s="11" t="s">
        <v>2855</v>
      </c>
      <c r="D4178" s="11" t="s">
        <v>2814</v>
      </c>
      <c r="E4178" s="39" t="s">
        <v>2882</v>
      </c>
      <c r="F4178" s="11" t="s">
        <v>2813</v>
      </c>
      <c r="G4178" s="39" t="s">
        <v>2876</v>
      </c>
      <c r="J4178" s="17">
        <v>2</v>
      </c>
      <c r="K4178" s="17"/>
      <c r="L4178" s="7">
        <f t="shared" si="1771"/>
        <v>2</v>
      </c>
      <c r="M4178" s="8">
        <v>1</v>
      </c>
      <c r="N4178" s="8">
        <f t="shared" si="1772"/>
        <v>1</v>
      </c>
      <c r="O4178" s="11" t="s">
        <v>1702</v>
      </c>
      <c r="P4178" s="16" t="str">
        <f t="shared" si="1773"/>
        <v>26-Oct-1924</v>
      </c>
      <c r="R4178" s="16" t="str">
        <f t="shared" si="1770"/>
        <v>x</v>
      </c>
      <c r="S4178" s="16" t="str">
        <f t="shared" si="1770"/>
        <v>x</v>
      </c>
      <c r="T4178" s="11"/>
      <c r="U4178" s="46" t="str">
        <f t="shared" si="1742"/>
        <v/>
      </c>
      <c r="V4178" s="46">
        <f t="shared" si="1742"/>
        <v>2</v>
      </c>
      <c r="W4178" s="46" t="str">
        <f t="shared" si="1742"/>
        <v/>
      </c>
      <c r="X4178" s="46" t="str">
        <f t="shared" si="1742"/>
        <v/>
      </c>
    </row>
    <row r="4179" spans="2:26" x14ac:dyDescent="0.25">
      <c r="B4179" s="11" t="str">
        <f t="shared" si="1769"/>
        <v>MLTA-22NOV1924</v>
      </c>
      <c r="C4179" s="11" t="s">
        <v>2855</v>
      </c>
      <c r="D4179" s="11" t="s">
        <v>2814</v>
      </c>
      <c r="E4179" s="39" t="s">
        <v>2899</v>
      </c>
      <c r="F4179" s="11" t="s">
        <v>2813</v>
      </c>
      <c r="G4179" s="39" t="s">
        <v>2877</v>
      </c>
      <c r="J4179" s="17">
        <v>2</v>
      </c>
      <c r="K4179" s="17"/>
      <c r="L4179" s="7">
        <f t="shared" si="1771"/>
        <v>2</v>
      </c>
      <c r="M4179" s="8">
        <v>1</v>
      </c>
      <c r="N4179" s="8">
        <f t="shared" si="1772"/>
        <v>1</v>
      </c>
      <c r="O4179" s="11" t="s">
        <v>1702</v>
      </c>
      <c r="P4179" s="16" t="str">
        <f t="shared" si="1773"/>
        <v>22-Nov-1924</v>
      </c>
      <c r="R4179" s="16" t="str">
        <f t="shared" si="1770"/>
        <v>x</v>
      </c>
      <c r="S4179" s="16" t="str">
        <f t="shared" si="1770"/>
        <v>x</v>
      </c>
      <c r="U4179" s="46" t="str">
        <f t="shared" si="1742"/>
        <v/>
      </c>
      <c r="V4179" s="46">
        <f t="shared" si="1742"/>
        <v>2</v>
      </c>
      <c r="W4179" s="46" t="str">
        <f t="shared" si="1742"/>
        <v/>
      </c>
      <c r="X4179" s="46" t="str">
        <f t="shared" si="1742"/>
        <v/>
      </c>
    </row>
    <row r="4180" spans="2:26" x14ac:dyDescent="0.25">
      <c r="B4180" s="11" t="str">
        <f>CONCATENATE("MLTA","-",LEFT(P4180,2),UPPER(MID(P4180,4,3)),RIGHT(P4180,4))</f>
        <v>MLTA-15MAR1925</v>
      </c>
      <c r="C4180" s="11" t="s">
        <v>2855</v>
      </c>
      <c r="D4180" s="11" t="s">
        <v>2224</v>
      </c>
      <c r="E4180" s="39" t="s">
        <v>6285</v>
      </c>
      <c r="F4180" s="11" t="s">
        <v>211</v>
      </c>
      <c r="G4180" s="39" t="s">
        <v>6286</v>
      </c>
      <c r="I4180" s="7">
        <v>0</v>
      </c>
      <c r="J4180" s="17">
        <v>5</v>
      </c>
      <c r="K4180" s="17"/>
      <c r="L4180" s="7">
        <f t="shared" ref="L4180:L4185" si="1774">SUM(H4180:K4180)</f>
        <v>5</v>
      </c>
      <c r="M4180" s="8">
        <v>1</v>
      </c>
      <c r="N4180" s="8">
        <f t="shared" ref="N4180:N4185" si="1775">IF(L4180&gt;0,1,"")</f>
        <v>1</v>
      </c>
      <c r="O4180" s="11" t="s">
        <v>1702</v>
      </c>
      <c r="P4180" s="16" t="str">
        <f t="shared" ref="P4180:P4185" si="1776">IF(LEN(G4180)=10,CONCATENATE("0",G4180),G4180)</f>
        <v>15-Mar-1925</v>
      </c>
      <c r="R4180" s="16" t="str">
        <f>IF($L4180&gt;0,"x","")</f>
        <v>x</v>
      </c>
      <c r="S4180" s="16" t="str">
        <f>IF($L4180&gt;0,"x","")</f>
        <v>x</v>
      </c>
      <c r="U4180" s="46" t="str">
        <f t="shared" ref="U4180:X4184" si="1777">IF($O4180=U$5,$L4180,"")</f>
        <v/>
      </c>
      <c r="V4180" s="46">
        <f t="shared" si="1777"/>
        <v>5</v>
      </c>
      <c r="W4180" s="46" t="str">
        <f t="shared" si="1777"/>
        <v/>
      </c>
      <c r="X4180" s="46" t="str">
        <f t="shared" si="1777"/>
        <v/>
      </c>
    </row>
    <row r="4181" spans="2:26" x14ac:dyDescent="0.25">
      <c r="B4181" s="11" t="str">
        <f>CONCATENATE("MLTA","-",LEFT(P4181,2),UPPER(MID(P4181,4,3)),RIGHT(P4181,4))</f>
        <v>MLTA-13APR1925</v>
      </c>
      <c r="C4181" s="11" t="s">
        <v>2855</v>
      </c>
      <c r="D4181" s="11" t="s">
        <v>2814</v>
      </c>
      <c r="E4181" s="39" t="s">
        <v>4423</v>
      </c>
      <c r="F4181" s="11" t="s">
        <v>211</v>
      </c>
      <c r="G4181" s="39" t="s">
        <v>5643</v>
      </c>
      <c r="H4181" s="7">
        <v>0</v>
      </c>
      <c r="J4181" s="17">
        <v>0</v>
      </c>
      <c r="K4181" s="17"/>
      <c r="L4181" s="7">
        <f t="shared" si="1774"/>
        <v>0</v>
      </c>
      <c r="M4181" s="8">
        <v>1</v>
      </c>
      <c r="N4181" s="8" t="str">
        <f t="shared" si="1775"/>
        <v/>
      </c>
      <c r="O4181" s="11" t="s">
        <v>1702</v>
      </c>
      <c r="P4181" s="16" t="str">
        <f t="shared" si="1776"/>
        <v>13-Apr-1925</v>
      </c>
      <c r="Q4181" s="80"/>
      <c r="T4181" s="11"/>
      <c r="U4181" s="46" t="str">
        <f t="shared" si="1777"/>
        <v/>
      </c>
      <c r="V4181" s="46">
        <f t="shared" si="1777"/>
        <v>0</v>
      </c>
      <c r="W4181" s="46" t="str">
        <f t="shared" si="1777"/>
        <v/>
      </c>
      <c r="X4181" s="46" t="str">
        <f t="shared" si="1777"/>
        <v/>
      </c>
    </row>
    <row r="4182" spans="2:26" x14ac:dyDescent="0.25">
      <c r="B4182" s="11" t="str">
        <f>CONCATENATE("MLTA","-",LEFT(P4182,2),UPPER(MID(P4182,4,3)),RIGHT(P4182,4))</f>
        <v>MLTA-13APR1925</v>
      </c>
      <c r="C4182" s="11" t="s">
        <v>2855</v>
      </c>
      <c r="D4182" s="11" t="s">
        <v>3619</v>
      </c>
      <c r="E4182" s="39" t="s">
        <v>5642</v>
      </c>
      <c r="F4182" s="11" t="s">
        <v>211</v>
      </c>
      <c r="G4182" s="39" t="s">
        <v>5643</v>
      </c>
      <c r="H4182" s="7">
        <v>0</v>
      </c>
      <c r="J4182" s="17">
        <v>5</v>
      </c>
      <c r="K4182" s="17"/>
      <c r="L4182" s="7">
        <f t="shared" si="1774"/>
        <v>5</v>
      </c>
      <c r="M4182" s="8">
        <v>1</v>
      </c>
      <c r="N4182" s="8">
        <f t="shared" si="1775"/>
        <v>1</v>
      </c>
      <c r="O4182" s="11" t="s">
        <v>1702</v>
      </c>
      <c r="P4182" s="16" t="str">
        <f t="shared" si="1776"/>
        <v>13-Apr-1925</v>
      </c>
      <c r="R4182" s="16" t="str">
        <f t="shared" ref="R4182:S4185" si="1778">IF($L4182&gt;0,"x","")</f>
        <v>x</v>
      </c>
      <c r="S4182" s="16" t="str">
        <f t="shared" si="1778"/>
        <v>x</v>
      </c>
      <c r="T4182" s="11"/>
      <c r="U4182" s="46" t="str">
        <f t="shared" si="1777"/>
        <v/>
      </c>
      <c r="V4182" s="46">
        <f t="shared" si="1777"/>
        <v>5</v>
      </c>
      <c r="W4182" s="46" t="str">
        <f t="shared" si="1777"/>
        <v/>
      </c>
      <c r="X4182" s="46" t="str">
        <f t="shared" si="1777"/>
        <v/>
      </c>
    </row>
    <row r="4183" spans="2:26" x14ac:dyDescent="0.25">
      <c r="B4183" s="11" t="str">
        <f>CONCATENATE("MLTA","-",LEFT(P4183,2),UPPER(MID(P4183,4,3)),RIGHT(P4183,4))</f>
        <v>MLTA-15MAY1925</v>
      </c>
      <c r="C4183" s="11" t="s">
        <v>2855</v>
      </c>
      <c r="D4183" s="11" t="s">
        <v>2224</v>
      </c>
      <c r="E4183" s="39" t="s">
        <v>11388</v>
      </c>
      <c r="F4183" s="11" t="s">
        <v>2813</v>
      </c>
      <c r="G4183" s="39" t="s">
        <v>3055</v>
      </c>
      <c r="I4183" s="7">
        <v>0</v>
      </c>
      <c r="J4183" s="17">
        <v>6</v>
      </c>
      <c r="K4183" s="17"/>
      <c r="L4183" s="7">
        <f t="shared" si="1774"/>
        <v>6</v>
      </c>
      <c r="M4183" s="8">
        <v>1</v>
      </c>
      <c r="N4183" s="8">
        <f t="shared" si="1775"/>
        <v>1</v>
      </c>
      <c r="O4183" s="11" t="s">
        <v>1702</v>
      </c>
      <c r="P4183" s="16" t="str">
        <f t="shared" si="1776"/>
        <v>15-May-1925</v>
      </c>
      <c r="R4183" s="16" t="str">
        <f>IF($L4183&gt;0,"x","")</f>
        <v>x</v>
      </c>
      <c r="S4183" s="16" t="str">
        <f>IF($L4183&gt;0,"x","")</f>
        <v>x</v>
      </c>
      <c r="U4183" s="46" t="str">
        <f t="shared" si="1777"/>
        <v/>
      </c>
      <c r="V4183" s="46">
        <f t="shared" si="1777"/>
        <v>6</v>
      </c>
      <c r="W4183" s="46" t="str">
        <f t="shared" si="1777"/>
        <v/>
      </c>
      <c r="X4183" s="46" t="str">
        <f t="shared" si="1777"/>
        <v/>
      </c>
    </row>
    <row r="4184" spans="2:26" x14ac:dyDescent="0.25">
      <c r="B4184" s="11" t="str">
        <f>CONCATENATE("MLTA","-",LEFT(P4184,2),UPPER(MID(P4184,4,3)),RIGHT(P4184,4))</f>
        <v>MLTA-12JUN1925</v>
      </c>
      <c r="C4184" s="11" t="s">
        <v>2855</v>
      </c>
      <c r="D4184" s="11" t="s">
        <v>2224</v>
      </c>
      <c r="E4184" s="39" t="s">
        <v>4498</v>
      </c>
      <c r="F4184" s="11" t="s">
        <v>2813</v>
      </c>
      <c r="G4184" s="39" t="s">
        <v>4499</v>
      </c>
      <c r="I4184" s="7">
        <v>0</v>
      </c>
      <c r="J4184" s="17">
        <v>4</v>
      </c>
      <c r="K4184" s="17"/>
      <c r="L4184" s="7">
        <f t="shared" si="1774"/>
        <v>4</v>
      </c>
      <c r="M4184" s="8">
        <v>1</v>
      </c>
      <c r="N4184" s="8">
        <f t="shared" si="1775"/>
        <v>1</v>
      </c>
      <c r="O4184" s="11" t="s">
        <v>1702</v>
      </c>
      <c r="P4184" s="16" t="str">
        <f t="shared" si="1776"/>
        <v>12-Jun-1925</v>
      </c>
      <c r="R4184" s="16" t="str">
        <f t="shared" si="1778"/>
        <v>x</v>
      </c>
      <c r="S4184" s="16" t="str">
        <f t="shared" si="1778"/>
        <v>x</v>
      </c>
      <c r="T4184" s="11"/>
      <c r="U4184" s="46" t="str">
        <f t="shared" si="1777"/>
        <v/>
      </c>
      <c r="V4184" s="46">
        <f t="shared" si="1777"/>
        <v>4</v>
      </c>
      <c r="W4184" s="46" t="str">
        <f t="shared" si="1777"/>
        <v/>
      </c>
      <c r="X4184" s="46" t="str">
        <f t="shared" si="1777"/>
        <v/>
      </c>
    </row>
    <row r="4185" spans="2:26" x14ac:dyDescent="0.25">
      <c r="B4185" s="11" t="str">
        <f t="shared" si="1769"/>
        <v>MLTA-06DEC1925</v>
      </c>
      <c r="C4185" s="11" t="s">
        <v>2855</v>
      </c>
      <c r="D4185" s="11" t="s">
        <v>2224</v>
      </c>
      <c r="E4185" s="39" t="s">
        <v>4914</v>
      </c>
      <c r="F4185" s="11" t="s">
        <v>211</v>
      </c>
      <c r="G4185" s="39" t="s">
        <v>4915</v>
      </c>
      <c r="I4185" s="7">
        <v>0</v>
      </c>
      <c r="J4185" s="17">
        <v>3</v>
      </c>
      <c r="K4185" s="17"/>
      <c r="L4185" s="7">
        <f t="shared" si="1774"/>
        <v>3</v>
      </c>
      <c r="M4185" s="8">
        <v>1</v>
      </c>
      <c r="N4185" s="8">
        <f t="shared" si="1775"/>
        <v>1</v>
      </c>
      <c r="O4185" s="11" t="s">
        <v>1702</v>
      </c>
      <c r="P4185" s="16" t="str">
        <f t="shared" si="1776"/>
        <v>06-Dec-1925</v>
      </c>
      <c r="R4185" s="16" t="str">
        <f t="shared" si="1778"/>
        <v>x</v>
      </c>
      <c r="S4185" s="16" t="str">
        <f t="shared" si="1778"/>
        <v>x</v>
      </c>
      <c r="T4185" s="11"/>
      <c r="U4185" s="46" t="str">
        <f t="shared" si="1742"/>
        <v/>
      </c>
      <c r="V4185" s="46">
        <f t="shared" si="1742"/>
        <v>3</v>
      </c>
      <c r="W4185" s="46" t="str">
        <f t="shared" si="1742"/>
        <v/>
      </c>
      <c r="X4185" s="46" t="str">
        <f t="shared" si="1742"/>
        <v/>
      </c>
    </row>
    <row r="4186" spans="2:26" x14ac:dyDescent="0.25">
      <c r="N4186" s="8" t="str">
        <f>IF(R4186="x",1,"")</f>
        <v/>
      </c>
      <c r="T4186" s="11"/>
      <c r="U4186" s="46" t="str">
        <f t="shared" si="1742"/>
        <v/>
      </c>
      <c r="V4186" s="46" t="str">
        <f t="shared" si="1742"/>
        <v/>
      </c>
      <c r="W4186" s="46" t="str">
        <f t="shared" si="1742"/>
        <v/>
      </c>
      <c r="X4186" s="46" t="str">
        <f t="shared" si="1742"/>
        <v/>
      </c>
    </row>
    <row r="4187" spans="2:26" s="18" customFormat="1" x14ac:dyDescent="0.25">
      <c r="E4187" s="40"/>
      <c r="G4187" s="40"/>
      <c r="H4187" s="7">
        <f t="shared" ref="H4187:N4187" si="1779">SUM(H4155:H4186)</f>
        <v>0</v>
      </c>
      <c r="I4187" s="7">
        <f t="shared" si="1779"/>
        <v>5</v>
      </c>
      <c r="J4187" s="7">
        <f>SUM(J4155:J4186)</f>
        <v>243</v>
      </c>
      <c r="K4187" s="7">
        <f t="shared" si="1779"/>
        <v>0</v>
      </c>
      <c r="L4187" s="7">
        <f t="shared" si="1779"/>
        <v>248</v>
      </c>
      <c r="M4187" s="7">
        <f t="shared" si="1779"/>
        <v>31</v>
      </c>
      <c r="N4187" s="7">
        <f t="shared" si="1779"/>
        <v>30</v>
      </c>
      <c r="P4187" s="13"/>
      <c r="Q4187" s="13"/>
      <c r="R4187" s="16"/>
      <c r="S4187" s="13"/>
      <c r="T4187" s="15"/>
      <c r="U4187" s="46" t="str">
        <f t="shared" si="1742"/>
        <v/>
      </c>
      <c r="V4187" s="46" t="str">
        <f t="shared" si="1742"/>
        <v/>
      </c>
      <c r="W4187" s="46" t="str">
        <f t="shared" si="1742"/>
        <v/>
      </c>
      <c r="X4187" s="46" t="str">
        <f t="shared" si="1742"/>
        <v/>
      </c>
      <c r="Z4187" s="11"/>
    </row>
    <row r="4188" spans="2:26" x14ac:dyDescent="0.25">
      <c r="B4188" s="18"/>
      <c r="C4188" s="18"/>
      <c r="D4188" s="18"/>
      <c r="E4188" s="40"/>
      <c r="F4188" s="18"/>
      <c r="G4188" s="40"/>
      <c r="N4188" s="8" t="str">
        <f>IF(R4188="x",1,"")</f>
        <v/>
      </c>
      <c r="O4188" s="18"/>
      <c r="P4188" s="13"/>
      <c r="Q4188" s="13"/>
      <c r="R4188" s="13"/>
      <c r="S4188" s="13"/>
      <c r="T4188" s="15"/>
      <c r="U4188" s="46" t="str">
        <f t="shared" ref="U4188:X4195" si="1780">IF($O4188=U$5,$L4188,"")</f>
        <v/>
      </c>
      <c r="V4188" s="46" t="str">
        <f t="shared" si="1780"/>
        <v/>
      </c>
      <c r="W4188" s="46" t="str">
        <f t="shared" si="1780"/>
        <v/>
      </c>
      <c r="X4188" s="46" t="str">
        <f t="shared" si="1780"/>
        <v/>
      </c>
    </row>
    <row r="4189" spans="2:26" x14ac:dyDescent="0.25">
      <c r="B4189" s="18"/>
      <c r="C4189" s="18"/>
      <c r="D4189" s="18"/>
      <c r="E4189" s="40"/>
      <c r="F4189" s="18"/>
      <c r="G4189" s="40"/>
      <c r="N4189" s="8" t="str">
        <f>IF(R4189="x",1,"")</f>
        <v/>
      </c>
      <c r="O4189" s="18"/>
      <c r="P4189" s="13"/>
      <c r="Q4189" s="13"/>
      <c r="R4189" s="13"/>
      <c r="S4189" s="13"/>
      <c r="T4189" s="15"/>
      <c r="U4189" s="46" t="str">
        <f t="shared" si="1780"/>
        <v/>
      </c>
      <c r="V4189" s="46" t="str">
        <f t="shared" si="1780"/>
        <v/>
      </c>
      <c r="W4189" s="46" t="str">
        <f t="shared" si="1780"/>
        <v/>
      </c>
      <c r="X4189" s="46" t="str">
        <f t="shared" si="1780"/>
        <v/>
      </c>
    </row>
    <row r="4190" spans="2:26" x14ac:dyDescent="0.25">
      <c r="B4190" s="11" t="str">
        <f>CONCATENATE("MEND","-",LEFT(P4190,2),UPPER(MID(P4190,4,3)),RIGHT(P4190,4))</f>
        <v>MEND-25JAN1908</v>
      </c>
      <c r="C4190" s="11" t="s">
        <v>4658</v>
      </c>
      <c r="D4190" s="11" t="s">
        <v>3007</v>
      </c>
      <c r="E4190" s="39" t="s">
        <v>4659</v>
      </c>
      <c r="F4190" s="11" t="s">
        <v>1700</v>
      </c>
      <c r="G4190" s="39" t="s">
        <v>1467</v>
      </c>
      <c r="H4190" s="7">
        <v>0</v>
      </c>
      <c r="J4190" s="17">
        <v>3</v>
      </c>
      <c r="K4190" s="17"/>
      <c r="L4190" s="7">
        <f>SUM(H4190:K4190)</f>
        <v>3</v>
      </c>
      <c r="M4190" s="8">
        <v>1</v>
      </c>
      <c r="N4190" s="8">
        <f>IF(L4190&gt;0,1,"")</f>
        <v>1</v>
      </c>
      <c r="O4190" s="11" t="s">
        <v>1702</v>
      </c>
      <c r="P4190" s="16" t="str">
        <f>IF(LEN(G4190)=10,CONCATENATE("0",G4190),G4190)</f>
        <v>25-Jan-1908</v>
      </c>
      <c r="R4190" s="16" t="str">
        <f t="shared" ref="R4190:S4193" si="1781">IF($L4190&gt;0,"x","")</f>
        <v>x</v>
      </c>
      <c r="S4190" s="16" t="str">
        <f t="shared" si="1781"/>
        <v>x</v>
      </c>
      <c r="U4190" s="46" t="str">
        <f t="shared" si="1780"/>
        <v/>
      </c>
      <c r="V4190" s="46">
        <f t="shared" si="1780"/>
        <v>3</v>
      </c>
      <c r="W4190" s="46" t="str">
        <f t="shared" si="1780"/>
        <v/>
      </c>
      <c r="X4190" s="46" t="str">
        <f t="shared" si="1780"/>
        <v/>
      </c>
    </row>
    <row r="4191" spans="2:26" x14ac:dyDescent="0.25">
      <c r="B4191" s="11" t="str">
        <f>CONCATENATE("MEND","-",LEFT(P4191,2),UPPER(MID(P4191,4,3)),RIGHT(P4191,4))</f>
        <v>MEND-02SEP1909</v>
      </c>
      <c r="C4191" s="11" t="s">
        <v>4658</v>
      </c>
      <c r="D4191" s="11" t="s">
        <v>3007</v>
      </c>
      <c r="E4191" s="39" t="s">
        <v>5928</v>
      </c>
      <c r="F4191" s="11" t="s">
        <v>1700</v>
      </c>
      <c r="G4191" s="39" t="s">
        <v>5929</v>
      </c>
      <c r="H4191" s="7">
        <v>0</v>
      </c>
      <c r="J4191" s="17">
        <v>0</v>
      </c>
      <c r="K4191" s="17"/>
      <c r="L4191" s="7">
        <f>SUM(H4191:K4191)</f>
        <v>0</v>
      </c>
      <c r="M4191" s="8">
        <v>1</v>
      </c>
      <c r="N4191" s="8" t="str">
        <f>IF(L4191&gt;0,1,"")</f>
        <v/>
      </c>
      <c r="O4191" s="11" t="s">
        <v>1702</v>
      </c>
      <c r="P4191" s="16" t="str">
        <f>IF(LEN(G4191)=10,CONCATENATE("0",G4191),G4191)</f>
        <v>02-Sep-1909</v>
      </c>
      <c r="R4191" s="16" t="str">
        <f t="shared" si="1781"/>
        <v/>
      </c>
      <c r="S4191" s="16" t="str">
        <f t="shared" si="1781"/>
        <v/>
      </c>
      <c r="T4191" s="11"/>
      <c r="U4191" s="46" t="str">
        <f t="shared" si="1780"/>
        <v/>
      </c>
      <c r="V4191" s="46">
        <f t="shared" si="1780"/>
        <v>0</v>
      </c>
      <c r="W4191" s="46" t="str">
        <f t="shared" si="1780"/>
        <v/>
      </c>
      <c r="X4191" s="46" t="str">
        <f t="shared" si="1780"/>
        <v/>
      </c>
    </row>
    <row r="4192" spans="2:26" x14ac:dyDescent="0.25">
      <c r="B4192" s="11" t="str">
        <f>CONCATENATE("MEND","-",LEFT(P4192,2),UPPER(MID(P4192,4,3)),RIGHT(P4192,4))</f>
        <v>MEND-15AUG1912</v>
      </c>
      <c r="C4192" s="11" t="s">
        <v>4658</v>
      </c>
      <c r="D4192" s="11" t="s">
        <v>3007</v>
      </c>
      <c r="E4192" s="39" t="s">
        <v>5436</v>
      </c>
      <c r="F4192" s="11" t="s">
        <v>1700</v>
      </c>
      <c r="G4192" s="39" t="s">
        <v>2504</v>
      </c>
      <c r="H4192" s="7">
        <v>3</v>
      </c>
      <c r="J4192" s="17">
        <v>1</v>
      </c>
      <c r="K4192" s="17"/>
      <c r="L4192" s="7">
        <f>SUM(H4192:K4192)</f>
        <v>4</v>
      </c>
      <c r="M4192" s="8">
        <v>1</v>
      </c>
      <c r="N4192" s="8">
        <f>IF(L4192&gt;0,1,"")</f>
        <v>1</v>
      </c>
      <c r="O4192" s="11" t="s">
        <v>1702</v>
      </c>
      <c r="P4192" s="16" t="str">
        <f>IF(LEN(G4192)=10,CONCATENATE("0",G4192),G4192)</f>
        <v>15-Aug-1912</v>
      </c>
      <c r="R4192" s="16" t="str">
        <f t="shared" si="1781"/>
        <v>x</v>
      </c>
      <c r="S4192" s="16" t="str">
        <f t="shared" si="1781"/>
        <v>x</v>
      </c>
      <c r="U4192" s="46" t="str">
        <f t="shared" si="1780"/>
        <v/>
      </c>
      <c r="V4192" s="46">
        <f t="shared" si="1780"/>
        <v>4</v>
      </c>
      <c r="W4192" s="46" t="str">
        <f t="shared" si="1780"/>
        <v/>
      </c>
      <c r="X4192" s="46" t="str">
        <f t="shared" si="1780"/>
        <v/>
      </c>
    </row>
    <row r="4193" spans="2:24" x14ac:dyDescent="0.25">
      <c r="B4193" s="11" t="str">
        <f>CONCATENATE("MEND","-",LEFT(P4193,2),UPPER(MID(P4193,4,3)),RIGHT(P4193,4))</f>
        <v>MEND-04FEB1913</v>
      </c>
      <c r="C4193" s="11" t="s">
        <v>4658</v>
      </c>
      <c r="D4193" s="11" t="s">
        <v>3007</v>
      </c>
      <c r="E4193" s="39" t="s">
        <v>2359</v>
      </c>
      <c r="F4193" s="11" t="s">
        <v>1700</v>
      </c>
      <c r="G4193" s="39" t="s">
        <v>1672</v>
      </c>
      <c r="H4193" s="7">
        <v>0</v>
      </c>
      <c r="J4193" s="17">
        <v>16</v>
      </c>
      <c r="K4193" s="17"/>
      <c r="L4193" s="7">
        <f>SUM(H4193:K4193)</f>
        <v>16</v>
      </c>
      <c r="M4193" s="8">
        <v>1</v>
      </c>
      <c r="N4193" s="8">
        <f>IF(L4193&gt;0,1,"")</f>
        <v>1</v>
      </c>
      <c r="O4193" s="11" t="s">
        <v>1702</v>
      </c>
      <c r="P4193" s="16" t="str">
        <f>IF(LEN(G4193)=10,CONCATENATE("0",G4193),G4193)</f>
        <v>04-Feb-1913</v>
      </c>
      <c r="R4193" s="16" t="str">
        <f t="shared" si="1781"/>
        <v>x</v>
      </c>
      <c r="S4193" s="16" t="str">
        <f t="shared" si="1781"/>
        <v>x</v>
      </c>
      <c r="U4193" s="46" t="str">
        <f t="shared" si="1780"/>
        <v/>
      </c>
      <c r="V4193" s="46">
        <f t="shared" si="1780"/>
        <v>16</v>
      </c>
      <c r="W4193" s="46" t="str">
        <f t="shared" si="1780"/>
        <v/>
      </c>
      <c r="X4193" s="46" t="str">
        <f t="shared" si="1780"/>
        <v/>
      </c>
    </row>
    <row r="4194" spans="2:24" x14ac:dyDescent="0.25">
      <c r="N4194" s="8" t="str">
        <f>IF(R4194="x",1,"")</f>
        <v/>
      </c>
      <c r="U4194" s="46" t="str">
        <f t="shared" si="1780"/>
        <v/>
      </c>
      <c r="V4194" s="46" t="str">
        <f t="shared" si="1780"/>
        <v/>
      </c>
      <c r="W4194" s="46" t="str">
        <f t="shared" si="1780"/>
        <v/>
      </c>
      <c r="X4194" s="46" t="str">
        <f t="shared" si="1780"/>
        <v/>
      </c>
    </row>
    <row r="4195" spans="2:24" x14ac:dyDescent="0.25">
      <c r="B4195" s="18"/>
      <c r="C4195" s="18"/>
      <c r="D4195" s="18"/>
      <c r="E4195" s="40"/>
      <c r="F4195" s="18"/>
      <c r="G4195" s="40"/>
      <c r="H4195" s="7">
        <f t="shared" ref="H4195:N4195" si="1782">SUM(H4190:H4194)</f>
        <v>3</v>
      </c>
      <c r="I4195" s="7">
        <f t="shared" si="1782"/>
        <v>0</v>
      </c>
      <c r="J4195" s="7">
        <f>SUM(J4190:J4194)</f>
        <v>20</v>
      </c>
      <c r="K4195" s="7">
        <f t="shared" si="1782"/>
        <v>0</v>
      </c>
      <c r="L4195" s="7">
        <f t="shared" si="1782"/>
        <v>23</v>
      </c>
      <c r="M4195" s="7">
        <f t="shared" si="1782"/>
        <v>4</v>
      </c>
      <c r="N4195" s="7">
        <f t="shared" si="1782"/>
        <v>3</v>
      </c>
      <c r="O4195" s="18"/>
      <c r="P4195" s="13"/>
      <c r="Q4195" s="13"/>
      <c r="S4195" s="13"/>
      <c r="T4195" s="15"/>
      <c r="U4195" s="46" t="str">
        <f t="shared" si="1780"/>
        <v/>
      </c>
      <c r="V4195" s="46" t="str">
        <f t="shared" si="1780"/>
        <v/>
      </c>
      <c r="W4195" s="46" t="str">
        <f t="shared" si="1780"/>
        <v/>
      </c>
      <c r="X4195" s="46" t="str">
        <f t="shared" si="1780"/>
        <v/>
      </c>
    </row>
    <row r="4196" spans="2:24" x14ac:dyDescent="0.25">
      <c r="B4196" s="18"/>
      <c r="C4196" s="18"/>
      <c r="D4196" s="18"/>
      <c r="E4196" s="40"/>
      <c r="F4196" s="18"/>
      <c r="G4196" s="40"/>
      <c r="N4196" s="8" t="str">
        <f>IF(R4196="x",1,"")</f>
        <v/>
      </c>
      <c r="O4196" s="18"/>
      <c r="P4196" s="13"/>
      <c r="Q4196" s="13"/>
      <c r="R4196" s="13"/>
      <c r="S4196" s="13"/>
      <c r="T4196" s="15"/>
      <c r="U4196" s="46" t="str">
        <f t="shared" si="1742"/>
        <v/>
      </c>
      <c r="V4196" s="46" t="str">
        <f t="shared" si="1742"/>
        <v/>
      </c>
      <c r="W4196" s="46" t="str">
        <f t="shared" si="1742"/>
        <v/>
      </c>
      <c r="X4196" s="46" t="str">
        <f t="shared" si="1742"/>
        <v/>
      </c>
    </row>
    <row r="4197" spans="2:24" x14ac:dyDescent="0.25">
      <c r="B4197" s="18"/>
      <c r="C4197" s="18"/>
      <c r="D4197" s="18"/>
      <c r="E4197" s="40"/>
      <c r="F4197" s="18"/>
      <c r="G4197" s="40"/>
      <c r="N4197" s="8" t="str">
        <f>IF(R4197="x",1,"")</f>
        <v/>
      </c>
      <c r="O4197" s="18"/>
      <c r="P4197" s="13"/>
      <c r="Q4197" s="13"/>
      <c r="R4197" s="13"/>
      <c r="S4197" s="13"/>
      <c r="T4197" s="15"/>
      <c r="U4197" s="46" t="str">
        <f t="shared" si="1742"/>
        <v/>
      </c>
      <c r="V4197" s="46" t="str">
        <f t="shared" si="1742"/>
        <v/>
      </c>
      <c r="W4197" s="46" t="str">
        <f t="shared" si="1742"/>
        <v/>
      </c>
      <c r="X4197" s="46" t="str">
        <f>IF($O4197=X$5,$L4197,"")</f>
        <v/>
      </c>
    </row>
    <row r="4198" spans="2:24" x14ac:dyDescent="0.25">
      <c r="B4198" s="11" t="str">
        <f t="shared" ref="B4198:B4231" si="1783">CONCATENATE("MERI","-",LEFT(P4198,2),UPPER(MID(P4198,4,3)),RIGHT(P4198,4))</f>
        <v>MERI-17AUG1902</v>
      </c>
      <c r="C4198" s="11" t="s">
        <v>3117</v>
      </c>
      <c r="D4198" s="11" t="s">
        <v>2097</v>
      </c>
      <c r="E4198" s="39" t="s">
        <v>3962</v>
      </c>
      <c r="F4198" s="11" t="s">
        <v>3050</v>
      </c>
      <c r="G4198" s="39" t="s">
        <v>3963</v>
      </c>
      <c r="J4198" s="17">
        <v>1</v>
      </c>
      <c r="K4198" s="17"/>
      <c r="L4198" s="7">
        <f t="shared" ref="L4198:L4231" si="1784">SUM(H4198:K4198)</f>
        <v>1</v>
      </c>
      <c r="M4198" s="8">
        <v>1</v>
      </c>
      <c r="N4198" s="8">
        <f t="shared" ref="N4198:N4231" si="1785">IF(L4198&gt;0,1,"")</f>
        <v>1</v>
      </c>
      <c r="O4198" s="11" t="s">
        <v>1702</v>
      </c>
      <c r="P4198" s="16" t="str">
        <f t="shared" ref="P4198:P4231" si="1786">IF(LEN(G4198)=10,CONCATENATE("0",G4198),G4198)</f>
        <v>17-Aug-1902</v>
      </c>
      <c r="R4198" s="16" t="str">
        <f>IF($L4198&gt;0,"x","")</f>
        <v>x</v>
      </c>
      <c r="S4198" s="16" t="str">
        <f>IF($L4198&gt;0,"x","")</f>
        <v>x</v>
      </c>
      <c r="U4198" s="46" t="str">
        <f t="shared" ref="U4198:X4306" si="1787">IF($O4198=U$5,$L4198,"")</f>
        <v/>
      </c>
      <c r="V4198" s="46">
        <f t="shared" si="1787"/>
        <v>1</v>
      </c>
      <c r="W4198" s="46" t="str">
        <f t="shared" si="1787"/>
        <v/>
      </c>
      <c r="X4198" s="46" t="str">
        <f t="shared" si="1787"/>
        <v/>
      </c>
    </row>
    <row r="4199" spans="2:24" x14ac:dyDescent="0.25">
      <c r="B4199" s="11" t="str">
        <f>CONCATENATE("MERI","-",LEFT(P4199,2),UPPER(MID(P4199,4,3)),RIGHT(P4199,4))</f>
        <v>MERI-25JAN1904</v>
      </c>
      <c r="C4199" s="11" t="s">
        <v>3117</v>
      </c>
      <c r="D4199" s="11" t="s">
        <v>2097</v>
      </c>
      <c r="E4199" s="39" t="s">
        <v>3508</v>
      </c>
      <c r="F4199" s="11" t="s">
        <v>3039</v>
      </c>
      <c r="G4199" s="39" t="s">
        <v>3507</v>
      </c>
      <c r="I4199" s="7">
        <v>0</v>
      </c>
      <c r="J4199" s="17">
        <v>1</v>
      </c>
      <c r="K4199" s="17"/>
      <c r="L4199" s="7">
        <f>SUM(H4199:K4199)</f>
        <v>1</v>
      </c>
      <c r="M4199" s="8">
        <v>1</v>
      </c>
      <c r="N4199" s="8">
        <f>IF(L4199&gt;0,1,"")</f>
        <v>1</v>
      </c>
      <c r="O4199" s="11" t="s">
        <v>1702</v>
      </c>
      <c r="P4199" s="16" t="str">
        <f>IF(LEN(G4199)=10,CONCATENATE("0",G4199),G4199)</f>
        <v>25-Jan-1904</v>
      </c>
      <c r="R4199" s="16" t="str">
        <f t="shared" ref="R4199:S4202" si="1788">IF($L4199&gt;0,"x","")</f>
        <v>x</v>
      </c>
      <c r="S4199" s="16" t="str">
        <f t="shared" si="1788"/>
        <v>x</v>
      </c>
      <c r="U4199" s="46" t="str">
        <f>IF($O4199=U$5,$L4199,"")</f>
        <v/>
      </c>
      <c r="V4199" s="46">
        <f>IF($O4199=V$5,$L4199,"")</f>
        <v>1</v>
      </c>
      <c r="W4199" s="46" t="str">
        <f>IF($O4199=W$5,$L4199,"")</f>
        <v/>
      </c>
      <c r="X4199" s="46" t="str">
        <f>IF($O4199=X$5,$L4199,"")</f>
        <v/>
      </c>
    </row>
    <row r="4200" spans="2:24" x14ac:dyDescent="0.25">
      <c r="B4200" s="11" t="str">
        <f>CONCATENATE("MERI","-",LEFT(P4200,2),UPPER(MID(P4200,4,3)),RIGHT(P4200,4))</f>
        <v>MERI-07FEB1905</v>
      </c>
      <c r="C4200" s="11" t="s">
        <v>3117</v>
      </c>
      <c r="D4200" s="11" t="s">
        <v>2097</v>
      </c>
      <c r="E4200" s="39" t="s">
        <v>6055</v>
      </c>
      <c r="F4200" s="11" t="s">
        <v>3039</v>
      </c>
      <c r="G4200" s="39" t="s">
        <v>6056</v>
      </c>
      <c r="I4200" s="7">
        <v>0</v>
      </c>
      <c r="J4200" s="17">
        <v>2</v>
      </c>
      <c r="K4200" s="17"/>
      <c r="L4200" s="7">
        <f>SUM(H4200:K4200)</f>
        <v>2</v>
      </c>
      <c r="M4200" s="8">
        <v>1</v>
      </c>
      <c r="N4200" s="8">
        <f>IF(L4200&gt;0,1,"")</f>
        <v>1</v>
      </c>
      <c r="O4200" s="11" t="s">
        <v>1702</v>
      </c>
      <c r="P4200" s="16" t="str">
        <f>IF(LEN(G4200)=10,CONCATENATE("0",G4200),G4200)</f>
        <v>07-Feb-1905</v>
      </c>
      <c r="R4200" s="16" t="str">
        <f t="shared" si="1788"/>
        <v>x</v>
      </c>
      <c r="S4200" s="16" t="str">
        <f t="shared" si="1788"/>
        <v>x</v>
      </c>
      <c r="U4200" s="46" t="str">
        <f t="shared" ref="U4200:X4201" si="1789">IF($O4200=U$5,$L4200,"")</f>
        <v/>
      </c>
      <c r="V4200" s="46">
        <f t="shared" si="1789"/>
        <v>2</v>
      </c>
      <c r="W4200" s="46" t="str">
        <f t="shared" si="1789"/>
        <v/>
      </c>
      <c r="X4200" s="46" t="str">
        <f t="shared" si="1789"/>
        <v/>
      </c>
    </row>
    <row r="4201" spans="2:24" x14ac:dyDescent="0.25">
      <c r="B4201" s="11" t="str">
        <f t="shared" si="1783"/>
        <v>MERI-10SEP1905</v>
      </c>
      <c r="C4201" s="11" t="s">
        <v>3117</v>
      </c>
      <c r="D4201" s="11" t="s">
        <v>2097</v>
      </c>
      <c r="E4201" s="39" t="s">
        <v>4857</v>
      </c>
      <c r="F4201" s="11" t="s">
        <v>3039</v>
      </c>
      <c r="G4201" s="39" t="s">
        <v>782</v>
      </c>
      <c r="I4201" s="7">
        <v>0</v>
      </c>
      <c r="J4201" s="17">
        <v>1</v>
      </c>
      <c r="K4201" s="17"/>
      <c r="L4201" s="7">
        <f t="shared" si="1784"/>
        <v>1</v>
      </c>
      <c r="M4201" s="8">
        <v>1</v>
      </c>
      <c r="N4201" s="8">
        <f t="shared" si="1785"/>
        <v>1</v>
      </c>
      <c r="O4201" s="11" t="s">
        <v>1702</v>
      </c>
      <c r="P4201" s="16" t="str">
        <f t="shared" si="1786"/>
        <v>10-Sep-1905</v>
      </c>
      <c r="R4201" s="16" t="str">
        <f t="shared" si="1788"/>
        <v>x</v>
      </c>
      <c r="S4201" s="16" t="str">
        <f t="shared" si="1788"/>
        <v>x</v>
      </c>
      <c r="U4201" s="46" t="str">
        <f t="shared" si="1789"/>
        <v/>
      </c>
      <c r="V4201" s="46">
        <f t="shared" si="1789"/>
        <v>1</v>
      </c>
      <c r="W4201" s="46" t="str">
        <f t="shared" si="1789"/>
        <v/>
      </c>
      <c r="X4201" s="46" t="str">
        <f t="shared" si="1789"/>
        <v/>
      </c>
    </row>
    <row r="4202" spans="2:24" x14ac:dyDescent="0.25">
      <c r="B4202" s="11" t="str">
        <f t="shared" si="1783"/>
        <v>MERI-15OCT1905</v>
      </c>
      <c r="C4202" s="11" t="s">
        <v>3117</v>
      </c>
      <c r="D4202" s="11" t="s">
        <v>2097</v>
      </c>
      <c r="E4202" s="39" t="s">
        <v>3467</v>
      </c>
      <c r="F4202" s="11" t="s">
        <v>3039</v>
      </c>
      <c r="G4202" s="39" t="s">
        <v>1415</v>
      </c>
      <c r="I4202" s="7">
        <v>0</v>
      </c>
      <c r="J4202" s="17">
        <v>8</v>
      </c>
      <c r="K4202" s="17"/>
      <c r="L4202" s="7">
        <f t="shared" si="1784"/>
        <v>8</v>
      </c>
      <c r="M4202" s="8">
        <v>1</v>
      </c>
      <c r="N4202" s="8">
        <f t="shared" si="1785"/>
        <v>1</v>
      </c>
      <c r="O4202" s="11" t="s">
        <v>1702</v>
      </c>
      <c r="P4202" s="16" t="str">
        <f t="shared" si="1786"/>
        <v>15-Oct-1905</v>
      </c>
      <c r="R4202" s="16" t="str">
        <f t="shared" si="1788"/>
        <v>x</v>
      </c>
      <c r="S4202" s="16" t="str">
        <f t="shared" si="1788"/>
        <v>x</v>
      </c>
      <c r="U4202" s="46" t="str">
        <f t="shared" si="1787"/>
        <v/>
      </c>
      <c r="V4202" s="46">
        <f t="shared" si="1787"/>
        <v>8</v>
      </c>
      <c r="W4202" s="46" t="str">
        <f t="shared" si="1787"/>
        <v/>
      </c>
      <c r="X4202" s="46" t="str">
        <f t="shared" si="1787"/>
        <v/>
      </c>
    </row>
    <row r="4203" spans="2:24" x14ac:dyDescent="0.25">
      <c r="B4203" s="11" t="str">
        <f t="shared" si="1783"/>
        <v>MERI-20NOV1905</v>
      </c>
      <c r="C4203" s="11" t="s">
        <v>3117</v>
      </c>
      <c r="D4203" s="11" t="s">
        <v>2097</v>
      </c>
      <c r="E4203" s="39" t="s">
        <v>3421</v>
      </c>
      <c r="F4203" s="11" t="s">
        <v>3039</v>
      </c>
      <c r="G4203" s="39" t="s">
        <v>3422</v>
      </c>
      <c r="I4203" s="7">
        <v>0</v>
      </c>
      <c r="J4203" s="17">
        <v>15</v>
      </c>
      <c r="K4203" s="17"/>
      <c r="L4203" s="7">
        <f t="shared" si="1784"/>
        <v>15</v>
      </c>
      <c r="M4203" s="8">
        <v>1</v>
      </c>
      <c r="N4203" s="8">
        <f t="shared" si="1785"/>
        <v>1</v>
      </c>
      <c r="O4203" s="11" t="s">
        <v>1702</v>
      </c>
      <c r="P4203" s="16" t="str">
        <f t="shared" si="1786"/>
        <v>20-Nov-1905</v>
      </c>
      <c r="R4203" s="16" t="str">
        <f t="shared" ref="R4203:S4220" si="1790">IF($L4203&gt;0,"x","")</f>
        <v>x</v>
      </c>
      <c r="S4203" s="16" t="str">
        <f t="shared" si="1790"/>
        <v>x</v>
      </c>
      <c r="U4203" s="46" t="str">
        <f t="shared" si="1787"/>
        <v/>
      </c>
      <c r="V4203" s="46">
        <f t="shared" si="1787"/>
        <v>15</v>
      </c>
      <c r="W4203" s="46" t="str">
        <f t="shared" si="1787"/>
        <v/>
      </c>
      <c r="X4203" s="46" t="str">
        <f t="shared" si="1787"/>
        <v/>
      </c>
    </row>
    <row r="4204" spans="2:24" x14ac:dyDescent="0.25">
      <c r="B4204" s="11" t="str">
        <f>CONCATENATE("MERI","-",LEFT(P4204,2),UPPER(MID(P4204,4,3)),RIGHT(P4204,4))</f>
        <v>MERI-25DEC1905</v>
      </c>
      <c r="C4204" s="11" t="s">
        <v>3117</v>
      </c>
      <c r="D4204" s="11" t="s">
        <v>2097</v>
      </c>
      <c r="E4204" s="39" t="s">
        <v>5689</v>
      </c>
      <c r="F4204" s="11" t="s">
        <v>3039</v>
      </c>
      <c r="G4204" s="39" t="s">
        <v>5690</v>
      </c>
      <c r="I4204" s="7">
        <v>0</v>
      </c>
      <c r="J4204" s="17">
        <v>2</v>
      </c>
      <c r="K4204" s="17"/>
      <c r="L4204" s="7">
        <f t="shared" si="1784"/>
        <v>2</v>
      </c>
      <c r="M4204" s="8">
        <v>1</v>
      </c>
      <c r="N4204" s="8">
        <f>IF(L4204&gt;0,1,"")</f>
        <v>1</v>
      </c>
      <c r="O4204" s="11" t="s">
        <v>1702</v>
      </c>
      <c r="P4204" s="16" t="str">
        <f>IF(LEN(G4204)=10,CONCATENATE("0",G4204),G4204)</f>
        <v>25-Dec-1905</v>
      </c>
      <c r="R4204" s="16" t="str">
        <f t="shared" si="1790"/>
        <v>x</v>
      </c>
      <c r="S4204" s="16" t="str">
        <f t="shared" si="1790"/>
        <v>x</v>
      </c>
      <c r="U4204" s="46" t="str">
        <f>IF($O4204=U$5,$L4204,"")</f>
        <v/>
      </c>
      <c r="V4204" s="46">
        <f>IF($O4204=V$5,$L4204,"")</f>
        <v>2</v>
      </c>
      <c r="W4204" s="46" t="str">
        <f>IF($O4204=W$5,$L4204,"")</f>
        <v/>
      </c>
      <c r="X4204" s="46" t="str">
        <f>IF($O4204=X$5,$L4204,"")</f>
        <v/>
      </c>
    </row>
    <row r="4205" spans="2:24" x14ac:dyDescent="0.25">
      <c r="B4205" s="11" t="str">
        <f t="shared" si="1783"/>
        <v>MERI-22JUL1906</v>
      </c>
      <c r="C4205" s="11" t="s">
        <v>3117</v>
      </c>
      <c r="D4205" s="11" t="s">
        <v>2097</v>
      </c>
      <c r="E4205" s="39" t="s">
        <v>4355</v>
      </c>
      <c r="F4205" s="11" t="s">
        <v>3039</v>
      </c>
      <c r="G4205" s="39" t="s">
        <v>2708</v>
      </c>
      <c r="I4205" s="7">
        <v>0</v>
      </c>
      <c r="J4205" s="17">
        <v>7</v>
      </c>
      <c r="K4205" s="17"/>
      <c r="L4205" s="7">
        <f t="shared" si="1784"/>
        <v>7</v>
      </c>
      <c r="M4205" s="8">
        <v>1</v>
      </c>
      <c r="N4205" s="8">
        <f t="shared" si="1785"/>
        <v>1</v>
      </c>
      <c r="O4205" s="11" t="s">
        <v>1702</v>
      </c>
      <c r="P4205" s="16" t="str">
        <f t="shared" si="1786"/>
        <v>22-Jul-1906</v>
      </c>
      <c r="R4205" s="16" t="str">
        <f t="shared" si="1790"/>
        <v>x</v>
      </c>
      <c r="S4205" s="16" t="str">
        <f t="shared" si="1790"/>
        <v>x</v>
      </c>
      <c r="U4205" s="46" t="str">
        <f t="shared" si="1787"/>
        <v/>
      </c>
      <c r="V4205" s="46">
        <f t="shared" si="1787"/>
        <v>7</v>
      </c>
      <c r="W4205" s="46" t="str">
        <f t="shared" si="1787"/>
        <v/>
      </c>
      <c r="X4205" s="46" t="str">
        <f t="shared" si="1787"/>
        <v/>
      </c>
    </row>
    <row r="4206" spans="2:24" x14ac:dyDescent="0.25">
      <c r="B4206" s="11" t="str">
        <f t="shared" si="1783"/>
        <v>MERI-11AUG1907</v>
      </c>
      <c r="C4206" s="11" t="s">
        <v>3117</v>
      </c>
      <c r="D4206" s="11" t="s">
        <v>2097</v>
      </c>
      <c r="E4206" s="39" t="s">
        <v>5066</v>
      </c>
      <c r="F4206" s="11" t="s">
        <v>3039</v>
      </c>
      <c r="G4206" s="39" t="s">
        <v>5067</v>
      </c>
      <c r="I4206" s="7">
        <v>0</v>
      </c>
      <c r="J4206" s="17">
        <v>14</v>
      </c>
      <c r="K4206" s="17"/>
      <c r="L4206" s="7">
        <f t="shared" si="1784"/>
        <v>14</v>
      </c>
      <c r="M4206" s="8">
        <v>1</v>
      </c>
      <c r="N4206" s="8">
        <f t="shared" si="1785"/>
        <v>1</v>
      </c>
      <c r="O4206" s="11" t="s">
        <v>1702</v>
      </c>
      <c r="P4206" s="16" t="str">
        <f t="shared" si="1786"/>
        <v>11-Aug-1907</v>
      </c>
      <c r="R4206" s="16" t="str">
        <f t="shared" ref="R4206:S4209" si="1791">IF($L4206&gt;0,"x","")</f>
        <v>x</v>
      </c>
      <c r="S4206" s="16" t="str">
        <f t="shared" si="1791"/>
        <v>x</v>
      </c>
      <c r="U4206" s="46" t="str">
        <f t="shared" ref="U4206:X4209" si="1792">IF($O4206=U$5,$L4206,"")</f>
        <v/>
      </c>
      <c r="V4206" s="46">
        <f t="shared" si="1792"/>
        <v>14</v>
      </c>
      <c r="W4206" s="46" t="str">
        <f t="shared" si="1792"/>
        <v/>
      </c>
      <c r="X4206" s="46" t="str">
        <f t="shared" si="1792"/>
        <v/>
      </c>
    </row>
    <row r="4207" spans="2:24" x14ac:dyDescent="0.25">
      <c r="B4207" s="11" t="str">
        <f t="shared" si="1783"/>
        <v>MERI-11JAN1909</v>
      </c>
      <c r="C4207" s="11" t="s">
        <v>3117</v>
      </c>
      <c r="D4207" s="11" t="s">
        <v>2097</v>
      </c>
      <c r="E4207" s="39" t="s">
        <v>5387</v>
      </c>
      <c r="F4207" s="11" t="s">
        <v>2922</v>
      </c>
      <c r="G4207" s="39" t="s">
        <v>850</v>
      </c>
      <c r="I4207" s="7">
        <v>0</v>
      </c>
      <c r="J4207" s="17">
        <v>17</v>
      </c>
      <c r="K4207" s="17"/>
      <c r="L4207" s="7">
        <f t="shared" si="1784"/>
        <v>17</v>
      </c>
      <c r="M4207" s="8">
        <v>1</v>
      </c>
      <c r="N4207" s="8">
        <f t="shared" si="1785"/>
        <v>1</v>
      </c>
      <c r="O4207" s="11" t="s">
        <v>1702</v>
      </c>
      <c r="P4207" s="16" t="str">
        <f t="shared" si="1786"/>
        <v>11-Jan-1909</v>
      </c>
      <c r="R4207" s="16" t="str">
        <f t="shared" si="1791"/>
        <v>x</v>
      </c>
      <c r="S4207" s="16" t="str">
        <f t="shared" si="1791"/>
        <v>x</v>
      </c>
      <c r="U4207" s="46" t="str">
        <f t="shared" si="1792"/>
        <v/>
      </c>
      <c r="V4207" s="46">
        <f t="shared" si="1792"/>
        <v>17</v>
      </c>
      <c r="W4207" s="46" t="str">
        <f t="shared" si="1792"/>
        <v/>
      </c>
      <c r="X4207" s="46" t="str">
        <f t="shared" si="1792"/>
        <v/>
      </c>
    </row>
    <row r="4208" spans="2:24" x14ac:dyDescent="0.25">
      <c r="B4208" s="11" t="str">
        <f>CONCATENATE("MERI","-",LEFT(P4208,2),UPPER(MID(P4208,4,3)),RIGHT(P4208,4))</f>
        <v>MERI-02FEB1911</v>
      </c>
      <c r="C4208" s="11" t="s">
        <v>3117</v>
      </c>
      <c r="D4208" s="11" t="s">
        <v>2097</v>
      </c>
      <c r="E4208" s="39" t="s">
        <v>5076</v>
      </c>
      <c r="F4208" s="11" t="s">
        <v>3039</v>
      </c>
      <c r="G4208" s="39" t="s">
        <v>955</v>
      </c>
      <c r="I4208" s="7">
        <v>2</v>
      </c>
      <c r="J4208" s="17">
        <v>3</v>
      </c>
      <c r="K4208" s="17"/>
      <c r="L4208" s="7">
        <f>SUM(H4208:K4208)</f>
        <v>5</v>
      </c>
      <c r="M4208" s="8">
        <v>1</v>
      </c>
      <c r="N4208" s="8">
        <f>IF(L4208&gt;0,1,"")</f>
        <v>1</v>
      </c>
      <c r="O4208" s="11" t="s">
        <v>1702</v>
      </c>
      <c r="P4208" s="16" t="str">
        <f>IF(LEN(G4208)=10,CONCATENATE("0",G4208),G4208)</f>
        <v>02-Feb-1911</v>
      </c>
      <c r="R4208" s="16" t="str">
        <f t="shared" si="1791"/>
        <v>x</v>
      </c>
      <c r="S4208" s="16" t="str">
        <f t="shared" si="1791"/>
        <v>x</v>
      </c>
      <c r="U4208" s="46" t="str">
        <f t="shared" si="1792"/>
        <v/>
      </c>
      <c r="V4208" s="46">
        <f t="shared" si="1792"/>
        <v>5</v>
      </c>
      <c r="W4208" s="46" t="str">
        <f t="shared" si="1792"/>
        <v/>
      </c>
      <c r="X4208" s="46" t="str">
        <f t="shared" si="1792"/>
        <v/>
      </c>
    </row>
    <row r="4209" spans="2:24" x14ac:dyDescent="0.25">
      <c r="B4209" s="11" t="str">
        <f>CONCATENATE("MERI","-",LEFT(P4209,2),UPPER(MID(P4209,4,3)),RIGHT(P4209,4))</f>
        <v>MERI-15MAY1911</v>
      </c>
      <c r="C4209" s="11" t="s">
        <v>3117</v>
      </c>
      <c r="D4209" s="11" t="s">
        <v>2097</v>
      </c>
      <c r="E4209" s="39" t="s">
        <v>4814</v>
      </c>
      <c r="F4209" s="11" t="s">
        <v>3039</v>
      </c>
      <c r="G4209" s="39" t="s">
        <v>1878</v>
      </c>
      <c r="I4209" s="7">
        <v>0</v>
      </c>
      <c r="J4209" s="17">
        <v>4</v>
      </c>
      <c r="K4209" s="17"/>
      <c r="L4209" s="7">
        <f>SUM(H4209:K4209)</f>
        <v>4</v>
      </c>
      <c r="M4209" s="8">
        <v>1</v>
      </c>
      <c r="N4209" s="8">
        <f>IF(L4209&gt;0,1,"")</f>
        <v>1</v>
      </c>
      <c r="O4209" s="11" t="s">
        <v>1702</v>
      </c>
      <c r="P4209" s="16" t="str">
        <f>IF(LEN(G4209)=10,CONCATENATE("0",G4209),G4209)</f>
        <v>15-May-1911</v>
      </c>
      <c r="R4209" s="16" t="str">
        <f t="shared" si="1791"/>
        <v>x</v>
      </c>
      <c r="S4209" s="16" t="str">
        <f t="shared" si="1791"/>
        <v>x</v>
      </c>
      <c r="U4209" s="46" t="str">
        <f t="shared" si="1792"/>
        <v/>
      </c>
      <c r="V4209" s="46">
        <f t="shared" si="1792"/>
        <v>4</v>
      </c>
      <c r="W4209" s="46" t="str">
        <f t="shared" si="1792"/>
        <v/>
      </c>
      <c r="X4209" s="46" t="str">
        <f t="shared" si="1792"/>
        <v/>
      </c>
    </row>
    <row r="4210" spans="2:24" x14ac:dyDescent="0.25">
      <c r="B4210" s="11" t="str">
        <f t="shared" si="1783"/>
        <v>MERI-19JUN1911</v>
      </c>
      <c r="C4210" s="11" t="s">
        <v>3117</v>
      </c>
      <c r="D4210" s="11" t="s">
        <v>2097</v>
      </c>
      <c r="E4210" s="39" t="s">
        <v>884</v>
      </c>
      <c r="F4210" s="11" t="s">
        <v>3039</v>
      </c>
      <c r="G4210" s="39" t="s">
        <v>3767</v>
      </c>
      <c r="I4210" s="7">
        <v>1</v>
      </c>
      <c r="J4210" s="17">
        <v>13</v>
      </c>
      <c r="K4210" s="17"/>
      <c r="L4210" s="7">
        <f t="shared" si="1784"/>
        <v>14</v>
      </c>
      <c r="M4210" s="8">
        <v>1</v>
      </c>
      <c r="N4210" s="8">
        <f t="shared" si="1785"/>
        <v>1</v>
      </c>
      <c r="O4210" s="11" t="s">
        <v>1702</v>
      </c>
      <c r="P4210" s="16" t="str">
        <f t="shared" si="1786"/>
        <v>19-Jun-1911</v>
      </c>
      <c r="R4210" s="16" t="str">
        <f t="shared" si="1790"/>
        <v>x</v>
      </c>
      <c r="S4210" s="16" t="str">
        <f t="shared" si="1790"/>
        <v>x</v>
      </c>
      <c r="U4210" s="46" t="str">
        <f t="shared" si="1787"/>
        <v/>
      </c>
      <c r="V4210" s="46">
        <f t="shared" si="1787"/>
        <v>14</v>
      </c>
      <c r="W4210" s="46" t="str">
        <f t="shared" si="1787"/>
        <v/>
      </c>
      <c r="X4210" s="46" t="str">
        <f t="shared" si="1787"/>
        <v/>
      </c>
    </row>
    <row r="4211" spans="2:24" x14ac:dyDescent="0.25">
      <c r="B4211" s="11" t="str">
        <f>CONCATENATE("MERI","-",LEFT(P4211,2),UPPER(MID(P4211,4,3)),RIGHT(P4211,4))</f>
        <v>MERI-07NOV1911</v>
      </c>
      <c r="C4211" s="11" t="s">
        <v>3117</v>
      </c>
      <c r="D4211" s="11" t="s">
        <v>2097</v>
      </c>
      <c r="E4211" s="39" t="s">
        <v>11509</v>
      </c>
      <c r="F4211" s="11" t="s">
        <v>3039</v>
      </c>
      <c r="G4211" s="39" t="s">
        <v>11510</v>
      </c>
      <c r="I4211" s="7">
        <v>5</v>
      </c>
      <c r="J4211" s="17">
        <v>24</v>
      </c>
      <c r="K4211" s="17"/>
      <c r="L4211" s="7">
        <f>SUM(H4211:K4211)</f>
        <v>29</v>
      </c>
      <c r="M4211" s="8">
        <v>1</v>
      </c>
      <c r="N4211" s="8">
        <f>IF(L4211&gt;0,1,"")</f>
        <v>1</v>
      </c>
      <c r="O4211" s="11" t="s">
        <v>1702</v>
      </c>
      <c r="P4211" s="16" t="str">
        <f>IF(LEN(G4211)=10,CONCATENATE("0",G4211),G4211)</f>
        <v>07-Nov-1911</v>
      </c>
      <c r="R4211" s="16" t="str">
        <f t="shared" si="1790"/>
        <v>x</v>
      </c>
      <c r="S4211" s="80"/>
      <c r="U4211" s="46" t="str">
        <f>IF($O4211=U$5,$L4211,"")</f>
        <v/>
      </c>
      <c r="V4211" s="46">
        <f>IF($O4211=V$5,$L4211,"")</f>
        <v>29</v>
      </c>
      <c r="W4211" s="46" t="str">
        <f>IF($O4211=W$5,$L4211,"")</f>
        <v/>
      </c>
      <c r="X4211" s="46" t="str">
        <f>IF($O4211=X$5,$L4211,"")</f>
        <v/>
      </c>
    </row>
    <row r="4212" spans="2:24" x14ac:dyDescent="0.25">
      <c r="B4212" s="11" t="str">
        <f t="shared" si="1783"/>
        <v>MERI-20DEC1911</v>
      </c>
      <c r="C4212" s="11" t="s">
        <v>3117</v>
      </c>
      <c r="D4212" s="11" t="s">
        <v>2097</v>
      </c>
      <c r="E4212" s="39" t="s">
        <v>3736</v>
      </c>
      <c r="F4212" s="11" t="s">
        <v>3039</v>
      </c>
      <c r="G4212" s="39" t="s">
        <v>2499</v>
      </c>
      <c r="I4212" s="7">
        <v>2</v>
      </c>
      <c r="J4212" s="17">
        <v>29</v>
      </c>
      <c r="K4212" s="17"/>
      <c r="L4212" s="7">
        <f t="shared" si="1784"/>
        <v>31</v>
      </c>
      <c r="M4212" s="8">
        <v>1</v>
      </c>
      <c r="N4212" s="8">
        <f t="shared" si="1785"/>
        <v>1</v>
      </c>
      <c r="O4212" s="11" t="s">
        <v>1702</v>
      </c>
      <c r="P4212" s="16" t="str">
        <f t="shared" si="1786"/>
        <v>20-Dec-1911</v>
      </c>
      <c r="R4212" s="16" t="str">
        <f t="shared" si="1790"/>
        <v>x</v>
      </c>
      <c r="S4212" s="16" t="str">
        <f t="shared" si="1790"/>
        <v>x</v>
      </c>
      <c r="U4212" s="46" t="str">
        <f t="shared" si="1787"/>
        <v/>
      </c>
      <c r="V4212" s="46">
        <f t="shared" si="1787"/>
        <v>31</v>
      </c>
      <c r="W4212" s="46" t="str">
        <f t="shared" si="1787"/>
        <v/>
      </c>
      <c r="X4212" s="46" t="str">
        <f t="shared" si="1787"/>
        <v/>
      </c>
    </row>
    <row r="4213" spans="2:24" x14ac:dyDescent="0.25">
      <c r="B4213" s="11" t="str">
        <f t="shared" si="1783"/>
        <v>MERI-14MAY1912</v>
      </c>
      <c r="C4213" s="11" t="s">
        <v>3117</v>
      </c>
      <c r="D4213" s="11" t="s">
        <v>2097</v>
      </c>
      <c r="E4213" s="39" t="s">
        <v>4538</v>
      </c>
      <c r="F4213" s="11" t="s">
        <v>3039</v>
      </c>
      <c r="G4213" s="39" t="s">
        <v>1899</v>
      </c>
      <c r="I4213" s="7">
        <v>3</v>
      </c>
      <c r="J4213" s="17">
        <v>55</v>
      </c>
      <c r="K4213" s="17"/>
      <c r="L4213" s="7">
        <f t="shared" si="1784"/>
        <v>58</v>
      </c>
      <c r="M4213" s="8">
        <v>1</v>
      </c>
      <c r="N4213" s="8">
        <f t="shared" si="1785"/>
        <v>1</v>
      </c>
      <c r="O4213" s="11" t="s">
        <v>1702</v>
      </c>
      <c r="P4213" s="16" t="str">
        <f t="shared" si="1786"/>
        <v>14-May-1912</v>
      </c>
      <c r="R4213" s="16" t="str">
        <f t="shared" si="1790"/>
        <v>x</v>
      </c>
      <c r="S4213" s="16" t="str">
        <f t="shared" si="1790"/>
        <v>x</v>
      </c>
      <c r="U4213" s="46" t="str">
        <f>IF($O4213=U$5,$L4213,"")</f>
        <v/>
      </c>
      <c r="V4213" s="46">
        <f>IF($O4213=V$5,$L4213,"")</f>
        <v>58</v>
      </c>
      <c r="W4213" s="46" t="str">
        <f>IF($O4213=W$5,$L4213,"")</f>
        <v/>
      </c>
      <c r="X4213" s="46" t="str">
        <f>IF($O4213=X$5,$L4213,"")</f>
        <v/>
      </c>
    </row>
    <row r="4214" spans="2:24" x14ac:dyDescent="0.25">
      <c r="B4214" s="11" t="str">
        <f t="shared" si="1783"/>
        <v>MERI-17JUN1912</v>
      </c>
      <c r="C4214" s="11" t="s">
        <v>3117</v>
      </c>
      <c r="D4214" s="11" t="s">
        <v>2097</v>
      </c>
      <c r="E4214" s="39" t="s">
        <v>2515</v>
      </c>
      <c r="F4214" s="11" t="s">
        <v>3039</v>
      </c>
      <c r="G4214" s="39" t="s">
        <v>848</v>
      </c>
      <c r="I4214" s="7">
        <v>6</v>
      </c>
      <c r="J4214" s="17">
        <v>20</v>
      </c>
      <c r="K4214" s="17"/>
      <c r="L4214" s="7">
        <f t="shared" si="1784"/>
        <v>26</v>
      </c>
      <c r="M4214" s="8">
        <v>1</v>
      </c>
      <c r="N4214" s="8">
        <f t="shared" si="1785"/>
        <v>1</v>
      </c>
      <c r="O4214" s="11" t="s">
        <v>1702</v>
      </c>
      <c r="P4214" s="16" t="str">
        <f t="shared" si="1786"/>
        <v>17-Jun-1912</v>
      </c>
      <c r="R4214" s="16" t="str">
        <f>IF($L4214&gt;0,"x","")</f>
        <v>x</v>
      </c>
      <c r="S4214" s="16" t="str">
        <f>IF($L4214&gt;0,"x","")</f>
        <v>x</v>
      </c>
      <c r="U4214" s="46" t="str">
        <f t="shared" ref="U4214:X4215" si="1793">IF($O4214=U$5,$L4214,"")</f>
        <v/>
      </c>
      <c r="V4214" s="46">
        <f t="shared" si="1793"/>
        <v>26</v>
      </c>
      <c r="W4214" s="46" t="str">
        <f t="shared" si="1793"/>
        <v/>
      </c>
      <c r="X4214" s="46" t="str">
        <f t="shared" si="1793"/>
        <v/>
      </c>
    </row>
    <row r="4215" spans="2:24" x14ac:dyDescent="0.25">
      <c r="B4215" s="11" t="str">
        <f t="shared" si="1783"/>
        <v>MERI-21JUL1912</v>
      </c>
      <c r="C4215" s="11" t="s">
        <v>3117</v>
      </c>
      <c r="D4215" s="11" t="s">
        <v>2097</v>
      </c>
      <c r="E4215" s="39" t="s">
        <v>3246</v>
      </c>
      <c r="F4215" s="11" t="s">
        <v>3039</v>
      </c>
      <c r="G4215" s="39" t="s">
        <v>3711</v>
      </c>
      <c r="I4215" s="7">
        <v>12</v>
      </c>
      <c r="J4215" s="17">
        <v>41</v>
      </c>
      <c r="K4215" s="17"/>
      <c r="L4215" s="7">
        <f t="shared" si="1784"/>
        <v>53</v>
      </c>
      <c r="M4215" s="8">
        <v>1</v>
      </c>
      <c r="N4215" s="8">
        <f t="shared" si="1785"/>
        <v>1</v>
      </c>
      <c r="O4215" s="11" t="s">
        <v>1702</v>
      </c>
      <c r="P4215" s="16" t="str">
        <f t="shared" si="1786"/>
        <v>21-Jul-1912</v>
      </c>
      <c r="R4215" s="16" t="str">
        <f t="shared" si="1790"/>
        <v>x</v>
      </c>
      <c r="S4215" s="16" t="str">
        <f t="shared" si="1790"/>
        <v>x</v>
      </c>
      <c r="U4215" s="46" t="str">
        <f t="shared" si="1793"/>
        <v/>
      </c>
      <c r="V4215" s="46">
        <f t="shared" si="1793"/>
        <v>53</v>
      </c>
      <c r="W4215" s="46" t="str">
        <f t="shared" si="1793"/>
        <v/>
      </c>
      <c r="X4215" s="46" t="str">
        <f t="shared" si="1793"/>
        <v/>
      </c>
    </row>
    <row r="4216" spans="2:24" x14ac:dyDescent="0.25">
      <c r="B4216" s="11" t="str">
        <f t="shared" si="1783"/>
        <v>MERI-26AUG1912</v>
      </c>
      <c r="C4216" s="11" t="s">
        <v>3117</v>
      </c>
      <c r="D4216" s="11" t="s">
        <v>2097</v>
      </c>
      <c r="E4216" s="39" t="s">
        <v>3099</v>
      </c>
      <c r="F4216" s="11" t="s">
        <v>3039</v>
      </c>
      <c r="G4216" s="39" t="s">
        <v>3972</v>
      </c>
      <c r="I4216" s="7">
        <v>0</v>
      </c>
      <c r="J4216" s="17">
        <v>33</v>
      </c>
      <c r="K4216" s="17"/>
      <c r="L4216" s="7">
        <f t="shared" si="1784"/>
        <v>33</v>
      </c>
      <c r="M4216" s="8">
        <v>1</v>
      </c>
      <c r="N4216" s="8">
        <f t="shared" si="1785"/>
        <v>1</v>
      </c>
      <c r="O4216" s="11" t="s">
        <v>1702</v>
      </c>
      <c r="P4216" s="16" t="str">
        <f t="shared" si="1786"/>
        <v>26-Aug-1912</v>
      </c>
      <c r="R4216" s="16" t="str">
        <f t="shared" si="1790"/>
        <v>x</v>
      </c>
      <c r="S4216" s="16" t="str">
        <f t="shared" si="1790"/>
        <v>x</v>
      </c>
      <c r="U4216" s="46" t="str">
        <f t="shared" si="1787"/>
        <v/>
      </c>
      <c r="V4216" s="46">
        <f t="shared" si="1787"/>
        <v>33</v>
      </c>
      <c r="W4216" s="46" t="str">
        <f t="shared" si="1787"/>
        <v/>
      </c>
      <c r="X4216" s="46" t="str">
        <f t="shared" si="1787"/>
        <v/>
      </c>
    </row>
    <row r="4217" spans="2:24" x14ac:dyDescent="0.25">
      <c r="B4217" s="11" t="str">
        <f t="shared" si="1783"/>
        <v>MERI-30SEP1912</v>
      </c>
      <c r="C4217" s="11" t="s">
        <v>3117</v>
      </c>
      <c r="D4217" s="11" t="s">
        <v>2097</v>
      </c>
      <c r="E4217" s="39" t="s">
        <v>2520</v>
      </c>
      <c r="F4217" s="11" t="s">
        <v>3039</v>
      </c>
      <c r="G4217" s="39" t="s">
        <v>3646</v>
      </c>
      <c r="I4217" s="7">
        <v>0</v>
      </c>
      <c r="J4217" s="17">
        <v>24</v>
      </c>
      <c r="K4217" s="17"/>
      <c r="L4217" s="7">
        <f t="shared" si="1784"/>
        <v>24</v>
      </c>
      <c r="M4217" s="8">
        <v>1</v>
      </c>
      <c r="N4217" s="8">
        <f t="shared" si="1785"/>
        <v>1</v>
      </c>
      <c r="O4217" s="11" t="s">
        <v>1702</v>
      </c>
      <c r="P4217" s="16" t="str">
        <f t="shared" si="1786"/>
        <v>30-Sep-1912</v>
      </c>
      <c r="R4217" s="16" t="str">
        <f>IF($L4217&gt;0,"x","")</f>
        <v>x</v>
      </c>
      <c r="S4217" s="16" t="str">
        <f>IF($L4217&gt;0,"x","")</f>
        <v>x</v>
      </c>
      <c r="U4217" s="46" t="str">
        <f t="shared" ref="U4217:X4218" si="1794">IF($O4217=U$5,$L4217,"")</f>
        <v/>
      </c>
      <c r="V4217" s="46">
        <f t="shared" si="1794"/>
        <v>24</v>
      </c>
      <c r="W4217" s="46" t="str">
        <f t="shared" si="1794"/>
        <v/>
      </c>
      <c r="X4217" s="46" t="str">
        <f t="shared" si="1794"/>
        <v/>
      </c>
    </row>
    <row r="4218" spans="2:24" x14ac:dyDescent="0.25">
      <c r="B4218" s="11" t="str">
        <f t="shared" si="1783"/>
        <v>MERI-04NOV1912</v>
      </c>
      <c r="C4218" s="11" t="s">
        <v>3117</v>
      </c>
      <c r="D4218" s="11" t="s">
        <v>2097</v>
      </c>
      <c r="E4218" s="39" t="s">
        <v>3861</v>
      </c>
      <c r="F4218" s="11" t="s">
        <v>3039</v>
      </c>
      <c r="G4218" s="39" t="s">
        <v>1324</v>
      </c>
      <c r="I4218" s="7">
        <v>5</v>
      </c>
      <c r="J4218" s="17">
        <v>29</v>
      </c>
      <c r="K4218" s="17"/>
      <c r="L4218" s="7">
        <f t="shared" si="1784"/>
        <v>34</v>
      </c>
      <c r="M4218" s="8">
        <v>1</v>
      </c>
      <c r="N4218" s="8">
        <f t="shared" si="1785"/>
        <v>1</v>
      </c>
      <c r="O4218" s="11" t="s">
        <v>1702</v>
      </c>
      <c r="P4218" s="16" t="str">
        <f t="shared" si="1786"/>
        <v>04-Nov-1912</v>
      </c>
      <c r="R4218" s="16" t="str">
        <f>IF($L4218&gt;0,"x","")</f>
        <v>x</v>
      </c>
      <c r="S4218" s="16" t="str">
        <f>IF($L4218&gt;0,"x","")</f>
        <v>x</v>
      </c>
      <c r="U4218" s="46" t="str">
        <f t="shared" si="1794"/>
        <v/>
      </c>
      <c r="V4218" s="46">
        <f t="shared" si="1794"/>
        <v>34</v>
      </c>
      <c r="W4218" s="46" t="str">
        <f t="shared" si="1794"/>
        <v/>
      </c>
      <c r="X4218" s="46" t="str">
        <f t="shared" si="1794"/>
        <v/>
      </c>
    </row>
    <row r="4219" spans="2:24" x14ac:dyDescent="0.25">
      <c r="B4219" s="11" t="str">
        <f t="shared" si="1783"/>
        <v>MERI-19DEC1912</v>
      </c>
      <c r="C4219" s="11" t="s">
        <v>3117</v>
      </c>
      <c r="D4219" s="11" t="s">
        <v>2097</v>
      </c>
      <c r="E4219" s="39" t="s">
        <v>3706</v>
      </c>
      <c r="F4219" s="11" t="s">
        <v>3039</v>
      </c>
      <c r="G4219" s="39" t="s">
        <v>3705</v>
      </c>
      <c r="I4219" s="7">
        <v>5</v>
      </c>
      <c r="J4219" s="17">
        <v>49</v>
      </c>
      <c r="K4219" s="17"/>
      <c r="L4219" s="7">
        <f t="shared" si="1784"/>
        <v>54</v>
      </c>
      <c r="M4219" s="8">
        <v>1</v>
      </c>
      <c r="N4219" s="8">
        <f t="shared" si="1785"/>
        <v>1</v>
      </c>
      <c r="O4219" s="11" t="s">
        <v>1702</v>
      </c>
      <c r="P4219" s="16" t="str">
        <f t="shared" si="1786"/>
        <v>19-Dec-1912</v>
      </c>
      <c r="R4219" s="16" t="str">
        <f t="shared" si="1790"/>
        <v>x</v>
      </c>
      <c r="S4219" s="16" t="str">
        <f t="shared" si="1790"/>
        <v>x</v>
      </c>
      <c r="U4219" s="46" t="str">
        <f t="shared" si="1787"/>
        <v/>
      </c>
      <c r="V4219" s="46">
        <f t="shared" si="1787"/>
        <v>54</v>
      </c>
      <c r="W4219" s="46" t="str">
        <f t="shared" si="1787"/>
        <v/>
      </c>
      <c r="X4219" s="46" t="str">
        <f t="shared" si="1787"/>
        <v/>
      </c>
    </row>
    <row r="4220" spans="2:24" x14ac:dyDescent="0.25">
      <c r="B4220" s="11" t="str">
        <f t="shared" si="1783"/>
        <v>MERI-26APR1913</v>
      </c>
      <c r="C4220" s="11" t="s">
        <v>3117</v>
      </c>
      <c r="D4220" s="11" t="s">
        <v>2097</v>
      </c>
      <c r="E4220" s="39" t="s">
        <v>1010</v>
      </c>
      <c r="F4220" s="11" t="s">
        <v>3039</v>
      </c>
      <c r="G4220" s="39" t="s">
        <v>2361</v>
      </c>
      <c r="I4220" s="7">
        <v>0</v>
      </c>
      <c r="J4220" s="17">
        <v>23</v>
      </c>
      <c r="K4220" s="17"/>
      <c r="L4220" s="7">
        <f t="shared" si="1784"/>
        <v>23</v>
      </c>
      <c r="M4220" s="8">
        <v>1</v>
      </c>
      <c r="N4220" s="8">
        <f t="shared" si="1785"/>
        <v>1</v>
      </c>
      <c r="O4220" s="11" t="s">
        <v>1702</v>
      </c>
      <c r="P4220" s="16" t="str">
        <f t="shared" si="1786"/>
        <v>26-Apr-1913</v>
      </c>
      <c r="R4220" s="16" t="str">
        <f t="shared" si="1790"/>
        <v>x</v>
      </c>
      <c r="S4220" s="16" t="str">
        <f t="shared" si="1790"/>
        <v>x</v>
      </c>
      <c r="U4220" s="46" t="str">
        <f t="shared" si="1787"/>
        <v/>
      </c>
      <c r="V4220" s="46">
        <f t="shared" si="1787"/>
        <v>23</v>
      </c>
      <c r="W4220" s="46" t="str">
        <f t="shared" si="1787"/>
        <v/>
      </c>
      <c r="X4220" s="46" t="str">
        <f t="shared" si="1787"/>
        <v/>
      </c>
    </row>
    <row r="4221" spans="2:24" x14ac:dyDescent="0.25">
      <c r="B4221" s="11" t="str">
        <f t="shared" si="1783"/>
        <v>MERI-27MAY1913</v>
      </c>
      <c r="C4221" s="11" t="s">
        <v>3117</v>
      </c>
      <c r="D4221" s="11" t="s">
        <v>2097</v>
      </c>
      <c r="E4221" s="39" t="s">
        <v>2534</v>
      </c>
      <c r="F4221" s="11" t="s">
        <v>3039</v>
      </c>
      <c r="G4221" s="39" t="s">
        <v>1332</v>
      </c>
      <c r="I4221" s="7">
        <v>0</v>
      </c>
      <c r="J4221" s="17">
        <v>30</v>
      </c>
      <c r="K4221" s="17"/>
      <c r="L4221" s="7">
        <f t="shared" si="1784"/>
        <v>30</v>
      </c>
      <c r="M4221" s="8">
        <v>1</v>
      </c>
      <c r="N4221" s="8">
        <f t="shared" si="1785"/>
        <v>1</v>
      </c>
      <c r="O4221" s="11" t="s">
        <v>1702</v>
      </c>
      <c r="P4221" s="16" t="str">
        <f t="shared" si="1786"/>
        <v>27-May-1913</v>
      </c>
      <c r="R4221" s="16" t="str">
        <f t="shared" ref="R4221:S4231" si="1795">IF($L4221&gt;0,"x","")</f>
        <v>x</v>
      </c>
      <c r="S4221" s="16" t="str">
        <f t="shared" si="1795"/>
        <v>x</v>
      </c>
      <c r="U4221" s="46" t="str">
        <f t="shared" si="1787"/>
        <v/>
      </c>
      <c r="V4221" s="46">
        <f t="shared" si="1787"/>
        <v>30</v>
      </c>
      <c r="W4221" s="46" t="str">
        <f t="shared" si="1787"/>
        <v/>
      </c>
      <c r="X4221" s="46" t="str">
        <f t="shared" si="1787"/>
        <v/>
      </c>
    </row>
    <row r="4222" spans="2:24" x14ac:dyDescent="0.25">
      <c r="B4222" s="11" t="str">
        <f t="shared" si="1783"/>
        <v>MERI-30JUN1913</v>
      </c>
      <c r="C4222" s="11" t="s">
        <v>3117</v>
      </c>
      <c r="D4222" s="11" t="s">
        <v>2097</v>
      </c>
      <c r="E4222" s="39" t="s">
        <v>4289</v>
      </c>
      <c r="F4222" s="11" t="s">
        <v>3039</v>
      </c>
      <c r="G4222" s="39" t="s">
        <v>1333</v>
      </c>
      <c r="I4222" s="7">
        <v>1</v>
      </c>
      <c r="J4222" s="17">
        <v>43</v>
      </c>
      <c r="K4222" s="17"/>
      <c r="L4222" s="7">
        <f t="shared" si="1784"/>
        <v>44</v>
      </c>
      <c r="M4222" s="8">
        <v>1</v>
      </c>
      <c r="N4222" s="8">
        <f t="shared" si="1785"/>
        <v>1</v>
      </c>
      <c r="O4222" s="11" t="s">
        <v>1702</v>
      </c>
      <c r="P4222" s="16" t="str">
        <f t="shared" si="1786"/>
        <v>30-Jun-1913</v>
      </c>
      <c r="R4222" s="16" t="str">
        <f>IF($L4222&gt;0,"x","")</f>
        <v>x</v>
      </c>
      <c r="S4222" s="16" t="str">
        <f>IF($L4222&gt;0,"x","")</f>
        <v>x</v>
      </c>
      <c r="U4222" s="46" t="str">
        <f t="shared" si="1787"/>
        <v/>
      </c>
      <c r="V4222" s="46">
        <f t="shared" si="1787"/>
        <v>44</v>
      </c>
      <c r="W4222" s="46" t="str">
        <f t="shared" si="1787"/>
        <v/>
      </c>
      <c r="X4222" s="46" t="str">
        <f t="shared" si="1787"/>
        <v/>
      </c>
    </row>
    <row r="4223" spans="2:24" x14ac:dyDescent="0.25">
      <c r="B4223" s="11" t="str">
        <f>CONCATENATE("MERI","-",LEFT(P4223,2),UPPER(MID(P4223,4,3)),RIGHT(P4223,4))</f>
        <v>MERI-30JUN1913</v>
      </c>
      <c r="C4223" s="11" t="s">
        <v>3117</v>
      </c>
      <c r="D4223" s="11" t="s">
        <v>6306</v>
      </c>
      <c r="E4223" s="39" t="s">
        <v>154</v>
      </c>
      <c r="F4223" s="11" t="s">
        <v>3039</v>
      </c>
      <c r="G4223" s="39" t="s">
        <v>1333</v>
      </c>
      <c r="I4223" s="7">
        <v>1</v>
      </c>
      <c r="J4223" s="17">
        <v>0</v>
      </c>
      <c r="K4223" s="17"/>
      <c r="L4223" s="7">
        <f>SUM(H4223:K4223)</f>
        <v>1</v>
      </c>
      <c r="M4223" s="8">
        <v>1</v>
      </c>
      <c r="N4223" s="8">
        <f>IF(L4223&gt;0,1,"")</f>
        <v>1</v>
      </c>
      <c r="O4223" s="11" t="s">
        <v>1702</v>
      </c>
      <c r="P4223" s="16" t="str">
        <f>IF(LEN(G4223)=10,CONCATENATE("0",G4223),G4223)</f>
        <v>30-Jun-1913</v>
      </c>
      <c r="R4223" s="16" t="str">
        <f t="shared" si="1795"/>
        <v>x</v>
      </c>
      <c r="S4223" s="16" t="str">
        <f t="shared" si="1795"/>
        <v>x</v>
      </c>
      <c r="U4223" s="46" t="str">
        <f>IF($O4223=U$5,$L4223,"")</f>
        <v/>
      </c>
      <c r="V4223" s="46">
        <f>IF($O4223=V$5,$L4223,"")</f>
        <v>1</v>
      </c>
      <c r="W4223" s="46" t="str">
        <f>IF($O4223=W$5,$L4223,"")</f>
        <v/>
      </c>
      <c r="X4223" s="46" t="str">
        <f>IF($O4223=X$5,$L4223,"")</f>
        <v/>
      </c>
    </row>
    <row r="4224" spans="2:24" x14ac:dyDescent="0.25">
      <c r="B4224" s="11" t="str">
        <f>CONCATENATE("MERI","-",LEFT(P4224,2),UPPER(MID(P4224,4,3)),RIGHT(P4224,4))</f>
        <v>MERI-04AUG1913</v>
      </c>
      <c r="C4224" s="11" t="s">
        <v>3117</v>
      </c>
      <c r="D4224" s="11" t="s">
        <v>2097</v>
      </c>
      <c r="E4224" s="39" t="s">
        <v>2537</v>
      </c>
      <c r="F4224" s="11" t="s">
        <v>3039</v>
      </c>
      <c r="G4224" s="39" t="s">
        <v>5821</v>
      </c>
      <c r="I4224" s="7">
        <v>2</v>
      </c>
      <c r="J4224" s="17">
        <v>82</v>
      </c>
      <c r="K4224" s="17"/>
      <c r="L4224" s="7">
        <f>SUM(H4224:K4224)</f>
        <v>84</v>
      </c>
      <c r="M4224" s="8">
        <v>1</v>
      </c>
      <c r="N4224" s="8">
        <f>IF(L4224&gt;0,1,"")</f>
        <v>1</v>
      </c>
      <c r="O4224" s="11" t="s">
        <v>1702</v>
      </c>
      <c r="P4224" s="16" t="str">
        <f>IF(LEN(G4224)=10,CONCATENATE("0",G4224),G4224)</f>
        <v>04-Aug-1913</v>
      </c>
      <c r="R4224" s="16" t="str">
        <f t="shared" si="1795"/>
        <v>x</v>
      </c>
      <c r="S4224" s="16" t="str">
        <f t="shared" si="1795"/>
        <v>x</v>
      </c>
      <c r="U4224" s="46" t="str">
        <f t="shared" ref="U4224:X4227" si="1796">IF($O4224=U$5,$L4224,"")</f>
        <v/>
      </c>
      <c r="V4224" s="46">
        <f t="shared" si="1796"/>
        <v>84</v>
      </c>
      <c r="W4224" s="46" t="str">
        <f t="shared" si="1796"/>
        <v/>
      </c>
      <c r="X4224" s="46" t="str">
        <f t="shared" si="1796"/>
        <v/>
      </c>
    </row>
    <row r="4225" spans="2:24" x14ac:dyDescent="0.25">
      <c r="B4225" s="11" t="str">
        <f t="shared" si="1783"/>
        <v>MERI-08SEP1913</v>
      </c>
      <c r="C4225" s="11" t="s">
        <v>3117</v>
      </c>
      <c r="D4225" s="11" t="s">
        <v>2097</v>
      </c>
      <c r="E4225" s="39" t="s">
        <v>3368</v>
      </c>
      <c r="F4225" s="11" t="s">
        <v>3039</v>
      </c>
      <c r="G4225" s="39" t="s">
        <v>5022</v>
      </c>
      <c r="I4225" s="7">
        <v>0</v>
      </c>
      <c r="J4225" s="17">
        <v>73</v>
      </c>
      <c r="K4225" s="17"/>
      <c r="L4225" s="7">
        <f t="shared" si="1784"/>
        <v>73</v>
      </c>
      <c r="M4225" s="8">
        <v>1</v>
      </c>
      <c r="N4225" s="8">
        <f t="shared" si="1785"/>
        <v>1</v>
      </c>
      <c r="O4225" s="11" t="s">
        <v>1702</v>
      </c>
      <c r="P4225" s="16" t="str">
        <f t="shared" si="1786"/>
        <v>08-Sep-1913</v>
      </c>
      <c r="R4225" s="16" t="str">
        <f t="shared" si="1795"/>
        <v>x</v>
      </c>
      <c r="S4225" s="16" t="str">
        <f t="shared" si="1795"/>
        <v>x</v>
      </c>
      <c r="U4225" s="46" t="str">
        <f t="shared" si="1796"/>
        <v/>
      </c>
      <c r="V4225" s="46">
        <f t="shared" si="1796"/>
        <v>73</v>
      </c>
      <c r="W4225" s="46" t="str">
        <f t="shared" si="1796"/>
        <v/>
      </c>
      <c r="X4225" s="46" t="str">
        <f t="shared" si="1796"/>
        <v/>
      </c>
    </row>
    <row r="4226" spans="2:24" x14ac:dyDescent="0.25">
      <c r="B4226" s="11" t="str">
        <f t="shared" si="1783"/>
        <v>MERI-13OCT1913</v>
      </c>
      <c r="C4226" s="11" t="s">
        <v>3117</v>
      </c>
      <c r="D4226" s="11" t="s">
        <v>2097</v>
      </c>
      <c r="E4226" s="39" t="s">
        <v>5233</v>
      </c>
      <c r="F4226" s="11" t="s">
        <v>3039</v>
      </c>
      <c r="G4226" s="39" t="s">
        <v>5234</v>
      </c>
      <c r="I4226" s="7">
        <v>1</v>
      </c>
      <c r="J4226" s="17">
        <v>48</v>
      </c>
      <c r="K4226" s="17"/>
      <c r="L4226" s="7">
        <f t="shared" si="1784"/>
        <v>49</v>
      </c>
      <c r="M4226" s="8">
        <v>1</v>
      </c>
      <c r="N4226" s="8">
        <f t="shared" si="1785"/>
        <v>1</v>
      </c>
      <c r="O4226" s="11" t="s">
        <v>1702</v>
      </c>
      <c r="P4226" s="16" t="str">
        <f t="shared" si="1786"/>
        <v>13-Oct-1913</v>
      </c>
      <c r="R4226" s="16" t="str">
        <f>IF($L4226&gt;0,"x","")</f>
        <v>x</v>
      </c>
      <c r="S4226" s="16" t="str">
        <f>IF($L4226&gt;0,"x","")</f>
        <v>x</v>
      </c>
      <c r="U4226" s="46" t="str">
        <f t="shared" si="1796"/>
        <v/>
      </c>
      <c r="V4226" s="46">
        <f t="shared" si="1796"/>
        <v>49</v>
      </c>
      <c r="W4226" s="46" t="str">
        <f t="shared" si="1796"/>
        <v/>
      </c>
      <c r="X4226" s="46" t="str">
        <f t="shared" si="1796"/>
        <v/>
      </c>
    </row>
    <row r="4227" spans="2:24" x14ac:dyDescent="0.25">
      <c r="B4227" s="11" t="str">
        <f t="shared" si="1783"/>
        <v>MERI-17NOV1913</v>
      </c>
      <c r="C4227" s="11" t="s">
        <v>3117</v>
      </c>
      <c r="D4227" s="11" t="s">
        <v>2097</v>
      </c>
      <c r="E4227" s="39" t="s">
        <v>2542</v>
      </c>
      <c r="F4227" s="11" t="s">
        <v>3039</v>
      </c>
      <c r="G4227" s="39" t="s">
        <v>3245</v>
      </c>
      <c r="I4227" s="7">
        <v>5</v>
      </c>
      <c r="J4227" s="17">
        <v>61</v>
      </c>
      <c r="K4227" s="17"/>
      <c r="L4227" s="7">
        <f t="shared" si="1784"/>
        <v>66</v>
      </c>
      <c r="M4227" s="8">
        <v>1</v>
      </c>
      <c r="N4227" s="8">
        <f t="shared" si="1785"/>
        <v>1</v>
      </c>
      <c r="O4227" s="11" t="s">
        <v>1702</v>
      </c>
      <c r="P4227" s="16" t="str">
        <f t="shared" si="1786"/>
        <v>17-Nov-1913</v>
      </c>
      <c r="R4227" s="16" t="str">
        <f>IF($L4227&gt;0,"x","")</f>
        <v>x</v>
      </c>
      <c r="S4227" s="16" t="str">
        <f>IF($L4227&gt;0,"x","")</f>
        <v>x</v>
      </c>
      <c r="U4227" s="46" t="str">
        <f t="shared" si="1796"/>
        <v/>
      </c>
      <c r="V4227" s="46">
        <f t="shared" si="1796"/>
        <v>66</v>
      </c>
      <c r="W4227" s="46" t="str">
        <f t="shared" si="1796"/>
        <v/>
      </c>
      <c r="X4227" s="46" t="str">
        <f t="shared" si="1796"/>
        <v/>
      </c>
    </row>
    <row r="4228" spans="2:24" x14ac:dyDescent="0.25">
      <c r="B4228" s="11" t="str">
        <f t="shared" si="1783"/>
        <v>MERI-23DEC1913</v>
      </c>
      <c r="C4228" s="11" t="s">
        <v>3117</v>
      </c>
      <c r="D4228" s="11" t="s">
        <v>2097</v>
      </c>
      <c r="E4228" s="39" t="s">
        <v>4448</v>
      </c>
      <c r="F4228" s="11" t="s">
        <v>3039</v>
      </c>
      <c r="G4228" s="39" t="s">
        <v>1017</v>
      </c>
      <c r="I4228" s="7">
        <v>3</v>
      </c>
      <c r="J4228" s="17">
        <v>49</v>
      </c>
      <c r="K4228" s="17"/>
      <c r="L4228" s="7">
        <f t="shared" si="1784"/>
        <v>52</v>
      </c>
      <c r="M4228" s="8">
        <v>1</v>
      </c>
      <c r="N4228" s="8">
        <f t="shared" si="1785"/>
        <v>1</v>
      </c>
      <c r="O4228" s="11" t="s">
        <v>1702</v>
      </c>
      <c r="P4228" s="16" t="str">
        <f t="shared" si="1786"/>
        <v>23-Dec-1913</v>
      </c>
      <c r="R4228" s="16" t="str">
        <f t="shared" si="1795"/>
        <v>x</v>
      </c>
      <c r="S4228" s="16" t="str">
        <f t="shared" si="1795"/>
        <v>x</v>
      </c>
      <c r="U4228" s="46" t="str">
        <f t="shared" si="1787"/>
        <v/>
      </c>
      <c r="V4228" s="46">
        <f t="shared" si="1787"/>
        <v>52</v>
      </c>
      <c r="W4228" s="46" t="str">
        <f t="shared" si="1787"/>
        <v/>
      </c>
      <c r="X4228" s="46" t="str">
        <f t="shared" si="1787"/>
        <v/>
      </c>
    </row>
    <row r="4229" spans="2:24" x14ac:dyDescent="0.25">
      <c r="B4229" s="11" t="str">
        <f t="shared" si="1783"/>
        <v>MERI-14APR1914</v>
      </c>
      <c r="C4229" s="11" t="s">
        <v>3117</v>
      </c>
      <c r="D4229" s="11" t="s">
        <v>2097</v>
      </c>
      <c r="E4229" s="39" t="s">
        <v>4569</v>
      </c>
      <c r="F4229" s="11" t="s">
        <v>3039</v>
      </c>
      <c r="G4229" s="39" t="s">
        <v>4570</v>
      </c>
      <c r="I4229" s="7">
        <v>0</v>
      </c>
      <c r="J4229" s="17">
        <v>8</v>
      </c>
      <c r="K4229" s="17"/>
      <c r="L4229" s="7">
        <f t="shared" si="1784"/>
        <v>8</v>
      </c>
      <c r="M4229" s="8">
        <v>1</v>
      </c>
      <c r="N4229" s="8">
        <f t="shared" si="1785"/>
        <v>1</v>
      </c>
      <c r="O4229" s="11" t="s">
        <v>1702</v>
      </c>
      <c r="P4229" s="16" t="str">
        <f t="shared" si="1786"/>
        <v>14-Apr-1914</v>
      </c>
      <c r="R4229" s="16" t="str">
        <f t="shared" si="1795"/>
        <v>x</v>
      </c>
      <c r="S4229" s="16" t="str">
        <f t="shared" si="1795"/>
        <v>x</v>
      </c>
      <c r="U4229" s="46" t="str">
        <f t="shared" ref="U4229:X4231" si="1797">IF($O4229=U$5,$L4229,"")</f>
        <v/>
      </c>
      <c r="V4229" s="46">
        <f t="shared" si="1797"/>
        <v>8</v>
      </c>
      <c r="W4229" s="46" t="str">
        <f t="shared" si="1797"/>
        <v/>
      </c>
      <c r="X4229" s="46" t="str">
        <f t="shared" si="1797"/>
        <v/>
      </c>
    </row>
    <row r="4230" spans="2:24" x14ac:dyDescent="0.25">
      <c r="B4230" s="11" t="str">
        <f t="shared" si="1783"/>
        <v>MERI-18MAY1914</v>
      </c>
      <c r="C4230" s="11" t="s">
        <v>3117</v>
      </c>
      <c r="D4230" s="11" t="s">
        <v>2097</v>
      </c>
      <c r="E4230" s="39" t="s">
        <v>2561</v>
      </c>
      <c r="F4230" s="11" t="s">
        <v>3039</v>
      </c>
      <c r="G4230" s="39" t="s">
        <v>1344</v>
      </c>
      <c r="I4230" s="7">
        <v>1</v>
      </c>
      <c r="J4230" s="17">
        <v>4</v>
      </c>
      <c r="K4230" s="17"/>
      <c r="L4230" s="7">
        <f t="shared" si="1784"/>
        <v>5</v>
      </c>
      <c r="M4230" s="8">
        <v>1</v>
      </c>
      <c r="N4230" s="8">
        <f t="shared" si="1785"/>
        <v>1</v>
      </c>
      <c r="O4230" s="11" t="s">
        <v>1702</v>
      </c>
      <c r="P4230" s="16" t="str">
        <f t="shared" si="1786"/>
        <v>18-May-1914</v>
      </c>
      <c r="R4230" s="16" t="str">
        <f t="shared" si="1795"/>
        <v>x</v>
      </c>
      <c r="S4230" s="16" t="str">
        <f t="shared" si="1795"/>
        <v>x</v>
      </c>
      <c r="U4230" s="46" t="str">
        <f t="shared" si="1797"/>
        <v/>
      </c>
      <c r="V4230" s="46">
        <f t="shared" si="1797"/>
        <v>5</v>
      </c>
      <c r="W4230" s="46" t="str">
        <f t="shared" si="1797"/>
        <v/>
      </c>
      <c r="X4230" s="46" t="str">
        <f t="shared" si="1797"/>
        <v/>
      </c>
    </row>
    <row r="4231" spans="2:24" x14ac:dyDescent="0.25">
      <c r="B4231" s="11" t="str">
        <f t="shared" si="1783"/>
        <v>MERI-22JUN1914</v>
      </c>
      <c r="C4231" s="11" t="s">
        <v>3117</v>
      </c>
      <c r="D4231" s="11" t="s">
        <v>2097</v>
      </c>
      <c r="E4231" s="39" t="s">
        <v>2563</v>
      </c>
      <c r="F4231" s="11" t="s">
        <v>3039</v>
      </c>
      <c r="G4231" s="39" t="s">
        <v>5461</v>
      </c>
      <c r="I4231" s="7">
        <v>0</v>
      </c>
      <c r="J4231" s="17">
        <v>3</v>
      </c>
      <c r="K4231" s="17"/>
      <c r="L4231" s="7">
        <f t="shared" si="1784"/>
        <v>3</v>
      </c>
      <c r="M4231" s="8">
        <v>1</v>
      </c>
      <c r="N4231" s="8">
        <f t="shared" si="1785"/>
        <v>1</v>
      </c>
      <c r="O4231" s="11" t="s">
        <v>1702</v>
      </c>
      <c r="P4231" s="16" t="str">
        <f t="shared" si="1786"/>
        <v>22-Jun-1914</v>
      </c>
      <c r="R4231" s="16" t="str">
        <f t="shared" si="1795"/>
        <v>x</v>
      </c>
      <c r="S4231" s="16" t="str">
        <f t="shared" si="1795"/>
        <v>x</v>
      </c>
      <c r="U4231" s="46" t="str">
        <f t="shared" si="1797"/>
        <v/>
      </c>
      <c r="V4231" s="46">
        <f t="shared" si="1797"/>
        <v>3</v>
      </c>
      <c r="W4231" s="46" t="str">
        <f t="shared" si="1797"/>
        <v/>
      </c>
      <c r="X4231" s="46" t="str">
        <f t="shared" si="1797"/>
        <v/>
      </c>
    </row>
    <row r="4232" spans="2:24" x14ac:dyDescent="0.25">
      <c r="N4232" s="8" t="str">
        <f>IF(R4232="x",1,"")</f>
        <v/>
      </c>
      <c r="U4232" s="46" t="str">
        <f t="shared" si="1787"/>
        <v/>
      </c>
      <c r="V4232" s="46" t="str">
        <f t="shared" si="1787"/>
        <v/>
      </c>
      <c r="W4232" s="46" t="str">
        <f t="shared" si="1787"/>
        <v/>
      </c>
      <c r="X4232" s="46" t="str">
        <f t="shared" si="1787"/>
        <v/>
      </c>
    </row>
    <row r="4233" spans="2:24" x14ac:dyDescent="0.25">
      <c r="B4233" s="18"/>
      <c r="C4233" s="18"/>
      <c r="D4233" s="18"/>
      <c r="E4233" s="40"/>
      <c r="F4233" s="18"/>
      <c r="G4233" s="40"/>
      <c r="H4233" s="7">
        <f t="shared" ref="H4233:N4233" si="1798">SUM(H4198:H4232)</f>
        <v>0</v>
      </c>
      <c r="I4233" s="7">
        <f t="shared" si="1798"/>
        <v>55</v>
      </c>
      <c r="J4233" s="7">
        <f>SUM(J4198:J4232)</f>
        <v>816</v>
      </c>
      <c r="K4233" s="7">
        <f t="shared" si="1798"/>
        <v>0</v>
      </c>
      <c r="L4233" s="7">
        <f t="shared" si="1798"/>
        <v>871</v>
      </c>
      <c r="M4233" s="7">
        <f t="shared" si="1798"/>
        <v>34</v>
      </c>
      <c r="N4233" s="7">
        <f t="shared" si="1798"/>
        <v>34</v>
      </c>
      <c r="O4233" s="18"/>
      <c r="P4233" s="13"/>
      <c r="Q4233" s="13"/>
      <c r="S4233" s="13"/>
      <c r="T4233" s="15"/>
      <c r="U4233" s="46" t="str">
        <f t="shared" si="1787"/>
        <v/>
      </c>
      <c r="V4233" s="46" t="str">
        <f t="shared" si="1787"/>
        <v/>
      </c>
      <c r="W4233" s="46" t="str">
        <f t="shared" si="1787"/>
        <v/>
      </c>
      <c r="X4233" s="46" t="str">
        <f t="shared" si="1787"/>
        <v/>
      </c>
    </row>
    <row r="4234" spans="2:24" x14ac:dyDescent="0.25">
      <c r="B4234" s="18"/>
      <c r="C4234" s="18"/>
      <c r="D4234" s="18"/>
      <c r="E4234" s="40"/>
      <c r="F4234" s="18"/>
      <c r="G4234" s="40"/>
      <c r="N4234" s="8" t="str">
        <f>IF(R4234="x",1,"")</f>
        <v/>
      </c>
      <c r="O4234" s="18"/>
      <c r="P4234" s="13"/>
      <c r="Q4234" s="13"/>
      <c r="R4234" s="13"/>
      <c r="S4234" s="13"/>
      <c r="T4234" s="15"/>
      <c r="U4234" s="46" t="str">
        <f t="shared" ref="U4234:X4242" si="1799">IF($O4234=U$5,$L4234,"")</f>
        <v/>
      </c>
      <c r="V4234" s="46" t="str">
        <f t="shared" si="1799"/>
        <v/>
      </c>
      <c r="W4234" s="46" t="str">
        <f t="shared" si="1799"/>
        <v/>
      </c>
      <c r="X4234" s="46" t="str">
        <f t="shared" si="1799"/>
        <v/>
      </c>
    </row>
    <row r="4235" spans="2:24" x14ac:dyDescent="0.25">
      <c r="B4235" s="18"/>
      <c r="C4235" s="18"/>
      <c r="D4235" s="18"/>
      <c r="E4235" s="40"/>
      <c r="F4235" s="18"/>
      <c r="G4235" s="40"/>
      <c r="N4235" s="8" t="str">
        <f>IF(R4235="x",1,"")</f>
        <v/>
      </c>
      <c r="O4235" s="18"/>
      <c r="P4235" s="13"/>
      <c r="Q4235" s="13"/>
      <c r="R4235" s="13"/>
      <c r="S4235" s="13"/>
      <c r="T4235" s="15"/>
      <c r="U4235" s="46" t="str">
        <f t="shared" si="1799"/>
        <v/>
      </c>
      <c r="V4235" s="46" t="str">
        <f t="shared" si="1799"/>
        <v/>
      </c>
      <c r="W4235" s="46" t="str">
        <f t="shared" si="1799"/>
        <v/>
      </c>
      <c r="X4235" s="46" t="str">
        <f t="shared" si="1799"/>
        <v/>
      </c>
    </row>
    <row r="4236" spans="2:24" x14ac:dyDescent="0.25">
      <c r="B4236" s="11" t="str">
        <f>CONCATENATE("MTGM","-",LEFT(P4236,2),UPPER(MID(P4236,4,3)),RIGHT(P4236,4))</f>
        <v>MTGM-14NOV1915</v>
      </c>
      <c r="C4236" s="11" t="s">
        <v>5025</v>
      </c>
      <c r="D4236" s="11" t="s">
        <v>2097</v>
      </c>
      <c r="E4236" s="39" t="s">
        <v>5335</v>
      </c>
      <c r="F4236" s="11" t="s">
        <v>2813</v>
      </c>
      <c r="G4236" s="39" t="s">
        <v>1965</v>
      </c>
      <c r="J4236" s="17">
        <v>0</v>
      </c>
      <c r="K4236" s="17"/>
      <c r="L4236" s="7">
        <f>SUM(H4236:K4236)</f>
        <v>0</v>
      </c>
      <c r="M4236" s="8">
        <v>1</v>
      </c>
      <c r="N4236" s="8" t="str">
        <f>IF(L4236&gt;0,1,"")</f>
        <v/>
      </c>
      <c r="O4236" s="11" t="s">
        <v>1702</v>
      </c>
      <c r="P4236" s="16" t="str">
        <f>IF(LEN(G4236)=10,CONCATENATE("0",G4236),G4236)</f>
        <v>14-Nov-1915</v>
      </c>
      <c r="R4236" s="16" t="str">
        <f>IF($L4236&gt;0,"x","")</f>
        <v/>
      </c>
      <c r="S4236" s="16" t="str">
        <f>IF($L4236&gt;0,"x","")</f>
        <v/>
      </c>
      <c r="U4236" s="46" t="str">
        <f t="shared" si="1799"/>
        <v/>
      </c>
      <c r="V4236" s="46">
        <f t="shared" si="1799"/>
        <v>0</v>
      </c>
      <c r="W4236" s="46" t="str">
        <f t="shared" si="1799"/>
        <v/>
      </c>
      <c r="X4236" s="46" t="str">
        <f t="shared" si="1799"/>
        <v/>
      </c>
    </row>
    <row r="4237" spans="2:24" x14ac:dyDescent="0.25">
      <c r="B4237" s="11" t="str">
        <f>CONCATENATE("MTGM","-",LEFT(P4237,2),UPPER(MID(P4237,4,3)),RIGHT(P4237,4))</f>
        <v>MTGM-10FEB1920</v>
      </c>
      <c r="C4237" s="11" t="s">
        <v>5025</v>
      </c>
      <c r="D4237" s="11" t="s">
        <v>2097</v>
      </c>
      <c r="E4237" s="39" t="s">
        <v>6211</v>
      </c>
      <c r="F4237" s="11" t="s">
        <v>211</v>
      </c>
      <c r="G4237" s="39" t="s">
        <v>4869</v>
      </c>
      <c r="I4237" s="7">
        <v>0</v>
      </c>
      <c r="J4237" s="17">
        <v>0</v>
      </c>
      <c r="K4237" s="17"/>
      <c r="L4237" s="7">
        <f>SUM(H4237:K4237)</f>
        <v>0</v>
      </c>
      <c r="M4237" s="8">
        <v>1</v>
      </c>
      <c r="N4237" s="8" t="str">
        <f>IF(L4237&gt;0,1,"")</f>
        <v/>
      </c>
      <c r="O4237" s="11" t="s">
        <v>1702</v>
      </c>
      <c r="P4237" s="16" t="str">
        <f>IF(LEN(G4237)=10,CONCATENATE("0",G4237),G4237)</f>
        <v>10-Feb-1920</v>
      </c>
      <c r="U4237" s="46" t="str">
        <f t="shared" si="1799"/>
        <v/>
      </c>
      <c r="V4237" s="46">
        <f t="shared" si="1799"/>
        <v>0</v>
      </c>
      <c r="W4237" s="46" t="str">
        <f t="shared" si="1799"/>
        <v/>
      </c>
      <c r="X4237" s="46" t="str">
        <f t="shared" si="1799"/>
        <v/>
      </c>
    </row>
    <row r="4238" spans="2:24" x14ac:dyDescent="0.25">
      <c r="B4238" s="11" t="str">
        <f>CONCATENATE("MTGM","-",LEFT(P4238,2),UPPER(MID(P4238,4,3)),RIGHT(P4238,4))</f>
        <v>MTGM-08AUG1920</v>
      </c>
      <c r="C4238" s="11" t="s">
        <v>5025</v>
      </c>
      <c r="D4238" s="11" t="s">
        <v>2097</v>
      </c>
      <c r="E4238" s="39" t="s">
        <v>4879</v>
      </c>
      <c r="F4238" s="11" t="s">
        <v>2813</v>
      </c>
      <c r="G4238" s="39" t="s">
        <v>3784</v>
      </c>
      <c r="I4238" s="7">
        <v>0</v>
      </c>
      <c r="J4238" s="17">
        <v>18</v>
      </c>
      <c r="K4238" s="17"/>
      <c r="L4238" s="7">
        <f>SUM(H4238:K4238)</f>
        <v>18</v>
      </c>
      <c r="M4238" s="8">
        <v>1</v>
      </c>
      <c r="N4238" s="8">
        <f>IF(L4238&gt;0,1,"")</f>
        <v>1</v>
      </c>
      <c r="O4238" s="11" t="s">
        <v>1702</v>
      </c>
      <c r="P4238" s="16" t="str">
        <f>IF(LEN(G4238)=10,CONCATENATE("0",G4238),G4238)</f>
        <v>08-Aug-1920</v>
      </c>
      <c r="R4238" s="16" t="str">
        <f t="shared" ref="R4238:S4240" si="1800">IF($L4238&gt;0,"x","")</f>
        <v>x</v>
      </c>
      <c r="S4238" s="16" t="str">
        <f t="shared" si="1800"/>
        <v>x</v>
      </c>
      <c r="U4238" s="46" t="str">
        <f t="shared" si="1799"/>
        <v/>
      </c>
      <c r="V4238" s="46">
        <f t="shared" si="1799"/>
        <v>18</v>
      </c>
      <c r="W4238" s="46" t="str">
        <f t="shared" si="1799"/>
        <v/>
      </c>
      <c r="X4238" s="46" t="str">
        <f t="shared" si="1799"/>
        <v/>
      </c>
    </row>
    <row r="4239" spans="2:24" x14ac:dyDescent="0.25">
      <c r="B4239" s="11" t="str">
        <f>CONCATENATE("MTGM","-",LEFT(P4239,2),UPPER(MID(P4239,4,3)),RIGHT(P4239,4))</f>
        <v>MTGM-03FEB1921</v>
      </c>
      <c r="C4239" s="11" t="s">
        <v>5025</v>
      </c>
      <c r="D4239" s="11" t="s">
        <v>2097</v>
      </c>
      <c r="E4239" s="39" t="s">
        <v>2433</v>
      </c>
      <c r="F4239" s="11" t="s">
        <v>211</v>
      </c>
      <c r="G4239" s="39" t="s">
        <v>6060</v>
      </c>
      <c r="I4239" s="7">
        <v>2</v>
      </c>
      <c r="J4239" s="17"/>
      <c r="K4239" s="17"/>
      <c r="L4239" s="7">
        <f>SUM(H4239:K4239)</f>
        <v>2</v>
      </c>
      <c r="M4239" s="8">
        <v>1</v>
      </c>
      <c r="N4239" s="8">
        <f>IF(L4239&gt;0,1,"")</f>
        <v>1</v>
      </c>
      <c r="O4239" s="11" t="s">
        <v>1702</v>
      </c>
      <c r="P4239" s="16" t="str">
        <f>IF(LEN(G4239)=10,CONCATENATE("0",G4239),G4239)</f>
        <v>03-Feb-1921</v>
      </c>
      <c r="R4239" s="16" t="str">
        <f t="shared" si="1800"/>
        <v>x</v>
      </c>
      <c r="S4239" s="16" t="str">
        <f t="shared" si="1800"/>
        <v>x</v>
      </c>
      <c r="U4239" s="46" t="str">
        <f t="shared" si="1799"/>
        <v/>
      </c>
      <c r="V4239" s="46">
        <f t="shared" si="1799"/>
        <v>2</v>
      </c>
      <c r="W4239" s="46" t="str">
        <f t="shared" si="1799"/>
        <v/>
      </c>
      <c r="X4239" s="46" t="str">
        <f t="shared" si="1799"/>
        <v/>
      </c>
    </row>
    <row r="4240" spans="2:24" x14ac:dyDescent="0.25">
      <c r="B4240" s="11" t="str">
        <f>CONCATENATE("MTGM","-",LEFT(P4240,2),UPPER(MID(P4240,4,3)),RIGHT(P4240,4))</f>
        <v>MTGM-03FEB1921</v>
      </c>
      <c r="C4240" s="11" t="s">
        <v>5025</v>
      </c>
      <c r="D4240" s="11" t="s">
        <v>1699</v>
      </c>
      <c r="E4240" s="39" t="s">
        <v>1589</v>
      </c>
      <c r="F4240" s="11" t="s">
        <v>211</v>
      </c>
      <c r="G4240" s="39" t="s">
        <v>6060</v>
      </c>
      <c r="J4240" s="17">
        <v>7</v>
      </c>
      <c r="K4240" s="17"/>
      <c r="L4240" s="7">
        <f>SUM(H4240:K4240)</f>
        <v>7</v>
      </c>
      <c r="M4240" s="8">
        <v>1</v>
      </c>
      <c r="N4240" s="8">
        <f>IF(L4240&gt;0,1,"")</f>
        <v>1</v>
      </c>
      <c r="O4240" s="11" t="s">
        <v>1702</v>
      </c>
      <c r="P4240" s="16" t="str">
        <f>IF(LEN(G4240)=10,CONCATENATE("0",G4240),G4240)</f>
        <v>03-Feb-1921</v>
      </c>
      <c r="R4240" s="16" t="str">
        <f t="shared" si="1800"/>
        <v>x</v>
      </c>
      <c r="S4240" s="16" t="str">
        <f t="shared" si="1800"/>
        <v>x</v>
      </c>
      <c r="U4240" s="46" t="str">
        <f t="shared" si="1799"/>
        <v/>
      </c>
      <c r="V4240" s="46">
        <f t="shared" si="1799"/>
        <v>7</v>
      </c>
      <c r="W4240" s="46" t="str">
        <f t="shared" si="1799"/>
        <v/>
      </c>
      <c r="X4240" s="46" t="str">
        <f t="shared" si="1799"/>
        <v/>
      </c>
    </row>
    <row r="4241" spans="2:24" x14ac:dyDescent="0.25">
      <c r="N4241" s="8" t="str">
        <f>IF(R4241="x",1,"")</f>
        <v/>
      </c>
      <c r="U4241" s="46" t="str">
        <f t="shared" si="1799"/>
        <v/>
      </c>
      <c r="V4241" s="46" t="str">
        <f t="shared" si="1799"/>
        <v/>
      </c>
      <c r="W4241" s="46" t="str">
        <f t="shared" si="1799"/>
        <v/>
      </c>
      <c r="X4241" s="46" t="str">
        <f t="shared" si="1799"/>
        <v/>
      </c>
    </row>
    <row r="4242" spans="2:24" x14ac:dyDescent="0.25">
      <c r="B4242" s="18"/>
      <c r="C4242" s="18"/>
      <c r="D4242" s="18"/>
      <c r="E4242" s="40"/>
      <c r="F4242" s="18"/>
      <c r="G4242" s="40"/>
      <c r="H4242" s="7">
        <f t="shared" ref="H4242:N4242" si="1801">SUM(H4236:H4241)</f>
        <v>0</v>
      </c>
      <c r="I4242" s="7">
        <f t="shared" si="1801"/>
        <v>2</v>
      </c>
      <c r="J4242" s="7">
        <f>SUM(J4236:J4241)</f>
        <v>25</v>
      </c>
      <c r="K4242" s="7">
        <f t="shared" si="1801"/>
        <v>0</v>
      </c>
      <c r="L4242" s="7">
        <f t="shared" si="1801"/>
        <v>27</v>
      </c>
      <c r="M4242" s="7">
        <f t="shared" si="1801"/>
        <v>5</v>
      </c>
      <c r="N4242" s="7">
        <f t="shared" si="1801"/>
        <v>3</v>
      </c>
      <c r="O4242" s="18"/>
      <c r="P4242" s="13"/>
      <c r="Q4242" s="13"/>
      <c r="S4242" s="13"/>
      <c r="T4242" s="15"/>
      <c r="U4242" s="46" t="str">
        <f t="shared" si="1799"/>
        <v/>
      </c>
      <c r="V4242" s="46" t="str">
        <f t="shared" si="1799"/>
        <v/>
      </c>
      <c r="W4242" s="46" t="str">
        <f t="shared" si="1799"/>
        <v/>
      </c>
      <c r="X4242" s="46" t="str">
        <f t="shared" si="1799"/>
        <v/>
      </c>
    </row>
    <row r="4243" spans="2:24" x14ac:dyDescent="0.25">
      <c r="B4243" s="18"/>
      <c r="C4243" s="18"/>
      <c r="D4243" s="18"/>
      <c r="E4243" s="40"/>
      <c r="F4243" s="18"/>
      <c r="G4243" s="40"/>
      <c r="N4243" s="8" t="str">
        <f>IF(R4243="x",1,"")</f>
        <v/>
      </c>
      <c r="O4243" s="18"/>
      <c r="P4243" s="13"/>
      <c r="Q4243" s="13"/>
      <c r="R4243" s="13"/>
      <c r="S4243" s="13"/>
      <c r="T4243" s="15"/>
      <c r="U4243" s="46" t="str">
        <f t="shared" si="1787"/>
        <v/>
      </c>
      <c r="V4243" s="46" t="str">
        <f t="shared" si="1787"/>
        <v/>
      </c>
      <c r="W4243" s="46" t="str">
        <f t="shared" si="1787"/>
        <v/>
      </c>
      <c r="X4243" s="46" t="str">
        <f t="shared" si="1787"/>
        <v/>
      </c>
    </row>
    <row r="4244" spans="2:24" x14ac:dyDescent="0.25">
      <c r="B4244" s="18"/>
      <c r="C4244" s="18"/>
      <c r="D4244" s="18"/>
      <c r="E4244" s="40"/>
      <c r="F4244" s="18"/>
      <c r="G4244" s="40"/>
      <c r="N4244" s="8" t="str">
        <f>IF(R4244="x",1,"")</f>
        <v/>
      </c>
      <c r="O4244" s="18"/>
      <c r="P4244" s="13"/>
      <c r="Q4244" s="13"/>
      <c r="R4244" s="13"/>
      <c r="S4244" s="13"/>
      <c r="T4244" s="15"/>
      <c r="U4244" s="46" t="str">
        <f t="shared" si="1787"/>
        <v/>
      </c>
      <c r="V4244" s="46" t="str">
        <f t="shared" si="1787"/>
        <v/>
      </c>
      <c r="W4244" s="46" t="str">
        <f t="shared" si="1787"/>
        <v/>
      </c>
      <c r="X4244" s="46" t="str">
        <f t="shared" si="1787"/>
        <v/>
      </c>
    </row>
    <row r="4245" spans="2:24" x14ac:dyDescent="0.25">
      <c r="B4245" s="11" t="str">
        <f t="shared" ref="B4245:B4252" si="1802">CONCATENATE("MEXI","-",LEFT(P4245,2),UPPER(MID(P4245,4,3)),RIGHT(P4245,4))</f>
        <v>MEXI-06SEP1907</v>
      </c>
      <c r="C4245" s="11" t="s">
        <v>3074</v>
      </c>
      <c r="D4245" s="11" t="s">
        <v>1699</v>
      </c>
      <c r="E4245" s="39" t="s">
        <v>1806</v>
      </c>
      <c r="F4245" s="11" t="s">
        <v>1700</v>
      </c>
      <c r="G4245" s="39" t="s">
        <v>3692</v>
      </c>
      <c r="H4245" s="7">
        <v>0</v>
      </c>
      <c r="J4245" s="17">
        <v>6</v>
      </c>
      <c r="K4245" s="17"/>
      <c r="L4245" s="7">
        <f t="shared" ref="L4245:L4252" si="1803">SUM(H4245:K4245)</f>
        <v>6</v>
      </c>
      <c r="M4245" s="8">
        <v>1</v>
      </c>
      <c r="N4245" s="8">
        <f t="shared" ref="N4245:N4252" si="1804">IF(L4245&gt;0,1,"")</f>
        <v>1</v>
      </c>
      <c r="O4245" s="11" t="s">
        <v>1702</v>
      </c>
      <c r="P4245" s="16" t="str">
        <f t="shared" ref="P4245:P4252" si="1805">IF(LEN(G4245)=10,CONCATENATE("0",G4245),G4245)</f>
        <v>06-Sep-1907</v>
      </c>
      <c r="R4245" s="16" t="str">
        <f t="shared" ref="R4245:S4247" si="1806">IF($L4245&gt;0,"x","")</f>
        <v>x</v>
      </c>
      <c r="S4245" s="16" t="str">
        <f t="shared" si="1806"/>
        <v>x</v>
      </c>
      <c r="U4245" s="46" t="str">
        <f t="shared" si="1787"/>
        <v/>
      </c>
      <c r="V4245" s="46">
        <f t="shared" si="1787"/>
        <v>6</v>
      </c>
      <c r="W4245" s="46" t="str">
        <f t="shared" si="1787"/>
        <v/>
      </c>
      <c r="X4245" s="46" t="str">
        <f t="shared" si="1787"/>
        <v/>
      </c>
    </row>
    <row r="4246" spans="2:24" x14ac:dyDescent="0.25">
      <c r="B4246" s="11" t="str">
        <f>CONCATENATE("MEXI","-",LEFT(P4246,2),UPPER(MID(P4246,4,3)),RIGHT(P4246,4))</f>
        <v>MEXI-19JUN1909</v>
      </c>
      <c r="C4246" s="11" t="s">
        <v>3074</v>
      </c>
      <c r="D4246" s="11" t="s">
        <v>1956</v>
      </c>
      <c r="E4246" s="39" t="s">
        <v>2744</v>
      </c>
      <c r="F4246" s="11" t="s">
        <v>1700</v>
      </c>
      <c r="G4246" s="39" t="s">
        <v>935</v>
      </c>
      <c r="J4246" s="17">
        <v>13</v>
      </c>
      <c r="K4246" s="17"/>
      <c r="L4246" s="7">
        <f>SUM(H4246:K4246)</f>
        <v>13</v>
      </c>
      <c r="M4246" s="8">
        <v>1</v>
      </c>
      <c r="N4246" s="8">
        <f>IF(L4246&gt;0,1,"")</f>
        <v>1</v>
      </c>
      <c r="O4246" s="11" t="s">
        <v>1702</v>
      </c>
      <c r="P4246" s="16" t="str">
        <f>IF(LEN(G4246)=10,CONCATENATE("0",G4246),G4246)</f>
        <v>19-Jun-1909</v>
      </c>
      <c r="R4246" s="16" t="str">
        <f t="shared" si="1806"/>
        <v>x</v>
      </c>
      <c r="S4246" s="16" t="str">
        <f t="shared" si="1806"/>
        <v>x</v>
      </c>
      <c r="U4246" s="46" t="str">
        <f t="shared" ref="U4246:X4247" si="1807">IF($O4246=U$5,$L4246,"")</f>
        <v/>
      </c>
      <c r="V4246" s="46">
        <f t="shared" si="1807"/>
        <v>13</v>
      </c>
      <c r="W4246" s="46" t="str">
        <f t="shared" si="1807"/>
        <v/>
      </c>
      <c r="X4246" s="46" t="str">
        <f t="shared" si="1807"/>
        <v/>
      </c>
    </row>
    <row r="4247" spans="2:24" x14ac:dyDescent="0.25">
      <c r="B4247" s="11" t="str">
        <f t="shared" si="1802"/>
        <v>MEXI-12SEP1911</v>
      </c>
      <c r="C4247" s="11" t="s">
        <v>3074</v>
      </c>
      <c r="D4247" s="11" t="s">
        <v>1699</v>
      </c>
      <c r="E4247" s="39" t="s">
        <v>1270</v>
      </c>
      <c r="F4247" s="11" t="s">
        <v>1700</v>
      </c>
      <c r="G4247" s="39" t="s">
        <v>4426</v>
      </c>
      <c r="I4247" s="7">
        <v>0</v>
      </c>
      <c r="J4247" s="17">
        <v>22</v>
      </c>
      <c r="K4247" s="17"/>
      <c r="L4247" s="7">
        <f t="shared" si="1803"/>
        <v>22</v>
      </c>
      <c r="M4247" s="8">
        <v>1</v>
      </c>
      <c r="N4247" s="8">
        <f t="shared" si="1804"/>
        <v>1</v>
      </c>
      <c r="O4247" s="11" t="s">
        <v>1702</v>
      </c>
      <c r="P4247" s="16" t="str">
        <f t="shared" si="1805"/>
        <v>12-Sep-1911</v>
      </c>
      <c r="R4247" s="16" t="str">
        <f t="shared" si="1806"/>
        <v>x</v>
      </c>
      <c r="S4247" s="16" t="str">
        <f t="shared" si="1806"/>
        <v>x</v>
      </c>
      <c r="U4247" s="46" t="str">
        <f t="shared" si="1807"/>
        <v/>
      </c>
      <c r="V4247" s="46">
        <f t="shared" si="1807"/>
        <v>22</v>
      </c>
      <c r="W4247" s="46" t="str">
        <f t="shared" si="1807"/>
        <v/>
      </c>
      <c r="X4247" s="46" t="str">
        <f t="shared" si="1807"/>
        <v/>
      </c>
    </row>
    <row r="4248" spans="2:24" x14ac:dyDescent="0.25">
      <c r="B4248" s="11" t="str">
        <f t="shared" si="1802"/>
        <v>MEXI-20NOV1912</v>
      </c>
      <c r="C4248" s="11" t="s">
        <v>3074</v>
      </c>
      <c r="D4248" s="11" t="s">
        <v>1699</v>
      </c>
      <c r="E4248" s="39" t="s">
        <v>3076</v>
      </c>
      <c r="F4248" s="11" t="s">
        <v>3075</v>
      </c>
      <c r="G4248" s="39" t="s">
        <v>3077</v>
      </c>
      <c r="H4248" s="7">
        <v>0</v>
      </c>
      <c r="I4248" s="7">
        <v>0</v>
      </c>
      <c r="J4248" s="17">
        <v>2</v>
      </c>
      <c r="K4248" s="17"/>
      <c r="L4248" s="7">
        <f t="shared" si="1803"/>
        <v>2</v>
      </c>
      <c r="M4248" s="8">
        <v>1</v>
      </c>
      <c r="N4248" s="8">
        <f t="shared" si="1804"/>
        <v>1</v>
      </c>
      <c r="O4248" s="11" t="s">
        <v>1702</v>
      </c>
      <c r="P4248" s="16" t="str">
        <f t="shared" si="1805"/>
        <v>20-Nov-1912</v>
      </c>
      <c r="R4248" s="16" t="str">
        <f t="shared" ref="R4248:S4252" si="1808">IF($L4248&gt;0,"x","")</f>
        <v>x</v>
      </c>
      <c r="S4248" s="16" t="str">
        <f t="shared" si="1808"/>
        <v>x</v>
      </c>
      <c r="U4248" s="46" t="str">
        <f t="shared" si="1787"/>
        <v/>
      </c>
      <c r="V4248" s="46">
        <f t="shared" si="1787"/>
        <v>2</v>
      </c>
      <c r="W4248" s="46" t="str">
        <f t="shared" si="1787"/>
        <v/>
      </c>
      <c r="X4248" s="46" t="str">
        <f t="shared" si="1787"/>
        <v/>
      </c>
    </row>
    <row r="4249" spans="2:24" x14ac:dyDescent="0.25">
      <c r="B4249" s="11" t="str">
        <f t="shared" si="1802"/>
        <v>MEXI-05JUL1913</v>
      </c>
      <c r="C4249" s="11" t="s">
        <v>3074</v>
      </c>
      <c r="D4249" s="11" t="s">
        <v>1956</v>
      </c>
      <c r="E4249" s="39" t="s">
        <v>1926</v>
      </c>
      <c r="F4249" s="11" t="s">
        <v>1700</v>
      </c>
      <c r="G4249" s="39" t="s">
        <v>1288</v>
      </c>
      <c r="I4249" s="7">
        <v>0</v>
      </c>
      <c r="J4249" s="17">
        <v>1</v>
      </c>
      <c r="K4249" s="17"/>
      <c r="L4249" s="7">
        <f t="shared" si="1803"/>
        <v>1</v>
      </c>
      <c r="M4249" s="8">
        <v>1</v>
      </c>
      <c r="N4249" s="8">
        <f t="shared" si="1804"/>
        <v>1</v>
      </c>
      <c r="O4249" s="11" t="s">
        <v>1702</v>
      </c>
      <c r="P4249" s="16" t="str">
        <f t="shared" si="1805"/>
        <v>05-Jul-1913</v>
      </c>
      <c r="R4249" s="16" t="str">
        <f t="shared" si="1808"/>
        <v>x</v>
      </c>
      <c r="S4249" s="16" t="str">
        <f t="shared" si="1808"/>
        <v>x</v>
      </c>
      <c r="U4249" s="46" t="str">
        <f t="shared" si="1787"/>
        <v/>
      </c>
      <c r="V4249" s="46">
        <f t="shared" si="1787"/>
        <v>1</v>
      </c>
      <c r="W4249" s="46" t="str">
        <f t="shared" si="1787"/>
        <v/>
      </c>
      <c r="X4249" s="46" t="str">
        <f t="shared" si="1787"/>
        <v/>
      </c>
    </row>
    <row r="4250" spans="2:24" x14ac:dyDescent="0.25">
      <c r="B4250" s="11" t="str">
        <f t="shared" si="1802"/>
        <v>MEXI-09SEP1920</v>
      </c>
      <c r="C4250" s="11" t="s">
        <v>3074</v>
      </c>
      <c r="D4250" s="11" t="s">
        <v>1699</v>
      </c>
      <c r="E4250" s="39" t="s">
        <v>1587</v>
      </c>
      <c r="F4250" s="11" t="s">
        <v>1700</v>
      </c>
      <c r="G4250" s="39" t="s">
        <v>4157</v>
      </c>
      <c r="I4250" s="7">
        <v>7</v>
      </c>
      <c r="J4250" s="17">
        <f>75+3</f>
        <v>78</v>
      </c>
      <c r="K4250" s="17"/>
      <c r="L4250" s="7">
        <f t="shared" si="1803"/>
        <v>85</v>
      </c>
      <c r="M4250" s="8">
        <v>1</v>
      </c>
      <c r="N4250" s="8">
        <f t="shared" si="1804"/>
        <v>1</v>
      </c>
      <c r="O4250" s="11" t="s">
        <v>1702</v>
      </c>
      <c r="P4250" s="16" t="str">
        <f t="shared" si="1805"/>
        <v>09-Sep-1920</v>
      </c>
      <c r="R4250" s="16" t="str">
        <f t="shared" si="1808"/>
        <v>x</v>
      </c>
      <c r="S4250" s="16" t="str">
        <f t="shared" si="1808"/>
        <v>x</v>
      </c>
      <c r="U4250" s="46" t="str">
        <f t="shared" ref="U4250:X4251" si="1809">IF($O4250=U$5,$L4250,"")</f>
        <v/>
      </c>
      <c r="V4250" s="46">
        <f t="shared" si="1809"/>
        <v>85</v>
      </c>
      <c r="W4250" s="46" t="str">
        <f t="shared" si="1809"/>
        <v/>
      </c>
      <c r="X4250" s="46" t="str">
        <f t="shared" si="1809"/>
        <v/>
      </c>
    </row>
    <row r="4251" spans="2:24" x14ac:dyDescent="0.25">
      <c r="B4251" s="11" t="str">
        <f>CONCATENATE("MEXI","-",LEFT(P4251,2),UPPER(MID(P4251,4,3)),RIGHT(P4251,4))</f>
        <v>MEXI-04FEB1924</v>
      </c>
      <c r="C4251" s="11" t="s">
        <v>3074</v>
      </c>
      <c r="D4251" s="11" t="s">
        <v>3122</v>
      </c>
      <c r="E4251" s="39" t="s">
        <v>2892</v>
      </c>
      <c r="F4251" s="11" t="s">
        <v>1700</v>
      </c>
      <c r="G4251" s="39" t="s">
        <v>4797</v>
      </c>
      <c r="H4251" s="7">
        <v>0</v>
      </c>
      <c r="I4251" s="7">
        <f>3+1</f>
        <v>4</v>
      </c>
      <c r="J4251" s="17">
        <f>15</f>
        <v>15</v>
      </c>
      <c r="K4251" s="17"/>
      <c r="L4251" s="7">
        <f>SUM(H4251:K4251)</f>
        <v>19</v>
      </c>
      <c r="M4251" s="8">
        <v>1</v>
      </c>
      <c r="N4251" s="8">
        <f>IF(L4251&gt;0,1,"")</f>
        <v>1</v>
      </c>
      <c r="O4251" s="11" t="s">
        <v>1702</v>
      </c>
      <c r="P4251" s="16" t="str">
        <f>IF(LEN(G4251)=10,CONCATENATE("0",G4251),G4251)</f>
        <v>04-Feb-1924</v>
      </c>
      <c r="R4251" s="16" t="str">
        <f t="shared" si="1808"/>
        <v>x</v>
      </c>
      <c r="S4251" s="16" t="str">
        <f t="shared" si="1808"/>
        <v>x</v>
      </c>
      <c r="U4251" s="46" t="str">
        <f t="shared" si="1809"/>
        <v/>
      </c>
      <c r="V4251" s="46">
        <f t="shared" si="1809"/>
        <v>19</v>
      </c>
      <c r="W4251" s="46" t="str">
        <f t="shared" si="1809"/>
        <v/>
      </c>
      <c r="X4251" s="46" t="str">
        <f t="shared" si="1809"/>
        <v/>
      </c>
    </row>
    <row r="4252" spans="2:24" x14ac:dyDescent="0.25">
      <c r="B4252" s="11" t="str">
        <f t="shared" si="1802"/>
        <v>MEXI-11DEC1927</v>
      </c>
      <c r="C4252" s="11" t="s">
        <v>3074</v>
      </c>
      <c r="D4252" s="11" t="s">
        <v>3122</v>
      </c>
      <c r="E4252" s="39" t="s">
        <v>11137</v>
      </c>
      <c r="F4252" s="11" t="s">
        <v>1700</v>
      </c>
      <c r="G4252" s="39" t="s">
        <v>11136</v>
      </c>
      <c r="H4252" s="7">
        <v>0</v>
      </c>
      <c r="I4252" s="7">
        <f>1+1</f>
        <v>2</v>
      </c>
      <c r="J4252" s="17">
        <v>0</v>
      </c>
      <c r="K4252" s="17"/>
      <c r="L4252" s="7">
        <f t="shared" si="1803"/>
        <v>2</v>
      </c>
      <c r="M4252" s="8">
        <v>1</v>
      </c>
      <c r="N4252" s="8">
        <f t="shared" si="1804"/>
        <v>1</v>
      </c>
      <c r="O4252" s="11" t="s">
        <v>1702</v>
      </c>
      <c r="P4252" s="16" t="str">
        <f t="shared" si="1805"/>
        <v>11-Dec-1927</v>
      </c>
      <c r="R4252" s="16" t="str">
        <f t="shared" si="1808"/>
        <v>x</v>
      </c>
      <c r="S4252" s="16" t="str">
        <f t="shared" si="1808"/>
        <v>x</v>
      </c>
      <c r="U4252" s="46" t="str">
        <f t="shared" si="1787"/>
        <v/>
      </c>
      <c r="V4252" s="46">
        <f t="shared" si="1787"/>
        <v>2</v>
      </c>
      <c r="W4252" s="46" t="str">
        <f t="shared" si="1787"/>
        <v/>
      </c>
      <c r="X4252" s="46" t="str">
        <f t="shared" si="1787"/>
        <v/>
      </c>
    </row>
    <row r="4253" spans="2:24" x14ac:dyDescent="0.25">
      <c r="N4253" s="8" t="str">
        <f>IF(R4253="x",1,"")</f>
        <v/>
      </c>
      <c r="U4253" s="46" t="str">
        <f t="shared" si="1787"/>
        <v/>
      </c>
      <c r="V4253" s="46" t="str">
        <f t="shared" si="1787"/>
        <v/>
      </c>
      <c r="W4253" s="46" t="str">
        <f t="shared" si="1787"/>
        <v/>
      </c>
      <c r="X4253" s="46" t="str">
        <f t="shared" si="1787"/>
        <v/>
      </c>
    </row>
    <row r="4254" spans="2:24" x14ac:dyDescent="0.25">
      <c r="B4254" s="18"/>
      <c r="C4254" s="18"/>
      <c r="D4254" s="18"/>
      <c r="E4254" s="40"/>
      <c r="F4254" s="18"/>
      <c r="G4254" s="40"/>
      <c r="H4254" s="7">
        <f t="shared" ref="H4254:N4254" si="1810">SUM(H4245:H4253)</f>
        <v>0</v>
      </c>
      <c r="I4254" s="7">
        <f t="shared" si="1810"/>
        <v>13</v>
      </c>
      <c r="J4254" s="7">
        <f>SUM(J4245:J4253)</f>
        <v>137</v>
      </c>
      <c r="K4254" s="7">
        <f t="shared" si="1810"/>
        <v>0</v>
      </c>
      <c r="L4254" s="7">
        <f t="shared" si="1810"/>
        <v>150</v>
      </c>
      <c r="M4254" s="7">
        <f t="shared" si="1810"/>
        <v>8</v>
      </c>
      <c r="N4254" s="7">
        <f t="shared" si="1810"/>
        <v>8</v>
      </c>
      <c r="O4254" s="18"/>
      <c r="P4254" s="13"/>
      <c r="Q4254" s="13"/>
      <c r="S4254" s="13"/>
      <c r="T4254" s="15"/>
      <c r="U4254" s="46" t="str">
        <f t="shared" si="1787"/>
        <v/>
      </c>
      <c r="V4254" s="46" t="str">
        <f t="shared" si="1787"/>
        <v/>
      </c>
      <c r="W4254" s="46" t="str">
        <f t="shared" si="1787"/>
        <v/>
      </c>
      <c r="X4254" s="46" t="str">
        <f t="shared" si="1787"/>
        <v/>
      </c>
    </row>
    <row r="4255" spans="2:24" x14ac:dyDescent="0.25">
      <c r="B4255" s="18"/>
      <c r="C4255" s="18"/>
      <c r="D4255" s="18"/>
      <c r="E4255" s="40"/>
      <c r="F4255" s="18"/>
      <c r="G4255" s="40"/>
      <c r="N4255" s="8" t="str">
        <f>IF(R4255="x",1,"")</f>
        <v/>
      </c>
      <c r="O4255" s="18"/>
      <c r="P4255" s="13"/>
      <c r="Q4255" s="13"/>
      <c r="R4255" s="13"/>
      <c r="S4255" s="13"/>
      <c r="T4255" s="15"/>
      <c r="U4255" s="46" t="str">
        <f t="shared" si="1787"/>
        <v/>
      </c>
      <c r="V4255" s="46" t="str">
        <f t="shared" si="1787"/>
        <v/>
      </c>
      <c r="W4255" s="46" t="str">
        <f t="shared" si="1787"/>
        <v/>
      </c>
      <c r="X4255" s="46" t="str">
        <f t="shared" si="1787"/>
        <v/>
      </c>
    </row>
    <row r="4256" spans="2:24" x14ac:dyDescent="0.25">
      <c r="B4256" s="18"/>
      <c r="C4256" s="18"/>
      <c r="D4256" s="18"/>
      <c r="E4256" s="40"/>
      <c r="F4256" s="18"/>
      <c r="G4256" s="40"/>
      <c r="N4256" s="8" t="str">
        <f>IF(R4256="x",1,"")</f>
        <v/>
      </c>
      <c r="O4256" s="18"/>
      <c r="P4256" s="13"/>
      <c r="Q4256" s="13"/>
      <c r="R4256" s="13"/>
      <c r="S4256" s="13"/>
      <c r="T4256" s="15"/>
      <c r="U4256" s="46" t="str">
        <f t="shared" si="1787"/>
        <v/>
      </c>
      <c r="V4256" s="46" t="str">
        <f t="shared" si="1787"/>
        <v/>
      </c>
      <c r="W4256" s="46" t="str">
        <f t="shared" si="1787"/>
        <v/>
      </c>
      <c r="X4256" s="46" t="str">
        <f t="shared" si="1787"/>
        <v/>
      </c>
    </row>
    <row r="4257" spans="2:26" x14ac:dyDescent="0.25">
      <c r="B4257" s="11" t="str">
        <f>CONCATENATE("MXMR","-",LEFT(P4257,2),UPPER(MID(P4257,4,3)),RIGHT(P4257,4))</f>
        <v>MXMR-30APR1919</v>
      </c>
      <c r="C4257" s="11" t="s">
        <v>3743</v>
      </c>
      <c r="D4257" s="11" t="s">
        <v>2440</v>
      </c>
      <c r="E4257" s="39" t="s">
        <v>3744</v>
      </c>
      <c r="F4257" s="11" t="s">
        <v>3366</v>
      </c>
      <c r="G4257" s="39" t="s">
        <v>3745</v>
      </c>
      <c r="H4257" s="7">
        <v>0</v>
      </c>
      <c r="J4257" s="17">
        <v>18</v>
      </c>
      <c r="K4257" s="17"/>
      <c r="L4257" s="7">
        <f>SUM(H4257:K4257)</f>
        <v>18</v>
      </c>
      <c r="M4257" s="8">
        <v>1</v>
      </c>
      <c r="N4257" s="8">
        <f>IF(L4257&gt;0,1,"")</f>
        <v>1</v>
      </c>
      <c r="O4257" s="11" t="s">
        <v>1702</v>
      </c>
      <c r="P4257" s="16" t="str">
        <f>IF(LEN(G4257)=10,CONCATENATE("0",G4257),G4257)</f>
        <v>30-Apr-1919</v>
      </c>
      <c r="R4257" s="16" t="str">
        <f>IF($L4257&gt;0,"x","")</f>
        <v>x</v>
      </c>
      <c r="S4257" s="16" t="str">
        <f>IF($L4257&gt;0,"x","")</f>
        <v>x</v>
      </c>
      <c r="U4257" s="46" t="str">
        <f t="shared" si="1787"/>
        <v/>
      </c>
      <c r="V4257" s="46">
        <f t="shared" si="1787"/>
        <v>18</v>
      </c>
      <c r="W4257" s="46" t="str">
        <f t="shared" si="1787"/>
        <v/>
      </c>
      <c r="X4257" s="46" t="str">
        <f t="shared" si="1787"/>
        <v/>
      </c>
    </row>
    <row r="4258" spans="2:26" x14ac:dyDescent="0.25">
      <c r="N4258" s="8" t="str">
        <f>IF(R4258="x",1,"")</f>
        <v/>
      </c>
      <c r="U4258" s="46" t="str">
        <f t="shared" si="1787"/>
        <v/>
      </c>
      <c r="V4258" s="46" t="str">
        <f t="shared" si="1787"/>
        <v/>
      </c>
      <c r="W4258" s="46" t="str">
        <f t="shared" si="1787"/>
        <v/>
      </c>
      <c r="X4258" s="46" t="str">
        <f t="shared" si="1787"/>
        <v/>
      </c>
    </row>
    <row r="4259" spans="2:26" x14ac:dyDescent="0.25">
      <c r="B4259" s="18"/>
      <c r="C4259" s="18"/>
      <c r="D4259" s="18"/>
      <c r="E4259" s="40"/>
      <c r="F4259" s="18"/>
      <c r="G4259" s="40"/>
      <c r="H4259" s="7">
        <f t="shared" ref="H4259:N4259" si="1811">SUM(H4257:H4258)</f>
        <v>0</v>
      </c>
      <c r="I4259" s="7">
        <f t="shared" si="1811"/>
        <v>0</v>
      </c>
      <c r="J4259" s="7">
        <f>SUM(J4257:J4258)</f>
        <v>18</v>
      </c>
      <c r="K4259" s="7">
        <f t="shared" si="1811"/>
        <v>0</v>
      </c>
      <c r="L4259" s="7">
        <f t="shared" si="1811"/>
        <v>18</v>
      </c>
      <c r="M4259" s="7">
        <f t="shared" si="1811"/>
        <v>1</v>
      </c>
      <c r="N4259" s="7">
        <f t="shared" si="1811"/>
        <v>1</v>
      </c>
      <c r="O4259" s="18"/>
      <c r="P4259" s="13"/>
      <c r="Q4259" s="13"/>
      <c r="S4259" s="13"/>
      <c r="T4259" s="15"/>
      <c r="U4259" s="46" t="str">
        <f t="shared" si="1787"/>
        <v/>
      </c>
      <c r="V4259" s="46" t="str">
        <f t="shared" si="1787"/>
        <v/>
      </c>
      <c r="W4259" s="46" t="str">
        <f t="shared" si="1787"/>
        <v/>
      </c>
      <c r="X4259" s="46" t="str">
        <f t="shared" si="1787"/>
        <v/>
      </c>
    </row>
    <row r="4260" spans="2:26" x14ac:dyDescent="0.25">
      <c r="B4260" s="18"/>
      <c r="C4260" s="18"/>
      <c r="D4260" s="18"/>
      <c r="E4260" s="40"/>
      <c r="F4260" s="18"/>
      <c r="G4260" s="40"/>
      <c r="N4260" s="8" t="str">
        <f>IF(R4260="x",1,"")</f>
        <v/>
      </c>
      <c r="O4260" s="18"/>
      <c r="P4260" s="13"/>
      <c r="Q4260" s="13"/>
      <c r="R4260" s="13"/>
      <c r="S4260" s="13"/>
      <c r="T4260" s="15"/>
      <c r="U4260" s="46" t="str">
        <f t="shared" si="1787"/>
        <v/>
      </c>
      <c r="V4260" s="46" t="str">
        <f t="shared" si="1787"/>
        <v/>
      </c>
      <c r="W4260" s="46" t="str">
        <f t="shared" si="1787"/>
        <v/>
      </c>
      <c r="X4260" s="46" t="str">
        <f t="shared" si="1787"/>
        <v/>
      </c>
    </row>
    <row r="4261" spans="2:26" x14ac:dyDescent="0.25">
      <c r="B4261" s="18"/>
      <c r="C4261" s="18"/>
      <c r="D4261" s="18"/>
      <c r="E4261" s="40"/>
      <c r="F4261" s="18"/>
      <c r="G4261" s="40"/>
      <c r="N4261" s="8" t="str">
        <f>IF(R4261="x",1,"")</f>
        <v/>
      </c>
      <c r="O4261" s="18"/>
      <c r="P4261" s="13"/>
      <c r="Q4261" s="13"/>
      <c r="R4261" s="13"/>
      <c r="S4261" s="13"/>
      <c r="T4261" s="15"/>
      <c r="U4261" s="46" t="str">
        <f t="shared" si="1787"/>
        <v/>
      </c>
      <c r="V4261" s="46" t="str">
        <f t="shared" si="1787"/>
        <v/>
      </c>
      <c r="W4261" s="46" t="str">
        <f t="shared" si="1787"/>
        <v/>
      </c>
      <c r="X4261" s="46" t="str">
        <f t="shared" si="1787"/>
        <v/>
      </c>
    </row>
    <row r="4262" spans="2:26" x14ac:dyDescent="0.25">
      <c r="B4262" s="11" t="str">
        <f>CONCATENATE("MIAM","-",LEFT(P4262,2),UPPER(MID(P4262,4,3)),RIGHT(P4262,4))</f>
        <v>MIAM-16OCT1913</v>
      </c>
      <c r="C4262" s="11" t="s">
        <v>4209</v>
      </c>
      <c r="D4262" s="11" t="s">
        <v>3122</v>
      </c>
      <c r="E4262" s="39" t="s">
        <v>4210</v>
      </c>
      <c r="F4262" s="11" t="s">
        <v>4211</v>
      </c>
      <c r="G4262" s="39" t="s">
        <v>4210</v>
      </c>
      <c r="J4262" s="17">
        <v>7</v>
      </c>
      <c r="K4262" s="17"/>
      <c r="L4262" s="7">
        <f>SUM(H4262:K4262)</f>
        <v>7</v>
      </c>
      <c r="M4262" s="8">
        <v>1</v>
      </c>
      <c r="N4262" s="8">
        <f>IF(L4262&gt;0,1,"")</f>
        <v>1</v>
      </c>
      <c r="O4262" s="11" t="s">
        <v>1702</v>
      </c>
      <c r="P4262" s="16" t="str">
        <f>IF(LEN(G4262)=10,CONCATENATE("0",G4262),G4262)</f>
        <v>16-Oct-1913</v>
      </c>
      <c r="R4262" s="16" t="str">
        <f>IF($L4262&gt;0,"x","")</f>
        <v>x</v>
      </c>
      <c r="S4262" s="16" t="str">
        <f>IF($L4262&gt;0,"x","")</f>
        <v>x</v>
      </c>
      <c r="U4262" s="46" t="str">
        <f t="shared" si="1787"/>
        <v/>
      </c>
      <c r="V4262" s="46">
        <f t="shared" si="1787"/>
        <v>7</v>
      </c>
      <c r="W4262" s="46" t="str">
        <f t="shared" si="1787"/>
        <v/>
      </c>
      <c r="X4262" s="46" t="str">
        <f t="shared" si="1787"/>
        <v/>
      </c>
    </row>
    <row r="4263" spans="2:26" x14ac:dyDescent="0.25">
      <c r="B4263" s="11" t="str">
        <f>CONCATENATE("MIAM","-",LEFT(P4263,2),UPPER(MID(P4263,4,3)),RIGHT(P4263,4))</f>
        <v>MIAM-07DEC1925</v>
      </c>
      <c r="C4263" s="11" t="s">
        <v>4209</v>
      </c>
      <c r="D4263" s="11" t="s">
        <v>3122</v>
      </c>
      <c r="E4263" s="39" t="s">
        <v>11351</v>
      </c>
      <c r="F4263" s="11" t="s">
        <v>4211</v>
      </c>
      <c r="G4263" s="39" t="s">
        <v>11351</v>
      </c>
      <c r="H4263" s="7">
        <v>1</v>
      </c>
      <c r="J4263" s="17"/>
      <c r="K4263" s="17"/>
      <c r="L4263" s="7">
        <f>SUM(H4263:K4263)</f>
        <v>1</v>
      </c>
      <c r="M4263" s="8">
        <v>1</v>
      </c>
      <c r="N4263" s="8">
        <f>IF(L4263&gt;0,1,"")</f>
        <v>1</v>
      </c>
      <c r="O4263" s="11" t="s">
        <v>1702</v>
      </c>
      <c r="P4263" s="16" t="str">
        <f>IF(LEN(G4263)=10,CONCATENATE("0",G4263),G4263)</f>
        <v>07-Dec-1925</v>
      </c>
      <c r="R4263" s="16" t="str">
        <f>IF($L4263&gt;0,"x","")</f>
        <v>x</v>
      </c>
      <c r="S4263" s="16" t="str">
        <f>IF($L4263&gt;0,"x","")</f>
        <v>x</v>
      </c>
      <c r="U4263" s="46" t="str">
        <f>IF($O4263=U$5,$L4263,"")</f>
        <v/>
      </c>
      <c r="V4263" s="46">
        <f>IF($O4263=V$5,$L4263,"")</f>
        <v>1</v>
      </c>
      <c r="W4263" s="46" t="str">
        <f>IF($O4263=W$5,$L4263,"")</f>
        <v/>
      </c>
      <c r="X4263" s="46" t="str">
        <f>IF($O4263=X$5,$L4263,"")</f>
        <v/>
      </c>
    </row>
    <row r="4264" spans="2:26" x14ac:dyDescent="0.25">
      <c r="N4264" s="8" t="str">
        <f>IF(R4264="x",1,"")</f>
        <v/>
      </c>
      <c r="U4264" s="46" t="str">
        <f t="shared" si="1787"/>
        <v/>
      </c>
      <c r="V4264" s="46" t="str">
        <f t="shared" si="1787"/>
        <v/>
      </c>
      <c r="W4264" s="46" t="str">
        <f t="shared" si="1787"/>
        <v/>
      </c>
      <c r="X4264" s="46" t="str">
        <f t="shared" si="1787"/>
        <v/>
      </c>
    </row>
    <row r="4265" spans="2:26" x14ac:dyDescent="0.25">
      <c r="B4265" s="18"/>
      <c r="C4265" s="18"/>
      <c r="D4265" s="18"/>
      <c r="E4265" s="40"/>
      <c r="F4265" s="18"/>
      <c r="G4265" s="40"/>
      <c r="H4265" s="7">
        <f t="shared" ref="H4265:N4265" si="1812">SUM(H4262:H4264)</f>
        <v>1</v>
      </c>
      <c r="I4265" s="7">
        <f t="shared" si="1812"/>
        <v>0</v>
      </c>
      <c r="J4265" s="7">
        <f>SUM(J4262:J4264)</f>
        <v>7</v>
      </c>
      <c r="K4265" s="7">
        <f t="shared" si="1812"/>
        <v>0</v>
      </c>
      <c r="L4265" s="7">
        <f t="shared" si="1812"/>
        <v>8</v>
      </c>
      <c r="M4265" s="7">
        <f t="shared" si="1812"/>
        <v>2</v>
      </c>
      <c r="N4265" s="7">
        <f t="shared" si="1812"/>
        <v>2</v>
      </c>
      <c r="O4265" s="18"/>
      <c r="P4265" s="13"/>
      <c r="Q4265" s="13"/>
      <c r="S4265" s="13"/>
      <c r="T4265" s="15"/>
      <c r="U4265" s="46" t="str">
        <f t="shared" si="1787"/>
        <v/>
      </c>
      <c r="V4265" s="46" t="str">
        <f t="shared" si="1787"/>
        <v/>
      </c>
      <c r="W4265" s="46" t="str">
        <f t="shared" si="1787"/>
        <v/>
      </c>
      <c r="X4265" s="46" t="str">
        <f t="shared" si="1787"/>
        <v/>
      </c>
    </row>
    <row r="4266" spans="2:26" s="18" customFormat="1" x14ac:dyDescent="0.25">
      <c r="E4266" s="40"/>
      <c r="G4266" s="40"/>
      <c r="H4266" s="7"/>
      <c r="I4266" s="7"/>
      <c r="J4266" s="7"/>
      <c r="K4266" s="7"/>
      <c r="L4266" s="7"/>
      <c r="M4266" s="8"/>
      <c r="N4266" s="8" t="str">
        <f>IF(R4266="x",1,"")</f>
        <v/>
      </c>
      <c r="P4266" s="13"/>
      <c r="Q4266" s="13"/>
      <c r="R4266" s="13"/>
      <c r="S4266" s="13"/>
      <c r="T4266" s="15"/>
      <c r="U4266" s="46" t="str">
        <f t="shared" si="1787"/>
        <v/>
      </c>
      <c r="V4266" s="46" t="str">
        <f t="shared" si="1787"/>
        <v/>
      </c>
      <c r="W4266" s="46" t="str">
        <f t="shared" si="1787"/>
        <v/>
      </c>
      <c r="X4266" s="46" t="str">
        <f t="shared" si="1787"/>
        <v/>
      </c>
      <c r="Z4266" s="11"/>
    </row>
    <row r="4267" spans="2:26" s="18" customFormat="1" x14ac:dyDescent="0.25">
      <c r="E4267" s="40"/>
      <c r="G4267" s="40"/>
      <c r="H4267" s="7"/>
      <c r="I4267" s="7"/>
      <c r="J4267" s="7"/>
      <c r="K4267" s="7"/>
      <c r="L4267" s="7"/>
      <c r="M4267" s="8"/>
      <c r="N4267" s="8" t="str">
        <f>IF(R4267="x",1,"")</f>
        <v/>
      </c>
      <c r="P4267" s="13"/>
      <c r="Q4267" s="13"/>
      <c r="R4267" s="13"/>
      <c r="S4267" s="13"/>
      <c r="T4267" s="15"/>
      <c r="U4267" s="46" t="str">
        <f t="shared" si="1787"/>
        <v/>
      </c>
      <c r="V4267" s="46" t="str">
        <f t="shared" si="1787"/>
        <v/>
      </c>
      <c r="W4267" s="46" t="str">
        <f t="shared" si="1787"/>
        <v/>
      </c>
      <c r="X4267" s="46" t="str">
        <f t="shared" si="1787"/>
        <v/>
      </c>
      <c r="Z4267" s="11"/>
    </row>
    <row r="4268" spans="2:26" x14ac:dyDescent="0.25">
      <c r="B4268" s="11" t="str">
        <f>CONCATENATE("MNDS","-",LEFT(P4268,2),UPPER(MID(P4268,4,3)),RIGHT(P4268,4))</f>
        <v>MNDS-30JUL1920</v>
      </c>
      <c r="C4268" s="11" t="s">
        <v>2811</v>
      </c>
      <c r="D4268" s="11" t="s">
        <v>2097</v>
      </c>
      <c r="E4268" s="39" t="s">
        <v>5510</v>
      </c>
      <c r="F4268" s="11" t="s">
        <v>2813</v>
      </c>
      <c r="G4268" s="39" t="s">
        <v>4879</v>
      </c>
      <c r="I4268" s="7">
        <v>0</v>
      </c>
      <c r="J4268" s="17">
        <v>9</v>
      </c>
      <c r="K4268" s="17"/>
      <c r="L4268" s="7">
        <f>SUM(H4268:K4268)</f>
        <v>9</v>
      </c>
      <c r="M4268" s="8">
        <v>1</v>
      </c>
      <c r="N4268" s="8">
        <f>IF(L4268&gt;0,1,"")</f>
        <v>1</v>
      </c>
      <c r="O4268" s="11" t="s">
        <v>1702</v>
      </c>
      <c r="P4268" s="16" t="str">
        <f>IF(LEN(G4268)=10,CONCATENATE("0",G4268),G4268)</f>
        <v>30-Jul-1920</v>
      </c>
      <c r="R4268" s="16" t="str">
        <f>IF($L4268&gt;0,"x","")</f>
        <v>x</v>
      </c>
      <c r="S4268" s="16" t="str">
        <f>IF($L4268&gt;0,"x","")</f>
        <v>x</v>
      </c>
      <c r="U4268" s="46" t="str">
        <f t="shared" si="1787"/>
        <v/>
      </c>
      <c r="V4268" s="46">
        <f t="shared" si="1787"/>
        <v>9</v>
      </c>
      <c r="W4268" s="46" t="str">
        <f t="shared" si="1787"/>
        <v/>
      </c>
      <c r="X4268" s="46" t="str">
        <f t="shared" si="1787"/>
        <v/>
      </c>
    </row>
    <row r="4269" spans="2:26" x14ac:dyDescent="0.25">
      <c r="B4269" s="11" t="str">
        <f>CONCATENATE("MNDS","-",LEFT(P4269,2),UPPER(MID(P4269,4,3)),RIGHT(P4269,4))</f>
        <v>MNDS-09OCT1920</v>
      </c>
      <c r="C4269" s="11" t="s">
        <v>2811</v>
      </c>
      <c r="D4269" s="11" t="s">
        <v>2097</v>
      </c>
      <c r="E4269" s="39" t="s">
        <v>2834</v>
      </c>
      <c r="F4269" s="11" t="s">
        <v>2813</v>
      </c>
      <c r="G4269" s="39" t="s">
        <v>2812</v>
      </c>
      <c r="J4269" s="17">
        <v>6</v>
      </c>
      <c r="K4269" s="17"/>
      <c r="L4269" s="7">
        <f>SUM(H4269:K4269)</f>
        <v>6</v>
      </c>
      <c r="M4269" s="8">
        <v>1</v>
      </c>
      <c r="N4269" s="8">
        <f>IF(L4269&gt;0,1,"")</f>
        <v>1</v>
      </c>
      <c r="O4269" s="11" t="s">
        <v>1702</v>
      </c>
      <c r="P4269" s="16" t="str">
        <f>IF(LEN(G4269)=10,CONCATENATE("0",G4269),G4269)</f>
        <v>09-Oct-1920</v>
      </c>
      <c r="R4269" s="16" t="str">
        <f t="shared" ref="R4269:S4293" si="1813">IF($L4269&gt;0,"x","")</f>
        <v>x</v>
      </c>
      <c r="S4269" s="16" t="str">
        <f t="shared" si="1813"/>
        <v>x</v>
      </c>
      <c r="U4269" s="46" t="str">
        <f t="shared" ref="U4269:X4270" si="1814">IF($O4269=U$5,$L4269,"")</f>
        <v/>
      </c>
      <c r="V4269" s="46">
        <f t="shared" si="1814"/>
        <v>6</v>
      </c>
      <c r="W4269" s="46" t="str">
        <f t="shared" si="1814"/>
        <v/>
      </c>
      <c r="X4269" s="46" t="str">
        <f t="shared" si="1814"/>
        <v/>
      </c>
    </row>
    <row r="4270" spans="2:26" x14ac:dyDescent="0.25">
      <c r="B4270" s="11" t="str">
        <f>CONCATENATE("MNDS","-",LEFT(P4270,2),UPPER(MID(P4270,4,3)),RIGHT(P4270,4))</f>
        <v>MNDS-16NOV1920</v>
      </c>
      <c r="C4270" s="11" t="s">
        <v>2811</v>
      </c>
      <c r="D4270" s="11" t="s">
        <v>1699</v>
      </c>
      <c r="E4270" s="39" t="s">
        <v>3975</v>
      </c>
      <c r="F4270" s="11" t="s">
        <v>2813</v>
      </c>
      <c r="G4270" s="39" t="s">
        <v>2955</v>
      </c>
      <c r="I4270" s="7">
        <v>0</v>
      </c>
      <c r="J4270" s="17">
        <v>19</v>
      </c>
      <c r="K4270" s="17"/>
      <c r="L4270" s="7">
        <f>SUM(H4270:K4270)</f>
        <v>19</v>
      </c>
      <c r="M4270" s="8">
        <v>1</v>
      </c>
      <c r="N4270" s="8">
        <f>IF(L4270&gt;0,1,"")</f>
        <v>1</v>
      </c>
      <c r="O4270" s="11" t="s">
        <v>1702</v>
      </c>
      <c r="P4270" s="16" t="str">
        <f>IF(LEN(G4270)=10,CONCATENATE("0",G4270),G4270)</f>
        <v>16-Nov-1920</v>
      </c>
      <c r="R4270" s="16" t="str">
        <f t="shared" si="1813"/>
        <v>x</v>
      </c>
      <c r="S4270" s="16" t="str">
        <f t="shared" si="1813"/>
        <v>x</v>
      </c>
      <c r="U4270" s="46" t="str">
        <f t="shared" si="1814"/>
        <v/>
      </c>
      <c r="V4270" s="46">
        <f t="shared" si="1814"/>
        <v>19</v>
      </c>
      <c r="W4270" s="46" t="str">
        <f t="shared" si="1814"/>
        <v/>
      </c>
      <c r="X4270" s="46" t="str">
        <f t="shared" si="1814"/>
        <v/>
      </c>
    </row>
    <row r="4271" spans="2:26" x14ac:dyDescent="0.25">
      <c r="B4271" s="11" t="str">
        <f t="shared" ref="B4271:B4290" si="1815">CONCATENATE("MNDS","-",LEFT(P4271,2),UPPER(MID(P4271,4,3)),RIGHT(P4271,4))</f>
        <v>MNDS-20JAN1921</v>
      </c>
      <c r="C4271" s="11" t="s">
        <v>2811</v>
      </c>
      <c r="D4271" s="11" t="s">
        <v>1699</v>
      </c>
      <c r="E4271" s="39" t="s">
        <v>2835</v>
      </c>
      <c r="F4271" s="11" t="s">
        <v>211</v>
      </c>
      <c r="G4271" s="39" t="s">
        <v>1612</v>
      </c>
      <c r="J4271" s="17">
        <v>4</v>
      </c>
      <c r="K4271" s="17"/>
      <c r="L4271" s="7">
        <f t="shared" ref="L4271:L4290" si="1816">SUM(H4271:K4271)</f>
        <v>4</v>
      </c>
      <c r="M4271" s="8">
        <v>1</v>
      </c>
      <c r="N4271" s="8">
        <f t="shared" ref="N4271:N4290" si="1817">IF(L4271&gt;0,1,"")</f>
        <v>1</v>
      </c>
      <c r="O4271" s="11" t="s">
        <v>1702</v>
      </c>
      <c r="P4271" s="16" t="str">
        <f t="shared" ref="P4271:P4290" si="1818">IF(LEN(G4271)=10,CONCATENATE("0",G4271),G4271)</f>
        <v>20-Jan-1921</v>
      </c>
      <c r="R4271" s="16" t="str">
        <f t="shared" si="1813"/>
        <v>x</v>
      </c>
      <c r="S4271" s="16" t="str">
        <f t="shared" si="1813"/>
        <v>x</v>
      </c>
      <c r="U4271" s="46" t="str">
        <f t="shared" si="1787"/>
        <v/>
      </c>
      <c r="V4271" s="46">
        <f t="shared" si="1787"/>
        <v>4</v>
      </c>
      <c r="W4271" s="46" t="str">
        <f t="shared" si="1787"/>
        <v/>
      </c>
      <c r="X4271" s="46" t="str">
        <f t="shared" si="1787"/>
        <v/>
      </c>
    </row>
    <row r="4272" spans="2:26" x14ac:dyDescent="0.25">
      <c r="B4272" s="11" t="str">
        <f t="shared" si="1815"/>
        <v>MNDS-20NOV1921</v>
      </c>
      <c r="C4272" s="11" t="s">
        <v>2811</v>
      </c>
      <c r="D4272" s="11" t="s">
        <v>2097</v>
      </c>
      <c r="E4272" s="39" t="s">
        <v>2836</v>
      </c>
      <c r="F4272" s="11" t="s">
        <v>2813</v>
      </c>
      <c r="G4272" s="39" t="s">
        <v>2815</v>
      </c>
      <c r="J4272" s="17">
        <v>1</v>
      </c>
      <c r="K4272" s="17"/>
      <c r="L4272" s="7">
        <f t="shared" si="1816"/>
        <v>1</v>
      </c>
      <c r="M4272" s="8">
        <v>1</v>
      </c>
      <c r="N4272" s="8">
        <f t="shared" si="1817"/>
        <v>1</v>
      </c>
      <c r="O4272" s="11" t="s">
        <v>1702</v>
      </c>
      <c r="P4272" s="16" t="str">
        <f t="shared" si="1818"/>
        <v>20-Nov-1921</v>
      </c>
      <c r="R4272" s="16" t="str">
        <f t="shared" si="1813"/>
        <v>x</v>
      </c>
      <c r="S4272" s="16" t="str">
        <f t="shared" si="1813"/>
        <v>x</v>
      </c>
      <c r="U4272" s="46" t="str">
        <f t="shared" si="1787"/>
        <v/>
      </c>
      <c r="V4272" s="46">
        <f t="shared" si="1787"/>
        <v>1</v>
      </c>
      <c r="W4272" s="46" t="str">
        <f t="shared" si="1787"/>
        <v/>
      </c>
      <c r="X4272" s="46" t="str">
        <f t="shared" si="1787"/>
        <v/>
      </c>
    </row>
    <row r="4273" spans="2:24" x14ac:dyDescent="0.25">
      <c r="B4273" s="11" t="str">
        <f t="shared" si="1815"/>
        <v>MNDS-25AUG1922</v>
      </c>
      <c r="C4273" s="11" t="s">
        <v>2811</v>
      </c>
      <c r="D4273" s="11" t="s">
        <v>2814</v>
      </c>
      <c r="E4273" s="39" t="s">
        <v>2837</v>
      </c>
      <c r="F4273" s="11" t="s">
        <v>2813</v>
      </c>
      <c r="G4273" s="39" t="s">
        <v>1151</v>
      </c>
      <c r="J4273" s="17">
        <v>1</v>
      </c>
      <c r="K4273" s="17"/>
      <c r="L4273" s="7">
        <f t="shared" si="1816"/>
        <v>1</v>
      </c>
      <c r="M4273" s="8">
        <v>1</v>
      </c>
      <c r="N4273" s="8">
        <f t="shared" si="1817"/>
        <v>1</v>
      </c>
      <c r="O4273" s="11" t="s">
        <v>1702</v>
      </c>
      <c r="P4273" s="16" t="str">
        <f t="shared" si="1818"/>
        <v>25-Aug-1922</v>
      </c>
      <c r="R4273" s="16" t="str">
        <f t="shared" si="1813"/>
        <v>x</v>
      </c>
      <c r="S4273" s="16" t="str">
        <f t="shared" si="1813"/>
        <v>x</v>
      </c>
      <c r="U4273" s="46" t="str">
        <f t="shared" si="1787"/>
        <v/>
      </c>
      <c r="V4273" s="46">
        <f t="shared" si="1787"/>
        <v>1</v>
      </c>
      <c r="W4273" s="46" t="str">
        <f t="shared" si="1787"/>
        <v/>
      </c>
      <c r="X4273" s="46" t="str">
        <f t="shared" si="1787"/>
        <v/>
      </c>
    </row>
    <row r="4274" spans="2:24" x14ac:dyDescent="0.25">
      <c r="B4274" s="11" t="str">
        <f t="shared" si="1815"/>
        <v>MNDS-23DEC1922</v>
      </c>
      <c r="C4274" s="11" t="s">
        <v>2811</v>
      </c>
      <c r="D4274" s="11" t="s">
        <v>2814</v>
      </c>
      <c r="E4274" s="39" t="s">
        <v>2838</v>
      </c>
      <c r="F4274" s="11" t="s">
        <v>211</v>
      </c>
      <c r="G4274" s="39" t="s">
        <v>2816</v>
      </c>
      <c r="J4274" s="17">
        <v>1</v>
      </c>
      <c r="K4274" s="17"/>
      <c r="L4274" s="7">
        <f t="shared" si="1816"/>
        <v>1</v>
      </c>
      <c r="M4274" s="8">
        <v>1</v>
      </c>
      <c r="N4274" s="8">
        <f t="shared" si="1817"/>
        <v>1</v>
      </c>
      <c r="O4274" s="11" t="s">
        <v>1702</v>
      </c>
      <c r="P4274" s="16" t="str">
        <f t="shared" si="1818"/>
        <v>23-Dec-1922</v>
      </c>
      <c r="R4274" s="16" t="str">
        <f t="shared" si="1813"/>
        <v>x</v>
      </c>
      <c r="S4274" s="16" t="str">
        <f t="shared" si="1813"/>
        <v>x</v>
      </c>
      <c r="T4274" s="11"/>
      <c r="U4274" s="46" t="str">
        <f t="shared" si="1787"/>
        <v/>
      </c>
      <c r="V4274" s="46">
        <f t="shared" si="1787"/>
        <v>1</v>
      </c>
      <c r="W4274" s="46" t="str">
        <f t="shared" si="1787"/>
        <v/>
      </c>
      <c r="X4274" s="46" t="str">
        <f t="shared" si="1787"/>
        <v/>
      </c>
    </row>
    <row r="4275" spans="2:24" x14ac:dyDescent="0.25">
      <c r="B4275" s="11" t="str">
        <f t="shared" si="1815"/>
        <v>MNDS-27FEB1923</v>
      </c>
      <c r="C4275" s="11" t="s">
        <v>2811</v>
      </c>
      <c r="D4275" s="11" t="s">
        <v>2814</v>
      </c>
      <c r="E4275" s="39" t="s">
        <v>2839</v>
      </c>
      <c r="F4275" s="11" t="s">
        <v>211</v>
      </c>
      <c r="G4275" s="39" t="s">
        <v>2817</v>
      </c>
      <c r="J4275" s="17">
        <v>1</v>
      </c>
      <c r="K4275" s="17"/>
      <c r="L4275" s="7">
        <f t="shared" si="1816"/>
        <v>1</v>
      </c>
      <c r="M4275" s="8">
        <v>1</v>
      </c>
      <c r="N4275" s="8">
        <f t="shared" si="1817"/>
        <v>1</v>
      </c>
      <c r="O4275" s="11" t="s">
        <v>1702</v>
      </c>
      <c r="P4275" s="16" t="str">
        <f t="shared" si="1818"/>
        <v>27-Feb-1923</v>
      </c>
      <c r="R4275" s="16" t="str">
        <f t="shared" si="1813"/>
        <v>x</v>
      </c>
      <c r="S4275" s="16" t="str">
        <f t="shared" si="1813"/>
        <v>x</v>
      </c>
      <c r="T4275" s="11"/>
      <c r="U4275" s="46" t="str">
        <f t="shared" si="1787"/>
        <v/>
      </c>
      <c r="V4275" s="46">
        <f t="shared" si="1787"/>
        <v>1</v>
      </c>
      <c r="W4275" s="46" t="str">
        <f t="shared" si="1787"/>
        <v/>
      </c>
      <c r="X4275" s="46" t="str">
        <f t="shared" si="1787"/>
        <v/>
      </c>
    </row>
    <row r="4276" spans="2:24" x14ac:dyDescent="0.25">
      <c r="B4276" s="11" t="str">
        <f t="shared" si="1815"/>
        <v>MNDS-02APR1923</v>
      </c>
      <c r="C4276" s="11" t="s">
        <v>2811</v>
      </c>
      <c r="D4276" s="11" t="s">
        <v>2814</v>
      </c>
      <c r="E4276" s="39" t="s">
        <v>2840</v>
      </c>
      <c r="F4276" s="11" t="s">
        <v>211</v>
      </c>
      <c r="G4276" s="39" t="s">
        <v>2818</v>
      </c>
      <c r="J4276" s="17">
        <v>5</v>
      </c>
      <c r="K4276" s="17"/>
      <c r="L4276" s="7">
        <f t="shared" si="1816"/>
        <v>5</v>
      </c>
      <c r="M4276" s="8">
        <v>1</v>
      </c>
      <c r="N4276" s="8">
        <f t="shared" si="1817"/>
        <v>1</v>
      </c>
      <c r="O4276" s="11" t="s">
        <v>1702</v>
      </c>
      <c r="P4276" s="16" t="str">
        <f t="shared" si="1818"/>
        <v>02-Apr-1923</v>
      </c>
      <c r="R4276" s="16" t="str">
        <f t="shared" si="1813"/>
        <v>x</v>
      </c>
      <c r="S4276" s="16" t="str">
        <f t="shared" si="1813"/>
        <v>x</v>
      </c>
      <c r="T4276" s="11"/>
      <c r="U4276" s="46" t="str">
        <f t="shared" si="1787"/>
        <v/>
      </c>
      <c r="V4276" s="46">
        <f t="shared" si="1787"/>
        <v>5</v>
      </c>
      <c r="W4276" s="46" t="str">
        <f t="shared" si="1787"/>
        <v/>
      </c>
      <c r="X4276" s="46" t="str">
        <f t="shared" si="1787"/>
        <v/>
      </c>
    </row>
    <row r="4277" spans="2:24" x14ac:dyDescent="0.25">
      <c r="B4277" s="11" t="str">
        <f t="shared" si="1815"/>
        <v>MNDS-07MAY1923</v>
      </c>
      <c r="C4277" s="11" t="s">
        <v>2811</v>
      </c>
      <c r="D4277" s="11" t="s">
        <v>2814</v>
      </c>
      <c r="E4277" s="39" t="s">
        <v>2841</v>
      </c>
      <c r="F4277" s="11" t="s">
        <v>2813</v>
      </c>
      <c r="G4277" s="39" t="s">
        <v>2819</v>
      </c>
      <c r="I4277" s="7">
        <v>1</v>
      </c>
      <c r="J4277" s="17">
        <f>5+1</f>
        <v>6</v>
      </c>
      <c r="K4277" s="17"/>
      <c r="L4277" s="7">
        <f t="shared" si="1816"/>
        <v>7</v>
      </c>
      <c r="M4277" s="8">
        <v>1</v>
      </c>
      <c r="N4277" s="8">
        <f t="shared" si="1817"/>
        <v>1</v>
      </c>
      <c r="O4277" s="11" t="s">
        <v>1702</v>
      </c>
      <c r="P4277" s="16" t="str">
        <f t="shared" si="1818"/>
        <v>07-May-1923</v>
      </c>
      <c r="R4277" s="16" t="str">
        <f t="shared" si="1813"/>
        <v>x</v>
      </c>
      <c r="S4277" s="16" t="str">
        <f t="shared" si="1813"/>
        <v>x</v>
      </c>
      <c r="U4277" s="46" t="str">
        <f t="shared" si="1787"/>
        <v/>
      </c>
      <c r="V4277" s="46">
        <f t="shared" si="1787"/>
        <v>7</v>
      </c>
      <c r="W4277" s="46" t="str">
        <f t="shared" si="1787"/>
        <v/>
      </c>
      <c r="X4277" s="46" t="str">
        <f t="shared" si="1787"/>
        <v/>
      </c>
    </row>
    <row r="4278" spans="2:24" x14ac:dyDescent="0.25">
      <c r="B4278" s="11" t="str">
        <f t="shared" si="1815"/>
        <v>MNDS-09JUN1923</v>
      </c>
      <c r="C4278" s="11" t="s">
        <v>2811</v>
      </c>
      <c r="D4278" s="11" t="s">
        <v>2814</v>
      </c>
      <c r="E4278" s="39" t="s">
        <v>2842</v>
      </c>
      <c r="F4278" s="11" t="s">
        <v>2813</v>
      </c>
      <c r="G4278" s="39" t="s">
        <v>2820</v>
      </c>
      <c r="J4278" s="17">
        <v>2</v>
      </c>
      <c r="K4278" s="17"/>
      <c r="L4278" s="7">
        <f t="shared" si="1816"/>
        <v>2</v>
      </c>
      <c r="M4278" s="8">
        <v>1</v>
      </c>
      <c r="N4278" s="8">
        <f t="shared" si="1817"/>
        <v>1</v>
      </c>
      <c r="O4278" s="11" t="s">
        <v>1702</v>
      </c>
      <c r="P4278" s="16" t="str">
        <f t="shared" si="1818"/>
        <v>09-Jun-1923</v>
      </c>
      <c r="R4278" s="16" t="str">
        <f t="shared" si="1813"/>
        <v>x</v>
      </c>
      <c r="S4278" s="16" t="str">
        <f t="shared" si="1813"/>
        <v>x</v>
      </c>
      <c r="T4278" s="11"/>
      <c r="U4278" s="46" t="str">
        <f t="shared" si="1787"/>
        <v/>
      </c>
      <c r="V4278" s="46">
        <f t="shared" si="1787"/>
        <v>2</v>
      </c>
      <c r="W4278" s="46" t="str">
        <f t="shared" si="1787"/>
        <v/>
      </c>
      <c r="X4278" s="46" t="str">
        <f t="shared" si="1787"/>
        <v/>
      </c>
    </row>
    <row r="4279" spans="2:24" x14ac:dyDescent="0.25">
      <c r="B4279" s="11" t="str">
        <f t="shared" si="1815"/>
        <v>MNDS-30JUN1923</v>
      </c>
      <c r="C4279" s="11" t="s">
        <v>2811</v>
      </c>
      <c r="D4279" s="11" t="s">
        <v>2814</v>
      </c>
      <c r="E4279" s="39" t="s">
        <v>2843</v>
      </c>
      <c r="F4279" s="11" t="s">
        <v>2813</v>
      </c>
      <c r="G4279" s="39" t="s">
        <v>2821</v>
      </c>
      <c r="J4279" s="17">
        <v>52</v>
      </c>
      <c r="K4279" s="17"/>
      <c r="L4279" s="7">
        <f t="shared" si="1816"/>
        <v>52</v>
      </c>
      <c r="M4279" s="8">
        <v>1</v>
      </c>
      <c r="N4279" s="8">
        <f t="shared" si="1817"/>
        <v>1</v>
      </c>
      <c r="O4279" s="11" t="s">
        <v>1702</v>
      </c>
      <c r="P4279" s="16" t="str">
        <f t="shared" si="1818"/>
        <v>30-Jun-1923</v>
      </c>
      <c r="R4279" s="16" t="str">
        <f t="shared" si="1813"/>
        <v>x</v>
      </c>
      <c r="S4279" s="16" t="str">
        <f t="shared" si="1813"/>
        <v>x</v>
      </c>
      <c r="U4279" s="46" t="str">
        <f t="shared" si="1787"/>
        <v/>
      </c>
      <c r="V4279" s="46">
        <f t="shared" si="1787"/>
        <v>52</v>
      </c>
      <c r="W4279" s="46" t="str">
        <f t="shared" si="1787"/>
        <v/>
      </c>
      <c r="X4279" s="46" t="str">
        <f t="shared" si="1787"/>
        <v/>
      </c>
    </row>
    <row r="4280" spans="2:24" x14ac:dyDescent="0.25">
      <c r="B4280" s="11" t="str">
        <f t="shared" si="1815"/>
        <v>MNDS-27JUL1923</v>
      </c>
      <c r="C4280" s="11" t="s">
        <v>2811</v>
      </c>
      <c r="D4280" s="11" t="s">
        <v>2814</v>
      </c>
      <c r="E4280" s="39" t="s">
        <v>2844</v>
      </c>
      <c r="F4280" s="11" t="s">
        <v>2813</v>
      </c>
      <c r="G4280" s="39" t="s">
        <v>2822</v>
      </c>
      <c r="J4280" s="17">
        <v>4</v>
      </c>
      <c r="K4280" s="17"/>
      <c r="L4280" s="7">
        <f t="shared" si="1816"/>
        <v>4</v>
      </c>
      <c r="M4280" s="8">
        <v>1</v>
      </c>
      <c r="N4280" s="8">
        <f t="shared" si="1817"/>
        <v>1</v>
      </c>
      <c r="O4280" s="11" t="s">
        <v>1702</v>
      </c>
      <c r="P4280" s="16" t="str">
        <f t="shared" si="1818"/>
        <v>27-Jul-1923</v>
      </c>
      <c r="R4280" s="16" t="str">
        <f t="shared" si="1813"/>
        <v>x</v>
      </c>
      <c r="S4280" s="16" t="str">
        <f t="shared" si="1813"/>
        <v>x</v>
      </c>
      <c r="T4280" s="11"/>
      <c r="U4280" s="46" t="str">
        <f t="shared" si="1787"/>
        <v/>
      </c>
      <c r="V4280" s="46">
        <f t="shared" si="1787"/>
        <v>4</v>
      </c>
      <c r="W4280" s="46" t="str">
        <f t="shared" si="1787"/>
        <v/>
      </c>
      <c r="X4280" s="46" t="str">
        <f t="shared" si="1787"/>
        <v/>
      </c>
    </row>
    <row r="4281" spans="2:24" x14ac:dyDescent="0.25">
      <c r="B4281" s="11" t="str">
        <f t="shared" si="1815"/>
        <v>MNDS-21SEP1923</v>
      </c>
      <c r="C4281" s="11" t="s">
        <v>2811</v>
      </c>
      <c r="D4281" s="11" t="s">
        <v>2814</v>
      </c>
      <c r="E4281" s="39" t="s">
        <v>2900</v>
      </c>
      <c r="F4281" s="11" t="s">
        <v>2813</v>
      </c>
      <c r="G4281" s="39" t="s">
        <v>2823</v>
      </c>
      <c r="I4281" s="7">
        <v>0</v>
      </c>
      <c r="J4281" s="17">
        <f>22+5</f>
        <v>27</v>
      </c>
      <c r="K4281" s="17"/>
      <c r="L4281" s="7">
        <f t="shared" si="1816"/>
        <v>27</v>
      </c>
      <c r="M4281" s="8">
        <v>1</v>
      </c>
      <c r="N4281" s="8">
        <f t="shared" si="1817"/>
        <v>1</v>
      </c>
      <c r="O4281" s="11" t="s">
        <v>1702</v>
      </c>
      <c r="P4281" s="16" t="str">
        <f t="shared" si="1818"/>
        <v>21-Sep-1923</v>
      </c>
      <c r="R4281" s="16" t="str">
        <f t="shared" si="1813"/>
        <v>x</v>
      </c>
      <c r="S4281" s="16" t="str">
        <f t="shared" si="1813"/>
        <v>x</v>
      </c>
      <c r="T4281" s="11"/>
      <c r="U4281" s="46" t="str">
        <f t="shared" si="1787"/>
        <v/>
      </c>
      <c r="V4281" s="46">
        <f t="shared" si="1787"/>
        <v>27</v>
      </c>
      <c r="W4281" s="46" t="str">
        <f t="shared" si="1787"/>
        <v/>
      </c>
      <c r="X4281" s="46" t="str">
        <f t="shared" si="1787"/>
        <v/>
      </c>
    </row>
    <row r="4282" spans="2:24" x14ac:dyDescent="0.25">
      <c r="B4282" s="11" t="str">
        <f t="shared" si="1815"/>
        <v>MNDS-19OCT1923</v>
      </c>
      <c r="C4282" s="11" t="s">
        <v>2811</v>
      </c>
      <c r="D4282" s="11" t="s">
        <v>2814</v>
      </c>
      <c r="E4282" s="39" t="s">
        <v>2845</v>
      </c>
      <c r="F4282" s="11" t="s">
        <v>2813</v>
      </c>
      <c r="G4282" s="39" t="s">
        <v>2824</v>
      </c>
      <c r="J4282" s="17">
        <v>2</v>
      </c>
      <c r="K4282" s="17"/>
      <c r="L4282" s="7">
        <f t="shared" si="1816"/>
        <v>2</v>
      </c>
      <c r="M4282" s="8">
        <v>1</v>
      </c>
      <c r="N4282" s="8">
        <f t="shared" si="1817"/>
        <v>1</v>
      </c>
      <c r="O4282" s="11" t="s">
        <v>1702</v>
      </c>
      <c r="P4282" s="16" t="str">
        <f t="shared" si="1818"/>
        <v>19-Oct-1923</v>
      </c>
      <c r="R4282" s="16" t="str">
        <f t="shared" si="1813"/>
        <v>x</v>
      </c>
      <c r="S4282" s="16" t="str">
        <f t="shared" si="1813"/>
        <v>x</v>
      </c>
      <c r="T4282" s="11"/>
      <c r="U4282" s="46" t="str">
        <f t="shared" si="1787"/>
        <v/>
      </c>
      <c r="V4282" s="46">
        <f t="shared" si="1787"/>
        <v>2</v>
      </c>
      <c r="W4282" s="46" t="str">
        <f t="shared" si="1787"/>
        <v/>
      </c>
      <c r="X4282" s="46" t="str">
        <f t="shared" si="1787"/>
        <v/>
      </c>
    </row>
    <row r="4283" spans="2:24" x14ac:dyDescent="0.25">
      <c r="B4283" s="11" t="str">
        <f t="shared" si="1815"/>
        <v>MNDS-16NOV1923</v>
      </c>
      <c r="C4283" s="11" t="s">
        <v>2811</v>
      </c>
      <c r="D4283" s="11" t="s">
        <v>2814</v>
      </c>
      <c r="E4283" s="39" t="s">
        <v>2846</v>
      </c>
      <c r="F4283" s="11" t="s">
        <v>2813</v>
      </c>
      <c r="G4283" s="39" t="s">
        <v>2825</v>
      </c>
      <c r="J4283" s="17">
        <v>4</v>
      </c>
      <c r="K4283" s="17"/>
      <c r="L4283" s="7">
        <f t="shared" si="1816"/>
        <v>4</v>
      </c>
      <c r="M4283" s="8">
        <v>1</v>
      </c>
      <c r="N4283" s="8">
        <f t="shared" si="1817"/>
        <v>1</v>
      </c>
      <c r="O4283" s="11" t="s">
        <v>1702</v>
      </c>
      <c r="P4283" s="16" t="str">
        <f t="shared" si="1818"/>
        <v>16-Nov-1923</v>
      </c>
      <c r="R4283" s="16" t="str">
        <f t="shared" si="1813"/>
        <v>x</v>
      </c>
      <c r="S4283" s="16" t="str">
        <f t="shared" si="1813"/>
        <v>x</v>
      </c>
      <c r="T4283" s="11"/>
      <c r="U4283" s="46" t="str">
        <f t="shared" si="1787"/>
        <v/>
      </c>
      <c r="V4283" s="46">
        <f t="shared" si="1787"/>
        <v>4</v>
      </c>
      <c r="W4283" s="46" t="str">
        <f t="shared" si="1787"/>
        <v/>
      </c>
      <c r="X4283" s="46" t="str">
        <f t="shared" si="1787"/>
        <v/>
      </c>
    </row>
    <row r="4284" spans="2:24" x14ac:dyDescent="0.25">
      <c r="B4284" s="11" t="str">
        <f t="shared" si="1815"/>
        <v>MNDS-24DEC1923</v>
      </c>
      <c r="C4284" s="11" t="s">
        <v>2811</v>
      </c>
      <c r="D4284" s="11" t="s">
        <v>2814</v>
      </c>
      <c r="E4284" s="39" t="s">
        <v>2847</v>
      </c>
      <c r="F4284" s="11" t="s">
        <v>211</v>
      </c>
      <c r="G4284" s="39" t="s">
        <v>2826</v>
      </c>
      <c r="J4284" s="17">
        <v>10</v>
      </c>
      <c r="K4284" s="17"/>
      <c r="L4284" s="7">
        <f t="shared" si="1816"/>
        <v>10</v>
      </c>
      <c r="M4284" s="8">
        <v>1</v>
      </c>
      <c r="N4284" s="8">
        <f t="shared" si="1817"/>
        <v>1</v>
      </c>
      <c r="O4284" s="11" t="s">
        <v>1702</v>
      </c>
      <c r="P4284" s="16" t="str">
        <f t="shared" si="1818"/>
        <v>24-Dec-1923</v>
      </c>
      <c r="R4284" s="16" t="str">
        <f t="shared" si="1813"/>
        <v>x</v>
      </c>
      <c r="S4284" s="16" t="str">
        <f t="shared" si="1813"/>
        <v>x</v>
      </c>
      <c r="T4284" s="11"/>
      <c r="U4284" s="46" t="str">
        <f t="shared" si="1787"/>
        <v/>
      </c>
      <c r="V4284" s="46">
        <f t="shared" si="1787"/>
        <v>10</v>
      </c>
      <c r="W4284" s="46" t="str">
        <f t="shared" si="1787"/>
        <v/>
      </c>
      <c r="X4284" s="46" t="str">
        <f t="shared" si="1787"/>
        <v/>
      </c>
    </row>
    <row r="4285" spans="2:24" x14ac:dyDescent="0.25">
      <c r="B4285" s="11" t="str">
        <f t="shared" si="1815"/>
        <v>MNDS-27JAN1924</v>
      </c>
      <c r="C4285" s="11" t="s">
        <v>2811</v>
      </c>
      <c r="D4285" s="11" t="s">
        <v>2814</v>
      </c>
      <c r="E4285" s="39" t="s">
        <v>2848</v>
      </c>
      <c r="F4285" s="11" t="s">
        <v>211</v>
      </c>
      <c r="G4285" s="39" t="s">
        <v>2827</v>
      </c>
      <c r="J4285" s="17">
        <v>6</v>
      </c>
      <c r="K4285" s="17"/>
      <c r="L4285" s="7">
        <f t="shared" si="1816"/>
        <v>6</v>
      </c>
      <c r="M4285" s="8">
        <v>1</v>
      </c>
      <c r="N4285" s="8">
        <f t="shared" si="1817"/>
        <v>1</v>
      </c>
      <c r="O4285" s="11" t="s">
        <v>1702</v>
      </c>
      <c r="P4285" s="16" t="str">
        <f t="shared" si="1818"/>
        <v>27-Jan-1924</v>
      </c>
      <c r="R4285" s="16" t="str">
        <f t="shared" si="1813"/>
        <v>x</v>
      </c>
      <c r="S4285" s="16" t="str">
        <f t="shared" si="1813"/>
        <v>x</v>
      </c>
      <c r="T4285" s="11"/>
      <c r="U4285" s="46" t="str">
        <f t="shared" si="1787"/>
        <v/>
      </c>
      <c r="V4285" s="46">
        <f t="shared" si="1787"/>
        <v>6</v>
      </c>
      <c r="W4285" s="46" t="str">
        <f t="shared" si="1787"/>
        <v/>
      </c>
      <c r="X4285" s="46" t="str">
        <f t="shared" si="1787"/>
        <v/>
      </c>
    </row>
    <row r="4286" spans="2:24" x14ac:dyDescent="0.25">
      <c r="B4286" s="11" t="str">
        <f t="shared" si="1815"/>
        <v>MNDS-26APR1924</v>
      </c>
      <c r="C4286" s="11" t="s">
        <v>2811</v>
      </c>
      <c r="D4286" s="11" t="s">
        <v>2814</v>
      </c>
      <c r="E4286" s="39" t="s">
        <v>2849</v>
      </c>
      <c r="F4286" s="11" t="s">
        <v>2813</v>
      </c>
      <c r="G4286" s="39" t="s">
        <v>2828</v>
      </c>
      <c r="J4286" s="17">
        <v>12</v>
      </c>
      <c r="K4286" s="17"/>
      <c r="L4286" s="7">
        <f t="shared" si="1816"/>
        <v>12</v>
      </c>
      <c r="M4286" s="8">
        <v>1</v>
      </c>
      <c r="N4286" s="8">
        <f t="shared" si="1817"/>
        <v>1</v>
      </c>
      <c r="O4286" s="11" t="s">
        <v>1702</v>
      </c>
      <c r="P4286" s="16" t="str">
        <f t="shared" si="1818"/>
        <v>26-Apr-1924</v>
      </c>
      <c r="R4286" s="16" t="str">
        <f t="shared" si="1813"/>
        <v>x</v>
      </c>
      <c r="S4286" s="16" t="str">
        <f t="shared" si="1813"/>
        <v>x</v>
      </c>
      <c r="T4286" s="11"/>
      <c r="U4286" s="46" t="str">
        <f t="shared" si="1787"/>
        <v/>
      </c>
      <c r="V4286" s="46">
        <f t="shared" si="1787"/>
        <v>12</v>
      </c>
      <c r="W4286" s="46" t="str">
        <f t="shared" si="1787"/>
        <v/>
      </c>
      <c r="X4286" s="46" t="str">
        <f t="shared" si="1787"/>
        <v/>
      </c>
    </row>
    <row r="4287" spans="2:24" x14ac:dyDescent="0.25">
      <c r="B4287" s="11" t="str">
        <f t="shared" si="1815"/>
        <v>MNDS-23MAY1924</v>
      </c>
      <c r="C4287" s="11" t="s">
        <v>2811</v>
      </c>
      <c r="D4287" s="11" t="s">
        <v>2814</v>
      </c>
      <c r="E4287" s="39" t="s">
        <v>2850</v>
      </c>
      <c r="F4287" s="11" t="s">
        <v>2813</v>
      </c>
      <c r="G4287" s="39" t="s">
        <v>2829</v>
      </c>
      <c r="J4287" s="17">
        <v>14</v>
      </c>
      <c r="K4287" s="17"/>
      <c r="L4287" s="7">
        <f t="shared" si="1816"/>
        <v>14</v>
      </c>
      <c r="M4287" s="8">
        <v>1</v>
      </c>
      <c r="N4287" s="8">
        <f t="shared" si="1817"/>
        <v>1</v>
      </c>
      <c r="O4287" s="11" t="s">
        <v>1702</v>
      </c>
      <c r="P4287" s="16" t="str">
        <f t="shared" si="1818"/>
        <v>23-May-1924</v>
      </c>
      <c r="R4287" s="16" t="str">
        <f t="shared" si="1813"/>
        <v>x</v>
      </c>
      <c r="S4287" s="16" t="str">
        <f t="shared" si="1813"/>
        <v>x</v>
      </c>
      <c r="T4287" s="11"/>
      <c r="U4287" s="46" t="str">
        <f t="shared" si="1787"/>
        <v/>
      </c>
      <c r="V4287" s="46">
        <f t="shared" si="1787"/>
        <v>14</v>
      </c>
      <c r="W4287" s="46" t="str">
        <f t="shared" si="1787"/>
        <v/>
      </c>
      <c r="X4287" s="46" t="str">
        <f t="shared" si="1787"/>
        <v/>
      </c>
    </row>
    <row r="4288" spans="2:24" x14ac:dyDescent="0.25">
      <c r="B4288" s="11" t="str">
        <f t="shared" si="1815"/>
        <v>MNDS-20JUN1924</v>
      </c>
      <c r="C4288" s="11" t="s">
        <v>2811</v>
      </c>
      <c r="D4288" s="11" t="s">
        <v>2814</v>
      </c>
      <c r="E4288" s="39" t="s">
        <v>2851</v>
      </c>
      <c r="F4288" s="11" t="s">
        <v>2813</v>
      </c>
      <c r="G4288" s="39" t="s">
        <v>2830</v>
      </c>
      <c r="J4288" s="17">
        <v>3</v>
      </c>
      <c r="K4288" s="17"/>
      <c r="L4288" s="7">
        <f t="shared" si="1816"/>
        <v>3</v>
      </c>
      <c r="M4288" s="8">
        <v>1</v>
      </c>
      <c r="N4288" s="8">
        <f t="shared" si="1817"/>
        <v>1</v>
      </c>
      <c r="O4288" s="11" t="s">
        <v>1702</v>
      </c>
      <c r="P4288" s="16" t="str">
        <f t="shared" si="1818"/>
        <v>20-Jun-1924</v>
      </c>
      <c r="R4288" s="16" t="str">
        <f t="shared" si="1813"/>
        <v>x</v>
      </c>
      <c r="S4288" s="16" t="str">
        <f t="shared" si="1813"/>
        <v>x</v>
      </c>
      <c r="T4288" s="11"/>
      <c r="U4288" s="46" t="str">
        <f t="shared" si="1787"/>
        <v/>
      </c>
      <c r="V4288" s="46">
        <f t="shared" si="1787"/>
        <v>3</v>
      </c>
      <c r="W4288" s="46" t="str">
        <f t="shared" si="1787"/>
        <v/>
      </c>
      <c r="X4288" s="46" t="str">
        <f t="shared" si="1787"/>
        <v/>
      </c>
    </row>
    <row r="4289" spans="2:26" x14ac:dyDescent="0.25">
      <c r="B4289" s="11" t="str">
        <f>CONCATENATE("MNDS","-",LEFT(P4289,2),UPPER(MID(P4289,4,3)),RIGHT(P4289,4))</f>
        <v>MNDS-14AUG1924</v>
      </c>
      <c r="C4289" s="11" t="s">
        <v>2811</v>
      </c>
      <c r="D4289" s="11" t="s">
        <v>2224</v>
      </c>
      <c r="E4289" s="39" t="s">
        <v>2901</v>
      </c>
      <c r="F4289" s="11" t="s">
        <v>2813</v>
      </c>
      <c r="G4289" s="39" t="s">
        <v>2902</v>
      </c>
      <c r="I4289" s="7">
        <v>0</v>
      </c>
      <c r="J4289" s="17">
        <v>1</v>
      </c>
      <c r="K4289" s="17"/>
      <c r="L4289" s="7">
        <f t="shared" si="1816"/>
        <v>1</v>
      </c>
      <c r="M4289" s="8">
        <v>1</v>
      </c>
      <c r="N4289" s="8">
        <f>IF(L4289&gt;0,1,"")</f>
        <v>1</v>
      </c>
      <c r="O4289" s="11" t="s">
        <v>1702</v>
      </c>
      <c r="P4289" s="16" t="str">
        <f>IF(LEN(G4289)=10,CONCATENATE("0",G4289),G4289)</f>
        <v>14-Aug-1924</v>
      </c>
      <c r="R4289" s="16" t="str">
        <f t="shared" si="1813"/>
        <v>x</v>
      </c>
      <c r="S4289" s="16" t="str">
        <f t="shared" si="1813"/>
        <v>x</v>
      </c>
      <c r="T4289" s="11"/>
      <c r="U4289" s="46" t="str">
        <f t="shared" si="1787"/>
        <v/>
      </c>
      <c r="V4289" s="46">
        <f t="shared" si="1787"/>
        <v>1</v>
      </c>
      <c r="W4289" s="46" t="str">
        <f t="shared" si="1787"/>
        <v/>
      </c>
      <c r="X4289" s="46" t="str">
        <f t="shared" si="1787"/>
        <v/>
      </c>
    </row>
    <row r="4290" spans="2:26" x14ac:dyDescent="0.25">
      <c r="B4290" s="11" t="str">
        <f t="shared" si="1815"/>
        <v>MNDS-12SEP1924</v>
      </c>
      <c r="C4290" s="11" t="s">
        <v>2811</v>
      </c>
      <c r="D4290" s="11" t="s">
        <v>2814</v>
      </c>
      <c r="E4290" s="39" t="s">
        <v>2852</v>
      </c>
      <c r="F4290" s="11" t="s">
        <v>2813</v>
      </c>
      <c r="G4290" s="39" t="s">
        <v>2831</v>
      </c>
      <c r="J4290" s="17">
        <v>1</v>
      </c>
      <c r="K4290" s="17"/>
      <c r="L4290" s="7">
        <f t="shared" si="1816"/>
        <v>1</v>
      </c>
      <c r="M4290" s="8">
        <v>1</v>
      </c>
      <c r="N4290" s="8">
        <f t="shared" si="1817"/>
        <v>1</v>
      </c>
      <c r="O4290" s="11" t="s">
        <v>1702</v>
      </c>
      <c r="P4290" s="16" t="str">
        <f t="shared" si="1818"/>
        <v>12-Sep-1924</v>
      </c>
      <c r="R4290" s="16" t="str">
        <f t="shared" si="1813"/>
        <v>x</v>
      </c>
      <c r="S4290" s="16" t="str">
        <f t="shared" si="1813"/>
        <v>x</v>
      </c>
      <c r="U4290" s="46" t="str">
        <f t="shared" si="1787"/>
        <v/>
      </c>
      <c r="V4290" s="46">
        <f t="shared" si="1787"/>
        <v>1</v>
      </c>
      <c r="W4290" s="46" t="str">
        <f t="shared" si="1787"/>
        <v/>
      </c>
      <c r="X4290" s="46" t="str">
        <f t="shared" si="1787"/>
        <v/>
      </c>
    </row>
    <row r="4291" spans="2:26" x14ac:dyDescent="0.25">
      <c r="B4291" s="11" t="str">
        <f>CONCATENATE("MNDS","-",LEFT(P4291,2),UPPER(MID(P4291,4,3)),RIGHT(P4291,4))</f>
        <v>MNDS-10OCT1924</v>
      </c>
      <c r="C4291" s="11" t="s">
        <v>2811</v>
      </c>
      <c r="D4291" s="11" t="s">
        <v>2814</v>
      </c>
      <c r="E4291" s="39" t="s">
        <v>2853</v>
      </c>
      <c r="F4291" s="11" t="s">
        <v>2813</v>
      </c>
      <c r="G4291" s="39" t="s">
        <v>2832</v>
      </c>
      <c r="I4291" s="7">
        <v>1</v>
      </c>
      <c r="J4291" s="17"/>
      <c r="K4291" s="17"/>
      <c r="L4291" s="7">
        <f>SUM(H4291:K4291)</f>
        <v>1</v>
      </c>
      <c r="M4291" s="8">
        <v>1</v>
      </c>
      <c r="N4291" s="8">
        <f>IF(L4291&gt;0,1,"")</f>
        <v>1</v>
      </c>
      <c r="O4291" s="11" t="s">
        <v>1702</v>
      </c>
      <c r="P4291" s="16" t="str">
        <f>IF(LEN(G4291)=10,CONCATENATE("0",G4291),G4291)</f>
        <v>10-Oct-1924</v>
      </c>
      <c r="R4291" s="16" t="str">
        <f t="shared" si="1813"/>
        <v>x</v>
      </c>
      <c r="S4291" s="16" t="str">
        <f t="shared" si="1813"/>
        <v>x</v>
      </c>
      <c r="U4291" s="46" t="str">
        <f t="shared" si="1787"/>
        <v/>
      </c>
      <c r="V4291" s="46">
        <f t="shared" si="1787"/>
        <v>1</v>
      </c>
      <c r="W4291" s="46" t="str">
        <f t="shared" si="1787"/>
        <v/>
      </c>
      <c r="X4291" s="46" t="str">
        <f t="shared" si="1787"/>
        <v/>
      </c>
    </row>
    <row r="4292" spans="2:26" x14ac:dyDescent="0.25">
      <c r="B4292" s="11" t="str">
        <f>CONCATENATE("MNDS","-",LEFT(P4292,2),UPPER(MID(P4292,4,3)),RIGHT(P4292,4))</f>
        <v>MNDS-07DEC1924</v>
      </c>
      <c r="C4292" s="11" t="s">
        <v>2811</v>
      </c>
      <c r="D4292" s="11" t="s">
        <v>2814</v>
      </c>
      <c r="E4292" s="39" t="s">
        <v>2854</v>
      </c>
      <c r="F4292" s="11" t="s">
        <v>211</v>
      </c>
      <c r="G4292" s="39" t="s">
        <v>2833</v>
      </c>
      <c r="J4292" s="17">
        <v>8</v>
      </c>
      <c r="K4292" s="17"/>
      <c r="L4292" s="7">
        <f>SUM(H4292:K4292)</f>
        <v>8</v>
      </c>
      <c r="M4292" s="8">
        <v>1</v>
      </c>
      <c r="N4292" s="8">
        <f>IF(L4292&gt;0,1,"")</f>
        <v>1</v>
      </c>
      <c r="O4292" s="11" t="s">
        <v>1702</v>
      </c>
      <c r="P4292" s="16" t="str">
        <f>IF(LEN(G4292)=10,CONCATENATE("0",G4292),G4292)</f>
        <v>07-Dec-1924</v>
      </c>
      <c r="R4292" s="16" t="str">
        <f t="shared" si="1813"/>
        <v>x</v>
      </c>
      <c r="S4292" s="16" t="str">
        <f t="shared" si="1813"/>
        <v>x</v>
      </c>
      <c r="U4292" s="46" t="str">
        <f t="shared" si="1787"/>
        <v/>
      </c>
      <c r="V4292" s="46">
        <f t="shared" si="1787"/>
        <v>8</v>
      </c>
      <c r="W4292" s="46" t="str">
        <f t="shared" si="1787"/>
        <v/>
      </c>
      <c r="X4292" s="46" t="str">
        <f t="shared" si="1787"/>
        <v/>
      </c>
    </row>
    <row r="4293" spans="2:26" x14ac:dyDescent="0.25">
      <c r="B4293" s="11" t="str">
        <f>CONCATENATE("MNDS","-",LEFT(P4293,2),UPPER(MID(P4293,4,3)),RIGHT(P4293,4))</f>
        <v>MNDS-11JAN1925</v>
      </c>
      <c r="C4293" s="11" t="s">
        <v>2811</v>
      </c>
      <c r="D4293" s="11" t="s">
        <v>3137</v>
      </c>
      <c r="E4293" s="39" t="s">
        <v>3136</v>
      </c>
      <c r="F4293" s="11" t="s">
        <v>211</v>
      </c>
      <c r="G4293" s="39" t="s">
        <v>3135</v>
      </c>
      <c r="H4293" s="7">
        <v>0</v>
      </c>
      <c r="J4293" s="17">
        <v>17</v>
      </c>
      <c r="K4293" s="17"/>
      <c r="L4293" s="7">
        <f>SUM(H4293:K4293)</f>
        <v>17</v>
      </c>
      <c r="M4293" s="8">
        <v>1</v>
      </c>
      <c r="N4293" s="8">
        <f>IF(L4293&gt;0,1,"")</f>
        <v>1</v>
      </c>
      <c r="O4293" s="11" t="s">
        <v>1702</v>
      </c>
      <c r="P4293" s="16" t="str">
        <f>IF(LEN(G4293)=10,CONCATENATE("0",G4293),G4293)</f>
        <v>11-Jan-1925</v>
      </c>
      <c r="R4293" s="16" t="str">
        <f t="shared" si="1813"/>
        <v>x</v>
      </c>
      <c r="S4293" s="16" t="str">
        <f t="shared" si="1813"/>
        <v>x</v>
      </c>
      <c r="U4293" s="46" t="str">
        <f t="shared" si="1787"/>
        <v/>
      </c>
      <c r="V4293" s="46">
        <f t="shared" si="1787"/>
        <v>17</v>
      </c>
      <c r="W4293" s="46" t="str">
        <f t="shared" si="1787"/>
        <v/>
      </c>
      <c r="X4293" s="46" t="str">
        <f t="shared" si="1787"/>
        <v/>
      </c>
    </row>
    <row r="4294" spans="2:26" x14ac:dyDescent="0.25">
      <c r="B4294" s="11" t="str">
        <f>CONCATENATE("MNDS","-",LEFT(P4294,2),UPPER(MID(P4294,4,3)),RIGHT(P4294,4))</f>
        <v>MNDS-19FEB1928</v>
      </c>
      <c r="C4294" s="11" t="s">
        <v>2811</v>
      </c>
      <c r="D4294" s="11" t="s">
        <v>2097</v>
      </c>
      <c r="E4294" s="39" t="s">
        <v>11334</v>
      </c>
      <c r="F4294" s="11" t="s">
        <v>211</v>
      </c>
      <c r="G4294" s="39" t="s">
        <v>11335</v>
      </c>
      <c r="H4294" s="7">
        <v>0</v>
      </c>
      <c r="J4294" s="17">
        <v>1</v>
      </c>
      <c r="K4294" s="17"/>
      <c r="L4294" s="7">
        <f>SUM(H4294:K4294)</f>
        <v>1</v>
      </c>
      <c r="M4294" s="8">
        <v>1</v>
      </c>
      <c r="N4294" s="8">
        <f>IF(L4294&gt;0,1,"")</f>
        <v>1</v>
      </c>
      <c r="O4294" s="11" t="s">
        <v>1702</v>
      </c>
      <c r="P4294" s="16" t="str">
        <f>IF(LEN(G4294)=10,CONCATENATE("0",G4294),G4294)</f>
        <v>19-Feb-1928</v>
      </c>
      <c r="R4294" s="16" t="str">
        <f>IF($L4294&gt;0,"x","")</f>
        <v>x</v>
      </c>
      <c r="S4294" s="16" t="str">
        <f>IF($L4294&gt;0,"x","")</f>
        <v>x</v>
      </c>
      <c r="U4294" s="46" t="str">
        <f>IF($O4294=U$5,$L4294,"")</f>
        <v/>
      </c>
      <c r="V4294" s="46">
        <f>IF($O4294=V$5,$L4294,"")</f>
        <v>1</v>
      </c>
      <c r="W4294" s="46" t="str">
        <f>IF($O4294=W$5,$L4294,"")</f>
        <v/>
      </c>
      <c r="X4294" s="46" t="str">
        <f>IF($O4294=X$5,$L4294,"")</f>
        <v/>
      </c>
    </row>
    <row r="4295" spans="2:26" x14ac:dyDescent="0.25">
      <c r="N4295" s="8" t="str">
        <f>IF(R4295="x",1,"")</f>
        <v/>
      </c>
      <c r="U4295" s="46" t="str">
        <f t="shared" si="1787"/>
        <v/>
      </c>
      <c r="V4295" s="46" t="str">
        <f t="shared" si="1787"/>
        <v/>
      </c>
      <c r="W4295" s="46" t="str">
        <f t="shared" si="1787"/>
        <v/>
      </c>
      <c r="X4295" s="46" t="str">
        <f t="shared" si="1787"/>
        <v/>
      </c>
    </row>
    <row r="4296" spans="2:26" s="18" customFormat="1" x14ac:dyDescent="0.25">
      <c r="E4296" s="40"/>
      <c r="G4296" s="40"/>
      <c r="H4296" s="7">
        <f t="shared" ref="H4296:N4296" si="1819">SUM(H4268:H4295)</f>
        <v>0</v>
      </c>
      <c r="I4296" s="7">
        <f t="shared" si="1819"/>
        <v>2</v>
      </c>
      <c r="J4296" s="7">
        <f>SUM(J4268:J4295)</f>
        <v>217</v>
      </c>
      <c r="K4296" s="7">
        <f t="shared" si="1819"/>
        <v>0</v>
      </c>
      <c r="L4296" s="7">
        <f t="shared" si="1819"/>
        <v>219</v>
      </c>
      <c r="M4296" s="7">
        <f t="shared" si="1819"/>
        <v>27</v>
      </c>
      <c r="N4296" s="7">
        <f t="shared" si="1819"/>
        <v>27</v>
      </c>
      <c r="P4296" s="13"/>
      <c r="Q4296" s="13"/>
      <c r="R4296" s="16"/>
      <c r="S4296" s="13"/>
      <c r="T4296" s="15"/>
      <c r="U4296" s="46" t="str">
        <f t="shared" si="1787"/>
        <v/>
      </c>
      <c r="V4296" s="46" t="str">
        <f t="shared" si="1787"/>
        <v/>
      </c>
      <c r="W4296" s="46" t="str">
        <f t="shared" si="1787"/>
        <v/>
      </c>
      <c r="X4296" s="46" t="str">
        <f t="shared" si="1787"/>
        <v/>
      </c>
      <c r="Z4296" s="11"/>
    </row>
    <row r="4297" spans="2:26" x14ac:dyDescent="0.25">
      <c r="B4297" s="18"/>
      <c r="C4297" s="18"/>
      <c r="D4297" s="18"/>
      <c r="E4297" s="40"/>
      <c r="F4297" s="18"/>
      <c r="G4297" s="40"/>
      <c r="N4297" s="8" t="str">
        <f>IF(R4297="x",1,"")</f>
        <v/>
      </c>
      <c r="O4297" s="18"/>
      <c r="P4297" s="13"/>
      <c r="Q4297" s="13"/>
      <c r="R4297" s="13"/>
      <c r="S4297" s="13"/>
      <c r="T4297" s="15"/>
      <c r="U4297" s="46" t="str">
        <f t="shared" ref="U4297:X4301" si="1820">IF($O4297=U$5,$L4297,"")</f>
        <v/>
      </c>
      <c r="V4297" s="46" t="str">
        <f t="shared" si="1820"/>
        <v/>
      </c>
      <c r="W4297" s="46" t="str">
        <f t="shared" si="1820"/>
        <v/>
      </c>
      <c r="X4297" s="46" t="str">
        <f t="shared" si="1820"/>
        <v/>
      </c>
    </row>
    <row r="4298" spans="2:26" x14ac:dyDescent="0.25">
      <c r="B4298" s="18"/>
      <c r="C4298" s="18"/>
      <c r="D4298" s="18"/>
      <c r="E4298" s="40"/>
      <c r="F4298" s="18"/>
      <c r="G4298" s="40"/>
      <c r="N4298" s="8" t="str">
        <f>IF(R4298="x",1,"")</f>
        <v/>
      </c>
      <c r="O4298" s="18"/>
      <c r="P4298" s="13"/>
      <c r="Q4298" s="13"/>
      <c r="R4298" s="13"/>
      <c r="S4298" s="13"/>
      <c r="T4298" s="15"/>
      <c r="U4298" s="46" t="str">
        <f t="shared" si="1820"/>
        <v/>
      </c>
      <c r="V4298" s="46" t="str">
        <f t="shared" si="1820"/>
        <v/>
      </c>
      <c r="W4298" s="46" t="str">
        <f t="shared" si="1820"/>
        <v/>
      </c>
      <c r="X4298" s="46" t="str">
        <f t="shared" si="1820"/>
        <v/>
      </c>
    </row>
    <row r="4299" spans="2:26" x14ac:dyDescent="0.25">
      <c r="B4299" s="11" t="str">
        <f>CONCATENATE("MNWS","-",LEFT(P4299,2),UPPER(MID(P4299,4,3)),RIGHT(P4299,4))</f>
        <v>MNWS-06SEP1926</v>
      </c>
      <c r="C4299" s="11" t="s">
        <v>5275</v>
      </c>
      <c r="D4299" s="11" t="s">
        <v>5278</v>
      </c>
      <c r="E4299" s="39" t="s">
        <v>5276</v>
      </c>
      <c r="F4299" s="11" t="s">
        <v>1700</v>
      </c>
      <c r="G4299" s="39" t="s">
        <v>5277</v>
      </c>
      <c r="H4299" s="7">
        <f>1+1</f>
        <v>2</v>
      </c>
      <c r="J4299" s="17"/>
      <c r="K4299" s="17"/>
      <c r="L4299" s="7">
        <f>SUM(H4299:K4299)</f>
        <v>2</v>
      </c>
      <c r="M4299" s="8">
        <v>1</v>
      </c>
      <c r="N4299" s="8">
        <f>IF(L4299&gt;0,1,"")</f>
        <v>1</v>
      </c>
      <c r="O4299" s="11" t="s">
        <v>1702</v>
      </c>
      <c r="P4299" s="16" t="str">
        <f>IF(LEN(G4299)=10,CONCATENATE("0",G4299),G4299)</f>
        <v>06-Sep-1926</v>
      </c>
      <c r="R4299" s="16" t="str">
        <f>IF($L4299&gt;0,"x","")</f>
        <v>x</v>
      </c>
      <c r="S4299" s="16" t="str">
        <f>IF($L4299&gt;0,"x","")</f>
        <v>x</v>
      </c>
      <c r="U4299" s="46" t="str">
        <f t="shared" si="1820"/>
        <v/>
      </c>
      <c r="V4299" s="46">
        <f t="shared" si="1820"/>
        <v>2</v>
      </c>
      <c r="W4299" s="46" t="str">
        <f t="shared" si="1820"/>
        <v/>
      </c>
      <c r="X4299" s="46" t="str">
        <f t="shared" si="1820"/>
        <v/>
      </c>
    </row>
    <row r="4300" spans="2:26" x14ac:dyDescent="0.25">
      <c r="N4300" s="8" t="str">
        <f>IF(R4300="x",1,"")</f>
        <v/>
      </c>
      <c r="U4300" s="46" t="str">
        <f t="shared" si="1820"/>
        <v/>
      </c>
      <c r="V4300" s="46" t="str">
        <f t="shared" si="1820"/>
        <v/>
      </c>
      <c r="W4300" s="46" t="str">
        <f t="shared" si="1820"/>
        <v/>
      </c>
      <c r="X4300" s="46" t="str">
        <f>IF($O4300=X$5,$L4300,"")</f>
        <v/>
      </c>
    </row>
    <row r="4301" spans="2:26" x14ac:dyDescent="0.25">
      <c r="B4301" s="18"/>
      <c r="C4301" s="18"/>
      <c r="D4301" s="18"/>
      <c r="E4301" s="40"/>
      <c r="F4301" s="18"/>
      <c r="G4301" s="40"/>
      <c r="H4301" s="7">
        <f t="shared" ref="H4301:N4301" si="1821">SUM(H4299:H4300)</f>
        <v>2</v>
      </c>
      <c r="I4301" s="7">
        <f t="shared" si="1821"/>
        <v>0</v>
      </c>
      <c r="J4301" s="7">
        <f>SUM(J4299:J4300)</f>
        <v>0</v>
      </c>
      <c r="K4301" s="7">
        <f t="shared" si="1821"/>
        <v>0</v>
      </c>
      <c r="L4301" s="7">
        <f t="shared" si="1821"/>
        <v>2</v>
      </c>
      <c r="M4301" s="7">
        <f t="shared" si="1821"/>
        <v>1</v>
      </c>
      <c r="N4301" s="7">
        <f t="shared" si="1821"/>
        <v>1</v>
      </c>
      <c r="O4301" s="18"/>
      <c r="P4301" s="13"/>
      <c r="Q4301" s="13"/>
      <c r="S4301" s="13"/>
      <c r="T4301" s="15"/>
      <c r="U4301" s="46" t="str">
        <f t="shared" si="1820"/>
        <v/>
      </c>
      <c r="V4301" s="46" t="str">
        <f t="shared" si="1820"/>
        <v/>
      </c>
      <c r="W4301" s="46" t="str">
        <f t="shared" si="1820"/>
        <v/>
      </c>
      <c r="X4301" s="46" t="str">
        <f t="shared" si="1820"/>
        <v/>
      </c>
    </row>
    <row r="4302" spans="2:26" x14ac:dyDescent="0.25">
      <c r="B4302" s="18"/>
      <c r="C4302" s="18"/>
      <c r="D4302" s="18"/>
      <c r="E4302" s="40"/>
      <c r="F4302" s="18"/>
      <c r="G4302" s="40"/>
      <c r="N4302" s="8" t="str">
        <f>IF(R4302="x",1,"")</f>
        <v/>
      </c>
      <c r="O4302" s="18"/>
      <c r="P4302" s="13"/>
      <c r="Q4302" s="13"/>
      <c r="R4302" s="13"/>
      <c r="S4302" s="13"/>
      <c r="T4302" s="15"/>
      <c r="U4302" s="46" t="str">
        <f t="shared" si="1787"/>
        <v/>
      </c>
      <c r="V4302" s="46" t="str">
        <f t="shared" si="1787"/>
        <v/>
      </c>
      <c r="W4302" s="46" t="str">
        <f t="shared" si="1787"/>
        <v/>
      </c>
      <c r="X4302" s="46" t="str">
        <f t="shared" si="1787"/>
        <v/>
      </c>
    </row>
    <row r="4303" spans="2:26" x14ac:dyDescent="0.25">
      <c r="B4303" s="18"/>
      <c r="C4303" s="18"/>
      <c r="D4303" s="18"/>
      <c r="E4303" s="40"/>
      <c r="F4303" s="18"/>
      <c r="G4303" s="40"/>
      <c r="N4303" s="8" t="str">
        <f>IF(R4303="x",1,"")</f>
        <v/>
      </c>
      <c r="O4303" s="18"/>
      <c r="P4303" s="13"/>
      <c r="Q4303" s="13"/>
      <c r="R4303" s="13"/>
      <c r="S4303" s="13"/>
      <c r="T4303" s="15"/>
      <c r="U4303" s="46" t="str">
        <f t="shared" si="1787"/>
        <v/>
      </c>
      <c r="V4303" s="46" t="str">
        <f t="shared" si="1787"/>
        <v/>
      </c>
      <c r="W4303" s="46" t="str">
        <f t="shared" si="1787"/>
        <v/>
      </c>
      <c r="X4303" s="46" t="str">
        <f t="shared" si="1787"/>
        <v/>
      </c>
    </row>
    <row r="4304" spans="2:26" x14ac:dyDescent="0.25">
      <c r="B4304" s="11" t="str">
        <f>CONCATENATE("MOBL","-",LEFT(P4304,2),UPPER(MID(P4304,4,3)),RIGHT(P4304,4))</f>
        <v>MOBL-30JUN1896</v>
      </c>
      <c r="C4304" s="11" t="s">
        <v>4418</v>
      </c>
      <c r="D4304" s="11" t="s">
        <v>3225</v>
      </c>
      <c r="F4304" s="11" t="s">
        <v>1700</v>
      </c>
      <c r="G4304" s="39" t="s">
        <v>6009</v>
      </c>
      <c r="H4304" s="7">
        <f>0+1</f>
        <v>1</v>
      </c>
      <c r="J4304" s="17"/>
      <c r="K4304" s="17"/>
      <c r="L4304" s="7">
        <f>SUM(H4304:K4304)</f>
        <v>1</v>
      </c>
      <c r="M4304" s="8">
        <v>1</v>
      </c>
      <c r="N4304" s="8">
        <f>IF(L4304&gt;0,1,"")</f>
        <v>1</v>
      </c>
      <c r="O4304" s="11" t="s">
        <v>1702</v>
      </c>
      <c r="P4304" s="16" t="str">
        <f>IF(LEN(G4304)=10,CONCATENATE("0",G4304),G4304)</f>
        <v>30-Jun-1896</v>
      </c>
      <c r="R4304" s="16" t="str">
        <f>IF($L4304&gt;0,"x","")</f>
        <v>x</v>
      </c>
      <c r="S4304" s="16" t="str">
        <f>IF($L4304&gt;0,"x","")</f>
        <v>x</v>
      </c>
      <c r="U4304" s="46" t="str">
        <f t="shared" si="1787"/>
        <v/>
      </c>
      <c r="V4304" s="46">
        <f t="shared" si="1787"/>
        <v>1</v>
      </c>
      <c r="W4304" s="46" t="str">
        <f t="shared" si="1787"/>
        <v/>
      </c>
      <c r="X4304" s="46" t="str">
        <f t="shared" si="1787"/>
        <v/>
      </c>
    </row>
    <row r="4305" spans="2:24" x14ac:dyDescent="0.25">
      <c r="B4305" s="11" t="str">
        <f>CONCATENATE("MOBL","-",LEFT(P4305,2),UPPER(MID(P4305,4,3)),RIGHT(P4305,4))</f>
        <v>MOBL-03SEP1919</v>
      </c>
      <c r="C4305" s="11" t="s">
        <v>4418</v>
      </c>
      <c r="D4305" s="11" t="s">
        <v>4419</v>
      </c>
      <c r="E4305" s="39" t="s">
        <v>4420</v>
      </c>
      <c r="F4305" s="11" t="s">
        <v>1700</v>
      </c>
      <c r="G4305" s="39" t="s">
        <v>4421</v>
      </c>
      <c r="H4305" s="7">
        <f>0+1</f>
        <v>1</v>
      </c>
      <c r="J4305" s="17"/>
      <c r="K4305" s="17"/>
      <c r="L4305" s="7">
        <f>SUM(H4305:K4305)</f>
        <v>1</v>
      </c>
      <c r="M4305" s="8">
        <v>1</v>
      </c>
      <c r="N4305" s="8">
        <f>IF(L4305&gt;0,1,"")</f>
        <v>1</v>
      </c>
      <c r="O4305" s="11" t="s">
        <v>1702</v>
      </c>
      <c r="P4305" s="16" t="str">
        <f>IF(LEN(G4305)=10,CONCATENATE("0",G4305),G4305)</f>
        <v>03-Sep-1919</v>
      </c>
      <c r="R4305" s="16" t="str">
        <f>IF($L4305&gt;0,"x","")</f>
        <v>x</v>
      </c>
      <c r="S4305" s="16" t="str">
        <f>IF($L4305&gt;0,"x","")</f>
        <v>x</v>
      </c>
      <c r="U4305" s="46" t="str">
        <f>IF($O4305=U$5,$L4305,"")</f>
        <v/>
      </c>
      <c r="V4305" s="46">
        <f>IF($O4305=V$5,$L4305,"")</f>
        <v>1</v>
      </c>
      <c r="W4305" s="46" t="str">
        <f>IF($O4305=W$5,$L4305,"")</f>
        <v/>
      </c>
      <c r="X4305" s="46" t="str">
        <f>IF($O4305=X$5,$L4305,"")</f>
        <v/>
      </c>
    </row>
    <row r="4306" spans="2:24" x14ac:dyDescent="0.25">
      <c r="N4306" s="8" t="str">
        <f>IF(R4306="x",1,"")</f>
        <v/>
      </c>
      <c r="U4306" s="46" t="str">
        <f t="shared" si="1787"/>
        <v/>
      </c>
      <c r="V4306" s="46" t="str">
        <f t="shared" si="1787"/>
        <v/>
      </c>
      <c r="W4306" s="46" t="str">
        <f t="shared" si="1787"/>
        <v/>
      </c>
      <c r="X4306" s="46" t="str">
        <f t="shared" ref="X4306:X4312" si="1822">IF($O4306=X$5,$L4306,"")</f>
        <v/>
      </c>
    </row>
    <row r="4307" spans="2:24" x14ac:dyDescent="0.25">
      <c r="B4307" s="18"/>
      <c r="C4307" s="18"/>
      <c r="D4307" s="18"/>
      <c r="E4307" s="40"/>
      <c r="F4307" s="18"/>
      <c r="G4307" s="40"/>
      <c r="H4307" s="7">
        <f t="shared" ref="H4307:N4307" si="1823">SUM(H4304:H4306)</f>
        <v>2</v>
      </c>
      <c r="I4307" s="7">
        <f t="shared" si="1823"/>
        <v>0</v>
      </c>
      <c r="J4307" s="7">
        <f>SUM(J4304:J4306)</f>
        <v>0</v>
      </c>
      <c r="K4307" s="7">
        <f t="shared" si="1823"/>
        <v>0</v>
      </c>
      <c r="L4307" s="7">
        <f t="shared" si="1823"/>
        <v>2</v>
      </c>
      <c r="M4307" s="7">
        <f t="shared" si="1823"/>
        <v>2</v>
      </c>
      <c r="N4307" s="7">
        <f t="shared" si="1823"/>
        <v>2</v>
      </c>
      <c r="O4307" s="18"/>
      <c r="P4307" s="13"/>
      <c r="Q4307" s="13"/>
      <c r="S4307" s="13"/>
      <c r="T4307" s="15"/>
      <c r="U4307" s="46" t="str">
        <f t="shared" ref="U4307:W4312" si="1824">IF($O4307=U$5,$L4307,"")</f>
        <v/>
      </c>
      <c r="V4307" s="46" t="str">
        <f t="shared" si="1824"/>
        <v/>
      </c>
      <c r="W4307" s="46" t="str">
        <f t="shared" si="1824"/>
        <v/>
      </c>
      <c r="X4307" s="46" t="str">
        <f t="shared" si="1822"/>
        <v/>
      </c>
    </row>
    <row r="4308" spans="2:24" x14ac:dyDescent="0.25">
      <c r="B4308" s="18"/>
      <c r="C4308" s="18"/>
      <c r="D4308" s="18"/>
      <c r="E4308" s="40"/>
      <c r="F4308" s="18"/>
      <c r="G4308" s="40"/>
      <c r="N4308" s="8" t="str">
        <f>IF(R4308="x",1,"")</f>
        <v/>
      </c>
      <c r="O4308" s="18"/>
      <c r="P4308" s="13"/>
      <c r="Q4308" s="13"/>
      <c r="R4308" s="13"/>
      <c r="S4308" s="13"/>
      <c r="T4308" s="15"/>
      <c r="U4308" s="46" t="str">
        <f t="shared" si="1824"/>
        <v/>
      </c>
      <c r="V4308" s="46" t="str">
        <f t="shared" si="1824"/>
        <v/>
      </c>
      <c r="W4308" s="46" t="str">
        <f t="shared" si="1824"/>
        <v/>
      </c>
      <c r="X4308" s="46" t="str">
        <f t="shared" si="1822"/>
        <v/>
      </c>
    </row>
    <row r="4309" spans="2:24" x14ac:dyDescent="0.25">
      <c r="B4309" s="18"/>
      <c r="C4309" s="18"/>
      <c r="D4309" s="18"/>
      <c r="E4309" s="40"/>
      <c r="F4309" s="18"/>
      <c r="G4309" s="40"/>
      <c r="N4309" s="8" t="str">
        <f>IF(R4309="x",1,"")</f>
        <v/>
      </c>
      <c r="O4309" s="18"/>
      <c r="P4309" s="13"/>
      <c r="Q4309" s="13"/>
      <c r="R4309" s="13"/>
      <c r="S4309" s="13"/>
      <c r="T4309" s="15"/>
      <c r="U4309" s="46" t="str">
        <f t="shared" si="1824"/>
        <v/>
      </c>
      <c r="V4309" s="46" t="str">
        <f t="shared" si="1824"/>
        <v/>
      </c>
      <c r="W4309" s="46" t="str">
        <f t="shared" si="1824"/>
        <v/>
      </c>
      <c r="X4309" s="46" t="str">
        <f t="shared" si="1822"/>
        <v/>
      </c>
    </row>
    <row r="4310" spans="2:24" x14ac:dyDescent="0.25">
      <c r="B4310" s="11" t="str">
        <f t="shared" ref="B4310:B4318" si="1825">CONCATENATE("MOLT","-",LEFT(P4310,2),UPPER(MID(P4310,4,3)),RIGHT(P4310,4))</f>
        <v>MOLT-30APR1902</v>
      </c>
      <c r="C4310" s="11" t="s">
        <v>3512</v>
      </c>
      <c r="D4310" s="11" t="s">
        <v>2103</v>
      </c>
      <c r="E4310" s="39" t="s">
        <v>4101</v>
      </c>
      <c r="F4310" s="11" t="s">
        <v>1700</v>
      </c>
      <c r="G4310" s="39" t="s">
        <v>4102</v>
      </c>
      <c r="J4310" s="17">
        <v>17</v>
      </c>
      <c r="K4310" s="17"/>
      <c r="L4310" s="7">
        <f t="shared" ref="L4310:L4318" si="1826">SUM(H4310:K4310)</f>
        <v>17</v>
      </c>
      <c r="M4310" s="8">
        <v>1</v>
      </c>
      <c r="N4310" s="8">
        <f t="shared" ref="N4310:N4318" si="1827">IF(L4310&gt;0,1,"")</f>
        <v>1</v>
      </c>
      <c r="O4310" s="11" t="s">
        <v>1702</v>
      </c>
      <c r="P4310" s="16" t="str">
        <f t="shared" ref="P4310:P4318" si="1828">IF(LEN(G4310)=10,CONCATENATE("0",G4310),G4310)</f>
        <v>30-Apr-1902</v>
      </c>
      <c r="R4310" s="16" t="str">
        <f t="shared" ref="R4310:S4318" si="1829">IF($L4310&gt;0,"x","")</f>
        <v>x</v>
      </c>
      <c r="S4310" s="16" t="str">
        <f t="shared" si="1829"/>
        <v>x</v>
      </c>
      <c r="U4310" s="46" t="str">
        <f t="shared" si="1824"/>
        <v/>
      </c>
      <c r="V4310" s="46">
        <f t="shared" si="1824"/>
        <v>17</v>
      </c>
      <c r="W4310" s="46" t="str">
        <f t="shared" si="1824"/>
        <v/>
      </c>
      <c r="X4310" s="46" t="str">
        <f t="shared" si="1822"/>
        <v/>
      </c>
    </row>
    <row r="4311" spans="2:24" x14ac:dyDescent="0.25">
      <c r="B4311" s="11" t="str">
        <f t="shared" si="1825"/>
        <v>MOLT-03JUN1902</v>
      </c>
      <c r="C4311" s="11" t="s">
        <v>3512</v>
      </c>
      <c r="D4311" s="11" t="s">
        <v>2103</v>
      </c>
      <c r="E4311" s="39" t="s">
        <v>5542</v>
      </c>
      <c r="F4311" s="11" t="s">
        <v>1700</v>
      </c>
      <c r="G4311" s="39" t="s">
        <v>5543</v>
      </c>
      <c r="J4311" s="17">
        <v>27</v>
      </c>
      <c r="K4311" s="17"/>
      <c r="L4311" s="7">
        <f t="shared" si="1826"/>
        <v>27</v>
      </c>
      <c r="M4311" s="8">
        <v>1</v>
      </c>
      <c r="N4311" s="8">
        <f t="shared" si="1827"/>
        <v>1</v>
      </c>
      <c r="O4311" s="11" t="s">
        <v>1702</v>
      </c>
      <c r="P4311" s="16" t="str">
        <f t="shared" si="1828"/>
        <v>03-Jun-1902</v>
      </c>
      <c r="R4311" s="16" t="str">
        <f t="shared" si="1829"/>
        <v>x</v>
      </c>
      <c r="S4311" s="16" t="str">
        <f t="shared" si="1829"/>
        <v>x</v>
      </c>
      <c r="U4311" s="46" t="str">
        <f t="shared" si="1824"/>
        <v/>
      </c>
      <c r="V4311" s="46">
        <f t="shared" si="1824"/>
        <v>27</v>
      </c>
      <c r="W4311" s="46" t="str">
        <f t="shared" si="1824"/>
        <v/>
      </c>
      <c r="X4311" s="46" t="str">
        <f t="shared" si="1822"/>
        <v/>
      </c>
    </row>
    <row r="4312" spans="2:24" x14ac:dyDescent="0.25">
      <c r="B4312" s="11" t="str">
        <f t="shared" si="1825"/>
        <v>MOLT-09JUL1902</v>
      </c>
      <c r="C4312" s="11" t="s">
        <v>3512</v>
      </c>
      <c r="D4312" s="11" t="s">
        <v>4128</v>
      </c>
      <c r="E4312" s="39" t="s">
        <v>4025</v>
      </c>
      <c r="F4312" s="11" t="s">
        <v>1700</v>
      </c>
      <c r="G4312" s="39" t="s">
        <v>4026</v>
      </c>
      <c r="J4312" s="17">
        <f>20+10</f>
        <v>30</v>
      </c>
      <c r="K4312" s="17"/>
      <c r="L4312" s="7">
        <f t="shared" si="1826"/>
        <v>30</v>
      </c>
      <c r="M4312" s="8">
        <v>1</v>
      </c>
      <c r="N4312" s="8">
        <f t="shared" si="1827"/>
        <v>1</v>
      </c>
      <c r="O4312" s="11" t="s">
        <v>1702</v>
      </c>
      <c r="P4312" s="16" t="str">
        <f t="shared" si="1828"/>
        <v>09-Jul-1902</v>
      </c>
      <c r="R4312" s="16" t="str">
        <f t="shared" ref="R4312:S4314" si="1830">IF($L4312&gt;0,"x","")</f>
        <v>x</v>
      </c>
      <c r="S4312" s="16" t="str">
        <f t="shared" si="1830"/>
        <v>x</v>
      </c>
      <c r="U4312" s="46" t="str">
        <f t="shared" si="1824"/>
        <v/>
      </c>
      <c r="V4312" s="46">
        <f t="shared" si="1824"/>
        <v>30</v>
      </c>
      <c r="W4312" s="46" t="str">
        <f t="shared" si="1824"/>
        <v/>
      </c>
      <c r="X4312" s="46" t="str">
        <f t="shared" si="1822"/>
        <v/>
      </c>
    </row>
    <row r="4313" spans="2:24" x14ac:dyDescent="0.25">
      <c r="B4313" s="11" t="str">
        <f>CONCATENATE("MOLT","-",LEFT(P4313,2),UPPER(MID(P4313,4,3)),RIGHT(P4313,4))</f>
        <v>MOLT-16SEP1902</v>
      </c>
      <c r="C4313" s="11" t="s">
        <v>3512</v>
      </c>
      <c r="D4313" s="11" t="s">
        <v>2103</v>
      </c>
      <c r="E4313" s="39" t="s">
        <v>723</v>
      </c>
      <c r="F4313" s="11" t="s">
        <v>1700</v>
      </c>
      <c r="G4313" s="39" t="s">
        <v>5879</v>
      </c>
      <c r="J4313" s="17">
        <v>10</v>
      </c>
      <c r="K4313" s="17"/>
      <c r="L4313" s="7">
        <f>SUM(H4313:K4313)</f>
        <v>10</v>
      </c>
      <c r="M4313" s="8">
        <v>1</v>
      </c>
      <c r="N4313" s="8">
        <f>IF(L4313&gt;0,1,"")</f>
        <v>1</v>
      </c>
      <c r="O4313" s="11" t="s">
        <v>1702</v>
      </c>
      <c r="P4313" s="16" t="str">
        <f>IF(LEN(G4313)=10,CONCATENATE("0",G4313),G4313)</f>
        <v>16-Sep-1902</v>
      </c>
      <c r="R4313" s="16" t="str">
        <f t="shared" si="1830"/>
        <v>x</v>
      </c>
      <c r="S4313" s="16" t="str">
        <f t="shared" si="1830"/>
        <v>x</v>
      </c>
      <c r="U4313" s="46" t="str">
        <f t="shared" ref="U4313:X4314" si="1831">IF($O4313=U$5,$L4313,"")</f>
        <v/>
      </c>
      <c r="V4313" s="46">
        <f t="shared" si="1831"/>
        <v>10</v>
      </c>
      <c r="W4313" s="46" t="str">
        <f t="shared" si="1831"/>
        <v/>
      </c>
      <c r="X4313" s="46" t="str">
        <f t="shared" si="1831"/>
        <v/>
      </c>
    </row>
    <row r="4314" spans="2:24" x14ac:dyDescent="0.25">
      <c r="B4314" s="11" t="str">
        <f t="shared" si="1825"/>
        <v>MOLT-22OCT1902</v>
      </c>
      <c r="C4314" s="11" t="s">
        <v>3512</v>
      </c>
      <c r="D4314" s="11" t="s">
        <v>2103</v>
      </c>
      <c r="E4314" s="39" t="s">
        <v>5474</v>
      </c>
      <c r="F4314" s="11" t="s">
        <v>1700</v>
      </c>
      <c r="G4314" s="39" t="s">
        <v>5475</v>
      </c>
      <c r="J4314" s="17">
        <v>26</v>
      </c>
      <c r="K4314" s="17"/>
      <c r="L4314" s="7">
        <f t="shared" si="1826"/>
        <v>26</v>
      </c>
      <c r="M4314" s="8">
        <v>1</v>
      </c>
      <c r="N4314" s="8">
        <f t="shared" si="1827"/>
        <v>1</v>
      </c>
      <c r="O4314" s="11" t="s">
        <v>1702</v>
      </c>
      <c r="P4314" s="16" t="str">
        <f t="shared" si="1828"/>
        <v>22-Oct-1902</v>
      </c>
      <c r="R4314" s="16" t="str">
        <f t="shared" si="1830"/>
        <v>x</v>
      </c>
      <c r="S4314" s="16" t="str">
        <f t="shared" si="1830"/>
        <v>x</v>
      </c>
      <c r="U4314" s="46" t="str">
        <f t="shared" si="1831"/>
        <v/>
      </c>
      <c r="V4314" s="46">
        <f t="shared" si="1831"/>
        <v>26</v>
      </c>
      <c r="W4314" s="46" t="str">
        <f t="shared" si="1831"/>
        <v/>
      </c>
      <c r="X4314" s="46" t="str">
        <f t="shared" si="1831"/>
        <v/>
      </c>
    </row>
    <row r="4315" spans="2:24" x14ac:dyDescent="0.25">
      <c r="B4315" s="11" t="str">
        <f t="shared" si="1825"/>
        <v>MOLT-04DEC1902</v>
      </c>
      <c r="C4315" s="11" t="s">
        <v>3512</v>
      </c>
      <c r="D4315" s="11" t="s">
        <v>2103</v>
      </c>
      <c r="E4315" s="39" t="s">
        <v>3519</v>
      </c>
      <c r="F4315" s="11" t="s">
        <v>1700</v>
      </c>
      <c r="G4315" s="39" t="s">
        <v>3520</v>
      </c>
      <c r="J4315" s="17">
        <v>12</v>
      </c>
      <c r="K4315" s="17"/>
      <c r="L4315" s="7">
        <f t="shared" si="1826"/>
        <v>12</v>
      </c>
      <c r="M4315" s="8">
        <v>1</v>
      </c>
      <c r="N4315" s="8">
        <f t="shared" si="1827"/>
        <v>1</v>
      </c>
      <c r="O4315" s="11" t="s">
        <v>1702</v>
      </c>
      <c r="P4315" s="16" t="str">
        <f t="shared" si="1828"/>
        <v>04-Dec-1902</v>
      </c>
      <c r="R4315" s="16" t="str">
        <f t="shared" si="1829"/>
        <v>x</v>
      </c>
      <c r="S4315" s="16" t="str">
        <f t="shared" si="1829"/>
        <v>x</v>
      </c>
      <c r="U4315" s="46" t="str">
        <f>IF($O4315=U$5,$L4315,"")</f>
        <v/>
      </c>
      <c r="V4315" s="46">
        <f>IF($O4315=V$5,$L4315,"")</f>
        <v>12</v>
      </c>
      <c r="W4315" s="46" t="str">
        <f>IF($O4315=W$5,$L4315,"")</f>
        <v/>
      </c>
      <c r="X4315" s="46" t="str">
        <f>IF($O4315=X$5,$L4315,"")</f>
        <v/>
      </c>
    </row>
    <row r="4316" spans="2:24" x14ac:dyDescent="0.25">
      <c r="B4316" s="11" t="str">
        <f>CONCATENATE("MOLT","-",LEFT(P4316,2),UPPER(MID(P4316,4,3)),RIGHT(P4316,4))</f>
        <v>MOLT-30SEP1904</v>
      </c>
      <c r="C4316" s="11" t="s">
        <v>3512</v>
      </c>
      <c r="D4316" s="11" t="s">
        <v>2103</v>
      </c>
      <c r="E4316" s="39" t="s">
        <v>5710</v>
      </c>
      <c r="F4316" s="11" t="s">
        <v>1700</v>
      </c>
      <c r="G4316" s="39" t="s">
        <v>5694</v>
      </c>
      <c r="H4316" s="7">
        <v>0</v>
      </c>
      <c r="I4316" s="7">
        <v>0</v>
      </c>
      <c r="J4316" s="17">
        <v>4</v>
      </c>
      <c r="K4316" s="17"/>
      <c r="L4316" s="7">
        <f>SUM(H4316:K4316)</f>
        <v>4</v>
      </c>
      <c r="M4316" s="8">
        <v>1</v>
      </c>
      <c r="N4316" s="8">
        <f>IF(L4316&gt;0,1,"")</f>
        <v>1</v>
      </c>
      <c r="O4316" s="11" t="s">
        <v>1702</v>
      </c>
      <c r="P4316" s="16" t="str">
        <f>IF(LEN(G4316)=10,CONCATENATE("0",G4316),G4316)</f>
        <v>30-Sep-1904</v>
      </c>
      <c r="R4316" s="16" t="str">
        <f t="shared" si="1829"/>
        <v>x</v>
      </c>
      <c r="S4316" s="16" t="str">
        <f t="shared" si="1829"/>
        <v>x</v>
      </c>
      <c r="U4316" s="46" t="str">
        <f t="shared" ref="U4316:X4317" si="1832">IF($O4316=U$5,$L4316,"")</f>
        <v/>
      </c>
      <c r="V4316" s="46">
        <f t="shared" si="1832"/>
        <v>4</v>
      </c>
      <c r="W4316" s="46" t="str">
        <f t="shared" si="1832"/>
        <v/>
      </c>
      <c r="X4316" s="46" t="str">
        <f t="shared" si="1832"/>
        <v/>
      </c>
    </row>
    <row r="4317" spans="2:24" x14ac:dyDescent="0.25">
      <c r="B4317" s="11" t="str">
        <f>CONCATENATE("MOLT","-",LEFT(P4317,2),UPPER(MID(P4317,4,3)),RIGHT(P4317,4))</f>
        <v>MOLT-12JUN1905</v>
      </c>
      <c r="C4317" s="11" t="s">
        <v>3512</v>
      </c>
      <c r="D4317" s="11" t="s">
        <v>2103</v>
      </c>
      <c r="E4317" s="39" t="s">
        <v>3855</v>
      </c>
      <c r="F4317" s="11" t="s">
        <v>1700</v>
      </c>
      <c r="G4317" s="39" t="s">
        <v>5785</v>
      </c>
      <c r="H4317" s="7">
        <v>0</v>
      </c>
      <c r="I4317" s="7">
        <v>0</v>
      </c>
      <c r="J4317" s="17">
        <v>8</v>
      </c>
      <c r="K4317" s="17"/>
      <c r="L4317" s="7">
        <f>SUM(H4317:K4317)</f>
        <v>8</v>
      </c>
      <c r="M4317" s="8">
        <v>1</v>
      </c>
      <c r="N4317" s="8">
        <f>IF(L4317&gt;0,1,"")</f>
        <v>1</v>
      </c>
      <c r="O4317" s="11" t="s">
        <v>1702</v>
      </c>
      <c r="P4317" s="16" t="str">
        <f>IF(LEN(G4317)=10,CONCATENATE("0",G4317),G4317)</f>
        <v>12-Jun-1905</v>
      </c>
      <c r="R4317" s="16" t="str">
        <f t="shared" si="1829"/>
        <v>x</v>
      </c>
      <c r="S4317" s="16" t="str">
        <f t="shared" si="1829"/>
        <v>x</v>
      </c>
      <c r="U4317" s="46" t="str">
        <f t="shared" si="1832"/>
        <v/>
      </c>
      <c r="V4317" s="46">
        <f t="shared" si="1832"/>
        <v>8</v>
      </c>
      <c r="W4317" s="46" t="str">
        <f t="shared" si="1832"/>
        <v/>
      </c>
      <c r="X4317" s="46" t="str">
        <f t="shared" si="1832"/>
        <v/>
      </c>
    </row>
    <row r="4318" spans="2:24" x14ac:dyDescent="0.25">
      <c r="B4318" s="11" t="str">
        <f t="shared" si="1825"/>
        <v>MOLT-18AUG1913</v>
      </c>
      <c r="C4318" s="11" t="s">
        <v>3512</v>
      </c>
      <c r="D4318" s="11" t="s">
        <v>3007</v>
      </c>
      <c r="E4318" s="39" t="s">
        <v>3144</v>
      </c>
      <c r="F4318" s="11" t="s">
        <v>1700</v>
      </c>
      <c r="G4318" s="39" t="s">
        <v>3513</v>
      </c>
      <c r="H4318" s="7">
        <v>0</v>
      </c>
      <c r="I4318" s="7">
        <v>0</v>
      </c>
      <c r="J4318" s="17">
        <v>10</v>
      </c>
      <c r="K4318" s="17"/>
      <c r="L4318" s="7">
        <f t="shared" si="1826"/>
        <v>10</v>
      </c>
      <c r="M4318" s="8">
        <v>1</v>
      </c>
      <c r="N4318" s="8">
        <f t="shared" si="1827"/>
        <v>1</v>
      </c>
      <c r="O4318" s="11" t="s">
        <v>1702</v>
      </c>
      <c r="P4318" s="16" t="str">
        <f t="shared" si="1828"/>
        <v>18-Aug-1913</v>
      </c>
      <c r="R4318" s="16" t="str">
        <f t="shared" si="1829"/>
        <v>x</v>
      </c>
      <c r="S4318" s="16" t="str">
        <f t="shared" si="1829"/>
        <v>x</v>
      </c>
      <c r="U4318" s="46" t="str">
        <f t="shared" ref="U4318:X4320" si="1833">IF($O4318=U$5,$L4318,"")</f>
        <v/>
      </c>
      <c r="V4318" s="46">
        <f t="shared" si="1833"/>
        <v>10</v>
      </c>
      <c r="W4318" s="46" t="str">
        <f t="shared" si="1833"/>
        <v/>
      </c>
      <c r="X4318" s="46" t="str">
        <f t="shared" si="1833"/>
        <v/>
      </c>
    </row>
    <row r="4319" spans="2:24" x14ac:dyDescent="0.25">
      <c r="N4319" s="8" t="str">
        <f>IF(R4319="x",1,"")</f>
        <v/>
      </c>
      <c r="U4319" s="46" t="str">
        <f t="shared" si="1833"/>
        <v/>
      </c>
      <c r="V4319" s="46" t="str">
        <f t="shared" si="1833"/>
        <v/>
      </c>
      <c r="W4319" s="46" t="str">
        <f t="shared" si="1833"/>
        <v/>
      </c>
      <c r="X4319" s="46" t="str">
        <f t="shared" si="1833"/>
        <v/>
      </c>
    </row>
    <row r="4320" spans="2:24" x14ac:dyDescent="0.25">
      <c r="B4320" s="18"/>
      <c r="C4320" s="18"/>
      <c r="D4320" s="18"/>
      <c r="E4320" s="40"/>
      <c r="F4320" s="18"/>
      <c r="G4320" s="40"/>
      <c r="H4320" s="7">
        <f t="shared" ref="H4320:N4320" si="1834">SUM(H4310:H4319)</f>
        <v>0</v>
      </c>
      <c r="I4320" s="7">
        <f t="shared" si="1834"/>
        <v>0</v>
      </c>
      <c r="J4320" s="7">
        <f>SUM(J4310:J4319)</f>
        <v>144</v>
      </c>
      <c r="K4320" s="7">
        <f t="shared" si="1834"/>
        <v>0</v>
      </c>
      <c r="L4320" s="7">
        <f t="shared" si="1834"/>
        <v>144</v>
      </c>
      <c r="M4320" s="7">
        <f t="shared" si="1834"/>
        <v>9</v>
      </c>
      <c r="N4320" s="7">
        <f t="shared" si="1834"/>
        <v>9</v>
      </c>
      <c r="O4320" s="18"/>
      <c r="P4320" s="13"/>
      <c r="Q4320" s="13"/>
      <c r="S4320" s="13"/>
      <c r="T4320" s="15"/>
      <c r="U4320" s="46" t="str">
        <f t="shared" si="1833"/>
        <v/>
      </c>
      <c r="V4320" s="46" t="str">
        <f t="shared" si="1833"/>
        <v/>
      </c>
      <c r="W4320" s="46" t="str">
        <f t="shared" si="1833"/>
        <v/>
      </c>
      <c r="X4320" s="46" t="str">
        <f t="shared" si="1833"/>
        <v/>
      </c>
    </row>
    <row r="4321" spans="2:26" x14ac:dyDescent="0.25">
      <c r="B4321" s="18"/>
      <c r="C4321" s="18"/>
      <c r="D4321" s="18"/>
      <c r="E4321" s="40"/>
      <c r="F4321" s="18"/>
      <c r="G4321" s="40"/>
      <c r="N4321" s="8" t="str">
        <f>IF(R4321="x",1,"")</f>
        <v/>
      </c>
      <c r="O4321" s="18"/>
      <c r="P4321" s="13"/>
      <c r="Q4321" s="13"/>
      <c r="R4321" s="13"/>
      <c r="S4321" s="13"/>
      <c r="T4321" s="15"/>
      <c r="U4321" s="46" t="str">
        <f t="shared" ref="U4321:X4328" si="1835">IF($O4321=U$5,$L4321,"")</f>
        <v/>
      </c>
      <c r="V4321" s="46" t="str">
        <f t="shared" si="1835"/>
        <v/>
      </c>
      <c r="W4321" s="46" t="str">
        <f t="shared" si="1835"/>
        <v/>
      </c>
      <c r="X4321" s="46" t="str">
        <f t="shared" si="1835"/>
        <v/>
      </c>
    </row>
    <row r="4322" spans="2:26" x14ac:dyDescent="0.25">
      <c r="B4322" s="18"/>
      <c r="C4322" s="18"/>
      <c r="D4322" s="18"/>
      <c r="E4322" s="40"/>
      <c r="F4322" s="18"/>
      <c r="G4322" s="40"/>
      <c r="N4322" s="8" t="str">
        <f>IF(R4322="x",1,"")</f>
        <v/>
      </c>
      <c r="O4322" s="18"/>
      <c r="P4322" s="13"/>
      <c r="Q4322" s="13"/>
      <c r="R4322" s="13"/>
      <c r="S4322" s="13"/>
      <c r="T4322" s="15"/>
      <c r="U4322" s="46" t="str">
        <f t="shared" si="1835"/>
        <v/>
      </c>
      <c r="V4322" s="46" t="str">
        <f t="shared" si="1835"/>
        <v/>
      </c>
      <c r="W4322" s="46" t="str">
        <f t="shared" si="1835"/>
        <v/>
      </c>
      <c r="X4322" s="46" t="str">
        <f t="shared" si="1835"/>
        <v/>
      </c>
    </row>
    <row r="4323" spans="2:26" x14ac:dyDescent="0.25">
      <c r="B4323" s="11" t="str">
        <f>CONCATENATE("MONG","-",LEFT(P4323,2),UPPER(MID(P4323,4,3)),RIGHT(P4323,4))</f>
        <v>MONG-17APR1921</v>
      </c>
      <c r="C4323" s="11" t="s">
        <v>4367</v>
      </c>
      <c r="D4323" s="11" t="s">
        <v>3134</v>
      </c>
      <c r="E4323" s="39" t="s">
        <v>4368</v>
      </c>
      <c r="F4323" s="11" t="s">
        <v>1700</v>
      </c>
      <c r="G4323" s="39" t="s">
        <v>4369</v>
      </c>
      <c r="H4323" s="7">
        <v>0</v>
      </c>
      <c r="J4323" s="17">
        <f>0+1</f>
        <v>1</v>
      </c>
      <c r="K4323" s="17"/>
      <c r="L4323" s="7">
        <f>SUM(H4323:K4323)</f>
        <v>1</v>
      </c>
      <c r="M4323" s="8">
        <v>1</v>
      </c>
      <c r="N4323" s="8">
        <f>IF(L4323&gt;0,1,"")</f>
        <v>1</v>
      </c>
      <c r="O4323" s="11" t="s">
        <v>1702</v>
      </c>
      <c r="P4323" s="16" t="str">
        <f>IF(LEN(G4323)=10,CONCATENATE("0",G4323),G4323)</f>
        <v>17-Apr-1921</v>
      </c>
      <c r="R4323" s="16" t="str">
        <f t="shared" ref="R4323:S4326" si="1836">IF($L4323&gt;0,"x","")</f>
        <v>x</v>
      </c>
      <c r="S4323" s="16" t="str">
        <f t="shared" si="1836"/>
        <v>x</v>
      </c>
      <c r="U4323" s="46" t="str">
        <f t="shared" si="1835"/>
        <v/>
      </c>
      <c r="V4323" s="46">
        <f t="shared" si="1835"/>
        <v>1</v>
      </c>
      <c r="W4323" s="46" t="str">
        <f t="shared" si="1835"/>
        <v/>
      </c>
      <c r="X4323" s="46" t="str">
        <f t="shared" si="1835"/>
        <v/>
      </c>
    </row>
    <row r="4324" spans="2:26" x14ac:dyDescent="0.25">
      <c r="B4324" s="11" t="str">
        <f>CONCATENATE("MONG","-",LEFT(P4324,2),UPPER(MID(P4324,4,3)),RIGHT(P4324,4))</f>
        <v>MONG-16FEB1924</v>
      </c>
      <c r="C4324" s="11" t="s">
        <v>4367</v>
      </c>
      <c r="D4324" s="11" t="s">
        <v>2224</v>
      </c>
      <c r="E4324" s="39" t="s">
        <v>5004</v>
      </c>
      <c r="F4324" s="11" t="s">
        <v>2904</v>
      </c>
      <c r="G4324" s="39" t="s">
        <v>4947</v>
      </c>
      <c r="J4324" s="17">
        <v>1</v>
      </c>
      <c r="K4324" s="17"/>
      <c r="L4324" s="7">
        <f>SUM(H4324:K4324)</f>
        <v>1</v>
      </c>
      <c r="M4324" s="8">
        <v>1</v>
      </c>
      <c r="N4324" s="8">
        <f>IF(L4324&gt;0,1,"")</f>
        <v>1</v>
      </c>
      <c r="O4324" s="11" t="s">
        <v>1702</v>
      </c>
      <c r="P4324" s="16" t="str">
        <f>IF(LEN(G4324)=10,CONCATENATE("0",G4324),G4324)</f>
        <v>16-Feb-1924</v>
      </c>
      <c r="R4324" s="16" t="str">
        <f t="shared" si="1836"/>
        <v>x</v>
      </c>
      <c r="S4324" s="16" t="str">
        <f t="shared" si="1836"/>
        <v>x</v>
      </c>
      <c r="U4324" s="46" t="str">
        <f t="shared" si="1835"/>
        <v/>
      </c>
      <c r="V4324" s="46">
        <f t="shared" si="1835"/>
        <v>1</v>
      </c>
      <c r="W4324" s="46" t="str">
        <f t="shared" si="1835"/>
        <v/>
      </c>
      <c r="X4324" s="46" t="str">
        <f t="shared" si="1835"/>
        <v/>
      </c>
    </row>
    <row r="4325" spans="2:26" x14ac:dyDescent="0.25">
      <c r="B4325" s="11" t="str">
        <f>CONCATENATE("MONG","-",LEFT(P4325,2),UPPER(MID(P4325,4,3)),RIGHT(P4325,4))</f>
        <v>MONG-21MAR1924</v>
      </c>
      <c r="C4325" s="11" t="s">
        <v>4367</v>
      </c>
      <c r="D4325" s="11" t="s">
        <v>2224</v>
      </c>
      <c r="E4325" s="39" t="s">
        <v>11505</v>
      </c>
      <c r="F4325" s="11" t="s">
        <v>2904</v>
      </c>
      <c r="G4325" s="39" t="s">
        <v>5439</v>
      </c>
      <c r="J4325" s="17">
        <v>9</v>
      </c>
      <c r="K4325" s="17"/>
      <c r="L4325" s="7">
        <f>SUM(H4325:K4325)</f>
        <v>9</v>
      </c>
      <c r="M4325" s="8">
        <v>1</v>
      </c>
      <c r="N4325" s="8">
        <f>IF(L4325&gt;0,1,"")</f>
        <v>1</v>
      </c>
      <c r="O4325" s="11" t="s">
        <v>1702</v>
      </c>
      <c r="P4325" s="16" t="str">
        <f>IF(LEN(G4325)=10,CONCATENATE("0",G4325),G4325)</f>
        <v>21-Mar-1924</v>
      </c>
      <c r="R4325" s="16" t="str">
        <f t="shared" si="1836"/>
        <v>x</v>
      </c>
      <c r="S4325" s="80"/>
      <c r="U4325" s="46" t="str">
        <f t="shared" si="1835"/>
        <v/>
      </c>
      <c r="V4325" s="46">
        <f t="shared" si="1835"/>
        <v>9</v>
      </c>
      <c r="W4325" s="46" t="str">
        <f t="shared" si="1835"/>
        <v/>
      </c>
      <c r="X4325" s="46" t="str">
        <f t="shared" si="1835"/>
        <v/>
      </c>
    </row>
    <row r="4326" spans="2:26" x14ac:dyDescent="0.25">
      <c r="B4326" s="11" t="str">
        <f>CONCATENATE("MONG","-",LEFT(P4326,2),UPPER(MID(P4326,4,3)),RIGHT(P4326,4))</f>
        <v>MONG-25AUG1926</v>
      </c>
      <c r="C4326" s="11" t="s">
        <v>4367</v>
      </c>
      <c r="D4326" s="11" t="s">
        <v>3122</v>
      </c>
      <c r="E4326" s="39" t="s">
        <v>4986</v>
      </c>
      <c r="F4326" s="11" t="s">
        <v>1700</v>
      </c>
      <c r="G4326" s="39" t="s">
        <v>4987</v>
      </c>
      <c r="H4326" s="7">
        <v>2</v>
      </c>
      <c r="I4326" s="7">
        <v>2</v>
      </c>
      <c r="J4326" s="17">
        <v>0</v>
      </c>
      <c r="K4326" s="17"/>
      <c r="L4326" s="7">
        <f>SUM(H4326:K4326)</f>
        <v>4</v>
      </c>
      <c r="M4326" s="8">
        <v>1</v>
      </c>
      <c r="N4326" s="8">
        <f>IF(L4326&gt;0,1,"")</f>
        <v>1</v>
      </c>
      <c r="O4326" s="11" t="s">
        <v>1702</v>
      </c>
      <c r="P4326" s="16" t="str">
        <f>IF(LEN(G4326)=10,CONCATENATE("0",G4326),G4326)</f>
        <v>25-Aug-1926</v>
      </c>
      <c r="R4326" s="16" t="str">
        <f t="shared" si="1836"/>
        <v>x</v>
      </c>
      <c r="S4326" s="16" t="str">
        <f t="shared" si="1836"/>
        <v>x</v>
      </c>
      <c r="U4326" s="46" t="str">
        <f t="shared" si="1835"/>
        <v/>
      </c>
      <c r="V4326" s="46">
        <f t="shared" si="1835"/>
        <v>4</v>
      </c>
      <c r="W4326" s="46" t="str">
        <f t="shared" si="1835"/>
        <v/>
      </c>
      <c r="X4326" s="46" t="str">
        <f t="shared" si="1835"/>
        <v/>
      </c>
    </row>
    <row r="4327" spans="2:26" x14ac:dyDescent="0.25">
      <c r="N4327" s="8" t="str">
        <f>IF(R4327="x",1,"")</f>
        <v/>
      </c>
      <c r="U4327" s="46" t="str">
        <f t="shared" si="1835"/>
        <v/>
      </c>
      <c r="V4327" s="46" t="str">
        <f t="shared" si="1835"/>
        <v/>
      </c>
      <c r="W4327" s="46" t="str">
        <f t="shared" si="1835"/>
        <v/>
      </c>
      <c r="X4327" s="46" t="str">
        <f t="shared" si="1835"/>
        <v/>
      </c>
    </row>
    <row r="4328" spans="2:26" x14ac:dyDescent="0.25">
      <c r="B4328" s="18"/>
      <c r="C4328" s="18"/>
      <c r="D4328" s="18"/>
      <c r="E4328" s="40"/>
      <c r="F4328" s="18"/>
      <c r="G4328" s="40"/>
      <c r="H4328" s="7">
        <f t="shared" ref="H4328:N4328" si="1837">SUM(H4323:H4327)</f>
        <v>2</v>
      </c>
      <c r="I4328" s="7">
        <f t="shared" si="1837"/>
        <v>2</v>
      </c>
      <c r="J4328" s="7">
        <f>SUM(J4323:J4327)</f>
        <v>11</v>
      </c>
      <c r="K4328" s="7">
        <f t="shared" si="1837"/>
        <v>0</v>
      </c>
      <c r="L4328" s="7">
        <f t="shared" si="1837"/>
        <v>15</v>
      </c>
      <c r="M4328" s="7">
        <f t="shared" si="1837"/>
        <v>4</v>
      </c>
      <c r="N4328" s="7">
        <f t="shared" si="1837"/>
        <v>4</v>
      </c>
      <c r="O4328" s="18"/>
      <c r="P4328" s="13"/>
      <c r="Q4328" s="13"/>
      <c r="S4328" s="13"/>
      <c r="T4328" s="15"/>
      <c r="U4328" s="46" t="str">
        <f t="shared" si="1835"/>
        <v/>
      </c>
      <c r="V4328" s="46" t="str">
        <f t="shared" si="1835"/>
        <v/>
      </c>
      <c r="W4328" s="46" t="str">
        <f t="shared" si="1835"/>
        <v/>
      </c>
      <c r="X4328" s="46" t="str">
        <f t="shared" si="1835"/>
        <v/>
      </c>
    </row>
    <row r="4329" spans="2:26" x14ac:dyDescent="0.25">
      <c r="B4329" s="18"/>
      <c r="C4329" s="18"/>
      <c r="D4329" s="18"/>
      <c r="E4329" s="40"/>
      <c r="F4329" s="18"/>
      <c r="G4329" s="40"/>
      <c r="N4329" s="8" t="str">
        <f>IF(R4329="x",1,"")</f>
        <v/>
      </c>
      <c r="O4329" s="18"/>
      <c r="P4329" s="13"/>
      <c r="Q4329" s="13"/>
      <c r="R4329" s="13"/>
      <c r="S4329" s="13"/>
      <c r="T4329" s="15"/>
      <c r="U4329" s="46" t="str">
        <f t="shared" ref="U4329:X4333" si="1838">IF($O4329=U$5,$L4329,"")</f>
        <v/>
      </c>
      <c r="V4329" s="46" t="str">
        <f t="shared" si="1838"/>
        <v/>
      </c>
      <c r="W4329" s="46" t="str">
        <f t="shared" si="1838"/>
        <v/>
      </c>
      <c r="X4329" s="46" t="str">
        <f t="shared" si="1838"/>
        <v/>
      </c>
    </row>
    <row r="4330" spans="2:26" x14ac:dyDescent="0.25">
      <c r="B4330" s="18"/>
      <c r="C4330" s="18"/>
      <c r="D4330" s="18"/>
      <c r="E4330" s="40"/>
      <c r="F4330" s="18"/>
      <c r="G4330" s="40"/>
      <c r="N4330" s="8" t="str">
        <f>IF(R4330="x",1,"")</f>
        <v/>
      </c>
      <c r="O4330" s="18"/>
      <c r="P4330" s="13"/>
      <c r="Q4330" s="13"/>
      <c r="R4330" s="13"/>
      <c r="S4330" s="13"/>
      <c r="T4330" s="15"/>
      <c r="U4330" s="46" t="str">
        <f t="shared" si="1838"/>
        <v/>
      </c>
      <c r="V4330" s="46" t="str">
        <f t="shared" si="1838"/>
        <v/>
      </c>
      <c r="W4330" s="46" t="str">
        <f t="shared" si="1838"/>
        <v/>
      </c>
      <c r="X4330" s="46" t="str">
        <f t="shared" si="1838"/>
        <v/>
      </c>
    </row>
    <row r="4331" spans="2:26" x14ac:dyDescent="0.25">
      <c r="B4331" s="11" t="str">
        <f>CONCATENATE("MNGL","-",LEFT(P4331,2),UPPER(MID(P4331,4,3)),RIGHT(P4331,4))</f>
        <v>MNGL-23APR1907</v>
      </c>
      <c r="C4331" s="11" t="s">
        <v>6294</v>
      </c>
      <c r="D4331" s="11" t="s">
        <v>3249</v>
      </c>
      <c r="E4331" s="39" t="s">
        <v>6295</v>
      </c>
      <c r="F4331" s="11" t="s">
        <v>2904</v>
      </c>
      <c r="G4331" s="39" t="s">
        <v>6296</v>
      </c>
      <c r="H4331" s="7">
        <v>2</v>
      </c>
      <c r="I4331" s="7">
        <v>0</v>
      </c>
      <c r="J4331" s="17">
        <v>0</v>
      </c>
      <c r="K4331" s="17"/>
      <c r="L4331" s="7">
        <f>SUM(H4331:K4331)</f>
        <v>2</v>
      </c>
      <c r="M4331" s="8">
        <v>1</v>
      </c>
      <c r="N4331" s="8">
        <f>IF(L4331&gt;0,1,"")</f>
        <v>1</v>
      </c>
      <c r="O4331" s="11" t="s">
        <v>1702</v>
      </c>
      <c r="P4331" s="16" t="str">
        <f>IF(LEN(G4331)=10,CONCATENATE("0",G4331),G4331)</f>
        <v>23-Apr-1907</v>
      </c>
      <c r="R4331" s="16" t="str">
        <f>IF($L4331&gt;0,"x","")</f>
        <v>x</v>
      </c>
      <c r="S4331" s="16" t="str">
        <f>IF($L4331&gt;0,"x","")</f>
        <v>x</v>
      </c>
      <c r="U4331" s="46" t="str">
        <f t="shared" si="1838"/>
        <v/>
      </c>
      <c r="V4331" s="46">
        <f t="shared" si="1838"/>
        <v>2</v>
      </c>
      <c r="W4331" s="46" t="str">
        <f t="shared" si="1838"/>
        <v/>
      </c>
      <c r="X4331" s="46" t="str">
        <f t="shared" si="1838"/>
        <v/>
      </c>
    </row>
    <row r="4332" spans="2:26" x14ac:dyDescent="0.25">
      <c r="N4332" s="8" t="str">
        <f>IF(R4332="x",1,"")</f>
        <v/>
      </c>
      <c r="U4332" s="46" t="str">
        <f t="shared" si="1838"/>
        <v/>
      </c>
      <c r="V4332" s="46" t="str">
        <f t="shared" si="1838"/>
        <v/>
      </c>
      <c r="W4332" s="46" t="str">
        <f t="shared" si="1838"/>
        <v/>
      </c>
      <c r="X4332" s="46" t="str">
        <f t="shared" si="1838"/>
        <v/>
      </c>
    </row>
    <row r="4333" spans="2:26" x14ac:dyDescent="0.25">
      <c r="B4333" s="18"/>
      <c r="C4333" s="18"/>
      <c r="D4333" s="18"/>
      <c r="E4333" s="40"/>
      <c r="F4333" s="18"/>
      <c r="G4333" s="40"/>
      <c r="H4333" s="7">
        <f t="shared" ref="H4333:N4333" si="1839">SUM(H4331:H4332)</f>
        <v>2</v>
      </c>
      <c r="I4333" s="7">
        <f t="shared" si="1839"/>
        <v>0</v>
      </c>
      <c r="J4333" s="7">
        <f>SUM(J4331:J4332)</f>
        <v>0</v>
      </c>
      <c r="K4333" s="7">
        <f t="shared" si="1839"/>
        <v>0</v>
      </c>
      <c r="L4333" s="7">
        <f t="shared" si="1839"/>
        <v>2</v>
      </c>
      <c r="M4333" s="7">
        <f t="shared" si="1839"/>
        <v>1</v>
      </c>
      <c r="N4333" s="7">
        <f t="shared" si="1839"/>
        <v>1</v>
      </c>
      <c r="O4333" s="18"/>
      <c r="P4333" s="13"/>
      <c r="Q4333" s="13"/>
      <c r="S4333" s="13"/>
      <c r="T4333" s="15"/>
      <c r="U4333" s="46" t="str">
        <f t="shared" si="1838"/>
        <v/>
      </c>
      <c r="V4333" s="46" t="str">
        <f t="shared" si="1838"/>
        <v/>
      </c>
      <c r="W4333" s="46" t="str">
        <f t="shared" si="1838"/>
        <v/>
      </c>
      <c r="X4333" s="46" t="str">
        <f t="shared" si="1838"/>
        <v/>
      </c>
    </row>
    <row r="4334" spans="2:26" x14ac:dyDescent="0.25">
      <c r="B4334" s="18"/>
      <c r="C4334" s="18"/>
      <c r="D4334" s="18"/>
      <c r="E4334" s="40"/>
      <c r="F4334" s="18"/>
      <c r="G4334" s="40"/>
      <c r="N4334" s="8" t="str">
        <f>IF(R4334="x",1,"")</f>
        <v/>
      </c>
      <c r="O4334" s="18"/>
      <c r="P4334" s="13"/>
      <c r="Q4334" s="13"/>
      <c r="R4334" s="13"/>
      <c r="S4334" s="13"/>
      <c r="T4334" s="15"/>
      <c r="U4334" s="46" t="str">
        <f t="shared" ref="U4334:X4339" si="1840">IF($O4334=U$5,$L4334,"")</f>
        <v/>
      </c>
      <c r="V4334" s="46" t="str">
        <f t="shared" si="1840"/>
        <v/>
      </c>
      <c r="W4334" s="46" t="str">
        <f t="shared" si="1840"/>
        <v/>
      </c>
      <c r="X4334" s="46" t="str">
        <f t="shared" si="1840"/>
        <v/>
      </c>
    </row>
    <row r="4335" spans="2:26" x14ac:dyDescent="0.25">
      <c r="B4335" s="18"/>
      <c r="C4335" s="18"/>
      <c r="D4335" s="18"/>
      <c r="E4335" s="40"/>
      <c r="F4335" s="18"/>
      <c r="G4335" s="40"/>
      <c r="N4335" s="8" t="str">
        <f>IF(R4335="x",1,"")</f>
        <v/>
      </c>
      <c r="O4335" s="18"/>
      <c r="P4335" s="13"/>
      <c r="Q4335" s="13"/>
      <c r="R4335" s="13"/>
      <c r="S4335" s="13"/>
      <c r="T4335" s="15"/>
      <c r="U4335" s="46" t="str">
        <f t="shared" si="1840"/>
        <v/>
      </c>
      <c r="V4335" s="46" t="str">
        <f t="shared" si="1840"/>
        <v/>
      </c>
      <c r="W4335" s="46" t="str">
        <f t="shared" si="1840"/>
        <v/>
      </c>
      <c r="X4335" s="46" t="str">
        <f t="shared" si="1840"/>
        <v/>
      </c>
    </row>
    <row r="4336" spans="2:26" x14ac:dyDescent="0.25">
      <c r="B4336" s="11" t="str">
        <f>CONCATENATE("MCLM","-",LEFT(P4336,2),UPPER(MID(P4336,4,3)),RIGHT(P4336,4))</f>
        <v>MCLM-26JAN1922</v>
      </c>
      <c r="C4336" s="11" t="s">
        <v>4951</v>
      </c>
      <c r="D4336" s="11" t="s">
        <v>2097</v>
      </c>
      <c r="E4336" s="39" t="s">
        <v>4994</v>
      </c>
      <c r="F4336" s="11" t="s">
        <v>211</v>
      </c>
      <c r="G4336" s="39" t="s">
        <v>4995</v>
      </c>
      <c r="J4336" s="17">
        <v>5</v>
      </c>
      <c r="K4336" s="17"/>
      <c r="L4336" s="7">
        <f>SUM(H4336:K4336)</f>
        <v>5</v>
      </c>
      <c r="M4336" s="8">
        <v>1</v>
      </c>
      <c r="N4336" s="8">
        <f>IF(L4336&gt;0,1,"")</f>
        <v>1</v>
      </c>
      <c r="O4336" s="11" t="s">
        <v>1702</v>
      </c>
      <c r="P4336" s="16" t="str">
        <f>IF(LEN(G4336)=10,CONCATENATE("0",G4336),G4336)</f>
        <v>26-Jan-1922</v>
      </c>
      <c r="R4336" s="16" t="str">
        <f>IF($L4336&gt;0,"x","")</f>
        <v>x</v>
      </c>
      <c r="S4336" s="16" t="str">
        <f>IF($L4336&gt;0,"x","")</f>
        <v>x</v>
      </c>
      <c r="U4336" s="46" t="str">
        <f t="shared" si="1840"/>
        <v/>
      </c>
      <c r="V4336" s="46">
        <f t="shared" si="1840"/>
        <v>5</v>
      </c>
      <c r="W4336" s="46" t="str">
        <f t="shared" si="1840"/>
        <v/>
      </c>
      <c r="X4336" s="46" t="str">
        <f t="shared" si="1840"/>
        <v/>
      </c>
      <c r="Z4336" s="11" t="s">
        <v>2906</v>
      </c>
    </row>
    <row r="4337" spans="2:26" x14ac:dyDescent="0.25">
      <c r="B4337" s="11" t="str">
        <f>CONCATENATE("MCLM","-",LEFT(P4337,2),UPPER(MID(P4337,4,3)),RIGHT(P4337,4))</f>
        <v>MCLM-11NOV1927</v>
      </c>
      <c r="C4337" s="11" t="s">
        <v>4951</v>
      </c>
      <c r="D4337" s="11" t="s">
        <v>2097</v>
      </c>
      <c r="E4337" s="39" t="s">
        <v>4952</v>
      </c>
      <c r="F4337" s="11" t="s">
        <v>2813</v>
      </c>
      <c r="G4337" s="39" t="s">
        <v>4953</v>
      </c>
      <c r="I4337" s="7">
        <v>0</v>
      </c>
      <c r="J4337" s="17">
        <f>1+1</f>
        <v>2</v>
      </c>
      <c r="K4337" s="17"/>
      <c r="L4337" s="7">
        <f>SUM(H4337:K4337)</f>
        <v>2</v>
      </c>
      <c r="M4337" s="8">
        <v>1</v>
      </c>
      <c r="N4337" s="8">
        <f>IF(L4337&gt;0,1,"")</f>
        <v>1</v>
      </c>
      <c r="O4337" s="11" t="s">
        <v>1702</v>
      </c>
      <c r="P4337" s="16" t="str">
        <f>IF(LEN(G4337)=10,CONCATENATE("0",G4337),G4337)</f>
        <v>11-Nov-1927</v>
      </c>
      <c r="R4337" s="16" t="str">
        <f>IF($L4337&gt;0,"x","")</f>
        <v>x</v>
      </c>
      <c r="S4337" s="16" t="str">
        <f>IF($L4337&gt;0,"x","")</f>
        <v>x</v>
      </c>
      <c r="U4337" s="46" t="str">
        <f t="shared" si="1840"/>
        <v/>
      </c>
      <c r="V4337" s="46">
        <f t="shared" si="1840"/>
        <v>2</v>
      </c>
      <c r="W4337" s="46" t="str">
        <f t="shared" si="1840"/>
        <v/>
      </c>
      <c r="X4337" s="46" t="str">
        <f t="shared" si="1840"/>
        <v/>
      </c>
      <c r="Z4337" s="11" t="s">
        <v>2906</v>
      </c>
    </row>
    <row r="4338" spans="2:26" x14ac:dyDescent="0.25">
      <c r="N4338" s="8" t="str">
        <f>IF(R4338="x",1,"")</f>
        <v/>
      </c>
      <c r="U4338" s="46" t="str">
        <f t="shared" si="1840"/>
        <v/>
      </c>
      <c r="V4338" s="46" t="str">
        <f t="shared" si="1840"/>
        <v/>
      </c>
      <c r="W4338" s="46" t="str">
        <f t="shared" si="1840"/>
        <v/>
      </c>
      <c r="X4338" s="46" t="str">
        <f t="shared" si="1840"/>
        <v/>
      </c>
    </row>
    <row r="4339" spans="2:26" x14ac:dyDescent="0.25">
      <c r="B4339" s="18"/>
      <c r="C4339" s="18"/>
      <c r="D4339" s="18"/>
      <c r="E4339" s="40"/>
      <c r="F4339" s="18"/>
      <c r="G4339" s="40"/>
      <c r="H4339" s="7">
        <f t="shared" ref="H4339:N4339" si="1841">SUM(H4336:H4338)</f>
        <v>0</v>
      </c>
      <c r="I4339" s="7">
        <f t="shared" si="1841"/>
        <v>0</v>
      </c>
      <c r="J4339" s="7">
        <f>SUM(J4336:J4338)</f>
        <v>7</v>
      </c>
      <c r="K4339" s="7">
        <f t="shared" si="1841"/>
        <v>0</v>
      </c>
      <c r="L4339" s="7">
        <f t="shared" si="1841"/>
        <v>7</v>
      </c>
      <c r="M4339" s="7">
        <f t="shared" si="1841"/>
        <v>2</v>
      </c>
      <c r="N4339" s="7">
        <f t="shared" si="1841"/>
        <v>2</v>
      </c>
      <c r="O4339" s="18"/>
      <c r="P4339" s="13"/>
      <c r="Q4339" s="13"/>
      <c r="S4339" s="13"/>
      <c r="T4339" s="15"/>
      <c r="U4339" s="46" t="str">
        <f t="shared" si="1840"/>
        <v/>
      </c>
      <c r="V4339" s="46" t="str">
        <f t="shared" si="1840"/>
        <v/>
      </c>
      <c r="W4339" s="46" t="str">
        <f t="shared" si="1840"/>
        <v/>
      </c>
      <c r="X4339" s="46" t="str">
        <f t="shared" si="1840"/>
        <v/>
      </c>
    </row>
    <row r="4340" spans="2:26" x14ac:dyDescent="0.25">
      <c r="B4340" s="18"/>
      <c r="C4340" s="18"/>
      <c r="D4340" s="18"/>
      <c r="E4340" s="40"/>
      <c r="F4340" s="18"/>
      <c r="G4340" s="40"/>
      <c r="N4340" s="8" t="str">
        <f>IF(R4340="x",1,"")</f>
        <v/>
      </c>
      <c r="O4340" s="18"/>
      <c r="P4340" s="13"/>
      <c r="Q4340" s="13"/>
      <c r="R4340" s="13"/>
      <c r="S4340" s="13"/>
      <c r="T4340" s="15"/>
      <c r="U4340" s="46" t="str">
        <f t="shared" ref="U4340:X4361" si="1842">IF($O4340=U$5,$L4340,"")</f>
        <v/>
      </c>
      <c r="V4340" s="46" t="str">
        <f t="shared" si="1842"/>
        <v/>
      </c>
      <c r="W4340" s="46" t="str">
        <f t="shared" si="1842"/>
        <v/>
      </c>
      <c r="X4340" s="46" t="str">
        <f t="shared" si="1842"/>
        <v/>
      </c>
    </row>
    <row r="4341" spans="2:26" x14ac:dyDescent="0.25">
      <c r="B4341" s="18"/>
      <c r="C4341" s="18"/>
      <c r="D4341" s="18"/>
      <c r="E4341" s="40"/>
      <c r="F4341" s="18"/>
      <c r="G4341" s="40"/>
      <c r="N4341" s="8" t="str">
        <f>IF(R4341="x",1,"")</f>
        <v/>
      </c>
      <c r="O4341" s="18"/>
      <c r="P4341" s="13"/>
      <c r="Q4341" s="13"/>
      <c r="R4341" s="13"/>
      <c r="S4341" s="13"/>
      <c r="T4341" s="15"/>
      <c r="U4341" s="46" t="str">
        <f t="shared" si="1842"/>
        <v/>
      </c>
      <c r="V4341" s="46" t="str">
        <f t="shared" si="1842"/>
        <v/>
      </c>
      <c r="W4341" s="46" t="str">
        <f t="shared" si="1842"/>
        <v/>
      </c>
      <c r="X4341" s="46" t="str">
        <f t="shared" si="1842"/>
        <v/>
      </c>
    </row>
    <row r="4342" spans="2:26" x14ac:dyDescent="0.25">
      <c r="B4342" s="11" t="str">
        <f>CONCATENATE("MNTC","-",LEFT(P4342,2),UPPER(MID(P4342,4,3)),RIGHT(P4342,4))</f>
        <v>MNTC-07FEB1925</v>
      </c>
      <c r="C4342" s="11" t="s">
        <v>4550</v>
      </c>
      <c r="D4342" s="11" t="s">
        <v>2097</v>
      </c>
      <c r="E4342" s="39" t="s">
        <v>4551</v>
      </c>
      <c r="F4342" s="11" t="s">
        <v>211</v>
      </c>
      <c r="G4342" s="39" t="s">
        <v>4552</v>
      </c>
      <c r="H4342" s="7">
        <v>0</v>
      </c>
      <c r="J4342" s="17">
        <v>7</v>
      </c>
      <c r="K4342" s="17"/>
      <c r="L4342" s="7">
        <f>SUM(H4342:K4342)</f>
        <v>7</v>
      </c>
      <c r="M4342" s="8">
        <v>1</v>
      </c>
      <c r="N4342" s="8">
        <f>IF(L4342&gt;0,1,"")</f>
        <v>1</v>
      </c>
      <c r="O4342" s="11" t="s">
        <v>1702</v>
      </c>
      <c r="P4342" s="16" t="str">
        <f>IF(LEN(G4342)=10,CONCATENATE("0",G4342),G4342)</f>
        <v>07-Feb-1925</v>
      </c>
      <c r="R4342" s="16" t="str">
        <f>IF($L4342&gt;0,"x","")</f>
        <v>x</v>
      </c>
      <c r="S4342" s="16" t="str">
        <f>IF($L4342&gt;0,"x","")</f>
        <v>x</v>
      </c>
      <c r="U4342" s="46" t="str">
        <f t="shared" si="1842"/>
        <v/>
      </c>
      <c r="V4342" s="46">
        <f t="shared" si="1842"/>
        <v>7</v>
      </c>
      <c r="W4342" s="46" t="str">
        <f t="shared" si="1842"/>
        <v/>
      </c>
      <c r="X4342" s="46" t="str">
        <f t="shared" si="1842"/>
        <v/>
      </c>
      <c r="Z4342" s="11" t="s">
        <v>2906</v>
      </c>
    </row>
    <row r="4343" spans="2:26" x14ac:dyDescent="0.25">
      <c r="B4343" s="11" t="str">
        <f>CONCATENATE("MNTC","-",LEFT(P4343,2),UPPER(MID(P4343,4,3)),RIGHT(P4343,4))</f>
        <v>MNTC-04APR1925</v>
      </c>
      <c r="C4343" s="11" t="s">
        <v>4550</v>
      </c>
      <c r="D4343" s="11" t="s">
        <v>2097</v>
      </c>
      <c r="E4343" s="39" t="s">
        <v>11407</v>
      </c>
      <c r="F4343" s="11" t="s">
        <v>211</v>
      </c>
      <c r="G4343" s="39" t="s">
        <v>5642</v>
      </c>
      <c r="H4343" s="7">
        <v>0</v>
      </c>
      <c r="J4343" s="17">
        <v>0</v>
      </c>
      <c r="K4343" s="17"/>
      <c r="L4343" s="7">
        <f>SUM(H4343:K4343)</f>
        <v>0</v>
      </c>
      <c r="M4343" s="8">
        <v>1</v>
      </c>
      <c r="N4343" s="8" t="str">
        <f>IF(L4343&gt;0,1,"")</f>
        <v/>
      </c>
      <c r="O4343" s="11" t="s">
        <v>1702</v>
      </c>
      <c r="P4343" s="16" t="str">
        <f>IF(LEN(G4343)=10,CONCATENATE("0",G4343),G4343)</f>
        <v>04-Apr-1925</v>
      </c>
      <c r="Q4343" s="80"/>
      <c r="U4343" s="46" t="str">
        <f t="shared" si="1842"/>
        <v/>
      </c>
      <c r="V4343" s="46">
        <f t="shared" si="1842"/>
        <v>0</v>
      </c>
      <c r="W4343" s="46" t="str">
        <f t="shared" si="1842"/>
        <v/>
      </c>
      <c r="X4343" s="46" t="str">
        <f t="shared" si="1842"/>
        <v/>
      </c>
      <c r="Z4343" s="11" t="s">
        <v>2906</v>
      </c>
    </row>
    <row r="4344" spans="2:26" x14ac:dyDescent="0.25">
      <c r="N4344" s="8" t="str">
        <f>IF(R4344="x",1,"")</f>
        <v/>
      </c>
      <c r="U4344" s="46" t="str">
        <f t="shared" si="1842"/>
        <v/>
      </c>
      <c r="V4344" s="46" t="str">
        <f t="shared" si="1842"/>
        <v/>
      </c>
      <c r="W4344" s="46" t="str">
        <f t="shared" si="1842"/>
        <v/>
      </c>
      <c r="X4344" s="46" t="str">
        <f t="shared" si="1842"/>
        <v/>
      </c>
    </row>
    <row r="4345" spans="2:26" x14ac:dyDescent="0.25">
      <c r="B4345" s="18"/>
      <c r="C4345" s="18"/>
      <c r="D4345" s="18"/>
      <c r="E4345" s="40"/>
      <c r="F4345" s="18"/>
      <c r="G4345" s="40"/>
      <c r="H4345" s="7">
        <f t="shared" ref="H4345:N4345" si="1843">SUM(H4342:H4344)</f>
        <v>0</v>
      </c>
      <c r="I4345" s="7">
        <f t="shared" si="1843"/>
        <v>0</v>
      </c>
      <c r="J4345" s="7">
        <f>SUM(J4342:J4344)</f>
        <v>7</v>
      </c>
      <c r="K4345" s="7">
        <f t="shared" si="1843"/>
        <v>0</v>
      </c>
      <c r="L4345" s="7">
        <f t="shared" si="1843"/>
        <v>7</v>
      </c>
      <c r="M4345" s="7">
        <f t="shared" si="1843"/>
        <v>2</v>
      </c>
      <c r="N4345" s="7">
        <f t="shared" si="1843"/>
        <v>1</v>
      </c>
      <c r="O4345" s="18"/>
      <c r="P4345" s="13"/>
      <c r="Q4345" s="13"/>
      <c r="S4345" s="13"/>
      <c r="T4345" s="15"/>
      <c r="U4345" s="46" t="str">
        <f t="shared" si="1842"/>
        <v/>
      </c>
      <c r="V4345" s="46" t="str">
        <f t="shared" si="1842"/>
        <v/>
      </c>
      <c r="W4345" s="46" t="str">
        <f t="shared" si="1842"/>
        <v/>
      </c>
      <c r="X4345" s="46" t="str">
        <f t="shared" si="1842"/>
        <v/>
      </c>
    </row>
    <row r="4346" spans="2:26" x14ac:dyDescent="0.25">
      <c r="B4346" s="18"/>
      <c r="C4346" s="18"/>
      <c r="D4346" s="18"/>
      <c r="E4346" s="40"/>
      <c r="F4346" s="18"/>
      <c r="G4346" s="40"/>
      <c r="N4346" s="8" t="str">
        <f>IF(R4346="x",1,"")</f>
        <v/>
      </c>
      <c r="O4346" s="18"/>
      <c r="P4346" s="13"/>
      <c r="Q4346" s="13"/>
      <c r="R4346" s="13"/>
      <c r="S4346" s="13"/>
      <c r="T4346" s="15"/>
      <c r="U4346" s="46" t="str">
        <f t="shared" si="1842"/>
        <v/>
      </c>
      <c r="V4346" s="46" t="str">
        <f t="shared" si="1842"/>
        <v/>
      </c>
      <c r="W4346" s="46" t="str">
        <f t="shared" si="1842"/>
        <v/>
      </c>
      <c r="X4346" s="46" t="str">
        <f t="shared" si="1842"/>
        <v/>
      </c>
    </row>
    <row r="4347" spans="2:26" x14ac:dyDescent="0.25">
      <c r="B4347" s="18"/>
      <c r="C4347" s="18"/>
      <c r="D4347" s="18"/>
      <c r="E4347" s="40"/>
      <c r="F4347" s="18"/>
      <c r="G4347" s="40"/>
      <c r="N4347" s="8" t="str">
        <f>IF(R4347="x",1,"")</f>
        <v/>
      </c>
      <c r="O4347" s="18"/>
      <c r="P4347" s="13"/>
      <c r="Q4347" s="13"/>
      <c r="R4347" s="13"/>
      <c r="S4347" s="13"/>
      <c r="T4347" s="15"/>
      <c r="U4347" s="46" t="str">
        <f t="shared" si="1842"/>
        <v/>
      </c>
      <c r="V4347" s="46" t="str">
        <f t="shared" si="1842"/>
        <v/>
      </c>
      <c r="W4347" s="46" t="str">
        <f t="shared" si="1842"/>
        <v/>
      </c>
      <c r="X4347" s="46" t="str">
        <f t="shared" si="1842"/>
        <v/>
      </c>
    </row>
    <row r="4348" spans="2:26" x14ac:dyDescent="0.25">
      <c r="B4348" s="11" t="str">
        <f>CONCATENATE("MREY","-",LEFT(P4348,2),UPPER(MID(P4348,4,3)),RIGHT(P4348,4))</f>
        <v>MREY-07JUL1923</v>
      </c>
      <c r="C4348" s="11" t="s">
        <v>11243</v>
      </c>
      <c r="D4348" s="11" t="s">
        <v>3122</v>
      </c>
      <c r="E4348" s="39" t="s">
        <v>4320</v>
      </c>
      <c r="F4348" s="11" t="s">
        <v>4980</v>
      </c>
      <c r="G4348" s="39" t="s">
        <v>2993</v>
      </c>
      <c r="H4348" s="7">
        <v>3</v>
      </c>
      <c r="I4348" s="7">
        <v>0</v>
      </c>
      <c r="J4348" s="17">
        <v>0</v>
      </c>
      <c r="K4348" s="17"/>
      <c r="L4348" s="7">
        <f>SUM(H4348:K4348)</f>
        <v>3</v>
      </c>
      <c r="M4348" s="8">
        <v>1</v>
      </c>
      <c r="N4348" s="8">
        <f>IF(L4348&gt;0,1,"")</f>
        <v>1</v>
      </c>
      <c r="O4348" s="11" t="s">
        <v>1702</v>
      </c>
      <c r="P4348" s="16" t="str">
        <f>IF(LEN(G4348)=10,CONCATENATE("0",G4348),G4348)</f>
        <v>07-Jul-1923</v>
      </c>
      <c r="R4348" s="16" t="str">
        <f>IF($L4348&gt;0,"x","")</f>
        <v>x</v>
      </c>
      <c r="S4348" s="16" t="str">
        <f>IF($L4348&gt;0,"x","")</f>
        <v>x</v>
      </c>
      <c r="U4348" s="46" t="str">
        <f t="shared" si="1842"/>
        <v/>
      </c>
      <c r="V4348" s="46">
        <f t="shared" si="1842"/>
        <v>3</v>
      </c>
      <c r="W4348" s="46" t="str">
        <f t="shared" si="1842"/>
        <v/>
      </c>
      <c r="X4348" s="46" t="str">
        <f t="shared" si="1842"/>
        <v/>
      </c>
      <c r="Z4348" s="11" t="s">
        <v>3987</v>
      </c>
    </row>
    <row r="4349" spans="2:26" x14ac:dyDescent="0.25">
      <c r="N4349" s="8" t="str">
        <f>IF(R4349="x",1,"")</f>
        <v/>
      </c>
      <c r="U4349" s="46" t="str">
        <f t="shared" si="1842"/>
        <v/>
      </c>
      <c r="V4349" s="46" t="str">
        <f t="shared" si="1842"/>
        <v/>
      </c>
      <c r="W4349" s="46" t="str">
        <f t="shared" si="1842"/>
        <v/>
      </c>
      <c r="X4349" s="46" t="str">
        <f t="shared" si="1842"/>
        <v/>
      </c>
    </row>
    <row r="4350" spans="2:26" x14ac:dyDescent="0.25">
      <c r="B4350" s="18"/>
      <c r="C4350" s="18"/>
      <c r="D4350" s="18"/>
      <c r="E4350" s="40"/>
      <c r="F4350" s="18"/>
      <c r="G4350" s="40"/>
      <c r="H4350" s="7">
        <f t="shared" ref="H4350:N4350" si="1844">SUM(H4348:H4349)</f>
        <v>3</v>
      </c>
      <c r="I4350" s="7">
        <f t="shared" si="1844"/>
        <v>0</v>
      </c>
      <c r="J4350" s="7">
        <f>SUM(J4348:J4349)</f>
        <v>0</v>
      </c>
      <c r="K4350" s="7">
        <f t="shared" si="1844"/>
        <v>0</v>
      </c>
      <c r="L4350" s="7">
        <f t="shared" si="1844"/>
        <v>3</v>
      </c>
      <c r="M4350" s="7">
        <f t="shared" si="1844"/>
        <v>1</v>
      </c>
      <c r="N4350" s="7">
        <f t="shared" si="1844"/>
        <v>1</v>
      </c>
      <c r="O4350" s="18"/>
      <c r="P4350" s="13"/>
      <c r="Q4350" s="13"/>
      <c r="S4350" s="13"/>
      <c r="T4350" s="15"/>
      <c r="U4350" s="46" t="str">
        <f t="shared" si="1842"/>
        <v/>
      </c>
      <c r="V4350" s="46" t="str">
        <f t="shared" si="1842"/>
        <v/>
      </c>
      <c r="W4350" s="46" t="str">
        <f t="shared" si="1842"/>
        <v/>
      </c>
      <c r="X4350" s="46" t="str">
        <f t="shared" si="1842"/>
        <v/>
      </c>
    </row>
    <row r="4351" spans="2:26" x14ac:dyDescent="0.25">
      <c r="B4351" s="18"/>
      <c r="C4351" s="18"/>
      <c r="D4351" s="18"/>
      <c r="E4351" s="40"/>
      <c r="F4351" s="18"/>
      <c r="G4351" s="40"/>
      <c r="N4351" s="8" t="str">
        <f>IF(R4351="x",1,"")</f>
        <v/>
      </c>
      <c r="O4351" s="18"/>
      <c r="P4351" s="13"/>
      <c r="Q4351" s="13"/>
      <c r="R4351" s="13"/>
      <c r="S4351" s="13"/>
      <c r="T4351" s="15"/>
      <c r="U4351" s="46" t="str">
        <f t="shared" si="1842"/>
        <v/>
      </c>
      <c r="V4351" s="46" t="str">
        <f t="shared" si="1842"/>
        <v/>
      </c>
      <c r="W4351" s="46" t="str">
        <f t="shared" si="1842"/>
        <v/>
      </c>
      <c r="X4351" s="46" t="str">
        <f t="shared" si="1842"/>
        <v/>
      </c>
    </row>
    <row r="4352" spans="2:26" x14ac:dyDescent="0.25">
      <c r="B4352" s="18"/>
      <c r="C4352" s="18"/>
      <c r="D4352" s="18"/>
      <c r="E4352" s="40"/>
      <c r="F4352" s="18"/>
      <c r="G4352" s="40"/>
      <c r="N4352" s="8" t="str">
        <f>IF(R4352="x",1,"")</f>
        <v/>
      </c>
      <c r="O4352" s="18"/>
      <c r="P4352" s="13"/>
      <c r="Q4352" s="13"/>
      <c r="R4352" s="13"/>
      <c r="S4352" s="13"/>
      <c r="T4352" s="15"/>
      <c r="U4352" s="46" t="str">
        <f t="shared" si="1842"/>
        <v/>
      </c>
      <c r="V4352" s="46" t="str">
        <f t="shared" si="1842"/>
        <v/>
      </c>
      <c r="W4352" s="46" t="str">
        <f t="shared" si="1842"/>
        <v/>
      </c>
      <c r="X4352" s="46" t="str">
        <f t="shared" si="1842"/>
        <v/>
      </c>
    </row>
    <row r="4353" spans="2:26" x14ac:dyDescent="0.25">
      <c r="B4353" s="11" t="str">
        <f>CONCATENATE("MNTL","-",LEFT(P4353,2),UPPER(MID(P4353,4,3)),RIGHT(P4353,4))</f>
        <v>MNTL-19JAN1924</v>
      </c>
      <c r="C4353" s="11" t="s">
        <v>4575</v>
      </c>
      <c r="D4353" s="11" t="s">
        <v>2097</v>
      </c>
      <c r="E4353" s="39" t="s">
        <v>4576</v>
      </c>
      <c r="F4353" s="11" t="s">
        <v>211</v>
      </c>
      <c r="G4353" s="39" t="s">
        <v>4577</v>
      </c>
      <c r="H4353" s="7">
        <v>1</v>
      </c>
      <c r="J4353" s="17">
        <v>22</v>
      </c>
      <c r="K4353" s="17"/>
      <c r="L4353" s="7">
        <f>SUM(H4353:K4353)</f>
        <v>23</v>
      </c>
      <c r="M4353" s="8">
        <v>1</v>
      </c>
      <c r="N4353" s="8">
        <f>IF(L4353&gt;0,1,"")</f>
        <v>1</v>
      </c>
      <c r="O4353" s="11" t="s">
        <v>1702</v>
      </c>
      <c r="P4353" s="16" t="str">
        <f>IF(LEN(G4353)=10,CONCATENATE("0",G4353),G4353)</f>
        <v>19-Jan-1924</v>
      </c>
      <c r="R4353" s="16" t="str">
        <f>IF($L4353&gt;0,"x","")</f>
        <v>x</v>
      </c>
      <c r="S4353" s="16" t="str">
        <f>IF($L4353&gt;0,"x","")</f>
        <v>x</v>
      </c>
      <c r="U4353" s="46" t="str">
        <f t="shared" si="1842"/>
        <v/>
      </c>
      <c r="V4353" s="46">
        <f t="shared" si="1842"/>
        <v>23</v>
      </c>
      <c r="W4353" s="46" t="str">
        <f t="shared" si="1842"/>
        <v/>
      </c>
      <c r="X4353" s="46" t="str">
        <f t="shared" si="1842"/>
        <v/>
      </c>
      <c r="Z4353" s="11" t="s">
        <v>3987</v>
      </c>
    </row>
    <row r="4354" spans="2:26" x14ac:dyDescent="0.25">
      <c r="N4354" s="8" t="str">
        <f>IF(R4354="x",1,"")</f>
        <v/>
      </c>
      <c r="U4354" s="46" t="str">
        <f t="shared" si="1842"/>
        <v/>
      </c>
      <c r="V4354" s="46" t="str">
        <f t="shared" si="1842"/>
        <v/>
      </c>
      <c r="W4354" s="46" t="str">
        <f t="shared" si="1842"/>
        <v/>
      </c>
      <c r="X4354" s="46" t="str">
        <f t="shared" si="1842"/>
        <v/>
      </c>
    </row>
    <row r="4355" spans="2:26" x14ac:dyDescent="0.25">
      <c r="B4355" s="18"/>
      <c r="C4355" s="18"/>
      <c r="D4355" s="18"/>
      <c r="E4355" s="40"/>
      <c r="F4355" s="18"/>
      <c r="G4355" s="40"/>
      <c r="H4355" s="7">
        <f t="shared" ref="H4355:N4355" si="1845">SUM(H4353:H4354)</f>
        <v>1</v>
      </c>
      <c r="I4355" s="7">
        <f t="shared" si="1845"/>
        <v>0</v>
      </c>
      <c r="J4355" s="7">
        <f>SUM(J4353:J4354)</f>
        <v>22</v>
      </c>
      <c r="K4355" s="7">
        <f t="shared" si="1845"/>
        <v>0</v>
      </c>
      <c r="L4355" s="7">
        <f t="shared" si="1845"/>
        <v>23</v>
      </c>
      <c r="M4355" s="7">
        <f t="shared" si="1845"/>
        <v>1</v>
      </c>
      <c r="N4355" s="7">
        <f t="shared" si="1845"/>
        <v>1</v>
      </c>
      <c r="O4355" s="18"/>
      <c r="P4355" s="13"/>
      <c r="Q4355" s="13"/>
      <c r="S4355" s="13"/>
      <c r="T4355" s="15"/>
      <c r="U4355" s="46" t="str">
        <f t="shared" si="1842"/>
        <v/>
      </c>
      <c r="V4355" s="46" t="str">
        <f t="shared" si="1842"/>
        <v/>
      </c>
      <c r="W4355" s="46" t="str">
        <f t="shared" si="1842"/>
        <v/>
      </c>
      <c r="X4355" s="46" t="str">
        <f t="shared" si="1842"/>
        <v/>
      </c>
    </row>
    <row r="4356" spans="2:26" x14ac:dyDescent="0.25">
      <c r="B4356" s="18"/>
      <c r="C4356" s="18"/>
      <c r="D4356" s="18"/>
      <c r="E4356" s="40"/>
      <c r="F4356" s="18"/>
      <c r="G4356" s="40"/>
      <c r="N4356" s="8" t="str">
        <f>IF(R4356="x",1,"")</f>
        <v/>
      </c>
      <c r="O4356" s="18"/>
      <c r="P4356" s="13"/>
      <c r="Q4356" s="13"/>
      <c r="R4356" s="13"/>
      <c r="S4356" s="13"/>
      <c r="T4356" s="15"/>
      <c r="U4356" s="46" t="str">
        <f t="shared" si="1842"/>
        <v/>
      </c>
      <c r="V4356" s="46" t="str">
        <f t="shared" si="1842"/>
        <v/>
      </c>
      <c r="W4356" s="46" t="str">
        <f t="shared" si="1842"/>
        <v/>
      </c>
      <c r="X4356" s="46" t="str">
        <f t="shared" si="1842"/>
        <v/>
      </c>
    </row>
    <row r="4357" spans="2:26" x14ac:dyDescent="0.25">
      <c r="B4357" s="18"/>
      <c r="C4357" s="18"/>
      <c r="D4357" s="18"/>
      <c r="E4357" s="40"/>
      <c r="F4357" s="18"/>
      <c r="G4357" s="40"/>
      <c r="N4357" s="8" t="str">
        <f>IF(R4357="x",1,"")</f>
        <v/>
      </c>
      <c r="O4357" s="18"/>
      <c r="P4357" s="13"/>
      <c r="Q4357" s="13"/>
      <c r="R4357" s="13"/>
      <c r="S4357" s="13"/>
      <c r="T4357" s="15"/>
      <c r="U4357" s="46" t="str">
        <f t="shared" si="1842"/>
        <v/>
      </c>
      <c r="V4357" s="46" t="str">
        <f t="shared" si="1842"/>
        <v/>
      </c>
      <c r="W4357" s="46" t="str">
        <f t="shared" si="1842"/>
        <v/>
      </c>
      <c r="X4357" s="46" t="str">
        <f t="shared" si="1842"/>
        <v/>
      </c>
    </row>
    <row r="4358" spans="2:26" x14ac:dyDescent="0.25">
      <c r="B4358" s="11" t="str">
        <f>CONCATENATE("MONT","-",LEFT(P4358,2),UPPER(MID(P4358,4,3)),RIGHT(P4358,4))</f>
        <v>MONT-05APR1905</v>
      </c>
      <c r="C4358" s="11" t="s">
        <v>3854</v>
      </c>
      <c r="D4358" s="11" t="s">
        <v>1699</v>
      </c>
      <c r="E4358" s="39" t="s">
        <v>988</v>
      </c>
      <c r="F4358" s="11" t="s">
        <v>1700</v>
      </c>
      <c r="G4358" s="39" t="s">
        <v>11173</v>
      </c>
      <c r="J4358" s="17">
        <v>1</v>
      </c>
      <c r="K4358" s="17"/>
      <c r="L4358" s="7">
        <f>SUM(H4358:K4358)</f>
        <v>1</v>
      </c>
      <c r="M4358" s="8">
        <v>1</v>
      </c>
      <c r="N4358" s="8">
        <f>IF(L4358&gt;0,1,"")</f>
        <v>1</v>
      </c>
      <c r="O4358" s="11" t="s">
        <v>1702</v>
      </c>
      <c r="P4358" s="16" t="str">
        <f>IF(LEN(G4358)=10,CONCATENATE("0",G4358),G4358)</f>
        <v>05-Apr-1905</v>
      </c>
      <c r="R4358" s="16" t="str">
        <f>IF($L4358&gt;0,"x","")</f>
        <v>x</v>
      </c>
      <c r="S4358" s="16" t="str">
        <f>IF($L4358&gt;0,"x","")</f>
        <v>x</v>
      </c>
      <c r="U4358" s="46" t="str">
        <f t="shared" si="1842"/>
        <v/>
      </c>
      <c r="V4358" s="46">
        <f t="shared" si="1842"/>
        <v>1</v>
      </c>
      <c r="W4358" s="46" t="str">
        <f t="shared" si="1842"/>
        <v/>
      </c>
      <c r="X4358" s="46" t="str">
        <f t="shared" si="1842"/>
        <v/>
      </c>
    </row>
    <row r="4359" spans="2:26" x14ac:dyDescent="0.25">
      <c r="B4359" s="11" t="str">
        <f>CONCATENATE("MONT","-",LEFT(P4359,2),UPPER(MID(P4359,4,3)),RIGHT(P4359,4))</f>
        <v>MONT-02JUN1905</v>
      </c>
      <c r="C4359" s="11" t="s">
        <v>3854</v>
      </c>
      <c r="D4359" s="11" t="s">
        <v>1699</v>
      </c>
      <c r="E4359" s="39" t="s">
        <v>991</v>
      </c>
      <c r="F4359" s="11" t="s">
        <v>1700</v>
      </c>
      <c r="G4359" s="39" t="s">
        <v>3855</v>
      </c>
      <c r="J4359" s="17">
        <v>11</v>
      </c>
      <c r="K4359" s="17"/>
      <c r="L4359" s="7">
        <f>SUM(H4359:K4359)</f>
        <v>11</v>
      </c>
      <c r="M4359" s="8">
        <v>1</v>
      </c>
      <c r="N4359" s="8">
        <f>IF(L4359&gt;0,1,"")</f>
        <v>1</v>
      </c>
      <c r="O4359" s="11" t="s">
        <v>1702</v>
      </c>
      <c r="P4359" s="16" t="str">
        <f>IF(LEN(G4359)=10,CONCATENATE("0",G4359),G4359)</f>
        <v>02-Jun-1905</v>
      </c>
      <c r="R4359" s="16" t="str">
        <f>IF($L4359&gt;0,"x","")</f>
        <v>x</v>
      </c>
      <c r="S4359" s="16" t="str">
        <f>IF($L4359&gt;0,"x","")</f>
        <v>x</v>
      </c>
      <c r="U4359" s="46" t="str">
        <f t="shared" si="1842"/>
        <v/>
      </c>
      <c r="V4359" s="46">
        <f t="shared" si="1842"/>
        <v>11</v>
      </c>
      <c r="W4359" s="46" t="str">
        <f t="shared" si="1842"/>
        <v/>
      </c>
      <c r="X4359" s="46" t="str">
        <f t="shared" si="1842"/>
        <v/>
      </c>
    </row>
    <row r="4360" spans="2:26" x14ac:dyDescent="0.25">
      <c r="N4360" s="8" t="str">
        <f>IF(R4360="x",1,"")</f>
        <v/>
      </c>
      <c r="U4360" s="46" t="str">
        <f t="shared" si="1842"/>
        <v/>
      </c>
      <c r="V4360" s="46" t="str">
        <f t="shared" si="1842"/>
        <v/>
      </c>
      <c r="W4360" s="46" t="str">
        <f t="shared" si="1842"/>
        <v/>
      </c>
      <c r="X4360" s="46" t="str">
        <f t="shared" si="1842"/>
        <v/>
      </c>
    </row>
    <row r="4361" spans="2:26" x14ac:dyDescent="0.25">
      <c r="B4361" s="18"/>
      <c r="C4361" s="18"/>
      <c r="D4361" s="18"/>
      <c r="E4361" s="40"/>
      <c r="F4361" s="18"/>
      <c r="G4361" s="40"/>
      <c r="H4361" s="7">
        <f t="shared" ref="H4361:N4361" si="1846">SUM(H4358:H4360)</f>
        <v>0</v>
      </c>
      <c r="I4361" s="7">
        <f t="shared" si="1846"/>
        <v>0</v>
      </c>
      <c r="J4361" s="7">
        <f>SUM(J4358:J4360)</f>
        <v>12</v>
      </c>
      <c r="K4361" s="7">
        <f t="shared" si="1846"/>
        <v>0</v>
      </c>
      <c r="L4361" s="7">
        <f t="shared" si="1846"/>
        <v>12</v>
      </c>
      <c r="M4361" s="7">
        <f t="shared" si="1846"/>
        <v>2</v>
      </c>
      <c r="N4361" s="7">
        <f t="shared" si="1846"/>
        <v>2</v>
      </c>
      <c r="O4361" s="18"/>
      <c r="P4361" s="13"/>
      <c r="Q4361" s="13"/>
      <c r="S4361" s="13"/>
      <c r="T4361" s="15"/>
      <c r="U4361" s="46" t="str">
        <f t="shared" si="1842"/>
        <v/>
      </c>
      <c r="V4361" s="46" t="str">
        <f t="shared" si="1842"/>
        <v/>
      </c>
      <c r="W4361" s="46" t="str">
        <f t="shared" si="1842"/>
        <v/>
      </c>
      <c r="X4361" s="46" t="str">
        <f t="shared" si="1842"/>
        <v/>
      </c>
    </row>
    <row r="4362" spans="2:26" x14ac:dyDescent="0.25">
      <c r="B4362" s="18"/>
      <c r="C4362" s="18"/>
      <c r="D4362" s="18"/>
      <c r="E4362" s="40"/>
      <c r="F4362" s="18"/>
      <c r="G4362" s="40"/>
      <c r="N4362" s="8" t="str">
        <f>IF(R4362="x",1,"")</f>
        <v/>
      </c>
      <c r="O4362" s="18"/>
      <c r="P4362" s="13"/>
      <c r="Q4362" s="13"/>
      <c r="R4362" s="13"/>
      <c r="S4362" s="13"/>
      <c r="T4362" s="15"/>
      <c r="U4362" s="46" t="str">
        <f t="shared" ref="U4362:X4372" si="1847">IF($O4362=U$5,$L4362,"")</f>
        <v/>
      </c>
      <c r="V4362" s="46" t="str">
        <f t="shared" si="1847"/>
        <v/>
      </c>
      <c r="W4362" s="46" t="str">
        <f t="shared" si="1847"/>
        <v/>
      </c>
      <c r="X4362" s="46" t="str">
        <f t="shared" si="1847"/>
        <v/>
      </c>
    </row>
    <row r="4363" spans="2:26" x14ac:dyDescent="0.25">
      <c r="B4363" s="18"/>
      <c r="C4363" s="18"/>
      <c r="D4363" s="18"/>
      <c r="E4363" s="40"/>
      <c r="F4363" s="18"/>
      <c r="G4363" s="40"/>
      <c r="N4363" s="8" t="str">
        <f>IF(R4363="x",1,"")</f>
        <v/>
      </c>
      <c r="O4363" s="18"/>
      <c r="P4363" s="13"/>
      <c r="Q4363" s="13"/>
      <c r="R4363" s="13"/>
      <c r="S4363" s="13"/>
      <c r="T4363" s="15"/>
      <c r="U4363" s="46" t="str">
        <f t="shared" si="1847"/>
        <v/>
      </c>
      <c r="V4363" s="46" t="str">
        <f t="shared" si="1847"/>
        <v/>
      </c>
      <c r="W4363" s="46" t="str">
        <f t="shared" si="1847"/>
        <v/>
      </c>
      <c r="X4363" s="46" t="str">
        <f t="shared" si="1847"/>
        <v/>
      </c>
    </row>
    <row r="4364" spans="2:26" x14ac:dyDescent="0.25">
      <c r="B4364" s="11" t="str">
        <f>CONCATENATE("MNTR","-",LEFT(P4364,2),UPPER(MID(P4364,4,3)),RIGHT(P4364,4))</f>
        <v>MNTR-12APR1925</v>
      </c>
      <c r="C4364" s="11" t="s">
        <v>4933</v>
      </c>
      <c r="D4364" s="11" t="s">
        <v>2097</v>
      </c>
      <c r="E4364" s="39" t="s">
        <v>11408</v>
      </c>
      <c r="F4364" s="11" t="s">
        <v>211</v>
      </c>
      <c r="G4364" s="39" t="s">
        <v>11409</v>
      </c>
      <c r="H4364" s="7">
        <v>0</v>
      </c>
      <c r="J4364" s="17">
        <v>0</v>
      </c>
      <c r="K4364" s="17"/>
      <c r="L4364" s="7">
        <f>SUM(H4364:K4364)</f>
        <v>0</v>
      </c>
      <c r="M4364" s="8">
        <v>1</v>
      </c>
      <c r="N4364" s="8" t="str">
        <f>IF(L4364&gt;0,1,"")</f>
        <v/>
      </c>
      <c r="O4364" s="11" t="s">
        <v>1702</v>
      </c>
      <c r="P4364" s="16" t="str">
        <f>IF(LEN(G4364)=10,CONCATENATE("0",G4364),G4364)</f>
        <v>12-Apr-1925</v>
      </c>
      <c r="Q4364" s="80"/>
      <c r="U4364" s="46" t="str">
        <f t="shared" si="1847"/>
        <v/>
      </c>
      <c r="V4364" s="46">
        <f t="shared" si="1847"/>
        <v>0</v>
      </c>
      <c r="W4364" s="46" t="str">
        <f t="shared" si="1847"/>
        <v/>
      </c>
      <c r="X4364" s="46" t="str">
        <f t="shared" si="1847"/>
        <v/>
      </c>
    </row>
    <row r="4365" spans="2:26" x14ac:dyDescent="0.25">
      <c r="B4365" s="11" t="str">
        <f>CONCATENATE("MNTR","-",LEFT(P4365,2),UPPER(MID(P4365,4,3)),RIGHT(P4365,4))</f>
        <v>MNTR-03DEC1927</v>
      </c>
      <c r="C4365" s="11" t="s">
        <v>4933</v>
      </c>
      <c r="D4365" s="11" t="s">
        <v>2097</v>
      </c>
      <c r="E4365" s="39" t="s">
        <v>4934</v>
      </c>
      <c r="F4365" s="11" t="s">
        <v>211</v>
      </c>
      <c r="G4365" s="39" t="s">
        <v>4935</v>
      </c>
      <c r="I4365" s="7">
        <v>0</v>
      </c>
      <c r="J4365" s="17">
        <v>1</v>
      </c>
      <c r="K4365" s="17"/>
      <c r="L4365" s="7">
        <f>SUM(H4365:K4365)</f>
        <v>1</v>
      </c>
      <c r="M4365" s="8">
        <v>1</v>
      </c>
      <c r="N4365" s="8">
        <f>IF(L4365&gt;0,1,"")</f>
        <v>1</v>
      </c>
      <c r="O4365" s="11" t="s">
        <v>1702</v>
      </c>
      <c r="P4365" s="16" t="str">
        <f>IF(LEN(G4365)=10,CONCATENATE("0",G4365),G4365)</f>
        <v>03-Dec-1927</v>
      </c>
      <c r="R4365" s="16" t="str">
        <f>IF($L4365&gt;0,"x","")</f>
        <v>x</v>
      </c>
      <c r="S4365" s="16" t="str">
        <f>IF($L4365&gt;0,"x","")</f>
        <v>x</v>
      </c>
      <c r="U4365" s="46" t="str">
        <f t="shared" si="1847"/>
        <v/>
      </c>
      <c r="V4365" s="46">
        <f t="shared" si="1847"/>
        <v>1</v>
      </c>
      <c r="W4365" s="46" t="str">
        <f t="shared" si="1847"/>
        <v/>
      </c>
      <c r="X4365" s="46" t="str">
        <f t="shared" si="1847"/>
        <v/>
      </c>
    </row>
    <row r="4366" spans="2:26" x14ac:dyDescent="0.25">
      <c r="N4366" s="8" t="str">
        <f>IF(R4366="x",1,"")</f>
        <v/>
      </c>
      <c r="U4366" s="46" t="str">
        <f t="shared" si="1847"/>
        <v/>
      </c>
      <c r="V4366" s="46" t="str">
        <f t="shared" si="1847"/>
        <v/>
      </c>
      <c r="W4366" s="46" t="str">
        <f t="shared" si="1847"/>
        <v/>
      </c>
      <c r="X4366" s="46" t="str">
        <f t="shared" si="1847"/>
        <v/>
      </c>
    </row>
    <row r="4367" spans="2:26" x14ac:dyDescent="0.25">
      <c r="B4367" s="18"/>
      <c r="C4367" s="18"/>
      <c r="D4367" s="18"/>
      <c r="E4367" s="40"/>
      <c r="F4367" s="18"/>
      <c r="G4367" s="40"/>
      <c r="H4367" s="7">
        <f t="shared" ref="H4367:N4367" si="1848">SUM(H4364:H4366)</f>
        <v>0</v>
      </c>
      <c r="I4367" s="7">
        <f t="shared" si="1848"/>
        <v>0</v>
      </c>
      <c r="J4367" s="7">
        <f>SUM(J4364:J4366)</f>
        <v>1</v>
      </c>
      <c r="K4367" s="7">
        <f t="shared" si="1848"/>
        <v>0</v>
      </c>
      <c r="L4367" s="7">
        <f t="shared" si="1848"/>
        <v>1</v>
      </c>
      <c r="M4367" s="7">
        <f t="shared" si="1848"/>
        <v>2</v>
      </c>
      <c r="N4367" s="7">
        <f t="shared" si="1848"/>
        <v>1</v>
      </c>
      <c r="O4367" s="18"/>
      <c r="P4367" s="13"/>
      <c r="Q4367" s="13"/>
      <c r="S4367" s="13"/>
      <c r="T4367" s="15"/>
      <c r="U4367" s="46" t="str">
        <f t="shared" si="1847"/>
        <v/>
      </c>
      <c r="V4367" s="46" t="str">
        <f t="shared" si="1847"/>
        <v/>
      </c>
      <c r="W4367" s="46" t="str">
        <f t="shared" si="1847"/>
        <v/>
      </c>
      <c r="X4367" s="46" t="str">
        <f t="shared" si="1847"/>
        <v/>
      </c>
    </row>
    <row r="4368" spans="2:26" x14ac:dyDescent="0.25">
      <c r="B4368" s="18"/>
      <c r="C4368" s="18"/>
      <c r="D4368" s="18"/>
      <c r="E4368" s="40"/>
      <c r="F4368" s="18"/>
      <c r="G4368" s="40"/>
      <c r="N4368" s="8" t="str">
        <f>IF(R4368="x",1,"")</f>
        <v/>
      </c>
      <c r="O4368" s="18"/>
      <c r="P4368" s="13"/>
      <c r="Q4368" s="13"/>
      <c r="R4368" s="13"/>
      <c r="S4368" s="13"/>
      <c r="T4368" s="15"/>
      <c r="U4368" s="46" t="str">
        <f t="shared" si="1847"/>
        <v/>
      </c>
      <c r="V4368" s="46" t="str">
        <f t="shared" si="1847"/>
        <v/>
      </c>
      <c r="W4368" s="46" t="str">
        <f t="shared" si="1847"/>
        <v/>
      </c>
      <c r="X4368" s="46" t="str">
        <f t="shared" si="1847"/>
        <v/>
      </c>
    </row>
    <row r="4369" spans="2:24" x14ac:dyDescent="0.25">
      <c r="B4369" s="18"/>
      <c r="C4369" s="18"/>
      <c r="D4369" s="18"/>
      <c r="E4369" s="40"/>
      <c r="F4369" s="18"/>
      <c r="G4369" s="40"/>
      <c r="N4369" s="8" t="str">
        <f>IF(R4369="x",1,"")</f>
        <v/>
      </c>
      <c r="O4369" s="18"/>
      <c r="P4369" s="13"/>
      <c r="Q4369" s="13"/>
      <c r="R4369" s="13"/>
      <c r="S4369" s="13"/>
      <c r="T4369" s="15"/>
      <c r="U4369" s="46" t="str">
        <f t="shared" si="1847"/>
        <v/>
      </c>
      <c r="V4369" s="46" t="str">
        <f t="shared" si="1847"/>
        <v/>
      </c>
      <c r="W4369" s="46" t="str">
        <f t="shared" si="1847"/>
        <v/>
      </c>
      <c r="X4369" s="46" t="str">
        <f t="shared" si="1847"/>
        <v/>
      </c>
    </row>
    <row r="4370" spans="2:24" x14ac:dyDescent="0.25">
      <c r="B4370" s="11" t="str">
        <f>CONCATENATE("MTRL","-",LEFT(P4370,2),UPPER(MID(P4370,4,3)),RIGHT(P4370,4))</f>
        <v>MTRL-18APR1925</v>
      </c>
      <c r="C4370" s="11" t="s">
        <v>11411</v>
      </c>
      <c r="D4370" s="11" t="s">
        <v>2097</v>
      </c>
      <c r="E4370" s="39" t="s">
        <v>11410</v>
      </c>
      <c r="F4370" s="11" t="s">
        <v>211</v>
      </c>
      <c r="G4370" s="39" t="s">
        <v>3936</v>
      </c>
      <c r="H4370" s="7">
        <v>0</v>
      </c>
      <c r="J4370" s="17">
        <v>0</v>
      </c>
      <c r="K4370" s="17"/>
      <c r="L4370" s="7">
        <f>SUM(H4370:K4370)</f>
        <v>0</v>
      </c>
      <c r="M4370" s="8">
        <v>1</v>
      </c>
      <c r="N4370" s="8" t="str">
        <f>IF(L4370&gt;0,1,"")</f>
        <v/>
      </c>
      <c r="O4370" s="11" t="s">
        <v>1702</v>
      </c>
      <c r="P4370" s="16" t="str">
        <f>IF(LEN(G4370)=10,CONCATENATE("0",G4370),G4370)</f>
        <v>18-Apr-1925</v>
      </c>
      <c r="Q4370" s="80"/>
      <c r="U4370" s="46" t="str">
        <f t="shared" si="1847"/>
        <v/>
      </c>
      <c r="V4370" s="46">
        <f t="shared" si="1847"/>
        <v>0</v>
      </c>
      <c r="W4370" s="46" t="str">
        <f t="shared" si="1847"/>
        <v/>
      </c>
      <c r="X4370" s="46" t="str">
        <f t="shared" si="1847"/>
        <v/>
      </c>
    </row>
    <row r="4371" spans="2:24" x14ac:dyDescent="0.25">
      <c r="N4371" s="8" t="str">
        <f>IF(R4371="x",1,"")</f>
        <v/>
      </c>
      <c r="U4371" s="46" t="str">
        <f t="shared" si="1847"/>
        <v/>
      </c>
      <c r="V4371" s="46" t="str">
        <f t="shared" si="1847"/>
        <v/>
      </c>
      <c r="W4371" s="46" t="str">
        <f t="shared" si="1847"/>
        <v/>
      </c>
      <c r="X4371" s="46" t="str">
        <f t="shared" si="1847"/>
        <v/>
      </c>
    </row>
    <row r="4372" spans="2:24" x14ac:dyDescent="0.25">
      <c r="B4372" s="18"/>
      <c r="C4372" s="18"/>
      <c r="D4372" s="18"/>
      <c r="E4372" s="40"/>
      <c r="F4372" s="18"/>
      <c r="G4372" s="40"/>
      <c r="H4372" s="7">
        <f t="shared" ref="H4372:N4372" si="1849">SUM(H4370:H4371)</f>
        <v>0</v>
      </c>
      <c r="I4372" s="7">
        <f t="shared" si="1849"/>
        <v>0</v>
      </c>
      <c r="J4372" s="7">
        <f t="shared" si="1849"/>
        <v>0</v>
      </c>
      <c r="K4372" s="7">
        <f t="shared" si="1849"/>
        <v>0</v>
      </c>
      <c r="L4372" s="7">
        <f t="shared" si="1849"/>
        <v>0</v>
      </c>
      <c r="M4372" s="7">
        <f t="shared" si="1849"/>
        <v>1</v>
      </c>
      <c r="N4372" s="7">
        <f t="shared" si="1849"/>
        <v>0</v>
      </c>
      <c r="O4372" s="18"/>
      <c r="P4372" s="13"/>
      <c r="Q4372" s="13"/>
      <c r="S4372" s="13"/>
      <c r="T4372" s="15"/>
      <c r="U4372" s="46" t="str">
        <f t="shared" si="1847"/>
        <v/>
      </c>
      <c r="V4372" s="46" t="str">
        <f t="shared" si="1847"/>
        <v/>
      </c>
      <c r="W4372" s="46" t="str">
        <f t="shared" si="1847"/>
        <v/>
      </c>
      <c r="X4372" s="46" t="str">
        <f t="shared" si="1847"/>
        <v/>
      </c>
    </row>
    <row r="4373" spans="2:24" x14ac:dyDescent="0.25">
      <c r="B4373" s="18"/>
      <c r="C4373" s="18"/>
      <c r="D4373" s="18"/>
      <c r="E4373" s="40"/>
      <c r="F4373" s="18"/>
      <c r="G4373" s="40"/>
      <c r="N4373" s="8" t="str">
        <f>IF(R4373="x",1,"")</f>
        <v/>
      </c>
      <c r="O4373" s="18"/>
      <c r="P4373" s="13"/>
      <c r="Q4373" s="13"/>
      <c r="R4373" s="13"/>
      <c r="S4373" s="13"/>
      <c r="T4373" s="15"/>
      <c r="U4373" s="46" t="str">
        <f t="shared" ref="U4373:X4377" si="1850">IF($O4373=U$5,$L4373,"")</f>
        <v/>
      </c>
      <c r="V4373" s="46" t="str">
        <f t="shared" si="1850"/>
        <v/>
      </c>
      <c r="W4373" s="46" t="str">
        <f t="shared" si="1850"/>
        <v/>
      </c>
      <c r="X4373" s="46" t="str">
        <f t="shared" si="1850"/>
        <v/>
      </c>
    </row>
    <row r="4374" spans="2:24" x14ac:dyDescent="0.25">
      <c r="B4374" s="18"/>
      <c r="C4374" s="18"/>
      <c r="D4374" s="18"/>
      <c r="E4374" s="40"/>
      <c r="F4374" s="18"/>
      <c r="G4374" s="40"/>
      <c r="N4374" s="8" t="str">
        <f>IF(R4374="x",1,"")</f>
        <v/>
      </c>
      <c r="O4374" s="18"/>
      <c r="P4374" s="13"/>
      <c r="Q4374" s="13"/>
      <c r="R4374" s="13"/>
      <c r="S4374" s="13"/>
      <c r="T4374" s="15"/>
      <c r="U4374" s="46" t="str">
        <f t="shared" si="1850"/>
        <v/>
      </c>
      <c r="V4374" s="46" t="str">
        <f t="shared" si="1850"/>
        <v/>
      </c>
      <c r="W4374" s="46" t="str">
        <f t="shared" si="1850"/>
        <v/>
      </c>
      <c r="X4374" s="46" t="str">
        <f t="shared" si="1850"/>
        <v/>
      </c>
    </row>
    <row r="4375" spans="2:24" x14ac:dyDescent="0.25">
      <c r="B4375" s="11" t="str">
        <f>CONCATENATE("MSRT","-",LEFT(P4375,2),UPPER(MID(P4375,4,3)),RIGHT(P4375,4))</f>
        <v>MSRT-11JAN1916</v>
      </c>
      <c r="C4375" s="11" t="s">
        <v>11154</v>
      </c>
      <c r="D4375" s="11" t="s">
        <v>11155</v>
      </c>
      <c r="E4375" s="39" t="s">
        <v>11156</v>
      </c>
      <c r="F4375" s="11" t="s">
        <v>1700</v>
      </c>
      <c r="G4375" s="39" t="s">
        <v>11157</v>
      </c>
      <c r="H4375" s="7">
        <v>0</v>
      </c>
      <c r="I4375" s="7">
        <v>0</v>
      </c>
      <c r="J4375" s="17">
        <v>4</v>
      </c>
      <c r="K4375" s="17"/>
      <c r="L4375" s="7">
        <f>SUM(H4375:K4375)</f>
        <v>4</v>
      </c>
      <c r="M4375" s="8">
        <v>1</v>
      </c>
      <c r="N4375" s="8">
        <f>IF(L4375&gt;0,1,"")</f>
        <v>1</v>
      </c>
      <c r="O4375" s="11" t="s">
        <v>1702</v>
      </c>
      <c r="P4375" s="16" t="str">
        <f>IF(LEN(G4375)=10,CONCATENATE("0",G4375),G4375)</f>
        <v>11-Jan-1916</v>
      </c>
      <c r="R4375" s="16" t="str">
        <f>IF($L4375&gt;0,"x","")</f>
        <v>x</v>
      </c>
      <c r="S4375" s="16" t="str">
        <f>IF($L4375&gt;0,"x","")</f>
        <v>x</v>
      </c>
      <c r="U4375" s="46" t="str">
        <f t="shared" si="1850"/>
        <v/>
      </c>
      <c r="V4375" s="46">
        <f t="shared" si="1850"/>
        <v>4</v>
      </c>
      <c r="W4375" s="46" t="str">
        <f t="shared" si="1850"/>
        <v/>
      </c>
      <c r="X4375" s="46" t="str">
        <f t="shared" si="1850"/>
        <v/>
      </c>
    </row>
    <row r="4376" spans="2:24" x14ac:dyDescent="0.25">
      <c r="N4376" s="8" t="str">
        <f>IF(R4376="x",1,"")</f>
        <v/>
      </c>
      <c r="U4376" s="46" t="str">
        <f t="shared" si="1850"/>
        <v/>
      </c>
      <c r="V4376" s="46" t="str">
        <f t="shared" si="1850"/>
        <v/>
      </c>
      <c r="W4376" s="46" t="str">
        <f t="shared" si="1850"/>
        <v/>
      </c>
      <c r="X4376" s="46" t="str">
        <f t="shared" si="1850"/>
        <v/>
      </c>
    </row>
    <row r="4377" spans="2:24" x14ac:dyDescent="0.25">
      <c r="B4377" s="18"/>
      <c r="C4377" s="18"/>
      <c r="D4377" s="18"/>
      <c r="E4377" s="40"/>
      <c r="F4377" s="18"/>
      <c r="G4377" s="40"/>
      <c r="H4377" s="7">
        <f t="shared" ref="H4377:N4377" si="1851">SUM(H4375:H4376)</f>
        <v>0</v>
      </c>
      <c r="I4377" s="7">
        <f t="shared" si="1851"/>
        <v>0</v>
      </c>
      <c r="J4377" s="7">
        <f>SUM(J4375:J4376)</f>
        <v>4</v>
      </c>
      <c r="K4377" s="7">
        <f t="shared" si="1851"/>
        <v>0</v>
      </c>
      <c r="L4377" s="7">
        <f t="shared" si="1851"/>
        <v>4</v>
      </c>
      <c r="M4377" s="7">
        <f t="shared" si="1851"/>
        <v>1</v>
      </c>
      <c r="N4377" s="7">
        <f t="shared" si="1851"/>
        <v>1</v>
      </c>
      <c r="O4377" s="18"/>
      <c r="P4377" s="13"/>
      <c r="Q4377" s="13"/>
      <c r="S4377" s="13"/>
      <c r="T4377" s="15"/>
      <c r="U4377" s="46" t="str">
        <f t="shared" si="1850"/>
        <v/>
      </c>
      <c r="V4377" s="46" t="str">
        <f t="shared" si="1850"/>
        <v/>
      </c>
      <c r="W4377" s="46" t="str">
        <f t="shared" si="1850"/>
        <v/>
      </c>
      <c r="X4377" s="46" t="str">
        <f t="shared" si="1850"/>
        <v/>
      </c>
    </row>
    <row r="4378" spans="2:24" x14ac:dyDescent="0.25">
      <c r="B4378" s="18"/>
      <c r="C4378" s="18"/>
      <c r="D4378" s="18"/>
      <c r="E4378" s="40"/>
      <c r="F4378" s="18"/>
      <c r="G4378" s="40"/>
      <c r="N4378" s="8" t="str">
        <f>IF(R4378="x",1,"")</f>
        <v/>
      </c>
      <c r="O4378" s="18"/>
      <c r="P4378" s="13"/>
      <c r="Q4378" s="13"/>
      <c r="R4378" s="13"/>
      <c r="S4378" s="13"/>
      <c r="T4378" s="15"/>
      <c r="U4378" s="46" t="str">
        <f t="shared" ref="U4378:X4393" si="1852">IF($O4378=U$5,$L4378,"")</f>
        <v/>
      </c>
      <c r="V4378" s="46" t="str">
        <f t="shared" si="1852"/>
        <v/>
      </c>
      <c r="W4378" s="46" t="str">
        <f t="shared" si="1852"/>
        <v/>
      </c>
      <c r="X4378" s="46" t="str">
        <f t="shared" si="1852"/>
        <v/>
      </c>
    </row>
    <row r="4379" spans="2:24" x14ac:dyDescent="0.25">
      <c r="B4379" s="18"/>
      <c r="C4379" s="18"/>
      <c r="D4379" s="18"/>
      <c r="E4379" s="40"/>
      <c r="F4379" s="18"/>
      <c r="G4379" s="40"/>
      <c r="N4379" s="8" t="str">
        <f>IF(R4379="x",1,"")</f>
        <v/>
      </c>
      <c r="O4379" s="18"/>
      <c r="P4379" s="13"/>
      <c r="Q4379" s="13"/>
      <c r="R4379" s="13"/>
      <c r="S4379" s="13"/>
      <c r="T4379" s="15"/>
      <c r="U4379" s="46" t="str">
        <f t="shared" si="1852"/>
        <v/>
      </c>
      <c r="V4379" s="46" t="str">
        <f t="shared" si="1852"/>
        <v/>
      </c>
      <c r="W4379" s="46" t="str">
        <f t="shared" si="1852"/>
        <v/>
      </c>
      <c r="X4379" s="46" t="str">
        <f t="shared" si="1852"/>
        <v/>
      </c>
    </row>
    <row r="4380" spans="2:24" x14ac:dyDescent="0.25">
      <c r="B4380" s="11" t="str">
        <f>CONCATENATE("MORA","-",LEFT(P4380,2),UPPER(MID(P4380,4,3)),RIGHT(P4380,4))</f>
        <v>MORA-23OCT1889</v>
      </c>
      <c r="C4380" s="11" t="s">
        <v>124</v>
      </c>
      <c r="D4380" s="11" t="s">
        <v>3134</v>
      </c>
      <c r="F4380" s="11" t="s">
        <v>1700</v>
      </c>
      <c r="G4380" s="39" t="s">
        <v>6280</v>
      </c>
      <c r="J4380" s="17">
        <v>4</v>
      </c>
      <c r="K4380" s="17"/>
      <c r="L4380" s="7">
        <f>SUM(H4380:K4380)</f>
        <v>4</v>
      </c>
      <c r="M4380" s="8">
        <v>1</v>
      </c>
      <c r="N4380" s="8">
        <f>IF(L4380&gt;0,1,"")</f>
        <v>1</v>
      </c>
      <c r="O4380" s="11" t="s">
        <v>1702</v>
      </c>
      <c r="P4380" s="16" t="str">
        <f>IF(LEN(G4380)=10,CONCATENATE("0",G4380),G4380)</f>
        <v>23-Oct-1889</v>
      </c>
      <c r="R4380" s="16" t="str">
        <f t="shared" ref="R4380:S4384" si="1853">IF($L4380&gt;0,"x","")</f>
        <v>x</v>
      </c>
      <c r="S4380" s="16" t="str">
        <f t="shared" si="1853"/>
        <v>x</v>
      </c>
      <c r="U4380" s="46" t="str">
        <f t="shared" si="1852"/>
        <v/>
      </c>
      <c r="V4380" s="46">
        <f t="shared" si="1852"/>
        <v>4</v>
      </c>
      <c r="W4380" s="46" t="str">
        <f t="shared" si="1852"/>
        <v/>
      </c>
      <c r="X4380" s="46" t="str">
        <f t="shared" si="1852"/>
        <v/>
      </c>
    </row>
    <row r="4381" spans="2:24" x14ac:dyDescent="0.25">
      <c r="B4381" s="11" t="str">
        <f>CONCATENATE("MORA","-",LEFT(P4381,2),UPPER(MID(P4381,4,3)),RIGHT(P4381,4))</f>
        <v>MORA-30APR1891</v>
      </c>
      <c r="C4381" s="11" t="s">
        <v>124</v>
      </c>
      <c r="D4381" s="11" t="s">
        <v>3134</v>
      </c>
      <c r="F4381" s="11" t="s">
        <v>1700</v>
      </c>
      <c r="G4381" s="39" t="s">
        <v>3905</v>
      </c>
      <c r="J4381" s="17">
        <v>1</v>
      </c>
      <c r="K4381" s="17"/>
      <c r="L4381" s="7">
        <f>SUM(H4381:K4381)</f>
        <v>1</v>
      </c>
      <c r="M4381" s="8">
        <v>1</v>
      </c>
      <c r="N4381" s="8">
        <f>IF(L4381&gt;0,1,"")</f>
        <v>1</v>
      </c>
      <c r="O4381" s="11" t="s">
        <v>1702</v>
      </c>
      <c r="P4381" s="16" t="str">
        <f>IF(LEN(G4381)=10,CONCATENATE("0",G4381),G4381)</f>
        <v>30-Apr-1891</v>
      </c>
      <c r="R4381" s="16" t="str">
        <f t="shared" si="1853"/>
        <v>x</v>
      </c>
      <c r="S4381" s="16" t="str">
        <f t="shared" si="1853"/>
        <v>x</v>
      </c>
      <c r="U4381" s="46" t="str">
        <f t="shared" si="1852"/>
        <v/>
      </c>
      <c r="V4381" s="46">
        <f t="shared" si="1852"/>
        <v>1</v>
      </c>
      <c r="W4381" s="46" t="str">
        <f t="shared" si="1852"/>
        <v/>
      </c>
      <c r="X4381" s="46" t="str">
        <f t="shared" si="1852"/>
        <v/>
      </c>
    </row>
    <row r="4382" spans="2:24" x14ac:dyDescent="0.25">
      <c r="B4382" s="11" t="str">
        <f>CONCATENATE("MORA","-",LEFT(P4382,2),UPPER(MID(P4382,4,3)),RIGHT(P4382,4))</f>
        <v>MORA-25NOV1893</v>
      </c>
      <c r="C4382" s="11" t="s">
        <v>124</v>
      </c>
      <c r="D4382" s="11" t="s">
        <v>3585</v>
      </c>
      <c r="F4382" s="11" t="s">
        <v>1700</v>
      </c>
      <c r="G4382" s="39" t="s">
        <v>4011</v>
      </c>
      <c r="J4382" s="17">
        <v>13</v>
      </c>
      <c r="K4382" s="17"/>
      <c r="L4382" s="7">
        <f>SUM(H4382:K4382)</f>
        <v>13</v>
      </c>
      <c r="M4382" s="8">
        <v>1</v>
      </c>
      <c r="N4382" s="8">
        <f>IF(L4382&gt;0,1,"")</f>
        <v>1</v>
      </c>
      <c r="O4382" s="11" t="s">
        <v>1702</v>
      </c>
      <c r="P4382" s="16" t="str">
        <f>IF(LEN(G4382)=10,CONCATENATE("0",G4382),G4382)</f>
        <v>25-Nov-1893</v>
      </c>
      <c r="R4382" s="16" t="str">
        <f t="shared" si="1853"/>
        <v>x</v>
      </c>
      <c r="S4382" s="16" t="str">
        <f t="shared" si="1853"/>
        <v>x</v>
      </c>
      <c r="U4382" s="46" t="str">
        <f t="shared" si="1852"/>
        <v/>
      </c>
      <c r="V4382" s="46">
        <f t="shared" si="1852"/>
        <v>13</v>
      </c>
      <c r="W4382" s="46" t="str">
        <f t="shared" si="1852"/>
        <v/>
      </c>
      <c r="X4382" s="46" t="str">
        <f t="shared" si="1852"/>
        <v/>
      </c>
    </row>
    <row r="4383" spans="2:24" x14ac:dyDescent="0.25">
      <c r="B4383" s="11" t="str">
        <f>CONCATENATE("MORA","-",LEFT(P4383,2),UPPER(MID(P4383,4,3)),RIGHT(P4383,4))</f>
        <v>MORA-11DEC1894</v>
      </c>
      <c r="C4383" s="11" t="s">
        <v>124</v>
      </c>
      <c r="D4383" s="11" t="s">
        <v>3585</v>
      </c>
      <c r="F4383" s="11" t="s">
        <v>1700</v>
      </c>
      <c r="G4383" s="39" t="s">
        <v>2132</v>
      </c>
      <c r="J4383" s="17">
        <v>10</v>
      </c>
      <c r="K4383" s="17"/>
      <c r="L4383" s="7">
        <f>SUM(H4383:K4383)</f>
        <v>10</v>
      </c>
      <c r="M4383" s="8">
        <v>1</v>
      </c>
      <c r="N4383" s="8">
        <f>IF(L4383&gt;0,1,"")</f>
        <v>1</v>
      </c>
      <c r="O4383" s="11" t="s">
        <v>1702</v>
      </c>
      <c r="P4383" s="16" t="str">
        <f>IF(LEN(G4383)=10,CONCATENATE("0",G4383),G4383)</f>
        <v>11-Dec-1894</v>
      </c>
      <c r="R4383" s="16" t="str">
        <f t="shared" si="1853"/>
        <v>x</v>
      </c>
      <c r="S4383" s="16" t="str">
        <f t="shared" si="1853"/>
        <v>x</v>
      </c>
      <c r="T4383" s="11"/>
      <c r="U4383" s="46" t="str">
        <f t="shared" si="1852"/>
        <v/>
      </c>
      <c r="V4383" s="46">
        <f t="shared" si="1852"/>
        <v>10</v>
      </c>
      <c r="W4383" s="46" t="str">
        <f t="shared" si="1852"/>
        <v/>
      </c>
      <c r="X4383" s="46" t="str">
        <f t="shared" si="1852"/>
        <v/>
      </c>
    </row>
    <row r="4384" spans="2:24" x14ac:dyDescent="0.25">
      <c r="B4384" s="11" t="str">
        <f>CONCATENATE("MORA","-",LEFT(P4384,2),UPPER(MID(P4384,4,3)),RIGHT(P4384,4))</f>
        <v>MORA-27AUG1896</v>
      </c>
      <c r="C4384" s="11" t="s">
        <v>124</v>
      </c>
      <c r="D4384" s="11" t="s">
        <v>3585</v>
      </c>
      <c r="F4384" s="11" t="s">
        <v>1700</v>
      </c>
      <c r="G4384" s="39" t="s">
        <v>11485</v>
      </c>
      <c r="J4384" s="17">
        <v>18</v>
      </c>
      <c r="K4384" s="17"/>
      <c r="L4384" s="7">
        <f>SUM(H4384:K4384)</f>
        <v>18</v>
      </c>
      <c r="M4384" s="8">
        <v>1</v>
      </c>
      <c r="N4384" s="8">
        <f>IF(L4384&gt;0,1,"")</f>
        <v>1</v>
      </c>
      <c r="O4384" s="11" t="s">
        <v>1702</v>
      </c>
      <c r="P4384" s="16" t="str">
        <f>IF(LEN(G4384)=10,CONCATENATE("0",G4384),G4384)</f>
        <v>27-Aug-1896</v>
      </c>
      <c r="R4384" s="16" t="str">
        <f t="shared" si="1853"/>
        <v>x</v>
      </c>
      <c r="S4384" s="16" t="str">
        <f t="shared" si="1853"/>
        <v>x</v>
      </c>
      <c r="U4384" s="46" t="str">
        <f t="shared" si="1852"/>
        <v/>
      </c>
      <c r="V4384" s="46">
        <f t="shared" si="1852"/>
        <v>18</v>
      </c>
      <c r="W4384" s="46" t="str">
        <f t="shared" si="1852"/>
        <v/>
      </c>
      <c r="X4384" s="46" t="str">
        <f t="shared" si="1852"/>
        <v/>
      </c>
    </row>
    <row r="4385" spans="2:24" x14ac:dyDescent="0.25">
      <c r="N4385" s="8" t="str">
        <f>IF(R4385="x",1,"")</f>
        <v/>
      </c>
      <c r="U4385" s="46" t="str">
        <f t="shared" si="1852"/>
        <v/>
      </c>
      <c r="V4385" s="46" t="str">
        <f t="shared" si="1852"/>
        <v/>
      </c>
      <c r="W4385" s="46" t="str">
        <f t="shared" si="1852"/>
        <v/>
      </c>
      <c r="X4385" s="46" t="str">
        <f t="shared" si="1852"/>
        <v/>
      </c>
    </row>
    <row r="4386" spans="2:24" x14ac:dyDescent="0.25">
      <c r="B4386" s="18"/>
      <c r="C4386" s="18"/>
      <c r="D4386" s="18"/>
      <c r="E4386" s="40"/>
      <c r="F4386" s="18"/>
      <c r="G4386" s="40"/>
      <c r="H4386" s="7">
        <f t="shared" ref="H4386:N4386" si="1854">SUM(H4380:H4385)</f>
        <v>0</v>
      </c>
      <c r="I4386" s="7">
        <f t="shared" si="1854"/>
        <v>0</v>
      </c>
      <c r="J4386" s="7">
        <f>SUM(J4380:J4385)</f>
        <v>46</v>
      </c>
      <c r="K4386" s="7">
        <f t="shared" si="1854"/>
        <v>0</v>
      </c>
      <c r="L4386" s="7">
        <f t="shared" si="1854"/>
        <v>46</v>
      </c>
      <c r="M4386" s="7">
        <f t="shared" si="1854"/>
        <v>5</v>
      </c>
      <c r="N4386" s="7">
        <f t="shared" si="1854"/>
        <v>5</v>
      </c>
      <c r="O4386" s="18"/>
      <c r="P4386" s="13"/>
      <c r="Q4386" s="13"/>
      <c r="S4386" s="13"/>
      <c r="T4386" s="15"/>
      <c r="U4386" s="46" t="str">
        <f t="shared" si="1852"/>
        <v/>
      </c>
      <c r="V4386" s="46" t="str">
        <f t="shared" si="1852"/>
        <v/>
      </c>
      <c r="W4386" s="46" t="str">
        <f t="shared" si="1852"/>
        <v/>
      </c>
      <c r="X4386" s="46" t="str">
        <f t="shared" si="1852"/>
        <v/>
      </c>
    </row>
    <row r="4387" spans="2:24" x14ac:dyDescent="0.25">
      <c r="B4387" s="18"/>
      <c r="C4387" s="18"/>
      <c r="D4387" s="18"/>
      <c r="E4387" s="40"/>
      <c r="F4387" s="18"/>
      <c r="G4387" s="40"/>
      <c r="N4387" s="8" t="str">
        <f>IF(R4387="x",1,"")</f>
        <v/>
      </c>
      <c r="O4387" s="18"/>
      <c r="P4387" s="13"/>
      <c r="Q4387" s="13"/>
      <c r="R4387" s="13"/>
      <c r="S4387" s="13"/>
      <c r="T4387" s="15"/>
      <c r="U4387" s="46" t="str">
        <f t="shared" si="1852"/>
        <v/>
      </c>
      <c r="V4387" s="46" t="str">
        <f t="shared" si="1852"/>
        <v/>
      </c>
      <c r="W4387" s="46" t="str">
        <f t="shared" si="1852"/>
        <v/>
      </c>
      <c r="X4387" s="46" t="str">
        <f t="shared" si="1852"/>
        <v/>
      </c>
    </row>
    <row r="4388" spans="2:24" x14ac:dyDescent="0.25">
      <c r="B4388" s="18"/>
      <c r="C4388" s="18"/>
      <c r="D4388" s="18"/>
      <c r="E4388" s="40"/>
      <c r="F4388" s="18"/>
      <c r="G4388" s="40"/>
      <c r="N4388" s="8" t="str">
        <f>IF(R4388="x",1,"")</f>
        <v/>
      </c>
      <c r="O4388" s="18"/>
      <c r="P4388" s="13"/>
      <c r="Q4388" s="13"/>
      <c r="R4388" s="13"/>
      <c r="S4388" s="13"/>
      <c r="T4388" s="15"/>
      <c r="U4388" s="46" t="str">
        <f t="shared" si="1852"/>
        <v/>
      </c>
      <c r="V4388" s="46" t="str">
        <f t="shared" si="1852"/>
        <v/>
      </c>
      <c r="W4388" s="46" t="str">
        <f t="shared" si="1852"/>
        <v/>
      </c>
      <c r="X4388" s="46" t="str">
        <f t="shared" si="1852"/>
        <v/>
      </c>
    </row>
    <row r="4389" spans="2:24" x14ac:dyDescent="0.25">
      <c r="B4389" s="11" t="str">
        <f>CONCATENATE("MUNA","-",LEFT(P4389,2),UPPER(MID(P4389,4,3)),RIGHT(P4389,4))</f>
        <v>MUNA-18SEP1924</v>
      </c>
      <c r="C4389" s="11" t="s">
        <v>3125</v>
      </c>
      <c r="D4389" s="11" t="s">
        <v>3122</v>
      </c>
      <c r="E4389" s="39" t="s">
        <v>1176</v>
      </c>
      <c r="F4389" s="11" t="s">
        <v>3075</v>
      </c>
      <c r="G4389" s="39" t="s">
        <v>2880</v>
      </c>
      <c r="H4389" s="7">
        <v>0</v>
      </c>
      <c r="J4389" s="17">
        <v>1</v>
      </c>
      <c r="K4389" s="17"/>
      <c r="L4389" s="7">
        <f>SUM(H4389:K4389)</f>
        <v>1</v>
      </c>
      <c r="M4389" s="8">
        <v>1</v>
      </c>
      <c r="N4389" s="8">
        <f>IF(L4389&gt;0,1,"")</f>
        <v>1</v>
      </c>
      <c r="O4389" s="11" t="s">
        <v>1702</v>
      </c>
      <c r="P4389" s="16" t="str">
        <f>IF(LEN(G4389)=10,CONCATENATE("0",G4389),G4389)</f>
        <v>18-Sep-1924</v>
      </c>
      <c r="R4389" s="16" t="str">
        <f t="shared" ref="R4389:S4391" si="1855">IF($L4389&gt;0,"x","")</f>
        <v>x</v>
      </c>
      <c r="S4389" s="16" t="str">
        <f t="shared" si="1855"/>
        <v>x</v>
      </c>
      <c r="U4389" s="46" t="str">
        <f t="shared" si="1852"/>
        <v/>
      </c>
      <c r="V4389" s="46">
        <f t="shared" si="1852"/>
        <v>1</v>
      </c>
      <c r="W4389" s="46" t="str">
        <f t="shared" si="1852"/>
        <v/>
      </c>
      <c r="X4389" s="46" t="str">
        <f t="shared" si="1852"/>
        <v/>
      </c>
    </row>
    <row r="4390" spans="2:24" x14ac:dyDescent="0.25">
      <c r="B4390" s="11" t="str">
        <f>CONCATENATE("MUNA","-",LEFT(P4390,2),UPPER(MID(P4390,4,3)),RIGHT(P4390,4))</f>
        <v>MUNA-02APR1925</v>
      </c>
      <c r="C4390" s="11" t="s">
        <v>3125</v>
      </c>
      <c r="D4390" s="11" t="s">
        <v>3122</v>
      </c>
      <c r="E4390" s="39" t="s">
        <v>4422</v>
      </c>
      <c r="F4390" s="11" t="s">
        <v>3075</v>
      </c>
      <c r="G4390" s="39" t="s">
        <v>4423</v>
      </c>
      <c r="H4390" s="7">
        <f>1+1</f>
        <v>2</v>
      </c>
      <c r="J4390" s="17"/>
      <c r="K4390" s="17"/>
      <c r="L4390" s="7">
        <f>SUM(H4390:K4390)</f>
        <v>2</v>
      </c>
      <c r="M4390" s="8">
        <v>1</v>
      </c>
      <c r="N4390" s="8">
        <f>IF(L4390&gt;0,1,"")</f>
        <v>1</v>
      </c>
      <c r="O4390" s="11" t="s">
        <v>1702</v>
      </c>
      <c r="P4390" s="16" t="str">
        <f>IF(LEN(G4390)=10,CONCATENATE("0",G4390),G4390)</f>
        <v>02-Apr-1925</v>
      </c>
      <c r="R4390" s="16" t="str">
        <f t="shared" si="1855"/>
        <v>x</v>
      </c>
      <c r="S4390" s="16" t="str">
        <f t="shared" si="1855"/>
        <v>x</v>
      </c>
      <c r="U4390" s="46" t="str">
        <f t="shared" si="1852"/>
        <v/>
      </c>
      <c r="V4390" s="46">
        <f t="shared" si="1852"/>
        <v>2</v>
      </c>
      <c r="W4390" s="46" t="str">
        <f t="shared" si="1852"/>
        <v/>
      </c>
      <c r="X4390" s="46" t="str">
        <f t="shared" si="1852"/>
        <v/>
      </c>
    </row>
    <row r="4391" spans="2:24" x14ac:dyDescent="0.25">
      <c r="B4391" s="11" t="str">
        <f>CONCATENATE("MUNA","-",LEFT(P4391,2),UPPER(MID(P4391,4,3)),RIGHT(P4391,4))</f>
        <v>MUNA-12JAN1928</v>
      </c>
      <c r="C4391" s="11" t="s">
        <v>3125</v>
      </c>
      <c r="D4391" s="11" t="s">
        <v>3122</v>
      </c>
      <c r="E4391" s="39" t="s">
        <v>6335</v>
      </c>
      <c r="F4391" s="11" t="s">
        <v>3075</v>
      </c>
      <c r="G4391" s="39" t="s">
        <v>6336</v>
      </c>
      <c r="H4391" s="7">
        <f>1+1</f>
        <v>2</v>
      </c>
      <c r="J4391" s="17"/>
      <c r="K4391" s="17"/>
      <c r="L4391" s="7">
        <f>SUM(H4391:K4391)</f>
        <v>2</v>
      </c>
      <c r="M4391" s="8">
        <v>1</v>
      </c>
      <c r="N4391" s="8">
        <f>IF(L4391&gt;0,1,"")</f>
        <v>1</v>
      </c>
      <c r="O4391" s="11" t="s">
        <v>1702</v>
      </c>
      <c r="P4391" s="16" t="str">
        <f>IF(LEN(G4391)=10,CONCATENATE("0",G4391),G4391)</f>
        <v>12-Jan-1928</v>
      </c>
      <c r="R4391" s="16" t="str">
        <f t="shared" si="1855"/>
        <v>x</v>
      </c>
      <c r="S4391" s="16" t="str">
        <f t="shared" si="1855"/>
        <v>x</v>
      </c>
      <c r="U4391" s="46" t="str">
        <f t="shared" si="1852"/>
        <v/>
      </c>
      <c r="V4391" s="46">
        <f t="shared" si="1852"/>
        <v>2</v>
      </c>
      <c r="W4391" s="46" t="str">
        <f t="shared" si="1852"/>
        <v/>
      </c>
      <c r="X4391" s="46" t="str">
        <f t="shared" si="1852"/>
        <v/>
      </c>
    </row>
    <row r="4392" spans="2:24" x14ac:dyDescent="0.25">
      <c r="N4392" s="8" t="str">
        <f>IF(R4392="x",1,"")</f>
        <v/>
      </c>
      <c r="U4392" s="46" t="str">
        <f t="shared" si="1852"/>
        <v/>
      </c>
      <c r="V4392" s="46" t="str">
        <f t="shared" si="1852"/>
        <v/>
      </c>
      <c r="W4392" s="46" t="str">
        <f t="shared" si="1852"/>
        <v/>
      </c>
      <c r="X4392" s="46" t="str">
        <f t="shared" si="1852"/>
        <v/>
      </c>
    </row>
    <row r="4393" spans="2:24" x14ac:dyDescent="0.25">
      <c r="B4393" s="18"/>
      <c r="C4393" s="18"/>
      <c r="D4393" s="18"/>
      <c r="E4393" s="40"/>
      <c r="F4393" s="18"/>
      <c r="G4393" s="40"/>
      <c r="H4393" s="7">
        <f t="shared" ref="H4393:N4393" si="1856">SUM(H4389:H4392)</f>
        <v>4</v>
      </c>
      <c r="I4393" s="7">
        <f t="shared" si="1856"/>
        <v>0</v>
      </c>
      <c r="J4393" s="7">
        <f>SUM(J4389:J4392)</f>
        <v>1</v>
      </c>
      <c r="K4393" s="7">
        <f t="shared" si="1856"/>
        <v>0</v>
      </c>
      <c r="L4393" s="7">
        <f t="shared" si="1856"/>
        <v>5</v>
      </c>
      <c r="M4393" s="7">
        <f t="shared" si="1856"/>
        <v>3</v>
      </c>
      <c r="N4393" s="7">
        <f t="shared" si="1856"/>
        <v>3</v>
      </c>
      <c r="O4393" s="18"/>
      <c r="P4393" s="13"/>
      <c r="Q4393" s="13"/>
      <c r="S4393" s="13"/>
      <c r="T4393" s="15"/>
      <c r="U4393" s="46" t="str">
        <f t="shared" si="1852"/>
        <v/>
      </c>
      <c r="V4393" s="46" t="str">
        <f t="shared" si="1852"/>
        <v/>
      </c>
      <c r="W4393" s="46" t="str">
        <f t="shared" si="1852"/>
        <v/>
      </c>
      <c r="X4393" s="46" t="str">
        <f t="shared" si="1852"/>
        <v/>
      </c>
    </row>
    <row r="4394" spans="2:24" x14ac:dyDescent="0.25">
      <c r="B4394" s="18"/>
      <c r="C4394" s="18"/>
      <c r="D4394" s="18"/>
      <c r="E4394" s="40"/>
      <c r="F4394" s="18"/>
      <c r="G4394" s="40"/>
      <c r="N4394" s="8" t="str">
        <f>IF(R4394="x",1,"")</f>
        <v/>
      </c>
      <c r="O4394" s="18"/>
      <c r="P4394" s="13"/>
      <c r="Q4394" s="13"/>
      <c r="R4394" s="13"/>
      <c r="S4394" s="13"/>
      <c r="T4394" s="15"/>
      <c r="U4394" s="46" t="str">
        <f t="shared" ref="U4394:X4398" si="1857">IF($O4394=U$5,$L4394,"")</f>
        <v/>
      </c>
      <c r="V4394" s="46" t="str">
        <f t="shared" si="1857"/>
        <v/>
      </c>
      <c r="W4394" s="46" t="str">
        <f t="shared" si="1857"/>
        <v/>
      </c>
      <c r="X4394" s="46" t="str">
        <f t="shared" si="1857"/>
        <v/>
      </c>
    </row>
    <row r="4395" spans="2:24" x14ac:dyDescent="0.25">
      <c r="B4395" s="18"/>
      <c r="C4395" s="18"/>
      <c r="D4395" s="18"/>
      <c r="E4395" s="40"/>
      <c r="F4395" s="18"/>
      <c r="G4395" s="40"/>
      <c r="N4395" s="8" t="str">
        <f>IF(R4395="x",1,"")</f>
        <v/>
      </c>
      <c r="O4395" s="18"/>
      <c r="P4395" s="13"/>
      <c r="Q4395" s="13"/>
      <c r="R4395" s="13"/>
      <c r="S4395" s="13"/>
      <c r="T4395" s="15"/>
      <c r="U4395" s="46" t="str">
        <f t="shared" si="1857"/>
        <v/>
      </c>
      <c r="V4395" s="46" t="str">
        <f t="shared" si="1857"/>
        <v/>
      </c>
      <c r="W4395" s="46" t="str">
        <f t="shared" si="1857"/>
        <v/>
      </c>
      <c r="X4395" s="46" t="str">
        <f t="shared" si="1857"/>
        <v/>
      </c>
    </row>
    <row r="4396" spans="2:24" x14ac:dyDescent="0.25">
      <c r="B4396" s="11" t="str">
        <f>CONCATENATE("MYRO","-",LEFT(P4396,2),UPPER(MID(P4396,4,3)),RIGHT(P4396,4))</f>
        <v>MYRO-08AUG1919</v>
      </c>
      <c r="C4396" s="11" t="s">
        <v>3939</v>
      </c>
      <c r="D4396" s="11" t="s">
        <v>3940</v>
      </c>
      <c r="E4396" s="39" t="s">
        <v>3941</v>
      </c>
      <c r="F4396" s="11" t="s">
        <v>1700</v>
      </c>
      <c r="G4396" s="39" t="s">
        <v>3942</v>
      </c>
      <c r="H4396" s="7">
        <v>3</v>
      </c>
      <c r="J4396" s="17"/>
      <c r="K4396" s="17"/>
      <c r="L4396" s="7">
        <f>SUM(H4396:K4396)</f>
        <v>3</v>
      </c>
      <c r="M4396" s="8">
        <v>1</v>
      </c>
      <c r="N4396" s="8">
        <f>IF(L4396&gt;0,1,"")</f>
        <v>1</v>
      </c>
      <c r="O4396" s="11" t="s">
        <v>1702</v>
      </c>
      <c r="P4396" s="16" t="str">
        <f>IF(LEN(G4396)=10,CONCATENATE("0",G4396),G4396)</f>
        <v>08-Aug-1919</v>
      </c>
      <c r="R4396" s="16" t="str">
        <f>IF($L4396&gt;0,"x","")</f>
        <v>x</v>
      </c>
      <c r="S4396" s="16" t="str">
        <f>IF($L4396&gt;0,"x","")</f>
        <v>x</v>
      </c>
      <c r="U4396" s="46" t="str">
        <f t="shared" si="1857"/>
        <v/>
      </c>
      <c r="V4396" s="46">
        <f t="shared" si="1857"/>
        <v>3</v>
      </c>
      <c r="W4396" s="46" t="str">
        <f t="shared" si="1857"/>
        <v/>
      </c>
      <c r="X4396" s="46" t="str">
        <f t="shared" si="1857"/>
        <v/>
      </c>
    </row>
    <row r="4397" spans="2:24" x14ac:dyDescent="0.25">
      <c r="N4397" s="8" t="str">
        <f>IF(R4397="x",1,"")</f>
        <v/>
      </c>
      <c r="U4397" s="46" t="str">
        <f t="shared" si="1857"/>
        <v/>
      </c>
      <c r="V4397" s="46" t="str">
        <f t="shared" si="1857"/>
        <v/>
      </c>
      <c r="W4397" s="46" t="str">
        <f t="shared" si="1857"/>
        <v/>
      </c>
      <c r="X4397" s="46" t="str">
        <f t="shared" si="1857"/>
        <v/>
      </c>
    </row>
    <row r="4398" spans="2:24" x14ac:dyDescent="0.25">
      <c r="B4398" s="18"/>
      <c r="C4398" s="18"/>
      <c r="D4398" s="18"/>
      <c r="E4398" s="40"/>
      <c r="F4398" s="18"/>
      <c r="G4398" s="40"/>
      <c r="H4398" s="7">
        <f t="shared" ref="H4398:N4398" si="1858">SUM(H4396:H4397)</f>
        <v>3</v>
      </c>
      <c r="I4398" s="7">
        <f t="shared" si="1858"/>
        <v>0</v>
      </c>
      <c r="J4398" s="7">
        <f>SUM(J4396:J4397)</f>
        <v>0</v>
      </c>
      <c r="K4398" s="7">
        <f t="shared" si="1858"/>
        <v>0</v>
      </c>
      <c r="L4398" s="7">
        <f t="shared" si="1858"/>
        <v>3</v>
      </c>
      <c r="M4398" s="7">
        <f t="shared" si="1858"/>
        <v>1</v>
      </c>
      <c r="N4398" s="7">
        <f t="shared" si="1858"/>
        <v>1</v>
      </c>
      <c r="O4398" s="18"/>
      <c r="P4398" s="13"/>
      <c r="Q4398" s="13"/>
      <c r="S4398" s="13"/>
      <c r="T4398" s="15"/>
      <c r="U4398" s="46" t="str">
        <f t="shared" si="1857"/>
        <v/>
      </c>
      <c r="V4398" s="46" t="str">
        <f t="shared" si="1857"/>
        <v/>
      </c>
      <c r="W4398" s="46" t="str">
        <f t="shared" si="1857"/>
        <v/>
      </c>
      <c r="X4398" s="46" t="str">
        <f t="shared" si="1857"/>
        <v/>
      </c>
    </row>
    <row r="4399" spans="2:24" x14ac:dyDescent="0.25">
      <c r="B4399" s="18"/>
      <c r="C4399" s="18"/>
      <c r="D4399" s="18"/>
      <c r="E4399" s="40"/>
      <c r="F4399" s="18"/>
      <c r="G4399" s="40"/>
      <c r="N4399" s="8" t="str">
        <f>IF(R4399="x",1,"")</f>
        <v/>
      </c>
      <c r="O4399" s="18"/>
      <c r="P4399" s="13"/>
      <c r="Q4399" s="13"/>
      <c r="R4399" s="13"/>
      <c r="S4399" s="13"/>
      <c r="T4399" s="15"/>
      <c r="U4399" s="46" t="str">
        <f t="shared" ref="U4399:X4414" si="1859">IF($O4399=U$5,$L4399,"")</f>
        <v/>
      </c>
      <c r="V4399" s="46" t="str">
        <f t="shared" si="1859"/>
        <v/>
      </c>
      <c r="W4399" s="46" t="str">
        <f t="shared" si="1859"/>
        <v/>
      </c>
      <c r="X4399" s="46" t="str">
        <f t="shared" si="1859"/>
        <v/>
      </c>
    </row>
    <row r="4400" spans="2:24" x14ac:dyDescent="0.25">
      <c r="B4400" s="18"/>
      <c r="C4400" s="18"/>
      <c r="D4400" s="18"/>
      <c r="E4400" s="40"/>
      <c r="F4400" s="18"/>
      <c r="G4400" s="40"/>
      <c r="N4400" s="8" t="str">
        <f>IF(R4400="x",1,"")</f>
        <v/>
      </c>
      <c r="O4400" s="18"/>
      <c r="P4400" s="13"/>
      <c r="Q4400" s="13"/>
      <c r="R4400" s="13"/>
      <c r="S4400" s="13"/>
      <c r="T4400" s="15"/>
      <c r="U4400" s="46" t="str">
        <f t="shared" si="1859"/>
        <v/>
      </c>
      <c r="V4400" s="46" t="str">
        <f t="shared" si="1859"/>
        <v/>
      </c>
      <c r="W4400" s="46" t="str">
        <f t="shared" si="1859"/>
        <v/>
      </c>
      <c r="X4400" s="46" t="str">
        <f t="shared" si="1859"/>
        <v/>
      </c>
    </row>
    <row r="4401" spans="2:24" x14ac:dyDescent="0.25">
      <c r="B4401" s="11" t="str">
        <f>CONCATENATE("NANK","-",LEFT(P4401,2),UPPER(MID(P4401,4,3)),RIGHT(P4401,4))</f>
        <v>NANK-30NOV1919</v>
      </c>
      <c r="C4401" s="11" t="s">
        <v>5242</v>
      </c>
      <c r="D4401" s="11" t="s">
        <v>2440</v>
      </c>
      <c r="E4401" s="39" t="s">
        <v>1569</v>
      </c>
      <c r="F4401" s="11" t="s">
        <v>2441</v>
      </c>
      <c r="G4401" s="39" t="s">
        <v>5243</v>
      </c>
      <c r="H4401" s="7">
        <v>6</v>
      </c>
      <c r="J4401" s="17"/>
      <c r="K4401" s="17"/>
      <c r="L4401" s="7">
        <f>SUM(H4401:K4401)</f>
        <v>6</v>
      </c>
      <c r="M4401" s="8">
        <v>1</v>
      </c>
      <c r="N4401" s="8">
        <f>IF(L4401&gt;0,1,"")</f>
        <v>1</v>
      </c>
      <c r="O4401" s="11" t="s">
        <v>1702</v>
      </c>
      <c r="P4401" s="16" t="str">
        <f>IF(LEN(G4401)=10,CONCATENATE("0",G4401),G4401)</f>
        <v>30-Nov-1919</v>
      </c>
      <c r="R4401" s="16" t="str">
        <f>IF($L4401&gt;0,"x","")</f>
        <v>x</v>
      </c>
      <c r="S4401" s="16" t="str">
        <f>IF($L4401&gt;0,"x","")</f>
        <v>x</v>
      </c>
      <c r="U4401" s="46" t="str">
        <f t="shared" si="1859"/>
        <v/>
      </c>
      <c r="V4401" s="46">
        <f t="shared" si="1859"/>
        <v>6</v>
      </c>
      <c r="W4401" s="46" t="str">
        <f t="shared" si="1859"/>
        <v/>
      </c>
      <c r="X4401" s="46" t="str">
        <f t="shared" si="1859"/>
        <v/>
      </c>
    </row>
    <row r="4402" spans="2:24" x14ac:dyDescent="0.25">
      <c r="N4402" s="8" t="str">
        <f>IF(R4402="x",1,"")</f>
        <v/>
      </c>
      <c r="U4402" s="46" t="str">
        <f t="shared" si="1859"/>
        <v/>
      </c>
      <c r="V4402" s="46" t="str">
        <f t="shared" si="1859"/>
        <v/>
      </c>
      <c r="W4402" s="46" t="str">
        <f t="shared" si="1859"/>
        <v/>
      </c>
      <c r="X4402" s="46" t="str">
        <f t="shared" si="1859"/>
        <v/>
      </c>
    </row>
    <row r="4403" spans="2:24" x14ac:dyDescent="0.25">
      <c r="B4403" s="18"/>
      <c r="C4403" s="18"/>
      <c r="D4403" s="18"/>
      <c r="E4403" s="40"/>
      <c r="F4403" s="18"/>
      <c r="G4403" s="40"/>
      <c r="H4403" s="7">
        <f t="shared" ref="H4403:N4403" si="1860">SUM(H4401:H4402)</f>
        <v>6</v>
      </c>
      <c r="I4403" s="7">
        <f t="shared" si="1860"/>
        <v>0</v>
      </c>
      <c r="J4403" s="7">
        <f>SUM(J4401:J4402)</f>
        <v>0</v>
      </c>
      <c r="K4403" s="7">
        <f t="shared" si="1860"/>
        <v>0</v>
      </c>
      <c r="L4403" s="7">
        <f t="shared" si="1860"/>
        <v>6</v>
      </c>
      <c r="M4403" s="7">
        <f t="shared" si="1860"/>
        <v>1</v>
      </c>
      <c r="N4403" s="7">
        <f t="shared" si="1860"/>
        <v>1</v>
      </c>
      <c r="O4403" s="18"/>
      <c r="P4403" s="13"/>
      <c r="Q4403" s="13"/>
      <c r="S4403" s="13"/>
      <c r="T4403" s="15"/>
      <c r="U4403" s="46" t="str">
        <f t="shared" si="1859"/>
        <v/>
      </c>
      <c r="V4403" s="46" t="str">
        <f t="shared" si="1859"/>
        <v/>
      </c>
      <c r="W4403" s="46" t="str">
        <f t="shared" si="1859"/>
        <v/>
      </c>
      <c r="X4403" s="46" t="str">
        <f t="shared" si="1859"/>
        <v/>
      </c>
    </row>
    <row r="4404" spans="2:24" x14ac:dyDescent="0.25">
      <c r="B4404" s="18"/>
      <c r="C4404" s="18"/>
      <c r="D4404" s="18"/>
      <c r="E4404" s="40"/>
      <c r="F4404" s="18"/>
      <c r="G4404" s="40"/>
      <c r="N4404" s="8" t="str">
        <f>IF(R4404="x",1,"")</f>
        <v/>
      </c>
      <c r="O4404" s="18"/>
      <c r="P4404" s="13"/>
      <c r="Q4404" s="13"/>
      <c r="R4404" s="13"/>
      <c r="S4404" s="13"/>
      <c r="T4404" s="15"/>
      <c r="U4404" s="46" t="str">
        <f t="shared" si="1859"/>
        <v/>
      </c>
      <c r="V4404" s="46" t="str">
        <f t="shared" si="1859"/>
        <v/>
      </c>
      <c r="W4404" s="46" t="str">
        <f t="shared" si="1859"/>
        <v/>
      </c>
      <c r="X4404" s="46" t="str">
        <f t="shared" si="1859"/>
        <v/>
      </c>
    </row>
    <row r="4405" spans="2:24" x14ac:dyDescent="0.25">
      <c r="B4405" s="18"/>
      <c r="C4405" s="18"/>
      <c r="D4405" s="18"/>
      <c r="E4405" s="40"/>
      <c r="F4405" s="18"/>
      <c r="G4405" s="40"/>
      <c r="N4405" s="8" t="str">
        <f>IF(R4405="x",1,"")</f>
        <v/>
      </c>
      <c r="O4405" s="18"/>
      <c r="P4405" s="13"/>
      <c r="Q4405" s="13"/>
      <c r="R4405" s="13"/>
      <c r="S4405" s="13"/>
      <c r="T4405" s="15"/>
      <c r="U4405" s="46" t="str">
        <f t="shared" si="1859"/>
        <v/>
      </c>
      <c r="V4405" s="46" t="str">
        <f t="shared" si="1859"/>
        <v/>
      </c>
      <c r="W4405" s="46" t="str">
        <f t="shared" si="1859"/>
        <v/>
      </c>
      <c r="X4405" s="46" t="str">
        <f t="shared" si="1859"/>
        <v/>
      </c>
    </row>
    <row r="4406" spans="2:24" x14ac:dyDescent="0.25">
      <c r="B4406" s="11" t="str">
        <f t="shared" ref="B4406:B4412" si="1861">CONCATENATE("NAPP","-",LEFT(P4406,2),UPPER(MID(P4406,4,3)),RIGHT(P4406,4))</f>
        <v>NAPP-23DEC1902</v>
      </c>
      <c r="C4406" s="11" t="s">
        <v>2930</v>
      </c>
      <c r="D4406" s="11" t="s">
        <v>3007</v>
      </c>
      <c r="E4406" s="39" t="s">
        <v>1640</v>
      </c>
      <c r="F4406" s="11" t="s">
        <v>1700</v>
      </c>
      <c r="G4406" s="39" t="s">
        <v>4194</v>
      </c>
      <c r="J4406" s="17">
        <v>4</v>
      </c>
      <c r="K4406" s="17"/>
      <c r="L4406" s="7">
        <f t="shared" ref="L4406:L4412" si="1862">SUM(H4406:K4406)</f>
        <v>4</v>
      </c>
      <c r="M4406" s="8">
        <v>1</v>
      </c>
      <c r="N4406" s="8">
        <f t="shared" ref="N4406:N4412" si="1863">IF(L4406&gt;0,1,"")</f>
        <v>1</v>
      </c>
      <c r="O4406" s="11" t="s">
        <v>1702</v>
      </c>
      <c r="P4406" s="16" t="str">
        <f t="shared" ref="P4406:P4412" si="1864">IF(LEN(G4406)=10,CONCATENATE("0",G4406),G4406)</f>
        <v>23-Dec-1902</v>
      </c>
      <c r="R4406" s="16" t="str">
        <f t="shared" ref="R4406:S4408" si="1865">IF($L4406&gt;0,"x","")</f>
        <v>x</v>
      </c>
      <c r="S4406" s="16" t="str">
        <f t="shared" si="1865"/>
        <v>x</v>
      </c>
      <c r="U4406" s="46" t="str">
        <f t="shared" si="1859"/>
        <v/>
      </c>
      <c r="V4406" s="46">
        <f t="shared" si="1859"/>
        <v>4</v>
      </c>
      <c r="W4406" s="46" t="str">
        <f t="shared" si="1859"/>
        <v/>
      </c>
      <c r="X4406" s="46" t="str">
        <f t="shared" si="1859"/>
        <v/>
      </c>
    </row>
    <row r="4407" spans="2:24" x14ac:dyDescent="0.25">
      <c r="B4407" s="11" t="str">
        <f>CONCATENATE("NAPP","-",LEFT(P4407,2),UPPER(MID(P4407,4,3)),RIGHT(P4407,4))</f>
        <v>NAPP-08SEP1903</v>
      </c>
      <c r="C4407" s="11" t="s">
        <v>2930</v>
      </c>
      <c r="D4407" s="11" t="s">
        <v>3007</v>
      </c>
      <c r="E4407" s="39" t="s">
        <v>1654</v>
      </c>
      <c r="F4407" s="11" t="s">
        <v>1700</v>
      </c>
      <c r="G4407" s="39" t="s">
        <v>3465</v>
      </c>
      <c r="H4407" s="7">
        <v>0</v>
      </c>
      <c r="J4407" s="17">
        <v>1</v>
      </c>
      <c r="K4407" s="17"/>
      <c r="L4407" s="7">
        <f>SUM(H4407:K4407)</f>
        <v>1</v>
      </c>
      <c r="M4407" s="8">
        <v>1</v>
      </c>
      <c r="N4407" s="8">
        <f>IF(L4407&gt;0,1,"")</f>
        <v>1</v>
      </c>
      <c r="O4407" s="11" t="s">
        <v>1702</v>
      </c>
      <c r="P4407" s="16" t="str">
        <f>IF(LEN(G4407)=10,CONCATENATE("0",G4407),G4407)</f>
        <v>08-Sep-1903</v>
      </c>
      <c r="R4407" s="16" t="str">
        <f t="shared" si="1865"/>
        <v>x</v>
      </c>
      <c r="S4407" s="16" t="str">
        <f t="shared" si="1865"/>
        <v>x</v>
      </c>
      <c r="U4407" s="46" t="str">
        <f t="shared" si="1859"/>
        <v/>
      </c>
      <c r="V4407" s="46">
        <f t="shared" si="1859"/>
        <v>1</v>
      </c>
      <c r="W4407" s="46" t="str">
        <f t="shared" si="1859"/>
        <v/>
      </c>
      <c r="X4407" s="46" t="str">
        <f t="shared" si="1859"/>
        <v/>
      </c>
    </row>
    <row r="4408" spans="2:24" x14ac:dyDescent="0.25">
      <c r="B4408" s="11" t="str">
        <f t="shared" si="1861"/>
        <v>NAPP-04NOV1907</v>
      </c>
      <c r="C4408" s="11" t="s">
        <v>2930</v>
      </c>
      <c r="D4408" s="11" t="s">
        <v>847</v>
      </c>
      <c r="E4408" s="39" t="s">
        <v>3325</v>
      </c>
      <c r="F4408" s="11" t="s">
        <v>1700</v>
      </c>
      <c r="G4408" s="39" t="s">
        <v>2658</v>
      </c>
      <c r="J4408" s="17">
        <v>10</v>
      </c>
      <c r="K4408" s="17"/>
      <c r="L4408" s="7">
        <f t="shared" si="1862"/>
        <v>10</v>
      </c>
      <c r="M4408" s="8">
        <v>1</v>
      </c>
      <c r="N4408" s="8">
        <f t="shared" si="1863"/>
        <v>1</v>
      </c>
      <c r="O4408" s="11" t="s">
        <v>1702</v>
      </c>
      <c r="P4408" s="16" t="str">
        <f t="shared" si="1864"/>
        <v>04-Nov-1907</v>
      </c>
      <c r="R4408" s="16" t="str">
        <f t="shared" si="1865"/>
        <v>x</v>
      </c>
      <c r="S4408" s="16" t="str">
        <f t="shared" si="1865"/>
        <v>x</v>
      </c>
      <c r="U4408" s="46" t="str">
        <f t="shared" si="1859"/>
        <v/>
      </c>
      <c r="V4408" s="46">
        <f t="shared" si="1859"/>
        <v>10</v>
      </c>
      <c r="W4408" s="46" t="str">
        <f t="shared" si="1859"/>
        <v/>
      </c>
      <c r="X4408" s="46" t="str">
        <f t="shared" si="1859"/>
        <v/>
      </c>
    </row>
    <row r="4409" spans="2:24" x14ac:dyDescent="0.25">
      <c r="B4409" s="11" t="str">
        <f t="shared" si="1861"/>
        <v>NAPP-14SEP1909</v>
      </c>
      <c r="C4409" s="11" t="s">
        <v>2930</v>
      </c>
      <c r="D4409" s="11" t="s">
        <v>2097</v>
      </c>
      <c r="E4409" s="39" t="s">
        <v>2934</v>
      </c>
      <c r="F4409" s="11" t="s">
        <v>2904</v>
      </c>
      <c r="G4409" s="39" t="s">
        <v>2670</v>
      </c>
      <c r="I4409" s="7">
        <f>10+2</f>
        <v>12</v>
      </c>
      <c r="J4409" s="17">
        <v>78</v>
      </c>
      <c r="K4409" s="17"/>
      <c r="L4409" s="7">
        <f t="shared" si="1862"/>
        <v>90</v>
      </c>
      <c r="M4409" s="8">
        <v>1</v>
      </c>
      <c r="N4409" s="8">
        <f t="shared" si="1863"/>
        <v>1</v>
      </c>
      <c r="O4409" s="11" t="s">
        <v>1702</v>
      </c>
      <c r="P4409" s="16" t="str">
        <f t="shared" si="1864"/>
        <v>14-Sep-1909</v>
      </c>
      <c r="R4409" s="16" t="str">
        <f t="shared" ref="R4409:S4412" si="1866">IF($L4409&gt;0,"x","")</f>
        <v>x</v>
      </c>
      <c r="S4409" s="16" t="str">
        <f t="shared" si="1866"/>
        <v>x</v>
      </c>
      <c r="U4409" s="46" t="str">
        <f t="shared" si="1859"/>
        <v/>
      </c>
      <c r="V4409" s="46">
        <f t="shared" si="1859"/>
        <v>90</v>
      </c>
      <c r="W4409" s="46" t="str">
        <f t="shared" si="1859"/>
        <v/>
      </c>
      <c r="X4409" s="46" t="str">
        <f t="shared" si="1859"/>
        <v/>
      </c>
    </row>
    <row r="4410" spans="2:24" x14ac:dyDescent="0.25">
      <c r="B4410" s="11" t="str">
        <f t="shared" si="1861"/>
        <v>NAPP-27OCT1909</v>
      </c>
      <c r="C4410" s="11" t="s">
        <v>2930</v>
      </c>
      <c r="D4410" s="11" t="s">
        <v>2097</v>
      </c>
      <c r="E4410" s="39" t="s">
        <v>1240</v>
      </c>
      <c r="F4410" s="11" t="s">
        <v>2904</v>
      </c>
      <c r="G4410" s="39" t="s">
        <v>2935</v>
      </c>
      <c r="I4410" s="7">
        <v>0</v>
      </c>
      <c r="J4410" s="17">
        <f>37+2</f>
        <v>39</v>
      </c>
      <c r="K4410" s="17"/>
      <c r="L4410" s="7">
        <f t="shared" si="1862"/>
        <v>39</v>
      </c>
      <c r="M4410" s="8">
        <v>1</v>
      </c>
      <c r="N4410" s="8">
        <f t="shared" si="1863"/>
        <v>1</v>
      </c>
      <c r="O4410" s="11" t="s">
        <v>1702</v>
      </c>
      <c r="P4410" s="16" t="str">
        <f t="shared" si="1864"/>
        <v>27-Oct-1909</v>
      </c>
      <c r="R4410" s="16" t="str">
        <f t="shared" si="1866"/>
        <v>x</v>
      </c>
      <c r="S4410" s="16" t="str">
        <f t="shared" si="1866"/>
        <v>x</v>
      </c>
      <c r="U4410" s="46" t="str">
        <f t="shared" si="1859"/>
        <v/>
      </c>
      <c r="V4410" s="46">
        <f t="shared" si="1859"/>
        <v>39</v>
      </c>
      <c r="W4410" s="46" t="str">
        <f t="shared" si="1859"/>
        <v/>
      </c>
      <c r="X4410" s="46" t="str">
        <f t="shared" si="1859"/>
        <v/>
      </c>
    </row>
    <row r="4411" spans="2:24" x14ac:dyDescent="0.25">
      <c r="B4411" s="11" t="str">
        <f t="shared" si="1861"/>
        <v>NAPP-08DEC1909</v>
      </c>
      <c r="C4411" s="11" t="s">
        <v>2930</v>
      </c>
      <c r="D4411" s="11" t="s">
        <v>2097</v>
      </c>
      <c r="E4411" s="39" t="s">
        <v>2931</v>
      </c>
      <c r="F4411" s="11" t="s">
        <v>2904</v>
      </c>
      <c r="G4411" s="39" t="s">
        <v>2932</v>
      </c>
      <c r="I4411" s="7">
        <v>0</v>
      </c>
      <c r="J4411" s="17">
        <v>60</v>
      </c>
      <c r="K4411" s="17"/>
      <c r="L4411" s="7">
        <f t="shared" si="1862"/>
        <v>60</v>
      </c>
      <c r="M4411" s="8">
        <v>1</v>
      </c>
      <c r="N4411" s="8">
        <f t="shared" si="1863"/>
        <v>1</v>
      </c>
      <c r="O4411" s="11" t="s">
        <v>1702</v>
      </c>
      <c r="P4411" s="16" t="str">
        <f t="shared" si="1864"/>
        <v>08-Dec-1909</v>
      </c>
      <c r="R4411" s="16" t="str">
        <f t="shared" si="1866"/>
        <v>x</v>
      </c>
      <c r="S4411" s="16" t="str">
        <f t="shared" si="1866"/>
        <v>x</v>
      </c>
      <c r="U4411" s="46" t="str">
        <f t="shared" si="1859"/>
        <v/>
      </c>
      <c r="V4411" s="46">
        <f t="shared" si="1859"/>
        <v>60</v>
      </c>
      <c r="W4411" s="46" t="str">
        <f t="shared" si="1859"/>
        <v/>
      </c>
      <c r="X4411" s="46" t="str">
        <f t="shared" si="1859"/>
        <v/>
      </c>
    </row>
    <row r="4412" spans="2:24" x14ac:dyDescent="0.25">
      <c r="B4412" s="11" t="str">
        <f t="shared" si="1861"/>
        <v>NAPP-20JAN1910</v>
      </c>
      <c r="C4412" s="11" t="s">
        <v>2930</v>
      </c>
      <c r="D4412" s="11" t="s">
        <v>2097</v>
      </c>
      <c r="E4412" s="39" t="s">
        <v>2326</v>
      </c>
      <c r="F4412" s="11" t="s">
        <v>2904</v>
      </c>
      <c r="G4412" s="39" t="s">
        <v>2933</v>
      </c>
      <c r="I4412" s="7">
        <v>0</v>
      </c>
      <c r="J4412" s="17">
        <v>14</v>
      </c>
      <c r="K4412" s="17"/>
      <c r="L4412" s="7">
        <f t="shared" si="1862"/>
        <v>14</v>
      </c>
      <c r="M4412" s="8">
        <v>1</v>
      </c>
      <c r="N4412" s="8">
        <f t="shared" si="1863"/>
        <v>1</v>
      </c>
      <c r="O4412" s="11" t="s">
        <v>1702</v>
      </c>
      <c r="P4412" s="16" t="str">
        <f t="shared" si="1864"/>
        <v>20-Jan-1910</v>
      </c>
      <c r="R4412" s="16" t="str">
        <f t="shared" si="1866"/>
        <v>x</v>
      </c>
      <c r="S4412" s="16" t="str">
        <f t="shared" si="1866"/>
        <v>x</v>
      </c>
      <c r="U4412" s="46" t="str">
        <f t="shared" si="1859"/>
        <v/>
      </c>
      <c r="V4412" s="46">
        <f t="shared" si="1859"/>
        <v>14</v>
      </c>
      <c r="W4412" s="46" t="str">
        <f t="shared" si="1859"/>
        <v/>
      </c>
      <c r="X4412" s="46" t="str">
        <f t="shared" si="1859"/>
        <v/>
      </c>
    </row>
    <row r="4413" spans="2:24" x14ac:dyDescent="0.25">
      <c r="N4413" s="8" t="str">
        <f>IF(R4413="x",1,"")</f>
        <v/>
      </c>
      <c r="U4413" s="46" t="str">
        <f t="shared" si="1859"/>
        <v/>
      </c>
      <c r="V4413" s="46" t="str">
        <f t="shared" si="1859"/>
        <v/>
      </c>
      <c r="W4413" s="46" t="str">
        <f t="shared" si="1859"/>
        <v/>
      </c>
      <c r="X4413" s="46" t="str">
        <f t="shared" si="1859"/>
        <v/>
      </c>
    </row>
    <row r="4414" spans="2:24" x14ac:dyDescent="0.25">
      <c r="B4414" s="18"/>
      <c r="C4414" s="18"/>
      <c r="D4414" s="18"/>
      <c r="E4414" s="40"/>
      <c r="F4414" s="18"/>
      <c r="G4414" s="40"/>
      <c r="H4414" s="7">
        <f t="shared" ref="H4414:N4414" si="1867">SUM(H4406:H4413)</f>
        <v>0</v>
      </c>
      <c r="I4414" s="7">
        <f t="shared" si="1867"/>
        <v>12</v>
      </c>
      <c r="J4414" s="7">
        <f>SUM(J4406:J4413)</f>
        <v>206</v>
      </c>
      <c r="K4414" s="7">
        <f t="shared" si="1867"/>
        <v>0</v>
      </c>
      <c r="L4414" s="7">
        <f t="shared" si="1867"/>
        <v>218</v>
      </c>
      <c r="M4414" s="7">
        <f t="shared" si="1867"/>
        <v>7</v>
      </c>
      <c r="N4414" s="7">
        <f t="shared" si="1867"/>
        <v>7</v>
      </c>
      <c r="O4414" s="18"/>
      <c r="P4414" s="13"/>
      <c r="Q4414" s="13"/>
      <c r="S4414" s="13"/>
      <c r="T4414" s="15"/>
      <c r="U4414" s="46" t="str">
        <f t="shared" si="1859"/>
        <v/>
      </c>
      <c r="V4414" s="46" t="str">
        <f t="shared" si="1859"/>
        <v/>
      </c>
      <c r="W4414" s="46" t="str">
        <f t="shared" si="1859"/>
        <v/>
      </c>
      <c r="X4414" s="46" t="str">
        <f t="shared" si="1859"/>
        <v/>
      </c>
    </row>
    <row r="4415" spans="2:24" x14ac:dyDescent="0.25">
      <c r="B4415" s="18"/>
      <c r="C4415" s="18"/>
      <c r="D4415" s="18"/>
      <c r="E4415" s="40"/>
      <c r="F4415" s="18"/>
      <c r="G4415" s="40"/>
      <c r="N4415" s="8" t="str">
        <f>IF(R4415="x",1,"")</f>
        <v/>
      </c>
      <c r="O4415" s="18"/>
      <c r="P4415" s="13"/>
      <c r="Q4415" s="13"/>
      <c r="R4415" s="13"/>
      <c r="S4415" s="13"/>
      <c r="T4415" s="15"/>
      <c r="U4415" s="46" t="str">
        <f t="shared" ref="U4415:X4422" si="1868">IF($O4415=U$5,$L4415,"")</f>
        <v/>
      </c>
      <c r="V4415" s="46" t="str">
        <f t="shared" si="1868"/>
        <v/>
      </c>
      <c r="W4415" s="46" t="str">
        <f t="shared" si="1868"/>
        <v/>
      </c>
      <c r="X4415" s="46" t="str">
        <f t="shared" si="1868"/>
        <v/>
      </c>
    </row>
    <row r="4416" spans="2:24" x14ac:dyDescent="0.25">
      <c r="B4416" s="18"/>
      <c r="C4416" s="18"/>
      <c r="D4416" s="18"/>
      <c r="E4416" s="40"/>
      <c r="F4416" s="18"/>
      <c r="G4416" s="40"/>
      <c r="N4416" s="8" t="str">
        <f>IF(R4416="x",1,"")</f>
        <v/>
      </c>
      <c r="O4416" s="18"/>
      <c r="P4416" s="13"/>
      <c r="Q4416" s="13"/>
      <c r="R4416" s="13"/>
      <c r="S4416" s="13"/>
      <c r="T4416" s="15"/>
      <c r="U4416" s="46" t="str">
        <f t="shared" si="1868"/>
        <v/>
      </c>
      <c r="V4416" s="46" t="str">
        <f t="shared" si="1868"/>
        <v/>
      </c>
      <c r="W4416" s="46" t="str">
        <f t="shared" si="1868"/>
        <v/>
      </c>
      <c r="X4416" s="46" t="str">
        <f t="shared" si="1868"/>
        <v/>
      </c>
    </row>
    <row r="4417" spans="2:24" x14ac:dyDescent="0.25">
      <c r="B4417" s="11" t="str">
        <f>CONCATENATE("NECK","-",LEFT(P4417,2),UPPER(MID(P4417,4,3)),RIGHT(P4417,4))</f>
        <v>NECK-07OCT1912</v>
      </c>
      <c r="C4417" s="11" t="s">
        <v>5212</v>
      </c>
      <c r="D4417" s="11" t="s">
        <v>3359</v>
      </c>
      <c r="E4417" s="39" t="s">
        <v>2506</v>
      </c>
      <c r="F4417" s="11" t="s">
        <v>1700</v>
      </c>
      <c r="G4417" s="39" t="s">
        <v>1323</v>
      </c>
      <c r="I4417" s="7">
        <v>0</v>
      </c>
      <c r="J4417" s="17">
        <v>6</v>
      </c>
      <c r="K4417" s="17"/>
      <c r="L4417" s="7">
        <f>SUM(H4417:K4417)</f>
        <v>6</v>
      </c>
      <c r="M4417" s="8">
        <v>1</v>
      </c>
      <c r="N4417" s="8">
        <f>IF(L4417&gt;0,1,"")</f>
        <v>1</v>
      </c>
      <c r="O4417" s="11" t="s">
        <v>1702</v>
      </c>
      <c r="P4417" s="16" t="str">
        <f>IF(LEN(G4417)=10,CONCATENATE("0",G4417),G4417)</f>
        <v>07-Oct-1912</v>
      </c>
      <c r="R4417" s="16" t="str">
        <f t="shared" ref="R4417:S4420" si="1869">IF($L4417&gt;0,"x","")</f>
        <v>x</v>
      </c>
      <c r="S4417" s="16" t="str">
        <f t="shared" si="1869"/>
        <v>x</v>
      </c>
      <c r="U4417" s="46" t="str">
        <f t="shared" si="1868"/>
        <v/>
      </c>
      <c r="V4417" s="46">
        <f t="shared" si="1868"/>
        <v>6</v>
      </c>
      <c r="W4417" s="46" t="str">
        <f t="shared" si="1868"/>
        <v/>
      </c>
      <c r="X4417" s="46" t="str">
        <f t="shared" si="1868"/>
        <v/>
      </c>
    </row>
    <row r="4418" spans="2:24" x14ac:dyDescent="0.25">
      <c r="B4418" s="11" t="str">
        <f>CONCATENATE("NECK","-",LEFT(P4418,2),UPPER(MID(P4418,4,3)),RIGHT(P4418,4))</f>
        <v>NECK-16FEB1913</v>
      </c>
      <c r="C4418" s="11" t="s">
        <v>5212</v>
      </c>
      <c r="D4418" s="11" t="s">
        <v>3359</v>
      </c>
      <c r="E4418" s="39" t="s">
        <v>1019</v>
      </c>
      <c r="F4418" s="11" t="s">
        <v>1700</v>
      </c>
      <c r="G4418" s="39" t="s">
        <v>4483</v>
      </c>
      <c r="I4418" s="7">
        <v>0</v>
      </c>
      <c r="J4418" s="17">
        <v>2</v>
      </c>
      <c r="K4418" s="17"/>
      <c r="L4418" s="7">
        <f>SUM(H4418:K4418)</f>
        <v>2</v>
      </c>
      <c r="M4418" s="8">
        <v>1</v>
      </c>
      <c r="N4418" s="8">
        <f>IF(L4418&gt;0,1,"")</f>
        <v>1</v>
      </c>
      <c r="O4418" s="11" t="s">
        <v>1702</v>
      </c>
      <c r="P4418" s="16" t="str">
        <f>IF(LEN(G4418)=10,CONCATENATE("0",G4418),G4418)</f>
        <v>16-Feb-1913</v>
      </c>
      <c r="R4418" s="16" t="str">
        <f t="shared" si="1869"/>
        <v>x</v>
      </c>
      <c r="S4418" s="16" t="str">
        <f t="shared" si="1869"/>
        <v>x</v>
      </c>
      <c r="U4418" s="46" t="str">
        <f t="shared" si="1868"/>
        <v/>
      </c>
      <c r="V4418" s="46">
        <f t="shared" si="1868"/>
        <v>2</v>
      </c>
      <c r="W4418" s="46" t="str">
        <f t="shared" si="1868"/>
        <v/>
      </c>
      <c r="X4418" s="46" t="str">
        <f t="shared" si="1868"/>
        <v/>
      </c>
    </row>
    <row r="4419" spans="2:24" x14ac:dyDescent="0.25">
      <c r="B4419" s="11" t="str">
        <f>CONCATENATE("NECK","-",LEFT(P4419,2),UPPER(MID(P4419,4,3)),RIGHT(P4419,4))</f>
        <v>NECK-21FEB1913</v>
      </c>
      <c r="C4419" s="11" t="s">
        <v>5212</v>
      </c>
      <c r="D4419" s="11" t="s">
        <v>3359</v>
      </c>
      <c r="E4419" s="39" t="s">
        <v>1019</v>
      </c>
      <c r="F4419" s="11" t="s">
        <v>3538</v>
      </c>
      <c r="G4419" s="39" t="s">
        <v>5213</v>
      </c>
      <c r="I4419" s="7">
        <v>0</v>
      </c>
      <c r="J4419" s="17">
        <v>9</v>
      </c>
      <c r="K4419" s="17"/>
      <c r="L4419" s="7">
        <f>SUM(H4419:K4419)</f>
        <v>9</v>
      </c>
      <c r="M4419" s="8">
        <v>1</v>
      </c>
      <c r="N4419" s="8">
        <f>IF(L4419&gt;0,1,"")</f>
        <v>1</v>
      </c>
      <c r="O4419" s="11" t="s">
        <v>1702</v>
      </c>
      <c r="P4419" s="16" t="str">
        <f>IF(LEN(G4419)=10,CONCATENATE("0",G4419),G4419)</f>
        <v>21-Feb-1913</v>
      </c>
      <c r="R4419" s="16" t="str">
        <f t="shared" si="1869"/>
        <v>x</v>
      </c>
      <c r="S4419" s="16" t="str">
        <f t="shared" si="1869"/>
        <v>x</v>
      </c>
      <c r="U4419" s="46" t="str">
        <f t="shared" si="1868"/>
        <v/>
      </c>
      <c r="V4419" s="46">
        <f t="shared" si="1868"/>
        <v>9</v>
      </c>
      <c r="W4419" s="46" t="str">
        <f t="shared" si="1868"/>
        <v/>
      </c>
      <c r="X4419" s="46" t="str">
        <f t="shared" si="1868"/>
        <v/>
      </c>
    </row>
    <row r="4420" spans="2:24" x14ac:dyDescent="0.25">
      <c r="B4420" s="11" t="str">
        <f>CONCATENATE("NECK","-",LEFT(P4420,2),UPPER(MID(P4420,4,3)),RIGHT(P4420,4))</f>
        <v>NECK-13DEC1913</v>
      </c>
      <c r="C4420" s="11" t="s">
        <v>5212</v>
      </c>
      <c r="D4420" s="11" t="s">
        <v>3359</v>
      </c>
      <c r="E4420" s="39" t="s">
        <v>3630</v>
      </c>
      <c r="F4420" s="11" t="s">
        <v>3538</v>
      </c>
      <c r="G4420" s="39" t="s">
        <v>1028</v>
      </c>
      <c r="I4420" s="7">
        <v>0</v>
      </c>
      <c r="J4420" s="17">
        <v>16</v>
      </c>
      <c r="K4420" s="17"/>
      <c r="L4420" s="7">
        <f>SUM(H4420:K4420)</f>
        <v>16</v>
      </c>
      <c r="M4420" s="8">
        <v>1</v>
      </c>
      <c r="N4420" s="8">
        <f>IF(L4420&gt;0,1,"")</f>
        <v>1</v>
      </c>
      <c r="O4420" s="11" t="s">
        <v>1702</v>
      </c>
      <c r="P4420" s="16" t="str">
        <f>IF(LEN(G4420)=10,CONCATENATE("0",G4420),G4420)</f>
        <v>13-Dec-1913</v>
      </c>
      <c r="R4420" s="16" t="str">
        <f t="shared" si="1869"/>
        <v>x</v>
      </c>
      <c r="S4420" s="16" t="str">
        <f t="shared" si="1869"/>
        <v>x</v>
      </c>
      <c r="U4420" s="46" t="str">
        <f t="shared" si="1868"/>
        <v/>
      </c>
      <c r="V4420" s="46">
        <f t="shared" si="1868"/>
        <v>16</v>
      </c>
      <c r="W4420" s="46" t="str">
        <f t="shared" si="1868"/>
        <v/>
      </c>
      <c r="X4420" s="46" t="str">
        <f t="shared" si="1868"/>
        <v/>
      </c>
    </row>
    <row r="4421" spans="2:24" x14ac:dyDescent="0.25">
      <c r="N4421" s="8" t="str">
        <f>IF(R4421="x",1,"")</f>
        <v/>
      </c>
      <c r="U4421" s="46" t="str">
        <f t="shared" si="1868"/>
        <v/>
      </c>
      <c r="V4421" s="46" t="str">
        <f t="shared" si="1868"/>
        <v/>
      </c>
      <c r="W4421" s="46" t="str">
        <f t="shared" si="1868"/>
        <v/>
      </c>
      <c r="X4421" s="46" t="str">
        <f t="shared" si="1868"/>
        <v/>
      </c>
    </row>
    <row r="4422" spans="2:24" x14ac:dyDescent="0.25">
      <c r="B4422" s="18"/>
      <c r="C4422" s="18"/>
      <c r="D4422" s="18"/>
      <c r="E4422" s="40"/>
      <c r="F4422" s="18"/>
      <c r="G4422" s="40"/>
      <c r="H4422" s="7">
        <f t="shared" ref="H4422:N4422" si="1870">SUM(H4417:H4421)</f>
        <v>0</v>
      </c>
      <c r="I4422" s="7">
        <f t="shared" si="1870"/>
        <v>0</v>
      </c>
      <c r="J4422" s="7">
        <f>SUM(J4417:J4421)</f>
        <v>33</v>
      </c>
      <c r="K4422" s="7">
        <f t="shared" si="1870"/>
        <v>0</v>
      </c>
      <c r="L4422" s="7">
        <f t="shared" si="1870"/>
        <v>33</v>
      </c>
      <c r="M4422" s="7">
        <f t="shared" si="1870"/>
        <v>4</v>
      </c>
      <c r="N4422" s="7">
        <f t="shared" si="1870"/>
        <v>4</v>
      </c>
      <c r="O4422" s="18"/>
      <c r="P4422" s="13"/>
      <c r="Q4422" s="13"/>
      <c r="S4422" s="13"/>
      <c r="T4422" s="15"/>
      <c r="U4422" s="46" t="str">
        <f t="shared" si="1868"/>
        <v/>
      </c>
      <c r="V4422" s="46" t="str">
        <f t="shared" si="1868"/>
        <v/>
      </c>
      <c r="W4422" s="46" t="str">
        <f t="shared" si="1868"/>
        <v/>
      </c>
      <c r="X4422" s="46" t="str">
        <f t="shared" si="1868"/>
        <v/>
      </c>
    </row>
    <row r="4423" spans="2:24" x14ac:dyDescent="0.25">
      <c r="B4423" s="18"/>
      <c r="C4423" s="18"/>
      <c r="D4423" s="18"/>
      <c r="E4423" s="40"/>
      <c r="F4423" s="18"/>
      <c r="G4423" s="40"/>
      <c r="N4423" s="8" t="str">
        <f>IF(R4423="x",1,"")</f>
        <v/>
      </c>
      <c r="O4423" s="18"/>
      <c r="P4423" s="13"/>
      <c r="Q4423" s="13"/>
      <c r="R4423" s="13"/>
      <c r="S4423" s="13"/>
      <c r="T4423" s="15"/>
      <c r="U4423" s="46" t="str">
        <f t="shared" ref="U4423:X4428" si="1871">IF($O4423=U$5,$L4423,"")</f>
        <v/>
      </c>
      <c r="V4423" s="46" t="str">
        <f t="shared" si="1871"/>
        <v/>
      </c>
      <c r="W4423" s="46" t="str">
        <f t="shared" si="1871"/>
        <v/>
      </c>
      <c r="X4423" s="46" t="str">
        <f t="shared" si="1871"/>
        <v/>
      </c>
    </row>
    <row r="4424" spans="2:24" x14ac:dyDescent="0.25">
      <c r="B4424" s="18"/>
      <c r="C4424" s="18"/>
      <c r="D4424" s="18"/>
      <c r="E4424" s="40"/>
      <c r="F4424" s="18"/>
      <c r="G4424" s="40"/>
      <c r="N4424" s="8" t="str">
        <f>IF(R4424="x",1,"")</f>
        <v/>
      </c>
      <c r="O4424" s="18"/>
      <c r="P4424" s="13"/>
      <c r="Q4424" s="13"/>
      <c r="R4424" s="13"/>
      <c r="S4424" s="13"/>
      <c r="T4424" s="15"/>
      <c r="U4424" s="46" t="str">
        <f t="shared" si="1871"/>
        <v/>
      </c>
      <c r="V4424" s="46" t="str">
        <f t="shared" si="1871"/>
        <v/>
      </c>
      <c r="W4424" s="46" t="str">
        <f t="shared" si="1871"/>
        <v/>
      </c>
      <c r="X4424" s="46" t="str">
        <f t="shared" si="1871"/>
        <v/>
      </c>
    </row>
    <row r="4425" spans="2:24" x14ac:dyDescent="0.25">
      <c r="B4425" s="11" t="str">
        <f>CONCATENATE("NEDE","-",LEFT(P4425,2),UPPER(MID(P4425,4,3)),RIGHT(P4425,4))</f>
        <v>NEDE-11MAY1876</v>
      </c>
      <c r="C4425" s="11" t="s">
        <v>5815</v>
      </c>
      <c r="D4425" s="11" t="s">
        <v>2814</v>
      </c>
      <c r="F4425" s="11" t="s">
        <v>3039</v>
      </c>
      <c r="G4425" s="39" t="s">
        <v>11261</v>
      </c>
      <c r="H4425" s="7">
        <v>0</v>
      </c>
      <c r="I4425" s="7">
        <v>2</v>
      </c>
      <c r="J4425" s="17">
        <v>0</v>
      </c>
      <c r="K4425" s="17"/>
      <c r="L4425" s="7">
        <f>SUM(H4425:K4425)</f>
        <v>2</v>
      </c>
      <c r="M4425" s="8">
        <v>1</v>
      </c>
      <c r="N4425" s="8">
        <f>IF(L4425&gt;0,1,"")</f>
        <v>1</v>
      </c>
      <c r="O4425" s="11" t="s">
        <v>1702</v>
      </c>
      <c r="P4425" s="16" t="str">
        <f>IF(LEN(G4425)=10,CONCATENATE("0",G4425),G4425)</f>
        <v>11-May-1876</v>
      </c>
      <c r="R4425" s="16" t="str">
        <f>IF($L4425&gt;0,"x","")</f>
        <v>x</v>
      </c>
      <c r="S4425" s="16" t="str">
        <f>IF($L4425&gt;0,"x","")</f>
        <v>x</v>
      </c>
      <c r="U4425" s="46" t="str">
        <f t="shared" si="1871"/>
        <v/>
      </c>
      <c r="V4425" s="46">
        <f t="shared" si="1871"/>
        <v>2</v>
      </c>
      <c r="W4425" s="46" t="str">
        <f t="shared" si="1871"/>
        <v/>
      </c>
      <c r="X4425" s="46" t="str">
        <f t="shared" si="1871"/>
        <v/>
      </c>
    </row>
    <row r="4426" spans="2:24" x14ac:dyDescent="0.25">
      <c r="B4426" s="11" t="str">
        <f>CONCATENATE("NEDE","-",LEFT(P4426,2),UPPER(MID(P4426,4,3)),RIGHT(P4426,4))</f>
        <v>NEDE-06AUG1883</v>
      </c>
      <c r="C4426" s="11" t="s">
        <v>5815</v>
      </c>
      <c r="D4426" s="11" t="s">
        <v>2814</v>
      </c>
      <c r="F4426" s="11" t="s">
        <v>1700</v>
      </c>
      <c r="G4426" s="39" t="s">
        <v>5816</v>
      </c>
      <c r="H4426" s="7">
        <v>0</v>
      </c>
      <c r="I4426" s="7">
        <v>0</v>
      </c>
      <c r="J4426" s="17">
        <v>11</v>
      </c>
      <c r="K4426" s="17"/>
      <c r="L4426" s="7">
        <f>SUM(H4426:K4426)</f>
        <v>11</v>
      </c>
      <c r="M4426" s="8">
        <v>1</v>
      </c>
      <c r="N4426" s="8">
        <f>IF(L4426&gt;0,1,"")</f>
        <v>1</v>
      </c>
      <c r="O4426" s="11" t="s">
        <v>1702</v>
      </c>
      <c r="P4426" s="16" t="str">
        <f>IF(LEN(G4426)=10,CONCATENATE("0",G4426),G4426)</f>
        <v>06-Aug-1883</v>
      </c>
      <c r="R4426" s="16" t="str">
        <f>IF($L4426&gt;0,"x","")</f>
        <v>x</v>
      </c>
      <c r="S4426" s="16" t="str">
        <f>IF($L4426&gt;0,"x","")</f>
        <v>x</v>
      </c>
      <c r="U4426" s="46" t="str">
        <f t="shared" si="1871"/>
        <v/>
      </c>
      <c r="V4426" s="46">
        <f t="shared" si="1871"/>
        <v>11</v>
      </c>
      <c r="W4426" s="46" t="str">
        <f t="shared" si="1871"/>
        <v/>
      </c>
      <c r="X4426" s="46" t="str">
        <f t="shared" si="1871"/>
        <v/>
      </c>
    </row>
    <row r="4427" spans="2:24" x14ac:dyDescent="0.25">
      <c r="N4427" s="8" t="str">
        <f>IF(R4427="x",1,"")</f>
        <v/>
      </c>
      <c r="U4427" s="46" t="str">
        <f t="shared" si="1871"/>
        <v/>
      </c>
      <c r="V4427" s="46" t="str">
        <f t="shared" si="1871"/>
        <v/>
      </c>
      <c r="W4427" s="46" t="str">
        <f t="shared" si="1871"/>
        <v/>
      </c>
      <c r="X4427" s="46" t="str">
        <f t="shared" si="1871"/>
        <v/>
      </c>
    </row>
    <row r="4428" spans="2:24" x14ac:dyDescent="0.25">
      <c r="B4428" s="18"/>
      <c r="C4428" s="18"/>
      <c r="D4428" s="18"/>
      <c r="E4428" s="40"/>
      <c r="F4428" s="18"/>
      <c r="G4428" s="40"/>
      <c r="H4428" s="7">
        <f t="shared" ref="H4428:N4428" si="1872">SUM(H4425:H4427)</f>
        <v>0</v>
      </c>
      <c r="I4428" s="7">
        <f t="shared" si="1872"/>
        <v>2</v>
      </c>
      <c r="J4428" s="7">
        <f>SUM(J4425:J4427)</f>
        <v>11</v>
      </c>
      <c r="K4428" s="7">
        <f t="shared" si="1872"/>
        <v>0</v>
      </c>
      <c r="L4428" s="7">
        <f t="shared" si="1872"/>
        <v>13</v>
      </c>
      <c r="M4428" s="7">
        <f t="shared" si="1872"/>
        <v>2</v>
      </c>
      <c r="N4428" s="7">
        <f t="shared" si="1872"/>
        <v>2</v>
      </c>
      <c r="O4428" s="18"/>
      <c r="P4428" s="13"/>
      <c r="Q4428" s="13"/>
      <c r="S4428" s="13"/>
      <c r="T4428" s="15"/>
      <c r="U4428" s="46" t="str">
        <f t="shared" si="1871"/>
        <v/>
      </c>
      <c r="V4428" s="46" t="str">
        <f t="shared" si="1871"/>
        <v/>
      </c>
      <c r="W4428" s="46" t="str">
        <f t="shared" si="1871"/>
        <v/>
      </c>
      <c r="X4428" s="46" t="str">
        <f t="shared" si="1871"/>
        <v/>
      </c>
    </row>
    <row r="4429" spans="2:24" x14ac:dyDescent="0.25">
      <c r="B4429" s="18"/>
      <c r="C4429" s="18"/>
      <c r="D4429" s="18"/>
      <c r="E4429" s="40"/>
      <c r="F4429" s="18"/>
      <c r="G4429" s="40"/>
      <c r="N4429" s="8" t="str">
        <f>IF(R4429="x",1,"")</f>
        <v/>
      </c>
      <c r="O4429" s="18"/>
      <c r="P4429" s="13"/>
      <c r="Q4429" s="13"/>
      <c r="R4429" s="13"/>
      <c r="S4429" s="13"/>
      <c r="T4429" s="15"/>
      <c r="U4429" s="46" t="str">
        <f t="shared" ref="U4429:X4434" si="1873">IF($O4429=U$5,$L4429,"")</f>
        <v/>
      </c>
      <c r="V4429" s="46" t="str">
        <f t="shared" si="1873"/>
        <v/>
      </c>
      <c r="W4429" s="46" t="str">
        <f t="shared" si="1873"/>
        <v/>
      </c>
      <c r="X4429" s="46" t="str">
        <f t="shared" si="1873"/>
        <v/>
      </c>
    </row>
    <row r="4430" spans="2:24" x14ac:dyDescent="0.25">
      <c r="B4430" s="18"/>
      <c r="C4430" s="18"/>
      <c r="D4430" s="18"/>
      <c r="E4430" s="40"/>
      <c r="F4430" s="18"/>
      <c r="G4430" s="40"/>
      <c r="N4430" s="8" t="str">
        <f>IF(R4430="x",1,"")</f>
        <v/>
      </c>
      <c r="O4430" s="18"/>
      <c r="P4430" s="13"/>
      <c r="Q4430" s="13"/>
      <c r="R4430" s="13"/>
      <c r="S4430" s="13"/>
      <c r="T4430" s="15"/>
      <c r="U4430" s="46" t="str">
        <f t="shared" si="1873"/>
        <v/>
      </c>
      <c r="V4430" s="46" t="str">
        <f t="shared" si="1873"/>
        <v/>
      </c>
      <c r="W4430" s="46" t="str">
        <f t="shared" si="1873"/>
        <v/>
      </c>
      <c r="X4430" s="46" t="str">
        <f t="shared" si="1873"/>
        <v/>
      </c>
    </row>
    <row r="4431" spans="2:24" x14ac:dyDescent="0.25">
      <c r="B4431" s="11" t="str">
        <f>CONCATENATE("NENG","-",LEFT(P4431,2),UPPER(MID(P4431,4,3)),RIGHT(P4431,4))</f>
        <v>NENG-01DEC1902</v>
      </c>
      <c r="C4431" s="11" t="s">
        <v>5207</v>
      </c>
      <c r="D4431" s="11" t="s">
        <v>2097</v>
      </c>
      <c r="E4431" s="39" t="s">
        <v>4105</v>
      </c>
      <c r="F4431" s="11" t="s">
        <v>3050</v>
      </c>
      <c r="G4431" s="39" t="s">
        <v>4106</v>
      </c>
      <c r="J4431" s="17">
        <v>6</v>
      </c>
      <c r="K4431" s="17"/>
      <c r="L4431" s="7">
        <f>SUM(H4431:K4431)</f>
        <v>6</v>
      </c>
      <c r="M4431" s="8">
        <v>1</v>
      </c>
      <c r="N4431" s="8">
        <f>IF(L4431&gt;0,1,"")</f>
        <v>1</v>
      </c>
      <c r="O4431" s="11" t="s">
        <v>1702</v>
      </c>
      <c r="P4431" s="16" t="str">
        <f>IF(LEN(G4431)=10,CONCATENATE("0",G4431),G4431)</f>
        <v>01-Dec-1902</v>
      </c>
      <c r="R4431" s="16" t="str">
        <f>IF($L4431&gt;0,"x","")</f>
        <v>x</v>
      </c>
      <c r="S4431" s="16" t="str">
        <f>IF($L4431&gt;0,"x","")</f>
        <v>x</v>
      </c>
      <c r="U4431" s="46" t="str">
        <f t="shared" si="1873"/>
        <v/>
      </c>
      <c r="V4431" s="46">
        <f t="shared" si="1873"/>
        <v>6</v>
      </c>
      <c r="W4431" s="46" t="str">
        <f t="shared" si="1873"/>
        <v/>
      </c>
      <c r="X4431" s="46" t="str">
        <f t="shared" si="1873"/>
        <v/>
      </c>
    </row>
    <row r="4432" spans="2:24" x14ac:dyDescent="0.25">
      <c r="B4432" s="11" t="str">
        <f>CONCATENATE("NENG","-",LEFT(P4432,2),UPPER(MID(P4432,4,3)),RIGHT(P4432,4))</f>
        <v>NENG-04JUL1903</v>
      </c>
      <c r="C4432" s="11" t="s">
        <v>5207</v>
      </c>
      <c r="D4432" s="11" t="s">
        <v>2097</v>
      </c>
      <c r="E4432" s="39" t="s">
        <v>5208</v>
      </c>
      <c r="F4432" s="11" t="s">
        <v>3050</v>
      </c>
      <c r="G4432" s="39" t="s">
        <v>1653</v>
      </c>
      <c r="H4432" s="7">
        <v>0</v>
      </c>
      <c r="I4432" s="7">
        <v>0</v>
      </c>
      <c r="J4432" s="17">
        <v>11</v>
      </c>
      <c r="K4432" s="17"/>
      <c r="L4432" s="7">
        <f>SUM(H4432:K4432)</f>
        <v>11</v>
      </c>
      <c r="M4432" s="8">
        <v>1</v>
      </c>
      <c r="N4432" s="8">
        <f>IF(L4432&gt;0,1,"")</f>
        <v>1</v>
      </c>
      <c r="O4432" s="11" t="s">
        <v>1702</v>
      </c>
      <c r="P4432" s="16" t="str">
        <f>IF(LEN(G4432)=10,CONCATENATE("0",G4432),G4432)</f>
        <v>04-Jul-1903</v>
      </c>
      <c r="R4432" s="16" t="str">
        <f>IF($L4432&gt;0,"x","")</f>
        <v>x</v>
      </c>
      <c r="S4432" s="16" t="str">
        <f>IF($L4432&gt;0,"x","")</f>
        <v>x</v>
      </c>
      <c r="U4432" s="46" t="str">
        <f t="shared" si="1873"/>
        <v/>
      </c>
      <c r="V4432" s="46">
        <f t="shared" si="1873"/>
        <v>11</v>
      </c>
      <c r="W4432" s="46" t="str">
        <f t="shared" si="1873"/>
        <v/>
      </c>
      <c r="X4432" s="46" t="str">
        <f t="shared" si="1873"/>
        <v/>
      </c>
    </row>
    <row r="4433" spans="2:26" x14ac:dyDescent="0.25">
      <c r="N4433" s="8" t="str">
        <f>IF(R4433="x",1,"")</f>
        <v/>
      </c>
      <c r="U4433" s="46" t="str">
        <f t="shared" si="1873"/>
        <v/>
      </c>
      <c r="V4433" s="46" t="str">
        <f t="shared" si="1873"/>
        <v/>
      </c>
      <c r="W4433" s="46" t="str">
        <f t="shared" si="1873"/>
        <v/>
      </c>
      <c r="X4433" s="46" t="str">
        <f t="shared" si="1873"/>
        <v/>
      </c>
    </row>
    <row r="4434" spans="2:26" x14ac:dyDescent="0.25">
      <c r="B4434" s="18"/>
      <c r="C4434" s="18"/>
      <c r="D4434" s="18"/>
      <c r="E4434" s="40"/>
      <c r="F4434" s="18"/>
      <c r="G4434" s="40"/>
      <c r="H4434" s="7">
        <f t="shared" ref="H4434:N4434" si="1874">SUM(H4431:H4433)</f>
        <v>0</v>
      </c>
      <c r="I4434" s="7">
        <f t="shared" si="1874"/>
        <v>0</v>
      </c>
      <c r="J4434" s="7">
        <f>SUM(J4431:J4433)</f>
        <v>17</v>
      </c>
      <c r="K4434" s="7">
        <f t="shared" si="1874"/>
        <v>0</v>
      </c>
      <c r="L4434" s="7">
        <f t="shared" si="1874"/>
        <v>17</v>
      </c>
      <c r="M4434" s="7">
        <f t="shared" si="1874"/>
        <v>2</v>
      </c>
      <c r="N4434" s="7">
        <f t="shared" si="1874"/>
        <v>2</v>
      </c>
      <c r="O4434" s="18"/>
      <c r="P4434" s="13"/>
      <c r="Q4434" s="13"/>
      <c r="S4434" s="13"/>
      <c r="T4434" s="15"/>
      <c r="U4434" s="46" t="str">
        <f t="shared" si="1873"/>
        <v/>
      </c>
      <c r="V4434" s="46" t="str">
        <f t="shared" si="1873"/>
        <v/>
      </c>
      <c r="W4434" s="46" t="str">
        <f t="shared" si="1873"/>
        <v/>
      </c>
      <c r="X4434" s="46" t="str">
        <f t="shared" si="1873"/>
        <v/>
      </c>
    </row>
    <row r="4435" spans="2:26" x14ac:dyDescent="0.25">
      <c r="B4435" s="18"/>
      <c r="C4435" s="18"/>
      <c r="D4435" s="18"/>
      <c r="E4435" s="40"/>
      <c r="F4435" s="18"/>
      <c r="G4435" s="40"/>
      <c r="N4435" s="8" t="str">
        <f>IF(R4435="x",1,"")</f>
        <v/>
      </c>
      <c r="O4435" s="18"/>
      <c r="P4435" s="13"/>
      <c r="Q4435" s="13"/>
      <c r="R4435" s="13"/>
      <c r="S4435" s="13"/>
      <c r="T4435" s="15"/>
      <c r="U4435" s="46" t="str">
        <f t="shared" ref="U4435:X4451" si="1875">IF($O4435=U$5,$L4435,"")</f>
        <v/>
      </c>
      <c r="V4435" s="46" t="str">
        <f t="shared" si="1875"/>
        <v/>
      </c>
      <c r="W4435" s="46" t="str">
        <f t="shared" si="1875"/>
        <v/>
      </c>
      <c r="X4435" s="46" t="str">
        <f t="shared" si="1875"/>
        <v/>
      </c>
    </row>
    <row r="4436" spans="2:26" x14ac:dyDescent="0.25">
      <c r="B4436" s="18"/>
      <c r="C4436" s="18"/>
      <c r="D4436" s="18"/>
      <c r="E4436" s="40"/>
      <c r="F4436" s="18"/>
      <c r="G4436" s="40"/>
      <c r="N4436" s="8" t="str">
        <f>IF(R4436="x",1,"")</f>
        <v/>
      </c>
      <c r="O4436" s="18"/>
      <c r="P4436" s="13"/>
      <c r="Q4436" s="13"/>
      <c r="R4436" s="13"/>
      <c r="S4436" s="13"/>
      <c r="T4436" s="15"/>
      <c r="U4436" s="46" t="str">
        <f t="shared" si="1875"/>
        <v/>
      </c>
      <c r="V4436" s="46" t="str">
        <f t="shared" si="1875"/>
        <v/>
      </c>
      <c r="W4436" s="46" t="str">
        <f t="shared" si="1875"/>
        <v/>
      </c>
      <c r="X4436" s="46" t="str">
        <f t="shared" si="1875"/>
        <v/>
      </c>
    </row>
    <row r="4437" spans="2:26" x14ac:dyDescent="0.25">
      <c r="B4437" s="11" t="str">
        <f>CONCATENATE("NRCH","-",LEFT(P4437,2),UPPER(MID(P4437,4,3)),RIGHT(P4437,4))</f>
        <v>NRCH-14NOV1920</v>
      </c>
      <c r="C4437" s="11" t="s">
        <v>3090</v>
      </c>
      <c r="D4437" s="11" t="s">
        <v>1699</v>
      </c>
      <c r="E4437" s="39" t="s">
        <v>2806</v>
      </c>
      <c r="F4437" s="11" t="s">
        <v>1700</v>
      </c>
      <c r="G4437" s="39" t="s">
        <v>3091</v>
      </c>
      <c r="H4437" s="7">
        <v>3</v>
      </c>
      <c r="J4437" s="17">
        <v>148</v>
      </c>
      <c r="K4437" s="17"/>
      <c r="L4437" s="7">
        <f>SUM(H4437:K4437)</f>
        <v>151</v>
      </c>
      <c r="M4437" s="8">
        <v>1</v>
      </c>
      <c r="N4437" s="8">
        <f>IF(L4437&gt;0,1,"")</f>
        <v>1</v>
      </c>
      <c r="O4437" s="11" t="s">
        <v>1702</v>
      </c>
      <c r="P4437" s="16" t="str">
        <f>IF(LEN(G4437)=10,CONCATENATE("0",G4437),G4437)</f>
        <v>14-Nov-1920</v>
      </c>
      <c r="R4437" s="16" t="str">
        <f>IF($L4437&gt;0,"x","")</f>
        <v>x</v>
      </c>
      <c r="S4437" s="16" t="str">
        <f>IF($L4437&gt;0,"x","")</f>
        <v>x</v>
      </c>
      <c r="U4437" s="46" t="str">
        <f t="shared" si="1875"/>
        <v/>
      </c>
      <c r="V4437" s="46">
        <f t="shared" si="1875"/>
        <v>151</v>
      </c>
      <c r="W4437" s="46" t="str">
        <f t="shared" si="1875"/>
        <v/>
      </c>
      <c r="X4437" s="46" t="str">
        <f t="shared" si="1875"/>
        <v/>
      </c>
    </row>
    <row r="4438" spans="2:26" x14ac:dyDescent="0.25">
      <c r="N4438" s="8" t="str">
        <f>IF(R4438="x",1,"")</f>
        <v/>
      </c>
      <c r="U4438" s="46" t="str">
        <f t="shared" si="1875"/>
        <v/>
      </c>
      <c r="V4438" s="46" t="str">
        <f t="shared" si="1875"/>
        <v/>
      </c>
      <c r="W4438" s="46" t="str">
        <f t="shared" si="1875"/>
        <v/>
      </c>
      <c r="X4438" s="46" t="str">
        <f t="shared" si="1875"/>
        <v/>
      </c>
    </row>
    <row r="4439" spans="2:26" x14ac:dyDescent="0.25">
      <c r="B4439" s="18"/>
      <c r="C4439" s="18"/>
      <c r="D4439" s="18"/>
      <c r="E4439" s="40"/>
      <c r="F4439" s="18"/>
      <c r="G4439" s="40"/>
      <c r="H4439" s="7">
        <f t="shared" ref="H4439:N4439" si="1876">SUM(H4437:H4438)</f>
        <v>3</v>
      </c>
      <c r="I4439" s="7">
        <f t="shared" si="1876"/>
        <v>0</v>
      </c>
      <c r="J4439" s="7">
        <f>SUM(J4437:J4438)</f>
        <v>148</v>
      </c>
      <c r="K4439" s="7">
        <f t="shared" si="1876"/>
        <v>0</v>
      </c>
      <c r="L4439" s="7">
        <f t="shared" si="1876"/>
        <v>151</v>
      </c>
      <c r="M4439" s="7">
        <f t="shared" si="1876"/>
        <v>1</v>
      </c>
      <c r="N4439" s="7">
        <f t="shared" si="1876"/>
        <v>1</v>
      </c>
      <c r="O4439" s="18"/>
      <c r="P4439" s="13"/>
      <c r="Q4439" s="13"/>
      <c r="S4439" s="13"/>
      <c r="T4439" s="15"/>
      <c r="U4439" s="46" t="str">
        <f t="shared" si="1875"/>
        <v/>
      </c>
      <c r="V4439" s="46" t="str">
        <f t="shared" si="1875"/>
        <v/>
      </c>
      <c r="W4439" s="46" t="str">
        <f t="shared" si="1875"/>
        <v/>
      </c>
      <c r="X4439" s="46" t="str">
        <f t="shared" si="1875"/>
        <v/>
      </c>
    </row>
    <row r="4440" spans="2:26" s="18" customFormat="1" x14ac:dyDescent="0.25">
      <c r="E4440" s="40"/>
      <c r="G4440" s="40"/>
      <c r="H4440" s="7"/>
      <c r="I4440" s="7"/>
      <c r="J4440" s="7"/>
      <c r="K4440" s="7"/>
      <c r="L4440" s="7"/>
      <c r="M4440" s="8"/>
      <c r="N4440" s="8" t="str">
        <f>IF(R4440="x",1,"")</f>
        <v/>
      </c>
      <c r="P4440" s="13"/>
      <c r="Q4440" s="13"/>
      <c r="R4440" s="13"/>
      <c r="S4440" s="13"/>
      <c r="T4440" s="15"/>
      <c r="U4440" s="46" t="str">
        <f t="shared" si="1875"/>
        <v/>
      </c>
      <c r="V4440" s="46" t="str">
        <f t="shared" si="1875"/>
        <v/>
      </c>
      <c r="W4440" s="46" t="str">
        <f t="shared" si="1875"/>
        <v/>
      </c>
      <c r="X4440" s="46" t="str">
        <f t="shared" si="1875"/>
        <v/>
      </c>
      <c r="Z4440" s="11"/>
    </row>
    <row r="4441" spans="2:26" s="18" customFormat="1" x14ac:dyDescent="0.25">
      <c r="E4441" s="40"/>
      <c r="G4441" s="40"/>
      <c r="H4441" s="7"/>
      <c r="I4441" s="7"/>
      <c r="J4441" s="7"/>
      <c r="K4441" s="7"/>
      <c r="L4441" s="7"/>
      <c r="M4441" s="8"/>
      <c r="N4441" s="8" t="str">
        <f>IF(R4441="x",1,"")</f>
        <v/>
      </c>
      <c r="P4441" s="13"/>
      <c r="Q4441" s="13"/>
      <c r="R4441" s="13"/>
      <c r="S4441" s="13"/>
      <c r="T4441" s="15"/>
      <c r="U4441" s="46" t="str">
        <f t="shared" si="1875"/>
        <v/>
      </c>
      <c r="V4441" s="46" t="str">
        <f t="shared" si="1875"/>
        <v/>
      </c>
      <c r="W4441" s="46" t="str">
        <f t="shared" si="1875"/>
        <v/>
      </c>
      <c r="X4441" s="46" t="str">
        <f t="shared" si="1875"/>
        <v/>
      </c>
      <c r="Z4441" s="11"/>
    </row>
    <row r="4442" spans="2:26" s="29" customFormat="1" x14ac:dyDescent="0.25">
      <c r="B4442" s="29" t="str">
        <f t="shared" ref="B4442:B4462" si="1877">CONCATENATE("NYRK","-",LEFT(P4442,2),UPPER(MID(P4442,4,3)),RIGHT(P4442,4))</f>
        <v>NYRK-18NOV1893</v>
      </c>
      <c r="C4442" s="29" t="s">
        <v>1700</v>
      </c>
      <c r="D4442" s="29" t="s">
        <v>598</v>
      </c>
      <c r="E4442" s="41"/>
      <c r="F4442" s="29" t="s">
        <v>1700</v>
      </c>
      <c r="G4442" s="41" t="s">
        <v>2479</v>
      </c>
      <c r="H4442" s="30">
        <v>0</v>
      </c>
      <c r="I4442" s="30">
        <v>1</v>
      </c>
      <c r="J4442" s="30">
        <v>0</v>
      </c>
      <c r="K4442" s="30"/>
      <c r="L4442" s="30">
        <f t="shared" ref="L4442:L4462" si="1878">SUM(H4442:K4442)</f>
        <v>1</v>
      </c>
      <c r="M4442" s="31">
        <v>1</v>
      </c>
      <c r="N4442" s="31">
        <f t="shared" ref="N4442:N4462" si="1879">IF(L4442&gt;0,1,"")</f>
        <v>1</v>
      </c>
      <c r="O4442" s="29" t="s">
        <v>1702</v>
      </c>
      <c r="P4442" s="32" t="str">
        <f t="shared" ref="P4442:P4462" si="1880">IF(LEN(G4442)=10,CONCATENATE("0",G4442),G4442)</f>
        <v>18-Nov-1893</v>
      </c>
      <c r="Q4442" s="16"/>
      <c r="R4442" s="16" t="str">
        <f t="shared" ref="R4442:S4507" si="1881">IF($L4442&gt;0,"x","")</f>
        <v>x</v>
      </c>
      <c r="S4442" s="16" t="str">
        <f t="shared" si="1881"/>
        <v>x</v>
      </c>
      <c r="T4442" s="33"/>
      <c r="U4442" s="46" t="str">
        <f t="shared" si="1875"/>
        <v/>
      </c>
      <c r="V4442" s="46">
        <f t="shared" si="1875"/>
        <v>1</v>
      </c>
      <c r="W4442" s="46" t="str">
        <f t="shared" si="1875"/>
        <v/>
      </c>
      <c r="X4442" s="46" t="str">
        <f t="shared" si="1875"/>
        <v/>
      </c>
    </row>
    <row r="4443" spans="2:26" s="29" customFormat="1" x14ac:dyDescent="0.25">
      <c r="B4443" s="29" t="str">
        <f t="shared" si="1877"/>
        <v>NYRK-26MAR1894</v>
      </c>
      <c r="C4443" s="29" t="s">
        <v>1700</v>
      </c>
      <c r="D4443" s="29" t="s">
        <v>598</v>
      </c>
      <c r="E4443" s="41"/>
      <c r="F4443" s="29" t="s">
        <v>1700</v>
      </c>
      <c r="G4443" s="41" t="s">
        <v>2233</v>
      </c>
      <c r="H4443" s="30">
        <v>0</v>
      </c>
      <c r="I4443" s="30">
        <v>0</v>
      </c>
      <c r="J4443" s="30">
        <v>2</v>
      </c>
      <c r="K4443" s="30"/>
      <c r="L4443" s="30">
        <f t="shared" si="1878"/>
        <v>2</v>
      </c>
      <c r="M4443" s="31">
        <v>1</v>
      </c>
      <c r="N4443" s="31">
        <f t="shared" si="1879"/>
        <v>1</v>
      </c>
      <c r="O4443" s="29" t="s">
        <v>1702</v>
      </c>
      <c r="P4443" s="32" t="str">
        <f t="shared" si="1880"/>
        <v>26-Mar-1894</v>
      </c>
      <c r="Q4443" s="16"/>
      <c r="R4443" s="16" t="str">
        <f t="shared" si="1881"/>
        <v>x</v>
      </c>
      <c r="S4443" s="16" t="str">
        <f t="shared" si="1881"/>
        <v>x</v>
      </c>
      <c r="T4443" s="33"/>
      <c r="U4443" s="46" t="str">
        <f t="shared" si="1875"/>
        <v/>
      </c>
      <c r="V4443" s="46">
        <f t="shared" si="1875"/>
        <v>2</v>
      </c>
      <c r="W4443" s="46" t="str">
        <f t="shared" si="1875"/>
        <v/>
      </c>
      <c r="X4443" s="46" t="str">
        <f t="shared" si="1875"/>
        <v/>
      </c>
    </row>
    <row r="4444" spans="2:26" s="29" customFormat="1" x14ac:dyDescent="0.25">
      <c r="B4444" s="29" t="str">
        <f t="shared" si="1877"/>
        <v>NYRK-17NOV1894</v>
      </c>
      <c r="C4444" s="29" t="s">
        <v>1700</v>
      </c>
      <c r="D4444" s="29" t="s">
        <v>598</v>
      </c>
      <c r="E4444" s="41"/>
      <c r="F4444" s="29" t="s">
        <v>1700</v>
      </c>
      <c r="G4444" s="41" t="s">
        <v>2480</v>
      </c>
      <c r="H4444" s="30">
        <v>0</v>
      </c>
      <c r="I4444" s="30">
        <v>0</v>
      </c>
      <c r="J4444" s="30">
        <v>4</v>
      </c>
      <c r="K4444" s="30"/>
      <c r="L4444" s="30">
        <f t="shared" si="1878"/>
        <v>4</v>
      </c>
      <c r="M4444" s="31">
        <v>1</v>
      </c>
      <c r="N4444" s="31">
        <f t="shared" si="1879"/>
        <v>1</v>
      </c>
      <c r="O4444" s="29" t="s">
        <v>1702</v>
      </c>
      <c r="P4444" s="32" t="str">
        <f t="shared" si="1880"/>
        <v>17-Nov-1894</v>
      </c>
      <c r="Q4444" s="16"/>
      <c r="R4444" s="16" t="str">
        <f t="shared" si="1881"/>
        <v>x</v>
      </c>
      <c r="S4444" s="16" t="str">
        <f t="shared" si="1881"/>
        <v>x</v>
      </c>
      <c r="T4444" s="33"/>
      <c r="U4444" s="46" t="str">
        <f t="shared" si="1875"/>
        <v/>
      </c>
      <c r="V4444" s="46">
        <f t="shared" si="1875"/>
        <v>4</v>
      </c>
      <c r="W4444" s="46" t="str">
        <f t="shared" si="1875"/>
        <v/>
      </c>
      <c r="X4444" s="46" t="str">
        <f t="shared" si="1875"/>
        <v/>
      </c>
    </row>
    <row r="4445" spans="2:26" s="29" customFormat="1" x14ac:dyDescent="0.25">
      <c r="B4445" s="29" t="str">
        <f t="shared" si="1877"/>
        <v>NYRK-08JUN1895</v>
      </c>
      <c r="C4445" s="29" t="s">
        <v>1700</v>
      </c>
      <c r="D4445" s="29" t="s">
        <v>598</v>
      </c>
      <c r="E4445" s="41"/>
      <c r="F4445" s="29" t="s">
        <v>1700</v>
      </c>
      <c r="G4445" s="41" t="s">
        <v>2481</v>
      </c>
      <c r="H4445" s="30">
        <v>0</v>
      </c>
      <c r="I4445" s="30">
        <v>0</v>
      </c>
      <c r="J4445" s="30">
        <v>6</v>
      </c>
      <c r="K4445" s="30"/>
      <c r="L4445" s="30">
        <f t="shared" si="1878"/>
        <v>6</v>
      </c>
      <c r="M4445" s="31">
        <v>1</v>
      </c>
      <c r="N4445" s="31">
        <f t="shared" si="1879"/>
        <v>1</v>
      </c>
      <c r="O4445" s="29" t="s">
        <v>1702</v>
      </c>
      <c r="P4445" s="32" t="str">
        <f t="shared" si="1880"/>
        <v>08-Jun-1895</v>
      </c>
      <c r="Q4445" s="16"/>
      <c r="R4445" s="16" t="str">
        <f t="shared" si="1881"/>
        <v>x</v>
      </c>
      <c r="S4445" s="16" t="str">
        <f t="shared" si="1881"/>
        <v>x</v>
      </c>
      <c r="T4445" s="33"/>
      <c r="U4445" s="46" t="str">
        <f t="shared" si="1875"/>
        <v/>
      </c>
      <c r="V4445" s="46">
        <f t="shared" si="1875"/>
        <v>6</v>
      </c>
      <c r="W4445" s="46" t="str">
        <f t="shared" si="1875"/>
        <v/>
      </c>
      <c r="X4445" s="46" t="str">
        <f t="shared" si="1875"/>
        <v/>
      </c>
    </row>
    <row r="4446" spans="2:26" s="29" customFormat="1" x14ac:dyDescent="0.25">
      <c r="B4446" s="29" t="str">
        <f t="shared" si="1877"/>
        <v>NYRK-30NOV1895</v>
      </c>
      <c r="C4446" s="29" t="s">
        <v>1700</v>
      </c>
      <c r="D4446" s="29" t="s">
        <v>598</v>
      </c>
      <c r="E4446" s="41"/>
      <c r="F4446" s="29" t="s">
        <v>1700</v>
      </c>
      <c r="G4446" s="41" t="s">
        <v>2482</v>
      </c>
      <c r="H4446" s="30">
        <v>0</v>
      </c>
      <c r="I4446" s="30">
        <v>0</v>
      </c>
      <c r="J4446" s="30">
        <v>2</v>
      </c>
      <c r="K4446" s="30"/>
      <c r="L4446" s="30">
        <f t="shared" si="1878"/>
        <v>2</v>
      </c>
      <c r="M4446" s="31">
        <v>1</v>
      </c>
      <c r="N4446" s="31">
        <f t="shared" si="1879"/>
        <v>1</v>
      </c>
      <c r="O4446" s="29" t="s">
        <v>1702</v>
      </c>
      <c r="P4446" s="32" t="str">
        <f t="shared" si="1880"/>
        <v>30-Nov-1895</v>
      </c>
      <c r="Q4446" s="16"/>
      <c r="R4446" s="16" t="str">
        <f t="shared" si="1881"/>
        <v>x</v>
      </c>
      <c r="S4446" s="16" t="str">
        <f t="shared" si="1881"/>
        <v>x</v>
      </c>
      <c r="T4446" s="33"/>
      <c r="U4446" s="46" t="str">
        <f t="shared" si="1875"/>
        <v/>
      </c>
      <c r="V4446" s="46">
        <f t="shared" si="1875"/>
        <v>2</v>
      </c>
      <c r="W4446" s="46" t="str">
        <f t="shared" si="1875"/>
        <v/>
      </c>
      <c r="X4446" s="46" t="str">
        <f t="shared" si="1875"/>
        <v/>
      </c>
    </row>
    <row r="4447" spans="2:26" s="29" customFormat="1" x14ac:dyDescent="0.25">
      <c r="B4447" s="29" t="str">
        <f t="shared" si="1877"/>
        <v>NYRK-23MAY1896</v>
      </c>
      <c r="C4447" s="29" t="s">
        <v>1700</v>
      </c>
      <c r="D4447" s="29" t="s">
        <v>598</v>
      </c>
      <c r="E4447" s="41"/>
      <c r="F4447" s="29" t="s">
        <v>1700</v>
      </c>
      <c r="G4447" s="41" t="s">
        <v>2483</v>
      </c>
      <c r="H4447" s="30">
        <v>0</v>
      </c>
      <c r="I4447" s="30">
        <v>0</v>
      </c>
      <c r="J4447" s="30">
        <v>2</v>
      </c>
      <c r="K4447" s="30"/>
      <c r="L4447" s="30">
        <f t="shared" si="1878"/>
        <v>2</v>
      </c>
      <c r="M4447" s="31">
        <v>1</v>
      </c>
      <c r="N4447" s="31">
        <f t="shared" si="1879"/>
        <v>1</v>
      </c>
      <c r="O4447" s="29" t="s">
        <v>1702</v>
      </c>
      <c r="P4447" s="32" t="str">
        <f t="shared" si="1880"/>
        <v>23-May-1896</v>
      </c>
      <c r="Q4447" s="16"/>
      <c r="R4447" s="16" t="str">
        <f t="shared" si="1881"/>
        <v>x</v>
      </c>
      <c r="S4447" s="16" t="str">
        <f t="shared" si="1881"/>
        <v>x</v>
      </c>
      <c r="T4447" s="33"/>
      <c r="U4447" s="46" t="str">
        <f t="shared" si="1875"/>
        <v/>
      </c>
      <c r="V4447" s="46">
        <f t="shared" si="1875"/>
        <v>2</v>
      </c>
      <c r="W4447" s="46" t="str">
        <f t="shared" si="1875"/>
        <v/>
      </c>
      <c r="X4447" s="46" t="str">
        <f t="shared" si="1875"/>
        <v/>
      </c>
    </row>
    <row r="4448" spans="2:26" s="29" customFormat="1" x14ac:dyDescent="0.25">
      <c r="B4448" s="29" t="str">
        <f t="shared" si="1877"/>
        <v>NYRK-13JUN1896</v>
      </c>
      <c r="C4448" s="29" t="s">
        <v>1700</v>
      </c>
      <c r="D4448" s="29" t="s">
        <v>598</v>
      </c>
      <c r="E4448" s="41"/>
      <c r="F4448" s="29" t="s">
        <v>1700</v>
      </c>
      <c r="G4448" s="41" t="s">
        <v>2484</v>
      </c>
      <c r="H4448" s="30">
        <v>0</v>
      </c>
      <c r="I4448" s="30">
        <v>0</v>
      </c>
      <c r="J4448" s="30">
        <v>6</v>
      </c>
      <c r="K4448" s="30"/>
      <c r="L4448" s="30">
        <f t="shared" si="1878"/>
        <v>6</v>
      </c>
      <c r="M4448" s="31">
        <v>1</v>
      </c>
      <c r="N4448" s="31">
        <f t="shared" si="1879"/>
        <v>1</v>
      </c>
      <c r="O4448" s="29" t="s">
        <v>1702</v>
      </c>
      <c r="P4448" s="32" t="str">
        <f t="shared" si="1880"/>
        <v>13-Jun-1896</v>
      </c>
      <c r="Q4448" s="16"/>
      <c r="R4448" s="16" t="str">
        <f t="shared" si="1881"/>
        <v>x</v>
      </c>
      <c r="S4448" s="16" t="str">
        <f t="shared" si="1881"/>
        <v>x</v>
      </c>
      <c r="T4448" s="33"/>
      <c r="U4448" s="46" t="str">
        <f t="shared" si="1875"/>
        <v/>
      </c>
      <c r="V4448" s="46">
        <f t="shared" si="1875"/>
        <v>6</v>
      </c>
      <c r="W4448" s="46" t="str">
        <f t="shared" si="1875"/>
        <v/>
      </c>
      <c r="X4448" s="46" t="str">
        <f t="shared" si="1875"/>
        <v/>
      </c>
    </row>
    <row r="4449" spans="2:26" s="29" customFormat="1" x14ac:dyDescent="0.25">
      <c r="B4449" s="29" t="str">
        <f t="shared" si="1877"/>
        <v>NYRK-06JUL1896</v>
      </c>
      <c r="C4449" s="29" t="s">
        <v>1700</v>
      </c>
      <c r="D4449" s="29" t="s">
        <v>598</v>
      </c>
      <c r="E4449" s="41"/>
      <c r="F4449" s="29" t="s">
        <v>1700</v>
      </c>
      <c r="G4449" s="41" t="s">
        <v>1706</v>
      </c>
      <c r="H4449" s="30">
        <v>1</v>
      </c>
      <c r="I4449" s="30">
        <v>0</v>
      </c>
      <c r="J4449" s="30">
        <v>3</v>
      </c>
      <c r="K4449" s="30"/>
      <c r="L4449" s="30">
        <f t="shared" si="1878"/>
        <v>4</v>
      </c>
      <c r="M4449" s="31">
        <v>1</v>
      </c>
      <c r="N4449" s="31">
        <f t="shared" si="1879"/>
        <v>1</v>
      </c>
      <c r="O4449" s="29" t="s">
        <v>1702</v>
      </c>
      <c r="P4449" s="32" t="str">
        <f t="shared" si="1880"/>
        <v>06-Jul-1896</v>
      </c>
      <c r="Q4449" s="16"/>
      <c r="R4449" s="16" t="str">
        <f t="shared" si="1881"/>
        <v>x</v>
      </c>
      <c r="S4449" s="16" t="str">
        <f t="shared" si="1881"/>
        <v>x</v>
      </c>
      <c r="T4449" s="33"/>
      <c r="U4449" s="46" t="str">
        <f t="shared" si="1875"/>
        <v/>
      </c>
      <c r="V4449" s="46">
        <f t="shared" si="1875"/>
        <v>4</v>
      </c>
      <c r="W4449" s="46" t="str">
        <f t="shared" si="1875"/>
        <v/>
      </c>
      <c r="X4449" s="46" t="str">
        <f t="shared" si="1875"/>
        <v/>
      </c>
    </row>
    <row r="4450" spans="2:26" s="29" customFormat="1" x14ac:dyDescent="0.25">
      <c r="B4450" s="29" t="str">
        <f t="shared" si="1877"/>
        <v>NYRK-25JUL1896</v>
      </c>
      <c r="C4450" s="29" t="s">
        <v>1700</v>
      </c>
      <c r="D4450" s="29" t="s">
        <v>598</v>
      </c>
      <c r="E4450" s="41"/>
      <c r="F4450" s="29" t="s">
        <v>1700</v>
      </c>
      <c r="G4450" s="41" t="s">
        <v>690</v>
      </c>
      <c r="H4450" s="30">
        <v>0</v>
      </c>
      <c r="I4450" s="30">
        <v>1</v>
      </c>
      <c r="J4450" s="30">
        <v>0</v>
      </c>
      <c r="K4450" s="30"/>
      <c r="L4450" s="30">
        <f t="shared" si="1878"/>
        <v>1</v>
      </c>
      <c r="M4450" s="31">
        <v>1</v>
      </c>
      <c r="N4450" s="31">
        <f t="shared" si="1879"/>
        <v>1</v>
      </c>
      <c r="O4450" s="29" t="s">
        <v>1702</v>
      </c>
      <c r="P4450" s="32" t="str">
        <f t="shared" si="1880"/>
        <v>25-Jul-1896</v>
      </c>
      <c r="Q4450" s="16"/>
      <c r="R4450" s="16" t="str">
        <f t="shared" si="1881"/>
        <v>x</v>
      </c>
      <c r="S4450" s="16" t="str">
        <f t="shared" si="1881"/>
        <v>x</v>
      </c>
      <c r="T4450" s="33"/>
      <c r="U4450" s="46" t="str">
        <f t="shared" si="1875"/>
        <v/>
      </c>
      <c r="V4450" s="46">
        <f t="shared" si="1875"/>
        <v>1</v>
      </c>
      <c r="W4450" s="46" t="str">
        <f t="shared" si="1875"/>
        <v/>
      </c>
      <c r="X4450" s="46" t="str">
        <f t="shared" si="1875"/>
        <v/>
      </c>
    </row>
    <row r="4451" spans="2:26" s="29" customFormat="1" x14ac:dyDescent="0.25">
      <c r="B4451" s="29" t="str">
        <f t="shared" si="1877"/>
        <v>NYRK-17NOV1896</v>
      </c>
      <c r="C4451" s="29" t="s">
        <v>1700</v>
      </c>
      <c r="D4451" s="29" t="s">
        <v>598</v>
      </c>
      <c r="E4451" s="41"/>
      <c r="F4451" s="29" t="s">
        <v>1700</v>
      </c>
      <c r="G4451" s="41" t="s">
        <v>597</v>
      </c>
      <c r="H4451" s="30">
        <v>0</v>
      </c>
      <c r="I4451" s="30">
        <v>0</v>
      </c>
      <c r="J4451" s="30">
        <v>17</v>
      </c>
      <c r="K4451" s="30"/>
      <c r="L4451" s="30">
        <f t="shared" si="1878"/>
        <v>17</v>
      </c>
      <c r="M4451" s="31">
        <v>1</v>
      </c>
      <c r="N4451" s="31">
        <f t="shared" si="1879"/>
        <v>1</v>
      </c>
      <c r="O4451" s="29" t="s">
        <v>1702</v>
      </c>
      <c r="P4451" s="32" t="str">
        <f t="shared" si="1880"/>
        <v>17-Nov-1896</v>
      </c>
      <c r="Q4451" s="16"/>
      <c r="R4451" s="16" t="str">
        <f t="shared" si="1881"/>
        <v>x</v>
      </c>
      <c r="S4451" s="16" t="str">
        <f t="shared" si="1881"/>
        <v>x</v>
      </c>
      <c r="T4451" s="33"/>
      <c r="U4451" s="46" t="str">
        <f t="shared" si="1875"/>
        <v/>
      </c>
      <c r="V4451" s="46">
        <f t="shared" si="1875"/>
        <v>17</v>
      </c>
      <c r="W4451" s="46" t="str">
        <f t="shared" si="1875"/>
        <v/>
      </c>
      <c r="X4451" s="46" t="str">
        <f t="shared" si="1875"/>
        <v/>
      </c>
    </row>
    <row r="4452" spans="2:26" s="29" customFormat="1" x14ac:dyDescent="0.25">
      <c r="B4452" s="29" t="str">
        <f t="shared" si="1877"/>
        <v>NYRK-26DEC1896</v>
      </c>
      <c r="C4452" s="29" t="s">
        <v>1700</v>
      </c>
      <c r="D4452" s="29" t="s">
        <v>598</v>
      </c>
      <c r="E4452" s="41"/>
      <c r="F4452" s="29" t="s">
        <v>1700</v>
      </c>
      <c r="G4452" s="41" t="s">
        <v>2485</v>
      </c>
      <c r="H4452" s="30">
        <v>0</v>
      </c>
      <c r="I4452" s="30">
        <v>2</v>
      </c>
      <c r="J4452" s="30">
        <v>0</v>
      </c>
      <c r="K4452" s="30"/>
      <c r="L4452" s="30">
        <f t="shared" si="1878"/>
        <v>2</v>
      </c>
      <c r="M4452" s="31">
        <v>1</v>
      </c>
      <c r="N4452" s="31">
        <f t="shared" si="1879"/>
        <v>1</v>
      </c>
      <c r="O4452" s="29" t="s">
        <v>1702</v>
      </c>
      <c r="P4452" s="32" t="str">
        <f t="shared" si="1880"/>
        <v>26-Dec-1896</v>
      </c>
      <c r="Q4452" s="16"/>
      <c r="R4452" s="16" t="str">
        <f t="shared" si="1881"/>
        <v>x</v>
      </c>
      <c r="S4452" s="16" t="str">
        <f t="shared" si="1881"/>
        <v>x</v>
      </c>
      <c r="T4452" s="33"/>
      <c r="U4452" s="46" t="str">
        <f t="shared" ref="U4452:X4516" si="1882">IF($O4452=U$5,$L4452,"")</f>
        <v/>
      </c>
      <c r="V4452" s="46">
        <f t="shared" si="1882"/>
        <v>2</v>
      </c>
      <c r="W4452" s="46" t="str">
        <f t="shared" si="1882"/>
        <v/>
      </c>
      <c r="X4452" s="46" t="str">
        <f t="shared" si="1882"/>
        <v/>
      </c>
    </row>
    <row r="4453" spans="2:26" s="29" customFormat="1" x14ac:dyDescent="0.25">
      <c r="B4453" s="29" t="str">
        <f t="shared" si="1877"/>
        <v>NYRK-07SEP1897</v>
      </c>
      <c r="C4453" s="29" t="s">
        <v>1700</v>
      </c>
      <c r="D4453" s="29" t="s">
        <v>598</v>
      </c>
      <c r="E4453" s="41" t="s">
        <v>2486</v>
      </c>
      <c r="F4453" s="29" t="s">
        <v>1700</v>
      </c>
      <c r="G4453" s="41" t="s">
        <v>2487</v>
      </c>
      <c r="H4453" s="30"/>
      <c r="I4453" s="30"/>
      <c r="J4453" s="30">
        <v>1</v>
      </c>
      <c r="K4453" s="30"/>
      <c r="L4453" s="30">
        <f t="shared" si="1878"/>
        <v>1</v>
      </c>
      <c r="M4453" s="31">
        <v>1</v>
      </c>
      <c r="N4453" s="31">
        <f t="shared" si="1879"/>
        <v>1</v>
      </c>
      <c r="O4453" s="29" t="s">
        <v>1702</v>
      </c>
      <c r="P4453" s="32" t="str">
        <f t="shared" si="1880"/>
        <v>07-Sep-1897</v>
      </c>
      <c r="Q4453" s="16"/>
      <c r="R4453" s="16" t="str">
        <f t="shared" si="1881"/>
        <v>x</v>
      </c>
      <c r="S4453" s="16" t="str">
        <f t="shared" si="1881"/>
        <v>x</v>
      </c>
      <c r="T4453" s="33"/>
      <c r="U4453" s="46" t="str">
        <f t="shared" si="1882"/>
        <v/>
      </c>
      <c r="V4453" s="46">
        <f t="shared" si="1882"/>
        <v>1</v>
      </c>
      <c r="W4453" s="46" t="str">
        <f t="shared" si="1882"/>
        <v/>
      </c>
      <c r="X4453" s="46" t="str">
        <f t="shared" si="1882"/>
        <v/>
      </c>
    </row>
    <row r="4454" spans="2:26" s="29" customFormat="1" x14ac:dyDescent="0.25">
      <c r="B4454" s="29" t="str">
        <f t="shared" si="1877"/>
        <v>NYRK-17MAY1899</v>
      </c>
      <c r="C4454" s="29" t="s">
        <v>1700</v>
      </c>
      <c r="D4454" s="29" t="s">
        <v>2224</v>
      </c>
      <c r="E4454" s="41" t="s">
        <v>2184</v>
      </c>
      <c r="F4454" s="29" t="s">
        <v>1700</v>
      </c>
      <c r="G4454" s="41" t="s">
        <v>2488</v>
      </c>
      <c r="H4454" s="30"/>
      <c r="I4454" s="30"/>
      <c r="J4454" s="30">
        <v>0</v>
      </c>
      <c r="K4454" s="30"/>
      <c r="L4454" s="30">
        <f t="shared" si="1878"/>
        <v>0</v>
      </c>
      <c r="M4454" s="31">
        <v>1</v>
      </c>
      <c r="N4454" s="31" t="str">
        <f t="shared" si="1879"/>
        <v/>
      </c>
      <c r="O4454" s="29" t="s">
        <v>1702</v>
      </c>
      <c r="P4454" s="32" t="str">
        <f t="shared" si="1880"/>
        <v>17-May-1899</v>
      </c>
      <c r="Q4454" s="16"/>
      <c r="R4454" s="16" t="str">
        <f t="shared" si="1881"/>
        <v/>
      </c>
      <c r="S4454" s="16" t="str">
        <f t="shared" si="1881"/>
        <v/>
      </c>
      <c r="T4454" s="33"/>
      <c r="U4454" s="46" t="str">
        <f t="shared" si="1882"/>
        <v/>
      </c>
      <c r="V4454" s="46">
        <f t="shared" si="1882"/>
        <v>0</v>
      </c>
      <c r="W4454" s="46" t="str">
        <f t="shared" si="1882"/>
        <v/>
      </c>
      <c r="X4454" s="46" t="str">
        <f t="shared" si="1882"/>
        <v/>
      </c>
    </row>
    <row r="4455" spans="2:26" s="29" customFormat="1" x14ac:dyDescent="0.25">
      <c r="B4455" s="29" t="str">
        <f t="shared" si="1877"/>
        <v>NYRK-18NOV1900</v>
      </c>
      <c r="C4455" s="29" t="s">
        <v>1700</v>
      </c>
      <c r="D4455" s="29" t="s">
        <v>598</v>
      </c>
      <c r="E4455" s="41" t="s">
        <v>2489</v>
      </c>
      <c r="F4455" s="29" t="s">
        <v>1700</v>
      </c>
      <c r="G4455" s="41" t="s">
        <v>2490</v>
      </c>
      <c r="H4455" s="30"/>
      <c r="I4455" s="30"/>
      <c r="J4455" s="30">
        <v>2</v>
      </c>
      <c r="K4455" s="30"/>
      <c r="L4455" s="30">
        <f t="shared" si="1878"/>
        <v>2</v>
      </c>
      <c r="M4455" s="31">
        <v>1</v>
      </c>
      <c r="N4455" s="31">
        <f t="shared" si="1879"/>
        <v>1</v>
      </c>
      <c r="O4455" s="29" t="s">
        <v>1702</v>
      </c>
      <c r="P4455" s="32" t="str">
        <f t="shared" si="1880"/>
        <v>18-Nov-1900</v>
      </c>
      <c r="Q4455" s="16"/>
      <c r="R4455" s="16" t="str">
        <f t="shared" si="1881"/>
        <v>x</v>
      </c>
      <c r="S4455" s="16" t="str">
        <f t="shared" si="1881"/>
        <v>x</v>
      </c>
      <c r="T4455" s="33"/>
      <c r="U4455" s="46" t="str">
        <f t="shared" si="1882"/>
        <v/>
      </c>
      <c r="V4455" s="46">
        <f t="shared" si="1882"/>
        <v>2</v>
      </c>
      <c r="W4455" s="46" t="str">
        <f t="shared" si="1882"/>
        <v/>
      </c>
      <c r="X4455" s="46" t="str">
        <f t="shared" si="1882"/>
        <v/>
      </c>
    </row>
    <row r="4456" spans="2:26" s="29" customFormat="1" x14ac:dyDescent="0.25">
      <c r="B4456" s="29" t="str">
        <f t="shared" si="1877"/>
        <v>NYRK-24FEB1901</v>
      </c>
      <c r="C4456" s="29" t="s">
        <v>1700</v>
      </c>
      <c r="D4456" s="29" t="s">
        <v>598</v>
      </c>
      <c r="E4456" s="41" t="s">
        <v>2491</v>
      </c>
      <c r="F4456" s="29" t="s">
        <v>1700</v>
      </c>
      <c r="G4456" s="41" t="s">
        <v>2492</v>
      </c>
      <c r="H4456" s="30"/>
      <c r="I4456" s="30"/>
      <c r="J4456" s="30">
        <v>1</v>
      </c>
      <c r="K4456" s="30"/>
      <c r="L4456" s="30">
        <f t="shared" si="1878"/>
        <v>1</v>
      </c>
      <c r="M4456" s="31">
        <v>1</v>
      </c>
      <c r="N4456" s="31">
        <f t="shared" si="1879"/>
        <v>1</v>
      </c>
      <c r="O4456" s="29" t="s">
        <v>1702</v>
      </c>
      <c r="P4456" s="32" t="str">
        <f t="shared" si="1880"/>
        <v>24-Feb-1901</v>
      </c>
      <c r="Q4456" s="16"/>
      <c r="R4456" s="16" t="str">
        <f t="shared" si="1881"/>
        <v>x</v>
      </c>
      <c r="S4456" s="16" t="str">
        <f t="shared" si="1881"/>
        <v>x</v>
      </c>
      <c r="T4456" s="33"/>
      <c r="U4456" s="46" t="str">
        <f t="shared" si="1882"/>
        <v/>
      </c>
      <c r="V4456" s="46">
        <f t="shared" si="1882"/>
        <v>1</v>
      </c>
      <c r="W4456" s="46" t="str">
        <f t="shared" si="1882"/>
        <v/>
      </c>
      <c r="X4456" s="46" t="str">
        <f t="shared" si="1882"/>
        <v/>
      </c>
    </row>
    <row r="4457" spans="2:26" s="29" customFormat="1" x14ac:dyDescent="0.25">
      <c r="B4457" s="29" t="str">
        <f t="shared" si="1877"/>
        <v>NYRK-03MAY1903</v>
      </c>
      <c r="C4457" s="29" t="s">
        <v>1700</v>
      </c>
      <c r="D4457" s="29" t="s">
        <v>155</v>
      </c>
      <c r="E4457" s="41" t="s">
        <v>1391</v>
      </c>
      <c r="F4457" s="29" t="s">
        <v>1700</v>
      </c>
      <c r="G4457" s="41" t="s">
        <v>2493</v>
      </c>
      <c r="H4457" s="30">
        <v>0</v>
      </c>
      <c r="I4457" s="30">
        <v>1</v>
      </c>
      <c r="J4457" s="30">
        <v>3</v>
      </c>
      <c r="K4457" s="30"/>
      <c r="L4457" s="30">
        <f t="shared" si="1878"/>
        <v>4</v>
      </c>
      <c r="M4457" s="31">
        <v>1</v>
      </c>
      <c r="N4457" s="31">
        <f t="shared" si="1879"/>
        <v>1</v>
      </c>
      <c r="O4457" s="29" t="s">
        <v>1702</v>
      </c>
      <c r="P4457" s="32" t="str">
        <f t="shared" si="1880"/>
        <v>03-May-1903</v>
      </c>
      <c r="Q4457" s="16"/>
      <c r="R4457" s="16" t="str">
        <f t="shared" si="1881"/>
        <v>x</v>
      </c>
      <c r="S4457" s="16" t="str">
        <f t="shared" si="1881"/>
        <v>x</v>
      </c>
      <c r="T4457" s="33"/>
      <c r="U4457" s="46" t="str">
        <f t="shared" si="1882"/>
        <v/>
      </c>
      <c r="V4457" s="46">
        <f t="shared" si="1882"/>
        <v>4</v>
      </c>
      <c r="W4457" s="46" t="str">
        <f t="shared" si="1882"/>
        <v/>
      </c>
      <c r="X4457" s="46" t="str">
        <f t="shared" si="1882"/>
        <v/>
      </c>
    </row>
    <row r="4458" spans="2:26" s="29" customFormat="1" x14ac:dyDescent="0.25">
      <c r="B4458" s="29" t="str">
        <f t="shared" si="1877"/>
        <v>NYRK-14JUN1903</v>
      </c>
      <c r="C4458" s="29" t="s">
        <v>1700</v>
      </c>
      <c r="D4458" s="29" t="s">
        <v>155</v>
      </c>
      <c r="E4458" s="41" t="s">
        <v>1651</v>
      </c>
      <c r="F4458" s="29" t="s">
        <v>1700</v>
      </c>
      <c r="G4458" s="41" t="s">
        <v>2511</v>
      </c>
      <c r="H4458" s="30">
        <v>0</v>
      </c>
      <c r="I4458" s="30">
        <v>0</v>
      </c>
      <c r="J4458" s="30">
        <v>1</v>
      </c>
      <c r="K4458" s="30"/>
      <c r="L4458" s="30">
        <f t="shared" si="1878"/>
        <v>1</v>
      </c>
      <c r="M4458" s="31">
        <v>1</v>
      </c>
      <c r="N4458" s="31">
        <f t="shared" si="1879"/>
        <v>1</v>
      </c>
      <c r="O4458" s="29" t="s">
        <v>1702</v>
      </c>
      <c r="P4458" s="32" t="str">
        <f t="shared" si="1880"/>
        <v>14-Jun-1903</v>
      </c>
      <c r="Q4458" s="16"/>
      <c r="R4458" s="16" t="str">
        <f t="shared" si="1881"/>
        <v>x</v>
      </c>
      <c r="S4458" s="16" t="str">
        <f t="shared" si="1881"/>
        <v>x</v>
      </c>
      <c r="T4458" s="33"/>
      <c r="U4458" s="46" t="str">
        <f t="shared" si="1882"/>
        <v/>
      </c>
      <c r="V4458" s="46">
        <f t="shared" si="1882"/>
        <v>1</v>
      </c>
      <c r="W4458" s="46" t="str">
        <f t="shared" si="1882"/>
        <v/>
      </c>
      <c r="X4458" s="46" t="str">
        <f t="shared" si="1882"/>
        <v/>
      </c>
    </row>
    <row r="4459" spans="2:26" s="29" customFormat="1" x14ac:dyDescent="0.25">
      <c r="B4459" s="29" t="str">
        <f t="shared" si="1877"/>
        <v>NYRK-22AUG1903</v>
      </c>
      <c r="C4459" s="29" t="s">
        <v>1700</v>
      </c>
      <c r="D4459" s="29" t="s">
        <v>155</v>
      </c>
      <c r="E4459" s="41" t="s">
        <v>753</v>
      </c>
      <c r="F4459" s="29" t="s">
        <v>1700</v>
      </c>
      <c r="G4459" s="41" t="s">
        <v>1654</v>
      </c>
      <c r="H4459" s="30">
        <v>0</v>
      </c>
      <c r="I4459" s="30">
        <v>2</v>
      </c>
      <c r="J4459" s="30">
        <v>3</v>
      </c>
      <c r="K4459" s="30"/>
      <c r="L4459" s="30">
        <f t="shared" si="1878"/>
        <v>5</v>
      </c>
      <c r="M4459" s="31">
        <v>1</v>
      </c>
      <c r="N4459" s="31">
        <f t="shared" si="1879"/>
        <v>1</v>
      </c>
      <c r="O4459" s="29" t="s">
        <v>1702</v>
      </c>
      <c r="P4459" s="32" t="str">
        <f t="shared" si="1880"/>
        <v>22-Aug-1903</v>
      </c>
      <c r="Q4459" s="16"/>
      <c r="R4459" s="16" t="str">
        <f t="shared" si="1881"/>
        <v>x</v>
      </c>
      <c r="S4459" s="16" t="str">
        <f t="shared" si="1881"/>
        <v>x</v>
      </c>
      <c r="T4459" s="33"/>
      <c r="U4459" s="46" t="str">
        <f t="shared" si="1882"/>
        <v/>
      </c>
      <c r="V4459" s="46">
        <f t="shared" si="1882"/>
        <v>5</v>
      </c>
      <c r="W4459" s="46" t="str">
        <f t="shared" si="1882"/>
        <v/>
      </c>
      <c r="X4459" s="46" t="str">
        <f t="shared" si="1882"/>
        <v/>
      </c>
    </row>
    <row r="4460" spans="2:26" s="29" customFormat="1" x14ac:dyDescent="0.25">
      <c r="B4460" s="29" t="str">
        <f t="shared" si="1877"/>
        <v>NYRK-12SEP1903</v>
      </c>
      <c r="C4460" s="29" t="s">
        <v>1700</v>
      </c>
      <c r="D4460" s="29" t="s">
        <v>155</v>
      </c>
      <c r="E4460" s="41" t="s">
        <v>1395</v>
      </c>
      <c r="F4460" s="29" t="s">
        <v>1700</v>
      </c>
      <c r="G4460" s="41" t="s">
        <v>755</v>
      </c>
      <c r="H4460" s="30">
        <v>0</v>
      </c>
      <c r="I4460" s="30">
        <v>1</v>
      </c>
      <c r="J4460" s="30">
        <v>3</v>
      </c>
      <c r="K4460" s="30"/>
      <c r="L4460" s="30">
        <f t="shared" si="1878"/>
        <v>4</v>
      </c>
      <c r="M4460" s="31">
        <v>1</v>
      </c>
      <c r="N4460" s="31">
        <f t="shared" si="1879"/>
        <v>1</v>
      </c>
      <c r="O4460" s="29" t="s">
        <v>1702</v>
      </c>
      <c r="P4460" s="32" t="str">
        <f t="shared" si="1880"/>
        <v>12-Sep-1903</v>
      </c>
      <c r="Q4460" s="16"/>
      <c r="R4460" s="16" t="str">
        <f t="shared" si="1881"/>
        <v>x</v>
      </c>
      <c r="S4460" s="16" t="str">
        <f t="shared" si="1881"/>
        <v>x</v>
      </c>
      <c r="T4460" s="33"/>
      <c r="U4460" s="46" t="str">
        <f t="shared" si="1882"/>
        <v/>
      </c>
      <c r="V4460" s="46">
        <f t="shared" si="1882"/>
        <v>4</v>
      </c>
      <c r="W4460" s="46" t="str">
        <f t="shared" si="1882"/>
        <v/>
      </c>
      <c r="X4460" s="46" t="str">
        <f t="shared" si="1882"/>
        <v/>
      </c>
    </row>
    <row r="4461" spans="2:26" s="29" customFormat="1" x14ac:dyDescent="0.25">
      <c r="B4461" s="29" t="str">
        <f t="shared" si="1877"/>
        <v>NYRK-25OCT1903</v>
      </c>
      <c r="C4461" s="29" t="s">
        <v>1700</v>
      </c>
      <c r="D4461" s="29" t="s">
        <v>155</v>
      </c>
      <c r="E4461" s="41" t="s">
        <v>1656</v>
      </c>
      <c r="F4461" s="29" t="s">
        <v>1700</v>
      </c>
      <c r="G4461" s="41" t="s">
        <v>2512</v>
      </c>
      <c r="H4461" s="30">
        <v>0</v>
      </c>
      <c r="I4461" s="30">
        <v>1</v>
      </c>
      <c r="J4461" s="30">
        <v>2</v>
      </c>
      <c r="K4461" s="30"/>
      <c r="L4461" s="30">
        <f t="shared" si="1878"/>
        <v>3</v>
      </c>
      <c r="M4461" s="31">
        <v>1</v>
      </c>
      <c r="N4461" s="31">
        <f t="shared" si="1879"/>
        <v>1</v>
      </c>
      <c r="O4461" s="29" t="s">
        <v>1702</v>
      </c>
      <c r="P4461" s="32" t="str">
        <f t="shared" si="1880"/>
        <v>25-Oct-1903</v>
      </c>
      <c r="Q4461" s="16"/>
      <c r="R4461" s="16" t="str">
        <f>IF($L4461&gt;0,"x","")</f>
        <v>x</v>
      </c>
      <c r="S4461" s="16" t="str">
        <f>IF($L4461&gt;0,"x","")</f>
        <v>x</v>
      </c>
      <c r="T4461" s="33"/>
      <c r="U4461" s="46" t="str">
        <f t="shared" si="1882"/>
        <v/>
      </c>
      <c r="V4461" s="46">
        <f t="shared" si="1882"/>
        <v>3</v>
      </c>
      <c r="W4461" s="46" t="str">
        <f t="shared" si="1882"/>
        <v/>
      </c>
      <c r="X4461" s="46" t="str">
        <f t="shared" si="1882"/>
        <v/>
      </c>
    </row>
    <row r="4462" spans="2:26" s="29" customFormat="1" x14ac:dyDescent="0.25">
      <c r="B4462" s="29" t="str">
        <f t="shared" si="1877"/>
        <v>NYRK-15NOV1903</v>
      </c>
      <c r="C4462" s="29" t="s">
        <v>1700</v>
      </c>
      <c r="D4462" s="29" t="s">
        <v>2224</v>
      </c>
      <c r="E4462" s="42" t="s">
        <v>1397</v>
      </c>
      <c r="F4462" s="29" t="s">
        <v>1700</v>
      </c>
      <c r="G4462" s="42" t="s">
        <v>3867</v>
      </c>
      <c r="H4462" s="30">
        <v>0</v>
      </c>
      <c r="I4462" s="30">
        <v>1</v>
      </c>
      <c r="J4462" s="30">
        <v>6</v>
      </c>
      <c r="K4462" s="30"/>
      <c r="L4462" s="30">
        <f t="shared" si="1878"/>
        <v>7</v>
      </c>
      <c r="M4462" s="31">
        <v>1</v>
      </c>
      <c r="N4462" s="31">
        <f t="shared" si="1879"/>
        <v>1</v>
      </c>
      <c r="O4462" s="29" t="s">
        <v>1702</v>
      </c>
      <c r="P4462" s="32" t="str">
        <f t="shared" si="1880"/>
        <v>15-Nov-1903</v>
      </c>
      <c r="Q4462" s="16"/>
      <c r="R4462" s="16" t="str">
        <f>IF($L4462&gt;0,"x","")</f>
        <v>x</v>
      </c>
      <c r="S4462" s="16" t="str">
        <f>IF($L4462&gt;0,"x","")</f>
        <v>x</v>
      </c>
      <c r="T4462" s="33"/>
      <c r="U4462" s="46" t="str">
        <f t="shared" si="1882"/>
        <v/>
      </c>
      <c r="V4462" s="46">
        <f t="shared" si="1882"/>
        <v>7</v>
      </c>
      <c r="W4462" s="46" t="str">
        <f t="shared" si="1882"/>
        <v/>
      </c>
      <c r="X4462" s="46" t="str">
        <f t="shared" si="1882"/>
        <v/>
      </c>
    </row>
    <row r="4463" spans="2:26" s="29" customFormat="1" x14ac:dyDescent="0.25">
      <c r="B4463" s="29" t="str">
        <f t="shared" ref="B4463:B4485" si="1883">CONCATENATE("NYRK","-",LEFT(P4463,2),UPPER(MID(P4463,4,3)),RIGHT(P4463,4))</f>
        <v>NYRK-10JAN1904</v>
      </c>
      <c r="C4463" s="29" t="s">
        <v>1700</v>
      </c>
      <c r="D4463" s="45" t="s">
        <v>2224</v>
      </c>
      <c r="E4463" s="42" t="s">
        <v>1403</v>
      </c>
      <c r="F4463" s="29" t="s">
        <v>1700</v>
      </c>
      <c r="G4463" s="42" t="s">
        <v>2689</v>
      </c>
      <c r="H4463" s="30"/>
      <c r="I4463" s="30"/>
      <c r="J4463" s="30">
        <v>13</v>
      </c>
      <c r="K4463" s="30"/>
      <c r="L4463" s="30">
        <f t="shared" ref="L4463:L4485" si="1884">SUM(H4463:K4463)</f>
        <v>13</v>
      </c>
      <c r="M4463" s="31">
        <v>1</v>
      </c>
      <c r="N4463" s="31">
        <f t="shared" ref="N4463:N4485" si="1885">IF(L4463&gt;0,1,"")</f>
        <v>1</v>
      </c>
      <c r="O4463" s="29" t="s">
        <v>1702</v>
      </c>
      <c r="P4463" s="32" t="str">
        <f t="shared" ref="P4463:P4485" si="1886">IF(LEN(G4463)=10,CONCATENATE("0",G4463),G4463)</f>
        <v>10-Jan-1904</v>
      </c>
      <c r="Q4463" s="16"/>
      <c r="R4463" s="16" t="str">
        <f t="shared" si="1881"/>
        <v>x</v>
      </c>
      <c r="S4463" s="16" t="str">
        <f t="shared" si="1881"/>
        <v>x</v>
      </c>
      <c r="T4463" s="12"/>
      <c r="U4463" s="46" t="str">
        <f t="shared" si="1882"/>
        <v/>
      </c>
      <c r="V4463" s="46">
        <f t="shared" si="1882"/>
        <v>13</v>
      </c>
      <c r="W4463" s="46" t="str">
        <f t="shared" si="1882"/>
        <v/>
      </c>
      <c r="X4463" s="46" t="str">
        <f t="shared" si="1882"/>
        <v/>
      </c>
      <c r="Z4463" s="29" t="s">
        <v>2799</v>
      </c>
    </row>
    <row r="4464" spans="2:26" s="29" customFormat="1" x14ac:dyDescent="0.25">
      <c r="B4464" s="29" t="str">
        <f t="shared" si="1883"/>
        <v>NYRK-08FEB1904</v>
      </c>
      <c r="C4464" s="29" t="s">
        <v>1700</v>
      </c>
      <c r="D4464" s="45" t="s">
        <v>2224</v>
      </c>
      <c r="E4464" s="42" t="s">
        <v>1663</v>
      </c>
      <c r="F4464" s="29" t="s">
        <v>1700</v>
      </c>
      <c r="G4464" s="42" t="s">
        <v>1664</v>
      </c>
      <c r="H4464" s="30">
        <v>0</v>
      </c>
      <c r="I4464" s="30">
        <v>0</v>
      </c>
      <c r="J4464" s="30">
        <v>0</v>
      </c>
      <c r="K4464" s="30"/>
      <c r="L4464" s="30">
        <f t="shared" si="1884"/>
        <v>0</v>
      </c>
      <c r="M4464" s="31">
        <v>1</v>
      </c>
      <c r="N4464" s="31" t="str">
        <f t="shared" si="1885"/>
        <v/>
      </c>
      <c r="O4464" s="29" t="s">
        <v>1702</v>
      </c>
      <c r="P4464" s="32" t="str">
        <f t="shared" si="1886"/>
        <v>08-Feb-1904</v>
      </c>
      <c r="Q4464" s="16"/>
      <c r="R4464" s="16" t="str">
        <f t="shared" si="1881"/>
        <v/>
      </c>
      <c r="S4464" s="16" t="str">
        <f t="shared" si="1881"/>
        <v/>
      </c>
      <c r="T4464" s="33"/>
      <c r="U4464" s="46" t="str">
        <f t="shared" si="1882"/>
        <v/>
      </c>
      <c r="V4464" s="46">
        <f t="shared" si="1882"/>
        <v>0</v>
      </c>
      <c r="W4464" s="46" t="str">
        <f t="shared" si="1882"/>
        <v/>
      </c>
      <c r="X4464" s="46" t="str">
        <f t="shared" si="1882"/>
        <v/>
      </c>
    </row>
    <row r="4465" spans="2:24" s="29" customFormat="1" x14ac:dyDescent="0.25">
      <c r="B4465" s="29" t="str">
        <f t="shared" si="1883"/>
        <v>NYRK-06MAR1904</v>
      </c>
      <c r="C4465" s="29" t="s">
        <v>1700</v>
      </c>
      <c r="D4465" s="45" t="s">
        <v>2224</v>
      </c>
      <c r="E4465" s="42" t="s">
        <v>1665</v>
      </c>
      <c r="F4465" s="29" t="s">
        <v>1700</v>
      </c>
      <c r="G4465" s="42" t="s">
        <v>2690</v>
      </c>
      <c r="H4465" s="30">
        <v>0</v>
      </c>
      <c r="I4465" s="30">
        <v>0</v>
      </c>
      <c r="J4465" s="30">
        <v>0</v>
      </c>
      <c r="K4465" s="30"/>
      <c r="L4465" s="30">
        <f t="shared" si="1884"/>
        <v>0</v>
      </c>
      <c r="M4465" s="31">
        <v>1</v>
      </c>
      <c r="N4465" s="31" t="str">
        <f t="shared" si="1885"/>
        <v/>
      </c>
      <c r="O4465" s="29" t="s">
        <v>1702</v>
      </c>
      <c r="P4465" s="32" t="str">
        <f t="shared" si="1886"/>
        <v>06-Mar-1904</v>
      </c>
      <c r="Q4465" s="16"/>
      <c r="R4465" s="16" t="str">
        <f t="shared" si="1881"/>
        <v/>
      </c>
      <c r="S4465" s="16" t="str">
        <f t="shared" si="1881"/>
        <v/>
      </c>
      <c r="T4465" s="33"/>
      <c r="U4465" s="46" t="str">
        <f t="shared" si="1882"/>
        <v/>
      </c>
      <c r="V4465" s="46">
        <f t="shared" si="1882"/>
        <v>0</v>
      </c>
      <c r="W4465" s="46" t="str">
        <f t="shared" si="1882"/>
        <v/>
      </c>
      <c r="X4465" s="46" t="str">
        <f t="shared" si="1882"/>
        <v/>
      </c>
    </row>
    <row r="4466" spans="2:24" s="29" customFormat="1" x14ac:dyDescent="0.25">
      <c r="B4466" s="29" t="str">
        <f t="shared" si="1883"/>
        <v>NYRK-24JUL1904</v>
      </c>
      <c r="C4466" s="29" t="s">
        <v>1700</v>
      </c>
      <c r="D4466" s="45" t="s">
        <v>2224</v>
      </c>
      <c r="E4466" s="42" t="s">
        <v>772</v>
      </c>
      <c r="F4466" s="29" t="s">
        <v>1700</v>
      </c>
      <c r="G4466" s="42" t="s">
        <v>762</v>
      </c>
      <c r="H4466" s="30">
        <v>0</v>
      </c>
      <c r="I4466" s="30">
        <v>0</v>
      </c>
      <c r="J4466" s="30">
        <v>6</v>
      </c>
      <c r="K4466" s="30"/>
      <c r="L4466" s="30">
        <f t="shared" si="1884"/>
        <v>6</v>
      </c>
      <c r="M4466" s="31">
        <v>1</v>
      </c>
      <c r="N4466" s="31">
        <f t="shared" si="1885"/>
        <v>1</v>
      </c>
      <c r="O4466" s="29" t="s">
        <v>1702</v>
      </c>
      <c r="P4466" s="32" t="str">
        <f t="shared" si="1886"/>
        <v>24-Jul-1904</v>
      </c>
      <c r="Q4466" s="16"/>
      <c r="R4466" s="16" t="str">
        <f t="shared" si="1881"/>
        <v>x</v>
      </c>
      <c r="S4466" s="16" t="str">
        <f t="shared" si="1881"/>
        <v>x</v>
      </c>
      <c r="T4466" s="33"/>
      <c r="U4466" s="46" t="str">
        <f t="shared" si="1882"/>
        <v/>
      </c>
      <c r="V4466" s="46">
        <f t="shared" si="1882"/>
        <v>6</v>
      </c>
      <c r="W4466" s="46" t="str">
        <f t="shared" si="1882"/>
        <v/>
      </c>
      <c r="X4466" s="46" t="str">
        <f t="shared" si="1882"/>
        <v/>
      </c>
    </row>
    <row r="4467" spans="2:24" s="29" customFormat="1" x14ac:dyDescent="0.25">
      <c r="B4467" s="29" t="str">
        <f t="shared" si="1883"/>
        <v>NYRK-21AUG1904</v>
      </c>
      <c r="C4467" s="29" t="s">
        <v>1700</v>
      </c>
      <c r="D4467" s="45" t="s">
        <v>2224</v>
      </c>
      <c r="E4467" s="42" t="s">
        <v>1670</v>
      </c>
      <c r="F4467" s="29" t="s">
        <v>1700</v>
      </c>
      <c r="G4467" s="42" t="s">
        <v>2691</v>
      </c>
      <c r="H4467" s="30">
        <v>0</v>
      </c>
      <c r="I4467" s="30">
        <v>0</v>
      </c>
      <c r="J4467" s="30">
        <v>0</v>
      </c>
      <c r="K4467" s="30"/>
      <c r="L4467" s="30">
        <f t="shared" si="1884"/>
        <v>0</v>
      </c>
      <c r="M4467" s="31">
        <v>1</v>
      </c>
      <c r="N4467" s="31" t="str">
        <f t="shared" si="1885"/>
        <v/>
      </c>
      <c r="O4467" s="29" t="s">
        <v>1702</v>
      </c>
      <c r="P4467" s="32" t="str">
        <f t="shared" si="1886"/>
        <v>21-Aug-1904</v>
      </c>
      <c r="Q4467" s="16"/>
      <c r="R4467" s="16" t="str">
        <f t="shared" si="1881"/>
        <v/>
      </c>
      <c r="S4467" s="16" t="str">
        <f t="shared" si="1881"/>
        <v/>
      </c>
      <c r="T4467" s="33"/>
      <c r="U4467" s="46" t="str">
        <f t="shared" si="1882"/>
        <v/>
      </c>
      <c r="V4467" s="46">
        <f t="shared" si="1882"/>
        <v>0</v>
      </c>
      <c r="W4467" s="46" t="str">
        <f t="shared" si="1882"/>
        <v/>
      </c>
      <c r="X4467" s="46" t="str">
        <f t="shared" si="1882"/>
        <v/>
      </c>
    </row>
    <row r="4468" spans="2:24" s="29" customFormat="1" x14ac:dyDescent="0.25">
      <c r="B4468" s="29" t="str">
        <f t="shared" si="1883"/>
        <v>NYRK-18SEP1904</v>
      </c>
      <c r="C4468" s="29" t="s">
        <v>1700</v>
      </c>
      <c r="D4468" s="45" t="s">
        <v>2224</v>
      </c>
      <c r="E4468" s="42" t="s">
        <v>1671</v>
      </c>
      <c r="F4468" s="29" t="s">
        <v>1700</v>
      </c>
      <c r="G4468" s="42" t="s">
        <v>2692</v>
      </c>
      <c r="H4468" s="30">
        <v>0</v>
      </c>
      <c r="I4468" s="30">
        <v>0</v>
      </c>
      <c r="J4468" s="30">
        <v>2</v>
      </c>
      <c r="K4468" s="30"/>
      <c r="L4468" s="30">
        <f t="shared" si="1884"/>
        <v>2</v>
      </c>
      <c r="M4468" s="31">
        <v>1</v>
      </c>
      <c r="N4468" s="31">
        <f t="shared" si="1885"/>
        <v>1</v>
      </c>
      <c r="O4468" s="29" t="s">
        <v>1702</v>
      </c>
      <c r="P4468" s="32" t="str">
        <f t="shared" si="1886"/>
        <v>18-Sep-1904</v>
      </c>
      <c r="Q4468" s="16"/>
      <c r="R4468" s="16" t="str">
        <f t="shared" si="1881"/>
        <v>x</v>
      </c>
      <c r="S4468" s="16" t="str">
        <f t="shared" si="1881"/>
        <v>x</v>
      </c>
      <c r="T4468" s="33"/>
      <c r="U4468" s="46" t="str">
        <f t="shared" si="1882"/>
        <v/>
      </c>
      <c r="V4468" s="46">
        <f t="shared" si="1882"/>
        <v>2</v>
      </c>
      <c r="W4468" s="46" t="str">
        <f t="shared" si="1882"/>
        <v/>
      </c>
      <c r="X4468" s="46" t="str">
        <f t="shared" si="1882"/>
        <v/>
      </c>
    </row>
    <row r="4469" spans="2:24" s="29" customFormat="1" x14ac:dyDescent="0.25">
      <c r="B4469" s="29" t="str">
        <f t="shared" si="1883"/>
        <v>NYRK-16OCT1904</v>
      </c>
      <c r="C4469" s="29" t="s">
        <v>1700</v>
      </c>
      <c r="D4469" s="45" t="s">
        <v>2224</v>
      </c>
      <c r="E4469" s="42" t="s">
        <v>1770</v>
      </c>
      <c r="F4469" s="29" t="s">
        <v>1700</v>
      </c>
      <c r="G4469" s="42" t="s">
        <v>2693</v>
      </c>
      <c r="H4469" s="30"/>
      <c r="I4469" s="30">
        <v>0</v>
      </c>
      <c r="J4469" s="30">
        <v>0</v>
      </c>
      <c r="K4469" s="30"/>
      <c r="L4469" s="30">
        <f t="shared" si="1884"/>
        <v>0</v>
      </c>
      <c r="M4469" s="31">
        <v>1</v>
      </c>
      <c r="N4469" s="31" t="str">
        <f t="shared" si="1885"/>
        <v/>
      </c>
      <c r="O4469" s="29" t="s">
        <v>1702</v>
      </c>
      <c r="P4469" s="32" t="str">
        <f t="shared" si="1886"/>
        <v>16-Oct-1904</v>
      </c>
      <c r="Q4469" s="16"/>
      <c r="R4469" s="16" t="str">
        <f t="shared" si="1881"/>
        <v/>
      </c>
      <c r="S4469" s="16" t="str">
        <f t="shared" si="1881"/>
        <v/>
      </c>
      <c r="T4469" s="33"/>
      <c r="U4469" s="46" t="str">
        <f t="shared" si="1882"/>
        <v/>
      </c>
      <c r="V4469" s="46">
        <f t="shared" si="1882"/>
        <v>0</v>
      </c>
      <c r="W4469" s="46" t="str">
        <f t="shared" si="1882"/>
        <v/>
      </c>
      <c r="X4469" s="46" t="str">
        <f t="shared" si="1882"/>
        <v/>
      </c>
    </row>
    <row r="4470" spans="2:24" s="29" customFormat="1" x14ac:dyDescent="0.25">
      <c r="B4470" s="29" t="str">
        <f t="shared" si="1883"/>
        <v>NYRK-13NOV1904</v>
      </c>
      <c r="C4470" s="29" t="s">
        <v>1700</v>
      </c>
      <c r="D4470" s="45" t="s">
        <v>2224</v>
      </c>
      <c r="E4470" s="42" t="s">
        <v>1772</v>
      </c>
      <c r="F4470" s="29" t="s">
        <v>1700</v>
      </c>
      <c r="G4470" s="42" t="s">
        <v>2694</v>
      </c>
      <c r="H4470" s="30">
        <v>0</v>
      </c>
      <c r="I4470" s="30">
        <v>0</v>
      </c>
      <c r="J4470" s="30">
        <v>0</v>
      </c>
      <c r="K4470" s="30"/>
      <c r="L4470" s="30">
        <f t="shared" si="1884"/>
        <v>0</v>
      </c>
      <c r="M4470" s="31">
        <v>1</v>
      </c>
      <c r="N4470" s="31" t="str">
        <f t="shared" si="1885"/>
        <v/>
      </c>
      <c r="O4470" s="29" t="s">
        <v>1702</v>
      </c>
      <c r="P4470" s="32" t="str">
        <f t="shared" si="1886"/>
        <v>13-Nov-1904</v>
      </c>
      <c r="Q4470" s="16"/>
      <c r="R4470" s="16" t="str">
        <f t="shared" si="1881"/>
        <v/>
      </c>
      <c r="S4470" s="16" t="str">
        <f t="shared" si="1881"/>
        <v/>
      </c>
      <c r="T4470" s="33"/>
      <c r="U4470" s="46" t="str">
        <f t="shared" si="1882"/>
        <v/>
      </c>
      <c r="V4470" s="46">
        <f t="shared" si="1882"/>
        <v>0</v>
      </c>
      <c r="W4470" s="46" t="str">
        <f t="shared" si="1882"/>
        <v/>
      </c>
      <c r="X4470" s="46" t="str">
        <f t="shared" si="1882"/>
        <v/>
      </c>
    </row>
    <row r="4471" spans="2:24" s="29" customFormat="1" x14ac:dyDescent="0.25">
      <c r="B4471" s="29" t="str">
        <f t="shared" si="1883"/>
        <v>NYRK-12DEC1904</v>
      </c>
      <c r="C4471" s="29" t="s">
        <v>1700</v>
      </c>
      <c r="D4471" s="45" t="s">
        <v>2224</v>
      </c>
      <c r="E4471" s="42" t="s">
        <v>1340</v>
      </c>
      <c r="F4471" s="29" t="s">
        <v>1700</v>
      </c>
      <c r="G4471" s="42" t="s">
        <v>2695</v>
      </c>
      <c r="H4471" s="30">
        <v>0</v>
      </c>
      <c r="I4471" s="30">
        <v>0</v>
      </c>
      <c r="J4471" s="30">
        <v>0</v>
      </c>
      <c r="K4471" s="30"/>
      <c r="L4471" s="30">
        <f t="shared" si="1884"/>
        <v>0</v>
      </c>
      <c r="M4471" s="31">
        <v>1</v>
      </c>
      <c r="N4471" s="31" t="str">
        <f t="shared" si="1885"/>
        <v/>
      </c>
      <c r="O4471" s="29" t="s">
        <v>1702</v>
      </c>
      <c r="P4471" s="32" t="str">
        <f t="shared" si="1886"/>
        <v>12-Dec-1904</v>
      </c>
      <c r="Q4471" s="16"/>
      <c r="R4471" s="16" t="str">
        <f t="shared" si="1881"/>
        <v/>
      </c>
      <c r="S4471" s="16" t="str">
        <f t="shared" si="1881"/>
        <v/>
      </c>
      <c r="T4471" s="33"/>
      <c r="U4471" s="46" t="str">
        <f t="shared" si="1882"/>
        <v/>
      </c>
      <c r="V4471" s="46">
        <f t="shared" si="1882"/>
        <v>0</v>
      </c>
      <c r="W4471" s="46" t="str">
        <f t="shared" si="1882"/>
        <v/>
      </c>
      <c r="X4471" s="46" t="str">
        <f t="shared" si="1882"/>
        <v/>
      </c>
    </row>
    <row r="4472" spans="2:24" s="29" customFormat="1" x14ac:dyDescent="0.25">
      <c r="B4472" s="29" t="str">
        <f t="shared" ref="B4472:B4482" si="1887">CONCATENATE("NYRK","-",LEFT(P4472,2),UPPER(MID(P4472,4,3)),RIGHT(P4472,4))</f>
        <v>NYRK-15JAN1905</v>
      </c>
      <c r="C4472" s="29" t="s">
        <v>1700</v>
      </c>
      <c r="D4472" s="45" t="s">
        <v>2224</v>
      </c>
      <c r="E4472" s="42" t="s">
        <v>2636</v>
      </c>
      <c r="F4472" s="29" t="s">
        <v>1700</v>
      </c>
      <c r="G4472" s="42" t="s">
        <v>2696</v>
      </c>
      <c r="H4472" s="30">
        <v>0</v>
      </c>
      <c r="I4472" s="30"/>
      <c r="J4472" s="30">
        <v>0</v>
      </c>
      <c r="K4472" s="30"/>
      <c r="L4472" s="30">
        <f t="shared" ref="L4472:L4482" si="1888">SUM(H4472:K4472)</f>
        <v>0</v>
      </c>
      <c r="M4472" s="31">
        <v>1</v>
      </c>
      <c r="N4472" s="31" t="str">
        <f t="shared" ref="N4472:N4482" si="1889">IF(L4472&gt;0,1,"")</f>
        <v/>
      </c>
      <c r="O4472" s="29" t="s">
        <v>1702</v>
      </c>
      <c r="P4472" s="32" t="str">
        <f t="shared" ref="P4472:P4482" si="1890">IF(LEN(G4472)=10,CONCATENATE("0",G4472),G4472)</f>
        <v>15-Jan-1905</v>
      </c>
      <c r="Q4472" s="16"/>
      <c r="R4472" s="16" t="str">
        <f t="shared" si="1881"/>
        <v/>
      </c>
      <c r="S4472" s="16" t="str">
        <f t="shared" si="1881"/>
        <v/>
      </c>
      <c r="T4472" s="33"/>
      <c r="U4472" s="46" t="str">
        <f t="shared" si="1882"/>
        <v/>
      </c>
      <c r="V4472" s="46">
        <f t="shared" si="1882"/>
        <v>0</v>
      </c>
      <c r="W4472" s="46" t="str">
        <f t="shared" si="1882"/>
        <v/>
      </c>
      <c r="X4472" s="46" t="str">
        <f t="shared" si="1882"/>
        <v/>
      </c>
    </row>
    <row r="4473" spans="2:24" s="29" customFormat="1" x14ac:dyDescent="0.25">
      <c r="B4473" s="29" t="str">
        <f t="shared" si="1887"/>
        <v>NYRK-11FEB1905</v>
      </c>
      <c r="C4473" s="29" t="s">
        <v>1700</v>
      </c>
      <c r="D4473" s="45" t="s">
        <v>2224</v>
      </c>
      <c r="E4473" s="42" t="s">
        <v>981</v>
      </c>
      <c r="F4473" s="29" t="s">
        <v>1700</v>
      </c>
      <c r="G4473" s="42" t="s">
        <v>2637</v>
      </c>
      <c r="H4473" s="30">
        <v>0</v>
      </c>
      <c r="I4473" s="30">
        <v>0</v>
      </c>
      <c r="J4473" s="30">
        <v>0</v>
      </c>
      <c r="K4473" s="30"/>
      <c r="L4473" s="30">
        <f t="shared" si="1888"/>
        <v>0</v>
      </c>
      <c r="M4473" s="31">
        <v>1</v>
      </c>
      <c r="N4473" s="31" t="str">
        <f t="shared" si="1889"/>
        <v/>
      </c>
      <c r="O4473" s="29" t="s">
        <v>1702</v>
      </c>
      <c r="P4473" s="32" t="str">
        <f t="shared" si="1890"/>
        <v>11-Feb-1905</v>
      </c>
      <c r="Q4473" s="16"/>
      <c r="R4473" s="16" t="str">
        <f t="shared" si="1881"/>
        <v/>
      </c>
      <c r="S4473" s="16" t="str">
        <f t="shared" si="1881"/>
        <v/>
      </c>
      <c r="T4473" s="33"/>
      <c r="U4473" s="46" t="str">
        <f t="shared" si="1882"/>
        <v/>
      </c>
      <c r="V4473" s="46">
        <f t="shared" si="1882"/>
        <v>0</v>
      </c>
      <c r="W4473" s="46" t="str">
        <f t="shared" si="1882"/>
        <v/>
      </c>
      <c r="X4473" s="46" t="str">
        <f t="shared" si="1882"/>
        <v/>
      </c>
    </row>
    <row r="4474" spans="2:24" s="29" customFormat="1" x14ac:dyDescent="0.25">
      <c r="B4474" s="29" t="str">
        <f t="shared" si="1887"/>
        <v>NYRK-13MAR1905</v>
      </c>
      <c r="C4474" s="29" t="s">
        <v>1700</v>
      </c>
      <c r="D4474" s="45" t="s">
        <v>2224</v>
      </c>
      <c r="E4474" s="42" t="s">
        <v>2702</v>
      </c>
      <c r="F4474" s="29" t="s">
        <v>1700</v>
      </c>
      <c r="G4474" s="42" t="s">
        <v>2697</v>
      </c>
      <c r="H4474" s="30">
        <v>0</v>
      </c>
      <c r="I4474" s="30">
        <v>0</v>
      </c>
      <c r="J4474" s="30">
        <v>0</v>
      </c>
      <c r="K4474" s="30"/>
      <c r="L4474" s="30">
        <f t="shared" si="1888"/>
        <v>0</v>
      </c>
      <c r="M4474" s="31">
        <v>1</v>
      </c>
      <c r="N4474" s="31" t="str">
        <f t="shared" si="1889"/>
        <v/>
      </c>
      <c r="O4474" s="29" t="s">
        <v>1702</v>
      </c>
      <c r="P4474" s="32" t="str">
        <f t="shared" si="1890"/>
        <v>13-Mar-1905</v>
      </c>
      <c r="Q4474" s="16"/>
      <c r="R4474" s="16" t="str">
        <f t="shared" si="1881"/>
        <v/>
      </c>
      <c r="S4474" s="16" t="str">
        <f t="shared" si="1881"/>
        <v/>
      </c>
      <c r="T4474" s="33"/>
      <c r="U4474" s="46" t="str">
        <f t="shared" si="1882"/>
        <v/>
      </c>
      <c r="V4474" s="46">
        <f t="shared" si="1882"/>
        <v>0</v>
      </c>
      <c r="W4474" s="46" t="str">
        <f t="shared" si="1882"/>
        <v/>
      </c>
      <c r="X4474" s="46" t="str">
        <f t="shared" si="1882"/>
        <v/>
      </c>
    </row>
    <row r="4475" spans="2:24" s="29" customFormat="1" x14ac:dyDescent="0.25">
      <c r="B4475" s="29" t="str">
        <f>CONCATENATE("NYRK","-",LEFT(P4475,2),UPPER(MID(P4475,4,3)),RIGHT(P4475,4))</f>
        <v>NYRK-09APR1905</v>
      </c>
      <c r="C4475" s="29" t="s">
        <v>1700</v>
      </c>
      <c r="D4475" s="45" t="s">
        <v>2224</v>
      </c>
      <c r="E4475" s="42" t="s">
        <v>983</v>
      </c>
      <c r="F4475" s="29" t="s">
        <v>1700</v>
      </c>
      <c r="G4475" s="42" t="s">
        <v>2698</v>
      </c>
      <c r="H4475" s="30">
        <v>0</v>
      </c>
      <c r="I4475" s="30">
        <v>2</v>
      </c>
      <c r="J4475" s="30">
        <v>0</v>
      </c>
      <c r="K4475" s="30"/>
      <c r="L4475" s="30">
        <f>SUM(H4475:K4475)</f>
        <v>2</v>
      </c>
      <c r="M4475" s="31">
        <v>1</v>
      </c>
      <c r="N4475" s="31">
        <f>IF(L4475&gt;0,1,"")</f>
        <v>1</v>
      </c>
      <c r="O4475" s="29" t="s">
        <v>1702</v>
      </c>
      <c r="P4475" s="32" t="str">
        <f>IF(LEN(G4475)=10,CONCATENATE("0",G4475),G4475)</f>
        <v>09-Apr-1905</v>
      </c>
      <c r="Q4475" s="16"/>
      <c r="R4475" s="16" t="str">
        <f t="shared" si="1881"/>
        <v>x</v>
      </c>
      <c r="S4475" s="16" t="str">
        <f t="shared" si="1881"/>
        <v>x</v>
      </c>
      <c r="T4475" s="33"/>
      <c r="U4475" s="46" t="str">
        <f t="shared" si="1882"/>
        <v/>
      </c>
      <c r="V4475" s="46">
        <f t="shared" si="1882"/>
        <v>2</v>
      </c>
      <c r="W4475" s="46" t="str">
        <f t="shared" si="1882"/>
        <v/>
      </c>
      <c r="X4475" s="46" t="str">
        <f t="shared" si="1882"/>
        <v/>
      </c>
    </row>
    <row r="4476" spans="2:24" s="29" customFormat="1" x14ac:dyDescent="0.25">
      <c r="B4476" s="29" t="str">
        <f>CONCATENATE("NYRK","-",LEFT(P4476,2),UPPER(MID(P4476,4,3)),RIGHT(P4476,4))</f>
        <v>NYRK-09MAY1905</v>
      </c>
      <c r="C4476" s="29" t="s">
        <v>1700</v>
      </c>
      <c r="D4476" s="45" t="s">
        <v>2224</v>
      </c>
      <c r="E4476" s="42" t="s">
        <v>2703</v>
      </c>
      <c r="F4476" s="29" t="s">
        <v>1700</v>
      </c>
      <c r="G4476" s="42" t="s">
        <v>2699</v>
      </c>
      <c r="H4476" s="30">
        <v>0</v>
      </c>
      <c r="I4476" s="30">
        <v>0</v>
      </c>
      <c r="J4476" s="30">
        <v>0</v>
      </c>
      <c r="K4476" s="30"/>
      <c r="L4476" s="30">
        <f>SUM(H4476:K4476)</f>
        <v>0</v>
      </c>
      <c r="M4476" s="31">
        <v>1</v>
      </c>
      <c r="N4476" s="31" t="str">
        <f>IF(L4476&gt;0,1,"")</f>
        <v/>
      </c>
      <c r="O4476" s="29" t="s">
        <v>1702</v>
      </c>
      <c r="P4476" s="32" t="str">
        <f>IF(LEN(G4476)=10,CONCATENATE("0",G4476),G4476)</f>
        <v>09-May-1905</v>
      </c>
      <c r="Q4476" s="16"/>
      <c r="R4476" s="16" t="str">
        <f t="shared" si="1881"/>
        <v/>
      </c>
      <c r="S4476" s="16" t="str">
        <f t="shared" si="1881"/>
        <v/>
      </c>
      <c r="T4476" s="33"/>
      <c r="U4476" s="46" t="str">
        <f t="shared" si="1882"/>
        <v/>
      </c>
      <c r="V4476" s="46">
        <f t="shared" si="1882"/>
        <v>0</v>
      </c>
      <c r="W4476" s="46" t="str">
        <f t="shared" si="1882"/>
        <v/>
      </c>
      <c r="X4476" s="46" t="str">
        <f t="shared" si="1882"/>
        <v/>
      </c>
    </row>
    <row r="4477" spans="2:24" s="29" customFormat="1" x14ac:dyDescent="0.25">
      <c r="B4477" s="29" t="str">
        <f>CONCATENATE("NYRK","-",LEFT(P4477,2),UPPER(MID(P4477,4,3)),RIGHT(P4477,4))</f>
        <v>NYRK-04JUN1905</v>
      </c>
      <c r="C4477" s="29" t="s">
        <v>1700</v>
      </c>
      <c r="D4477" s="45" t="s">
        <v>2224</v>
      </c>
      <c r="E4477" s="42" t="s">
        <v>1777</v>
      </c>
      <c r="F4477" s="29" t="s">
        <v>1700</v>
      </c>
      <c r="G4477" s="42" t="s">
        <v>1778</v>
      </c>
      <c r="H4477" s="30">
        <v>0</v>
      </c>
      <c r="I4477" s="30">
        <v>0</v>
      </c>
      <c r="J4477" s="30">
        <v>2</v>
      </c>
      <c r="K4477" s="30"/>
      <c r="L4477" s="30">
        <f>SUM(H4477:K4477)</f>
        <v>2</v>
      </c>
      <c r="M4477" s="31">
        <v>1</v>
      </c>
      <c r="N4477" s="31">
        <f>IF(L4477&gt;0,1,"")</f>
        <v>1</v>
      </c>
      <c r="O4477" s="29" t="s">
        <v>1702</v>
      </c>
      <c r="P4477" s="32" t="str">
        <f>IF(LEN(G4477)=10,CONCATENATE("0",G4477),G4477)</f>
        <v>04-Jun-1905</v>
      </c>
      <c r="Q4477" s="16"/>
      <c r="R4477" s="16" t="str">
        <f t="shared" si="1881"/>
        <v>x</v>
      </c>
      <c r="S4477" s="16" t="str">
        <f t="shared" si="1881"/>
        <v>x</v>
      </c>
      <c r="T4477" s="33"/>
      <c r="U4477" s="46" t="str">
        <f t="shared" si="1882"/>
        <v/>
      </c>
      <c r="V4477" s="46">
        <f t="shared" si="1882"/>
        <v>2</v>
      </c>
      <c r="W4477" s="46" t="str">
        <f t="shared" si="1882"/>
        <v/>
      </c>
      <c r="X4477" s="46" t="str">
        <f t="shared" si="1882"/>
        <v/>
      </c>
    </row>
    <row r="4478" spans="2:24" s="29" customFormat="1" x14ac:dyDescent="0.25">
      <c r="B4478" s="29" t="str">
        <f>CONCATENATE("NYRK","-",LEFT(P4478,2),UPPER(MID(P4478,4,3)),RIGHT(P4478,4))</f>
        <v>NYRK-02JUL1905</v>
      </c>
      <c r="C4478" s="29" t="s">
        <v>1700</v>
      </c>
      <c r="D4478" s="45" t="s">
        <v>2224</v>
      </c>
      <c r="E4478" s="42" t="s">
        <v>985</v>
      </c>
      <c r="F4478" s="29" t="s">
        <v>1700</v>
      </c>
      <c r="G4478" s="42" t="s">
        <v>2704</v>
      </c>
      <c r="H4478" s="30">
        <v>0</v>
      </c>
      <c r="I4478" s="30">
        <v>0</v>
      </c>
      <c r="J4478" s="30">
        <v>4</v>
      </c>
      <c r="K4478" s="30"/>
      <c r="L4478" s="30">
        <f>SUM(H4478:K4478)</f>
        <v>4</v>
      </c>
      <c r="M4478" s="31">
        <v>1</v>
      </c>
      <c r="N4478" s="31">
        <f>IF(L4478&gt;0,1,"")</f>
        <v>1</v>
      </c>
      <c r="O4478" s="29" t="s">
        <v>1702</v>
      </c>
      <c r="P4478" s="32" t="str">
        <f>IF(LEN(G4478)=10,CONCATENATE("0",G4478),G4478)</f>
        <v>02-Jul-1905</v>
      </c>
      <c r="Q4478" s="16"/>
      <c r="R4478" s="16" t="str">
        <f t="shared" si="1881"/>
        <v>x</v>
      </c>
      <c r="S4478" s="16" t="str">
        <f t="shared" si="1881"/>
        <v>x</v>
      </c>
      <c r="T4478" s="33"/>
      <c r="U4478" s="46" t="str">
        <f t="shared" si="1882"/>
        <v/>
      </c>
      <c r="V4478" s="46">
        <f t="shared" si="1882"/>
        <v>4</v>
      </c>
      <c r="W4478" s="46" t="str">
        <f t="shared" si="1882"/>
        <v/>
      </c>
      <c r="X4478" s="46" t="str">
        <f t="shared" si="1882"/>
        <v/>
      </c>
    </row>
    <row r="4479" spans="2:24" s="29" customFormat="1" x14ac:dyDescent="0.25">
      <c r="B4479" s="29" t="str">
        <f>CONCATENATE("NYRK","-",LEFT(P4479,2),UPPER(MID(P4479,4,3)),RIGHT(P4479,4))</f>
        <v>NYRK-06AUG1905</v>
      </c>
      <c r="C4479" s="29" t="s">
        <v>1700</v>
      </c>
      <c r="D4479" s="45" t="s">
        <v>2224</v>
      </c>
      <c r="E4479" s="42" t="s">
        <v>1780</v>
      </c>
      <c r="F4479" s="29" t="s">
        <v>1700</v>
      </c>
      <c r="G4479" s="42" t="s">
        <v>2632</v>
      </c>
      <c r="H4479" s="30">
        <v>0</v>
      </c>
      <c r="I4479" s="30">
        <v>0</v>
      </c>
      <c r="J4479" s="30">
        <v>9</v>
      </c>
      <c r="K4479" s="30"/>
      <c r="L4479" s="30">
        <f>SUM(H4479:K4479)</f>
        <v>9</v>
      </c>
      <c r="M4479" s="31">
        <v>1</v>
      </c>
      <c r="N4479" s="31">
        <f>IF(L4479&gt;0,1,"")</f>
        <v>1</v>
      </c>
      <c r="O4479" s="29" t="s">
        <v>1702</v>
      </c>
      <c r="P4479" s="32" t="str">
        <f>IF(LEN(G4479)=10,CONCATENATE("0",G4479),G4479)</f>
        <v>06-Aug-1905</v>
      </c>
      <c r="Q4479" s="16"/>
      <c r="R4479" s="16" t="str">
        <f t="shared" si="1881"/>
        <v>x</v>
      </c>
      <c r="S4479" s="16" t="str">
        <f t="shared" si="1881"/>
        <v>x</v>
      </c>
      <c r="T4479" s="33"/>
      <c r="U4479" s="46" t="str">
        <f t="shared" si="1882"/>
        <v/>
      </c>
      <c r="V4479" s="46">
        <f t="shared" si="1882"/>
        <v>9</v>
      </c>
      <c r="W4479" s="46" t="str">
        <f t="shared" si="1882"/>
        <v/>
      </c>
      <c r="X4479" s="46" t="str">
        <f t="shared" si="1882"/>
        <v/>
      </c>
    </row>
    <row r="4480" spans="2:24" s="29" customFormat="1" x14ac:dyDescent="0.25">
      <c r="B4480" s="29" t="str">
        <f t="shared" si="1887"/>
        <v>NYRK-02SEP1905</v>
      </c>
      <c r="C4480" s="29" t="s">
        <v>1700</v>
      </c>
      <c r="D4480" s="45" t="s">
        <v>2224</v>
      </c>
      <c r="E4480" s="42" t="s">
        <v>1782</v>
      </c>
      <c r="F4480" s="29" t="s">
        <v>1700</v>
      </c>
      <c r="G4480" s="42" t="s">
        <v>793</v>
      </c>
      <c r="H4480" s="30">
        <v>0</v>
      </c>
      <c r="I4480" s="30">
        <v>0</v>
      </c>
      <c r="J4480" s="30">
        <v>7</v>
      </c>
      <c r="K4480" s="30"/>
      <c r="L4480" s="30">
        <f t="shared" si="1888"/>
        <v>7</v>
      </c>
      <c r="M4480" s="31">
        <v>1</v>
      </c>
      <c r="N4480" s="31">
        <f t="shared" si="1889"/>
        <v>1</v>
      </c>
      <c r="O4480" s="29" t="s">
        <v>1702</v>
      </c>
      <c r="P4480" s="32" t="str">
        <f t="shared" si="1890"/>
        <v>02-Sep-1905</v>
      </c>
      <c r="Q4480" s="16"/>
      <c r="R4480" s="16" t="str">
        <f t="shared" si="1881"/>
        <v>x</v>
      </c>
      <c r="S4480" s="16" t="str">
        <f t="shared" si="1881"/>
        <v>x</v>
      </c>
      <c r="T4480" s="33"/>
      <c r="U4480" s="46" t="str">
        <f t="shared" si="1882"/>
        <v/>
      </c>
      <c r="V4480" s="46">
        <f t="shared" si="1882"/>
        <v>7</v>
      </c>
      <c r="W4480" s="46" t="str">
        <f t="shared" si="1882"/>
        <v/>
      </c>
      <c r="X4480" s="46" t="str">
        <f t="shared" si="1882"/>
        <v/>
      </c>
    </row>
    <row r="4481" spans="2:24" s="29" customFormat="1" x14ac:dyDescent="0.25">
      <c r="B4481" s="29" t="str">
        <f>CONCATENATE("NYRK","-",LEFT(P4481,2),UPPER(MID(P4481,4,3)),RIGHT(P4481,4))</f>
        <v>NYRK-30SEP1905</v>
      </c>
      <c r="C4481" s="29" t="s">
        <v>1700</v>
      </c>
      <c r="D4481" s="45" t="s">
        <v>598</v>
      </c>
      <c r="E4481" s="42" t="s">
        <v>352</v>
      </c>
      <c r="F4481" s="29" t="s">
        <v>1700</v>
      </c>
      <c r="G4481" s="42" t="s">
        <v>794</v>
      </c>
      <c r="H4481" s="30">
        <v>0</v>
      </c>
      <c r="I4481" s="30">
        <v>0</v>
      </c>
      <c r="J4481" s="30">
        <v>3</v>
      </c>
      <c r="K4481" s="30"/>
      <c r="L4481" s="30">
        <f>SUM(H4481:K4481)</f>
        <v>3</v>
      </c>
      <c r="M4481" s="31">
        <v>1</v>
      </c>
      <c r="N4481" s="31">
        <f>IF(L4481&gt;0,1,"")</f>
        <v>1</v>
      </c>
      <c r="O4481" s="29" t="s">
        <v>1702</v>
      </c>
      <c r="P4481" s="32" t="str">
        <f>IF(LEN(G4481)=10,CONCATENATE("0",G4481),G4481)</f>
        <v>30-Sep-1905</v>
      </c>
      <c r="Q4481" s="16"/>
      <c r="R4481" s="16" t="str">
        <f t="shared" si="1881"/>
        <v>x</v>
      </c>
      <c r="S4481" s="16" t="str">
        <f t="shared" si="1881"/>
        <v>x</v>
      </c>
      <c r="T4481" s="33"/>
      <c r="U4481" s="46" t="str">
        <f>IF($O4481=U$5,$L4481,"")</f>
        <v/>
      </c>
      <c r="V4481" s="46">
        <f>IF($O4481=V$5,$L4481,"")</f>
        <v>3</v>
      </c>
      <c r="W4481" s="46" t="str">
        <f>IF($O4481=W$5,$L4481,"")</f>
        <v/>
      </c>
      <c r="X4481" s="46" t="str">
        <f>IF($O4481=X$5,$L4481,"")</f>
        <v/>
      </c>
    </row>
    <row r="4482" spans="2:24" s="29" customFormat="1" x14ac:dyDescent="0.25">
      <c r="B4482" s="29" t="str">
        <f t="shared" si="1887"/>
        <v>NYRK-30SEP1905</v>
      </c>
      <c r="C4482" s="29" t="s">
        <v>1700</v>
      </c>
      <c r="D4482" s="45" t="s">
        <v>2224</v>
      </c>
      <c r="E4482" s="42" t="s">
        <v>352</v>
      </c>
      <c r="F4482" s="29" t="s">
        <v>1700</v>
      </c>
      <c r="G4482" s="42" t="s">
        <v>794</v>
      </c>
      <c r="H4482" s="30">
        <v>0</v>
      </c>
      <c r="I4482" s="30">
        <v>0</v>
      </c>
      <c r="J4482" s="30">
        <v>8</v>
      </c>
      <c r="K4482" s="30"/>
      <c r="L4482" s="30">
        <f t="shared" si="1888"/>
        <v>8</v>
      </c>
      <c r="M4482" s="31">
        <v>1</v>
      </c>
      <c r="N4482" s="31">
        <f t="shared" si="1889"/>
        <v>1</v>
      </c>
      <c r="O4482" s="29" t="s">
        <v>1702</v>
      </c>
      <c r="P4482" s="32" t="str">
        <f t="shared" si="1890"/>
        <v>30-Sep-1905</v>
      </c>
      <c r="Q4482" s="16"/>
      <c r="R4482" s="16" t="str">
        <f t="shared" si="1881"/>
        <v>x</v>
      </c>
      <c r="S4482" s="16" t="str">
        <f t="shared" si="1881"/>
        <v>x</v>
      </c>
      <c r="T4482" s="33"/>
      <c r="U4482" s="46" t="str">
        <f t="shared" si="1882"/>
        <v/>
      </c>
      <c r="V4482" s="46">
        <f t="shared" si="1882"/>
        <v>8</v>
      </c>
      <c r="W4482" s="46" t="str">
        <f t="shared" si="1882"/>
        <v/>
      </c>
      <c r="X4482" s="46" t="str">
        <f t="shared" si="1882"/>
        <v/>
      </c>
    </row>
    <row r="4483" spans="2:24" s="29" customFormat="1" x14ac:dyDescent="0.25">
      <c r="B4483" s="29" t="str">
        <f t="shared" si="1883"/>
        <v>NYRK-26NOV1905</v>
      </c>
      <c r="C4483" s="29" t="s">
        <v>1700</v>
      </c>
      <c r="D4483" s="45" t="s">
        <v>2224</v>
      </c>
      <c r="E4483" s="42" t="s">
        <v>2278</v>
      </c>
      <c r="F4483" s="29" t="s">
        <v>1700</v>
      </c>
      <c r="G4483" s="42" t="s">
        <v>2700</v>
      </c>
      <c r="H4483" s="30">
        <v>0</v>
      </c>
      <c r="I4483" s="30">
        <v>0</v>
      </c>
      <c r="J4483" s="30">
        <v>4</v>
      </c>
      <c r="K4483" s="30"/>
      <c r="L4483" s="30">
        <f t="shared" si="1884"/>
        <v>4</v>
      </c>
      <c r="M4483" s="31">
        <v>1</v>
      </c>
      <c r="N4483" s="31">
        <f t="shared" si="1885"/>
        <v>1</v>
      </c>
      <c r="O4483" s="29" t="s">
        <v>1702</v>
      </c>
      <c r="P4483" s="32" t="str">
        <f t="shared" si="1886"/>
        <v>26-Nov-1905</v>
      </c>
      <c r="Q4483" s="16"/>
      <c r="R4483" s="16" t="str">
        <f t="shared" si="1881"/>
        <v>x</v>
      </c>
      <c r="S4483" s="16" t="str">
        <f t="shared" si="1881"/>
        <v>x</v>
      </c>
      <c r="T4483" s="33"/>
      <c r="U4483" s="46" t="str">
        <f t="shared" si="1882"/>
        <v/>
      </c>
      <c r="V4483" s="46">
        <f t="shared" si="1882"/>
        <v>4</v>
      </c>
      <c r="W4483" s="46" t="str">
        <f t="shared" si="1882"/>
        <v/>
      </c>
      <c r="X4483" s="46" t="str">
        <f t="shared" si="1882"/>
        <v/>
      </c>
    </row>
    <row r="4484" spans="2:24" s="29" customFormat="1" x14ac:dyDescent="0.25">
      <c r="B4484" s="29" t="str">
        <f t="shared" si="1883"/>
        <v>NYRK-24DEC1905</v>
      </c>
      <c r="C4484" s="29" t="s">
        <v>1700</v>
      </c>
      <c r="D4484" s="45" t="s">
        <v>2224</v>
      </c>
      <c r="E4484" s="42" t="s">
        <v>2279</v>
      </c>
      <c r="F4484" s="29" t="s">
        <v>1700</v>
      </c>
      <c r="G4484" s="42" t="s">
        <v>2701</v>
      </c>
      <c r="H4484" s="30">
        <v>0</v>
      </c>
      <c r="I4484" s="30">
        <v>0</v>
      </c>
      <c r="J4484" s="30">
        <v>0</v>
      </c>
      <c r="K4484" s="30"/>
      <c r="L4484" s="30">
        <f t="shared" si="1884"/>
        <v>0</v>
      </c>
      <c r="M4484" s="31">
        <v>1</v>
      </c>
      <c r="N4484" s="31" t="str">
        <f t="shared" si="1885"/>
        <v/>
      </c>
      <c r="O4484" s="29" t="s">
        <v>1702</v>
      </c>
      <c r="P4484" s="32" t="str">
        <f t="shared" si="1886"/>
        <v>24-Dec-1905</v>
      </c>
      <c r="Q4484" s="16"/>
      <c r="R4484" s="16" t="str">
        <f t="shared" si="1881"/>
        <v/>
      </c>
      <c r="S4484" s="16" t="str">
        <f t="shared" si="1881"/>
        <v/>
      </c>
      <c r="T4484" s="33"/>
      <c r="U4484" s="46" t="str">
        <f t="shared" si="1882"/>
        <v/>
      </c>
      <c r="V4484" s="46">
        <f t="shared" si="1882"/>
        <v>0</v>
      </c>
      <c r="W4484" s="46" t="str">
        <f t="shared" si="1882"/>
        <v/>
      </c>
      <c r="X4484" s="46" t="str">
        <f t="shared" si="1882"/>
        <v/>
      </c>
    </row>
    <row r="4485" spans="2:24" s="29" customFormat="1" x14ac:dyDescent="0.25">
      <c r="B4485" s="29" t="str">
        <f t="shared" si="1883"/>
        <v>NYRK-28JAN1906</v>
      </c>
      <c r="C4485" s="29" t="s">
        <v>1700</v>
      </c>
      <c r="D4485" s="45" t="s">
        <v>2224</v>
      </c>
      <c r="E4485" s="42" t="s">
        <v>1787</v>
      </c>
      <c r="F4485" s="29" t="s">
        <v>1700</v>
      </c>
      <c r="G4485" s="42" t="s">
        <v>2705</v>
      </c>
      <c r="H4485" s="30">
        <v>0</v>
      </c>
      <c r="I4485" s="30">
        <v>0</v>
      </c>
      <c r="J4485" s="30">
        <v>1</v>
      </c>
      <c r="K4485" s="30"/>
      <c r="L4485" s="30">
        <f t="shared" si="1884"/>
        <v>1</v>
      </c>
      <c r="M4485" s="31">
        <v>1</v>
      </c>
      <c r="N4485" s="31">
        <f t="shared" si="1885"/>
        <v>1</v>
      </c>
      <c r="O4485" s="29" t="s">
        <v>1702</v>
      </c>
      <c r="P4485" s="32" t="str">
        <f t="shared" si="1886"/>
        <v>28-Jan-1906</v>
      </c>
      <c r="Q4485" s="16"/>
      <c r="R4485" s="16" t="str">
        <f t="shared" si="1881"/>
        <v>x</v>
      </c>
      <c r="S4485" s="16" t="str">
        <f t="shared" si="1881"/>
        <v>x</v>
      </c>
      <c r="T4485" s="33"/>
      <c r="U4485" s="46" t="str">
        <f t="shared" si="1882"/>
        <v/>
      </c>
      <c r="V4485" s="46">
        <f t="shared" si="1882"/>
        <v>1</v>
      </c>
      <c r="W4485" s="46" t="str">
        <f t="shared" si="1882"/>
        <v/>
      </c>
      <c r="X4485" s="46" t="str">
        <f t="shared" si="1882"/>
        <v/>
      </c>
    </row>
    <row r="4486" spans="2:24" s="29" customFormat="1" x14ac:dyDescent="0.25">
      <c r="B4486" s="29" t="str">
        <f t="shared" ref="B4486:B4498" si="1891">CONCATENATE("NYRK","-",LEFT(P4486,2),UPPER(MID(P4486,4,3)),RIGHT(P4486,4))</f>
        <v>NYRK-25FEB1906</v>
      </c>
      <c r="C4486" s="29" t="s">
        <v>1700</v>
      </c>
      <c r="D4486" s="45" t="s">
        <v>2224</v>
      </c>
      <c r="E4486" s="42" t="s">
        <v>1789</v>
      </c>
      <c r="F4486" s="29" t="s">
        <v>1700</v>
      </c>
      <c r="G4486" s="42" t="s">
        <v>1790</v>
      </c>
      <c r="H4486" s="30">
        <v>0</v>
      </c>
      <c r="I4486" s="30">
        <v>0</v>
      </c>
      <c r="J4486" s="30">
        <v>4</v>
      </c>
      <c r="K4486" s="30"/>
      <c r="L4486" s="30">
        <f t="shared" ref="L4486:L4498" si="1892">SUM(H4486:K4486)</f>
        <v>4</v>
      </c>
      <c r="M4486" s="31">
        <v>1</v>
      </c>
      <c r="N4486" s="31">
        <f t="shared" ref="N4486:N4498" si="1893">IF(L4486&gt;0,1,"")</f>
        <v>1</v>
      </c>
      <c r="O4486" s="29" t="s">
        <v>1702</v>
      </c>
      <c r="P4486" s="32" t="str">
        <f t="shared" ref="P4486:P4498" si="1894">IF(LEN(G4486)=10,CONCATENATE("0",G4486),G4486)</f>
        <v>25-Feb-1906</v>
      </c>
      <c r="Q4486" s="16"/>
      <c r="R4486" s="16" t="str">
        <f t="shared" si="1881"/>
        <v>x</v>
      </c>
      <c r="S4486" s="16" t="str">
        <f t="shared" si="1881"/>
        <v>x</v>
      </c>
      <c r="T4486" s="33"/>
      <c r="U4486" s="46" t="str">
        <f t="shared" si="1882"/>
        <v/>
      </c>
      <c r="V4486" s="46">
        <f t="shared" si="1882"/>
        <v>4</v>
      </c>
      <c r="W4486" s="46" t="str">
        <f t="shared" si="1882"/>
        <v/>
      </c>
      <c r="X4486" s="46" t="str">
        <f t="shared" si="1882"/>
        <v/>
      </c>
    </row>
    <row r="4487" spans="2:24" s="29" customFormat="1" x14ac:dyDescent="0.25">
      <c r="B4487" s="29" t="str">
        <f t="shared" si="1891"/>
        <v>NYRK-25MAR1906</v>
      </c>
      <c r="C4487" s="29" t="s">
        <v>1700</v>
      </c>
      <c r="D4487" s="45" t="s">
        <v>2224</v>
      </c>
      <c r="E4487" s="42" t="s">
        <v>1434</v>
      </c>
      <c r="F4487" s="29" t="s">
        <v>1700</v>
      </c>
      <c r="G4487" s="42" t="s">
        <v>2712</v>
      </c>
      <c r="H4487" s="30">
        <v>0</v>
      </c>
      <c r="I4487" s="30">
        <v>3</v>
      </c>
      <c r="J4487" s="30">
        <v>0</v>
      </c>
      <c r="K4487" s="30"/>
      <c r="L4487" s="30">
        <f t="shared" si="1892"/>
        <v>3</v>
      </c>
      <c r="M4487" s="31">
        <v>1</v>
      </c>
      <c r="N4487" s="31">
        <f t="shared" si="1893"/>
        <v>1</v>
      </c>
      <c r="O4487" s="29" t="s">
        <v>1702</v>
      </c>
      <c r="P4487" s="32" t="str">
        <f t="shared" si="1894"/>
        <v>25-Mar-1906</v>
      </c>
      <c r="Q4487" s="16"/>
      <c r="R4487" s="16" t="str">
        <f t="shared" si="1881"/>
        <v>x</v>
      </c>
      <c r="S4487" s="16" t="str">
        <f t="shared" si="1881"/>
        <v>x</v>
      </c>
      <c r="T4487" s="33"/>
      <c r="U4487" s="46" t="str">
        <f t="shared" si="1882"/>
        <v/>
      </c>
      <c r="V4487" s="46">
        <f t="shared" si="1882"/>
        <v>3</v>
      </c>
      <c r="W4487" s="46" t="str">
        <f t="shared" si="1882"/>
        <v/>
      </c>
      <c r="X4487" s="46" t="str">
        <f t="shared" si="1882"/>
        <v/>
      </c>
    </row>
    <row r="4488" spans="2:24" s="29" customFormat="1" x14ac:dyDescent="0.25">
      <c r="B4488" s="29" t="str">
        <f t="shared" si="1891"/>
        <v>NYRK-24APR1906</v>
      </c>
      <c r="C4488" s="29" t="s">
        <v>1700</v>
      </c>
      <c r="D4488" s="45" t="s">
        <v>2224</v>
      </c>
      <c r="E4488" s="42" t="s">
        <v>1435</v>
      </c>
      <c r="F4488" s="29" t="s">
        <v>1700</v>
      </c>
      <c r="G4488" s="42" t="s">
        <v>2706</v>
      </c>
      <c r="H4488" s="30">
        <v>0</v>
      </c>
      <c r="I4488" s="30">
        <v>0</v>
      </c>
      <c r="J4488" s="30">
        <v>0</v>
      </c>
      <c r="K4488" s="30"/>
      <c r="L4488" s="30">
        <f t="shared" si="1892"/>
        <v>0</v>
      </c>
      <c r="M4488" s="31">
        <v>1</v>
      </c>
      <c r="N4488" s="31" t="str">
        <f t="shared" si="1893"/>
        <v/>
      </c>
      <c r="O4488" s="29" t="s">
        <v>1702</v>
      </c>
      <c r="P4488" s="32" t="str">
        <f t="shared" si="1894"/>
        <v>24-Apr-1906</v>
      </c>
      <c r="Q4488" s="16"/>
      <c r="R4488" s="16" t="str">
        <f t="shared" si="1881"/>
        <v/>
      </c>
      <c r="S4488" s="16" t="str">
        <f t="shared" si="1881"/>
        <v/>
      </c>
      <c r="T4488" s="33"/>
      <c r="U4488" s="46" t="str">
        <f t="shared" si="1882"/>
        <v/>
      </c>
      <c r="V4488" s="46">
        <f t="shared" si="1882"/>
        <v>0</v>
      </c>
      <c r="W4488" s="46" t="str">
        <f t="shared" si="1882"/>
        <v/>
      </c>
      <c r="X4488" s="46" t="str">
        <f t="shared" si="1882"/>
        <v/>
      </c>
    </row>
    <row r="4489" spans="2:24" s="29" customFormat="1" x14ac:dyDescent="0.25">
      <c r="B4489" s="29" t="str">
        <f>CONCATENATE("NYRK","-",LEFT(P4489,2),UPPER(MID(P4489,4,3)),RIGHT(P4489,4))</f>
        <v>NYRK-20MAY1906</v>
      </c>
      <c r="C4489" s="29" t="s">
        <v>1700</v>
      </c>
      <c r="D4489" s="45" t="s">
        <v>2224</v>
      </c>
      <c r="E4489" s="42" t="s">
        <v>1436</v>
      </c>
      <c r="F4489" s="29" t="s">
        <v>1700</v>
      </c>
      <c r="G4489" s="42" t="s">
        <v>2711</v>
      </c>
      <c r="H4489" s="30">
        <v>0</v>
      </c>
      <c r="I4489" s="30">
        <v>0</v>
      </c>
      <c r="J4489" s="30">
        <v>0</v>
      </c>
      <c r="K4489" s="30"/>
      <c r="L4489" s="30">
        <f>SUM(H4489:K4489)</f>
        <v>0</v>
      </c>
      <c r="M4489" s="31">
        <v>1</v>
      </c>
      <c r="N4489" s="31" t="str">
        <f>IF(L4489&gt;0,1,"")</f>
        <v/>
      </c>
      <c r="O4489" s="29" t="s">
        <v>1702</v>
      </c>
      <c r="P4489" s="32" t="str">
        <f>IF(LEN(G4489)=10,CONCATENATE("0",G4489),G4489)</f>
        <v>20-May-1906</v>
      </c>
      <c r="Q4489" s="16"/>
      <c r="R4489" s="16" t="str">
        <f t="shared" si="1881"/>
        <v/>
      </c>
      <c r="S4489" s="16" t="str">
        <f t="shared" si="1881"/>
        <v/>
      </c>
      <c r="T4489" s="33"/>
      <c r="U4489" s="46" t="str">
        <f t="shared" si="1882"/>
        <v/>
      </c>
      <c r="V4489" s="46">
        <f t="shared" si="1882"/>
        <v>0</v>
      </c>
      <c r="W4489" s="46" t="str">
        <f t="shared" si="1882"/>
        <v/>
      </c>
      <c r="X4489" s="46" t="str">
        <f t="shared" si="1882"/>
        <v/>
      </c>
    </row>
    <row r="4490" spans="2:24" s="29" customFormat="1" x14ac:dyDescent="0.25">
      <c r="B4490" s="29" t="str">
        <f t="shared" si="1891"/>
        <v>NYRK-17JUN1906</v>
      </c>
      <c r="C4490" s="29" t="s">
        <v>1700</v>
      </c>
      <c r="D4490" s="45" t="s">
        <v>2224</v>
      </c>
      <c r="E4490" s="42" t="s">
        <v>1437</v>
      </c>
      <c r="F4490" s="29" t="s">
        <v>1700</v>
      </c>
      <c r="G4490" s="42" t="s">
        <v>2707</v>
      </c>
      <c r="H4490" s="30">
        <v>0</v>
      </c>
      <c r="I4490" s="30">
        <v>0</v>
      </c>
      <c r="J4490" s="30">
        <v>1</v>
      </c>
      <c r="K4490" s="30"/>
      <c r="L4490" s="30">
        <f t="shared" si="1892"/>
        <v>1</v>
      </c>
      <c r="M4490" s="31">
        <v>1</v>
      </c>
      <c r="N4490" s="31">
        <f t="shared" si="1893"/>
        <v>1</v>
      </c>
      <c r="O4490" s="29" t="s">
        <v>1702</v>
      </c>
      <c r="P4490" s="32" t="str">
        <f t="shared" si="1894"/>
        <v>17-Jun-1906</v>
      </c>
      <c r="Q4490" s="16"/>
      <c r="R4490" s="16" t="str">
        <f t="shared" si="1881"/>
        <v>x</v>
      </c>
      <c r="S4490" s="16" t="str">
        <f t="shared" si="1881"/>
        <v>x</v>
      </c>
      <c r="T4490" s="33"/>
      <c r="U4490" s="46" t="str">
        <f t="shared" si="1882"/>
        <v/>
      </c>
      <c r="V4490" s="46">
        <f t="shared" si="1882"/>
        <v>1</v>
      </c>
      <c r="W4490" s="46" t="str">
        <f t="shared" si="1882"/>
        <v/>
      </c>
      <c r="X4490" s="46" t="str">
        <f t="shared" si="1882"/>
        <v/>
      </c>
    </row>
    <row r="4491" spans="2:24" s="29" customFormat="1" x14ac:dyDescent="0.25">
      <c r="B4491" s="29" t="str">
        <f t="shared" si="1891"/>
        <v>NYRK-22JUL1906</v>
      </c>
      <c r="C4491" s="29" t="s">
        <v>1700</v>
      </c>
      <c r="D4491" s="45" t="s">
        <v>2224</v>
      </c>
      <c r="E4491" s="42" t="s">
        <v>2088</v>
      </c>
      <c r="F4491" s="29" t="s">
        <v>1700</v>
      </c>
      <c r="G4491" s="42" t="s">
        <v>2708</v>
      </c>
      <c r="H4491" s="30">
        <v>0</v>
      </c>
      <c r="I4491" s="30">
        <v>0</v>
      </c>
      <c r="J4491" s="30">
        <v>0</v>
      </c>
      <c r="K4491" s="30"/>
      <c r="L4491" s="30">
        <f t="shared" si="1892"/>
        <v>0</v>
      </c>
      <c r="M4491" s="31">
        <v>1</v>
      </c>
      <c r="N4491" s="31" t="str">
        <f t="shared" si="1893"/>
        <v/>
      </c>
      <c r="O4491" s="29" t="s">
        <v>1702</v>
      </c>
      <c r="P4491" s="32" t="str">
        <f t="shared" si="1894"/>
        <v>22-Jul-1906</v>
      </c>
      <c r="Q4491" s="16"/>
      <c r="R4491" s="16" t="str">
        <f t="shared" si="1881"/>
        <v/>
      </c>
      <c r="S4491" s="16" t="str">
        <f t="shared" si="1881"/>
        <v/>
      </c>
      <c r="T4491" s="33"/>
      <c r="U4491" s="46" t="str">
        <f t="shared" si="1882"/>
        <v/>
      </c>
      <c r="V4491" s="46">
        <f t="shared" si="1882"/>
        <v>0</v>
      </c>
      <c r="W4491" s="46" t="str">
        <f t="shared" si="1882"/>
        <v/>
      </c>
      <c r="X4491" s="46" t="str">
        <f t="shared" si="1882"/>
        <v/>
      </c>
    </row>
    <row r="4492" spans="2:24" s="29" customFormat="1" x14ac:dyDescent="0.25">
      <c r="B4492" s="29" t="str">
        <f t="shared" si="1891"/>
        <v>NYRK-18AUG1906</v>
      </c>
      <c r="C4492" s="29" t="s">
        <v>1700</v>
      </c>
      <c r="D4492" s="45" t="s">
        <v>2224</v>
      </c>
      <c r="E4492" s="42" t="s">
        <v>2713</v>
      </c>
      <c r="F4492" s="29" t="s">
        <v>1700</v>
      </c>
      <c r="G4492" s="42" t="s">
        <v>1438</v>
      </c>
      <c r="H4492" s="30">
        <v>0</v>
      </c>
      <c r="I4492" s="30">
        <v>0</v>
      </c>
      <c r="J4492" s="30">
        <v>2</v>
      </c>
      <c r="K4492" s="30"/>
      <c r="L4492" s="30">
        <f t="shared" si="1892"/>
        <v>2</v>
      </c>
      <c r="M4492" s="31">
        <v>1</v>
      </c>
      <c r="N4492" s="31">
        <f t="shared" si="1893"/>
        <v>1</v>
      </c>
      <c r="O4492" s="29" t="s">
        <v>1702</v>
      </c>
      <c r="P4492" s="32" t="str">
        <f t="shared" si="1894"/>
        <v>18-Aug-1906</v>
      </c>
      <c r="Q4492" s="16"/>
      <c r="R4492" s="16" t="str">
        <f t="shared" si="1881"/>
        <v>x</v>
      </c>
      <c r="S4492" s="16" t="str">
        <f t="shared" si="1881"/>
        <v>x</v>
      </c>
      <c r="T4492" s="33"/>
      <c r="U4492" s="46" t="str">
        <f t="shared" si="1882"/>
        <v/>
      </c>
      <c r="V4492" s="46">
        <f t="shared" si="1882"/>
        <v>2</v>
      </c>
      <c r="W4492" s="46" t="str">
        <f t="shared" si="1882"/>
        <v/>
      </c>
      <c r="X4492" s="46" t="str">
        <f t="shared" si="1882"/>
        <v/>
      </c>
    </row>
    <row r="4493" spans="2:24" s="29" customFormat="1" x14ac:dyDescent="0.25">
      <c r="B4493" s="29" t="str">
        <f>CONCATENATE("NYRK","-",LEFT(P4493,2),UPPER(MID(P4493,4,3)),RIGHT(P4493,4))</f>
        <v>NYRK-16SEP1906</v>
      </c>
      <c r="C4493" s="29" t="s">
        <v>1700</v>
      </c>
      <c r="D4493" s="45" t="s">
        <v>2224</v>
      </c>
      <c r="E4493" s="42" t="s">
        <v>1797</v>
      </c>
      <c r="F4493" s="29" t="s">
        <v>1700</v>
      </c>
      <c r="G4493" s="42" t="s">
        <v>1798</v>
      </c>
      <c r="H4493" s="30">
        <v>0</v>
      </c>
      <c r="I4493" s="30">
        <v>0</v>
      </c>
      <c r="J4493" s="30">
        <v>1</v>
      </c>
      <c r="K4493" s="30"/>
      <c r="L4493" s="30">
        <f>SUM(H4493:K4493)</f>
        <v>1</v>
      </c>
      <c r="M4493" s="31">
        <v>1</v>
      </c>
      <c r="N4493" s="31">
        <f>IF(L4493&gt;0,1,"")</f>
        <v>1</v>
      </c>
      <c r="O4493" s="29" t="s">
        <v>1702</v>
      </c>
      <c r="P4493" s="32" t="str">
        <f>IF(LEN(G4493)=10,CONCATENATE("0",G4493),G4493)</f>
        <v>16-Sep-1906</v>
      </c>
      <c r="Q4493" s="16"/>
      <c r="R4493" s="16" t="str">
        <f t="shared" si="1881"/>
        <v>x</v>
      </c>
      <c r="S4493" s="16" t="str">
        <f t="shared" si="1881"/>
        <v>x</v>
      </c>
      <c r="T4493" s="33"/>
      <c r="U4493" s="46" t="str">
        <f t="shared" si="1882"/>
        <v/>
      </c>
      <c r="V4493" s="46">
        <f t="shared" si="1882"/>
        <v>1</v>
      </c>
      <c r="W4493" s="46" t="str">
        <f t="shared" si="1882"/>
        <v/>
      </c>
      <c r="X4493" s="46" t="str">
        <f t="shared" si="1882"/>
        <v/>
      </c>
    </row>
    <row r="4494" spans="2:24" s="29" customFormat="1" x14ac:dyDescent="0.25">
      <c r="B4494" s="29" t="str">
        <f t="shared" si="1891"/>
        <v>NYRK-14OCT1906</v>
      </c>
      <c r="C4494" s="29" t="s">
        <v>1700</v>
      </c>
      <c r="D4494" s="45" t="s">
        <v>2224</v>
      </c>
      <c r="E4494" s="42" t="s">
        <v>1799</v>
      </c>
      <c r="F4494" s="29" t="s">
        <v>1700</v>
      </c>
      <c r="G4494" s="42" t="s">
        <v>1800</v>
      </c>
      <c r="H4494" s="30">
        <v>0</v>
      </c>
      <c r="I4494" s="30">
        <v>0</v>
      </c>
      <c r="J4494" s="30">
        <v>3</v>
      </c>
      <c r="K4494" s="30"/>
      <c r="L4494" s="30">
        <f t="shared" si="1892"/>
        <v>3</v>
      </c>
      <c r="M4494" s="31">
        <v>1</v>
      </c>
      <c r="N4494" s="31">
        <f t="shared" si="1893"/>
        <v>1</v>
      </c>
      <c r="O4494" s="29" t="s">
        <v>1702</v>
      </c>
      <c r="P4494" s="32" t="str">
        <f t="shared" si="1894"/>
        <v>14-Oct-1906</v>
      </c>
      <c r="Q4494" s="16"/>
      <c r="R4494" s="16" t="str">
        <f t="shared" si="1881"/>
        <v>x</v>
      </c>
      <c r="S4494" s="16" t="str">
        <f t="shared" si="1881"/>
        <v>x</v>
      </c>
      <c r="T4494" s="33"/>
      <c r="U4494" s="46" t="str">
        <f t="shared" si="1882"/>
        <v/>
      </c>
      <c r="V4494" s="46">
        <f t="shared" si="1882"/>
        <v>3</v>
      </c>
      <c r="W4494" s="46" t="str">
        <f t="shared" si="1882"/>
        <v/>
      </c>
      <c r="X4494" s="46" t="str">
        <f t="shared" si="1882"/>
        <v/>
      </c>
    </row>
    <row r="4495" spans="2:24" s="29" customFormat="1" x14ac:dyDescent="0.25">
      <c r="B4495" s="29" t="str">
        <f t="shared" si="1891"/>
        <v>NYRK-11NOV1906</v>
      </c>
      <c r="C4495" s="29" t="s">
        <v>1700</v>
      </c>
      <c r="D4495" s="45" t="s">
        <v>2224</v>
      </c>
      <c r="E4495" s="42" t="s">
        <v>2714</v>
      </c>
      <c r="F4495" s="29" t="s">
        <v>1700</v>
      </c>
      <c r="G4495" s="42" t="s">
        <v>2709</v>
      </c>
      <c r="H4495" s="30">
        <v>0</v>
      </c>
      <c r="I4495" s="30">
        <v>0</v>
      </c>
      <c r="J4495" s="30">
        <v>0</v>
      </c>
      <c r="K4495" s="30"/>
      <c r="L4495" s="30">
        <f t="shared" si="1892"/>
        <v>0</v>
      </c>
      <c r="M4495" s="31">
        <v>1</v>
      </c>
      <c r="N4495" s="31" t="str">
        <f t="shared" si="1893"/>
        <v/>
      </c>
      <c r="O4495" s="29" t="s">
        <v>1702</v>
      </c>
      <c r="P4495" s="32" t="str">
        <f t="shared" si="1894"/>
        <v>11-Nov-1906</v>
      </c>
      <c r="Q4495" s="16"/>
      <c r="R4495" s="16" t="str">
        <f t="shared" si="1881"/>
        <v/>
      </c>
      <c r="S4495" s="16" t="str">
        <f t="shared" si="1881"/>
        <v/>
      </c>
      <c r="T4495" s="33"/>
      <c r="U4495" s="46" t="str">
        <f t="shared" si="1882"/>
        <v/>
      </c>
      <c r="V4495" s="46">
        <f t="shared" si="1882"/>
        <v>0</v>
      </c>
      <c r="W4495" s="46" t="str">
        <f t="shared" si="1882"/>
        <v/>
      </c>
      <c r="X4495" s="46" t="str">
        <f t="shared" si="1882"/>
        <v/>
      </c>
    </row>
    <row r="4496" spans="2:24" s="29" customFormat="1" x14ac:dyDescent="0.25">
      <c r="B4496" s="29" t="str">
        <f t="shared" si="1891"/>
        <v>NYRK-10DEC1906</v>
      </c>
      <c r="C4496" s="29" t="s">
        <v>1700</v>
      </c>
      <c r="D4496" s="45" t="s">
        <v>2224</v>
      </c>
      <c r="E4496" s="42" t="s">
        <v>812</v>
      </c>
      <c r="F4496" s="29" t="s">
        <v>1700</v>
      </c>
      <c r="G4496" s="42" t="s">
        <v>2710</v>
      </c>
      <c r="H4496" s="30">
        <v>0</v>
      </c>
      <c r="I4496" s="30">
        <v>1</v>
      </c>
      <c r="J4496" s="30">
        <v>0</v>
      </c>
      <c r="K4496" s="30"/>
      <c r="L4496" s="30">
        <f t="shared" si="1892"/>
        <v>1</v>
      </c>
      <c r="M4496" s="31">
        <v>1</v>
      </c>
      <c r="N4496" s="31">
        <f t="shared" si="1893"/>
        <v>1</v>
      </c>
      <c r="O4496" s="29" t="s">
        <v>1702</v>
      </c>
      <c r="P4496" s="32" t="str">
        <f t="shared" si="1894"/>
        <v>10-Dec-1906</v>
      </c>
      <c r="Q4496" s="16"/>
      <c r="R4496" s="16" t="str">
        <f t="shared" si="1881"/>
        <v>x</v>
      </c>
      <c r="S4496" s="16" t="str">
        <f t="shared" si="1881"/>
        <v>x</v>
      </c>
      <c r="T4496" s="33"/>
      <c r="U4496" s="46" t="str">
        <f t="shared" si="1882"/>
        <v/>
      </c>
      <c r="V4496" s="46">
        <f t="shared" si="1882"/>
        <v>1</v>
      </c>
      <c r="W4496" s="46" t="str">
        <f t="shared" si="1882"/>
        <v/>
      </c>
      <c r="X4496" s="46" t="str">
        <f t="shared" si="1882"/>
        <v/>
      </c>
    </row>
    <row r="4497" spans="2:24" s="29" customFormat="1" x14ac:dyDescent="0.25">
      <c r="B4497" s="29" t="str">
        <f t="shared" si="1891"/>
        <v>NYRK-06JAN1907</v>
      </c>
      <c r="C4497" s="29" t="s">
        <v>1700</v>
      </c>
      <c r="D4497" s="45" t="s">
        <v>2224</v>
      </c>
      <c r="E4497" s="42" t="s">
        <v>2725</v>
      </c>
      <c r="F4497" s="29" t="s">
        <v>1700</v>
      </c>
      <c r="G4497" s="42" t="s">
        <v>2715</v>
      </c>
      <c r="H4497" s="30">
        <v>0</v>
      </c>
      <c r="I4497" s="30">
        <v>0</v>
      </c>
      <c r="J4497" s="30">
        <v>1</v>
      </c>
      <c r="K4497" s="30"/>
      <c r="L4497" s="30">
        <f t="shared" si="1892"/>
        <v>1</v>
      </c>
      <c r="M4497" s="31">
        <v>1</v>
      </c>
      <c r="N4497" s="31">
        <f t="shared" si="1893"/>
        <v>1</v>
      </c>
      <c r="O4497" s="29" t="s">
        <v>1702</v>
      </c>
      <c r="P4497" s="32" t="str">
        <f t="shared" si="1894"/>
        <v>06-Jan-1907</v>
      </c>
      <c r="Q4497" s="16"/>
      <c r="R4497" s="16" t="str">
        <f t="shared" si="1881"/>
        <v>x</v>
      </c>
      <c r="S4497" s="16" t="str">
        <f t="shared" si="1881"/>
        <v>x</v>
      </c>
      <c r="T4497" s="33"/>
      <c r="U4497" s="46" t="str">
        <f t="shared" si="1882"/>
        <v/>
      </c>
      <c r="V4497" s="46">
        <f t="shared" si="1882"/>
        <v>1</v>
      </c>
      <c r="W4497" s="46" t="str">
        <f t="shared" si="1882"/>
        <v/>
      </c>
      <c r="X4497" s="46" t="str">
        <f t="shared" si="1882"/>
        <v/>
      </c>
    </row>
    <row r="4498" spans="2:24" s="29" customFormat="1" x14ac:dyDescent="0.25">
      <c r="B4498" s="29" t="str">
        <f t="shared" si="1891"/>
        <v>NYRK-03FEB1907</v>
      </c>
      <c r="C4498" s="29" t="s">
        <v>1700</v>
      </c>
      <c r="D4498" s="45" t="s">
        <v>2224</v>
      </c>
      <c r="E4498" s="42" t="s">
        <v>824</v>
      </c>
      <c r="F4498" s="29" t="s">
        <v>1700</v>
      </c>
      <c r="G4498" s="42" t="s">
        <v>2716</v>
      </c>
      <c r="H4498" s="30">
        <v>0</v>
      </c>
      <c r="I4498" s="30">
        <v>0</v>
      </c>
      <c r="J4498" s="30">
        <v>6</v>
      </c>
      <c r="K4498" s="30"/>
      <c r="L4498" s="30">
        <f t="shared" si="1892"/>
        <v>6</v>
      </c>
      <c r="M4498" s="31">
        <v>1</v>
      </c>
      <c r="N4498" s="31">
        <f t="shared" si="1893"/>
        <v>1</v>
      </c>
      <c r="O4498" s="29" t="s">
        <v>1702</v>
      </c>
      <c r="P4498" s="32" t="str">
        <f t="shared" si="1894"/>
        <v>03-Feb-1907</v>
      </c>
      <c r="Q4498" s="16"/>
      <c r="R4498" s="16" t="str">
        <f t="shared" si="1881"/>
        <v>x</v>
      </c>
      <c r="S4498" s="16" t="str">
        <f t="shared" si="1881"/>
        <v>x</v>
      </c>
      <c r="T4498" s="33"/>
      <c r="U4498" s="46" t="str">
        <f t="shared" si="1882"/>
        <v/>
      </c>
      <c r="V4498" s="46">
        <f t="shared" si="1882"/>
        <v>6</v>
      </c>
      <c r="W4498" s="46" t="str">
        <f t="shared" si="1882"/>
        <v/>
      </c>
      <c r="X4498" s="46" t="str">
        <f t="shared" si="1882"/>
        <v/>
      </c>
    </row>
    <row r="4499" spans="2:24" s="29" customFormat="1" x14ac:dyDescent="0.25">
      <c r="B4499" s="29" t="str">
        <f t="shared" ref="B4499:B4522" si="1895">CONCATENATE("NYRK","-",LEFT(P4499,2),UPPER(MID(P4499,4,3)),RIGHT(P4499,4))</f>
        <v>NYRK-11MAR1907</v>
      </c>
      <c r="C4499" s="29" t="s">
        <v>1700</v>
      </c>
      <c r="D4499" s="45" t="s">
        <v>2224</v>
      </c>
      <c r="E4499" s="42" t="s">
        <v>1453</v>
      </c>
      <c r="F4499" s="29" t="s">
        <v>1700</v>
      </c>
      <c r="G4499" s="42" t="s">
        <v>2717</v>
      </c>
      <c r="H4499" s="30">
        <v>0</v>
      </c>
      <c r="I4499" s="30">
        <v>3</v>
      </c>
      <c r="J4499" s="30">
        <v>0</v>
      </c>
      <c r="K4499" s="30"/>
      <c r="L4499" s="30">
        <f t="shared" ref="L4499:L4522" si="1896">SUM(H4499:K4499)</f>
        <v>3</v>
      </c>
      <c r="M4499" s="31">
        <v>1</v>
      </c>
      <c r="N4499" s="31">
        <f t="shared" ref="N4499:N4522" si="1897">IF(L4499&gt;0,1,"")</f>
        <v>1</v>
      </c>
      <c r="O4499" s="29" t="s">
        <v>1702</v>
      </c>
      <c r="P4499" s="32" t="str">
        <f t="shared" ref="P4499:P4522" si="1898">IF(LEN(G4499)=10,CONCATENATE("0",G4499),G4499)</f>
        <v>11-Mar-1907</v>
      </c>
      <c r="Q4499" s="16"/>
      <c r="R4499" s="16" t="str">
        <f t="shared" si="1881"/>
        <v>x</v>
      </c>
      <c r="S4499" s="16" t="str">
        <f t="shared" si="1881"/>
        <v>x</v>
      </c>
      <c r="T4499" s="33"/>
      <c r="U4499" s="46" t="str">
        <f t="shared" si="1882"/>
        <v/>
      </c>
      <c r="V4499" s="46">
        <f t="shared" si="1882"/>
        <v>3</v>
      </c>
      <c r="W4499" s="46" t="str">
        <f t="shared" si="1882"/>
        <v/>
      </c>
      <c r="X4499" s="46" t="str">
        <f t="shared" si="1882"/>
        <v/>
      </c>
    </row>
    <row r="4500" spans="2:24" s="29" customFormat="1" x14ac:dyDescent="0.25">
      <c r="B4500" s="29" t="str">
        <f t="shared" si="1895"/>
        <v>NYRK-07APR1907</v>
      </c>
      <c r="C4500" s="29" t="s">
        <v>1700</v>
      </c>
      <c r="D4500" s="45" t="s">
        <v>2224</v>
      </c>
      <c r="E4500" s="42" t="s">
        <v>1803</v>
      </c>
      <c r="F4500" s="29" t="s">
        <v>1700</v>
      </c>
      <c r="G4500" s="42" t="s">
        <v>1804</v>
      </c>
      <c r="H4500" s="30">
        <v>0</v>
      </c>
      <c r="I4500" s="30">
        <v>0</v>
      </c>
      <c r="J4500" s="30">
        <v>0</v>
      </c>
      <c r="K4500" s="30"/>
      <c r="L4500" s="30">
        <f t="shared" si="1896"/>
        <v>0</v>
      </c>
      <c r="M4500" s="31">
        <v>1</v>
      </c>
      <c r="N4500" s="31" t="str">
        <f t="shared" si="1897"/>
        <v/>
      </c>
      <c r="O4500" s="29" t="s">
        <v>1702</v>
      </c>
      <c r="P4500" s="32" t="str">
        <f t="shared" si="1898"/>
        <v>07-Apr-1907</v>
      </c>
      <c r="Q4500" s="16"/>
      <c r="R4500" s="16" t="str">
        <f t="shared" si="1881"/>
        <v/>
      </c>
      <c r="S4500" s="16" t="str">
        <f t="shared" si="1881"/>
        <v/>
      </c>
      <c r="T4500" s="33"/>
      <c r="U4500" s="46" t="str">
        <f t="shared" si="1882"/>
        <v/>
      </c>
      <c r="V4500" s="46">
        <f t="shared" si="1882"/>
        <v>0</v>
      </c>
      <c r="W4500" s="46" t="str">
        <f t="shared" si="1882"/>
        <v/>
      </c>
      <c r="X4500" s="46" t="str">
        <f t="shared" si="1882"/>
        <v/>
      </c>
    </row>
    <row r="4501" spans="2:24" s="29" customFormat="1" x14ac:dyDescent="0.25">
      <c r="B4501" s="29" t="str">
        <f t="shared" si="1895"/>
        <v>NYRK-07MAY1907</v>
      </c>
      <c r="C4501" s="29" t="s">
        <v>1700</v>
      </c>
      <c r="D4501" s="45" t="s">
        <v>2224</v>
      </c>
      <c r="E4501" s="42" t="s">
        <v>1455</v>
      </c>
      <c r="F4501" s="29" t="s">
        <v>1700</v>
      </c>
      <c r="G4501" s="42" t="s">
        <v>2718</v>
      </c>
      <c r="H4501" s="30">
        <v>0</v>
      </c>
      <c r="I4501" s="30">
        <v>0</v>
      </c>
      <c r="J4501" s="30">
        <v>0</v>
      </c>
      <c r="K4501" s="30"/>
      <c r="L4501" s="30">
        <f t="shared" si="1896"/>
        <v>0</v>
      </c>
      <c r="M4501" s="31">
        <v>1</v>
      </c>
      <c r="N4501" s="31" t="str">
        <f t="shared" si="1897"/>
        <v/>
      </c>
      <c r="O4501" s="29" t="s">
        <v>1702</v>
      </c>
      <c r="P4501" s="32" t="str">
        <f t="shared" si="1898"/>
        <v>07-May-1907</v>
      </c>
      <c r="Q4501" s="16"/>
      <c r="R4501" s="16" t="str">
        <f t="shared" si="1881"/>
        <v/>
      </c>
      <c r="S4501" s="16" t="str">
        <f t="shared" si="1881"/>
        <v/>
      </c>
      <c r="T4501" s="33"/>
      <c r="U4501" s="46" t="str">
        <f t="shared" si="1882"/>
        <v/>
      </c>
      <c r="V4501" s="46">
        <f t="shared" si="1882"/>
        <v>0</v>
      </c>
      <c r="W4501" s="46" t="str">
        <f t="shared" si="1882"/>
        <v/>
      </c>
      <c r="X4501" s="46" t="str">
        <f t="shared" si="1882"/>
        <v/>
      </c>
    </row>
    <row r="4502" spans="2:24" s="29" customFormat="1" x14ac:dyDescent="0.25">
      <c r="B4502" s="29" t="str">
        <f t="shared" si="1895"/>
        <v>NYRK-01JUN1907</v>
      </c>
      <c r="C4502" s="29" t="s">
        <v>1700</v>
      </c>
      <c r="D4502" s="45" t="s">
        <v>2224</v>
      </c>
      <c r="E4502" s="42" t="s">
        <v>1456</v>
      </c>
      <c r="F4502" s="29" t="s">
        <v>1700</v>
      </c>
      <c r="G4502" s="42" t="s">
        <v>2719</v>
      </c>
      <c r="H4502" s="30">
        <v>0</v>
      </c>
      <c r="I4502" s="30">
        <v>4</v>
      </c>
      <c r="J4502" s="30">
        <v>0</v>
      </c>
      <c r="K4502" s="30"/>
      <c r="L4502" s="30">
        <f t="shared" si="1896"/>
        <v>4</v>
      </c>
      <c r="M4502" s="31">
        <v>1</v>
      </c>
      <c r="N4502" s="31">
        <f t="shared" si="1897"/>
        <v>1</v>
      </c>
      <c r="O4502" s="29" t="s">
        <v>1702</v>
      </c>
      <c r="P4502" s="32" t="str">
        <f t="shared" si="1898"/>
        <v>01-Jun-1907</v>
      </c>
      <c r="Q4502" s="16"/>
      <c r="R4502" s="16" t="str">
        <f t="shared" si="1881"/>
        <v>x</v>
      </c>
      <c r="S4502" s="16" t="str">
        <f t="shared" si="1881"/>
        <v>x</v>
      </c>
      <c r="T4502" s="33"/>
      <c r="U4502" s="46" t="str">
        <f t="shared" si="1882"/>
        <v/>
      </c>
      <c r="V4502" s="46">
        <f t="shared" si="1882"/>
        <v>4</v>
      </c>
      <c r="W4502" s="46" t="str">
        <f t="shared" si="1882"/>
        <v/>
      </c>
      <c r="X4502" s="46" t="str">
        <f t="shared" si="1882"/>
        <v/>
      </c>
    </row>
    <row r="4503" spans="2:24" s="29" customFormat="1" x14ac:dyDescent="0.25">
      <c r="B4503" s="29" t="str">
        <f t="shared" si="1895"/>
        <v>NYRK-29JUN1907</v>
      </c>
      <c r="C4503" s="29" t="s">
        <v>1700</v>
      </c>
      <c r="D4503" s="45" t="s">
        <v>2224</v>
      </c>
      <c r="E4503" s="42" t="s">
        <v>2726</v>
      </c>
      <c r="F4503" s="29" t="s">
        <v>1700</v>
      </c>
      <c r="G4503" s="42" t="s">
        <v>1204</v>
      </c>
      <c r="H4503" s="30">
        <v>0</v>
      </c>
      <c r="I4503" s="30">
        <v>2</v>
      </c>
      <c r="J4503" s="30">
        <v>16</v>
      </c>
      <c r="K4503" s="30"/>
      <c r="L4503" s="30">
        <f t="shared" si="1896"/>
        <v>18</v>
      </c>
      <c r="M4503" s="31">
        <v>1</v>
      </c>
      <c r="N4503" s="31">
        <f t="shared" si="1897"/>
        <v>1</v>
      </c>
      <c r="O4503" s="29" t="s">
        <v>1702</v>
      </c>
      <c r="P4503" s="32" t="str">
        <f t="shared" si="1898"/>
        <v>29-Jun-1907</v>
      </c>
      <c r="Q4503" s="16"/>
      <c r="R4503" s="16" t="str">
        <f t="shared" si="1881"/>
        <v>x</v>
      </c>
      <c r="S4503" s="16" t="str">
        <f t="shared" si="1881"/>
        <v>x</v>
      </c>
      <c r="T4503" s="33"/>
      <c r="U4503" s="46" t="str">
        <f t="shared" si="1882"/>
        <v/>
      </c>
      <c r="V4503" s="46">
        <f t="shared" si="1882"/>
        <v>18</v>
      </c>
      <c r="W4503" s="46" t="str">
        <f t="shared" si="1882"/>
        <v/>
      </c>
      <c r="X4503" s="46" t="str">
        <f t="shared" si="1882"/>
        <v/>
      </c>
    </row>
    <row r="4504" spans="2:24" s="29" customFormat="1" x14ac:dyDescent="0.25">
      <c r="B4504" s="29" t="str">
        <f t="shared" si="1895"/>
        <v>NYRK-04AUG1907</v>
      </c>
      <c r="C4504" s="29" t="s">
        <v>1700</v>
      </c>
      <c r="D4504" s="45" t="s">
        <v>2224</v>
      </c>
      <c r="E4504" s="42" t="s">
        <v>2299</v>
      </c>
      <c r="F4504" s="29" t="s">
        <v>1700</v>
      </c>
      <c r="G4504" s="42" t="s">
        <v>2720</v>
      </c>
      <c r="H4504" s="30">
        <v>0</v>
      </c>
      <c r="I4504" s="30">
        <v>2</v>
      </c>
      <c r="J4504" s="30">
        <v>0</v>
      </c>
      <c r="K4504" s="30"/>
      <c r="L4504" s="30">
        <f t="shared" si="1896"/>
        <v>2</v>
      </c>
      <c r="M4504" s="31">
        <v>1</v>
      </c>
      <c r="N4504" s="31">
        <f t="shared" si="1897"/>
        <v>1</v>
      </c>
      <c r="O4504" s="29" t="s">
        <v>1702</v>
      </c>
      <c r="P4504" s="32" t="str">
        <f t="shared" si="1898"/>
        <v>04-Aug-1907</v>
      </c>
      <c r="Q4504" s="16"/>
      <c r="R4504" s="16" t="str">
        <f t="shared" si="1881"/>
        <v>x</v>
      </c>
      <c r="S4504" s="16" t="str">
        <f t="shared" si="1881"/>
        <v>x</v>
      </c>
      <c r="T4504" s="12"/>
      <c r="U4504" s="46" t="str">
        <f t="shared" si="1882"/>
        <v/>
      </c>
      <c r="V4504" s="46">
        <f t="shared" si="1882"/>
        <v>2</v>
      </c>
      <c r="W4504" s="46" t="str">
        <f t="shared" si="1882"/>
        <v/>
      </c>
      <c r="X4504" s="46" t="str">
        <f t="shared" si="1882"/>
        <v/>
      </c>
    </row>
    <row r="4505" spans="2:24" s="29" customFormat="1" x14ac:dyDescent="0.25">
      <c r="B4505" s="29" t="str">
        <f t="shared" si="1895"/>
        <v>NYRK-01SEP1907</v>
      </c>
      <c r="C4505" s="29" t="s">
        <v>1700</v>
      </c>
      <c r="D4505" s="45" t="s">
        <v>2224</v>
      </c>
      <c r="E4505" s="42" t="s">
        <v>1806</v>
      </c>
      <c r="F4505" s="29" t="s">
        <v>1700</v>
      </c>
      <c r="G4505" s="42" t="s">
        <v>2721</v>
      </c>
      <c r="H4505" s="30">
        <v>0</v>
      </c>
      <c r="I4505" s="30">
        <v>3</v>
      </c>
      <c r="J4505" s="30">
        <v>1</v>
      </c>
      <c r="K4505" s="30"/>
      <c r="L4505" s="30">
        <f t="shared" si="1896"/>
        <v>4</v>
      </c>
      <c r="M4505" s="31">
        <v>1</v>
      </c>
      <c r="N4505" s="31">
        <f t="shared" si="1897"/>
        <v>1</v>
      </c>
      <c r="O4505" s="29" t="s">
        <v>1702</v>
      </c>
      <c r="P4505" s="32" t="str">
        <f t="shared" si="1898"/>
        <v>01-Sep-1907</v>
      </c>
      <c r="Q4505" s="16"/>
      <c r="R4505" s="16" t="str">
        <f t="shared" si="1881"/>
        <v>x</v>
      </c>
      <c r="S4505" s="16" t="str">
        <f t="shared" si="1881"/>
        <v>x</v>
      </c>
      <c r="T4505" s="33"/>
      <c r="U4505" s="46" t="str">
        <f t="shared" si="1882"/>
        <v/>
      </c>
      <c r="V4505" s="46">
        <f t="shared" si="1882"/>
        <v>4</v>
      </c>
      <c r="W4505" s="46" t="str">
        <f t="shared" si="1882"/>
        <v/>
      </c>
      <c r="X4505" s="46" t="str">
        <f t="shared" si="1882"/>
        <v/>
      </c>
    </row>
    <row r="4506" spans="2:24" s="29" customFormat="1" x14ac:dyDescent="0.25">
      <c r="B4506" s="29" t="str">
        <f t="shared" si="1895"/>
        <v>NYRK-29SEP1907</v>
      </c>
      <c r="C4506" s="29" t="s">
        <v>1700</v>
      </c>
      <c r="D4506" s="45" t="s">
        <v>2224</v>
      </c>
      <c r="E4506" s="42" t="s">
        <v>1460</v>
      </c>
      <c r="F4506" s="29" t="s">
        <v>1700</v>
      </c>
      <c r="G4506" s="42" t="s">
        <v>2722</v>
      </c>
      <c r="H4506" s="30">
        <v>0</v>
      </c>
      <c r="I4506" s="30">
        <v>0</v>
      </c>
      <c r="J4506" s="30">
        <v>3</v>
      </c>
      <c r="K4506" s="30"/>
      <c r="L4506" s="30">
        <f t="shared" si="1896"/>
        <v>3</v>
      </c>
      <c r="M4506" s="31">
        <v>1</v>
      </c>
      <c r="N4506" s="31">
        <f t="shared" si="1897"/>
        <v>1</v>
      </c>
      <c r="O4506" s="29" t="s">
        <v>1702</v>
      </c>
      <c r="P4506" s="32" t="str">
        <f t="shared" si="1898"/>
        <v>29-Sep-1907</v>
      </c>
      <c r="Q4506" s="16"/>
      <c r="R4506" s="16" t="str">
        <f t="shared" si="1881"/>
        <v>x</v>
      </c>
      <c r="S4506" s="16" t="str">
        <f t="shared" si="1881"/>
        <v>x</v>
      </c>
      <c r="T4506" s="33"/>
      <c r="U4506" s="46" t="str">
        <f t="shared" si="1882"/>
        <v/>
      </c>
      <c r="V4506" s="46">
        <f t="shared" si="1882"/>
        <v>3</v>
      </c>
      <c r="W4506" s="46" t="str">
        <f t="shared" si="1882"/>
        <v/>
      </c>
      <c r="X4506" s="46" t="str">
        <f t="shared" si="1882"/>
        <v/>
      </c>
    </row>
    <row r="4507" spans="2:24" s="29" customFormat="1" x14ac:dyDescent="0.25">
      <c r="B4507" s="29" t="str">
        <f t="shared" si="1895"/>
        <v>NYRK-27OCT1907</v>
      </c>
      <c r="C4507" s="29" t="s">
        <v>1700</v>
      </c>
      <c r="D4507" s="45" t="s">
        <v>2224</v>
      </c>
      <c r="E4507" s="42" t="s">
        <v>1461</v>
      </c>
      <c r="F4507" s="29" t="s">
        <v>1700</v>
      </c>
      <c r="G4507" s="42" t="s">
        <v>2723</v>
      </c>
      <c r="H4507" s="30">
        <v>0</v>
      </c>
      <c r="I4507" s="30">
        <v>2</v>
      </c>
      <c r="J4507" s="30">
        <v>0</v>
      </c>
      <c r="K4507" s="30"/>
      <c r="L4507" s="30">
        <f t="shared" si="1896"/>
        <v>2</v>
      </c>
      <c r="M4507" s="31">
        <v>1</v>
      </c>
      <c r="N4507" s="31">
        <f t="shared" si="1897"/>
        <v>1</v>
      </c>
      <c r="O4507" s="29" t="s">
        <v>1702</v>
      </c>
      <c r="P4507" s="32" t="str">
        <f t="shared" si="1898"/>
        <v>27-Oct-1907</v>
      </c>
      <c r="Q4507" s="16"/>
      <c r="R4507" s="16" t="str">
        <f t="shared" si="1881"/>
        <v>x</v>
      </c>
      <c r="S4507" s="16" t="str">
        <f t="shared" si="1881"/>
        <v>x</v>
      </c>
      <c r="T4507" s="33"/>
      <c r="U4507" s="46" t="str">
        <f t="shared" si="1882"/>
        <v/>
      </c>
      <c r="V4507" s="46">
        <f t="shared" si="1882"/>
        <v>2</v>
      </c>
      <c r="W4507" s="46" t="str">
        <f t="shared" si="1882"/>
        <v/>
      </c>
      <c r="X4507" s="46" t="str">
        <f t="shared" si="1882"/>
        <v/>
      </c>
    </row>
    <row r="4508" spans="2:24" s="29" customFormat="1" x14ac:dyDescent="0.25">
      <c r="B4508" s="29" t="str">
        <f t="shared" si="1895"/>
        <v>NYRK-23NOV1907</v>
      </c>
      <c r="C4508" s="29" t="s">
        <v>1700</v>
      </c>
      <c r="D4508" s="45" t="s">
        <v>2224</v>
      </c>
      <c r="E4508" s="42" t="s">
        <v>1462</v>
      </c>
      <c r="F4508" s="29" t="s">
        <v>1700</v>
      </c>
      <c r="G4508" s="42" t="s">
        <v>1209</v>
      </c>
      <c r="H4508" s="30">
        <v>0</v>
      </c>
      <c r="I4508" s="30">
        <v>0</v>
      </c>
      <c r="J4508" s="30">
        <v>1</v>
      </c>
      <c r="K4508" s="30"/>
      <c r="L4508" s="30">
        <f t="shared" si="1896"/>
        <v>1</v>
      </c>
      <c r="M4508" s="31">
        <v>1</v>
      </c>
      <c r="N4508" s="31">
        <f t="shared" si="1897"/>
        <v>1</v>
      </c>
      <c r="O4508" s="29" t="s">
        <v>1702</v>
      </c>
      <c r="P4508" s="32" t="str">
        <f t="shared" si="1898"/>
        <v>23-Nov-1907</v>
      </c>
      <c r="Q4508" s="16"/>
      <c r="R4508" s="16" t="str">
        <f t="shared" ref="R4508:S4572" si="1899">IF($L4508&gt;0,"x","")</f>
        <v>x</v>
      </c>
      <c r="S4508" s="16" t="str">
        <f t="shared" si="1899"/>
        <v>x</v>
      </c>
      <c r="T4508" s="33"/>
      <c r="U4508" s="46" t="str">
        <f t="shared" si="1882"/>
        <v/>
      </c>
      <c r="V4508" s="46">
        <f t="shared" si="1882"/>
        <v>1</v>
      </c>
      <c r="W4508" s="46" t="str">
        <f t="shared" si="1882"/>
        <v/>
      </c>
      <c r="X4508" s="46" t="str">
        <f t="shared" si="1882"/>
        <v/>
      </c>
    </row>
    <row r="4509" spans="2:24" s="29" customFormat="1" x14ac:dyDescent="0.25">
      <c r="B4509" s="29" t="str">
        <f t="shared" si="1895"/>
        <v>NYRK-22DEC1907</v>
      </c>
      <c r="C4509" s="29" t="s">
        <v>1700</v>
      </c>
      <c r="D4509" s="45" t="s">
        <v>2224</v>
      </c>
      <c r="E4509" s="42" t="s">
        <v>2252</v>
      </c>
      <c r="F4509" s="29" t="s">
        <v>1700</v>
      </c>
      <c r="G4509" s="42" t="s">
        <v>2724</v>
      </c>
      <c r="H4509" s="30">
        <v>0</v>
      </c>
      <c r="I4509" s="30">
        <v>0</v>
      </c>
      <c r="J4509" s="30">
        <v>7</v>
      </c>
      <c r="K4509" s="30"/>
      <c r="L4509" s="30">
        <f t="shared" si="1896"/>
        <v>7</v>
      </c>
      <c r="M4509" s="31">
        <v>1</v>
      </c>
      <c r="N4509" s="31">
        <f t="shared" si="1897"/>
        <v>1</v>
      </c>
      <c r="O4509" s="29" t="s">
        <v>1702</v>
      </c>
      <c r="P4509" s="32" t="str">
        <f t="shared" si="1898"/>
        <v>22-Dec-1907</v>
      </c>
      <c r="Q4509" s="16"/>
      <c r="R4509" s="16" t="str">
        <f t="shared" si="1899"/>
        <v>x</v>
      </c>
      <c r="S4509" s="16" t="str">
        <f t="shared" si="1899"/>
        <v>x</v>
      </c>
      <c r="T4509" s="33"/>
      <c r="U4509" s="46" t="str">
        <f t="shared" si="1882"/>
        <v/>
      </c>
      <c r="V4509" s="46">
        <f t="shared" si="1882"/>
        <v>7</v>
      </c>
      <c r="W4509" s="46" t="str">
        <f t="shared" si="1882"/>
        <v/>
      </c>
      <c r="X4509" s="46" t="str">
        <f t="shared" si="1882"/>
        <v/>
      </c>
    </row>
    <row r="4510" spans="2:24" s="29" customFormat="1" x14ac:dyDescent="0.25">
      <c r="B4510" s="29" t="str">
        <f t="shared" si="1895"/>
        <v>NYRK-20JAN1908</v>
      </c>
      <c r="C4510" s="29" t="s">
        <v>1700</v>
      </c>
      <c r="D4510" s="45" t="s">
        <v>2224</v>
      </c>
      <c r="E4510" s="42" t="s">
        <v>840</v>
      </c>
      <c r="F4510" s="29" t="s">
        <v>1700</v>
      </c>
      <c r="G4510" s="42" t="s">
        <v>2727</v>
      </c>
      <c r="H4510" s="30">
        <v>0</v>
      </c>
      <c r="I4510" s="30">
        <v>0</v>
      </c>
      <c r="J4510" s="30">
        <v>9</v>
      </c>
      <c r="K4510" s="30"/>
      <c r="L4510" s="30">
        <f t="shared" si="1896"/>
        <v>9</v>
      </c>
      <c r="M4510" s="31">
        <v>1</v>
      </c>
      <c r="N4510" s="31">
        <f t="shared" si="1897"/>
        <v>1</v>
      </c>
      <c r="O4510" s="29" t="s">
        <v>1702</v>
      </c>
      <c r="P4510" s="32" t="str">
        <f t="shared" si="1898"/>
        <v>20-Jan-1908</v>
      </c>
      <c r="Q4510" s="16"/>
      <c r="R4510" s="16" t="str">
        <f t="shared" si="1899"/>
        <v>x</v>
      </c>
      <c r="S4510" s="16" t="str">
        <f t="shared" si="1899"/>
        <v>x</v>
      </c>
      <c r="T4510" s="33"/>
      <c r="U4510" s="46" t="str">
        <f t="shared" si="1882"/>
        <v/>
      </c>
      <c r="V4510" s="46">
        <f t="shared" si="1882"/>
        <v>9</v>
      </c>
      <c r="W4510" s="46" t="str">
        <f t="shared" si="1882"/>
        <v/>
      </c>
      <c r="X4510" s="46" t="str">
        <f t="shared" si="1882"/>
        <v/>
      </c>
    </row>
    <row r="4511" spans="2:24" s="29" customFormat="1" x14ac:dyDescent="0.25">
      <c r="B4511" s="29" t="str">
        <f t="shared" si="1895"/>
        <v>NYRK-16FEB1908</v>
      </c>
      <c r="C4511" s="29" t="s">
        <v>1700</v>
      </c>
      <c r="D4511" s="45" t="s">
        <v>2224</v>
      </c>
      <c r="E4511" s="42" t="s">
        <v>842</v>
      </c>
      <c r="F4511" s="29" t="s">
        <v>1700</v>
      </c>
      <c r="G4511" s="42" t="s">
        <v>2728</v>
      </c>
      <c r="H4511" s="30">
        <v>0</v>
      </c>
      <c r="I4511" s="30">
        <v>1</v>
      </c>
      <c r="J4511" s="30">
        <v>10</v>
      </c>
      <c r="K4511" s="30"/>
      <c r="L4511" s="30">
        <f t="shared" si="1896"/>
        <v>11</v>
      </c>
      <c r="M4511" s="31">
        <v>1</v>
      </c>
      <c r="N4511" s="31">
        <f t="shared" si="1897"/>
        <v>1</v>
      </c>
      <c r="O4511" s="29" t="s">
        <v>1702</v>
      </c>
      <c r="P4511" s="32" t="str">
        <f t="shared" si="1898"/>
        <v>16-Feb-1908</v>
      </c>
      <c r="Q4511" s="16"/>
      <c r="R4511" s="16" t="str">
        <f t="shared" si="1899"/>
        <v>x</v>
      </c>
      <c r="S4511" s="16" t="str">
        <f t="shared" si="1899"/>
        <v>x</v>
      </c>
      <c r="T4511" s="33"/>
      <c r="U4511" s="46" t="str">
        <f t="shared" si="1882"/>
        <v/>
      </c>
      <c r="V4511" s="46">
        <f t="shared" si="1882"/>
        <v>11</v>
      </c>
      <c r="W4511" s="46" t="str">
        <f t="shared" si="1882"/>
        <v/>
      </c>
      <c r="X4511" s="46" t="str">
        <f t="shared" si="1882"/>
        <v/>
      </c>
    </row>
    <row r="4512" spans="2:24" s="29" customFormat="1" x14ac:dyDescent="0.25">
      <c r="B4512" s="29" t="str">
        <f t="shared" ref="B4512:B4519" si="1900">CONCATENATE("NYRK","-",LEFT(P4512,2),UPPER(MID(P4512,4,3)),RIGHT(P4512,4))</f>
        <v>NYRK-15MAR1908</v>
      </c>
      <c r="C4512" s="29" t="s">
        <v>1700</v>
      </c>
      <c r="D4512" s="45" t="s">
        <v>2224</v>
      </c>
      <c r="E4512" s="42" t="s">
        <v>843</v>
      </c>
      <c r="F4512" s="29" t="s">
        <v>1700</v>
      </c>
      <c r="G4512" s="42" t="s">
        <v>836</v>
      </c>
      <c r="H4512" s="30">
        <v>0</v>
      </c>
      <c r="I4512" s="30">
        <v>0</v>
      </c>
      <c r="J4512" s="30">
        <v>0</v>
      </c>
      <c r="K4512" s="30"/>
      <c r="L4512" s="30">
        <f t="shared" ref="L4512:L4519" si="1901">SUM(H4512:K4512)</f>
        <v>0</v>
      </c>
      <c r="M4512" s="31">
        <v>1</v>
      </c>
      <c r="N4512" s="31" t="str">
        <f t="shared" ref="N4512:N4519" si="1902">IF(L4512&gt;0,1,"")</f>
        <v/>
      </c>
      <c r="O4512" s="29" t="s">
        <v>1702</v>
      </c>
      <c r="P4512" s="32" t="str">
        <f t="shared" ref="P4512:P4519" si="1903">IF(LEN(G4512)=10,CONCATENATE("0",G4512),G4512)</f>
        <v>15-Mar-1908</v>
      </c>
      <c r="Q4512" s="16"/>
      <c r="R4512" s="16" t="str">
        <f t="shared" si="1899"/>
        <v/>
      </c>
      <c r="S4512" s="16" t="str">
        <f t="shared" si="1899"/>
        <v/>
      </c>
      <c r="T4512" s="33"/>
      <c r="U4512" s="46" t="str">
        <f t="shared" si="1882"/>
        <v/>
      </c>
      <c r="V4512" s="46">
        <f t="shared" si="1882"/>
        <v>0</v>
      </c>
      <c r="W4512" s="46" t="str">
        <f t="shared" si="1882"/>
        <v/>
      </c>
      <c r="X4512" s="46" t="str">
        <f t="shared" si="1882"/>
        <v/>
      </c>
    </row>
    <row r="4513" spans="2:24" s="29" customFormat="1" x14ac:dyDescent="0.25">
      <c r="B4513" s="29" t="str">
        <f t="shared" si="1900"/>
        <v>NYRK-12APR1908</v>
      </c>
      <c r="C4513" s="29" t="s">
        <v>1700</v>
      </c>
      <c r="D4513" s="45" t="s">
        <v>2224</v>
      </c>
      <c r="E4513" s="42" t="s">
        <v>90</v>
      </c>
      <c r="F4513" s="29" t="s">
        <v>1700</v>
      </c>
      <c r="G4513" s="42" t="s">
        <v>91</v>
      </c>
      <c r="H4513" s="30">
        <v>0</v>
      </c>
      <c r="I4513" s="30">
        <v>0</v>
      </c>
      <c r="J4513" s="30">
        <v>5</v>
      </c>
      <c r="K4513" s="30"/>
      <c r="L4513" s="30">
        <f t="shared" si="1901"/>
        <v>5</v>
      </c>
      <c r="M4513" s="31">
        <v>1</v>
      </c>
      <c r="N4513" s="31">
        <f t="shared" si="1902"/>
        <v>1</v>
      </c>
      <c r="O4513" s="29" t="s">
        <v>1702</v>
      </c>
      <c r="P4513" s="32" t="str">
        <f t="shared" si="1903"/>
        <v>12-Apr-1908</v>
      </c>
      <c r="Q4513" s="16"/>
      <c r="R4513" s="16" t="str">
        <f t="shared" si="1899"/>
        <v>x</v>
      </c>
      <c r="S4513" s="16" t="str">
        <f t="shared" si="1899"/>
        <v>x</v>
      </c>
      <c r="T4513" s="33"/>
      <c r="U4513" s="46" t="str">
        <f t="shared" si="1882"/>
        <v/>
      </c>
      <c r="V4513" s="46">
        <f t="shared" si="1882"/>
        <v>5</v>
      </c>
      <c r="W4513" s="46" t="str">
        <f t="shared" si="1882"/>
        <v/>
      </c>
      <c r="X4513" s="46" t="str">
        <f t="shared" si="1882"/>
        <v/>
      </c>
    </row>
    <row r="4514" spans="2:24" s="29" customFormat="1" x14ac:dyDescent="0.25">
      <c r="B4514" s="29" t="str">
        <f t="shared" si="1900"/>
        <v>NYRK-10MAY1908</v>
      </c>
      <c r="C4514" s="29" t="s">
        <v>1700</v>
      </c>
      <c r="D4514" s="45" t="s">
        <v>2224</v>
      </c>
      <c r="E4514" s="42" t="s">
        <v>1211</v>
      </c>
      <c r="F4514" s="29" t="s">
        <v>1700</v>
      </c>
      <c r="G4514" s="42" t="s">
        <v>2729</v>
      </c>
      <c r="H4514" s="30">
        <v>0</v>
      </c>
      <c r="I4514" s="30">
        <v>0</v>
      </c>
      <c r="J4514" s="30">
        <v>2</v>
      </c>
      <c r="K4514" s="30"/>
      <c r="L4514" s="30">
        <f t="shared" si="1901"/>
        <v>2</v>
      </c>
      <c r="M4514" s="31">
        <v>1</v>
      </c>
      <c r="N4514" s="31">
        <f t="shared" si="1902"/>
        <v>1</v>
      </c>
      <c r="O4514" s="29" t="s">
        <v>1702</v>
      </c>
      <c r="P4514" s="32" t="str">
        <f t="shared" si="1903"/>
        <v>10-May-1908</v>
      </c>
      <c r="Q4514" s="16"/>
      <c r="R4514" s="16" t="str">
        <f t="shared" si="1899"/>
        <v>x</v>
      </c>
      <c r="S4514" s="16" t="str">
        <f t="shared" si="1899"/>
        <v>x</v>
      </c>
      <c r="T4514" s="33"/>
      <c r="U4514" s="46" t="str">
        <f t="shared" si="1882"/>
        <v/>
      </c>
      <c r="V4514" s="46">
        <f t="shared" si="1882"/>
        <v>2</v>
      </c>
      <c r="W4514" s="46" t="str">
        <f t="shared" si="1882"/>
        <v/>
      </c>
      <c r="X4514" s="46" t="str">
        <f t="shared" si="1882"/>
        <v/>
      </c>
    </row>
    <row r="4515" spans="2:24" s="29" customFormat="1" x14ac:dyDescent="0.25">
      <c r="B4515" s="29" t="str">
        <f t="shared" si="1900"/>
        <v>NYRK-07JUN1908</v>
      </c>
      <c r="C4515" s="29" t="s">
        <v>1700</v>
      </c>
      <c r="D4515" s="45" t="s">
        <v>2224</v>
      </c>
      <c r="E4515" s="42" t="s">
        <v>922</v>
      </c>
      <c r="F4515" s="29" t="s">
        <v>1700</v>
      </c>
      <c r="G4515" s="42" t="s">
        <v>2730</v>
      </c>
      <c r="H4515" s="30">
        <v>0</v>
      </c>
      <c r="I4515" s="30">
        <v>0</v>
      </c>
      <c r="J4515" s="30">
        <v>1</v>
      </c>
      <c r="K4515" s="30"/>
      <c r="L4515" s="30">
        <f t="shared" si="1901"/>
        <v>1</v>
      </c>
      <c r="M4515" s="31">
        <v>1</v>
      </c>
      <c r="N4515" s="31">
        <f t="shared" si="1902"/>
        <v>1</v>
      </c>
      <c r="O4515" s="29" t="s">
        <v>1702</v>
      </c>
      <c r="P4515" s="32" t="str">
        <f t="shared" si="1903"/>
        <v>07-Jun-1908</v>
      </c>
      <c r="Q4515" s="16"/>
      <c r="R4515" s="16" t="str">
        <f t="shared" si="1899"/>
        <v>x</v>
      </c>
      <c r="S4515" s="16" t="str">
        <f t="shared" si="1899"/>
        <v>x</v>
      </c>
      <c r="T4515" s="33"/>
      <c r="U4515" s="46" t="str">
        <f t="shared" si="1882"/>
        <v/>
      </c>
      <c r="V4515" s="46">
        <f t="shared" si="1882"/>
        <v>1</v>
      </c>
      <c r="W4515" s="46" t="str">
        <f t="shared" si="1882"/>
        <v/>
      </c>
      <c r="X4515" s="46" t="str">
        <f t="shared" si="1882"/>
        <v/>
      </c>
    </row>
    <row r="4516" spans="2:24" s="29" customFormat="1" x14ac:dyDescent="0.25">
      <c r="B4516" s="29" t="str">
        <f t="shared" si="1900"/>
        <v>NYRK-06JUL1908</v>
      </c>
      <c r="C4516" s="29" t="s">
        <v>1700</v>
      </c>
      <c r="D4516" s="45" t="s">
        <v>2224</v>
      </c>
      <c r="E4516" s="42" t="s">
        <v>1823</v>
      </c>
      <c r="F4516" s="29" t="s">
        <v>1700</v>
      </c>
      <c r="G4516" s="42" t="s">
        <v>2733</v>
      </c>
      <c r="H4516" s="30">
        <v>0</v>
      </c>
      <c r="I4516" s="30">
        <v>0</v>
      </c>
      <c r="J4516" s="30">
        <v>4</v>
      </c>
      <c r="K4516" s="30"/>
      <c r="L4516" s="30">
        <f t="shared" si="1901"/>
        <v>4</v>
      </c>
      <c r="M4516" s="31">
        <v>1</v>
      </c>
      <c r="N4516" s="31">
        <f t="shared" si="1902"/>
        <v>1</v>
      </c>
      <c r="O4516" s="29" t="s">
        <v>1702</v>
      </c>
      <c r="P4516" s="32" t="str">
        <f t="shared" si="1903"/>
        <v>06-Jul-1908</v>
      </c>
      <c r="Q4516" s="16"/>
      <c r="R4516" s="16" t="str">
        <f t="shared" si="1899"/>
        <v>x</v>
      </c>
      <c r="S4516" s="16" t="str">
        <f t="shared" si="1899"/>
        <v>x</v>
      </c>
      <c r="T4516" s="33"/>
      <c r="U4516" s="46" t="str">
        <f t="shared" si="1882"/>
        <v/>
      </c>
      <c r="V4516" s="46">
        <f t="shared" si="1882"/>
        <v>4</v>
      </c>
      <c r="W4516" s="46" t="str">
        <f t="shared" si="1882"/>
        <v/>
      </c>
      <c r="X4516" s="46" t="str">
        <f>IF($O4516=X$5,$L4516,"")</f>
        <v/>
      </c>
    </row>
    <row r="4517" spans="2:24" s="29" customFormat="1" x14ac:dyDescent="0.25">
      <c r="B4517" s="29" t="str">
        <f t="shared" si="1900"/>
        <v>NYRK-08AUG1908</v>
      </c>
      <c r="C4517" s="29" t="s">
        <v>1700</v>
      </c>
      <c r="D4517" s="45" t="s">
        <v>2224</v>
      </c>
      <c r="E4517" s="42" t="s">
        <v>844</v>
      </c>
      <c r="F4517" s="29" t="s">
        <v>1700</v>
      </c>
      <c r="G4517" s="42" t="s">
        <v>2306</v>
      </c>
      <c r="H4517" s="30">
        <v>0</v>
      </c>
      <c r="I4517" s="30">
        <v>1</v>
      </c>
      <c r="J4517" s="30">
        <v>2</v>
      </c>
      <c r="K4517" s="30"/>
      <c r="L4517" s="30">
        <f t="shared" si="1901"/>
        <v>3</v>
      </c>
      <c r="M4517" s="31">
        <v>1</v>
      </c>
      <c r="N4517" s="31">
        <f t="shared" si="1902"/>
        <v>1</v>
      </c>
      <c r="O4517" s="29" t="s">
        <v>1702</v>
      </c>
      <c r="P4517" s="32" t="str">
        <f t="shared" si="1903"/>
        <v>08-Aug-1908</v>
      </c>
      <c r="Q4517" s="16"/>
      <c r="R4517" s="16" t="str">
        <f t="shared" si="1899"/>
        <v>x</v>
      </c>
      <c r="S4517" s="16" t="str">
        <f t="shared" si="1899"/>
        <v>x</v>
      </c>
      <c r="T4517" s="33"/>
      <c r="U4517" s="46" t="str">
        <f t="shared" ref="U4517:X4582" si="1904">IF($O4517=U$5,$L4517,"")</f>
        <v/>
      </c>
      <c r="V4517" s="46">
        <f t="shared" si="1904"/>
        <v>3</v>
      </c>
      <c r="W4517" s="46" t="str">
        <f t="shared" si="1904"/>
        <v/>
      </c>
      <c r="X4517" s="46" t="str">
        <f t="shared" si="1904"/>
        <v/>
      </c>
    </row>
    <row r="4518" spans="2:24" s="29" customFormat="1" x14ac:dyDescent="0.25">
      <c r="B4518" s="29" t="str">
        <f t="shared" si="1900"/>
        <v>NYRK-05SEP1908</v>
      </c>
      <c r="C4518" s="29" t="s">
        <v>1700</v>
      </c>
      <c r="D4518" s="45" t="s">
        <v>2224</v>
      </c>
      <c r="E4518" s="42" t="s">
        <v>1226</v>
      </c>
      <c r="F4518" s="29" t="s">
        <v>1700</v>
      </c>
      <c r="G4518" s="42" t="s">
        <v>1215</v>
      </c>
      <c r="H4518" s="30">
        <v>0</v>
      </c>
      <c r="I4518" s="30">
        <v>0</v>
      </c>
      <c r="J4518" s="30">
        <v>4</v>
      </c>
      <c r="K4518" s="30"/>
      <c r="L4518" s="30">
        <f t="shared" si="1901"/>
        <v>4</v>
      </c>
      <c r="M4518" s="31">
        <v>1</v>
      </c>
      <c r="N4518" s="31">
        <f t="shared" si="1902"/>
        <v>1</v>
      </c>
      <c r="O4518" s="29" t="s">
        <v>1702</v>
      </c>
      <c r="P4518" s="32" t="str">
        <f t="shared" si="1903"/>
        <v>05-Sep-1908</v>
      </c>
      <c r="Q4518" s="16"/>
      <c r="R4518" s="16" t="str">
        <f t="shared" si="1899"/>
        <v>x</v>
      </c>
      <c r="S4518" s="16" t="str">
        <f t="shared" si="1899"/>
        <v>x</v>
      </c>
      <c r="T4518" s="33"/>
      <c r="U4518" s="46" t="str">
        <f t="shared" si="1904"/>
        <v/>
      </c>
      <c r="V4518" s="46">
        <f t="shared" si="1904"/>
        <v>4</v>
      </c>
      <c r="W4518" s="46" t="str">
        <f t="shared" si="1904"/>
        <v/>
      </c>
      <c r="X4518" s="46" t="str">
        <f t="shared" si="1904"/>
        <v/>
      </c>
    </row>
    <row r="4519" spans="2:24" s="29" customFormat="1" x14ac:dyDescent="0.25">
      <c r="B4519" s="29" t="str">
        <f t="shared" si="1900"/>
        <v>NYRK-05OCT1908</v>
      </c>
      <c r="C4519" s="29" t="s">
        <v>1700</v>
      </c>
      <c r="D4519" s="45" t="s">
        <v>2224</v>
      </c>
      <c r="E4519" s="42" t="s">
        <v>1216</v>
      </c>
      <c r="F4519" s="29" t="s">
        <v>1700</v>
      </c>
      <c r="G4519" s="42" t="s">
        <v>2734</v>
      </c>
      <c r="H4519" s="30">
        <v>0</v>
      </c>
      <c r="I4519" s="30">
        <v>0</v>
      </c>
      <c r="J4519" s="30">
        <v>1</v>
      </c>
      <c r="K4519" s="30"/>
      <c r="L4519" s="30">
        <f t="shared" si="1901"/>
        <v>1</v>
      </c>
      <c r="M4519" s="31">
        <v>1</v>
      </c>
      <c r="N4519" s="31">
        <f t="shared" si="1902"/>
        <v>1</v>
      </c>
      <c r="O4519" s="29" t="s">
        <v>1702</v>
      </c>
      <c r="P4519" s="32" t="str">
        <f t="shared" si="1903"/>
        <v>05-Oct-1908</v>
      </c>
      <c r="Q4519" s="16"/>
      <c r="R4519" s="16" t="str">
        <f t="shared" si="1899"/>
        <v>x</v>
      </c>
      <c r="S4519" s="16" t="str">
        <f t="shared" si="1899"/>
        <v>x</v>
      </c>
      <c r="T4519" s="33"/>
      <c r="U4519" s="46" t="str">
        <f t="shared" si="1904"/>
        <v/>
      </c>
      <c r="V4519" s="46">
        <f t="shared" si="1904"/>
        <v>1</v>
      </c>
      <c r="W4519" s="46" t="str">
        <f t="shared" si="1904"/>
        <v/>
      </c>
      <c r="X4519" s="46" t="str">
        <f t="shared" si="1904"/>
        <v/>
      </c>
    </row>
    <row r="4520" spans="2:24" s="29" customFormat="1" x14ac:dyDescent="0.25">
      <c r="B4520" s="29" t="str">
        <f t="shared" si="1895"/>
        <v>NYRK-01NOV1908</v>
      </c>
      <c r="C4520" s="29" t="s">
        <v>1700</v>
      </c>
      <c r="D4520" s="45" t="s">
        <v>2224</v>
      </c>
      <c r="E4520" s="42" t="s">
        <v>1217</v>
      </c>
      <c r="F4520" s="29" t="s">
        <v>1700</v>
      </c>
      <c r="G4520" s="42" t="s">
        <v>2731</v>
      </c>
      <c r="H4520" s="30">
        <v>0</v>
      </c>
      <c r="I4520" s="30">
        <v>0</v>
      </c>
      <c r="J4520" s="30">
        <v>6</v>
      </c>
      <c r="K4520" s="30"/>
      <c r="L4520" s="30">
        <f t="shared" si="1896"/>
        <v>6</v>
      </c>
      <c r="M4520" s="31">
        <v>1</v>
      </c>
      <c r="N4520" s="31">
        <f t="shared" si="1897"/>
        <v>1</v>
      </c>
      <c r="O4520" s="29" t="s">
        <v>1702</v>
      </c>
      <c r="P4520" s="32" t="str">
        <f t="shared" si="1898"/>
        <v>01-Nov-1908</v>
      </c>
      <c r="Q4520" s="16"/>
      <c r="R4520" s="16" t="str">
        <f t="shared" si="1899"/>
        <v>x</v>
      </c>
      <c r="S4520" s="16" t="str">
        <f t="shared" si="1899"/>
        <v>x</v>
      </c>
      <c r="T4520" s="33"/>
      <c r="U4520" s="46" t="str">
        <f t="shared" si="1904"/>
        <v/>
      </c>
      <c r="V4520" s="46">
        <f t="shared" si="1904"/>
        <v>6</v>
      </c>
      <c r="W4520" s="46" t="str">
        <f t="shared" si="1904"/>
        <v/>
      </c>
      <c r="X4520" s="46" t="str">
        <f t="shared" si="1904"/>
        <v/>
      </c>
    </row>
    <row r="4521" spans="2:24" s="29" customFormat="1" x14ac:dyDescent="0.25">
      <c r="B4521" s="29" t="str">
        <f t="shared" si="1895"/>
        <v>NYRK-29NOV1908</v>
      </c>
      <c r="C4521" s="29" t="s">
        <v>1700</v>
      </c>
      <c r="D4521" s="45" t="s">
        <v>2224</v>
      </c>
      <c r="E4521" s="42" t="s">
        <v>1218</v>
      </c>
      <c r="F4521" s="29" t="s">
        <v>1700</v>
      </c>
      <c r="G4521" s="42" t="s">
        <v>2732</v>
      </c>
      <c r="H4521" s="30">
        <v>0</v>
      </c>
      <c r="I4521" s="30">
        <v>0</v>
      </c>
      <c r="J4521" s="30">
        <v>4</v>
      </c>
      <c r="K4521" s="30"/>
      <c r="L4521" s="30">
        <f t="shared" si="1896"/>
        <v>4</v>
      </c>
      <c r="M4521" s="31">
        <v>1</v>
      </c>
      <c r="N4521" s="31">
        <f t="shared" si="1897"/>
        <v>1</v>
      </c>
      <c r="O4521" s="29" t="s">
        <v>1702</v>
      </c>
      <c r="P4521" s="32" t="str">
        <f t="shared" si="1898"/>
        <v>29-Nov-1908</v>
      </c>
      <c r="Q4521" s="16"/>
      <c r="R4521" s="16" t="str">
        <f t="shared" si="1899"/>
        <v>x</v>
      </c>
      <c r="S4521" s="16" t="str">
        <f t="shared" si="1899"/>
        <v>x</v>
      </c>
      <c r="T4521" s="33"/>
      <c r="U4521" s="46" t="str">
        <f t="shared" si="1904"/>
        <v/>
      </c>
      <c r="V4521" s="46">
        <f t="shared" si="1904"/>
        <v>4</v>
      </c>
      <c r="W4521" s="46" t="str">
        <f t="shared" si="1904"/>
        <v/>
      </c>
      <c r="X4521" s="46" t="str">
        <f t="shared" si="1904"/>
        <v/>
      </c>
    </row>
    <row r="4522" spans="2:24" s="29" customFormat="1" x14ac:dyDescent="0.25">
      <c r="B4522" s="29" t="str">
        <f t="shared" si="1895"/>
        <v>NYRK-27DEC1908</v>
      </c>
      <c r="C4522" s="29" t="s">
        <v>1700</v>
      </c>
      <c r="D4522" s="45" t="s">
        <v>2224</v>
      </c>
      <c r="E4522" s="42" t="s">
        <v>2307</v>
      </c>
      <c r="F4522" s="29" t="s">
        <v>1700</v>
      </c>
      <c r="G4522" s="42" t="s">
        <v>2304</v>
      </c>
      <c r="H4522" s="30">
        <v>0</v>
      </c>
      <c r="I4522" s="30">
        <v>3</v>
      </c>
      <c r="J4522" s="30">
        <v>6</v>
      </c>
      <c r="K4522" s="30"/>
      <c r="L4522" s="30">
        <f t="shared" si="1896"/>
        <v>9</v>
      </c>
      <c r="M4522" s="31">
        <v>1</v>
      </c>
      <c r="N4522" s="31">
        <f t="shared" si="1897"/>
        <v>1</v>
      </c>
      <c r="O4522" s="29" t="s">
        <v>1702</v>
      </c>
      <c r="P4522" s="32" t="str">
        <f t="shared" si="1898"/>
        <v>27-Dec-1908</v>
      </c>
      <c r="Q4522" s="16"/>
      <c r="R4522" s="16" t="str">
        <f t="shared" si="1899"/>
        <v>x</v>
      </c>
      <c r="S4522" s="16" t="str">
        <f t="shared" si="1899"/>
        <v>x</v>
      </c>
      <c r="T4522" s="33"/>
      <c r="U4522" s="46" t="str">
        <f t="shared" si="1904"/>
        <v/>
      </c>
      <c r="V4522" s="46">
        <f t="shared" si="1904"/>
        <v>9</v>
      </c>
      <c r="W4522" s="46" t="str">
        <f t="shared" si="1904"/>
        <v/>
      </c>
      <c r="X4522" s="46" t="str">
        <f t="shared" si="1904"/>
        <v/>
      </c>
    </row>
    <row r="4523" spans="2:24" s="29" customFormat="1" x14ac:dyDescent="0.25">
      <c r="B4523" s="29" t="str">
        <f t="shared" ref="B4523:B4537" si="1905">CONCATENATE("NYRK","-",LEFT(P4523,2),UPPER(MID(P4523,4,3)),RIGHT(P4523,4))</f>
        <v>NYRK-25JAN1909</v>
      </c>
      <c r="C4523" s="29" t="s">
        <v>1700</v>
      </c>
      <c r="D4523" s="45" t="s">
        <v>2224</v>
      </c>
      <c r="E4523" s="42" t="s">
        <v>1476</v>
      </c>
      <c r="F4523" s="29" t="s">
        <v>1700</v>
      </c>
      <c r="G4523" s="42" t="s">
        <v>2308</v>
      </c>
      <c r="H4523" s="30">
        <v>0</v>
      </c>
      <c r="I4523" s="30">
        <v>0</v>
      </c>
      <c r="J4523" s="30">
        <v>7</v>
      </c>
      <c r="K4523" s="30"/>
      <c r="L4523" s="30">
        <f t="shared" ref="L4523:L4537" si="1906">SUM(H4523:K4523)</f>
        <v>7</v>
      </c>
      <c r="M4523" s="31">
        <v>1</v>
      </c>
      <c r="N4523" s="31">
        <f t="shared" ref="N4523:N4537" si="1907">IF(L4523&gt;0,1,"")</f>
        <v>1</v>
      </c>
      <c r="O4523" s="29" t="s">
        <v>1702</v>
      </c>
      <c r="P4523" s="32" t="str">
        <f t="shared" ref="P4523:P4537" si="1908">IF(LEN(G4523)=10,CONCATENATE("0",G4523),G4523)</f>
        <v>25-Jan-1909</v>
      </c>
      <c r="Q4523" s="16"/>
      <c r="R4523" s="16" t="str">
        <f t="shared" si="1899"/>
        <v>x</v>
      </c>
      <c r="S4523" s="16" t="str">
        <f t="shared" si="1899"/>
        <v>x</v>
      </c>
      <c r="T4523" s="33"/>
      <c r="U4523" s="46" t="str">
        <f t="shared" si="1904"/>
        <v/>
      </c>
      <c r="V4523" s="46">
        <f t="shared" si="1904"/>
        <v>7</v>
      </c>
      <c r="W4523" s="46" t="str">
        <f t="shared" si="1904"/>
        <v/>
      </c>
      <c r="X4523" s="46" t="str">
        <f t="shared" si="1904"/>
        <v/>
      </c>
    </row>
    <row r="4524" spans="2:24" s="29" customFormat="1" x14ac:dyDescent="0.25">
      <c r="B4524" s="29" t="str">
        <f t="shared" si="1905"/>
        <v>NYRK-21FEB1909</v>
      </c>
      <c r="C4524" s="29" t="s">
        <v>1700</v>
      </c>
      <c r="D4524" s="45" t="s">
        <v>2224</v>
      </c>
      <c r="E4524" s="42" t="s">
        <v>932</v>
      </c>
      <c r="F4524" s="29" t="s">
        <v>1700</v>
      </c>
      <c r="G4524" s="42" t="s">
        <v>2735</v>
      </c>
      <c r="H4524" s="30">
        <v>0</v>
      </c>
      <c r="I4524" s="30">
        <v>0</v>
      </c>
      <c r="J4524" s="30">
        <v>4</v>
      </c>
      <c r="K4524" s="30"/>
      <c r="L4524" s="30">
        <f t="shared" si="1906"/>
        <v>4</v>
      </c>
      <c r="M4524" s="31">
        <v>1</v>
      </c>
      <c r="N4524" s="31">
        <f t="shared" si="1907"/>
        <v>1</v>
      </c>
      <c r="O4524" s="29" t="s">
        <v>1702</v>
      </c>
      <c r="P4524" s="32" t="str">
        <f t="shared" si="1908"/>
        <v>21-Feb-1909</v>
      </c>
      <c r="Q4524" s="16"/>
      <c r="R4524" s="16" t="str">
        <f t="shared" si="1899"/>
        <v>x</v>
      </c>
      <c r="S4524" s="16" t="str">
        <f t="shared" si="1899"/>
        <v>x</v>
      </c>
      <c r="T4524" s="33"/>
      <c r="U4524" s="46" t="str">
        <f t="shared" si="1904"/>
        <v/>
      </c>
      <c r="V4524" s="46">
        <f t="shared" si="1904"/>
        <v>4</v>
      </c>
      <c r="W4524" s="46" t="str">
        <f t="shared" si="1904"/>
        <v/>
      </c>
      <c r="X4524" s="46" t="str">
        <f t="shared" si="1904"/>
        <v/>
      </c>
    </row>
    <row r="4525" spans="2:24" s="29" customFormat="1" x14ac:dyDescent="0.25">
      <c r="B4525" s="29" t="str">
        <f t="shared" si="1905"/>
        <v>NYRK-22MAR1909</v>
      </c>
      <c r="C4525" s="29" t="s">
        <v>1700</v>
      </c>
      <c r="D4525" s="45" t="s">
        <v>2224</v>
      </c>
      <c r="E4525" s="42" t="s">
        <v>933</v>
      </c>
      <c r="F4525" s="29" t="s">
        <v>1700</v>
      </c>
      <c r="G4525" s="42" t="s">
        <v>861</v>
      </c>
      <c r="H4525" s="30">
        <v>0</v>
      </c>
      <c r="I4525" s="30">
        <v>0</v>
      </c>
      <c r="J4525" s="30">
        <v>0</v>
      </c>
      <c r="K4525" s="30"/>
      <c r="L4525" s="30">
        <f t="shared" si="1906"/>
        <v>0</v>
      </c>
      <c r="M4525" s="31">
        <v>1</v>
      </c>
      <c r="N4525" s="31" t="str">
        <f t="shared" si="1907"/>
        <v/>
      </c>
      <c r="O4525" s="29" t="s">
        <v>1702</v>
      </c>
      <c r="P4525" s="32" t="str">
        <f t="shared" si="1908"/>
        <v>22-Mar-1909</v>
      </c>
      <c r="Q4525" s="16"/>
      <c r="R4525" s="16" t="str">
        <f t="shared" si="1899"/>
        <v/>
      </c>
      <c r="S4525" s="16" t="str">
        <f t="shared" si="1899"/>
        <v/>
      </c>
      <c r="T4525" s="33"/>
      <c r="U4525" s="46" t="str">
        <f t="shared" si="1904"/>
        <v/>
      </c>
      <c r="V4525" s="46">
        <f t="shared" si="1904"/>
        <v>0</v>
      </c>
      <c r="W4525" s="46" t="str">
        <f t="shared" si="1904"/>
        <v/>
      </c>
      <c r="X4525" s="46" t="str">
        <f t="shared" si="1904"/>
        <v/>
      </c>
    </row>
    <row r="4526" spans="2:24" s="29" customFormat="1" x14ac:dyDescent="0.25">
      <c r="B4526" s="29" t="str">
        <f t="shared" si="1905"/>
        <v>NYRK-18APR1909</v>
      </c>
      <c r="C4526" s="29" t="s">
        <v>1700</v>
      </c>
      <c r="D4526" s="45" t="s">
        <v>2224</v>
      </c>
      <c r="E4526" s="42" t="s">
        <v>1481</v>
      </c>
      <c r="F4526" s="29" t="s">
        <v>1700</v>
      </c>
      <c r="G4526" s="42" t="s">
        <v>2736</v>
      </c>
      <c r="H4526" s="30">
        <v>0</v>
      </c>
      <c r="I4526" s="30">
        <v>0</v>
      </c>
      <c r="J4526" s="30">
        <v>0</v>
      </c>
      <c r="K4526" s="30"/>
      <c r="L4526" s="30">
        <f t="shared" si="1906"/>
        <v>0</v>
      </c>
      <c r="M4526" s="31">
        <v>1</v>
      </c>
      <c r="N4526" s="31" t="str">
        <f t="shared" si="1907"/>
        <v/>
      </c>
      <c r="O4526" s="29" t="s">
        <v>1702</v>
      </c>
      <c r="P4526" s="32" t="str">
        <f t="shared" si="1908"/>
        <v>18-Apr-1909</v>
      </c>
      <c r="Q4526" s="16"/>
      <c r="R4526" s="16" t="str">
        <f t="shared" si="1899"/>
        <v/>
      </c>
      <c r="S4526" s="16" t="str">
        <f t="shared" si="1899"/>
        <v/>
      </c>
      <c r="T4526" s="33"/>
      <c r="U4526" s="46" t="str">
        <f t="shared" si="1904"/>
        <v/>
      </c>
      <c r="V4526" s="46">
        <f t="shared" si="1904"/>
        <v>0</v>
      </c>
      <c r="W4526" s="46" t="str">
        <f t="shared" si="1904"/>
        <v/>
      </c>
      <c r="X4526" s="46" t="str">
        <f t="shared" si="1904"/>
        <v/>
      </c>
    </row>
    <row r="4527" spans="2:24" s="29" customFormat="1" x14ac:dyDescent="0.25">
      <c r="B4527" s="29" t="str">
        <f t="shared" si="1905"/>
        <v>NYRK-16MAY1909</v>
      </c>
      <c r="C4527" s="29" t="s">
        <v>1700</v>
      </c>
      <c r="D4527" s="45" t="s">
        <v>2224</v>
      </c>
      <c r="E4527" s="42" t="s">
        <v>1230</v>
      </c>
      <c r="F4527" s="29" t="s">
        <v>1700</v>
      </c>
      <c r="G4527" s="42" t="s">
        <v>2737</v>
      </c>
      <c r="H4527" s="30">
        <v>0</v>
      </c>
      <c r="I4527" s="30">
        <v>0</v>
      </c>
      <c r="J4527" s="30">
        <v>1</v>
      </c>
      <c r="K4527" s="30"/>
      <c r="L4527" s="30">
        <f t="shared" si="1906"/>
        <v>1</v>
      </c>
      <c r="M4527" s="31">
        <v>1</v>
      </c>
      <c r="N4527" s="31">
        <f t="shared" si="1907"/>
        <v>1</v>
      </c>
      <c r="O4527" s="29" t="s">
        <v>1702</v>
      </c>
      <c r="P4527" s="32" t="str">
        <f t="shared" si="1908"/>
        <v>16-May-1909</v>
      </c>
      <c r="Q4527" s="16"/>
      <c r="R4527" s="16" t="str">
        <f t="shared" si="1899"/>
        <v>x</v>
      </c>
      <c r="S4527" s="16" t="str">
        <f t="shared" si="1899"/>
        <v>x</v>
      </c>
      <c r="T4527" s="33"/>
      <c r="U4527" s="46" t="str">
        <f t="shared" si="1904"/>
        <v/>
      </c>
      <c r="V4527" s="46">
        <f t="shared" si="1904"/>
        <v>1</v>
      </c>
      <c r="W4527" s="46" t="str">
        <f t="shared" si="1904"/>
        <v/>
      </c>
      <c r="X4527" s="46" t="str">
        <f t="shared" si="1904"/>
        <v/>
      </c>
    </row>
    <row r="4528" spans="2:24" s="29" customFormat="1" x14ac:dyDescent="0.25">
      <c r="B4528" s="29" t="str">
        <f t="shared" si="1905"/>
        <v>NYRK-13JUN1909</v>
      </c>
      <c r="C4528" s="29" t="s">
        <v>1700</v>
      </c>
      <c r="D4528" s="45" t="s">
        <v>2224</v>
      </c>
      <c r="E4528" s="42" t="s">
        <v>2744</v>
      </c>
      <c r="F4528" s="29" t="s">
        <v>1700</v>
      </c>
      <c r="G4528" s="42" t="s">
        <v>2738</v>
      </c>
      <c r="H4528" s="30">
        <v>0</v>
      </c>
      <c r="I4528" s="30">
        <v>0</v>
      </c>
      <c r="J4528" s="30">
        <v>0</v>
      </c>
      <c r="K4528" s="30"/>
      <c r="L4528" s="30">
        <f t="shared" si="1906"/>
        <v>0</v>
      </c>
      <c r="M4528" s="31">
        <v>1</v>
      </c>
      <c r="N4528" s="31" t="str">
        <f t="shared" si="1907"/>
        <v/>
      </c>
      <c r="O4528" s="29" t="s">
        <v>1702</v>
      </c>
      <c r="P4528" s="32" t="str">
        <f t="shared" si="1908"/>
        <v>13-Jun-1909</v>
      </c>
      <c r="Q4528" s="16"/>
      <c r="R4528" s="16" t="str">
        <f t="shared" si="1899"/>
        <v/>
      </c>
      <c r="S4528" s="16" t="str">
        <f t="shared" si="1899"/>
        <v/>
      </c>
      <c r="T4528" s="33"/>
      <c r="U4528" s="46" t="str">
        <f t="shared" si="1904"/>
        <v/>
      </c>
      <c r="V4528" s="46">
        <f t="shared" si="1904"/>
        <v>0</v>
      </c>
      <c r="W4528" s="46" t="str">
        <f t="shared" si="1904"/>
        <v/>
      </c>
      <c r="X4528" s="46" t="str">
        <f t="shared" si="1904"/>
        <v/>
      </c>
    </row>
    <row r="4529" spans="2:24" s="29" customFormat="1" x14ac:dyDescent="0.25">
      <c r="B4529" s="29" t="str">
        <f t="shared" si="1905"/>
        <v>NYRK-11JUL1909</v>
      </c>
      <c r="C4529" s="29" t="s">
        <v>1700</v>
      </c>
      <c r="D4529" s="45" t="s">
        <v>2224</v>
      </c>
      <c r="E4529" s="42" t="s">
        <v>1839</v>
      </c>
      <c r="F4529" s="29" t="s">
        <v>1700</v>
      </c>
      <c r="G4529" s="42" t="s">
        <v>1840</v>
      </c>
      <c r="H4529" s="30">
        <v>0</v>
      </c>
      <c r="I4529" s="30">
        <v>0</v>
      </c>
      <c r="J4529" s="30">
        <v>0</v>
      </c>
      <c r="K4529" s="30"/>
      <c r="L4529" s="30">
        <f t="shared" si="1906"/>
        <v>0</v>
      </c>
      <c r="M4529" s="31">
        <v>1</v>
      </c>
      <c r="N4529" s="31" t="str">
        <f t="shared" si="1907"/>
        <v/>
      </c>
      <c r="O4529" s="29" t="s">
        <v>1702</v>
      </c>
      <c r="P4529" s="32" t="str">
        <f t="shared" si="1908"/>
        <v>11-Jul-1909</v>
      </c>
      <c r="Q4529" s="16"/>
      <c r="R4529" s="16" t="str">
        <f t="shared" si="1899"/>
        <v/>
      </c>
      <c r="S4529" s="16" t="str">
        <f t="shared" si="1899"/>
        <v/>
      </c>
      <c r="T4529" s="33"/>
      <c r="U4529" s="46" t="str">
        <f t="shared" si="1904"/>
        <v/>
      </c>
      <c r="V4529" s="46">
        <f t="shared" si="1904"/>
        <v>0</v>
      </c>
      <c r="W4529" s="46" t="str">
        <f t="shared" si="1904"/>
        <v/>
      </c>
      <c r="X4529" s="46" t="str">
        <f t="shared" si="1904"/>
        <v/>
      </c>
    </row>
    <row r="4530" spans="2:24" s="29" customFormat="1" x14ac:dyDescent="0.25">
      <c r="B4530" s="29" t="str">
        <f t="shared" si="1905"/>
        <v>NYRK-14AUG1909</v>
      </c>
      <c r="C4530" s="29" t="s">
        <v>1700</v>
      </c>
      <c r="D4530" s="45" t="s">
        <v>2224</v>
      </c>
      <c r="E4530" s="42" t="s">
        <v>865</v>
      </c>
      <c r="F4530" s="29" t="s">
        <v>1700</v>
      </c>
      <c r="G4530" s="42" t="s">
        <v>2315</v>
      </c>
      <c r="H4530" s="30">
        <v>0</v>
      </c>
      <c r="I4530" s="30">
        <v>0</v>
      </c>
      <c r="J4530" s="30">
        <v>4</v>
      </c>
      <c r="K4530" s="30"/>
      <c r="L4530" s="30">
        <f t="shared" si="1906"/>
        <v>4</v>
      </c>
      <c r="M4530" s="31">
        <v>1</v>
      </c>
      <c r="N4530" s="31">
        <f t="shared" si="1907"/>
        <v>1</v>
      </c>
      <c r="O4530" s="29" t="s">
        <v>1702</v>
      </c>
      <c r="P4530" s="32" t="str">
        <f t="shared" si="1908"/>
        <v>14-Aug-1909</v>
      </c>
      <c r="Q4530" s="16"/>
      <c r="R4530" s="16" t="str">
        <f t="shared" si="1899"/>
        <v>x</v>
      </c>
      <c r="S4530" s="16" t="str">
        <f t="shared" si="1899"/>
        <v>x</v>
      </c>
      <c r="T4530" s="33"/>
      <c r="U4530" s="46" t="str">
        <f t="shared" si="1904"/>
        <v/>
      </c>
      <c r="V4530" s="46">
        <f t="shared" si="1904"/>
        <v>4</v>
      </c>
      <c r="W4530" s="46" t="str">
        <f t="shared" si="1904"/>
        <v/>
      </c>
      <c r="X4530" s="46" t="str">
        <f t="shared" si="1904"/>
        <v/>
      </c>
    </row>
    <row r="4531" spans="2:24" s="29" customFormat="1" x14ac:dyDescent="0.25">
      <c r="B4531" s="29" t="str">
        <f t="shared" si="1905"/>
        <v>NYRK-12SEP1909</v>
      </c>
      <c r="C4531" s="29" t="s">
        <v>1700</v>
      </c>
      <c r="D4531" s="45" t="s">
        <v>2224</v>
      </c>
      <c r="E4531" s="42" t="s">
        <v>1233</v>
      </c>
      <c r="F4531" s="29" t="s">
        <v>1700</v>
      </c>
      <c r="G4531" s="42" t="s">
        <v>2739</v>
      </c>
      <c r="H4531" s="30">
        <v>0</v>
      </c>
      <c r="I4531" s="30">
        <v>0</v>
      </c>
      <c r="J4531" s="30">
        <v>0</v>
      </c>
      <c r="K4531" s="30"/>
      <c r="L4531" s="30">
        <f t="shared" si="1906"/>
        <v>0</v>
      </c>
      <c r="M4531" s="31">
        <v>1</v>
      </c>
      <c r="N4531" s="31" t="str">
        <f t="shared" si="1907"/>
        <v/>
      </c>
      <c r="O4531" s="29" t="s">
        <v>1702</v>
      </c>
      <c r="P4531" s="32" t="str">
        <f t="shared" si="1908"/>
        <v>12-Sep-1909</v>
      </c>
      <c r="Q4531" s="16"/>
      <c r="R4531" s="16" t="str">
        <f t="shared" si="1899"/>
        <v/>
      </c>
      <c r="S4531" s="16" t="str">
        <f t="shared" si="1899"/>
        <v/>
      </c>
      <c r="T4531" s="33"/>
      <c r="U4531" s="46" t="str">
        <f t="shared" si="1904"/>
        <v/>
      </c>
      <c r="V4531" s="46">
        <f t="shared" si="1904"/>
        <v>0</v>
      </c>
      <c r="W4531" s="46" t="str">
        <f t="shared" si="1904"/>
        <v/>
      </c>
      <c r="X4531" s="46" t="str">
        <f t="shared" si="1904"/>
        <v/>
      </c>
    </row>
    <row r="4532" spans="2:24" s="29" customFormat="1" x14ac:dyDescent="0.25">
      <c r="B4532" s="29" t="str">
        <f t="shared" si="1905"/>
        <v>NYRK-10OCT1909</v>
      </c>
      <c r="C4532" s="29" t="s">
        <v>1700</v>
      </c>
      <c r="D4532" s="45" t="s">
        <v>2224</v>
      </c>
      <c r="E4532" s="42" t="s">
        <v>1484</v>
      </c>
      <c r="F4532" s="29" t="s">
        <v>1700</v>
      </c>
      <c r="G4532" s="42" t="s">
        <v>2740</v>
      </c>
      <c r="H4532" s="30">
        <v>2</v>
      </c>
      <c r="I4532" s="30">
        <v>0</v>
      </c>
      <c r="J4532" s="30">
        <v>29</v>
      </c>
      <c r="K4532" s="30"/>
      <c r="L4532" s="30">
        <f t="shared" si="1906"/>
        <v>31</v>
      </c>
      <c r="M4532" s="31">
        <v>1</v>
      </c>
      <c r="N4532" s="31">
        <f t="shared" si="1907"/>
        <v>1</v>
      </c>
      <c r="O4532" s="29" t="s">
        <v>1702</v>
      </c>
      <c r="P4532" s="32" t="str">
        <f t="shared" si="1908"/>
        <v>10-Oct-1909</v>
      </c>
      <c r="Q4532" s="16"/>
      <c r="R4532" s="16" t="str">
        <f t="shared" si="1899"/>
        <v>x</v>
      </c>
      <c r="S4532" s="16" t="str">
        <f t="shared" si="1899"/>
        <v>x</v>
      </c>
      <c r="T4532" s="33"/>
      <c r="U4532" s="46" t="str">
        <f t="shared" si="1904"/>
        <v/>
      </c>
      <c r="V4532" s="46">
        <f t="shared" si="1904"/>
        <v>31</v>
      </c>
      <c r="W4532" s="46" t="str">
        <f t="shared" si="1904"/>
        <v/>
      </c>
      <c r="X4532" s="46" t="str">
        <f t="shared" si="1904"/>
        <v/>
      </c>
    </row>
    <row r="4533" spans="2:24" s="29" customFormat="1" x14ac:dyDescent="0.25">
      <c r="B4533" s="29" t="str">
        <f t="shared" si="1905"/>
        <v>NYRK-07NOV1909</v>
      </c>
      <c r="C4533" s="29" t="s">
        <v>1700</v>
      </c>
      <c r="D4533" s="45" t="s">
        <v>2224</v>
      </c>
      <c r="E4533" s="42" t="s">
        <v>1486</v>
      </c>
      <c r="F4533" s="29" t="s">
        <v>1700</v>
      </c>
      <c r="G4533" s="42" t="s">
        <v>2741</v>
      </c>
      <c r="H4533" s="30">
        <v>0</v>
      </c>
      <c r="I4533" s="30">
        <v>0</v>
      </c>
      <c r="J4533" s="30">
        <v>4</v>
      </c>
      <c r="K4533" s="30"/>
      <c r="L4533" s="30">
        <f t="shared" si="1906"/>
        <v>4</v>
      </c>
      <c r="M4533" s="31">
        <v>1</v>
      </c>
      <c r="N4533" s="31">
        <f t="shared" si="1907"/>
        <v>1</v>
      </c>
      <c r="O4533" s="29" t="s">
        <v>1702</v>
      </c>
      <c r="P4533" s="32" t="str">
        <f t="shared" si="1908"/>
        <v>07-Nov-1909</v>
      </c>
      <c r="Q4533" s="16"/>
      <c r="R4533" s="16" t="str">
        <f t="shared" si="1899"/>
        <v>x</v>
      </c>
      <c r="S4533" s="16" t="str">
        <f t="shared" si="1899"/>
        <v>x</v>
      </c>
      <c r="T4533" s="33"/>
      <c r="U4533" s="46" t="str">
        <f t="shared" si="1904"/>
        <v/>
      </c>
      <c r="V4533" s="46">
        <f t="shared" si="1904"/>
        <v>4</v>
      </c>
      <c r="W4533" s="46" t="str">
        <f t="shared" si="1904"/>
        <v/>
      </c>
      <c r="X4533" s="46" t="str">
        <f t="shared" si="1904"/>
        <v/>
      </c>
    </row>
    <row r="4534" spans="2:24" s="29" customFormat="1" x14ac:dyDescent="0.25">
      <c r="B4534" s="29" t="str">
        <f t="shared" si="1905"/>
        <v>NYRK-05DEC1909</v>
      </c>
      <c r="C4534" s="29" t="s">
        <v>1700</v>
      </c>
      <c r="D4534" s="45" t="s">
        <v>2224</v>
      </c>
      <c r="E4534" s="42" t="s">
        <v>868</v>
      </c>
      <c r="F4534" s="29" t="s">
        <v>1700</v>
      </c>
      <c r="G4534" s="42" t="s">
        <v>2742</v>
      </c>
      <c r="H4534" s="30">
        <v>0</v>
      </c>
      <c r="I4534" s="30">
        <v>0</v>
      </c>
      <c r="J4534" s="30">
        <v>1</v>
      </c>
      <c r="K4534" s="30"/>
      <c r="L4534" s="30">
        <f t="shared" si="1906"/>
        <v>1</v>
      </c>
      <c r="M4534" s="31">
        <v>1</v>
      </c>
      <c r="N4534" s="31">
        <f t="shared" si="1907"/>
        <v>1</v>
      </c>
      <c r="O4534" s="29" t="s">
        <v>1702</v>
      </c>
      <c r="P4534" s="32" t="str">
        <f t="shared" si="1908"/>
        <v>05-Dec-1909</v>
      </c>
      <c r="Q4534" s="16"/>
      <c r="R4534" s="16" t="str">
        <f t="shared" si="1899"/>
        <v>x</v>
      </c>
      <c r="S4534" s="16" t="str">
        <f t="shared" si="1899"/>
        <v>x</v>
      </c>
      <c r="T4534" s="33"/>
      <c r="U4534" s="46" t="str">
        <f t="shared" si="1904"/>
        <v/>
      </c>
      <c r="V4534" s="46">
        <f t="shared" si="1904"/>
        <v>1</v>
      </c>
      <c r="W4534" s="46" t="str">
        <f t="shared" si="1904"/>
        <v/>
      </c>
      <c r="X4534" s="46" t="str">
        <f t="shared" si="1904"/>
        <v/>
      </c>
    </row>
    <row r="4535" spans="2:24" s="29" customFormat="1" x14ac:dyDescent="0.25">
      <c r="B4535" s="29" t="str">
        <f t="shared" si="1905"/>
        <v>NYRK-31DEC1909</v>
      </c>
      <c r="C4535" s="29" t="s">
        <v>1700</v>
      </c>
      <c r="D4535" s="45" t="s">
        <v>2224</v>
      </c>
      <c r="E4535" s="42" t="s">
        <v>2745</v>
      </c>
      <c r="F4535" s="29" t="s">
        <v>1700</v>
      </c>
      <c r="G4535" s="42" t="s">
        <v>2743</v>
      </c>
      <c r="H4535" s="30">
        <v>0</v>
      </c>
      <c r="I4535" s="30">
        <v>0</v>
      </c>
      <c r="J4535" s="30">
        <v>9</v>
      </c>
      <c r="K4535" s="30"/>
      <c r="L4535" s="30">
        <f t="shared" si="1906"/>
        <v>9</v>
      </c>
      <c r="M4535" s="31">
        <v>1</v>
      </c>
      <c r="N4535" s="31">
        <f t="shared" si="1907"/>
        <v>1</v>
      </c>
      <c r="O4535" s="29" t="s">
        <v>1702</v>
      </c>
      <c r="P4535" s="32" t="str">
        <f t="shared" si="1908"/>
        <v>31-Dec-1909</v>
      </c>
      <c r="Q4535" s="16"/>
      <c r="R4535" s="16" t="str">
        <f t="shared" si="1899"/>
        <v>x</v>
      </c>
      <c r="S4535" s="16" t="str">
        <f t="shared" si="1899"/>
        <v>x</v>
      </c>
      <c r="T4535" s="33"/>
      <c r="U4535" s="46" t="str">
        <f t="shared" si="1904"/>
        <v/>
      </c>
      <c r="V4535" s="46">
        <f t="shared" si="1904"/>
        <v>9</v>
      </c>
      <c r="W4535" s="46" t="str">
        <f t="shared" si="1904"/>
        <v/>
      </c>
      <c r="X4535" s="46" t="str">
        <f t="shared" si="1904"/>
        <v/>
      </c>
    </row>
    <row r="4536" spans="2:24" s="29" customFormat="1" x14ac:dyDescent="0.25">
      <c r="B4536" s="29" t="str">
        <f t="shared" si="1905"/>
        <v>NYRK-27JAN1910</v>
      </c>
      <c r="C4536" s="29" t="s">
        <v>1700</v>
      </c>
      <c r="D4536" s="45" t="s">
        <v>2224</v>
      </c>
      <c r="E4536" s="42" t="s">
        <v>2751</v>
      </c>
      <c r="F4536" s="29" t="s">
        <v>1700</v>
      </c>
      <c r="G4536" s="42" t="s">
        <v>2746</v>
      </c>
      <c r="H4536" s="30">
        <v>0</v>
      </c>
      <c r="I4536" s="30">
        <v>0</v>
      </c>
      <c r="J4536" s="30">
        <v>1</v>
      </c>
      <c r="K4536" s="30"/>
      <c r="L4536" s="30">
        <f t="shared" si="1906"/>
        <v>1</v>
      </c>
      <c r="M4536" s="31">
        <v>1</v>
      </c>
      <c r="N4536" s="31">
        <f t="shared" si="1907"/>
        <v>1</v>
      </c>
      <c r="O4536" s="29" t="s">
        <v>1702</v>
      </c>
      <c r="P4536" s="32" t="str">
        <f t="shared" si="1908"/>
        <v>27-Jan-1910</v>
      </c>
      <c r="Q4536" s="16"/>
      <c r="R4536" s="16" t="str">
        <f t="shared" si="1899"/>
        <v>x</v>
      </c>
      <c r="S4536" s="16" t="str">
        <f t="shared" si="1899"/>
        <v>x</v>
      </c>
      <c r="T4536" s="33"/>
      <c r="U4536" s="46" t="str">
        <f t="shared" si="1904"/>
        <v/>
      </c>
      <c r="V4536" s="46">
        <f t="shared" si="1904"/>
        <v>1</v>
      </c>
      <c r="W4536" s="46" t="str">
        <f t="shared" si="1904"/>
        <v/>
      </c>
      <c r="X4536" s="46" t="str">
        <f t="shared" si="1904"/>
        <v/>
      </c>
    </row>
    <row r="4537" spans="2:24" s="29" customFormat="1" x14ac:dyDescent="0.25">
      <c r="B4537" s="29" t="str">
        <f t="shared" si="1905"/>
        <v>NYRK-16APR1910</v>
      </c>
      <c r="C4537" s="29" t="s">
        <v>1700</v>
      </c>
      <c r="D4537" s="45" t="s">
        <v>2224</v>
      </c>
      <c r="E4537" s="42" t="s">
        <v>1858</v>
      </c>
      <c r="F4537" s="29" t="s">
        <v>1700</v>
      </c>
      <c r="G4537" s="42" t="s">
        <v>892</v>
      </c>
      <c r="H4537" s="30">
        <v>0</v>
      </c>
      <c r="I4537" s="30">
        <v>0</v>
      </c>
      <c r="J4537" s="30">
        <v>5</v>
      </c>
      <c r="K4537" s="30"/>
      <c r="L4537" s="30">
        <f t="shared" si="1906"/>
        <v>5</v>
      </c>
      <c r="M4537" s="31">
        <v>1</v>
      </c>
      <c r="N4537" s="31">
        <f t="shared" si="1907"/>
        <v>1</v>
      </c>
      <c r="O4537" s="29" t="s">
        <v>1702</v>
      </c>
      <c r="P4537" s="32" t="str">
        <f t="shared" si="1908"/>
        <v>16-Apr-1910</v>
      </c>
      <c r="Q4537" s="16"/>
      <c r="R4537" s="16" t="str">
        <f t="shared" si="1899"/>
        <v>x</v>
      </c>
      <c r="S4537" s="16" t="str">
        <f t="shared" si="1899"/>
        <v>x</v>
      </c>
      <c r="T4537" s="33"/>
      <c r="U4537" s="46" t="str">
        <f t="shared" si="1904"/>
        <v/>
      </c>
      <c r="V4537" s="46">
        <f t="shared" si="1904"/>
        <v>5</v>
      </c>
      <c r="W4537" s="46" t="str">
        <f t="shared" si="1904"/>
        <v/>
      </c>
      <c r="X4537" s="46" t="str">
        <f t="shared" si="1904"/>
        <v/>
      </c>
    </row>
    <row r="4538" spans="2:24" s="29" customFormat="1" x14ac:dyDescent="0.25">
      <c r="B4538" s="29" t="str">
        <f t="shared" ref="B4538:B4548" si="1909">CONCATENATE("NYRK","-",LEFT(P4538,2),UPPER(MID(P4538,4,3)),RIGHT(P4538,4))</f>
        <v>NYRK-15MAY1910</v>
      </c>
      <c r="C4538" s="29" t="s">
        <v>1700</v>
      </c>
      <c r="D4538" s="45" t="s">
        <v>2224</v>
      </c>
      <c r="E4538" s="42" t="s">
        <v>1491</v>
      </c>
      <c r="F4538" s="29" t="s">
        <v>1700</v>
      </c>
      <c r="G4538" s="42" t="s">
        <v>2747</v>
      </c>
      <c r="H4538" s="30">
        <v>0</v>
      </c>
      <c r="I4538" s="30">
        <v>0</v>
      </c>
      <c r="J4538" s="30">
        <v>0</v>
      </c>
      <c r="K4538" s="30"/>
      <c r="L4538" s="30">
        <f t="shared" ref="L4538:L4548" si="1910">SUM(H4538:K4538)</f>
        <v>0</v>
      </c>
      <c r="M4538" s="31">
        <v>1</v>
      </c>
      <c r="N4538" s="31" t="str">
        <f t="shared" ref="N4538:N4548" si="1911">IF(L4538&gt;0,1,"")</f>
        <v/>
      </c>
      <c r="O4538" s="29" t="s">
        <v>1702</v>
      </c>
      <c r="P4538" s="32" t="str">
        <f t="shared" ref="P4538:P4548" si="1912">IF(LEN(G4538)=10,CONCATENATE("0",G4538),G4538)</f>
        <v>15-May-1910</v>
      </c>
      <c r="Q4538" s="16"/>
      <c r="R4538" s="16" t="str">
        <f t="shared" si="1899"/>
        <v/>
      </c>
      <c r="S4538" s="16" t="str">
        <f t="shared" si="1899"/>
        <v/>
      </c>
      <c r="T4538" s="33"/>
      <c r="U4538" s="46" t="str">
        <f t="shared" si="1904"/>
        <v/>
      </c>
      <c r="V4538" s="46">
        <f t="shared" si="1904"/>
        <v>0</v>
      </c>
      <c r="W4538" s="46" t="str">
        <f t="shared" si="1904"/>
        <v/>
      </c>
      <c r="X4538" s="46" t="str">
        <f t="shared" si="1904"/>
        <v/>
      </c>
    </row>
    <row r="4539" spans="2:24" s="29" customFormat="1" x14ac:dyDescent="0.25">
      <c r="B4539" s="29" t="str">
        <f t="shared" si="1909"/>
        <v>NYRK-13JUN1910</v>
      </c>
      <c r="C4539" s="29" t="s">
        <v>1700</v>
      </c>
      <c r="D4539" s="45" t="s">
        <v>2224</v>
      </c>
      <c r="E4539" s="42" t="s">
        <v>1250</v>
      </c>
      <c r="F4539" s="29" t="s">
        <v>1700</v>
      </c>
      <c r="G4539" s="42" t="s">
        <v>2748</v>
      </c>
      <c r="H4539" s="30">
        <v>0</v>
      </c>
      <c r="I4539" s="30">
        <v>0</v>
      </c>
      <c r="J4539" s="30">
        <v>5</v>
      </c>
      <c r="K4539" s="30"/>
      <c r="L4539" s="30">
        <f t="shared" si="1910"/>
        <v>5</v>
      </c>
      <c r="M4539" s="31">
        <v>1</v>
      </c>
      <c r="N4539" s="31">
        <f t="shared" si="1911"/>
        <v>1</v>
      </c>
      <c r="O4539" s="29" t="s">
        <v>1702</v>
      </c>
      <c r="P4539" s="32" t="str">
        <f t="shared" si="1912"/>
        <v>13-Jun-1910</v>
      </c>
      <c r="Q4539" s="16"/>
      <c r="R4539" s="16" t="str">
        <f t="shared" si="1899"/>
        <v>x</v>
      </c>
      <c r="S4539" s="16" t="str">
        <f t="shared" si="1899"/>
        <v>x</v>
      </c>
      <c r="T4539" s="33"/>
      <c r="U4539" s="46" t="str">
        <f t="shared" si="1904"/>
        <v/>
      </c>
      <c r="V4539" s="46">
        <f t="shared" si="1904"/>
        <v>5</v>
      </c>
      <c r="W4539" s="46" t="str">
        <f t="shared" si="1904"/>
        <v/>
      </c>
      <c r="X4539" s="46" t="str">
        <f t="shared" si="1904"/>
        <v/>
      </c>
    </row>
    <row r="4540" spans="2:24" s="29" customFormat="1" x14ac:dyDescent="0.25">
      <c r="B4540" s="29" t="str">
        <f t="shared" si="1909"/>
        <v>NYRK-10JUL1910</v>
      </c>
      <c r="C4540" s="29" t="s">
        <v>1700</v>
      </c>
      <c r="D4540" s="45" t="s">
        <v>2224</v>
      </c>
      <c r="E4540" s="42" t="s">
        <v>893</v>
      </c>
      <c r="F4540" s="29" t="s">
        <v>1700</v>
      </c>
      <c r="G4540" s="42" t="s">
        <v>2752</v>
      </c>
      <c r="H4540" s="30">
        <v>0</v>
      </c>
      <c r="I4540" s="30">
        <v>0</v>
      </c>
      <c r="J4540" s="30">
        <v>3</v>
      </c>
      <c r="K4540" s="30"/>
      <c r="L4540" s="30">
        <f t="shared" si="1910"/>
        <v>3</v>
      </c>
      <c r="M4540" s="31">
        <v>1</v>
      </c>
      <c r="N4540" s="31">
        <f t="shared" si="1911"/>
        <v>1</v>
      </c>
      <c r="O4540" s="29" t="s">
        <v>1702</v>
      </c>
      <c r="P4540" s="32" t="str">
        <f t="shared" si="1912"/>
        <v>10-Jul-1910</v>
      </c>
      <c r="Q4540" s="16"/>
      <c r="R4540" s="16" t="str">
        <f t="shared" si="1899"/>
        <v>x</v>
      </c>
      <c r="S4540" s="16" t="str">
        <f t="shared" si="1899"/>
        <v>x</v>
      </c>
      <c r="T4540" s="33"/>
      <c r="U4540" s="46" t="str">
        <f t="shared" si="1904"/>
        <v/>
      </c>
      <c r="V4540" s="46">
        <f t="shared" si="1904"/>
        <v>3</v>
      </c>
      <c r="W4540" s="46" t="str">
        <f t="shared" si="1904"/>
        <v/>
      </c>
      <c r="X4540" s="46" t="str">
        <f t="shared" si="1904"/>
        <v/>
      </c>
    </row>
    <row r="4541" spans="2:24" s="29" customFormat="1" x14ac:dyDescent="0.25">
      <c r="B4541" s="29" t="str">
        <f t="shared" si="1909"/>
        <v>NYRK-07AUG1910</v>
      </c>
      <c r="C4541" s="29" t="s">
        <v>1700</v>
      </c>
      <c r="D4541" s="45" t="s">
        <v>2224</v>
      </c>
      <c r="E4541" s="42" t="s">
        <v>894</v>
      </c>
      <c r="F4541" s="29" t="s">
        <v>1700</v>
      </c>
      <c r="G4541" s="42" t="s">
        <v>2749</v>
      </c>
      <c r="H4541" s="30">
        <v>0</v>
      </c>
      <c r="I4541" s="30">
        <v>0</v>
      </c>
      <c r="J4541" s="30">
        <v>2</v>
      </c>
      <c r="K4541" s="30"/>
      <c r="L4541" s="30">
        <f t="shared" si="1910"/>
        <v>2</v>
      </c>
      <c r="M4541" s="31">
        <v>1</v>
      </c>
      <c r="N4541" s="31">
        <f t="shared" si="1911"/>
        <v>1</v>
      </c>
      <c r="O4541" s="29" t="s">
        <v>1702</v>
      </c>
      <c r="P4541" s="32" t="str">
        <f t="shared" si="1912"/>
        <v>07-Aug-1910</v>
      </c>
      <c r="Q4541" s="16"/>
      <c r="R4541" s="16" t="str">
        <f t="shared" si="1899"/>
        <v>x</v>
      </c>
      <c r="S4541" s="16" t="str">
        <f t="shared" si="1899"/>
        <v>x</v>
      </c>
      <c r="T4541" s="33"/>
      <c r="U4541" s="46" t="str">
        <f t="shared" si="1904"/>
        <v/>
      </c>
      <c r="V4541" s="46">
        <f t="shared" si="1904"/>
        <v>2</v>
      </c>
      <c r="W4541" s="46" t="str">
        <f t="shared" si="1904"/>
        <v/>
      </c>
      <c r="X4541" s="46" t="str">
        <f t="shared" si="1904"/>
        <v/>
      </c>
    </row>
    <row r="4542" spans="2:24" s="29" customFormat="1" x14ac:dyDescent="0.25">
      <c r="B4542" s="29" t="str">
        <f t="shared" si="1909"/>
        <v>NYRK-03SEP1910</v>
      </c>
      <c r="C4542" s="29" t="s">
        <v>1700</v>
      </c>
      <c r="D4542" s="45" t="s">
        <v>2224</v>
      </c>
      <c r="E4542" s="42" t="s">
        <v>2753</v>
      </c>
      <c r="F4542" s="29" t="s">
        <v>1700</v>
      </c>
      <c r="G4542" s="42" t="s">
        <v>1502</v>
      </c>
      <c r="H4542" s="30">
        <v>0</v>
      </c>
      <c r="I4542" s="30">
        <v>0</v>
      </c>
      <c r="J4542" s="30">
        <v>10</v>
      </c>
      <c r="K4542" s="30"/>
      <c r="L4542" s="30">
        <f t="shared" si="1910"/>
        <v>10</v>
      </c>
      <c r="M4542" s="31">
        <v>1</v>
      </c>
      <c r="N4542" s="31">
        <f t="shared" si="1911"/>
        <v>1</v>
      </c>
      <c r="O4542" s="29" t="s">
        <v>1702</v>
      </c>
      <c r="P4542" s="32" t="str">
        <f t="shared" si="1912"/>
        <v>03-Sep-1910</v>
      </c>
      <c r="Q4542" s="16"/>
      <c r="R4542" s="16" t="str">
        <f t="shared" si="1899"/>
        <v>x</v>
      </c>
      <c r="S4542" s="16" t="str">
        <f t="shared" si="1899"/>
        <v>x</v>
      </c>
      <c r="T4542" s="33"/>
      <c r="U4542" s="46" t="str">
        <f t="shared" si="1904"/>
        <v/>
      </c>
      <c r="V4542" s="46">
        <f t="shared" si="1904"/>
        <v>10</v>
      </c>
      <c r="W4542" s="46" t="str">
        <f t="shared" si="1904"/>
        <v/>
      </c>
      <c r="X4542" s="46" t="str">
        <f t="shared" si="1904"/>
        <v/>
      </c>
    </row>
    <row r="4543" spans="2:24" s="29" customFormat="1" x14ac:dyDescent="0.25">
      <c r="B4543" s="29" t="str">
        <f t="shared" si="1909"/>
        <v>NYRK-01OCT1910</v>
      </c>
      <c r="C4543" s="29" t="s">
        <v>1700</v>
      </c>
      <c r="D4543" s="45" t="s">
        <v>2224</v>
      </c>
      <c r="E4543" s="42" t="s">
        <v>1917</v>
      </c>
      <c r="F4543" s="29" t="s">
        <v>1700</v>
      </c>
      <c r="G4543" s="42" t="s">
        <v>1245</v>
      </c>
      <c r="H4543" s="30">
        <v>0</v>
      </c>
      <c r="I4543" s="30">
        <v>0</v>
      </c>
      <c r="J4543" s="30">
        <v>0</v>
      </c>
      <c r="K4543" s="30"/>
      <c r="L4543" s="30">
        <f t="shared" si="1910"/>
        <v>0</v>
      </c>
      <c r="M4543" s="31">
        <v>1</v>
      </c>
      <c r="N4543" s="31" t="str">
        <f t="shared" si="1911"/>
        <v/>
      </c>
      <c r="O4543" s="29" t="s">
        <v>1702</v>
      </c>
      <c r="P4543" s="32" t="str">
        <f t="shared" si="1912"/>
        <v>01-Oct-1910</v>
      </c>
      <c r="Q4543" s="16"/>
      <c r="R4543" s="16" t="str">
        <f t="shared" si="1899"/>
        <v/>
      </c>
      <c r="S4543" s="16" t="str">
        <f t="shared" si="1899"/>
        <v/>
      </c>
      <c r="T4543" s="33"/>
      <c r="U4543" s="46" t="str">
        <f t="shared" si="1904"/>
        <v/>
      </c>
      <c r="V4543" s="46">
        <f t="shared" si="1904"/>
        <v>0</v>
      </c>
      <c r="W4543" s="46" t="str">
        <f t="shared" si="1904"/>
        <v/>
      </c>
      <c r="X4543" s="46" t="str">
        <f t="shared" si="1904"/>
        <v/>
      </c>
    </row>
    <row r="4544" spans="2:24" s="29" customFormat="1" x14ac:dyDescent="0.25">
      <c r="B4544" s="29" t="str">
        <f t="shared" si="1909"/>
        <v>NYRK-29OCT1910</v>
      </c>
      <c r="C4544" s="29" t="s">
        <v>1700</v>
      </c>
      <c r="D4544" s="45" t="s">
        <v>2224</v>
      </c>
      <c r="E4544" s="42" t="s">
        <v>1254</v>
      </c>
      <c r="F4544" s="29" t="s">
        <v>1700</v>
      </c>
      <c r="G4544" s="42" t="s">
        <v>1246</v>
      </c>
      <c r="H4544" s="30">
        <v>0</v>
      </c>
      <c r="I4544" s="30">
        <v>9</v>
      </c>
      <c r="J4544" s="30">
        <v>0</v>
      </c>
      <c r="K4544" s="30"/>
      <c r="L4544" s="30">
        <f t="shared" si="1910"/>
        <v>9</v>
      </c>
      <c r="M4544" s="31">
        <v>1</v>
      </c>
      <c r="N4544" s="31">
        <f t="shared" si="1911"/>
        <v>1</v>
      </c>
      <c r="O4544" s="29" t="s">
        <v>1702</v>
      </c>
      <c r="P4544" s="32" t="str">
        <f t="shared" si="1912"/>
        <v>29-Oct-1910</v>
      </c>
      <c r="Q4544" s="16"/>
      <c r="R4544" s="16" t="str">
        <f t="shared" si="1899"/>
        <v>x</v>
      </c>
      <c r="S4544" s="16" t="str">
        <f t="shared" si="1899"/>
        <v>x</v>
      </c>
      <c r="T4544" s="33"/>
      <c r="U4544" s="46" t="str">
        <f t="shared" si="1904"/>
        <v/>
      </c>
      <c r="V4544" s="46">
        <f t="shared" si="1904"/>
        <v>9</v>
      </c>
      <c r="W4544" s="46" t="str">
        <f t="shared" si="1904"/>
        <v/>
      </c>
      <c r="X4544" s="46" t="str">
        <f t="shared" si="1904"/>
        <v/>
      </c>
    </row>
    <row r="4545" spans="2:24" s="29" customFormat="1" x14ac:dyDescent="0.25">
      <c r="B4545" s="29" t="str">
        <f t="shared" si="1909"/>
        <v>NYRK-27NOV1910</v>
      </c>
      <c r="C4545" s="29" t="s">
        <v>1700</v>
      </c>
      <c r="D4545" s="45" t="s">
        <v>2224</v>
      </c>
      <c r="E4545" s="42" t="s">
        <v>895</v>
      </c>
      <c r="F4545" s="29" t="s">
        <v>1700</v>
      </c>
      <c r="G4545" s="42" t="s">
        <v>2750</v>
      </c>
      <c r="H4545" s="30">
        <v>0</v>
      </c>
      <c r="I4545" s="30">
        <v>3</v>
      </c>
      <c r="J4545" s="30">
        <v>0</v>
      </c>
      <c r="K4545" s="30"/>
      <c r="L4545" s="30">
        <f t="shared" si="1910"/>
        <v>3</v>
      </c>
      <c r="M4545" s="31">
        <v>1</v>
      </c>
      <c r="N4545" s="31">
        <f t="shared" si="1911"/>
        <v>1</v>
      </c>
      <c r="O4545" s="29" t="s">
        <v>1702</v>
      </c>
      <c r="P4545" s="32" t="str">
        <f t="shared" si="1912"/>
        <v>27-Nov-1910</v>
      </c>
      <c r="Q4545" s="16"/>
      <c r="R4545" s="16" t="str">
        <f t="shared" si="1899"/>
        <v>x</v>
      </c>
      <c r="S4545" s="16" t="str">
        <f t="shared" si="1899"/>
        <v>x</v>
      </c>
      <c r="T4545" s="33"/>
      <c r="U4545" s="46" t="str">
        <f t="shared" si="1904"/>
        <v/>
      </c>
      <c r="V4545" s="46">
        <f t="shared" si="1904"/>
        <v>3</v>
      </c>
      <c r="W4545" s="46" t="str">
        <f t="shared" si="1904"/>
        <v/>
      </c>
      <c r="X4545" s="46" t="str">
        <f t="shared" si="1904"/>
        <v/>
      </c>
    </row>
    <row r="4546" spans="2:24" s="29" customFormat="1" x14ac:dyDescent="0.25">
      <c r="B4546" s="29" t="str">
        <f t="shared" si="1909"/>
        <v>NYRK-19JAN1911</v>
      </c>
      <c r="C4546" s="29" t="s">
        <v>1700</v>
      </c>
      <c r="D4546" s="45" t="s">
        <v>2224</v>
      </c>
      <c r="E4546" s="42" t="s">
        <v>2756</v>
      </c>
      <c r="F4546" s="29" t="s">
        <v>1700</v>
      </c>
      <c r="G4546" s="42" t="s">
        <v>2757</v>
      </c>
      <c r="H4546" s="30">
        <v>0</v>
      </c>
      <c r="I4546" s="30">
        <v>0</v>
      </c>
      <c r="J4546" s="30">
        <v>1</v>
      </c>
      <c r="K4546" s="30"/>
      <c r="L4546" s="30">
        <f t="shared" si="1910"/>
        <v>1</v>
      </c>
      <c r="M4546" s="31">
        <v>1</v>
      </c>
      <c r="N4546" s="31">
        <f t="shared" si="1911"/>
        <v>1</v>
      </c>
      <c r="O4546" s="29" t="s">
        <v>1702</v>
      </c>
      <c r="P4546" s="32" t="str">
        <f t="shared" si="1912"/>
        <v>19-Jan-1911</v>
      </c>
      <c r="Q4546" s="16"/>
      <c r="R4546" s="16" t="str">
        <f t="shared" si="1899"/>
        <v>x</v>
      </c>
      <c r="S4546" s="16" t="str">
        <f t="shared" si="1899"/>
        <v>x</v>
      </c>
      <c r="T4546" s="33"/>
      <c r="U4546" s="46" t="str">
        <f t="shared" si="1904"/>
        <v/>
      </c>
      <c r="V4546" s="46">
        <f t="shared" si="1904"/>
        <v>1</v>
      </c>
      <c r="W4546" s="46" t="str">
        <f t="shared" si="1904"/>
        <v/>
      </c>
      <c r="X4546" s="46" t="str">
        <f t="shared" si="1904"/>
        <v/>
      </c>
    </row>
    <row r="4547" spans="2:24" s="29" customFormat="1" x14ac:dyDescent="0.25">
      <c r="B4547" s="29" t="str">
        <f t="shared" si="1909"/>
        <v>NYRK-01MAY1911</v>
      </c>
      <c r="C4547" s="29" t="s">
        <v>1700</v>
      </c>
      <c r="D4547" s="45" t="s">
        <v>2224</v>
      </c>
      <c r="E4547" s="42" t="s">
        <v>1505</v>
      </c>
      <c r="F4547" s="29" t="s">
        <v>1700</v>
      </c>
      <c r="G4547" s="42" t="s">
        <v>2754</v>
      </c>
      <c r="H4547" s="30">
        <v>0</v>
      </c>
      <c r="I4547" s="30">
        <v>0</v>
      </c>
      <c r="J4547" s="30">
        <v>0</v>
      </c>
      <c r="K4547" s="30"/>
      <c r="L4547" s="30">
        <f t="shared" si="1910"/>
        <v>0</v>
      </c>
      <c r="M4547" s="31">
        <v>1</v>
      </c>
      <c r="N4547" s="31" t="str">
        <f t="shared" si="1911"/>
        <v/>
      </c>
      <c r="O4547" s="29" t="s">
        <v>1702</v>
      </c>
      <c r="P4547" s="32" t="str">
        <f t="shared" si="1912"/>
        <v>01-May-1911</v>
      </c>
      <c r="Q4547" s="16"/>
      <c r="R4547" s="16" t="str">
        <f t="shared" si="1899"/>
        <v/>
      </c>
      <c r="S4547" s="16" t="str">
        <f t="shared" si="1899"/>
        <v/>
      </c>
      <c r="T4547" s="33"/>
      <c r="U4547" s="46" t="str">
        <f t="shared" si="1904"/>
        <v/>
      </c>
      <c r="V4547" s="46">
        <f t="shared" si="1904"/>
        <v>0</v>
      </c>
      <c r="W4547" s="46" t="str">
        <f t="shared" si="1904"/>
        <v/>
      </c>
      <c r="X4547" s="46" t="str">
        <f t="shared" si="1904"/>
        <v/>
      </c>
    </row>
    <row r="4548" spans="2:24" s="29" customFormat="1" x14ac:dyDescent="0.25">
      <c r="B4548" s="29" t="str">
        <f t="shared" si="1909"/>
        <v>NYRK-28MAY1911</v>
      </c>
      <c r="C4548" s="29" t="s">
        <v>1700</v>
      </c>
      <c r="D4548" s="45" t="s">
        <v>2224</v>
      </c>
      <c r="E4548" s="42" t="s">
        <v>2339</v>
      </c>
      <c r="F4548" s="29" t="s">
        <v>1700</v>
      </c>
      <c r="G4548" s="42" t="s">
        <v>2755</v>
      </c>
      <c r="H4548" s="30">
        <v>0</v>
      </c>
      <c r="I4548" s="30">
        <v>0</v>
      </c>
      <c r="J4548" s="30">
        <v>0</v>
      </c>
      <c r="K4548" s="30"/>
      <c r="L4548" s="30">
        <f t="shared" si="1910"/>
        <v>0</v>
      </c>
      <c r="M4548" s="31">
        <v>1</v>
      </c>
      <c r="N4548" s="31" t="str">
        <f t="shared" si="1911"/>
        <v/>
      </c>
      <c r="O4548" s="29" t="s">
        <v>1702</v>
      </c>
      <c r="P4548" s="32" t="str">
        <f t="shared" si="1912"/>
        <v>28-May-1911</v>
      </c>
      <c r="Q4548" s="16"/>
      <c r="R4548" s="16" t="str">
        <f t="shared" si="1899"/>
        <v/>
      </c>
      <c r="S4548" s="16" t="str">
        <f t="shared" si="1899"/>
        <v/>
      </c>
      <c r="T4548" s="33"/>
      <c r="U4548" s="46" t="str">
        <f t="shared" si="1904"/>
        <v/>
      </c>
      <c r="V4548" s="46">
        <f t="shared" si="1904"/>
        <v>0</v>
      </c>
      <c r="W4548" s="46" t="str">
        <f t="shared" si="1904"/>
        <v/>
      </c>
      <c r="X4548" s="46" t="str">
        <f t="shared" si="1904"/>
        <v/>
      </c>
    </row>
    <row r="4549" spans="2:24" s="29" customFormat="1" x14ac:dyDescent="0.25">
      <c r="B4549" s="29" t="str">
        <f t="shared" ref="B4549:B4560" si="1913">CONCATENATE("NYRK","-",LEFT(P4549,2),UPPER(MID(P4549,4,3)),RIGHT(P4549,4))</f>
        <v>NYRK-16JUL1911</v>
      </c>
      <c r="C4549" s="29" t="s">
        <v>1700</v>
      </c>
      <c r="D4549" s="45" t="s">
        <v>2224</v>
      </c>
      <c r="E4549" s="42" t="s">
        <v>1507</v>
      </c>
      <c r="F4549" s="29" t="s">
        <v>1700</v>
      </c>
      <c r="G4549" s="42" t="s">
        <v>1885</v>
      </c>
      <c r="H4549" s="30">
        <v>0</v>
      </c>
      <c r="I4549" s="30">
        <v>0</v>
      </c>
      <c r="J4549" s="30">
        <v>2</v>
      </c>
      <c r="K4549" s="30"/>
      <c r="L4549" s="30">
        <f t="shared" ref="L4549:L4560" si="1914">SUM(H4549:K4549)</f>
        <v>2</v>
      </c>
      <c r="M4549" s="31">
        <v>1</v>
      </c>
      <c r="N4549" s="31">
        <f t="shared" ref="N4549:N4560" si="1915">IF(L4549&gt;0,1,"")</f>
        <v>1</v>
      </c>
      <c r="O4549" s="29" t="s">
        <v>1702</v>
      </c>
      <c r="P4549" s="32" t="str">
        <f t="shared" ref="P4549:P4560" si="1916">IF(LEN(G4549)=10,CONCATENATE("0",G4549),G4549)</f>
        <v>16-Jul-1911</v>
      </c>
      <c r="Q4549" s="16"/>
      <c r="R4549" s="16" t="str">
        <f t="shared" si="1899"/>
        <v>x</v>
      </c>
      <c r="S4549" s="16" t="str">
        <f t="shared" si="1899"/>
        <v>x</v>
      </c>
      <c r="T4549" s="33"/>
      <c r="U4549" s="46" t="str">
        <f t="shared" si="1904"/>
        <v/>
      </c>
      <c r="V4549" s="46">
        <f t="shared" si="1904"/>
        <v>2</v>
      </c>
      <c r="W4549" s="46" t="str">
        <f t="shared" si="1904"/>
        <v/>
      </c>
      <c r="X4549" s="46" t="str">
        <f t="shared" si="1904"/>
        <v/>
      </c>
    </row>
    <row r="4550" spans="2:24" s="29" customFormat="1" x14ac:dyDescent="0.25">
      <c r="B4550" s="29" t="str">
        <f t="shared" si="1913"/>
        <v>NYRK-10SEP1911</v>
      </c>
      <c r="C4550" s="29" t="s">
        <v>1700</v>
      </c>
      <c r="D4550" s="45" t="s">
        <v>2224</v>
      </c>
      <c r="E4550" s="42" t="s">
        <v>1259</v>
      </c>
      <c r="F4550" s="29" t="s">
        <v>1700</v>
      </c>
      <c r="G4550" s="42" t="s">
        <v>5830</v>
      </c>
      <c r="H4550" s="30">
        <v>0</v>
      </c>
      <c r="I4550" s="30">
        <v>0</v>
      </c>
      <c r="J4550" s="30">
        <f>4</f>
        <v>4</v>
      </c>
      <c r="K4550" s="30"/>
      <c r="L4550" s="30">
        <f t="shared" si="1914"/>
        <v>4</v>
      </c>
      <c r="M4550" s="31">
        <v>1</v>
      </c>
      <c r="N4550" s="31">
        <f t="shared" si="1915"/>
        <v>1</v>
      </c>
      <c r="O4550" s="29" t="s">
        <v>1702</v>
      </c>
      <c r="P4550" s="32" t="str">
        <f t="shared" si="1916"/>
        <v>10-Sep-1911</v>
      </c>
      <c r="Q4550" s="16"/>
      <c r="R4550" s="16" t="str">
        <f t="shared" si="1899"/>
        <v>x</v>
      </c>
      <c r="S4550" s="16" t="str">
        <f t="shared" si="1899"/>
        <v>x</v>
      </c>
      <c r="T4550" s="11"/>
      <c r="U4550" s="46" t="str">
        <f t="shared" si="1904"/>
        <v/>
      </c>
      <c r="V4550" s="46">
        <f t="shared" si="1904"/>
        <v>4</v>
      </c>
      <c r="W4550" s="46" t="str">
        <f t="shared" si="1904"/>
        <v/>
      </c>
      <c r="X4550" s="46" t="str">
        <f t="shared" si="1904"/>
        <v/>
      </c>
    </row>
    <row r="4551" spans="2:24" s="29" customFormat="1" x14ac:dyDescent="0.25">
      <c r="B4551" s="29" t="str">
        <f t="shared" si="1913"/>
        <v>NYRK-08OCT1911</v>
      </c>
      <c r="C4551" s="29" t="s">
        <v>1700</v>
      </c>
      <c r="D4551" s="45" t="s">
        <v>2224</v>
      </c>
      <c r="E4551" s="42" t="s">
        <v>974</v>
      </c>
      <c r="F4551" s="29" t="s">
        <v>1700</v>
      </c>
      <c r="G4551" s="42" t="s">
        <v>2335</v>
      </c>
      <c r="H4551" s="30">
        <v>0</v>
      </c>
      <c r="I4551" s="30">
        <v>0</v>
      </c>
      <c r="J4551" s="30">
        <v>20</v>
      </c>
      <c r="K4551" s="30"/>
      <c r="L4551" s="30">
        <f t="shared" si="1914"/>
        <v>20</v>
      </c>
      <c r="M4551" s="31">
        <v>1</v>
      </c>
      <c r="N4551" s="31">
        <f t="shared" si="1915"/>
        <v>1</v>
      </c>
      <c r="O4551" s="29" t="s">
        <v>1702</v>
      </c>
      <c r="P4551" s="32" t="str">
        <f t="shared" si="1916"/>
        <v>08-Oct-1911</v>
      </c>
      <c r="Q4551" s="16"/>
      <c r="R4551" s="16" t="str">
        <f t="shared" si="1899"/>
        <v>x</v>
      </c>
      <c r="S4551" s="16" t="str">
        <f t="shared" si="1899"/>
        <v>x</v>
      </c>
      <c r="T4551" s="33"/>
      <c r="U4551" s="46" t="str">
        <f t="shared" si="1904"/>
        <v/>
      </c>
      <c r="V4551" s="46">
        <f t="shared" si="1904"/>
        <v>20</v>
      </c>
      <c r="W4551" s="46" t="str">
        <f t="shared" si="1904"/>
        <v/>
      </c>
      <c r="X4551" s="46" t="str">
        <f t="shared" si="1904"/>
        <v/>
      </c>
    </row>
    <row r="4552" spans="2:24" s="29" customFormat="1" x14ac:dyDescent="0.25">
      <c r="B4552" s="29" t="str">
        <f t="shared" si="1913"/>
        <v>NYRK-10NOV1911</v>
      </c>
      <c r="C4552" s="29" t="s">
        <v>1700</v>
      </c>
      <c r="D4552" s="45" t="s">
        <v>2224</v>
      </c>
      <c r="E4552" s="42" t="s">
        <v>2758</v>
      </c>
      <c r="F4552" s="29" t="s">
        <v>1700</v>
      </c>
      <c r="G4552" s="42" t="s">
        <v>2759</v>
      </c>
      <c r="H4552" s="30">
        <v>0</v>
      </c>
      <c r="I4552" s="30">
        <v>0</v>
      </c>
      <c r="J4552" s="30">
        <v>1</v>
      </c>
      <c r="K4552" s="30"/>
      <c r="L4552" s="30">
        <f t="shared" si="1914"/>
        <v>1</v>
      </c>
      <c r="M4552" s="31">
        <v>1</v>
      </c>
      <c r="N4552" s="31">
        <f t="shared" si="1915"/>
        <v>1</v>
      </c>
      <c r="O4552" s="29" t="s">
        <v>1702</v>
      </c>
      <c r="P4552" s="32" t="str">
        <f t="shared" si="1916"/>
        <v>10-Nov-1911</v>
      </c>
      <c r="Q4552" s="16"/>
      <c r="R4552" s="16" t="str">
        <f t="shared" si="1899"/>
        <v>x</v>
      </c>
      <c r="S4552" s="16" t="str">
        <f t="shared" si="1899"/>
        <v>x</v>
      </c>
      <c r="T4552" s="33"/>
      <c r="U4552" s="46" t="str">
        <f t="shared" si="1904"/>
        <v/>
      </c>
      <c r="V4552" s="46">
        <f t="shared" si="1904"/>
        <v>1</v>
      </c>
      <c r="W4552" s="46" t="str">
        <f t="shared" si="1904"/>
        <v/>
      </c>
      <c r="X4552" s="46" t="str">
        <f t="shared" si="1904"/>
        <v/>
      </c>
    </row>
    <row r="4553" spans="2:24" s="29" customFormat="1" x14ac:dyDescent="0.25">
      <c r="B4553" s="29" t="str">
        <f t="shared" si="1913"/>
        <v>NYRK-10DEC1911</v>
      </c>
      <c r="C4553" s="29" t="s">
        <v>1700</v>
      </c>
      <c r="D4553" s="45" t="s">
        <v>2224</v>
      </c>
      <c r="E4553" s="42" t="s">
        <v>1887</v>
      </c>
      <c r="F4553" s="29" t="s">
        <v>1700</v>
      </c>
      <c r="G4553" s="42" t="s">
        <v>1888</v>
      </c>
      <c r="H4553" s="30">
        <v>0</v>
      </c>
      <c r="I4553" s="30">
        <v>0</v>
      </c>
      <c r="J4553" s="30">
        <v>2</v>
      </c>
      <c r="K4553" s="30"/>
      <c r="L4553" s="30">
        <f t="shared" si="1914"/>
        <v>2</v>
      </c>
      <c r="M4553" s="31">
        <v>1</v>
      </c>
      <c r="N4553" s="31">
        <f t="shared" si="1915"/>
        <v>1</v>
      </c>
      <c r="O4553" s="29" t="s">
        <v>1702</v>
      </c>
      <c r="P4553" s="32" t="str">
        <f t="shared" si="1916"/>
        <v>10-Dec-1911</v>
      </c>
      <c r="Q4553" s="16"/>
      <c r="R4553" s="16" t="str">
        <f t="shared" si="1899"/>
        <v>x</v>
      </c>
      <c r="S4553" s="16" t="str">
        <f t="shared" si="1899"/>
        <v>x</v>
      </c>
      <c r="T4553" s="33"/>
      <c r="U4553" s="46" t="str">
        <f t="shared" si="1904"/>
        <v/>
      </c>
      <c r="V4553" s="46">
        <f t="shared" si="1904"/>
        <v>2</v>
      </c>
      <c r="W4553" s="46" t="str">
        <f t="shared" si="1904"/>
        <v/>
      </c>
      <c r="X4553" s="46" t="str">
        <f t="shared" si="1904"/>
        <v/>
      </c>
    </row>
    <row r="4554" spans="2:24" s="29" customFormat="1" x14ac:dyDescent="0.25">
      <c r="B4554" s="29" t="str">
        <f t="shared" si="1913"/>
        <v>NYRK-04JAN1912</v>
      </c>
      <c r="C4554" s="29" t="s">
        <v>1700</v>
      </c>
      <c r="D4554" s="45" t="s">
        <v>2224</v>
      </c>
      <c r="E4554" s="42" t="s">
        <v>2498</v>
      </c>
      <c r="F4554" s="29" t="s">
        <v>1700</v>
      </c>
      <c r="G4554" s="42" t="s">
        <v>2760</v>
      </c>
      <c r="H4554" s="30">
        <v>0</v>
      </c>
      <c r="I4554" s="30">
        <v>0</v>
      </c>
      <c r="J4554" s="30">
        <v>5</v>
      </c>
      <c r="K4554" s="30"/>
      <c r="L4554" s="30">
        <f t="shared" si="1914"/>
        <v>5</v>
      </c>
      <c r="M4554" s="31">
        <v>1</v>
      </c>
      <c r="N4554" s="31">
        <f t="shared" si="1915"/>
        <v>1</v>
      </c>
      <c r="O4554" s="29" t="s">
        <v>1702</v>
      </c>
      <c r="P4554" s="32" t="str">
        <f t="shared" si="1916"/>
        <v>04-Jan-1912</v>
      </c>
      <c r="Q4554" s="16"/>
      <c r="R4554" s="16" t="str">
        <f t="shared" si="1899"/>
        <v>x</v>
      </c>
      <c r="S4554" s="16" t="str">
        <f t="shared" si="1899"/>
        <v>x</v>
      </c>
      <c r="T4554" s="33"/>
      <c r="U4554" s="46" t="str">
        <f t="shared" si="1904"/>
        <v/>
      </c>
      <c r="V4554" s="46">
        <f t="shared" si="1904"/>
        <v>5</v>
      </c>
      <c r="W4554" s="46" t="str">
        <f t="shared" si="1904"/>
        <v/>
      </c>
      <c r="X4554" s="46" t="str">
        <f t="shared" si="1904"/>
        <v/>
      </c>
    </row>
    <row r="4555" spans="2:24" s="29" customFormat="1" x14ac:dyDescent="0.25">
      <c r="B4555" s="29" t="str">
        <f t="shared" si="1913"/>
        <v>NYRK-02FEB1912</v>
      </c>
      <c r="C4555" s="29" t="s">
        <v>1700</v>
      </c>
      <c r="D4555" s="45" t="s">
        <v>2224</v>
      </c>
      <c r="E4555" s="42" t="s">
        <v>2764</v>
      </c>
      <c r="F4555" s="29" t="s">
        <v>1700</v>
      </c>
      <c r="G4555" s="42" t="s">
        <v>2765</v>
      </c>
      <c r="H4555" s="30">
        <v>0</v>
      </c>
      <c r="I4555" s="30">
        <v>0</v>
      </c>
      <c r="J4555" s="30">
        <v>2</v>
      </c>
      <c r="K4555" s="30"/>
      <c r="L4555" s="30">
        <f t="shared" si="1914"/>
        <v>2</v>
      </c>
      <c r="M4555" s="31">
        <v>1</v>
      </c>
      <c r="N4555" s="31">
        <f t="shared" si="1915"/>
        <v>1</v>
      </c>
      <c r="O4555" s="29" t="s">
        <v>1702</v>
      </c>
      <c r="P4555" s="32" t="str">
        <f t="shared" si="1916"/>
        <v>02-Feb-1912</v>
      </c>
      <c r="Q4555" s="16"/>
      <c r="R4555" s="16" t="str">
        <f t="shared" si="1899"/>
        <v>x</v>
      </c>
      <c r="S4555" s="16" t="str">
        <f t="shared" si="1899"/>
        <v>x</v>
      </c>
      <c r="T4555" s="33"/>
      <c r="U4555" s="46" t="str">
        <f t="shared" si="1904"/>
        <v/>
      </c>
      <c r="V4555" s="46">
        <f t="shared" si="1904"/>
        <v>2</v>
      </c>
      <c r="W4555" s="46" t="str">
        <f t="shared" si="1904"/>
        <v/>
      </c>
      <c r="X4555" s="46" t="str">
        <f t="shared" si="1904"/>
        <v/>
      </c>
    </row>
    <row r="4556" spans="2:24" s="29" customFormat="1" x14ac:dyDescent="0.25">
      <c r="B4556" s="29" t="str">
        <f t="shared" si="1913"/>
        <v>NYRK-29FEB1912</v>
      </c>
      <c r="C4556" s="29" t="s">
        <v>1700</v>
      </c>
      <c r="D4556" s="45" t="s">
        <v>2224</v>
      </c>
      <c r="E4556" s="42" t="s">
        <v>2766</v>
      </c>
      <c r="F4556" s="29" t="s">
        <v>1700</v>
      </c>
      <c r="G4556" s="42" t="s">
        <v>2767</v>
      </c>
      <c r="H4556" s="30">
        <v>0</v>
      </c>
      <c r="I4556" s="30">
        <v>1</v>
      </c>
      <c r="J4556" s="30">
        <v>1</v>
      </c>
      <c r="K4556" s="30"/>
      <c r="L4556" s="30">
        <f t="shared" si="1914"/>
        <v>2</v>
      </c>
      <c r="M4556" s="31">
        <v>1</v>
      </c>
      <c r="N4556" s="31">
        <f t="shared" si="1915"/>
        <v>1</v>
      </c>
      <c r="O4556" s="29" t="s">
        <v>1702</v>
      </c>
      <c r="P4556" s="32" t="str">
        <f t="shared" si="1916"/>
        <v>29-Feb-1912</v>
      </c>
      <c r="Q4556" s="16"/>
      <c r="R4556" s="16" t="str">
        <f t="shared" si="1899"/>
        <v>x</v>
      </c>
      <c r="S4556" s="16" t="str">
        <f t="shared" si="1899"/>
        <v>x</v>
      </c>
      <c r="T4556" s="33"/>
      <c r="U4556" s="46" t="str">
        <f t="shared" si="1904"/>
        <v/>
      </c>
      <c r="V4556" s="46">
        <f t="shared" si="1904"/>
        <v>2</v>
      </c>
      <c r="W4556" s="46" t="str">
        <f t="shared" si="1904"/>
        <v/>
      </c>
      <c r="X4556" s="46" t="str">
        <f t="shared" si="1904"/>
        <v/>
      </c>
    </row>
    <row r="4557" spans="2:24" s="29" customFormat="1" x14ac:dyDescent="0.25">
      <c r="B4557" s="29" t="str">
        <f>CONCATENATE("NYRK","-",LEFT(P4557,2),UPPER(MID(P4557,4,3)),RIGHT(P4557,4))</f>
        <v>NYRK-19MAY1912</v>
      </c>
      <c r="C4557" s="45" t="s">
        <v>1700</v>
      </c>
      <c r="D4557" s="45" t="s">
        <v>598</v>
      </c>
      <c r="E4557" s="42" t="s">
        <v>1327</v>
      </c>
      <c r="F4557" s="29" t="s">
        <v>1700</v>
      </c>
      <c r="G4557" s="42" t="s">
        <v>2768</v>
      </c>
      <c r="H4557" s="30">
        <v>0</v>
      </c>
      <c r="I4557" s="30">
        <v>1</v>
      </c>
      <c r="J4557" s="30">
        <v>2</v>
      </c>
      <c r="K4557" s="30"/>
      <c r="L4557" s="30">
        <f>SUM(H4557:K4557)</f>
        <v>3</v>
      </c>
      <c r="M4557" s="31">
        <v>1</v>
      </c>
      <c r="N4557" s="31">
        <f>IF(L4557&gt;0,1,"")</f>
        <v>1</v>
      </c>
      <c r="O4557" s="29" t="s">
        <v>1702</v>
      </c>
      <c r="P4557" s="32" t="str">
        <f>IF(LEN(G4557)=10,CONCATENATE("0",G4557),G4557)</f>
        <v>19-May-1912</v>
      </c>
      <c r="Q4557" s="16"/>
      <c r="R4557" s="16" t="str">
        <f t="shared" si="1899"/>
        <v>x</v>
      </c>
      <c r="S4557" s="16" t="str">
        <f t="shared" si="1899"/>
        <v>x</v>
      </c>
      <c r="T4557" s="33"/>
      <c r="U4557" s="46" t="str">
        <f>IF($O4557=U$5,$L4557,"")</f>
        <v/>
      </c>
      <c r="V4557" s="46">
        <f>IF($O4557=V$5,$L4557,"")</f>
        <v>3</v>
      </c>
      <c r="W4557" s="46" t="str">
        <f>IF($O4557=W$5,$L4557,"")</f>
        <v/>
      </c>
      <c r="X4557" s="46" t="str">
        <f>IF($O4557=X$5,$L4557,"")</f>
        <v/>
      </c>
    </row>
    <row r="4558" spans="2:24" s="29" customFormat="1" x14ac:dyDescent="0.25">
      <c r="B4558" s="29" t="str">
        <f t="shared" si="1913"/>
        <v>NYRK-19MAY1912</v>
      </c>
      <c r="C4558" s="29" t="s">
        <v>1700</v>
      </c>
      <c r="D4558" s="45" t="s">
        <v>2224</v>
      </c>
      <c r="E4558" s="42" t="s">
        <v>1327</v>
      </c>
      <c r="F4558" s="29" t="s">
        <v>1700</v>
      </c>
      <c r="G4558" s="42" t="s">
        <v>2768</v>
      </c>
      <c r="H4558" s="30">
        <v>0</v>
      </c>
      <c r="I4558" s="30">
        <v>0</v>
      </c>
      <c r="J4558" s="30">
        <v>1</v>
      </c>
      <c r="K4558" s="30"/>
      <c r="L4558" s="30">
        <f t="shared" si="1914"/>
        <v>1</v>
      </c>
      <c r="M4558" s="31">
        <v>1</v>
      </c>
      <c r="N4558" s="31">
        <f t="shared" si="1915"/>
        <v>1</v>
      </c>
      <c r="O4558" s="29" t="s">
        <v>1702</v>
      </c>
      <c r="P4558" s="32" t="str">
        <f t="shared" si="1916"/>
        <v>19-May-1912</v>
      </c>
      <c r="Q4558" s="16"/>
      <c r="R4558" s="16" t="str">
        <f t="shared" si="1899"/>
        <v>x</v>
      </c>
      <c r="S4558" s="16" t="str">
        <f t="shared" si="1899"/>
        <v>x</v>
      </c>
      <c r="T4558" s="33"/>
      <c r="U4558" s="46" t="str">
        <f t="shared" si="1904"/>
        <v/>
      </c>
      <c r="V4558" s="46">
        <f t="shared" si="1904"/>
        <v>1</v>
      </c>
      <c r="W4558" s="46" t="str">
        <f t="shared" si="1904"/>
        <v/>
      </c>
      <c r="X4558" s="46" t="str">
        <f t="shared" si="1904"/>
        <v/>
      </c>
    </row>
    <row r="4559" spans="2:24" s="29" customFormat="1" x14ac:dyDescent="0.25">
      <c r="B4559" s="29" t="str">
        <f t="shared" si="1913"/>
        <v>NYRK-17JUN1912</v>
      </c>
      <c r="C4559" s="29" t="s">
        <v>1700</v>
      </c>
      <c r="D4559" s="45" t="s">
        <v>2224</v>
      </c>
      <c r="E4559" s="42" t="s">
        <v>914</v>
      </c>
      <c r="F4559" s="29" t="s">
        <v>1700</v>
      </c>
      <c r="G4559" s="42" t="s">
        <v>848</v>
      </c>
      <c r="H4559" s="30">
        <v>0</v>
      </c>
      <c r="I4559" s="30">
        <v>0</v>
      </c>
      <c r="J4559" s="30">
        <v>2</v>
      </c>
      <c r="K4559" s="30"/>
      <c r="L4559" s="30">
        <f t="shared" si="1914"/>
        <v>2</v>
      </c>
      <c r="M4559" s="31">
        <v>1</v>
      </c>
      <c r="N4559" s="31">
        <f t="shared" si="1915"/>
        <v>1</v>
      </c>
      <c r="O4559" s="29" t="s">
        <v>1702</v>
      </c>
      <c r="P4559" s="32" t="str">
        <f t="shared" si="1916"/>
        <v>17-Jun-1912</v>
      </c>
      <c r="Q4559" s="16"/>
      <c r="R4559" s="16" t="str">
        <f t="shared" si="1899"/>
        <v>x</v>
      </c>
      <c r="S4559" s="16" t="str">
        <f t="shared" si="1899"/>
        <v>x</v>
      </c>
      <c r="T4559" s="33"/>
      <c r="U4559" s="46" t="str">
        <f t="shared" si="1904"/>
        <v/>
      </c>
      <c r="V4559" s="46">
        <f t="shared" si="1904"/>
        <v>2</v>
      </c>
      <c r="W4559" s="46" t="str">
        <f t="shared" si="1904"/>
        <v/>
      </c>
      <c r="X4559" s="46" t="str">
        <f t="shared" si="1904"/>
        <v/>
      </c>
    </row>
    <row r="4560" spans="2:24" s="29" customFormat="1" x14ac:dyDescent="0.25">
      <c r="B4560" s="29" t="str">
        <f t="shared" si="1913"/>
        <v>NYRK-15JUL1912</v>
      </c>
      <c r="C4560" s="29" t="s">
        <v>1700</v>
      </c>
      <c r="D4560" s="45" t="s">
        <v>2224</v>
      </c>
      <c r="E4560" s="42" t="s">
        <v>2769</v>
      </c>
      <c r="F4560" s="29" t="s">
        <v>1700</v>
      </c>
      <c r="G4560" s="42" t="s">
        <v>2761</v>
      </c>
      <c r="H4560" s="30">
        <v>0</v>
      </c>
      <c r="I4560" s="30">
        <v>0</v>
      </c>
      <c r="J4560" s="30">
        <v>51</v>
      </c>
      <c r="K4560" s="30"/>
      <c r="L4560" s="30">
        <f t="shared" si="1914"/>
        <v>51</v>
      </c>
      <c r="M4560" s="31">
        <v>1</v>
      </c>
      <c r="N4560" s="31">
        <f t="shared" si="1915"/>
        <v>1</v>
      </c>
      <c r="O4560" s="29" t="s">
        <v>1702</v>
      </c>
      <c r="P4560" s="32" t="str">
        <f t="shared" si="1916"/>
        <v>15-Jul-1912</v>
      </c>
      <c r="Q4560" s="16"/>
      <c r="R4560" s="16" t="str">
        <f t="shared" si="1899"/>
        <v>x</v>
      </c>
      <c r="S4560" s="16" t="str">
        <f t="shared" si="1899"/>
        <v>x</v>
      </c>
      <c r="T4560" s="33"/>
      <c r="U4560" s="46" t="str">
        <f t="shared" si="1904"/>
        <v/>
      </c>
      <c r="V4560" s="46">
        <f t="shared" si="1904"/>
        <v>51</v>
      </c>
      <c r="W4560" s="46" t="str">
        <f t="shared" si="1904"/>
        <v/>
      </c>
      <c r="X4560" s="46" t="str">
        <f t="shared" si="1904"/>
        <v/>
      </c>
    </row>
    <row r="4561" spans="2:26" s="29" customFormat="1" x14ac:dyDescent="0.25">
      <c r="B4561" s="29" t="str">
        <f t="shared" ref="B4561:B4567" si="1917">CONCATENATE("NYRK","-",LEFT(P4561,2),UPPER(MID(P4561,4,3)),RIGHT(P4561,4))</f>
        <v>NYRK-12AUG1912</v>
      </c>
      <c r="C4561" s="29" t="s">
        <v>1700</v>
      </c>
      <c r="D4561" s="45" t="s">
        <v>2224</v>
      </c>
      <c r="E4561" s="42" t="s">
        <v>1002</v>
      </c>
      <c r="F4561" s="29" t="s">
        <v>1700</v>
      </c>
      <c r="G4561" s="42" t="s">
        <v>2342</v>
      </c>
      <c r="H4561" s="30">
        <v>0</v>
      </c>
      <c r="I4561" s="30">
        <v>1</v>
      </c>
      <c r="J4561" s="30">
        <v>2</v>
      </c>
      <c r="K4561" s="30"/>
      <c r="L4561" s="30">
        <f t="shared" ref="L4561:L4567" si="1918">SUM(H4561:K4561)</f>
        <v>3</v>
      </c>
      <c r="M4561" s="31">
        <v>1</v>
      </c>
      <c r="N4561" s="31">
        <f t="shared" ref="N4561:N4567" si="1919">IF(L4561&gt;0,1,"")</f>
        <v>1</v>
      </c>
      <c r="O4561" s="29" t="s">
        <v>1702</v>
      </c>
      <c r="P4561" s="32" t="str">
        <f t="shared" ref="P4561:P4567" si="1920">IF(LEN(G4561)=10,CONCATENATE("0",G4561),G4561)</f>
        <v>12-Aug-1912</v>
      </c>
      <c r="Q4561" s="16"/>
      <c r="R4561" s="16" t="str">
        <f t="shared" si="1899"/>
        <v>x</v>
      </c>
      <c r="S4561" s="16" t="str">
        <f t="shared" si="1899"/>
        <v>x</v>
      </c>
      <c r="T4561" s="33"/>
      <c r="U4561" s="46" t="str">
        <f t="shared" si="1904"/>
        <v/>
      </c>
      <c r="V4561" s="46">
        <f t="shared" si="1904"/>
        <v>3</v>
      </c>
      <c r="W4561" s="46" t="str">
        <f t="shared" si="1904"/>
        <v/>
      </c>
      <c r="X4561" s="46" t="str">
        <f t="shared" si="1904"/>
        <v/>
      </c>
    </row>
    <row r="4562" spans="2:26" s="29" customFormat="1" x14ac:dyDescent="0.25">
      <c r="B4562" s="29" t="str">
        <f t="shared" si="1917"/>
        <v>NYRK-09SEP1912</v>
      </c>
      <c r="C4562" s="29" t="s">
        <v>1700</v>
      </c>
      <c r="D4562" s="45" t="s">
        <v>2224</v>
      </c>
      <c r="E4562" s="42" t="s">
        <v>1329</v>
      </c>
      <c r="F4562" s="29" t="s">
        <v>1700</v>
      </c>
      <c r="G4562" s="42" t="s">
        <v>1322</v>
      </c>
      <c r="H4562" s="30">
        <v>0</v>
      </c>
      <c r="I4562" s="30">
        <v>0</v>
      </c>
      <c r="J4562" s="30">
        <v>1</v>
      </c>
      <c r="K4562" s="30"/>
      <c r="L4562" s="30">
        <f t="shared" si="1918"/>
        <v>1</v>
      </c>
      <c r="M4562" s="31">
        <v>1</v>
      </c>
      <c r="N4562" s="31">
        <f t="shared" si="1919"/>
        <v>1</v>
      </c>
      <c r="O4562" s="29" t="s">
        <v>1702</v>
      </c>
      <c r="P4562" s="32" t="str">
        <f t="shared" si="1920"/>
        <v>09-Sep-1912</v>
      </c>
      <c r="Q4562" s="16"/>
      <c r="R4562" s="16" t="str">
        <f t="shared" si="1899"/>
        <v>x</v>
      </c>
      <c r="S4562" s="16" t="str">
        <f t="shared" si="1899"/>
        <v>x</v>
      </c>
      <c r="T4562" s="33"/>
      <c r="U4562" s="46" t="str">
        <f t="shared" si="1904"/>
        <v/>
      </c>
      <c r="V4562" s="46">
        <f t="shared" si="1904"/>
        <v>1</v>
      </c>
      <c r="W4562" s="46" t="str">
        <f t="shared" si="1904"/>
        <v/>
      </c>
      <c r="X4562" s="46" t="str">
        <f t="shared" si="1904"/>
        <v/>
      </c>
    </row>
    <row r="4563" spans="2:26" s="29" customFormat="1" x14ac:dyDescent="0.25">
      <c r="B4563" s="29" t="str">
        <f t="shared" si="1917"/>
        <v>NYRK-06OCT1912</v>
      </c>
      <c r="C4563" s="29" t="s">
        <v>1700</v>
      </c>
      <c r="D4563" s="45" t="s">
        <v>2224</v>
      </c>
      <c r="E4563" s="42" t="s">
        <v>1330</v>
      </c>
      <c r="F4563" s="29" t="s">
        <v>1700</v>
      </c>
      <c r="G4563" s="42" t="s">
        <v>2762</v>
      </c>
      <c r="H4563" s="30">
        <v>0</v>
      </c>
      <c r="I4563" s="30">
        <v>0</v>
      </c>
      <c r="J4563" s="30">
        <v>5</v>
      </c>
      <c r="K4563" s="30"/>
      <c r="L4563" s="30">
        <f t="shared" si="1918"/>
        <v>5</v>
      </c>
      <c r="M4563" s="31">
        <v>1</v>
      </c>
      <c r="N4563" s="31">
        <f t="shared" si="1919"/>
        <v>1</v>
      </c>
      <c r="O4563" s="29" t="s">
        <v>1702</v>
      </c>
      <c r="P4563" s="32" t="str">
        <f t="shared" si="1920"/>
        <v>06-Oct-1912</v>
      </c>
      <c r="Q4563" s="16"/>
      <c r="R4563" s="16" t="str">
        <f t="shared" si="1899"/>
        <v>x</v>
      </c>
      <c r="S4563" s="16" t="str">
        <f t="shared" si="1899"/>
        <v>x</v>
      </c>
      <c r="T4563" s="33"/>
      <c r="U4563" s="46" t="str">
        <f t="shared" si="1904"/>
        <v/>
      </c>
      <c r="V4563" s="46">
        <f t="shared" si="1904"/>
        <v>5</v>
      </c>
      <c r="W4563" s="46" t="str">
        <f t="shared" si="1904"/>
        <v/>
      </c>
      <c r="X4563" s="46" t="str">
        <f t="shared" si="1904"/>
        <v/>
      </c>
    </row>
    <row r="4564" spans="2:26" x14ac:dyDescent="0.25">
      <c r="B4564" s="29" t="str">
        <f t="shared" si="1917"/>
        <v>NYRK-07NOV1912</v>
      </c>
      <c r="C4564" s="29" t="s">
        <v>1700</v>
      </c>
      <c r="D4564" s="29" t="s">
        <v>155</v>
      </c>
      <c r="E4564" s="41" t="s">
        <v>92</v>
      </c>
      <c r="F4564" s="29" t="s">
        <v>1700</v>
      </c>
      <c r="G4564" s="41" t="s">
        <v>93</v>
      </c>
      <c r="H4564" s="30">
        <v>0</v>
      </c>
      <c r="I4564" s="30">
        <v>0</v>
      </c>
      <c r="J4564" s="30">
        <v>36</v>
      </c>
      <c r="K4564" s="30"/>
      <c r="L4564" s="30">
        <f t="shared" si="1918"/>
        <v>36</v>
      </c>
      <c r="M4564" s="31">
        <v>1</v>
      </c>
      <c r="N4564" s="31">
        <f t="shared" si="1919"/>
        <v>1</v>
      </c>
      <c r="O4564" s="29" t="s">
        <v>1702</v>
      </c>
      <c r="P4564" s="32" t="str">
        <f t="shared" si="1920"/>
        <v>07-Nov-1912</v>
      </c>
      <c r="R4564" s="16" t="str">
        <f t="shared" si="1899"/>
        <v>x</v>
      </c>
      <c r="S4564" s="16" t="str">
        <f t="shared" si="1899"/>
        <v>x</v>
      </c>
      <c r="T4564" s="33"/>
      <c r="U4564" s="46" t="str">
        <f t="shared" si="1904"/>
        <v/>
      </c>
      <c r="V4564" s="46">
        <f t="shared" si="1904"/>
        <v>36</v>
      </c>
      <c r="W4564" s="46" t="str">
        <f t="shared" si="1904"/>
        <v/>
      </c>
      <c r="X4564" s="46" t="str">
        <f t="shared" si="1904"/>
        <v/>
      </c>
    </row>
    <row r="4565" spans="2:26" s="29" customFormat="1" x14ac:dyDescent="0.25">
      <c r="B4565" s="29" t="str">
        <f t="shared" si="1917"/>
        <v>NYRK-02DEC1912</v>
      </c>
      <c r="C4565" s="29" t="s">
        <v>1700</v>
      </c>
      <c r="D4565" s="45" t="s">
        <v>2224</v>
      </c>
      <c r="E4565" s="42" t="s">
        <v>1532</v>
      </c>
      <c r="F4565" s="29" t="s">
        <v>1700</v>
      </c>
      <c r="G4565" s="42" t="s">
        <v>2763</v>
      </c>
      <c r="H4565" s="30">
        <v>0</v>
      </c>
      <c r="I4565" s="30">
        <v>3</v>
      </c>
      <c r="J4565" s="30">
        <v>8</v>
      </c>
      <c r="K4565" s="30"/>
      <c r="L4565" s="30">
        <f t="shared" si="1918"/>
        <v>11</v>
      </c>
      <c r="M4565" s="31">
        <v>1</v>
      </c>
      <c r="N4565" s="31">
        <f t="shared" si="1919"/>
        <v>1</v>
      </c>
      <c r="O4565" s="29" t="s">
        <v>1702</v>
      </c>
      <c r="P4565" s="32" t="str">
        <f t="shared" si="1920"/>
        <v>02-Dec-1912</v>
      </c>
      <c r="Q4565" s="16"/>
      <c r="R4565" s="16" t="str">
        <f t="shared" si="1899"/>
        <v>x</v>
      </c>
      <c r="S4565" s="16" t="str">
        <f t="shared" si="1899"/>
        <v>x</v>
      </c>
      <c r="T4565" s="33"/>
      <c r="U4565" s="46" t="str">
        <f t="shared" si="1904"/>
        <v/>
      </c>
      <c r="V4565" s="46">
        <f t="shared" si="1904"/>
        <v>11</v>
      </c>
      <c r="W4565" s="46" t="str">
        <f t="shared" si="1904"/>
        <v/>
      </c>
      <c r="X4565" s="46" t="str">
        <f t="shared" si="1904"/>
        <v/>
      </c>
    </row>
    <row r="4566" spans="2:26" s="29" customFormat="1" x14ac:dyDescent="0.25">
      <c r="B4566" s="29" t="str">
        <f t="shared" si="1917"/>
        <v>NYRK-29DEC1912</v>
      </c>
      <c r="C4566" s="29" t="s">
        <v>1700</v>
      </c>
      <c r="D4566" s="45" t="s">
        <v>2224</v>
      </c>
      <c r="E4566" s="42" t="s">
        <v>1915</v>
      </c>
      <c r="F4566" s="29" t="s">
        <v>1700</v>
      </c>
      <c r="G4566" s="42" t="s">
        <v>2770</v>
      </c>
      <c r="H4566" s="30">
        <v>0</v>
      </c>
      <c r="I4566" s="30">
        <v>0</v>
      </c>
      <c r="J4566" s="30">
        <v>8</v>
      </c>
      <c r="K4566" s="30"/>
      <c r="L4566" s="30">
        <f t="shared" si="1918"/>
        <v>8</v>
      </c>
      <c r="M4566" s="31">
        <v>1</v>
      </c>
      <c r="N4566" s="31">
        <f t="shared" si="1919"/>
        <v>1</v>
      </c>
      <c r="O4566" s="29" t="s">
        <v>1702</v>
      </c>
      <c r="P4566" s="32" t="str">
        <f t="shared" si="1920"/>
        <v>29-Dec-1912</v>
      </c>
      <c r="Q4566" s="16"/>
      <c r="R4566" s="16" t="str">
        <f t="shared" si="1899"/>
        <v>x</v>
      </c>
      <c r="S4566" s="16" t="str">
        <f t="shared" si="1899"/>
        <v>x</v>
      </c>
      <c r="T4566" s="33"/>
      <c r="U4566" s="46" t="str">
        <f t="shared" si="1904"/>
        <v/>
      </c>
      <c r="V4566" s="46">
        <f t="shared" si="1904"/>
        <v>8</v>
      </c>
      <c r="W4566" s="46" t="str">
        <f t="shared" si="1904"/>
        <v/>
      </c>
      <c r="X4566" s="46" t="str">
        <f t="shared" si="1904"/>
        <v/>
      </c>
    </row>
    <row r="4567" spans="2:26" s="29" customFormat="1" x14ac:dyDescent="0.25">
      <c r="B4567" s="29" t="str">
        <f t="shared" si="1917"/>
        <v>NYRK-31JAN1913</v>
      </c>
      <c r="C4567" s="29" t="s">
        <v>1700</v>
      </c>
      <c r="D4567" s="45" t="s">
        <v>2224</v>
      </c>
      <c r="E4567" s="42" t="s">
        <v>2777</v>
      </c>
      <c r="F4567" s="29" t="s">
        <v>1700</v>
      </c>
      <c r="G4567" s="42" t="s">
        <v>2771</v>
      </c>
      <c r="H4567" s="30">
        <v>0</v>
      </c>
      <c r="I4567" s="30">
        <v>0</v>
      </c>
      <c r="J4567" s="30">
        <v>6</v>
      </c>
      <c r="K4567" s="30"/>
      <c r="L4567" s="30">
        <f t="shared" si="1918"/>
        <v>6</v>
      </c>
      <c r="M4567" s="31">
        <v>1</v>
      </c>
      <c r="N4567" s="31">
        <f t="shared" si="1919"/>
        <v>1</v>
      </c>
      <c r="O4567" s="29" t="s">
        <v>1702</v>
      </c>
      <c r="P4567" s="32" t="str">
        <f t="shared" si="1920"/>
        <v>31-Jan-1913</v>
      </c>
      <c r="Q4567" s="16"/>
      <c r="R4567" s="16" t="str">
        <f t="shared" si="1899"/>
        <v>x</v>
      </c>
      <c r="S4567" s="16" t="str">
        <f t="shared" si="1899"/>
        <v>x</v>
      </c>
      <c r="T4567" s="33"/>
      <c r="U4567" s="46" t="str">
        <f t="shared" si="1904"/>
        <v/>
      </c>
      <c r="V4567" s="46">
        <f t="shared" si="1904"/>
        <v>6</v>
      </c>
      <c r="W4567" s="46" t="str">
        <f t="shared" si="1904"/>
        <v/>
      </c>
      <c r="X4567" s="46" t="str">
        <f t="shared" si="1904"/>
        <v/>
      </c>
    </row>
    <row r="4568" spans="2:26" s="29" customFormat="1" x14ac:dyDescent="0.25">
      <c r="B4568" s="29" t="str">
        <f t="shared" ref="B4568:B4597" si="1921">CONCATENATE("NYRK","-",LEFT(P4568,2),UPPER(MID(P4568,4,3)),RIGHT(P4568,4))</f>
        <v>NYRK-27FEB1913</v>
      </c>
      <c r="C4568" s="29" t="s">
        <v>1700</v>
      </c>
      <c r="D4568" s="45" t="s">
        <v>2224</v>
      </c>
      <c r="E4568" s="42" t="s">
        <v>2778</v>
      </c>
      <c r="F4568" s="29" t="s">
        <v>1700</v>
      </c>
      <c r="G4568" s="42" t="s">
        <v>2779</v>
      </c>
      <c r="H4568" s="30">
        <v>0</v>
      </c>
      <c r="I4568" s="30">
        <v>1</v>
      </c>
      <c r="J4568" s="30">
        <v>3</v>
      </c>
      <c r="K4568" s="30"/>
      <c r="L4568" s="30">
        <f t="shared" ref="L4568:L4597" si="1922">SUM(H4568:K4568)</f>
        <v>4</v>
      </c>
      <c r="M4568" s="31">
        <v>1</v>
      </c>
      <c r="N4568" s="31">
        <f t="shared" ref="N4568:N4597" si="1923">IF(L4568&gt;0,1,"")</f>
        <v>1</v>
      </c>
      <c r="O4568" s="29" t="s">
        <v>1702</v>
      </c>
      <c r="P4568" s="32" t="str">
        <f t="shared" ref="P4568:P4597" si="1924">IF(LEN(G4568)=10,CONCATENATE("0",G4568),G4568)</f>
        <v>27-Feb-1913</v>
      </c>
      <c r="Q4568" s="16"/>
      <c r="R4568" s="16" t="str">
        <f t="shared" si="1899"/>
        <v>x</v>
      </c>
      <c r="S4568" s="16" t="str">
        <f t="shared" si="1899"/>
        <v>x</v>
      </c>
      <c r="T4568" s="33"/>
      <c r="U4568" s="46" t="str">
        <f t="shared" si="1904"/>
        <v/>
      </c>
      <c r="V4568" s="46">
        <f t="shared" si="1904"/>
        <v>4</v>
      </c>
      <c r="W4568" s="46" t="str">
        <f t="shared" si="1904"/>
        <v/>
      </c>
      <c r="X4568" s="46" t="str">
        <f t="shared" si="1904"/>
        <v/>
      </c>
    </row>
    <row r="4569" spans="2:26" s="29" customFormat="1" x14ac:dyDescent="0.25">
      <c r="B4569" s="29" t="str">
        <f t="shared" si="1921"/>
        <v>NYRK-28MAR1913</v>
      </c>
      <c r="C4569" s="29" t="s">
        <v>1700</v>
      </c>
      <c r="D4569" s="45" t="s">
        <v>2224</v>
      </c>
      <c r="E4569" s="42" t="s">
        <v>2780</v>
      </c>
      <c r="F4569" s="29" t="s">
        <v>1700</v>
      </c>
      <c r="G4569" s="42" t="s">
        <v>2772</v>
      </c>
      <c r="H4569" s="30">
        <v>0</v>
      </c>
      <c r="I4569" s="30">
        <v>0</v>
      </c>
      <c r="J4569" s="30">
        <v>1</v>
      </c>
      <c r="K4569" s="30"/>
      <c r="L4569" s="30">
        <f t="shared" si="1922"/>
        <v>1</v>
      </c>
      <c r="M4569" s="31">
        <v>1</v>
      </c>
      <c r="N4569" s="31">
        <f t="shared" si="1923"/>
        <v>1</v>
      </c>
      <c r="O4569" s="29" t="s">
        <v>1702</v>
      </c>
      <c r="P4569" s="32" t="str">
        <f t="shared" si="1924"/>
        <v>28-Mar-1913</v>
      </c>
      <c r="Q4569" s="16"/>
      <c r="R4569" s="16" t="str">
        <f t="shared" si="1899"/>
        <v>x</v>
      </c>
      <c r="S4569" s="16" t="str">
        <f t="shared" si="1899"/>
        <v>x</v>
      </c>
      <c r="T4569" s="33"/>
      <c r="U4569" s="46" t="str">
        <f t="shared" si="1904"/>
        <v/>
      </c>
      <c r="V4569" s="46">
        <f t="shared" si="1904"/>
        <v>1</v>
      </c>
      <c r="W4569" s="46" t="str">
        <f t="shared" si="1904"/>
        <v/>
      </c>
      <c r="X4569" s="46" t="str">
        <f t="shared" si="1904"/>
        <v/>
      </c>
    </row>
    <row r="4570" spans="2:26" s="29" customFormat="1" x14ac:dyDescent="0.25">
      <c r="B4570" s="29" t="str">
        <f t="shared" si="1921"/>
        <v>NYRK-20APR1913</v>
      </c>
      <c r="C4570" s="29" t="s">
        <v>1700</v>
      </c>
      <c r="D4570" s="45" t="s">
        <v>2224</v>
      </c>
      <c r="E4570" s="42" t="s">
        <v>1295</v>
      </c>
      <c r="F4570" s="29" t="s">
        <v>1700</v>
      </c>
      <c r="G4570" s="42" t="s">
        <v>2781</v>
      </c>
      <c r="H4570" s="30">
        <v>0</v>
      </c>
      <c r="I4570" s="30">
        <v>0</v>
      </c>
      <c r="J4570" s="30">
        <v>0</v>
      </c>
      <c r="K4570" s="30"/>
      <c r="L4570" s="30">
        <f t="shared" si="1922"/>
        <v>0</v>
      </c>
      <c r="M4570" s="31">
        <v>1</v>
      </c>
      <c r="N4570" s="31" t="str">
        <f t="shared" si="1923"/>
        <v/>
      </c>
      <c r="O4570" s="29" t="s">
        <v>1702</v>
      </c>
      <c r="P4570" s="32" t="str">
        <f t="shared" si="1924"/>
        <v>20-Apr-1913</v>
      </c>
      <c r="Q4570" s="16"/>
      <c r="R4570" s="16" t="str">
        <f t="shared" si="1899"/>
        <v/>
      </c>
      <c r="S4570" s="16" t="str">
        <f t="shared" si="1899"/>
        <v/>
      </c>
      <c r="T4570" s="33"/>
      <c r="U4570" s="46" t="str">
        <f t="shared" si="1904"/>
        <v/>
      </c>
      <c r="V4570" s="46">
        <f t="shared" si="1904"/>
        <v>0</v>
      </c>
      <c r="W4570" s="46" t="str">
        <f t="shared" si="1904"/>
        <v/>
      </c>
      <c r="X4570" s="46" t="str">
        <f t="shared" si="1904"/>
        <v/>
      </c>
    </row>
    <row r="4571" spans="2:26" s="29" customFormat="1" x14ac:dyDescent="0.25">
      <c r="B4571" s="29" t="str">
        <f t="shared" si="1921"/>
        <v>NYRK-18MAY1913</v>
      </c>
      <c r="C4571" s="29" t="s">
        <v>1700</v>
      </c>
      <c r="D4571" s="45" t="s">
        <v>2224</v>
      </c>
      <c r="E4571" s="42" t="s">
        <v>1296</v>
      </c>
      <c r="F4571" s="29" t="s">
        <v>1700</v>
      </c>
      <c r="G4571" s="42" t="s">
        <v>2773</v>
      </c>
      <c r="H4571" s="30">
        <v>0</v>
      </c>
      <c r="I4571" s="30">
        <v>0</v>
      </c>
      <c r="J4571" s="30"/>
      <c r="K4571" s="30"/>
      <c r="L4571" s="30"/>
      <c r="M4571" s="31"/>
      <c r="N4571" s="31" t="str">
        <f t="shared" si="1923"/>
        <v/>
      </c>
      <c r="O4571" s="29" t="s">
        <v>1702</v>
      </c>
      <c r="P4571" s="32" t="str">
        <f t="shared" si="1924"/>
        <v>18-May-1913</v>
      </c>
      <c r="Q4571" s="16"/>
      <c r="R4571" s="16" t="str">
        <f t="shared" si="1899"/>
        <v/>
      </c>
      <c r="S4571" s="16" t="str">
        <f t="shared" si="1899"/>
        <v/>
      </c>
      <c r="T4571" s="37" t="s">
        <v>2782</v>
      </c>
      <c r="U4571" s="46" t="str">
        <f t="shared" si="1904"/>
        <v/>
      </c>
      <c r="V4571" s="46">
        <f t="shared" si="1904"/>
        <v>0</v>
      </c>
      <c r="W4571" s="46" t="str">
        <f t="shared" si="1904"/>
        <v/>
      </c>
      <c r="X4571" s="46" t="str">
        <f t="shared" si="1904"/>
        <v/>
      </c>
      <c r="Z4571" s="29" t="s">
        <v>2782</v>
      </c>
    </row>
    <row r="4572" spans="2:26" s="29" customFormat="1" x14ac:dyDescent="0.25">
      <c r="B4572" s="29" t="str">
        <f t="shared" si="1921"/>
        <v>NYRK-15JUN1913</v>
      </c>
      <c r="C4572" s="29" t="s">
        <v>1700</v>
      </c>
      <c r="D4572" s="45" t="s">
        <v>2224</v>
      </c>
      <c r="E4572" s="42" t="s">
        <v>2783</v>
      </c>
      <c r="F4572" s="29" t="s">
        <v>1700</v>
      </c>
      <c r="G4572" s="42" t="s">
        <v>2784</v>
      </c>
      <c r="H4572" s="30">
        <v>0</v>
      </c>
      <c r="I4572" s="30">
        <v>0</v>
      </c>
      <c r="J4572" s="30">
        <v>32</v>
      </c>
      <c r="K4572" s="30"/>
      <c r="L4572" s="30">
        <f t="shared" si="1922"/>
        <v>32</v>
      </c>
      <c r="M4572" s="31">
        <v>1</v>
      </c>
      <c r="N4572" s="31">
        <f t="shared" si="1923"/>
        <v>1</v>
      </c>
      <c r="O4572" s="29" t="s">
        <v>1702</v>
      </c>
      <c r="P4572" s="32" t="str">
        <f t="shared" si="1924"/>
        <v>15-Jun-1913</v>
      </c>
      <c r="Q4572" s="16"/>
      <c r="R4572" s="16" t="str">
        <f t="shared" si="1899"/>
        <v>x</v>
      </c>
      <c r="S4572" s="16" t="str">
        <f t="shared" si="1899"/>
        <v>x</v>
      </c>
      <c r="T4572" s="33"/>
      <c r="U4572" s="46" t="str">
        <f t="shared" si="1904"/>
        <v/>
      </c>
      <c r="V4572" s="46">
        <f t="shared" si="1904"/>
        <v>32</v>
      </c>
      <c r="W4572" s="46" t="str">
        <f t="shared" si="1904"/>
        <v/>
      </c>
      <c r="X4572" s="46" t="str">
        <f t="shared" si="1904"/>
        <v/>
      </c>
    </row>
    <row r="4573" spans="2:26" s="29" customFormat="1" x14ac:dyDescent="0.25">
      <c r="B4573" s="29" t="str">
        <f t="shared" si="1921"/>
        <v>NYRK-13JUL1913</v>
      </c>
      <c r="C4573" s="29" t="s">
        <v>1700</v>
      </c>
      <c r="D4573" s="45" t="s">
        <v>2224</v>
      </c>
      <c r="E4573" s="42" t="s">
        <v>1288</v>
      </c>
      <c r="F4573" s="29" t="s">
        <v>1700</v>
      </c>
      <c r="G4573" s="42" t="s">
        <v>2353</v>
      </c>
      <c r="H4573" s="30">
        <v>0</v>
      </c>
      <c r="I4573" s="30">
        <v>0</v>
      </c>
      <c r="J4573" s="30">
        <v>22</v>
      </c>
      <c r="K4573" s="30"/>
      <c r="L4573" s="30">
        <f t="shared" si="1922"/>
        <v>22</v>
      </c>
      <c r="M4573" s="31">
        <v>1</v>
      </c>
      <c r="N4573" s="31">
        <f t="shared" si="1923"/>
        <v>1</v>
      </c>
      <c r="O4573" s="29" t="s">
        <v>1702</v>
      </c>
      <c r="P4573" s="32" t="str">
        <f t="shared" si="1924"/>
        <v>13-Jul-1913</v>
      </c>
      <c r="Q4573" s="16"/>
      <c r="R4573" s="16" t="str">
        <f t="shared" ref="R4573:S4597" si="1925">IF($L4573&gt;0,"x","")</f>
        <v>x</v>
      </c>
      <c r="S4573" s="16" t="str">
        <f t="shared" si="1925"/>
        <v>x</v>
      </c>
      <c r="T4573" s="33"/>
      <c r="U4573" s="46" t="str">
        <f t="shared" si="1904"/>
        <v/>
      </c>
      <c r="V4573" s="46">
        <f t="shared" si="1904"/>
        <v>22</v>
      </c>
      <c r="W4573" s="46" t="str">
        <f t="shared" si="1904"/>
        <v/>
      </c>
      <c r="X4573" s="46" t="str">
        <f t="shared" si="1904"/>
        <v/>
      </c>
    </row>
    <row r="4574" spans="2:26" s="29" customFormat="1" x14ac:dyDescent="0.25">
      <c r="B4574" s="29" t="str">
        <f t="shared" si="1921"/>
        <v>NYRK-10AUG1913</v>
      </c>
      <c r="C4574" s="29" t="s">
        <v>1700</v>
      </c>
      <c r="D4574" s="45" t="s">
        <v>2224</v>
      </c>
      <c r="E4574" s="42" t="s">
        <v>1676</v>
      </c>
      <c r="F4574" s="29" t="s">
        <v>1700</v>
      </c>
      <c r="G4574" s="42" t="s">
        <v>2774</v>
      </c>
      <c r="H4574" s="30">
        <v>0</v>
      </c>
      <c r="I4574" s="30">
        <v>0</v>
      </c>
      <c r="J4574" s="30">
        <v>4</v>
      </c>
      <c r="K4574" s="30"/>
      <c r="L4574" s="30">
        <f t="shared" si="1922"/>
        <v>4</v>
      </c>
      <c r="M4574" s="31">
        <v>1</v>
      </c>
      <c r="N4574" s="31">
        <f t="shared" si="1923"/>
        <v>1</v>
      </c>
      <c r="O4574" s="29" t="s">
        <v>1702</v>
      </c>
      <c r="P4574" s="32" t="str">
        <f t="shared" si="1924"/>
        <v>10-Aug-1913</v>
      </c>
      <c r="Q4574" s="16"/>
      <c r="R4574" s="16" t="str">
        <f t="shared" si="1925"/>
        <v>x</v>
      </c>
      <c r="S4574" s="16" t="str">
        <f t="shared" si="1925"/>
        <v>x</v>
      </c>
      <c r="T4574" s="33"/>
      <c r="U4574" s="46" t="str">
        <f t="shared" si="1904"/>
        <v/>
      </c>
      <c r="V4574" s="46">
        <f t="shared" si="1904"/>
        <v>4</v>
      </c>
      <c r="W4574" s="46" t="str">
        <f t="shared" si="1904"/>
        <v/>
      </c>
      <c r="X4574" s="46" t="str">
        <f t="shared" si="1904"/>
        <v/>
      </c>
    </row>
    <row r="4575" spans="2:26" s="29" customFormat="1" x14ac:dyDescent="0.25">
      <c r="B4575" s="29" t="str">
        <f>CONCATENATE("NYRK","-",LEFT(P4575,2),UPPER(MID(P4575,4,3)),RIGHT(P4575,4))</f>
        <v>NYRK-07SEP1913</v>
      </c>
      <c r="C4575" s="29" t="s">
        <v>1700</v>
      </c>
      <c r="D4575" s="45" t="s">
        <v>598</v>
      </c>
      <c r="E4575" s="42" t="s">
        <v>1289</v>
      </c>
      <c r="F4575" s="29" t="s">
        <v>1700</v>
      </c>
      <c r="G4575" s="42" t="s">
        <v>2785</v>
      </c>
      <c r="H4575" s="30">
        <v>1</v>
      </c>
      <c r="I4575" s="30">
        <v>0</v>
      </c>
      <c r="J4575" s="30">
        <v>3</v>
      </c>
      <c r="K4575" s="30"/>
      <c r="L4575" s="30">
        <f>SUM(H4575:K4575)</f>
        <v>4</v>
      </c>
      <c r="M4575" s="31">
        <v>1</v>
      </c>
      <c r="N4575" s="31">
        <f>IF(L4575&gt;0,1,"")</f>
        <v>1</v>
      </c>
      <c r="O4575" s="29" t="s">
        <v>1702</v>
      </c>
      <c r="P4575" s="32" t="str">
        <f>IF(LEN(G4575)=10,CONCATENATE("0",G4575),G4575)</f>
        <v>07-Sep-1913</v>
      </c>
      <c r="Q4575" s="16"/>
      <c r="R4575" s="16" t="str">
        <f t="shared" si="1925"/>
        <v>x</v>
      </c>
      <c r="S4575" s="16" t="str">
        <f t="shared" si="1925"/>
        <v>x</v>
      </c>
      <c r="T4575" s="33"/>
      <c r="U4575" s="46" t="str">
        <f>IF($O4575=U$5,$L4575,"")</f>
        <v/>
      </c>
      <c r="V4575" s="46">
        <f>IF($O4575=V$5,$L4575,"")</f>
        <v>4</v>
      </c>
      <c r="W4575" s="46" t="str">
        <f>IF($O4575=W$5,$L4575,"")</f>
        <v/>
      </c>
      <c r="X4575" s="46" t="str">
        <f>IF($O4575=X$5,$L4575,"")</f>
        <v/>
      </c>
    </row>
    <row r="4576" spans="2:26" s="29" customFormat="1" x14ac:dyDescent="0.25">
      <c r="B4576" s="29" t="str">
        <f t="shared" si="1921"/>
        <v>NYRK-07SEP1913</v>
      </c>
      <c r="C4576" s="29" t="s">
        <v>1700</v>
      </c>
      <c r="D4576" s="45" t="s">
        <v>2224</v>
      </c>
      <c r="E4576" s="42" t="s">
        <v>1289</v>
      </c>
      <c r="F4576" s="29" t="s">
        <v>1700</v>
      </c>
      <c r="G4576" s="42" t="s">
        <v>2785</v>
      </c>
      <c r="H4576" s="30">
        <v>0</v>
      </c>
      <c r="I4576" s="30">
        <v>0</v>
      </c>
      <c r="J4576" s="30">
        <v>0</v>
      </c>
      <c r="K4576" s="30"/>
      <c r="L4576" s="30">
        <f t="shared" si="1922"/>
        <v>0</v>
      </c>
      <c r="M4576" s="31">
        <v>1</v>
      </c>
      <c r="N4576" s="31" t="str">
        <f t="shared" si="1923"/>
        <v/>
      </c>
      <c r="O4576" s="29" t="s">
        <v>1702</v>
      </c>
      <c r="P4576" s="32" t="str">
        <f t="shared" si="1924"/>
        <v>07-Sep-1913</v>
      </c>
      <c r="Q4576" s="16"/>
      <c r="R4576" s="16" t="str">
        <f t="shared" si="1925"/>
        <v/>
      </c>
      <c r="S4576" s="16" t="str">
        <f t="shared" si="1925"/>
        <v/>
      </c>
      <c r="T4576" s="33"/>
      <c r="U4576" s="46" t="str">
        <f t="shared" si="1904"/>
        <v/>
      </c>
      <c r="V4576" s="46">
        <f t="shared" si="1904"/>
        <v>0</v>
      </c>
      <c r="W4576" s="46" t="str">
        <f t="shared" si="1904"/>
        <v/>
      </c>
      <c r="X4576" s="46" t="str">
        <f t="shared" si="1904"/>
        <v/>
      </c>
    </row>
    <row r="4577" spans="2:24" s="29" customFormat="1" x14ac:dyDescent="0.25">
      <c r="B4577" s="29" t="str">
        <f t="shared" si="1921"/>
        <v>NYRK-06OCT1913</v>
      </c>
      <c r="C4577" s="29" t="s">
        <v>1700</v>
      </c>
      <c r="D4577" s="45" t="s">
        <v>2224</v>
      </c>
      <c r="E4577" s="42" t="s">
        <v>2362</v>
      </c>
      <c r="F4577" s="29" t="s">
        <v>1700</v>
      </c>
      <c r="G4577" s="42" t="s">
        <v>2775</v>
      </c>
      <c r="H4577" s="30">
        <v>0</v>
      </c>
      <c r="I4577" s="30">
        <v>0</v>
      </c>
      <c r="J4577" s="30">
        <v>18</v>
      </c>
      <c r="K4577" s="30"/>
      <c r="L4577" s="30">
        <f t="shared" si="1922"/>
        <v>18</v>
      </c>
      <c r="M4577" s="31">
        <v>1</v>
      </c>
      <c r="N4577" s="31">
        <f t="shared" si="1923"/>
        <v>1</v>
      </c>
      <c r="O4577" s="29" t="s">
        <v>1702</v>
      </c>
      <c r="P4577" s="32" t="str">
        <f t="shared" si="1924"/>
        <v>06-Oct-1913</v>
      </c>
      <c r="Q4577" s="16"/>
      <c r="R4577" s="16" t="str">
        <f t="shared" si="1925"/>
        <v>x</v>
      </c>
      <c r="S4577" s="16" t="str">
        <f t="shared" si="1925"/>
        <v>x</v>
      </c>
      <c r="T4577" s="33"/>
      <c r="U4577" s="46" t="str">
        <f t="shared" si="1904"/>
        <v/>
      </c>
      <c r="V4577" s="46">
        <f t="shared" si="1904"/>
        <v>18</v>
      </c>
      <c r="W4577" s="46" t="str">
        <f t="shared" si="1904"/>
        <v/>
      </c>
      <c r="X4577" s="46" t="str">
        <f t="shared" si="1904"/>
        <v/>
      </c>
    </row>
    <row r="4578" spans="2:24" s="29" customFormat="1" x14ac:dyDescent="0.25">
      <c r="B4578" s="29" t="str">
        <f t="shared" si="1921"/>
        <v>NYRK-02NOV1913</v>
      </c>
      <c r="C4578" s="29" t="s">
        <v>1700</v>
      </c>
      <c r="D4578" s="45" t="s">
        <v>2224</v>
      </c>
      <c r="E4578" s="42" t="s">
        <v>2363</v>
      </c>
      <c r="F4578" s="29" t="s">
        <v>1700</v>
      </c>
      <c r="G4578" s="42" t="s">
        <v>2786</v>
      </c>
      <c r="H4578" s="30">
        <v>0</v>
      </c>
      <c r="I4578" s="30">
        <v>0</v>
      </c>
      <c r="J4578" s="30">
        <v>24</v>
      </c>
      <c r="K4578" s="30"/>
      <c r="L4578" s="30">
        <f t="shared" si="1922"/>
        <v>24</v>
      </c>
      <c r="M4578" s="31">
        <v>1</v>
      </c>
      <c r="N4578" s="31">
        <f t="shared" si="1923"/>
        <v>1</v>
      </c>
      <c r="O4578" s="29" t="s">
        <v>1702</v>
      </c>
      <c r="P4578" s="32" t="str">
        <f t="shared" si="1924"/>
        <v>02-Nov-1913</v>
      </c>
      <c r="Q4578" s="16"/>
      <c r="R4578" s="16" t="str">
        <f t="shared" si="1925"/>
        <v>x</v>
      </c>
      <c r="S4578" s="16" t="str">
        <f t="shared" si="1925"/>
        <v>x</v>
      </c>
      <c r="T4578" s="33"/>
      <c r="U4578" s="46" t="str">
        <f t="shared" si="1904"/>
        <v/>
      </c>
      <c r="V4578" s="46">
        <f t="shared" si="1904"/>
        <v>24</v>
      </c>
      <c r="W4578" s="46" t="str">
        <f t="shared" si="1904"/>
        <v/>
      </c>
      <c r="X4578" s="46" t="str">
        <f t="shared" si="1904"/>
        <v/>
      </c>
    </row>
    <row r="4579" spans="2:24" s="29" customFormat="1" x14ac:dyDescent="0.25">
      <c r="B4579" s="29" t="str">
        <f t="shared" si="1921"/>
        <v>NYRK-04DEC1913</v>
      </c>
      <c r="C4579" s="29" t="s">
        <v>1700</v>
      </c>
      <c r="D4579" s="45" t="s">
        <v>2224</v>
      </c>
      <c r="E4579" s="42" t="s">
        <v>2787</v>
      </c>
      <c r="F4579" s="29" t="s">
        <v>1700</v>
      </c>
      <c r="G4579" s="42" t="s">
        <v>2776</v>
      </c>
      <c r="H4579" s="30"/>
      <c r="I4579" s="30">
        <v>0</v>
      </c>
      <c r="J4579" s="30">
        <v>20</v>
      </c>
      <c r="K4579" s="30"/>
      <c r="L4579" s="30">
        <f t="shared" si="1922"/>
        <v>20</v>
      </c>
      <c r="M4579" s="31">
        <v>1</v>
      </c>
      <c r="N4579" s="31">
        <f t="shared" si="1923"/>
        <v>1</v>
      </c>
      <c r="O4579" s="29" t="s">
        <v>1702</v>
      </c>
      <c r="P4579" s="32" t="str">
        <f t="shared" si="1924"/>
        <v>04-Dec-1913</v>
      </c>
      <c r="Q4579" s="16"/>
      <c r="R4579" s="16" t="str">
        <f t="shared" si="1925"/>
        <v>x</v>
      </c>
      <c r="S4579" s="16" t="str">
        <f t="shared" si="1925"/>
        <v>x</v>
      </c>
      <c r="T4579" s="33"/>
      <c r="U4579" s="46" t="str">
        <f t="shared" si="1904"/>
        <v/>
      </c>
      <c r="V4579" s="46">
        <f t="shared" si="1904"/>
        <v>20</v>
      </c>
      <c r="W4579" s="46" t="str">
        <f t="shared" si="1904"/>
        <v/>
      </c>
      <c r="X4579" s="46" t="str">
        <f t="shared" si="1904"/>
        <v/>
      </c>
    </row>
    <row r="4580" spans="2:24" s="29" customFormat="1" x14ac:dyDescent="0.25">
      <c r="B4580" s="29" t="str">
        <f t="shared" ref="B4580:B4586" si="1926">CONCATENATE("NYRK","-",LEFT(P4580,2),UPPER(MID(P4580,4,3)),RIGHT(P4580,4))</f>
        <v>NYRK-02JAN1914</v>
      </c>
      <c r="C4580" s="29" t="s">
        <v>1700</v>
      </c>
      <c r="D4580" s="45" t="s">
        <v>2224</v>
      </c>
      <c r="E4580" s="42" t="s">
        <v>2794</v>
      </c>
      <c r="F4580" s="29" t="s">
        <v>1700</v>
      </c>
      <c r="G4580" s="42" t="s">
        <v>2788</v>
      </c>
      <c r="H4580" s="30"/>
      <c r="I4580" s="30">
        <v>0</v>
      </c>
      <c r="J4580" s="30">
        <v>3</v>
      </c>
      <c r="K4580" s="30"/>
      <c r="L4580" s="30">
        <f t="shared" ref="L4580:L4586" si="1927">SUM(H4580:K4580)</f>
        <v>3</v>
      </c>
      <c r="M4580" s="31">
        <v>1</v>
      </c>
      <c r="N4580" s="31">
        <f t="shared" ref="N4580:N4586" si="1928">IF(L4580&gt;0,1,"")</f>
        <v>1</v>
      </c>
      <c r="O4580" s="29" t="s">
        <v>1702</v>
      </c>
      <c r="P4580" s="32" t="str">
        <f t="shared" ref="P4580:P4586" si="1929">IF(LEN(G4580)=10,CONCATENATE("0",G4580),G4580)</f>
        <v>02-Jan-1914</v>
      </c>
      <c r="Q4580" s="16"/>
      <c r="R4580" s="16" t="str">
        <f t="shared" si="1925"/>
        <v>x</v>
      </c>
      <c r="S4580" s="16" t="str">
        <f t="shared" si="1925"/>
        <v>x</v>
      </c>
      <c r="T4580" s="33"/>
      <c r="U4580" s="46" t="str">
        <f t="shared" si="1904"/>
        <v/>
      </c>
      <c r="V4580" s="46">
        <f t="shared" si="1904"/>
        <v>3</v>
      </c>
      <c r="W4580" s="46" t="str">
        <f t="shared" si="1904"/>
        <v/>
      </c>
      <c r="X4580" s="46" t="str">
        <f t="shared" si="1904"/>
        <v/>
      </c>
    </row>
    <row r="4581" spans="2:24" s="29" customFormat="1" x14ac:dyDescent="0.25">
      <c r="B4581" s="29" t="str">
        <f t="shared" si="1926"/>
        <v>NYRK-20FEB1914</v>
      </c>
      <c r="C4581" s="29" t="s">
        <v>1700</v>
      </c>
      <c r="D4581" s="45" t="s">
        <v>2224</v>
      </c>
      <c r="E4581" s="42" t="s">
        <v>2795</v>
      </c>
      <c r="F4581" s="29" t="s">
        <v>1700</v>
      </c>
      <c r="G4581" s="42" t="s">
        <v>2789</v>
      </c>
      <c r="H4581" s="30"/>
      <c r="I4581" s="30">
        <v>0</v>
      </c>
      <c r="J4581" s="30">
        <v>10</v>
      </c>
      <c r="K4581" s="30"/>
      <c r="L4581" s="30">
        <f t="shared" si="1927"/>
        <v>10</v>
      </c>
      <c r="M4581" s="31">
        <v>1</v>
      </c>
      <c r="N4581" s="31">
        <f t="shared" si="1928"/>
        <v>1</v>
      </c>
      <c r="O4581" s="29" t="s">
        <v>1702</v>
      </c>
      <c r="P4581" s="32" t="str">
        <f t="shared" si="1929"/>
        <v>20-Feb-1914</v>
      </c>
      <c r="Q4581" s="16"/>
      <c r="R4581" s="16" t="str">
        <f t="shared" si="1925"/>
        <v>x</v>
      </c>
      <c r="S4581" s="16" t="str">
        <f t="shared" si="1925"/>
        <v>x</v>
      </c>
      <c r="T4581" s="33"/>
      <c r="U4581" s="46" t="str">
        <f t="shared" si="1904"/>
        <v/>
      </c>
      <c r="V4581" s="46">
        <f t="shared" si="1904"/>
        <v>10</v>
      </c>
      <c r="W4581" s="46" t="str">
        <f t="shared" si="1904"/>
        <v/>
      </c>
      <c r="X4581" s="46" t="str">
        <f t="shared" si="1904"/>
        <v/>
      </c>
    </row>
    <row r="4582" spans="2:24" s="29" customFormat="1" x14ac:dyDescent="0.25">
      <c r="B4582" s="29" t="str">
        <f t="shared" si="1926"/>
        <v>NYRK-20MAR1914</v>
      </c>
      <c r="C4582" s="29" t="s">
        <v>1700</v>
      </c>
      <c r="D4582" s="45" t="s">
        <v>2224</v>
      </c>
      <c r="E4582" s="42" t="s">
        <v>2796</v>
      </c>
      <c r="F4582" s="29" t="s">
        <v>1700</v>
      </c>
      <c r="G4582" s="42" t="s">
        <v>2790</v>
      </c>
      <c r="H4582" s="30"/>
      <c r="I4582" s="30">
        <v>0</v>
      </c>
      <c r="J4582" s="30">
        <v>4</v>
      </c>
      <c r="K4582" s="30"/>
      <c r="L4582" s="30">
        <f t="shared" si="1927"/>
        <v>4</v>
      </c>
      <c r="M4582" s="31">
        <v>1</v>
      </c>
      <c r="N4582" s="31">
        <f t="shared" si="1928"/>
        <v>1</v>
      </c>
      <c r="O4582" s="29" t="s">
        <v>1702</v>
      </c>
      <c r="P4582" s="32" t="str">
        <f t="shared" si="1929"/>
        <v>20-Mar-1914</v>
      </c>
      <c r="Q4582" s="16"/>
      <c r="R4582" s="16" t="str">
        <f t="shared" si="1925"/>
        <v>x</v>
      </c>
      <c r="S4582" s="16" t="str">
        <f t="shared" si="1925"/>
        <v>x</v>
      </c>
      <c r="T4582" s="33"/>
      <c r="U4582" s="46" t="str">
        <f t="shared" si="1904"/>
        <v/>
      </c>
      <c r="V4582" s="46">
        <f t="shared" si="1904"/>
        <v>4</v>
      </c>
      <c r="W4582" s="46" t="str">
        <f t="shared" si="1904"/>
        <v/>
      </c>
      <c r="X4582" s="46" t="str">
        <f>IF($O4582=X$5,$L4582,"")</f>
        <v/>
      </c>
    </row>
    <row r="4583" spans="2:24" s="29" customFormat="1" x14ac:dyDescent="0.25">
      <c r="B4583" s="29" t="str">
        <f t="shared" si="1926"/>
        <v>NYRK-19APR1914</v>
      </c>
      <c r="C4583" s="29" t="s">
        <v>1700</v>
      </c>
      <c r="D4583" s="45" t="s">
        <v>2224</v>
      </c>
      <c r="E4583" s="42" t="s">
        <v>1031</v>
      </c>
      <c r="F4583" s="29" t="s">
        <v>1700</v>
      </c>
      <c r="G4583" s="42" t="s">
        <v>1546</v>
      </c>
      <c r="H4583" s="30"/>
      <c r="I4583" s="30">
        <v>0</v>
      </c>
      <c r="J4583" s="30">
        <v>1</v>
      </c>
      <c r="K4583" s="30"/>
      <c r="L4583" s="30">
        <f t="shared" si="1927"/>
        <v>1</v>
      </c>
      <c r="M4583" s="31">
        <v>1</v>
      </c>
      <c r="N4583" s="31">
        <f t="shared" si="1928"/>
        <v>1</v>
      </c>
      <c r="O4583" s="29" t="s">
        <v>1702</v>
      </c>
      <c r="P4583" s="32" t="str">
        <f t="shared" si="1929"/>
        <v>19-Apr-1914</v>
      </c>
      <c r="Q4583" s="16"/>
      <c r="R4583" s="16" t="str">
        <f t="shared" si="1925"/>
        <v>x</v>
      </c>
      <c r="S4583" s="16" t="str">
        <f t="shared" si="1925"/>
        <v>x</v>
      </c>
      <c r="T4583" s="33"/>
      <c r="U4583" s="46" t="str">
        <f t="shared" ref="U4583:X4696" si="1930">IF($O4583=U$5,$L4583,"")</f>
        <v/>
      </c>
      <c r="V4583" s="46">
        <f t="shared" si="1930"/>
        <v>1</v>
      </c>
      <c r="W4583" s="46" t="str">
        <f t="shared" si="1930"/>
        <v/>
      </c>
      <c r="X4583" s="46" t="str">
        <f t="shared" si="1930"/>
        <v/>
      </c>
    </row>
    <row r="4584" spans="2:24" s="29" customFormat="1" x14ac:dyDescent="0.25">
      <c r="B4584" s="29" t="str">
        <f t="shared" si="1926"/>
        <v>NYRK-14MAY1914</v>
      </c>
      <c r="C4584" s="29" t="s">
        <v>1700</v>
      </c>
      <c r="D4584" s="45" t="s">
        <v>2224</v>
      </c>
      <c r="E4584" s="42" t="s">
        <v>2561</v>
      </c>
      <c r="F4584" s="29" t="s">
        <v>1700</v>
      </c>
      <c r="G4584" s="42" t="s">
        <v>2791</v>
      </c>
      <c r="H4584" s="30"/>
      <c r="I4584" s="30">
        <v>3</v>
      </c>
      <c r="J4584" s="30">
        <v>2</v>
      </c>
      <c r="K4584" s="30"/>
      <c r="L4584" s="30">
        <f t="shared" si="1927"/>
        <v>5</v>
      </c>
      <c r="M4584" s="31">
        <v>1</v>
      </c>
      <c r="N4584" s="31">
        <f t="shared" si="1928"/>
        <v>1</v>
      </c>
      <c r="O4584" s="29" t="s">
        <v>1702</v>
      </c>
      <c r="P4584" s="32" t="str">
        <f t="shared" si="1929"/>
        <v>14-May-1914</v>
      </c>
      <c r="Q4584" s="16"/>
      <c r="R4584" s="16" t="str">
        <f t="shared" si="1925"/>
        <v>x</v>
      </c>
      <c r="S4584" s="16" t="str">
        <f t="shared" si="1925"/>
        <v>x</v>
      </c>
      <c r="T4584" s="33"/>
      <c r="U4584" s="46" t="str">
        <f t="shared" si="1930"/>
        <v/>
      </c>
      <c r="V4584" s="46">
        <f t="shared" si="1930"/>
        <v>5</v>
      </c>
      <c r="W4584" s="46" t="str">
        <f t="shared" si="1930"/>
        <v/>
      </c>
      <c r="X4584" s="46" t="str">
        <f t="shared" si="1930"/>
        <v/>
      </c>
    </row>
    <row r="4585" spans="2:24" s="29" customFormat="1" x14ac:dyDescent="0.25">
      <c r="B4585" s="29" t="str">
        <f t="shared" si="1926"/>
        <v>NYRK-14JUN1914</v>
      </c>
      <c r="C4585" s="29" t="s">
        <v>1700</v>
      </c>
      <c r="D4585" s="45" t="s">
        <v>2224</v>
      </c>
      <c r="E4585" s="42" t="s">
        <v>1315</v>
      </c>
      <c r="F4585" s="29" t="s">
        <v>1700</v>
      </c>
      <c r="G4585" s="42" t="s">
        <v>1305</v>
      </c>
      <c r="H4585" s="30"/>
      <c r="I4585" s="30">
        <v>0</v>
      </c>
      <c r="J4585" s="30">
        <v>0</v>
      </c>
      <c r="K4585" s="30"/>
      <c r="L4585" s="30">
        <f t="shared" si="1927"/>
        <v>0</v>
      </c>
      <c r="M4585" s="31">
        <v>1</v>
      </c>
      <c r="N4585" s="31" t="str">
        <f t="shared" si="1928"/>
        <v/>
      </c>
      <c r="O4585" s="29" t="s">
        <v>1702</v>
      </c>
      <c r="P4585" s="32" t="str">
        <f t="shared" si="1929"/>
        <v>14-Jun-1914</v>
      </c>
      <c r="Q4585" s="16"/>
      <c r="R4585" s="16" t="str">
        <f t="shared" si="1925"/>
        <v/>
      </c>
      <c r="S4585" s="16" t="str">
        <f t="shared" si="1925"/>
        <v/>
      </c>
      <c r="T4585" s="33"/>
      <c r="U4585" s="46" t="str">
        <f t="shared" si="1930"/>
        <v/>
      </c>
      <c r="V4585" s="46">
        <f t="shared" si="1930"/>
        <v>0</v>
      </c>
      <c r="W4585" s="46" t="str">
        <f t="shared" si="1930"/>
        <v/>
      </c>
      <c r="X4585" s="46" t="str">
        <f t="shared" si="1930"/>
        <v/>
      </c>
    </row>
    <row r="4586" spans="2:24" s="29" customFormat="1" x14ac:dyDescent="0.25">
      <c r="B4586" s="29" t="str">
        <f t="shared" si="1926"/>
        <v>NYRK-13JUL1914</v>
      </c>
      <c r="C4586" s="29" t="s">
        <v>1700</v>
      </c>
      <c r="D4586" s="45" t="s">
        <v>2224</v>
      </c>
      <c r="E4586" s="42" t="s">
        <v>2797</v>
      </c>
      <c r="F4586" s="29" t="s">
        <v>1700</v>
      </c>
      <c r="G4586" s="42" t="s">
        <v>2792</v>
      </c>
      <c r="H4586" s="30"/>
      <c r="I4586" s="30">
        <v>2</v>
      </c>
      <c r="J4586" s="30">
        <v>5</v>
      </c>
      <c r="K4586" s="30"/>
      <c r="L4586" s="30">
        <f t="shared" si="1927"/>
        <v>7</v>
      </c>
      <c r="M4586" s="31">
        <v>1</v>
      </c>
      <c r="N4586" s="31">
        <f t="shared" si="1928"/>
        <v>1</v>
      </c>
      <c r="O4586" s="29" t="s">
        <v>1702</v>
      </c>
      <c r="P4586" s="32" t="str">
        <f t="shared" si="1929"/>
        <v>13-Jul-1914</v>
      </c>
      <c r="Q4586" s="16"/>
      <c r="R4586" s="16" t="str">
        <f t="shared" si="1925"/>
        <v>x</v>
      </c>
      <c r="S4586" s="16" t="str">
        <f t="shared" si="1925"/>
        <v>x</v>
      </c>
      <c r="T4586" s="33"/>
      <c r="U4586" s="46" t="str">
        <f t="shared" si="1930"/>
        <v/>
      </c>
      <c r="V4586" s="46">
        <f t="shared" si="1930"/>
        <v>7</v>
      </c>
      <c r="W4586" s="46" t="str">
        <f t="shared" si="1930"/>
        <v/>
      </c>
      <c r="X4586" s="46" t="str">
        <f t="shared" si="1930"/>
        <v/>
      </c>
    </row>
    <row r="4587" spans="2:24" s="29" customFormat="1" x14ac:dyDescent="0.25">
      <c r="B4587" s="29" t="str">
        <f t="shared" si="1921"/>
        <v>NYRK-10AUG1914</v>
      </c>
      <c r="C4587" s="29" t="s">
        <v>1700</v>
      </c>
      <c r="D4587" s="45" t="s">
        <v>2224</v>
      </c>
      <c r="E4587" s="42" t="s">
        <v>2798</v>
      </c>
      <c r="F4587" s="29" t="s">
        <v>1700</v>
      </c>
      <c r="G4587" s="42" t="s">
        <v>2793</v>
      </c>
      <c r="H4587" s="30"/>
      <c r="I4587" s="30">
        <v>0</v>
      </c>
      <c r="J4587" s="30">
        <v>0</v>
      </c>
      <c r="K4587" s="30"/>
      <c r="L4587" s="30">
        <f t="shared" si="1922"/>
        <v>0</v>
      </c>
      <c r="M4587" s="31">
        <v>1</v>
      </c>
      <c r="N4587" s="31" t="str">
        <f t="shared" si="1923"/>
        <v/>
      </c>
      <c r="O4587" s="29" t="s">
        <v>1702</v>
      </c>
      <c r="P4587" s="32" t="str">
        <f t="shared" si="1924"/>
        <v>10-Aug-1914</v>
      </c>
      <c r="Q4587" s="16"/>
      <c r="R4587" s="16" t="str">
        <f t="shared" si="1925"/>
        <v/>
      </c>
      <c r="S4587" s="16" t="str">
        <f t="shared" si="1925"/>
        <v/>
      </c>
      <c r="T4587" s="33"/>
      <c r="U4587" s="46" t="str">
        <f t="shared" si="1930"/>
        <v/>
      </c>
      <c r="V4587" s="46">
        <f t="shared" si="1930"/>
        <v>0</v>
      </c>
      <c r="W4587" s="46" t="str">
        <f t="shared" si="1930"/>
        <v/>
      </c>
      <c r="X4587" s="46" t="str">
        <f t="shared" si="1930"/>
        <v/>
      </c>
    </row>
    <row r="4588" spans="2:24" s="29" customFormat="1" x14ac:dyDescent="0.25">
      <c r="B4588" s="29" t="str">
        <f t="shared" si="1921"/>
        <v>NYRK-16APR1916</v>
      </c>
      <c r="C4588" s="29" t="s">
        <v>1700</v>
      </c>
      <c r="D4588" s="45" t="s">
        <v>2097</v>
      </c>
      <c r="E4588" s="42" t="s">
        <v>3180</v>
      </c>
      <c r="F4588" s="29" t="s">
        <v>1700</v>
      </c>
      <c r="G4588" s="42" t="s">
        <v>4791</v>
      </c>
      <c r="H4588" s="30">
        <v>0</v>
      </c>
      <c r="I4588" s="30">
        <v>1</v>
      </c>
      <c r="J4588" s="30">
        <v>0</v>
      </c>
      <c r="K4588" s="30"/>
      <c r="L4588" s="30">
        <f t="shared" si="1922"/>
        <v>1</v>
      </c>
      <c r="M4588" s="31">
        <v>1</v>
      </c>
      <c r="N4588" s="31">
        <f t="shared" si="1923"/>
        <v>1</v>
      </c>
      <c r="O4588" s="29" t="s">
        <v>1702</v>
      </c>
      <c r="P4588" s="32" t="str">
        <f t="shared" si="1924"/>
        <v>16-Apr-1916</v>
      </c>
      <c r="Q4588" s="16"/>
      <c r="R4588" s="16" t="str">
        <f t="shared" si="1925"/>
        <v>x</v>
      </c>
      <c r="S4588" s="16" t="str">
        <f t="shared" si="1925"/>
        <v>x</v>
      </c>
      <c r="T4588" s="33"/>
      <c r="U4588" s="46" t="str">
        <f>IF($O4588=U$5,$L4588,"")</f>
        <v/>
      </c>
      <c r="V4588" s="46">
        <f>IF($O4588=V$5,$L4588,"")</f>
        <v>1</v>
      </c>
      <c r="W4588" s="46" t="str">
        <f>IF($O4588=W$5,$L4588,"")</f>
        <v/>
      </c>
      <c r="X4588" s="46" t="str">
        <f>IF($O4588=X$5,$L4588,"")</f>
        <v/>
      </c>
    </row>
    <row r="4589" spans="2:24" s="29" customFormat="1" x14ac:dyDescent="0.25">
      <c r="B4589" s="29" t="str">
        <f>CONCATENATE("NYRK","-",LEFT(P4589,2),UPPER(MID(P4589,4,3)),RIGHT(P4589,4))</f>
        <v>NYRK-22APR1920</v>
      </c>
      <c r="C4589" s="29" t="s">
        <v>1700</v>
      </c>
      <c r="D4589" s="45" t="s">
        <v>2224</v>
      </c>
      <c r="E4589" s="42" t="s">
        <v>2800</v>
      </c>
      <c r="F4589" s="29" t="s">
        <v>1700</v>
      </c>
      <c r="G4589" s="42" t="s">
        <v>2801</v>
      </c>
      <c r="H4589" s="30"/>
      <c r="I4589" s="30">
        <v>6</v>
      </c>
      <c r="J4589" s="30">
        <v>7</v>
      </c>
      <c r="K4589" s="30"/>
      <c r="L4589" s="30">
        <f>SUM(H4589:K4589)</f>
        <v>13</v>
      </c>
      <c r="M4589" s="31">
        <v>1</v>
      </c>
      <c r="N4589" s="31">
        <f>IF(L4589&gt;0,1,"")</f>
        <v>1</v>
      </c>
      <c r="O4589" s="29" t="s">
        <v>1702</v>
      </c>
      <c r="P4589" s="32" t="str">
        <f>IF(LEN(G4589)=10,CONCATENATE("0",G4589),G4589)</f>
        <v>22-Apr-1920</v>
      </c>
      <c r="Q4589" s="16"/>
      <c r="R4589" s="16" t="str">
        <f t="shared" si="1925"/>
        <v>x</v>
      </c>
      <c r="S4589" s="16" t="str">
        <f t="shared" si="1925"/>
        <v>x</v>
      </c>
      <c r="T4589" s="33"/>
      <c r="U4589" s="46" t="str">
        <f t="shared" si="1930"/>
        <v/>
      </c>
      <c r="V4589" s="46">
        <f t="shared" si="1930"/>
        <v>13</v>
      </c>
      <c r="W4589" s="46" t="str">
        <f t="shared" si="1930"/>
        <v/>
      </c>
      <c r="X4589" s="46" t="str">
        <f t="shared" si="1930"/>
        <v/>
      </c>
    </row>
    <row r="4590" spans="2:24" s="29" customFormat="1" x14ac:dyDescent="0.25">
      <c r="B4590" s="29" t="str">
        <f>CONCATENATE("NYRK","-",LEFT(P4590,2),UPPER(MID(P4590,4,3)),RIGHT(P4590,4))</f>
        <v>NYRK-21MAY1920</v>
      </c>
      <c r="C4590" s="29" t="s">
        <v>1700</v>
      </c>
      <c r="D4590" s="45" t="s">
        <v>2224</v>
      </c>
      <c r="E4590" s="42" t="s">
        <v>2802</v>
      </c>
      <c r="F4590" s="29" t="s">
        <v>1700</v>
      </c>
      <c r="G4590" s="42" t="s">
        <v>1584</v>
      </c>
      <c r="H4590" s="30"/>
      <c r="I4590" s="30">
        <v>0</v>
      </c>
      <c r="J4590" s="30">
        <v>7</v>
      </c>
      <c r="K4590" s="30"/>
      <c r="L4590" s="30">
        <f>SUM(H4590:K4590)</f>
        <v>7</v>
      </c>
      <c r="M4590" s="31">
        <v>1</v>
      </c>
      <c r="N4590" s="31">
        <f>IF(L4590&gt;0,1,"")</f>
        <v>1</v>
      </c>
      <c r="O4590" s="29" t="s">
        <v>1702</v>
      </c>
      <c r="P4590" s="32" t="str">
        <f>IF(LEN(G4590)=10,CONCATENATE("0",G4590),G4590)</f>
        <v>21-May-1920</v>
      </c>
      <c r="Q4590" s="16"/>
      <c r="R4590" s="16" t="str">
        <f t="shared" si="1925"/>
        <v>x</v>
      </c>
      <c r="S4590" s="16" t="str">
        <f t="shared" si="1925"/>
        <v>x</v>
      </c>
      <c r="T4590" s="33"/>
      <c r="U4590" s="46" t="str">
        <f t="shared" si="1930"/>
        <v/>
      </c>
      <c r="V4590" s="46">
        <f t="shared" si="1930"/>
        <v>7</v>
      </c>
      <c r="W4590" s="46" t="str">
        <f t="shared" si="1930"/>
        <v/>
      </c>
      <c r="X4590" s="46" t="str">
        <f t="shared" si="1930"/>
        <v/>
      </c>
    </row>
    <row r="4591" spans="2:24" s="29" customFormat="1" x14ac:dyDescent="0.25">
      <c r="B4591" s="29" t="str">
        <f>CONCATENATE("NYRK","-",LEFT(P4591,2),UPPER(MID(P4591,4,3)),RIGHT(P4591,4))</f>
        <v>NYRK-19JUN1920</v>
      </c>
      <c r="C4591" s="29" t="s">
        <v>1700</v>
      </c>
      <c r="D4591" s="45" t="s">
        <v>2224</v>
      </c>
      <c r="E4591" s="42" t="s">
        <v>2803</v>
      </c>
      <c r="F4591" s="29" t="s">
        <v>1700</v>
      </c>
      <c r="G4591" s="42" t="s">
        <v>1585</v>
      </c>
      <c r="H4591" s="30"/>
      <c r="I4591" s="30">
        <v>2</v>
      </c>
      <c r="J4591" s="30">
        <v>26</v>
      </c>
      <c r="K4591" s="30"/>
      <c r="L4591" s="30">
        <f>SUM(H4591:K4591)</f>
        <v>28</v>
      </c>
      <c r="M4591" s="31">
        <v>1</v>
      </c>
      <c r="N4591" s="31">
        <f>IF(L4591&gt;0,1,"")</f>
        <v>1</v>
      </c>
      <c r="O4591" s="29" t="s">
        <v>1702</v>
      </c>
      <c r="P4591" s="32" t="str">
        <f>IF(LEN(G4591)=10,CONCATENATE("0",G4591),G4591)</f>
        <v>19-Jun-1920</v>
      </c>
      <c r="Q4591" s="16"/>
      <c r="R4591" s="16" t="str">
        <f t="shared" si="1925"/>
        <v>x</v>
      </c>
      <c r="S4591" s="16" t="str">
        <f t="shared" si="1925"/>
        <v>x</v>
      </c>
      <c r="T4591" s="33"/>
      <c r="U4591" s="46" t="str">
        <f t="shared" si="1930"/>
        <v/>
      </c>
      <c r="V4591" s="46">
        <f t="shared" si="1930"/>
        <v>28</v>
      </c>
      <c r="W4591" s="46" t="str">
        <f t="shared" si="1930"/>
        <v/>
      </c>
      <c r="X4591" s="46" t="str">
        <f t="shared" si="1930"/>
        <v/>
      </c>
    </row>
    <row r="4592" spans="2:24" s="29" customFormat="1" x14ac:dyDescent="0.25">
      <c r="B4592" s="29" t="str">
        <f t="shared" si="1921"/>
        <v>NYRK-19JUL1920</v>
      </c>
      <c r="C4592" s="29" t="s">
        <v>1700</v>
      </c>
      <c r="D4592" s="45" t="s">
        <v>2224</v>
      </c>
      <c r="E4592" s="42" t="s">
        <v>2804</v>
      </c>
      <c r="F4592" s="29" t="s">
        <v>1700</v>
      </c>
      <c r="G4592" s="42" t="s">
        <v>2805</v>
      </c>
      <c r="H4592" s="30"/>
      <c r="I4592" s="30">
        <v>4</v>
      </c>
      <c r="J4592" s="30">
        <v>8</v>
      </c>
      <c r="K4592" s="30"/>
      <c r="L4592" s="30">
        <f t="shared" si="1922"/>
        <v>12</v>
      </c>
      <c r="M4592" s="31">
        <v>1</v>
      </c>
      <c r="N4592" s="31">
        <f t="shared" si="1923"/>
        <v>1</v>
      </c>
      <c r="O4592" s="29" t="s">
        <v>1702</v>
      </c>
      <c r="P4592" s="32" t="str">
        <f t="shared" si="1924"/>
        <v>19-Jul-1920</v>
      </c>
      <c r="Q4592" s="16"/>
      <c r="R4592" s="16" t="str">
        <f t="shared" si="1925"/>
        <v>x</v>
      </c>
      <c r="S4592" s="16" t="str">
        <f t="shared" si="1925"/>
        <v>x</v>
      </c>
      <c r="T4592" s="33"/>
      <c r="U4592" s="46" t="str">
        <f t="shared" si="1930"/>
        <v/>
      </c>
      <c r="V4592" s="46">
        <f t="shared" si="1930"/>
        <v>12</v>
      </c>
      <c r="W4592" s="46" t="str">
        <f t="shared" si="1930"/>
        <v/>
      </c>
      <c r="X4592" s="46" t="str">
        <f t="shared" si="1930"/>
        <v/>
      </c>
    </row>
    <row r="4593" spans="2:24" s="29" customFormat="1" x14ac:dyDescent="0.25">
      <c r="B4593" s="29" t="str">
        <f t="shared" si="1921"/>
        <v>NYRK-18AUG1920</v>
      </c>
      <c r="C4593" s="29" t="s">
        <v>1700</v>
      </c>
      <c r="D4593" s="45" t="s">
        <v>2224</v>
      </c>
      <c r="E4593" s="42" t="s">
        <v>2424</v>
      </c>
      <c r="F4593" s="29" t="s">
        <v>1700</v>
      </c>
      <c r="G4593" s="42" t="s">
        <v>2571</v>
      </c>
      <c r="H4593" s="30"/>
      <c r="I4593" s="30">
        <v>0</v>
      </c>
      <c r="J4593" s="30">
        <v>3</v>
      </c>
      <c r="K4593" s="30"/>
      <c r="L4593" s="30">
        <f t="shared" si="1922"/>
        <v>3</v>
      </c>
      <c r="M4593" s="31">
        <v>1</v>
      </c>
      <c r="N4593" s="31">
        <f t="shared" si="1923"/>
        <v>1</v>
      </c>
      <c r="O4593" s="29" t="s">
        <v>1702</v>
      </c>
      <c r="P4593" s="32" t="str">
        <f t="shared" si="1924"/>
        <v>18-Aug-1920</v>
      </c>
      <c r="Q4593" s="16"/>
      <c r="R4593" s="16" t="str">
        <f t="shared" si="1925"/>
        <v>x</v>
      </c>
      <c r="S4593" s="16" t="str">
        <f t="shared" si="1925"/>
        <v>x</v>
      </c>
      <c r="T4593" s="33"/>
      <c r="U4593" s="46" t="str">
        <f t="shared" si="1930"/>
        <v/>
      </c>
      <c r="V4593" s="46">
        <f t="shared" si="1930"/>
        <v>3</v>
      </c>
      <c r="W4593" s="46" t="str">
        <f t="shared" si="1930"/>
        <v/>
      </c>
      <c r="X4593" s="46" t="str">
        <f t="shared" si="1930"/>
        <v/>
      </c>
    </row>
    <row r="4594" spans="2:24" s="29" customFormat="1" x14ac:dyDescent="0.25">
      <c r="B4594" s="29" t="str">
        <f t="shared" si="1921"/>
        <v>NYRK-13SEP1920</v>
      </c>
      <c r="C4594" s="29" t="s">
        <v>1700</v>
      </c>
      <c r="D4594" s="45" t="s">
        <v>2224</v>
      </c>
      <c r="E4594" s="42" t="s">
        <v>2425</v>
      </c>
      <c r="F4594" s="29" t="s">
        <v>1700</v>
      </c>
      <c r="G4594" s="42" t="s">
        <v>2038</v>
      </c>
      <c r="H4594" s="30"/>
      <c r="I4594" s="30">
        <v>0</v>
      </c>
      <c r="J4594" s="30">
        <v>4</v>
      </c>
      <c r="K4594" s="30"/>
      <c r="L4594" s="30">
        <f t="shared" si="1922"/>
        <v>4</v>
      </c>
      <c r="M4594" s="31">
        <v>1</v>
      </c>
      <c r="N4594" s="31">
        <f t="shared" si="1923"/>
        <v>1</v>
      </c>
      <c r="O4594" s="29" t="s">
        <v>1702</v>
      </c>
      <c r="P4594" s="32" t="str">
        <f t="shared" si="1924"/>
        <v>13-Sep-1920</v>
      </c>
      <c r="Q4594" s="16"/>
      <c r="R4594" s="16" t="str">
        <f t="shared" si="1925"/>
        <v>x</v>
      </c>
      <c r="S4594" s="16" t="str">
        <f t="shared" si="1925"/>
        <v>x</v>
      </c>
      <c r="T4594" s="33"/>
      <c r="U4594" s="46" t="str">
        <f t="shared" si="1930"/>
        <v/>
      </c>
      <c r="V4594" s="46">
        <f t="shared" si="1930"/>
        <v>4</v>
      </c>
      <c r="W4594" s="46" t="str">
        <f t="shared" si="1930"/>
        <v/>
      </c>
      <c r="X4594" s="46" t="str">
        <f t="shared" si="1930"/>
        <v/>
      </c>
    </row>
    <row r="4595" spans="2:24" s="29" customFormat="1" x14ac:dyDescent="0.25">
      <c r="B4595" s="29" t="str">
        <f t="shared" si="1921"/>
        <v>NYRK-12OCT1920</v>
      </c>
      <c r="C4595" s="29" t="s">
        <v>1700</v>
      </c>
      <c r="D4595" s="45" t="s">
        <v>2224</v>
      </c>
      <c r="E4595" s="42" t="s">
        <v>2426</v>
      </c>
      <c r="F4595" s="29" t="s">
        <v>1700</v>
      </c>
      <c r="G4595" s="42" t="s">
        <v>2039</v>
      </c>
      <c r="H4595" s="30"/>
      <c r="I4595" s="30">
        <v>1</v>
      </c>
      <c r="J4595" s="30">
        <v>4</v>
      </c>
      <c r="K4595" s="30"/>
      <c r="L4595" s="30">
        <f t="shared" si="1922"/>
        <v>5</v>
      </c>
      <c r="M4595" s="31">
        <v>1</v>
      </c>
      <c r="N4595" s="31">
        <f t="shared" si="1923"/>
        <v>1</v>
      </c>
      <c r="O4595" s="29" t="s">
        <v>1702</v>
      </c>
      <c r="P4595" s="32" t="str">
        <f t="shared" si="1924"/>
        <v>12-Oct-1920</v>
      </c>
      <c r="Q4595" s="16"/>
      <c r="R4595" s="16" t="str">
        <f t="shared" si="1925"/>
        <v>x</v>
      </c>
      <c r="S4595" s="16" t="str">
        <f t="shared" si="1925"/>
        <v>x</v>
      </c>
      <c r="T4595" s="33"/>
      <c r="U4595" s="46" t="str">
        <f t="shared" si="1930"/>
        <v/>
      </c>
      <c r="V4595" s="46">
        <f t="shared" si="1930"/>
        <v>5</v>
      </c>
      <c r="W4595" s="46" t="str">
        <f t="shared" si="1930"/>
        <v/>
      </c>
      <c r="X4595" s="46" t="str">
        <f t="shared" si="1930"/>
        <v/>
      </c>
    </row>
    <row r="4596" spans="2:24" s="29" customFormat="1" x14ac:dyDescent="0.25">
      <c r="B4596" s="29" t="str">
        <f>CONCATENATE("NYRK","-",LEFT(P4596,2),UPPER(MID(P4596,4,3)),RIGHT(P4596,4))</f>
        <v>NYRK-13NOV1920</v>
      </c>
      <c r="C4596" s="29" t="s">
        <v>1700</v>
      </c>
      <c r="D4596" s="45" t="s">
        <v>598</v>
      </c>
      <c r="E4596" s="42" t="s">
        <v>2427</v>
      </c>
      <c r="F4596" s="29" t="s">
        <v>1700</v>
      </c>
      <c r="G4596" s="42" t="s">
        <v>1595</v>
      </c>
      <c r="H4596" s="30"/>
      <c r="I4596" s="30">
        <v>3</v>
      </c>
      <c r="J4596" s="30">
        <v>3</v>
      </c>
      <c r="K4596" s="30"/>
      <c r="L4596" s="30">
        <f>SUM(H4596:K4596)</f>
        <v>6</v>
      </c>
      <c r="M4596" s="31">
        <v>1</v>
      </c>
      <c r="N4596" s="31">
        <f>IF(L4596&gt;0,1,"")</f>
        <v>1</v>
      </c>
      <c r="O4596" s="29" t="s">
        <v>1702</v>
      </c>
      <c r="P4596" s="32" t="str">
        <f>IF(LEN(G4596)=10,CONCATENATE("0",G4596),G4596)</f>
        <v>13-Nov-1920</v>
      </c>
      <c r="Q4596" s="16"/>
      <c r="R4596" s="16" t="str">
        <f t="shared" si="1925"/>
        <v>x</v>
      </c>
      <c r="S4596" s="16" t="str">
        <f t="shared" si="1925"/>
        <v>x</v>
      </c>
      <c r="T4596" s="33"/>
      <c r="U4596" s="46" t="str">
        <f>IF($O4596=U$5,$L4596,"")</f>
        <v/>
      </c>
      <c r="V4596" s="46">
        <f>IF($O4596=V$5,$L4596,"")</f>
        <v>6</v>
      </c>
      <c r="W4596" s="46" t="str">
        <f>IF($O4596=W$5,$L4596,"")</f>
        <v/>
      </c>
      <c r="X4596" s="46" t="str">
        <f>IF($O4596=X$5,$L4596,"")</f>
        <v/>
      </c>
    </row>
    <row r="4597" spans="2:24" s="29" customFormat="1" x14ac:dyDescent="0.25">
      <c r="B4597" s="29" t="str">
        <f t="shared" si="1921"/>
        <v>NYRK-13NOV1920</v>
      </c>
      <c r="C4597" s="29" t="s">
        <v>1700</v>
      </c>
      <c r="D4597" s="45" t="s">
        <v>2224</v>
      </c>
      <c r="E4597" s="42" t="s">
        <v>2806</v>
      </c>
      <c r="F4597" s="29" t="s">
        <v>1700</v>
      </c>
      <c r="G4597" s="42" t="s">
        <v>1595</v>
      </c>
      <c r="H4597" s="30"/>
      <c r="I4597" s="30">
        <v>1</v>
      </c>
      <c r="J4597" s="30">
        <v>4</v>
      </c>
      <c r="K4597" s="30"/>
      <c r="L4597" s="30">
        <f t="shared" si="1922"/>
        <v>5</v>
      </c>
      <c r="M4597" s="31">
        <v>1</v>
      </c>
      <c r="N4597" s="31">
        <f t="shared" si="1923"/>
        <v>1</v>
      </c>
      <c r="O4597" s="29" t="s">
        <v>1702</v>
      </c>
      <c r="P4597" s="32" t="str">
        <f t="shared" si="1924"/>
        <v>13-Nov-1920</v>
      </c>
      <c r="Q4597" s="16"/>
      <c r="R4597" s="16" t="str">
        <f t="shared" si="1925"/>
        <v>x</v>
      </c>
      <c r="S4597" s="16" t="str">
        <f t="shared" si="1925"/>
        <v>x</v>
      </c>
      <c r="T4597" s="33"/>
      <c r="U4597" s="46" t="str">
        <f t="shared" si="1930"/>
        <v/>
      </c>
      <c r="V4597" s="46">
        <f t="shared" si="1930"/>
        <v>5</v>
      </c>
      <c r="W4597" s="46" t="str">
        <f t="shared" si="1930"/>
        <v/>
      </c>
      <c r="X4597" s="46" t="str">
        <f t="shared" si="1930"/>
        <v/>
      </c>
    </row>
    <row r="4598" spans="2:24" x14ac:dyDescent="0.25">
      <c r="B4598" s="29"/>
      <c r="C4598" s="29"/>
      <c r="D4598" s="29"/>
      <c r="E4598" s="41"/>
      <c r="F4598" s="29"/>
      <c r="G4598" s="41"/>
      <c r="H4598" s="30"/>
      <c r="I4598" s="30"/>
      <c r="J4598" s="30"/>
      <c r="K4598" s="30"/>
      <c r="L4598" s="30"/>
      <c r="M4598" s="31"/>
      <c r="N4598" s="31" t="str">
        <f>IF(R4598="x",1,"")</f>
        <v/>
      </c>
      <c r="O4598" s="29"/>
      <c r="P4598" s="32"/>
      <c r="Q4598" s="32"/>
      <c r="R4598" s="32"/>
      <c r="S4598" s="32"/>
      <c r="T4598" s="33"/>
      <c r="U4598" s="46" t="str">
        <f t="shared" si="1930"/>
        <v/>
      </c>
      <c r="V4598" s="46" t="str">
        <f t="shared" si="1930"/>
        <v/>
      </c>
      <c r="W4598" s="46" t="str">
        <f t="shared" si="1930"/>
        <v/>
      </c>
      <c r="X4598" s="46" t="str">
        <f t="shared" si="1930"/>
        <v/>
      </c>
    </row>
    <row r="4599" spans="2:24" x14ac:dyDescent="0.25">
      <c r="B4599" s="34"/>
      <c r="C4599" s="34"/>
      <c r="D4599" s="34"/>
      <c r="E4599" s="43"/>
      <c r="F4599" s="34"/>
      <c r="G4599" s="43"/>
      <c r="H4599" s="30">
        <f t="shared" ref="H4599:N4599" si="1931">SUM(H4442:H4598)</f>
        <v>4</v>
      </c>
      <c r="I4599" s="30">
        <f t="shared" si="1931"/>
        <v>79</v>
      </c>
      <c r="J4599" s="30">
        <f>SUM(J4442:J4598)</f>
        <v>686</v>
      </c>
      <c r="K4599" s="30">
        <f t="shared" si="1931"/>
        <v>0</v>
      </c>
      <c r="L4599" s="30">
        <f t="shared" si="1931"/>
        <v>769</v>
      </c>
      <c r="M4599" s="30">
        <f t="shared" si="1931"/>
        <v>155</v>
      </c>
      <c r="N4599" s="30">
        <f t="shared" si="1931"/>
        <v>123</v>
      </c>
      <c r="O4599" s="34"/>
      <c r="P4599" s="35"/>
      <c r="Q4599" s="35"/>
      <c r="R4599" s="32"/>
      <c r="S4599" s="35"/>
      <c r="T4599" s="36"/>
      <c r="U4599" s="46" t="str">
        <f t="shared" si="1930"/>
        <v/>
      </c>
      <c r="V4599" s="46" t="str">
        <f t="shared" si="1930"/>
        <v/>
      </c>
      <c r="W4599" s="46" t="str">
        <f t="shared" si="1930"/>
        <v/>
      </c>
      <c r="X4599" s="46" t="str">
        <f t="shared" si="1930"/>
        <v/>
      </c>
    </row>
    <row r="4600" spans="2:24" x14ac:dyDescent="0.25">
      <c r="B4600" s="18"/>
      <c r="C4600" s="18"/>
      <c r="D4600" s="18"/>
      <c r="E4600" s="40"/>
      <c r="F4600" s="18"/>
      <c r="G4600" s="40"/>
      <c r="N4600" s="8" t="str">
        <f>IF(R4600="x",1,"")</f>
        <v/>
      </c>
      <c r="O4600" s="18"/>
      <c r="P4600" s="13"/>
      <c r="Q4600" s="13"/>
      <c r="R4600" s="13"/>
      <c r="S4600" s="13"/>
      <c r="T4600" s="15"/>
      <c r="U4600" s="46" t="str">
        <f t="shared" si="1930"/>
        <v/>
      </c>
      <c r="V4600" s="46" t="str">
        <f t="shared" si="1930"/>
        <v/>
      </c>
      <c r="W4600" s="46" t="str">
        <f t="shared" si="1930"/>
        <v/>
      </c>
      <c r="X4600" s="46" t="str">
        <f t="shared" si="1930"/>
        <v/>
      </c>
    </row>
    <row r="4601" spans="2:24" x14ac:dyDescent="0.25">
      <c r="B4601" s="18"/>
      <c r="C4601" s="18"/>
      <c r="D4601" s="18"/>
      <c r="E4601" s="40"/>
      <c r="F4601" s="18"/>
      <c r="G4601" s="40"/>
      <c r="N4601" s="8" t="str">
        <f>IF(R4601="x",1,"")</f>
        <v/>
      </c>
      <c r="O4601" s="18"/>
      <c r="P4601" s="13"/>
      <c r="Q4601" s="13"/>
      <c r="R4601" s="13"/>
      <c r="S4601" s="13"/>
      <c r="T4601" s="15"/>
      <c r="U4601" s="46" t="str">
        <f t="shared" si="1930"/>
        <v/>
      </c>
      <c r="V4601" s="46" t="str">
        <f t="shared" si="1930"/>
        <v/>
      </c>
      <c r="W4601" s="46" t="str">
        <f t="shared" si="1930"/>
        <v/>
      </c>
      <c r="X4601" s="46" t="str">
        <f t="shared" si="1930"/>
        <v/>
      </c>
    </row>
    <row r="4602" spans="2:24" x14ac:dyDescent="0.25">
      <c r="B4602" s="11" t="str">
        <f t="shared" ref="B4602:B4631" si="1932">CONCATENATE("NIAG","-",LEFT(P4602,2),UPPER(MID(P4602,4,3)),RIGHT(P4602,4))</f>
        <v>NIAG-05APR1910</v>
      </c>
      <c r="C4602" s="11" t="s">
        <v>3030</v>
      </c>
      <c r="D4602" s="11" t="s">
        <v>1699</v>
      </c>
      <c r="E4602" s="39" t="s">
        <v>1490</v>
      </c>
      <c r="F4602" s="11" t="s">
        <v>1700</v>
      </c>
      <c r="G4602" s="39" t="s">
        <v>2997</v>
      </c>
      <c r="I4602" s="7">
        <v>0</v>
      </c>
      <c r="J4602" s="17">
        <v>23</v>
      </c>
      <c r="K4602" s="17"/>
      <c r="L4602" s="7">
        <f t="shared" ref="L4602:L4631" si="1933">SUM(H4602:K4602)</f>
        <v>23</v>
      </c>
      <c r="M4602" s="8">
        <v>1</v>
      </c>
      <c r="N4602" s="8">
        <f t="shared" ref="N4602:N4631" si="1934">IF(L4602&gt;0,1,"")</f>
        <v>1</v>
      </c>
      <c r="O4602" s="11" t="s">
        <v>1702</v>
      </c>
      <c r="P4602" s="16" t="str">
        <f t="shared" ref="P4602:P4631" si="1935">IF(LEN(G4602)=10,CONCATENATE("0",G4602),G4602)</f>
        <v>05-Apr-1910</v>
      </c>
      <c r="R4602" s="16" t="str">
        <f t="shared" ref="R4602:S4604" si="1936">IF($L4602&gt;0,"x","")</f>
        <v>x</v>
      </c>
      <c r="S4602" s="16" t="str">
        <f t="shared" si="1936"/>
        <v>x</v>
      </c>
      <c r="U4602" s="46" t="str">
        <f t="shared" si="1930"/>
        <v/>
      </c>
      <c r="V4602" s="46">
        <f t="shared" si="1930"/>
        <v>23</v>
      </c>
      <c r="W4602" s="46" t="str">
        <f t="shared" si="1930"/>
        <v/>
      </c>
      <c r="X4602" s="46" t="str">
        <f t="shared" si="1930"/>
        <v/>
      </c>
    </row>
    <row r="4603" spans="2:24" x14ac:dyDescent="0.25">
      <c r="B4603" s="11" t="str">
        <f t="shared" si="1932"/>
        <v>NIAG-17MAY1910</v>
      </c>
      <c r="C4603" s="11" t="s">
        <v>3030</v>
      </c>
      <c r="D4603" s="11" t="s">
        <v>1699</v>
      </c>
      <c r="E4603" s="39" t="s">
        <v>1491</v>
      </c>
      <c r="F4603" s="11" t="s">
        <v>1700</v>
      </c>
      <c r="G4603" s="39" t="s">
        <v>4080</v>
      </c>
      <c r="I4603" s="7">
        <v>0</v>
      </c>
      <c r="J4603" s="17">
        <v>27</v>
      </c>
      <c r="K4603" s="17"/>
      <c r="L4603" s="7">
        <f t="shared" si="1933"/>
        <v>27</v>
      </c>
      <c r="M4603" s="8">
        <v>1</v>
      </c>
      <c r="N4603" s="8">
        <f t="shared" si="1934"/>
        <v>1</v>
      </c>
      <c r="O4603" s="11" t="s">
        <v>1702</v>
      </c>
      <c r="P4603" s="16" t="str">
        <f t="shared" si="1935"/>
        <v>17-May-1910</v>
      </c>
      <c r="R4603" s="16" t="str">
        <f t="shared" si="1936"/>
        <v>x</v>
      </c>
      <c r="S4603" s="16" t="str">
        <f t="shared" si="1936"/>
        <v>x</v>
      </c>
      <c r="U4603" s="46" t="str">
        <f t="shared" si="1930"/>
        <v/>
      </c>
      <c r="V4603" s="46">
        <f t="shared" si="1930"/>
        <v>27</v>
      </c>
      <c r="W4603" s="46" t="str">
        <f t="shared" si="1930"/>
        <v/>
      </c>
      <c r="X4603" s="46" t="str">
        <f t="shared" si="1930"/>
        <v/>
      </c>
    </row>
    <row r="4604" spans="2:24" x14ac:dyDescent="0.25">
      <c r="B4604" s="11" t="str">
        <f>CONCATENATE("NIAG","-",LEFT(P4604,2),UPPER(MID(P4604,4,3)),RIGHT(P4604,4))</f>
        <v>NIAG-06SEP1910</v>
      </c>
      <c r="C4604" s="11" t="s">
        <v>3030</v>
      </c>
      <c r="D4604" s="11" t="s">
        <v>1699</v>
      </c>
      <c r="E4604" s="39" t="s">
        <v>2753</v>
      </c>
      <c r="F4604" s="11" t="s">
        <v>1700</v>
      </c>
      <c r="G4604" s="39" t="s">
        <v>3637</v>
      </c>
      <c r="I4604" s="7">
        <v>0</v>
      </c>
      <c r="J4604" s="17">
        <v>14</v>
      </c>
      <c r="K4604" s="17"/>
      <c r="L4604" s="7">
        <f>SUM(H4604:K4604)</f>
        <v>14</v>
      </c>
      <c r="M4604" s="8">
        <v>1</v>
      </c>
      <c r="N4604" s="8">
        <f>IF(L4604&gt;0,1,"")</f>
        <v>1</v>
      </c>
      <c r="O4604" s="11" t="s">
        <v>1702</v>
      </c>
      <c r="P4604" s="16" t="str">
        <f>IF(LEN(G4604)=10,CONCATENATE("0",G4604),G4604)</f>
        <v>06-Sep-1910</v>
      </c>
      <c r="R4604" s="16" t="str">
        <f t="shared" si="1936"/>
        <v>x</v>
      </c>
      <c r="S4604" s="16" t="str">
        <f t="shared" si="1936"/>
        <v>x</v>
      </c>
      <c r="U4604" s="46" t="str">
        <f>IF($O4604=U$5,$L4604,"")</f>
        <v/>
      </c>
      <c r="V4604" s="46">
        <f>IF($O4604=V$5,$L4604,"")</f>
        <v>14</v>
      </c>
      <c r="W4604" s="46" t="str">
        <f>IF($O4604=W$5,$L4604,"")</f>
        <v/>
      </c>
      <c r="X4604" s="46" t="str">
        <f>IF($O4604=X$5,$L4604,"")</f>
        <v/>
      </c>
    </row>
    <row r="4605" spans="2:24" x14ac:dyDescent="0.25">
      <c r="B4605" s="11" t="str">
        <f t="shared" si="1932"/>
        <v>NIAG-10JAN1911</v>
      </c>
      <c r="C4605" s="11" t="s">
        <v>3030</v>
      </c>
      <c r="D4605" s="11" t="s">
        <v>1699</v>
      </c>
      <c r="E4605" s="39" t="s">
        <v>1514</v>
      </c>
      <c r="F4605" s="11" t="s">
        <v>1700</v>
      </c>
      <c r="G4605" s="39" t="s">
        <v>3138</v>
      </c>
      <c r="I4605" s="7">
        <v>0</v>
      </c>
      <c r="J4605" s="17">
        <v>27</v>
      </c>
      <c r="K4605" s="17"/>
      <c r="L4605" s="7">
        <f t="shared" si="1933"/>
        <v>27</v>
      </c>
      <c r="M4605" s="8">
        <v>1</v>
      </c>
      <c r="N4605" s="8">
        <f t="shared" si="1934"/>
        <v>1</v>
      </c>
      <c r="O4605" s="11" t="s">
        <v>1702</v>
      </c>
      <c r="P4605" s="16" t="str">
        <f t="shared" si="1935"/>
        <v>10-Jan-1911</v>
      </c>
      <c r="R4605" s="16" t="str">
        <f t="shared" ref="R4605:S4617" si="1937">IF($L4605&gt;0,"x","")</f>
        <v>x</v>
      </c>
      <c r="S4605" s="16" t="str">
        <f t="shared" si="1937"/>
        <v>x</v>
      </c>
      <c r="U4605" s="46" t="str">
        <f t="shared" si="1930"/>
        <v/>
      </c>
      <c r="V4605" s="46">
        <f t="shared" si="1930"/>
        <v>27</v>
      </c>
      <c r="W4605" s="46" t="str">
        <f t="shared" si="1930"/>
        <v/>
      </c>
      <c r="X4605" s="46" t="str">
        <f t="shared" si="1930"/>
        <v/>
      </c>
    </row>
    <row r="4606" spans="2:24" x14ac:dyDescent="0.25">
      <c r="B4606" s="11" t="str">
        <f>CONCATENATE("NIAG","-",LEFT(P4606,2),UPPER(MID(P4606,4,3)),RIGHT(P4606,4))</f>
        <v>NIAG-05APR1911</v>
      </c>
      <c r="C4606" s="11" t="s">
        <v>3030</v>
      </c>
      <c r="D4606" s="11" t="s">
        <v>1699</v>
      </c>
      <c r="E4606" s="39" t="s">
        <v>1504</v>
      </c>
      <c r="F4606" s="11" t="s">
        <v>1700</v>
      </c>
      <c r="G4606" s="39" t="s">
        <v>3971</v>
      </c>
      <c r="I4606" s="7">
        <v>0</v>
      </c>
      <c r="J4606" s="17">
        <v>10</v>
      </c>
      <c r="K4606" s="17"/>
      <c r="L4606" s="7">
        <f>SUM(H4606:K4606)</f>
        <v>10</v>
      </c>
      <c r="M4606" s="8">
        <v>1</v>
      </c>
      <c r="N4606" s="8">
        <f>IF(L4606&gt;0,1,"")</f>
        <v>1</v>
      </c>
      <c r="O4606" s="11" t="s">
        <v>1702</v>
      </c>
      <c r="P4606" s="16" t="str">
        <f>IF(LEN(G4606)=10,CONCATENATE("0",G4606),G4606)</f>
        <v>05-Apr-1911</v>
      </c>
      <c r="R4606" s="16" t="str">
        <f>IF($L4606&gt;0,"x","")</f>
        <v>x</v>
      </c>
      <c r="S4606" s="16" t="str">
        <f t="shared" si="1937"/>
        <v>x</v>
      </c>
      <c r="U4606" s="46" t="str">
        <f t="shared" ref="U4606:X4610" si="1938">IF($O4606=U$5,$L4606,"")</f>
        <v/>
      </c>
      <c r="V4606" s="46">
        <f t="shared" si="1938"/>
        <v>10</v>
      </c>
      <c r="W4606" s="46" t="str">
        <f t="shared" si="1938"/>
        <v/>
      </c>
      <c r="X4606" s="46" t="str">
        <f t="shared" si="1938"/>
        <v/>
      </c>
    </row>
    <row r="4607" spans="2:24" x14ac:dyDescent="0.25">
      <c r="B4607" s="11" t="str">
        <f>CONCATENATE("NIAG","-",LEFT(P4607,2),UPPER(MID(P4607,4,3)),RIGHT(P4607,4))</f>
        <v>NIAG-27JUN1911</v>
      </c>
      <c r="C4607" s="11" t="s">
        <v>3030</v>
      </c>
      <c r="D4607" s="11" t="s">
        <v>1699</v>
      </c>
      <c r="E4607" s="39" t="s">
        <v>1268</v>
      </c>
      <c r="F4607" s="11" t="s">
        <v>1700</v>
      </c>
      <c r="G4607" s="39" t="s">
        <v>5711</v>
      </c>
      <c r="I4607" s="7">
        <v>0</v>
      </c>
      <c r="J4607" s="17">
        <v>15</v>
      </c>
      <c r="K4607" s="17"/>
      <c r="L4607" s="7">
        <f>SUM(H4607:K4607)</f>
        <v>15</v>
      </c>
      <c r="M4607" s="8">
        <v>1</v>
      </c>
      <c r="N4607" s="8">
        <f>IF(L4607&gt;0,1,"")</f>
        <v>1</v>
      </c>
      <c r="O4607" s="11" t="s">
        <v>1702</v>
      </c>
      <c r="P4607" s="16" t="str">
        <f>IF(LEN(G4607)=10,CONCATENATE("0",G4607),G4607)</f>
        <v>27-Jun-1911</v>
      </c>
      <c r="R4607" s="16" t="str">
        <f>IF($L4607&gt;0,"x","")</f>
        <v>x</v>
      </c>
      <c r="S4607" s="16" t="str">
        <f>IF($L4607&gt;0,"x","")</f>
        <v>x</v>
      </c>
      <c r="U4607" s="46" t="str">
        <f t="shared" si="1938"/>
        <v/>
      </c>
      <c r="V4607" s="46">
        <f t="shared" si="1938"/>
        <v>15</v>
      </c>
      <c r="W4607" s="46" t="str">
        <f t="shared" si="1938"/>
        <v/>
      </c>
      <c r="X4607" s="46" t="str">
        <f t="shared" si="1938"/>
        <v/>
      </c>
    </row>
    <row r="4608" spans="2:24" x14ac:dyDescent="0.25">
      <c r="B4608" s="11" t="str">
        <f>CONCATENATE("NIAG","-",LEFT(P4608,2),UPPER(MID(P4608,4,3)),RIGHT(P4608,4))</f>
        <v>NIAG-08AUG1911</v>
      </c>
      <c r="C4608" s="11" t="s">
        <v>3030</v>
      </c>
      <c r="D4608" s="11" t="s">
        <v>1699</v>
      </c>
      <c r="E4608" s="39" t="s">
        <v>1269</v>
      </c>
      <c r="F4608" s="11" t="s">
        <v>1700</v>
      </c>
      <c r="G4608" s="39" t="s">
        <v>5920</v>
      </c>
      <c r="I4608" s="7">
        <v>0</v>
      </c>
      <c r="J4608" s="17">
        <v>17</v>
      </c>
      <c r="K4608" s="17"/>
      <c r="L4608" s="7">
        <f>SUM(H4608:K4608)</f>
        <v>17</v>
      </c>
      <c r="M4608" s="8">
        <v>1</v>
      </c>
      <c r="N4608" s="8">
        <f>IF(L4608&gt;0,1,"")</f>
        <v>1</v>
      </c>
      <c r="O4608" s="11" t="s">
        <v>1702</v>
      </c>
      <c r="P4608" s="16" t="str">
        <f>IF(LEN(G4608)=10,CONCATENATE("0",G4608),G4608)</f>
        <v>08-Aug-1911</v>
      </c>
      <c r="R4608" s="16" t="str">
        <f>IF($L4608&gt;0,"x","")</f>
        <v>x</v>
      </c>
      <c r="S4608" s="16" t="str">
        <f>IF($L4608&gt;0,"x","")</f>
        <v>x</v>
      </c>
      <c r="U4608" s="46" t="str">
        <f t="shared" si="1938"/>
        <v/>
      </c>
      <c r="V4608" s="46">
        <f t="shared" si="1938"/>
        <v>17</v>
      </c>
      <c r="W4608" s="46" t="str">
        <f t="shared" si="1938"/>
        <v/>
      </c>
      <c r="X4608" s="46" t="str">
        <f t="shared" si="1938"/>
        <v/>
      </c>
    </row>
    <row r="4609" spans="2:24" x14ac:dyDescent="0.25">
      <c r="B4609" s="11" t="str">
        <f>CONCATENATE("NIAG","-",LEFT(P4609,2),UPPER(MID(P4609,4,3)),RIGHT(P4609,4))</f>
        <v>NIAG-19SEP1911</v>
      </c>
      <c r="C4609" s="11" t="s">
        <v>3030</v>
      </c>
      <c r="D4609" s="11" t="s">
        <v>1699</v>
      </c>
      <c r="E4609" s="39" t="s">
        <v>1509</v>
      </c>
      <c r="F4609" s="11" t="s">
        <v>1700</v>
      </c>
      <c r="G4609" s="39" t="s">
        <v>5589</v>
      </c>
      <c r="I4609" s="7">
        <v>0</v>
      </c>
      <c r="J4609" s="17">
        <v>7</v>
      </c>
      <c r="K4609" s="17"/>
      <c r="L4609" s="7">
        <f>SUM(H4609:K4609)</f>
        <v>7</v>
      </c>
      <c r="M4609" s="8">
        <v>1</v>
      </c>
      <c r="N4609" s="8">
        <f>IF(L4609&gt;0,1,"")</f>
        <v>1</v>
      </c>
      <c r="O4609" s="11" t="s">
        <v>1702</v>
      </c>
      <c r="P4609" s="16" t="str">
        <f>IF(LEN(G4609)=10,CONCATENATE("0",G4609),G4609)</f>
        <v>19-Sep-1911</v>
      </c>
      <c r="R4609" s="16" t="str">
        <f t="shared" si="1937"/>
        <v>x</v>
      </c>
      <c r="S4609" s="16" t="str">
        <f t="shared" si="1937"/>
        <v>x</v>
      </c>
      <c r="U4609" s="46" t="str">
        <f t="shared" si="1938"/>
        <v/>
      </c>
      <c r="V4609" s="46">
        <f t="shared" si="1938"/>
        <v>7</v>
      </c>
      <c r="W4609" s="46" t="str">
        <f t="shared" si="1938"/>
        <v/>
      </c>
      <c r="X4609" s="46" t="str">
        <f t="shared" si="1938"/>
        <v/>
      </c>
    </row>
    <row r="4610" spans="2:24" x14ac:dyDescent="0.25">
      <c r="B4610" s="11" t="str">
        <f t="shared" si="1932"/>
        <v>NIAG-17OCT1911</v>
      </c>
      <c r="C4610" s="11" t="s">
        <v>3030</v>
      </c>
      <c r="D4610" s="11" t="s">
        <v>1699</v>
      </c>
      <c r="E4610" s="39" t="s">
        <v>904</v>
      </c>
      <c r="F4610" s="11" t="s">
        <v>1700</v>
      </c>
      <c r="G4610" s="39" t="s">
        <v>4530</v>
      </c>
      <c r="I4610" s="7">
        <v>4</v>
      </c>
      <c r="J4610" s="17">
        <v>42</v>
      </c>
      <c r="K4610" s="17"/>
      <c r="L4610" s="7">
        <f t="shared" si="1933"/>
        <v>46</v>
      </c>
      <c r="M4610" s="8">
        <v>1</v>
      </c>
      <c r="N4610" s="8">
        <f t="shared" si="1934"/>
        <v>1</v>
      </c>
      <c r="O4610" s="11" t="s">
        <v>1702</v>
      </c>
      <c r="P4610" s="16" t="str">
        <f t="shared" si="1935"/>
        <v>17-Oct-1911</v>
      </c>
      <c r="R4610" s="16" t="str">
        <f t="shared" si="1937"/>
        <v>x</v>
      </c>
      <c r="S4610" s="16" t="str">
        <f t="shared" si="1937"/>
        <v>x</v>
      </c>
      <c r="U4610" s="46" t="str">
        <f t="shared" si="1938"/>
        <v/>
      </c>
      <c r="V4610" s="46">
        <f t="shared" si="1938"/>
        <v>46</v>
      </c>
      <c r="W4610" s="46" t="str">
        <f t="shared" si="1938"/>
        <v/>
      </c>
      <c r="X4610" s="46" t="str">
        <f t="shared" si="1938"/>
        <v/>
      </c>
    </row>
    <row r="4611" spans="2:24" x14ac:dyDescent="0.25">
      <c r="B4611" s="11" t="str">
        <f t="shared" si="1932"/>
        <v>NIAG-07FEB1912</v>
      </c>
      <c r="C4611" s="11" t="s">
        <v>3030</v>
      </c>
      <c r="D4611" s="11" t="s">
        <v>1699</v>
      </c>
      <c r="E4611" s="39" t="s">
        <v>1891</v>
      </c>
      <c r="F4611" s="11" t="s">
        <v>1700</v>
      </c>
      <c r="G4611" s="39" t="s">
        <v>2509</v>
      </c>
      <c r="I4611" s="7">
        <v>0</v>
      </c>
      <c r="J4611" s="17">
        <v>16</v>
      </c>
      <c r="K4611" s="17"/>
      <c r="L4611" s="7">
        <f t="shared" si="1933"/>
        <v>16</v>
      </c>
      <c r="M4611" s="8">
        <v>1</v>
      </c>
      <c r="N4611" s="8">
        <f t="shared" si="1934"/>
        <v>1</v>
      </c>
      <c r="O4611" s="11" t="s">
        <v>1702</v>
      </c>
      <c r="P4611" s="16" t="str">
        <f t="shared" si="1935"/>
        <v>07-Feb-1912</v>
      </c>
      <c r="R4611" s="16" t="str">
        <f t="shared" si="1937"/>
        <v>x</v>
      </c>
      <c r="S4611" s="16" t="str">
        <f t="shared" si="1937"/>
        <v>x</v>
      </c>
      <c r="U4611" s="46" t="str">
        <f t="shared" ref="U4611:X4612" si="1939">IF($O4611=U$5,$L4611,"")</f>
        <v/>
      </c>
      <c r="V4611" s="46">
        <f t="shared" si="1939"/>
        <v>16</v>
      </c>
      <c r="W4611" s="46" t="str">
        <f t="shared" si="1939"/>
        <v/>
      </c>
      <c r="X4611" s="46" t="str">
        <f t="shared" si="1939"/>
        <v/>
      </c>
    </row>
    <row r="4612" spans="2:24" x14ac:dyDescent="0.25">
      <c r="B4612" s="11" t="str">
        <f t="shared" si="1932"/>
        <v>NIAG-14MAR1912</v>
      </c>
      <c r="C4612" s="11" t="s">
        <v>3030</v>
      </c>
      <c r="D4612" s="11" t="s">
        <v>1699</v>
      </c>
      <c r="E4612" s="39" t="s">
        <v>1278</v>
      </c>
      <c r="F4612" s="11" t="s">
        <v>1700</v>
      </c>
      <c r="G4612" s="39" t="s">
        <v>2050</v>
      </c>
      <c r="I4612" s="7">
        <v>1</v>
      </c>
      <c r="J4612" s="17">
        <v>29</v>
      </c>
      <c r="K4612" s="17"/>
      <c r="L4612" s="7">
        <f t="shared" si="1933"/>
        <v>30</v>
      </c>
      <c r="M4612" s="8">
        <v>1</v>
      </c>
      <c r="N4612" s="8">
        <f t="shared" si="1934"/>
        <v>1</v>
      </c>
      <c r="O4612" s="11" t="s">
        <v>1702</v>
      </c>
      <c r="P4612" s="16" t="str">
        <f t="shared" si="1935"/>
        <v>14-Mar-1912</v>
      </c>
      <c r="R4612" s="16" t="str">
        <f t="shared" si="1937"/>
        <v>x</v>
      </c>
      <c r="S4612" s="16" t="str">
        <f t="shared" si="1937"/>
        <v>x</v>
      </c>
      <c r="U4612" s="46" t="str">
        <f t="shared" si="1939"/>
        <v/>
      </c>
      <c r="V4612" s="46">
        <f t="shared" si="1939"/>
        <v>30</v>
      </c>
      <c r="W4612" s="46" t="str">
        <f t="shared" si="1939"/>
        <v/>
      </c>
      <c r="X4612" s="46" t="str">
        <f t="shared" si="1939"/>
        <v/>
      </c>
    </row>
    <row r="4613" spans="2:24" x14ac:dyDescent="0.25">
      <c r="B4613" s="11" t="str">
        <f t="shared" si="1932"/>
        <v>NIAG-15APR1912</v>
      </c>
      <c r="C4613" s="11" t="s">
        <v>3030</v>
      </c>
      <c r="D4613" s="11" t="s">
        <v>1699</v>
      </c>
      <c r="E4613" s="39" t="s">
        <v>3356</v>
      </c>
      <c r="F4613" s="11" t="s">
        <v>1700</v>
      </c>
      <c r="G4613" s="39" t="s">
        <v>3355</v>
      </c>
      <c r="I4613" s="7">
        <v>0</v>
      </c>
      <c r="J4613" s="17">
        <v>41</v>
      </c>
      <c r="K4613" s="17"/>
      <c r="L4613" s="7">
        <f t="shared" si="1933"/>
        <v>41</v>
      </c>
      <c r="M4613" s="8">
        <v>1</v>
      </c>
      <c r="N4613" s="8">
        <f t="shared" si="1934"/>
        <v>1</v>
      </c>
      <c r="O4613" s="11" t="s">
        <v>1702</v>
      </c>
      <c r="P4613" s="16" t="str">
        <f t="shared" si="1935"/>
        <v>15-Apr-1912</v>
      </c>
      <c r="R4613" s="16" t="str">
        <f t="shared" si="1937"/>
        <v>x</v>
      </c>
      <c r="S4613" s="16" t="str">
        <f t="shared" si="1937"/>
        <v>x</v>
      </c>
      <c r="U4613" s="46" t="str">
        <f t="shared" si="1930"/>
        <v/>
      </c>
      <c r="V4613" s="46">
        <f t="shared" si="1930"/>
        <v>41</v>
      </c>
      <c r="W4613" s="46" t="str">
        <f t="shared" si="1930"/>
        <v/>
      </c>
      <c r="X4613" s="46" t="str">
        <f t="shared" si="1930"/>
        <v/>
      </c>
    </row>
    <row r="4614" spans="2:24" x14ac:dyDescent="0.25">
      <c r="B4614" s="11" t="str">
        <f t="shared" si="1932"/>
        <v>NIAG-03SEP1912</v>
      </c>
      <c r="C4614" s="11" t="s">
        <v>3030</v>
      </c>
      <c r="D4614" s="11" t="s">
        <v>1699</v>
      </c>
      <c r="E4614" s="39" t="s">
        <v>1282</v>
      </c>
      <c r="F4614" s="11" t="s">
        <v>1700</v>
      </c>
      <c r="G4614" s="39" t="s">
        <v>2343</v>
      </c>
      <c r="I4614" s="7">
        <v>0</v>
      </c>
      <c r="J4614" s="17">
        <v>20</v>
      </c>
      <c r="K4614" s="17"/>
      <c r="L4614" s="7">
        <f t="shared" si="1933"/>
        <v>20</v>
      </c>
      <c r="M4614" s="8">
        <v>1</v>
      </c>
      <c r="N4614" s="8">
        <f t="shared" si="1934"/>
        <v>1</v>
      </c>
      <c r="O4614" s="11" t="s">
        <v>1702</v>
      </c>
      <c r="P4614" s="16" t="str">
        <f t="shared" si="1935"/>
        <v>03-Sep-1912</v>
      </c>
      <c r="R4614" s="16" t="str">
        <f t="shared" si="1937"/>
        <v>x</v>
      </c>
      <c r="S4614" s="16" t="str">
        <f t="shared" si="1937"/>
        <v>x</v>
      </c>
      <c r="U4614" s="46" t="str">
        <f t="shared" si="1930"/>
        <v/>
      </c>
      <c r="V4614" s="46">
        <f t="shared" si="1930"/>
        <v>20</v>
      </c>
      <c r="W4614" s="46" t="str">
        <f t="shared" si="1930"/>
        <v/>
      </c>
      <c r="X4614" s="46" t="str">
        <f t="shared" si="1930"/>
        <v/>
      </c>
    </row>
    <row r="4615" spans="2:24" x14ac:dyDescent="0.25">
      <c r="B4615" s="11" t="str">
        <f>CONCATENATE("NIAG","-",LEFT(P4615,2),UPPER(MID(P4615,4,3)),RIGHT(P4615,4))</f>
        <v>NIAG-31OCT1912</v>
      </c>
      <c r="C4615" s="11" t="s">
        <v>3030</v>
      </c>
      <c r="D4615" s="11" t="s">
        <v>1699</v>
      </c>
      <c r="E4615" s="39" t="s">
        <v>1531</v>
      </c>
      <c r="F4615" s="11" t="s">
        <v>1700</v>
      </c>
      <c r="G4615" s="39" t="s">
        <v>11281</v>
      </c>
      <c r="I4615" s="7">
        <v>1</v>
      </c>
      <c r="J4615" s="17">
        <v>29</v>
      </c>
      <c r="K4615" s="17"/>
      <c r="L4615" s="7">
        <f>SUM(H4615:K4615)</f>
        <v>30</v>
      </c>
      <c r="M4615" s="8">
        <v>1</v>
      </c>
      <c r="N4615" s="8">
        <f>IF(L4615&gt;0,1,"")</f>
        <v>1</v>
      </c>
      <c r="O4615" s="11" t="s">
        <v>1702</v>
      </c>
      <c r="P4615" s="16" t="str">
        <f>IF(LEN(G4615)=10,CONCATENATE("0",G4615),G4615)</f>
        <v>31-Oct-1912</v>
      </c>
      <c r="R4615" s="16" t="str">
        <f t="shared" si="1937"/>
        <v>x</v>
      </c>
      <c r="S4615" s="16" t="str">
        <f t="shared" si="1937"/>
        <v>x</v>
      </c>
      <c r="U4615" s="46" t="str">
        <f>IF($O4615=U$5,$L4615,"")</f>
        <v/>
      </c>
      <c r="V4615" s="46">
        <f>IF($O4615=V$5,$L4615,"")</f>
        <v>30</v>
      </c>
      <c r="W4615" s="46" t="str">
        <f>IF($O4615=W$5,$L4615,"")</f>
        <v/>
      </c>
      <c r="X4615" s="46" t="str">
        <f>IF($O4615=X$5,$L4615,"")</f>
        <v/>
      </c>
    </row>
    <row r="4616" spans="2:24" x14ac:dyDescent="0.25">
      <c r="B4616" s="11" t="str">
        <f t="shared" si="1932"/>
        <v>NIAG-28NOV1912</v>
      </c>
      <c r="C4616" s="11" t="s">
        <v>3030</v>
      </c>
      <c r="D4616" s="11" t="s">
        <v>1699</v>
      </c>
      <c r="E4616" s="39" t="s">
        <v>1912</v>
      </c>
      <c r="F4616" s="11" t="s">
        <v>1700</v>
      </c>
      <c r="G4616" s="39" t="s">
        <v>3952</v>
      </c>
      <c r="I4616" s="7">
        <v>0</v>
      </c>
      <c r="J4616" s="17">
        <v>53</v>
      </c>
      <c r="K4616" s="17"/>
      <c r="L4616" s="7">
        <f t="shared" si="1933"/>
        <v>53</v>
      </c>
      <c r="M4616" s="8">
        <v>1</v>
      </c>
      <c r="N4616" s="8">
        <f t="shared" si="1934"/>
        <v>1</v>
      </c>
      <c r="O4616" s="11" t="s">
        <v>1702</v>
      </c>
      <c r="P4616" s="16" t="str">
        <f t="shared" si="1935"/>
        <v>28-Nov-1912</v>
      </c>
      <c r="R4616" s="16" t="str">
        <f t="shared" si="1937"/>
        <v>x</v>
      </c>
      <c r="S4616" s="16" t="str">
        <f t="shared" si="1937"/>
        <v>x</v>
      </c>
      <c r="U4616" s="46" t="str">
        <f t="shared" si="1930"/>
        <v/>
      </c>
      <c r="V4616" s="46">
        <f t="shared" si="1930"/>
        <v>53</v>
      </c>
      <c r="W4616" s="46" t="str">
        <f t="shared" si="1930"/>
        <v/>
      </c>
      <c r="X4616" s="46" t="str">
        <f t="shared" si="1930"/>
        <v/>
      </c>
    </row>
    <row r="4617" spans="2:24" x14ac:dyDescent="0.25">
      <c r="B4617" s="11" t="str">
        <f t="shared" si="1932"/>
        <v>NIAG-28DEC1912</v>
      </c>
      <c r="C4617" s="11" t="s">
        <v>3030</v>
      </c>
      <c r="D4617" s="11" t="s">
        <v>1699</v>
      </c>
      <c r="E4617" s="39" t="s">
        <v>3126</v>
      </c>
      <c r="F4617" s="11" t="s">
        <v>1700</v>
      </c>
      <c r="G4617" s="39" t="s">
        <v>1339</v>
      </c>
      <c r="I4617" s="7">
        <v>0</v>
      </c>
      <c r="J4617" s="17">
        <v>84</v>
      </c>
      <c r="K4617" s="17"/>
      <c r="L4617" s="7">
        <f t="shared" si="1933"/>
        <v>84</v>
      </c>
      <c r="M4617" s="8">
        <v>1</v>
      </c>
      <c r="N4617" s="8">
        <f t="shared" si="1934"/>
        <v>1</v>
      </c>
      <c r="O4617" s="11" t="s">
        <v>1702</v>
      </c>
      <c r="P4617" s="16" t="str">
        <f t="shared" si="1935"/>
        <v>28-Dec-1912</v>
      </c>
      <c r="R4617" s="16" t="str">
        <f t="shared" si="1937"/>
        <v>x</v>
      </c>
      <c r="S4617" s="16" t="str">
        <f t="shared" si="1937"/>
        <v>x</v>
      </c>
      <c r="U4617" s="46" t="str">
        <f t="shared" si="1930"/>
        <v/>
      </c>
      <c r="V4617" s="46">
        <f t="shared" si="1930"/>
        <v>84</v>
      </c>
      <c r="W4617" s="46" t="str">
        <f t="shared" si="1930"/>
        <v/>
      </c>
      <c r="X4617" s="46" t="str">
        <f t="shared" si="1930"/>
        <v/>
      </c>
    </row>
    <row r="4618" spans="2:24" x14ac:dyDescent="0.25">
      <c r="B4618" s="11" t="str">
        <f t="shared" si="1932"/>
        <v>NIAG-23MAR1913</v>
      </c>
      <c r="C4618" s="11" t="s">
        <v>3030</v>
      </c>
      <c r="D4618" s="11" t="s">
        <v>1699</v>
      </c>
      <c r="E4618" s="39" t="s">
        <v>1921</v>
      </c>
      <c r="F4618" s="11" t="s">
        <v>1700</v>
      </c>
      <c r="G4618" s="39" t="s">
        <v>1923</v>
      </c>
      <c r="I4618" s="7">
        <v>0</v>
      </c>
      <c r="J4618" s="17">
        <v>28</v>
      </c>
      <c r="K4618" s="17"/>
      <c r="L4618" s="7">
        <f t="shared" si="1933"/>
        <v>28</v>
      </c>
      <c r="M4618" s="8">
        <v>1</v>
      </c>
      <c r="N4618" s="8">
        <f t="shared" si="1934"/>
        <v>1</v>
      </c>
      <c r="O4618" s="11" t="s">
        <v>1702</v>
      </c>
      <c r="P4618" s="16" t="str">
        <f t="shared" si="1935"/>
        <v>23-Mar-1913</v>
      </c>
      <c r="S4618" s="16" t="s">
        <v>1703</v>
      </c>
      <c r="U4618" s="46" t="str">
        <f>IF($O4618=U$5,$L4618,"")</f>
        <v/>
      </c>
      <c r="V4618" s="46">
        <f>IF($O4618=V$5,$L4618,"")</f>
        <v>28</v>
      </c>
      <c r="W4618" s="46" t="str">
        <f>IF($O4618=W$5,$L4618,"")</f>
        <v/>
      </c>
      <c r="X4618" s="46" t="str">
        <f>IF($O4618=X$5,$L4618,"")</f>
        <v/>
      </c>
    </row>
    <row r="4619" spans="2:24" x14ac:dyDescent="0.25">
      <c r="B4619" s="11" t="str">
        <f t="shared" si="1932"/>
        <v>NIAG-22MAY1913</v>
      </c>
      <c r="C4619" s="11" t="s">
        <v>3030</v>
      </c>
      <c r="D4619" s="11" t="s">
        <v>1699</v>
      </c>
      <c r="E4619" s="39" t="s">
        <v>3031</v>
      </c>
      <c r="F4619" s="11" t="s">
        <v>1700</v>
      </c>
      <c r="G4619" s="39" t="s">
        <v>3032</v>
      </c>
      <c r="I4619" s="7">
        <v>0</v>
      </c>
      <c r="J4619" s="17">
        <v>109</v>
      </c>
      <c r="K4619" s="17"/>
      <c r="L4619" s="7">
        <f t="shared" si="1933"/>
        <v>109</v>
      </c>
      <c r="M4619" s="8">
        <v>1</v>
      </c>
      <c r="N4619" s="8">
        <f t="shared" si="1934"/>
        <v>1</v>
      </c>
      <c r="O4619" s="11" t="s">
        <v>1702</v>
      </c>
      <c r="P4619" s="16" t="str">
        <f t="shared" si="1935"/>
        <v>22-May-1913</v>
      </c>
      <c r="R4619" s="16" t="str">
        <f t="shared" ref="R4619:S4623" si="1940">IF($L4619&gt;0,"x","")</f>
        <v>x</v>
      </c>
      <c r="S4619" s="16" t="str">
        <f t="shared" si="1940"/>
        <v>x</v>
      </c>
      <c r="U4619" s="46" t="str">
        <f t="shared" si="1930"/>
        <v/>
      </c>
      <c r="V4619" s="46">
        <f t="shared" si="1930"/>
        <v>109</v>
      </c>
      <c r="W4619" s="46" t="str">
        <f t="shared" si="1930"/>
        <v/>
      </c>
      <c r="X4619" s="46" t="str">
        <f t="shared" si="1930"/>
        <v/>
      </c>
    </row>
    <row r="4620" spans="2:24" x14ac:dyDescent="0.25">
      <c r="B4620" s="11" t="str">
        <f t="shared" si="1932"/>
        <v>NIAG-17JUN1913</v>
      </c>
      <c r="C4620" s="11" t="s">
        <v>3030</v>
      </c>
      <c r="D4620" s="11" t="s">
        <v>1699</v>
      </c>
      <c r="E4620" s="39" t="s">
        <v>2783</v>
      </c>
      <c r="F4620" s="11" t="s">
        <v>1700</v>
      </c>
      <c r="G4620" s="39" t="s">
        <v>1926</v>
      </c>
      <c r="I4620" s="7">
        <v>3</v>
      </c>
      <c r="J4620" s="17">
        <v>152</v>
      </c>
      <c r="K4620" s="17"/>
      <c r="L4620" s="7">
        <f t="shared" si="1933"/>
        <v>155</v>
      </c>
      <c r="M4620" s="8">
        <v>1</v>
      </c>
      <c r="N4620" s="8">
        <f t="shared" si="1934"/>
        <v>1</v>
      </c>
      <c r="O4620" s="11" t="s">
        <v>1702</v>
      </c>
      <c r="P4620" s="16" t="str">
        <f t="shared" si="1935"/>
        <v>17-Jun-1913</v>
      </c>
      <c r="R4620" s="16" t="str">
        <f t="shared" si="1940"/>
        <v>x</v>
      </c>
      <c r="S4620" s="16" t="str">
        <f t="shared" si="1940"/>
        <v>x</v>
      </c>
      <c r="U4620" s="46" t="str">
        <f>IF($O4620=U$5,$L4620,"")</f>
        <v/>
      </c>
      <c r="V4620" s="46">
        <f>IF($O4620=V$5,$L4620,"")</f>
        <v>155</v>
      </c>
      <c r="W4620" s="46" t="str">
        <f>IF($O4620=W$5,$L4620,"")</f>
        <v/>
      </c>
      <c r="X4620" s="46" t="str">
        <f>IF($O4620=X$5,$L4620,"")</f>
        <v/>
      </c>
    </row>
    <row r="4621" spans="2:24" x14ac:dyDescent="0.25">
      <c r="B4621" s="11" t="str">
        <f t="shared" si="1932"/>
        <v>NIAG-15JUL1913</v>
      </c>
      <c r="C4621" s="11" t="s">
        <v>3030</v>
      </c>
      <c r="D4621" s="11" t="s">
        <v>1699</v>
      </c>
      <c r="E4621" s="39" t="s">
        <v>1288</v>
      </c>
      <c r="F4621" s="11" t="s">
        <v>1700</v>
      </c>
      <c r="G4621" s="39" t="s">
        <v>3938</v>
      </c>
      <c r="I4621" s="7">
        <v>2</v>
      </c>
      <c r="J4621" s="17">
        <f>116+1</f>
        <v>117</v>
      </c>
      <c r="K4621" s="17"/>
      <c r="L4621" s="7">
        <f t="shared" si="1933"/>
        <v>119</v>
      </c>
      <c r="M4621" s="8">
        <v>1</v>
      </c>
      <c r="N4621" s="8">
        <f t="shared" si="1934"/>
        <v>1</v>
      </c>
      <c r="O4621" s="11" t="s">
        <v>1702</v>
      </c>
      <c r="P4621" s="16" t="str">
        <f t="shared" si="1935"/>
        <v>15-Jul-1913</v>
      </c>
      <c r="R4621" s="16" t="str">
        <f t="shared" si="1940"/>
        <v>x</v>
      </c>
      <c r="S4621" s="16" t="str">
        <f t="shared" si="1940"/>
        <v>x</v>
      </c>
      <c r="U4621" s="46" t="str">
        <f t="shared" si="1930"/>
        <v/>
      </c>
      <c r="V4621" s="46">
        <f t="shared" si="1930"/>
        <v>119</v>
      </c>
      <c r="W4621" s="46" t="str">
        <f t="shared" si="1930"/>
        <v/>
      </c>
      <c r="X4621" s="46" t="str">
        <f t="shared" si="1930"/>
        <v/>
      </c>
    </row>
    <row r="4622" spans="2:24" x14ac:dyDescent="0.25">
      <c r="B4622" s="11" t="str">
        <f t="shared" si="1932"/>
        <v>NIAG-09SEP1913</v>
      </c>
      <c r="C4622" s="11" t="s">
        <v>3030</v>
      </c>
      <c r="D4622" s="11" t="s">
        <v>1699</v>
      </c>
      <c r="E4622" s="39" t="s">
        <v>1289</v>
      </c>
      <c r="F4622" s="11" t="s">
        <v>1700</v>
      </c>
      <c r="G4622" s="39" t="s">
        <v>3994</v>
      </c>
      <c r="I4622" s="7">
        <v>0</v>
      </c>
      <c r="J4622" s="17">
        <f>85+1</f>
        <v>86</v>
      </c>
      <c r="K4622" s="17"/>
      <c r="L4622" s="7">
        <f t="shared" si="1933"/>
        <v>86</v>
      </c>
      <c r="M4622" s="8">
        <v>1</v>
      </c>
      <c r="N4622" s="8">
        <f t="shared" si="1934"/>
        <v>1</v>
      </c>
      <c r="O4622" s="11" t="s">
        <v>1702</v>
      </c>
      <c r="P4622" s="16" t="str">
        <f t="shared" si="1935"/>
        <v>09-Sep-1913</v>
      </c>
      <c r="R4622" s="16" t="str">
        <f t="shared" si="1940"/>
        <v>x</v>
      </c>
      <c r="S4622" s="16" t="str">
        <f t="shared" si="1940"/>
        <v>x</v>
      </c>
      <c r="U4622" s="46" t="str">
        <f t="shared" si="1930"/>
        <v/>
      </c>
      <c r="V4622" s="46">
        <f t="shared" si="1930"/>
        <v>86</v>
      </c>
      <c r="W4622" s="46" t="str">
        <f t="shared" si="1930"/>
        <v/>
      </c>
      <c r="X4622" s="46" t="str">
        <f t="shared" si="1930"/>
        <v/>
      </c>
    </row>
    <row r="4623" spans="2:24" x14ac:dyDescent="0.25">
      <c r="B4623" s="11" t="str">
        <f t="shared" si="1932"/>
        <v>NIAG-07OCT1913</v>
      </c>
      <c r="C4623" s="11" t="s">
        <v>3030</v>
      </c>
      <c r="D4623" s="11" t="s">
        <v>1699</v>
      </c>
      <c r="E4623" s="39" t="s">
        <v>2362</v>
      </c>
      <c r="F4623" s="11" t="s">
        <v>1700</v>
      </c>
      <c r="G4623" s="39" t="s">
        <v>3953</v>
      </c>
      <c r="I4623" s="7">
        <v>7</v>
      </c>
      <c r="J4623" s="17">
        <v>54</v>
      </c>
      <c r="K4623" s="17"/>
      <c r="L4623" s="7">
        <f t="shared" si="1933"/>
        <v>61</v>
      </c>
      <c r="M4623" s="8">
        <v>1</v>
      </c>
      <c r="N4623" s="8">
        <f t="shared" si="1934"/>
        <v>1</v>
      </c>
      <c r="O4623" s="11" t="s">
        <v>1702</v>
      </c>
      <c r="P4623" s="16" t="str">
        <f t="shared" si="1935"/>
        <v>07-Oct-1913</v>
      </c>
      <c r="R4623" s="16" t="str">
        <f t="shared" si="1940"/>
        <v>x</v>
      </c>
      <c r="S4623" s="16" t="str">
        <f t="shared" si="1940"/>
        <v>x</v>
      </c>
      <c r="U4623" s="46" t="str">
        <f t="shared" si="1930"/>
        <v/>
      </c>
      <c r="V4623" s="46">
        <f t="shared" si="1930"/>
        <v>61</v>
      </c>
      <c r="W4623" s="46" t="str">
        <f t="shared" si="1930"/>
        <v/>
      </c>
      <c r="X4623" s="46" t="str">
        <f t="shared" si="1930"/>
        <v/>
      </c>
    </row>
    <row r="4624" spans="2:24" x14ac:dyDescent="0.25">
      <c r="B4624" s="11" t="str">
        <f t="shared" si="1932"/>
        <v>NIAG-03DEC1913</v>
      </c>
      <c r="C4624" s="11" t="s">
        <v>3030</v>
      </c>
      <c r="D4624" s="11" t="s">
        <v>1699</v>
      </c>
      <c r="E4624" s="39" t="s">
        <v>2364</v>
      </c>
      <c r="F4624" s="11" t="s">
        <v>1700</v>
      </c>
      <c r="G4624" s="39" t="s">
        <v>2543</v>
      </c>
      <c r="I4624" s="7">
        <v>0</v>
      </c>
      <c r="J4624" s="17">
        <v>91</v>
      </c>
      <c r="K4624" s="17"/>
      <c r="L4624" s="7">
        <f t="shared" si="1933"/>
        <v>91</v>
      </c>
      <c r="M4624" s="8">
        <v>1</v>
      </c>
      <c r="N4624" s="8">
        <f t="shared" si="1934"/>
        <v>1</v>
      </c>
      <c r="O4624" s="11" t="s">
        <v>1702</v>
      </c>
      <c r="P4624" s="16" t="str">
        <f t="shared" si="1935"/>
        <v>03-Dec-1913</v>
      </c>
      <c r="R4624" s="16" t="str">
        <f>IF($L4624&gt;0,"x","")</f>
        <v>x</v>
      </c>
      <c r="S4624" s="16" t="str">
        <f>IF($L4624&gt;0,"x","")</f>
        <v>x</v>
      </c>
      <c r="U4624" s="46" t="str">
        <f t="shared" si="1930"/>
        <v/>
      </c>
      <c r="V4624" s="46">
        <f t="shared" si="1930"/>
        <v>91</v>
      </c>
      <c r="W4624" s="46" t="str">
        <f t="shared" si="1930"/>
        <v/>
      </c>
      <c r="X4624" s="46" t="str">
        <f t="shared" si="1930"/>
        <v/>
      </c>
    </row>
    <row r="4625" spans="2:24" x14ac:dyDescent="0.25">
      <c r="B4625" s="11" t="str">
        <f t="shared" si="1932"/>
        <v>NIAG-21JAN1914</v>
      </c>
      <c r="C4625" s="11" t="s">
        <v>3030</v>
      </c>
      <c r="D4625" s="11" t="s">
        <v>1699</v>
      </c>
      <c r="E4625" s="39" t="s">
        <v>1306</v>
      </c>
      <c r="F4625" s="11" t="s">
        <v>1700</v>
      </c>
      <c r="G4625" s="39" t="s">
        <v>2558</v>
      </c>
      <c r="I4625" s="7">
        <v>0</v>
      </c>
      <c r="J4625" s="17">
        <v>31</v>
      </c>
      <c r="K4625" s="17"/>
      <c r="L4625" s="7">
        <f t="shared" si="1933"/>
        <v>31</v>
      </c>
      <c r="M4625" s="8">
        <v>1</v>
      </c>
      <c r="N4625" s="8">
        <f t="shared" si="1934"/>
        <v>1</v>
      </c>
      <c r="O4625" s="11" t="s">
        <v>1702</v>
      </c>
      <c r="P4625" s="16" t="str">
        <f t="shared" si="1935"/>
        <v>21-Jan-1914</v>
      </c>
      <c r="R4625" s="16" t="str">
        <f>IF($L4625&gt;0,"x","")</f>
        <v>x</v>
      </c>
      <c r="S4625" s="16" t="str">
        <f>IF($L4625&gt;0,"x","")</f>
        <v>x</v>
      </c>
      <c r="U4625" s="46" t="str">
        <f t="shared" ref="U4625:X4626" si="1941">IF($O4625=U$5,$L4625,"")</f>
        <v/>
      </c>
      <c r="V4625" s="46">
        <f t="shared" si="1941"/>
        <v>31</v>
      </c>
      <c r="W4625" s="46" t="str">
        <f t="shared" si="1941"/>
        <v/>
      </c>
      <c r="X4625" s="46" t="str">
        <f t="shared" si="1941"/>
        <v/>
      </c>
    </row>
    <row r="4626" spans="2:24" x14ac:dyDescent="0.25">
      <c r="B4626" s="11" t="str">
        <f>CONCATENATE("NIAG","-",LEFT(P4626,2),UPPER(MID(P4626,4,3)),RIGHT(P4626,4))</f>
        <v>NIAG-07JAN1915</v>
      </c>
      <c r="C4626" s="11" t="s">
        <v>3030</v>
      </c>
      <c r="D4626" s="11" t="s">
        <v>1699</v>
      </c>
      <c r="E4626" s="39" t="s">
        <v>1037</v>
      </c>
      <c r="F4626" s="11" t="s">
        <v>1700</v>
      </c>
      <c r="G4626" s="39" t="s">
        <v>3766</v>
      </c>
      <c r="I4626" s="7">
        <v>0</v>
      </c>
      <c r="J4626" s="17">
        <v>3</v>
      </c>
      <c r="K4626" s="17"/>
      <c r="L4626" s="7">
        <f>SUM(H4626:K4626)</f>
        <v>3</v>
      </c>
      <c r="M4626" s="8">
        <v>1</v>
      </c>
      <c r="N4626" s="8">
        <f>IF(L4626&gt;0,1,"")</f>
        <v>1</v>
      </c>
      <c r="O4626" s="11" t="s">
        <v>1702</v>
      </c>
      <c r="P4626" s="16" t="str">
        <f>IF(LEN(G4626)=10,CONCATENATE("0",G4626),G4626)</f>
        <v>07-Jan-1915</v>
      </c>
      <c r="R4626" s="16" t="str">
        <f t="shared" ref="R4626:S4631" si="1942">IF($L4626&gt;0,"x","")</f>
        <v>x</v>
      </c>
      <c r="S4626" s="16" t="str">
        <f t="shared" si="1942"/>
        <v>x</v>
      </c>
      <c r="U4626" s="46" t="str">
        <f t="shared" si="1941"/>
        <v/>
      </c>
      <c r="V4626" s="46">
        <f t="shared" si="1941"/>
        <v>3</v>
      </c>
      <c r="W4626" s="46" t="str">
        <f t="shared" si="1941"/>
        <v/>
      </c>
      <c r="X4626" s="46" t="str">
        <f t="shared" si="1941"/>
        <v/>
      </c>
    </row>
    <row r="4627" spans="2:24" x14ac:dyDescent="0.25">
      <c r="B4627" s="11" t="str">
        <f t="shared" si="1932"/>
        <v>NIAG-11FEB1915</v>
      </c>
      <c r="C4627" s="11" t="s">
        <v>3030</v>
      </c>
      <c r="D4627" s="11" t="s">
        <v>1699</v>
      </c>
      <c r="E4627" s="39" t="s">
        <v>11499</v>
      </c>
      <c r="F4627" s="11" t="s">
        <v>1700</v>
      </c>
      <c r="G4627" s="39" t="s">
        <v>11500</v>
      </c>
      <c r="I4627" s="7">
        <f>2+2</f>
        <v>4</v>
      </c>
      <c r="J4627" s="17">
        <v>0</v>
      </c>
      <c r="K4627" s="17"/>
      <c r="L4627" s="7">
        <f t="shared" si="1933"/>
        <v>4</v>
      </c>
      <c r="M4627" s="8">
        <v>1</v>
      </c>
      <c r="N4627" s="8">
        <f t="shared" si="1934"/>
        <v>1</v>
      </c>
      <c r="O4627" s="11" t="s">
        <v>1702</v>
      </c>
      <c r="P4627" s="16" t="str">
        <f t="shared" si="1935"/>
        <v>11-Feb-1915</v>
      </c>
      <c r="R4627" s="16" t="str">
        <f t="shared" si="1942"/>
        <v>x</v>
      </c>
      <c r="S4627" s="80"/>
      <c r="U4627" s="46" t="str">
        <f t="shared" si="1930"/>
        <v/>
      </c>
      <c r="V4627" s="46">
        <f t="shared" si="1930"/>
        <v>4</v>
      </c>
      <c r="W4627" s="46" t="str">
        <f t="shared" si="1930"/>
        <v/>
      </c>
      <c r="X4627" s="46" t="str">
        <f t="shared" si="1930"/>
        <v/>
      </c>
    </row>
    <row r="4628" spans="2:24" x14ac:dyDescent="0.25">
      <c r="B4628" s="11" t="str">
        <f t="shared" si="1932"/>
        <v>NIAG-12AUG1920</v>
      </c>
      <c r="C4628" s="11" t="s">
        <v>3030</v>
      </c>
      <c r="D4628" s="11" t="s">
        <v>1956</v>
      </c>
      <c r="E4628" s="39" t="s">
        <v>4548</v>
      </c>
      <c r="F4628" s="11" t="s">
        <v>1700</v>
      </c>
      <c r="G4628" s="39" t="s">
        <v>4549</v>
      </c>
      <c r="I4628" s="7">
        <v>4</v>
      </c>
      <c r="J4628" s="17">
        <v>148</v>
      </c>
      <c r="K4628" s="17"/>
      <c r="L4628" s="7">
        <f t="shared" si="1933"/>
        <v>152</v>
      </c>
      <c r="M4628" s="8">
        <v>1</v>
      </c>
      <c r="N4628" s="8">
        <f t="shared" si="1934"/>
        <v>1</v>
      </c>
      <c r="O4628" s="11" t="s">
        <v>1702</v>
      </c>
      <c r="P4628" s="16" t="str">
        <f t="shared" si="1935"/>
        <v>12-Aug-1920</v>
      </c>
      <c r="R4628" s="16" t="str">
        <f t="shared" si="1942"/>
        <v>x</v>
      </c>
      <c r="S4628" s="16" t="str">
        <f t="shared" si="1942"/>
        <v>x</v>
      </c>
      <c r="U4628" s="46" t="str">
        <f>IF($O4628=U$5,$L4628,"")</f>
        <v/>
      </c>
      <c r="V4628" s="46">
        <f>IF($O4628=V$5,$L4628,"")</f>
        <v>152</v>
      </c>
      <c r="W4628" s="46" t="str">
        <f>IF($O4628=W$5,$L4628,"")</f>
        <v/>
      </c>
      <c r="X4628" s="46" t="str">
        <f>IF($O4628=X$5,$L4628,"")</f>
        <v/>
      </c>
    </row>
    <row r="4629" spans="2:24" x14ac:dyDescent="0.25">
      <c r="B4629" s="11" t="str">
        <f t="shared" si="1932"/>
        <v>NIAG-20SEP1920</v>
      </c>
      <c r="C4629" s="11" t="s">
        <v>3030</v>
      </c>
      <c r="D4629" s="11" t="s">
        <v>1699</v>
      </c>
      <c r="E4629" s="39" t="s">
        <v>4157</v>
      </c>
      <c r="F4629" s="11" t="s">
        <v>1700</v>
      </c>
      <c r="G4629" s="39" t="s">
        <v>4161</v>
      </c>
      <c r="I4629" s="7">
        <v>2</v>
      </c>
      <c r="J4629" s="17">
        <f>63+2</f>
        <v>65</v>
      </c>
      <c r="K4629" s="17"/>
      <c r="L4629" s="7">
        <f t="shared" si="1933"/>
        <v>67</v>
      </c>
      <c r="M4629" s="8">
        <v>1</v>
      </c>
      <c r="N4629" s="8">
        <f t="shared" si="1934"/>
        <v>1</v>
      </c>
      <c r="O4629" s="11" t="s">
        <v>1702</v>
      </c>
      <c r="P4629" s="16" t="str">
        <f t="shared" si="1935"/>
        <v>20-Sep-1920</v>
      </c>
      <c r="R4629" s="16" t="str">
        <f t="shared" si="1942"/>
        <v>x</v>
      </c>
      <c r="S4629" s="16" t="str">
        <f t="shared" si="1942"/>
        <v>x</v>
      </c>
      <c r="U4629" s="46" t="str">
        <f t="shared" si="1930"/>
        <v/>
      </c>
      <c r="V4629" s="46">
        <f t="shared" si="1930"/>
        <v>67</v>
      </c>
      <c r="W4629" s="46" t="str">
        <f t="shared" si="1930"/>
        <v/>
      </c>
      <c r="X4629" s="46" t="str">
        <f t="shared" si="1930"/>
        <v/>
      </c>
    </row>
    <row r="4630" spans="2:24" x14ac:dyDescent="0.25">
      <c r="B4630" s="11" t="str">
        <f t="shared" si="1932"/>
        <v>NIAG-01NOV1920</v>
      </c>
      <c r="C4630" s="11" t="s">
        <v>3030</v>
      </c>
      <c r="D4630" s="11" t="s">
        <v>1699</v>
      </c>
      <c r="E4630" s="39" t="s">
        <v>4640</v>
      </c>
      <c r="F4630" s="11" t="s">
        <v>1700</v>
      </c>
      <c r="G4630" s="39" t="s">
        <v>4641</v>
      </c>
      <c r="I4630" s="7">
        <v>0</v>
      </c>
      <c r="J4630" s="17">
        <v>47</v>
      </c>
      <c r="K4630" s="17"/>
      <c r="L4630" s="7">
        <f t="shared" si="1933"/>
        <v>47</v>
      </c>
      <c r="M4630" s="8">
        <v>1</v>
      </c>
      <c r="N4630" s="8">
        <f t="shared" si="1934"/>
        <v>1</v>
      </c>
      <c r="O4630" s="11" t="s">
        <v>1702</v>
      </c>
      <c r="P4630" s="16" t="str">
        <f t="shared" si="1935"/>
        <v>01-Nov-1920</v>
      </c>
      <c r="R4630" s="16" t="str">
        <f t="shared" si="1942"/>
        <v>x</v>
      </c>
      <c r="S4630" s="16" t="str">
        <f t="shared" si="1942"/>
        <v>x</v>
      </c>
      <c r="U4630" s="46" t="str">
        <f t="shared" ref="U4630:X4631" si="1943">IF($O4630=U$5,$L4630,"")</f>
        <v/>
      </c>
      <c r="V4630" s="46">
        <f t="shared" si="1943"/>
        <v>47</v>
      </c>
      <c r="W4630" s="46" t="str">
        <f t="shared" si="1943"/>
        <v/>
      </c>
      <c r="X4630" s="46" t="str">
        <f t="shared" si="1943"/>
        <v/>
      </c>
    </row>
    <row r="4631" spans="2:24" x14ac:dyDescent="0.25">
      <c r="B4631" s="11" t="str">
        <f t="shared" si="1932"/>
        <v>NIAG-23DEC1920</v>
      </c>
      <c r="C4631" s="11" t="s">
        <v>3030</v>
      </c>
      <c r="D4631" s="11" t="s">
        <v>1699</v>
      </c>
      <c r="E4631" s="39" t="s">
        <v>1596</v>
      </c>
      <c r="F4631" s="11" t="s">
        <v>1700</v>
      </c>
      <c r="G4631" s="39" t="s">
        <v>2099</v>
      </c>
      <c r="I4631" s="7">
        <f>5+2</f>
        <v>7</v>
      </c>
      <c r="J4631" s="17">
        <v>81</v>
      </c>
      <c r="K4631" s="17"/>
      <c r="L4631" s="7">
        <f t="shared" si="1933"/>
        <v>88</v>
      </c>
      <c r="M4631" s="8">
        <v>1</v>
      </c>
      <c r="N4631" s="8">
        <f t="shared" si="1934"/>
        <v>1</v>
      </c>
      <c r="O4631" s="11" t="s">
        <v>1702</v>
      </c>
      <c r="P4631" s="16" t="str">
        <f t="shared" si="1935"/>
        <v>23-Dec-1920</v>
      </c>
      <c r="R4631" s="16" t="str">
        <f t="shared" si="1942"/>
        <v>x</v>
      </c>
      <c r="S4631" s="16" t="str">
        <f t="shared" si="1942"/>
        <v>x</v>
      </c>
      <c r="U4631" s="46" t="str">
        <f t="shared" si="1943"/>
        <v/>
      </c>
      <c r="V4631" s="46">
        <f t="shared" si="1943"/>
        <v>88</v>
      </c>
      <c r="W4631" s="46" t="str">
        <f t="shared" si="1943"/>
        <v/>
      </c>
      <c r="X4631" s="46" t="str">
        <f t="shared" si="1943"/>
        <v/>
      </c>
    </row>
    <row r="4632" spans="2:24" x14ac:dyDescent="0.25">
      <c r="N4632" s="8" t="str">
        <f>IF(R4632="x",1,"")</f>
        <v/>
      </c>
      <c r="U4632" s="46" t="str">
        <f t="shared" si="1930"/>
        <v/>
      </c>
      <c r="V4632" s="46" t="str">
        <f t="shared" si="1930"/>
        <v/>
      </c>
      <c r="W4632" s="46" t="str">
        <f t="shared" si="1930"/>
        <v/>
      </c>
      <c r="X4632" s="46" t="str">
        <f t="shared" si="1930"/>
        <v/>
      </c>
    </row>
    <row r="4633" spans="2:24" x14ac:dyDescent="0.25">
      <c r="B4633" s="18"/>
      <c r="C4633" s="18"/>
      <c r="D4633" s="18"/>
      <c r="E4633" s="40"/>
      <c r="F4633" s="18"/>
      <c r="G4633" s="40"/>
      <c r="H4633" s="7">
        <f t="shared" ref="H4633:N4633" si="1944">SUM(H4602:H4632)</f>
        <v>0</v>
      </c>
      <c r="I4633" s="7">
        <f t="shared" si="1944"/>
        <v>35</v>
      </c>
      <c r="J4633" s="7">
        <f>SUM(J4602:J4632)</f>
        <v>1466</v>
      </c>
      <c r="K4633" s="7">
        <f t="shared" si="1944"/>
        <v>0</v>
      </c>
      <c r="L4633" s="7">
        <f t="shared" si="1944"/>
        <v>1501</v>
      </c>
      <c r="M4633" s="7">
        <f t="shared" si="1944"/>
        <v>30</v>
      </c>
      <c r="N4633" s="7">
        <f t="shared" si="1944"/>
        <v>30</v>
      </c>
      <c r="O4633" s="18"/>
      <c r="P4633" s="13"/>
      <c r="Q4633" s="13"/>
      <c r="S4633" s="13"/>
      <c r="T4633" s="15"/>
      <c r="U4633" s="46" t="str">
        <f t="shared" si="1930"/>
        <v/>
      </c>
      <c r="V4633" s="46" t="str">
        <f t="shared" si="1930"/>
        <v/>
      </c>
      <c r="W4633" s="46" t="str">
        <f t="shared" si="1930"/>
        <v/>
      </c>
      <c r="X4633" s="46" t="str">
        <f t="shared" si="1930"/>
        <v/>
      </c>
    </row>
    <row r="4634" spans="2:24" x14ac:dyDescent="0.25">
      <c r="B4634" s="18"/>
      <c r="C4634" s="18"/>
      <c r="D4634" s="18"/>
      <c r="E4634" s="40"/>
      <c r="F4634" s="18"/>
      <c r="G4634" s="40"/>
      <c r="N4634" s="8" t="str">
        <f>IF(R4634="x",1,"")</f>
        <v/>
      </c>
      <c r="O4634" s="18"/>
      <c r="P4634" s="13"/>
      <c r="Q4634" s="13"/>
      <c r="R4634" s="13"/>
      <c r="S4634" s="13"/>
      <c r="T4634" s="15"/>
      <c r="U4634" s="46" t="str">
        <f t="shared" si="1930"/>
        <v/>
      </c>
      <c r="V4634" s="46" t="str">
        <f t="shared" si="1930"/>
        <v/>
      </c>
      <c r="W4634" s="46" t="str">
        <f t="shared" si="1930"/>
        <v/>
      </c>
      <c r="X4634" s="46" t="str">
        <f t="shared" si="1930"/>
        <v/>
      </c>
    </row>
    <row r="4635" spans="2:24" x14ac:dyDescent="0.25">
      <c r="B4635" s="18"/>
      <c r="C4635" s="18"/>
      <c r="D4635" s="18"/>
      <c r="E4635" s="40"/>
      <c r="F4635" s="18"/>
      <c r="G4635" s="40"/>
      <c r="N4635" s="8" t="str">
        <f>IF(R4635="x",1,"")</f>
        <v/>
      </c>
      <c r="O4635" s="18"/>
      <c r="P4635" s="13"/>
      <c r="Q4635" s="13"/>
      <c r="R4635" s="13"/>
      <c r="S4635" s="13"/>
      <c r="T4635" s="15"/>
      <c r="U4635" s="46" t="str">
        <f t="shared" si="1930"/>
        <v/>
      </c>
      <c r="V4635" s="46" t="str">
        <f t="shared" si="1930"/>
        <v/>
      </c>
      <c r="W4635" s="46" t="str">
        <f t="shared" si="1930"/>
        <v/>
      </c>
      <c r="X4635" s="46" t="str">
        <f t="shared" si="1930"/>
        <v/>
      </c>
    </row>
    <row r="4636" spans="2:24" x14ac:dyDescent="0.25">
      <c r="B4636" s="11" t="str">
        <f t="shared" ref="B4636:B4642" si="1945">CONCATENATE("NAMS","-",LEFT(P4636,2),UPPER(MID(P4636,4,3)),RIGHT(P4636,4))</f>
        <v>NAMS-15MAR1907</v>
      </c>
      <c r="C4636" s="11" t="s">
        <v>4610</v>
      </c>
      <c r="D4636" s="11" t="s">
        <v>2103</v>
      </c>
      <c r="E4636" s="39" t="s">
        <v>1453</v>
      </c>
      <c r="F4636" s="11" t="s">
        <v>1700</v>
      </c>
      <c r="G4636" s="39" t="s">
        <v>5890</v>
      </c>
      <c r="H4636" s="7">
        <v>0</v>
      </c>
      <c r="I4636" s="7">
        <v>1</v>
      </c>
      <c r="J4636" s="17">
        <v>5</v>
      </c>
      <c r="K4636" s="17"/>
      <c r="L4636" s="7">
        <f t="shared" ref="L4636:L4642" si="1946">SUM(H4636:K4636)</f>
        <v>6</v>
      </c>
      <c r="M4636" s="8">
        <v>1</v>
      </c>
      <c r="N4636" s="8">
        <f t="shared" ref="N4636:N4642" si="1947">IF(L4636&gt;0,1,"")</f>
        <v>1</v>
      </c>
      <c r="O4636" s="11" t="s">
        <v>1702</v>
      </c>
      <c r="P4636" s="16" t="str">
        <f t="shared" ref="P4636:P4642" si="1948">IF(LEN(G4636)=10,CONCATENATE("0",G4636),G4636)</f>
        <v>15-Mar-1907</v>
      </c>
      <c r="R4636" s="16" t="str">
        <f t="shared" ref="R4636:S4638" si="1949">IF($L4636&gt;0,"x","")</f>
        <v>x</v>
      </c>
      <c r="S4636" s="16" t="str">
        <f t="shared" si="1949"/>
        <v>x</v>
      </c>
      <c r="U4636" s="46" t="str">
        <f t="shared" si="1930"/>
        <v/>
      </c>
      <c r="V4636" s="46">
        <f t="shared" si="1930"/>
        <v>6</v>
      </c>
      <c r="W4636" s="46" t="str">
        <f t="shared" si="1930"/>
        <v/>
      </c>
      <c r="X4636" s="46" t="str">
        <f t="shared" si="1930"/>
        <v/>
      </c>
    </row>
    <row r="4637" spans="2:24" x14ac:dyDescent="0.25">
      <c r="B4637" s="11" t="str">
        <f>CONCATENATE("NAMS","-",LEFT(P4637,2),UPPER(MID(P4637,4,3)),RIGHT(P4637,4))</f>
        <v>NAMS-04NOV1919</v>
      </c>
      <c r="C4637" s="11" t="s">
        <v>4610</v>
      </c>
      <c r="D4637" s="11" t="s">
        <v>2103</v>
      </c>
      <c r="E4637" s="39" t="s">
        <v>5459</v>
      </c>
      <c r="F4637" s="11" t="s">
        <v>1700</v>
      </c>
      <c r="G4637" s="39" t="s">
        <v>5464</v>
      </c>
      <c r="H4637" s="7">
        <v>0</v>
      </c>
      <c r="I4637" s="7">
        <v>0</v>
      </c>
      <c r="J4637" s="17">
        <v>0</v>
      </c>
      <c r="K4637" s="17"/>
      <c r="L4637" s="7">
        <f>SUM(H4637:K4637)</f>
        <v>0</v>
      </c>
      <c r="M4637" s="8">
        <v>1</v>
      </c>
      <c r="N4637" s="8" t="str">
        <f>IF(L4637&gt;0,1,"")</f>
        <v/>
      </c>
      <c r="O4637" s="11" t="s">
        <v>1702</v>
      </c>
      <c r="P4637" s="16" t="str">
        <f>IF(LEN(G4637)=10,CONCATENATE("0",G4637),G4637)</f>
        <v>04-Nov-1919</v>
      </c>
      <c r="R4637" s="16" t="str">
        <f t="shared" si="1949"/>
        <v/>
      </c>
      <c r="S4637" s="16" t="str">
        <f t="shared" si="1949"/>
        <v/>
      </c>
      <c r="U4637" s="46" t="str">
        <f>IF($O4637=U$5,$L4637,"")</f>
        <v/>
      </c>
      <c r="V4637" s="46">
        <f>IF($O4637=V$5,$L4637,"")</f>
        <v>0</v>
      </c>
      <c r="W4637" s="46" t="str">
        <f>IF($O4637=W$5,$L4637,"")</f>
        <v/>
      </c>
      <c r="X4637" s="46" t="str">
        <f>IF($O4637=X$5,$L4637,"")</f>
        <v/>
      </c>
    </row>
    <row r="4638" spans="2:24" x14ac:dyDescent="0.25">
      <c r="B4638" s="11" t="str">
        <f t="shared" si="1945"/>
        <v>NAMS-04NOV1919</v>
      </c>
      <c r="C4638" s="11" t="s">
        <v>4610</v>
      </c>
      <c r="D4638" s="11" t="s">
        <v>5462</v>
      </c>
      <c r="E4638" s="39" t="s">
        <v>5463</v>
      </c>
      <c r="F4638" s="11" t="s">
        <v>1700</v>
      </c>
      <c r="G4638" s="39" t="s">
        <v>5464</v>
      </c>
      <c r="H4638" s="7">
        <v>0</v>
      </c>
      <c r="I4638" s="7">
        <v>1</v>
      </c>
      <c r="J4638" s="17"/>
      <c r="K4638" s="17"/>
      <c r="L4638" s="7">
        <f t="shared" si="1946"/>
        <v>1</v>
      </c>
      <c r="M4638" s="8">
        <v>1</v>
      </c>
      <c r="N4638" s="8">
        <f t="shared" si="1947"/>
        <v>1</v>
      </c>
      <c r="O4638" s="11" t="s">
        <v>1702</v>
      </c>
      <c r="P4638" s="16" t="str">
        <f t="shared" si="1948"/>
        <v>04-Nov-1919</v>
      </c>
      <c r="R4638" s="16" t="str">
        <f t="shared" si="1949"/>
        <v>x</v>
      </c>
      <c r="S4638" s="16" t="str">
        <f t="shared" si="1949"/>
        <v>x</v>
      </c>
      <c r="U4638" s="46" t="str">
        <f t="shared" ref="U4638:X4639" si="1950">IF($O4638=U$5,$L4638,"")</f>
        <v/>
      </c>
      <c r="V4638" s="46">
        <f t="shared" si="1950"/>
        <v>1</v>
      </c>
      <c r="W4638" s="46" t="str">
        <f t="shared" si="1950"/>
        <v/>
      </c>
      <c r="X4638" s="46" t="str">
        <f t="shared" si="1950"/>
        <v/>
      </c>
    </row>
    <row r="4639" spans="2:24" x14ac:dyDescent="0.25">
      <c r="B4639" s="11" t="str">
        <f t="shared" si="1945"/>
        <v>NAMS-17NOV1920</v>
      </c>
      <c r="C4639" s="11" t="s">
        <v>4610</v>
      </c>
      <c r="D4639" s="11" t="s">
        <v>2103</v>
      </c>
      <c r="E4639" s="39" t="s">
        <v>3975</v>
      </c>
      <c r="F4639" s="11" t="s">
        <v>1700</v>
      </c>
      <c r="G4639" s="39" t="s">
        <v>2574</v>
      </c>
      <c r="H4639" s="7">
        <v>2</v>
      </c>
      <c r="I4639" s="7">
        <v>4</v>
      </c>
      <c r="J4639" s="17">
        <v>0</v>
      </c>
      <c r="K4639" s="17"/>
      <c r="L4639" s="7">
        <f t="shared" si="1946"/>
        <v>6</v>
      </c>
      <c r="M4639" s="8">
        <v>1</v>
      </c>
      <c r="N4639" s="8">
        <f t="shared" si="1947"/>
        <v>1</v>
      </c>
      <c r="O4639" s="11" t="s">
        <v>1702</v>
      </c>
      <c r="P4639" s="16" t="str">
        <f t="shared" si="1948"/>
        <v>17-Nov-1920</v>
      </c>
      <c r="R4639" s="16" t="str">
        <f t="shared" ref="R4639:S4642" si="1951">IF($L4639&gt;0,"x","")</f>
        <v>x</v>
      </c>
      <c r="S4639" s="16" t="str">
        <f t="shared" si="1951"/>
        <v>x</v>
      </c>
      <c r="U4639" s="46" t="str">
        <f t="shared" si="1950"/>
        <v/>
      </c>
      <c r="V4639" s="46">
        <f t="shared" si="1950"/>
        <v>6</v>
      </c>
      <c r="W4639" s="46" t="str">
        <f t="shared" si="1950"/>
        <v/>
      </c>
      <c r="X4639" s="46" t="str">
        <f t="shared" si="1950"/>
        <v/>
      </c>
    </row>
    <row r="4640" spans="2:24" x14ac:dyDescent="0.25">
      <c r="B4640" s="11" t="str">
        <f t="shared" si="1945"/>
        <v>NAMS-13FEB1921</v>
      </c>
      <c r="C4640" s="11" t="s">
        <v>4610</v>
      </c>
      <c r="D4640" s="11" t="s">
        <v>2103</v>
      </c>
      <c r="E4640" s="39" t="s">
        <v>3113</v>
      </c>
      <c r="F4640" s="11" t="s">
        <v>1700</v>
      </c>
      <c r="G4640" s="39" t="s">
        <v>5363</v>
      </c>
      <c r="H4640" s="7">
        <v>0</v>
      </c>
      <c r="I4640" s="7">
        <v>3</v>
      </c>
      <c r="L4640" s="7">
        <f t="shared" si="1946"/>
        <v>3</v>
      </c>
      <c r="M4640" s="8">
        <v>1</v>
      </c>
      <c r="N4640" s="8">
        <f t="shared" si="1947"/>
        <v>1</v>
      </c>
      <c r="O4640" s="11" t="s">
        <v>1702</v>
      </c>
      <c r="P4640" s="16" t="str">
        <f t="shared" si="1948"/>
        <v>13-Feb-1921</v>
      </c>
      <c r="R4640" s="16" t="str">
        <f>IF($L4640&gt;0,"x","")</f>
        <v>x</v>
      </c>
      <c r="S4640" s="16" t="str">
        <f>IF($L4640&gt;0,"x","")</f>
        <v>x</v>
      </c>
      <c r="U4640" s="46" t="str">
        <f t="shared" ref="U4640:X4643" si="1952">IF($O4640=U$5,$L4640,"")</f>
        <v/>
      </c>
      <c r="V4640" s="46">
        <f t="shared" si="1952"/>
        <v>3</v>
      </c>
      <c r="W4640" s="46" t="str">
        <f t="shared" si="1952"/>
        <v/>
      </c>
      <c r="X4640" s="46" t="str">
        <f t="shared" si="1952"/>
        <v/>
      </c>
    </row>
    <row r="4641" spans="2:24" x14ac:dyDescent="0.25">
      <c r="B4641" s="11" t="str">
        <f t="shared" si="1945"/>
        <v>NAMS-04AUG1923</v>
      </c>
      <c r="C4641" s="11" t="s">
        <v>4610</v>
      </c>
      <c r="D4641" s="11" t="s">
        <v>2103</v>
      </c>
      <c r="E4641" s="39" t="s">
        <v>4901</v>
      </c>
      <c r="F4641" s="11" t="s">
        <v>1700</v>
      </c>
      <c r="G4641" s="39" t="s">
        <v>4902</v>
      </c>
      <c r="H4641" s="7">
        <v>0</v>
      </c>
      <c r="I4641" s="7">
        <v>0</v>
      </c>
      <c r="J4641" s="7">
        <v>14</v>
      </c>
      <c r="L4641" s="7">
        <f t="shared" si="1946"/>
        <v>14</v>
      </c>
      <c r="M4641" s="8">
        <v>1</v>
      </c>
      <c r="N4641" s="8">
        <f t="shared" si="1947"/>
        <v>1</v>
      </c>
      <c r="O4641" s="11" t="s">
        <v>1702</v>
      </c>
      <c r="P4641" s="16" t="str">
        <f t="shared" si="1948"/>
        <v>04-Aug-1923</v>
      </c>
      <c r="R4641" s="16" t="str">
        <f t="shared" si="1951"/>
        <v>x</v>
      </c>
      <c r="S4641" s="16" t="str">
        <f t="shared" si="1951"/>
        <v>x</v>
      </c>
      <c r="U4641" s="46" t="str">
        <f t="shared" si="1952"/>
        <v/>
      </c>
      <c r="V4641" s="46">
        <f t="shared" si="1952"/>
        <v>14</v>
      </c>
      <c r="W4641" s="46" t="str">
        <f t="shared" si="1952"/>
        <v/>
      </c>
      <c r="X4641" s="46" t="str">
        <f t="shared" si="1952"/>
        <v/>
      </c>
    </row>
    <row r="4642" spans="2:24" x14ac:dyDescent="0.25">
      <c r="B4642" s="11" t="str">
        <f t="shared" si="1945"/>
        <v>NAMS-31JAN1925</v>
      </c>
      <c r="C4642" s="11" t="s">
        <v>4610</v>
      </c>
      <c r="D4642" s="11" t="s">
        <v>2103</v>
      </c>
      <c r="E4642" s="39" t="s">
        <v>4608</v>
      </c>
      <c r="F4642" s="11" t="s">
        <v>1700</v>
      </c>
      <c r="G4642" s="39" t="s">
        <v>4609</v>
      </c>
      <c r="H4642" s="7">
        <v>0</v>
      </c>
      <c r="I4642" s="7">
        <v>2</v>
      </c>
      <c r="J4642" s="7">
        <f>0+1</f>
        <v>1</v>
      </c>
      <c r="L4642" s="7">
        <f t="shared" si="1946"/>
        <v>3</v>
      </c>
      <c r="M4642" s="8">
        <v>1</v>
      </c>
      <c r="N4642" s="8">
        <f t="shared" si="1947"/>
        <v>1</v>
      </c>
      <c r="O4642" s="11" t="s">
        <v>1702</v>
      </c>
      <c r="P4642" s="16" t="str">
        <f t="shared" si="1948"/>
        <v>31-Jan-1925</v>
      </c>
      <c r="R4642" s="16" t="str">
        <f t="shared" si="1951"/>
        <v>x</v>
      </c>
      <c r="S4642" s="16" t="str">
        <f t="shared" si="1951"/>
        <v>x</v>
      </c>
      <c r="U4642" s="46" t="str">
        <f t="shared" si="1952"/>
        <v/>
      </c>
      <c r="V4642" s="46">
        <f t="shared" si="1952"/>
        <v>3</v>
      </c>
      <c r="W4642" s="46" t="str">
        <f t="shared" si="1952"/>
        <v/>
      </c>
      <c r="X4642" s="46" t="str">
        <f t="shared" si="1952"/>
        <v/>
      </c>
    </row>
    <row r="4643" spans="2:24" x14ac:dyDescent="0.25">
      <c r="B4643" s="11" t="str">
        <f>CONCATENATE("NAMS","-",LEFT(P4643,2),UPPER(MID(P4643,4,3)),RIGHT(P4643,4))</f>
        <v>NAMS-21JUL1927</v>
      </c>
      <c r="C4643" s="11" t="s">
        <v>4610</v>
      </c>
      <c r="D4643" s="11" t="s">
        <v>2103</v>
      </c>
      <c r="E4643" s="39" t="s">
        <v>11391</v>
      </c>
      <c r="F4643" s="11" t="s">
        <v>2904</v>
      </c>
      <c r="G4643" s="39" t="s">
        <v>6134</v>
      </c>
      <c r="H4643" s="7">
        <v>0</v>
      </c>
      <c r="J4643" s="7">
        <v>2</v>
      </c>
      <c r="L4643" s="7">
        <f>SUM(H4643:K4643)</f>
        <v>2</v>
      </c>
      <c r="M4643" s="8">
        <v>1</v>
      </c>
      <c r="N4643" s="8">
        <f>IF(L4643&gt;0,1,"")</f>
        <v>1</v>
      </c>
      <c r="O4643" s="11" t="s">
        <v>1702</v>
      </c>
      <c r="P4643" s="16" t="str">
        <f>IF(LEN(G4643)=10,CONCATENATE("0",G4643),G4643)</f>
        <v>21-Jul-1927</v>
      </c>
      <c r="R4643" s="16" t="str">
        <f>IF($L4643&gt;0,"x","")</f>
        <v>x</v>
      </c>
      <c r="S4643" s="16" t="str">
        <f>IF($L4643&gt;0,"x","")</f>
        <v>x</v>
      </c>
      <c r="U4643" s="46" t="str">
        <f t="shared" si="1952"/>
        <v/>
      </c>
      <c r="V4643" s="46">
        <f t="shared" si="1952"/>
        <v>2</v>
      </c>
      <c r="W4643" s="46" t="str">
        <f t="shared" si="1952"/>
        <v/>
      </c>
      <c r="X4643" s="46" t="str">
        <f t="shared" si="1952"/>
        <v/>
      </c>
    </row>
    <row r="4644" spans="2:24" x14ac:dyDescent="0.25">
      <c r="N4644" s="8" t="str">
        <f>IF(R4644="x",1,"")</f>
        <v/>
      </c>
      <c r="U4644" s="46" t="str">
        <f t="shared" si="1930"/>
        <v/>
      </c>
      <c r="V4644" s="46" t="str">
        <f t="shared" si="1930"/>
        <v/>
      </c>
      <c r="W4644" s="46" t="str">
        <f t="shared" si="1930"/>
        <v/>
      </c>
      <c r="X4644" s="46" t="str">
        <f t="shared" si="1930"/>
        <v/>
      </c>
    </row>
    <row r="4645" spans="2:24" x14ac:dyDescent="0.25">
      <c r="B4645" s="18"/>
      <c r="C4645" s="18"/>
      <c r="D4645" s="18"/>
      <c r="E4645" s="40"/>
      <c r="F4645" s="18"/>
      <c r="G4645" s="40"/>
      <c r="H4645" s="7">
        <f t="shared" ref="H4645:N4645" si="1953">SUM(H4636:H4644)</f>
        <v>2</v>
      </c>
      <c r="I4645" s="7">
        <f t="shared" si="1953"/>
        <v>11</v>
      </c>
      <c r="J4645" s="7">
        <f>SUM(J4636:J4644)</f>
        <v>22</v>
      </c>
      <c r="K4645" s="7">
        <f t="shared" si="1953"/>
        <v>0</v>
      </c>
      <c r="L4645" s="7">
        <f t="shared" si="1953"/>
        <v>35</v>
      </c>
      <c r="M4645" s="7">
        <f t="shared" si="1953"/>
        <v>8</v>
      </c>
      <c r="N4645" s="7">
        <f t="shared" si="1953"/>
        <v>7</v>
      </c>
      <c r="O4645" s="18"/>
      <c r="P4645" s="13"/>
      <c r="Q4645" s="13"/>
      <c r="S4645" s="13"/>
      <c r="T4645" s="15"/>
      <c r="U4645" s="46" t="str">
        <f t="shared" si="1930"/>
        <v/>
      </c>
      <c r="V4645" s="46" t="str">
        <f t="shared" si="1930"/>
        <v/>
      </c>
      <c r="W4645" s="46" t="str">
        <f t="shared" si="1930"/>
        <v/>
      </c>
      <c r="X4645" s="46" t="str">
        <f t="shared" si="1930"/>
        <v/>
      </c>
    </row>
    <row r="4646" spans="2:24" x14ac:dyDescent="0.25">
      <c r="B4646" s="18"/>
      <c r="C4646" s="18"/>
      <c r="D4646" s="18"/>
      <c r="E4646" s="40"/>
      <c r="F4646" s="18"/>
      <c r="G4646" s="40"/>
      <c r="N4646" s="8" t="str">
        <f>IF(R4646="x",1,"")</f>
        <v/>
      </c>
      <c r="O4646" s="18"/>
      <c r="P4646" s="13"/>
      <c r="Q4646" s="13"/>
      <c r="R4646" s="13"/>
      <c r="S4646" s="13"/>
      <c r="T4646" s="15"/>
      <c r="U4646" s="46" t="str">
        <f t="shared" ref="U4646:X4652" si="1954">IF($O4646=U$5,$L4646,"")</f>
        <v/>
      </c>
      <c r="V4646" s="46" t="str">
        <f t="shared" si="1954"/>
        <v/>
      </c>
      <c r="W4646" s="46" t="str">
        <f t="shared" si="1954"/>
        <v/>
      </c>
      <c r="X4646" s="46" t="str">
        <f t="shared" si="1954"/>
        <v/>
      </c>
    </row>
    <row r="4647" spans="2:24" x14ac:dyDescent="0.25">
      <c r="B4647" s="18"/>
      <c r="C4647" s="18"/>
      <c r="D4647" s="18"/>
      <c r="E4647" s="40"/>
      <c r="F4647" s="18"/>
      <c r="G4647" s="40"/>
      <c r="N4647" s="8" t="str">
        <f>IF(R4647="x",1,"")</f>
        <v/>
      </c>
      <c r="O4647" s="18"/>
      <c r="P4647" s="13"/>
      <c r="Q4647" s="13"/>
      <c r="R4647" s="13"/>
      <c r="S4647" s="13"/>
      <c r="T4647" s="15"/>
      <c r="U4647" s="46" t="str">
        <f t="shared" si="1954"/>
        <v/>
      </c>
      <c r="V4647" s="46" t="str">
        <f t="shared" si="1954"/>
        <v/>
      </c>
      <c r="W4647" s="46" t="str">
        <f t="shared" si="1954"/>
        <v/>
      </c>
      <c r="X4647" s="46" t="str">
        <f t="shared" si="1954"/>
        <v/>
      </c>
    </row>
    <row r="4648" spans="2:24" x14ac:dyDescent="0.25">
      <c r="B4648" s="11" t="str">
        <f>CONCATENATE("NIMR","-",LEFT(P4648,2),UPPER(MID(P4648,4,3)),RIGHT(P4648,4))</f>
        <v>NIMR-18NOV1916</v>
      </c>
      <c r="C4648" s="11" t="s">
        <v>5390</v>
      </c>
      <c r="D4648" s="11" t="s">
        <v>2440</v>
      </c>
      <c r="E4648" s="39" t="s">
        <v>3000</v>
      </c>
      <c r="F4648" s="11" t="s">
        <v>2441</v>
      </c>
      <c r="G4648" s="39" t="s">
        <v>5446</v>
      </c>
      <c r="H4648" s="7">
        <v>0</v>
      </c>
      <c r="I4648" s="7">
        <v>0</v>
      </c>
      <c r="J4648" s="17">
        <v>6</v>
      </c>
      <c r="K4648" s="17"/>
      <c r="L4648" s="7">
        <f>SUM(H4648:K4648)</f>
        <v>6</v>
      </c>
      <c r="M4648" s="8">
        <v>1</v>
      </c>
      <c r="N4648" s="8">
        <f>IF(L4648&gt;0,1,"")</f>
        <v>1</v>
      </c>
      <c r="O4648" s="11" t="s">
        <v>1702</v>
      </c>
      <c r="P4648" s="16" t="str">
        <f>IF(LEN(G4648)=10,CONCATENATE("0",G4648),G4648)</f>
        <v>18-Nov-1916</v>
      </c>
      <c r="R4648" s="16" t="str">
        <f t="shared" ref="R4648:S4650" si="1955">IF($L4648&gt;0,"x","")</f>
        <v>x</v>
      </c>
      <c r="S4648" s="16" t="str">
        <f t="shared" si="1955"/>
        <v>x</v>
      </c>
      <c r="U4648" s="46" t="str">
        <f t="shared" si="1954"/>
        <v/>
      </c>
      <c r="V4648" s="46">
        <f t="shared" si="1954"/>
        <v>6</v>
      </c>
      <c r="W4648" s="46" t="str">
        <f t="shared" si="1954"/>
        <v/>
      </c>
      <c r="X4648" s="46" t="str">
        <f t="shared" si="1954"/>
        <v/>
      </c>
    </row>
    <row r="4649" spans="2:24" x14ac:dyDescent="0.25">
      <c r="B4649" s="11" t="str">
        <f>CONCATENATE("NIMR","-",LEFT(P4649,2),UPPER(MID(P4649,4,3)),RIGHT(P4649,4))</f>
        <v>NIMR-20SEP1917</v>
      </c>
      <c r="C4649" s="11" t="s">
        <v>5390</v>
      </c>
      <c r="D4649" s="11" t="s">
        <v>2440</v>
      </c>
      <c r="E4649" s="39" t="s">
        <v>5675</v>
      </c>
      <c r="F4649" s="11" t="s">
        <v>2441</v>
      </c>
      <c r="G4649" s="39" t="s">
        <v>5676</v>
      </c>
      <c r="H4649" s="7">
        <v>0</v>
      </c>
      <c r="J4649" s="17">
        <v>7</v>
      </c>
      <c r="K4649" s="17"/>
      <c r="L4649" s="7">
        <f>SUM(H4649:K4649)</f>
        <v>7</v>
      </c>
      <c r="M4649" s="8">
        <v>1</v>
      </c>
      <c r="N4649" s="8">
        <f>IF(L4649&gt;0,1,"")</f>
        <v>1</v>
      </c>
      <c r="O4649" s="11" t="s">
        <v>1702</v>
      </c>
      <c r="P4649" s="16" t="str">
        <f>IF(LEN(G4649)=10,CONCATENATE("0",G4649),G4649)</f>
        <v>20-Sep-1917</v>
      </c>
      <c r="R4649" s="16" t="str">
        <f t="shared" si="1955"/>
        <v>x</v>
      </c>
      <c r="S4649" s="16" t="str">
        <f t="shared" si="1955"/>
        <v>x</v>
      </c>
      <c r="U4649" s="46" t="str">
        <f t="shared" si="1954"/>
        <v/>
      </c>
      <c r="V4649" s="46">
        <f t="shared" si="1954"/>
        <v>7</v>
      </c>
      <c r="W4649" s="46" t="str">
        <f t="shared" si="1954"/>
        <v/>
      </c>
      <c r="X4649" s="46" t="str">
        <f t="shared" si="1954"/>
        <v/>
      </c>
    </row>
    <row r="4650" spans="2:24" x14ac:dyDescent="0.25">
      <c r="B4650" s="11" t="str">
        <f>CONCATENATE("NIMR","-",LEFT(P4650,2),UPPER(MID(P4650,4,3)),RIGHT(P4650,4))</f>
        <v>NIMR-03AUG1919</v>
      </c>
      <c r="C4650" s="11" t="s">
        <v>5390</v>
      </c>
      <c r="D4650" s="11" t="s">
        <v>2440</v>
      </c>
      <c r="E4650" s="39" t="s">
        <v>5211</v>
      </c>
      <c r="F4650" s="11" t="s">
        <v>2441</v>
      </c>
      <c r="G4650" s="39" t="s">
        <v>5391</v>
      </c>
      <c r="H4650" s="7">
        <v>0</v>
      </c>
      <c r="J4650" s="17">
        <v>2</v>
      </c>
      <c r="K4650" s="17"/>
      <c r="L4650" s="7">
        <f>SUM(H4650:K4650)</f>
        <v>2</v>
      </c>
      <c r="M4650" s="8">
        <v>1</v>
      </c>
      <c r="N4650" s="8">
        <f>IF(L4650&gt;0,1,"")</f>
        <v>1</v>
      </c>
      <c r="O4650" s="11" t="s">
        <v>1702</v>
      </c>
      <c r="P4650" s="16" t="str">
        <f>IF(LEN(G4650)=10,CONCATENATE("0",G4650),G4650)</f>
        <v>03-Aug-1919</v>
      </c>
      <c r="R4650" s="16" t="str">
        <f t="shared" si="1955"/>
        <v>x</v>
      </c>
      <c r="S4650" s="16" t="str">
        <f t="shared" si="1955"/>
        <v>x</v>
      </c>
      <c r="U4650" s="46" t="str">
        <f t="shared" si="1954"/>
        <v/>
      </c>
      <c r="V4650" s="46">
        <f t="shared" si="1954"/>
        <v>2</v>
      </c>
      <c r="W4650" s="46" t="str">
        <f t="shared" si="1954"/>
        <v/>
      </c>
      <c r="X4650" s="46" t="str">
        <f t="shared" si="1954"/>
        <v/>
      </c>
    </row>
    <row r="4651" spans="2:24" x14ac:dyDescent="0.25">
      <c r="N4651" s="8" t="str">
        <f>IF(R4651="x",1,"")</f>
        <v/>
      </c>
      <c r="U4651" s="46" t="str">
        <f t="shared" si="1954"/>
        <v/>
      </c>
      <c r="V4651" s="46" t="str">
        <f t="shared" si="1954"/>
        <v/>
      </c>
      <c r="W4651" s="46" t="str">
        <f t="shared" si="1954"/>
        <v/>
      </c>
      <c r="X4651" s="46" t="str">
        <f t="shared" si="1954"/>
        <v/>
      </c>
    </row>
    <row r="4652" spans="2:24" x14ac:dyDescent="0.25">
      <c r="B4652" s="18"/>
      <c r="C4652" s="18"/>
      <c r="D4652" s="18"/>
      <c r="E4652" s="40"/>
      <c r="F4652" s="18"/>
      <c r="G4652" s="40"/>
      <c r="H4652" s="7">
        <f t="shared" ref="H4652:N4652" si="1956">SUM(H4648:H4651)</f>
        <v>0</v>
      </c>
      <c r="I4652" s="7">
        <f t="shared" si="1956"/>
        <v>0</v>
      </c>
      <c r="J4652" s="7">
        <f>SUM(J4648:J4651)</f>
        <v>15</v>
      </c>
      <c r="K4652" s="7">
        <f t="shared" si="1956"/>
        <v>0</v>
      </c>
      <c r="L4652" s="7">
        <f t="shared" si="1956"/>
        <v>15</v>
      </c>
      <c r="M4652" s="7">
        <f t="shared" si="1956"/>
        <v>3</v>
      </c>
      <c r="N4652" s="7">
        <f t="shared" si="1956"/>
        <v>3</v>
      </c>
      <c r="O4652" s="18"/>
      <c r="P4652" s="13"/>
      <c r="Q4652" s="13"/>
      <c r="S4652" s="13"/>
      <c r="T4652" s="15"/>
      <c r="U4652" s="46" t="str">
        <f t="shared" si="1954"/>
        <v/>
      </c>
      <c r="V4652" s="46" t="str">
        <f t="shared" si="1954"/>
        <v/>
      </c>
      <c r="W4652" s="46" t="str">
        <f t="shared" si="1954"/>
        <v/>
      </c>
      <c r="X4652" s="46" t="str">
        <f t="shared" si="1954"/>
        <v/>
      </c>
    </row>
    <row r="4653" spans="2:24" x14ac:dyDescent="0.25">
      <c r="B4653" s="18"/>
      <c r="C4653" s="18"/>
      <c r="D4653" s="18"/>
      <c r="E4653" s="40"/>
      <c r="F4653" s="18"/>
      <c r="G4653" s="40"/>
      <c r="N4653" s="8" t="str">
        <f>IF(R4653="x",1,"")</f>
        <v/>
      </c>
      <c r="O4653" s="18"/>
      <c r="P4653" s="13"/>
      <c r="Q4653" s="13"/>
      <c r="R4653" s="13"/>
      <c r="S4653" s="13"/>
      <c r="T4653" s="15"/>
      <c r="U4653" s="46" t="str">
        <f t="shared" si="1930"/>
        <v/>
      </c>
      <c r="V4653" s="46" t="str">
        <f t="shared" si="1930"/>
        <v/>
      </c>
      <c r="W4653" s="46" t="str">
        <f t="shared" si="1930"/>
        <v/>
      </c>
      <c r="X4653" s="46" t="str">
        <f t="shared" si="1930"/>
        <v/>
      </c>
    </row>
    <row r="4654" spans="2:24" x14ac:dyDescent="0.25">
      <c r="B4654" s="18"/>
      <c r="C4654" s="18"/>
      <c r="D4654" s="18"/>
      <c r="E4654" s="40"/>
      <c r="F4654" s="18"/>
      <c r="G4654" s="40"/>
      <c r="N4654" s="8" t="str">
        <f>IF(R4654="x",1,"")</f>
        <v/>
      </c>
      <c r="O4654" s="18"/>
      <c r="P4654" s="13"/>
      <c r="Q4654" s="13"/>
      <c r="R4654" s="13"/>
      <c r="S4654" s="13"/>
      <c r="T4654" s="15"/>
      <c r="U4654" s="46" t="str">
        <f t="shared" si="1930"/>
        <v/>
      </c>
      <c r="V4654" s="46" t="str">
        <f t="shared" si="1930"/>
        <v/>
      </c>
      <c r="W4654" s="46" t="str">
        <f t="shared" si="1930"/>
        <v/>
      </c>
      <c r="X4654" s="46" t="str">
        <f t="shared" si="1930"/>
        <v/>
      </c>
    </row>
    <row r="4655" spans="2:24" x14ac:dyDescent="0.25">
      <c r="B4655" s="11" t="str">
        <f t="shared" ref="B4655:B4660" si="1957">CONCATENATE("NOOR","-",LEFT(P4655,2),UPPER(MID(P4655,4,3)),RIGHT(P4655,4))</f>
        <v>NOOR-25MAR1903</v>
      </c>
      <c r="C4655" s="11" t="s">
        <v>3559</v>
      </c>
      <c r="D4655" s="11" t="s">
        <v>2103</v>
      </c>
      <c r="E4655" s="39" t="s">
        <v>3989</v>
      </c>
      <c r="F4655" s="11" t="s">
        <v>1700</v>
      </c>
      <c r="G4655" s="39" t="s">
        <v>3990</v>
      </c>
      <c r="I4655" s="7">
        <v>0</v>
      </c>
      <c r="J4655" s="17">
        <v>9</v>
      </c>
      <c r="K4655" s="17"/>
      <c r="L4655" s="7">
        <f t="shared" ref="L4655:L4660" si="1958">SUM(H4655:K4655)</f>
        <v>9</v>
      </c>
      <c r="M4655" s="8">
        <v>1</v>
      </c>
      <c r="N4655" s="8">
        <f t="shared" ref="N4655:N4660" si="1959">IF(L4655&gt;0,1,"")</f>
        <v>1</v>
      </c>
      <c r="O4655" s="11" t="s">
        <v>1702</v>
      </c>
      <c r="P4655" s="16" t="str">
        <f t="shared" ref="P4655:P4660" si="1960">IF(LEN(G4655)=10,CONCATENATE("0",G4655),G4655)</f>
        <v>25-Mar-1903</v>
      </c>
      <c r="R4655" s="16" t="str">
        <f t="shared" ref="R4655:S4660" si="1961">IF($L4655&gt;0,"x","")</f>
        <v>x</v>
      </c>
      <c r="S4655" s="16" t="str">
        <f t="shared" si="1961"/>
        <v>x</v>
      </c>
      <c r="U4655" s="46" t="str">
        <f t="shared" si="1930"/>
        <v/>
      </c>
      <c r="V4655" s="46">
        <f t="shared" si="1930"/>
        <v>9</v>
      </c>
      <c r="W4655" s="46" t="str">
        <f t="shared" si="1930"/>
        <v/>
      </c>
      <c r="X4655" s="46" t="str">
        <f t="shared" si="1930"/>
        <v/>
      </c>
    </row>
    <row r="4656" spans="2:24" x14ac:dyDescent="0.25">
      <c r="B4656" s="11" t="str">
        <f t="shared" si="1957"/>
        <v>NOOR-12NOV1906</v>
      </c>
      <c r="C4656" s="11" t="s">
        <v>3559</v>
      </c>
      <c r="D4656" s="11" t="s">
        <v>2103</v>
      </c>
      <c r="E4656" s="39" t="s">
        <v>2714</v>
      </c>
      <c r="F4656" s="11" t="s">
        <v>1700</v>
      </c>
      <c r="G4656" s="39" t="s">
        <v>4793</v>
      </c>
      <c r="H4656" s="7">
        <v>0</v>
      </c>
      <c r="I4656" s="7">
        <v>3</v>
      </c>
      <c r="J4656" s="17">
        <v>1</v>
      </c>
      <c r="K4656" s="17"/>
      <c r="L4656" s="7">
        <f t="shared" si="1958"/>
        <v>4</v>
      </c>
      <c r="M4656" s="8">
        <v>1</v>
      </c>
      <c r="N4656" s="8">
        <f t="shared" si="1959"/>
        <v>1</v>
      </c>
      <c r="O4656" s="11" t="s">
        <v>1702</v>
      </c>
      <c r="P4656" s="16" t="str">
        <f t="shared" si="1960"/>
        <v>12-Nov-1906</v>
      </c>
      <c r="R4656" s="16" t="str">
        <f t="shared" si="1961"/>
        <v>x</v>
      </c>
      <c r="S4656" s="16" t="str">
        <f t="shared" si="1961"/>
        <v>x</v>
      </c>
      <c r="U4656" s="46" t="str">
        <f t="shared" ref="U4656:X4658" si="1962">IF($O4656=U$5,$L4656,"")</f>
        <v/>
      </c>
      <c r="V4656" s="46">
        <f t="shared" si="1962"/>
        <v>4</v>
      </c>
      <c r="W4656" s="46" t="str">
        <f t="shared" si="1962"/>
        <v/>
      </c>
      <c r="X4656" s="46" t="str">
        <f t="shared" si="1962"/>
        <v/>
      </c>
    </row>
    <row r="4657" spans="2:24" x14ac:dyDescent="0.25">
      <c r="B4657" s="11" t="str">
        <f t="shared" si="1957"/>
        <v>NOOR-09JUL1907</v>
      </c>
      <c r="C4657" s="11" t="s">
        <v>3559</v>
      </c>
      <c r="D4657" s="11" t="s">
        <v>2103</v>
      </c>
      <c r="E4657" s="39" t="s">
        <v>1204</v>
      </c>
      <c r="F4657" s="11" t="s">
        <v>1700</v>
      </c>
      <c r="G4657" s="39" t="s">
        <v>5836</v>
      </c>
      <c r="H4657" s="7">
        <v>0</v>
      </c>
      <c r="I4657" s="7">
        <v>0</v>
      </c>
      <c r="J4657" s="17">
        <v>40</v>
      </c>
      <c r="K4657" s="17"/>
      <c r="L4657" s="7">
        <f t="shared" si="1958"/>
        <v>40</v>
      </c>
      <c r="M4657" s="8">
        <v>1</v>
      </c>
      <c r="N4657" s="8">
        <f t="shared" si="1959"/>
        <v>1</v>
      </c>
      <c r="O4657" s="11" t="s">
        <v>1702</v>
      </c>
      <c r="P4657" s="16" t="str">
        <f t="shared" si="1960"/>
        <v>09-Jul-1907</v>
      </c>
      <c r="R4657" s="16" t="str">
        <f t="shared" si="1961"/>
        <v>x</v>
      </c>
      <c r="S4657" s="16" t="str">
        <f t="shared" si="1961"/>
        <v>x</v>
      </c>
      <c r="U4657" s="46" t="str">
        <f t="shared" si="1962"/>
        <v/>
      </c>
      <c r="V4657" s="46">
        <f t="shared" si="1962"/>
        <v>40</v>
      </c>
      <c r="W4657" s="46" t="str">
        <f t="shared" si="1962"/>
        <v/>
      </c>
      <c r="X4657" s="46" t="str">
        <f t="shared" si="1962"/>
        <v/>
      </c>
    </row>
    <row r="4658" spans="2:24" x14ac:dyDescent="0.25">
      <c r="B4658" s="11" t="str">
        <f t="shared" si="1957"/>
        <v>NOOR-20AUG1907</v>
      </c>
      <c r="C4658" s="11" t="s">
        <v>3559</v>
      </c>
      <c r="D4658" s="11" t="s">
        <v>2103</v>
      </c>
      <c r="E4658" s="39" t="s">
        <v>1205</v>
      </c>
      <c r="F4658" s="11" t="s">
        <v>1700</v>
      </c>
      <c r="G4658" s="39" t="s">
        <v>6104</v>
      </c>
      <c r="H4658" s="7">
        <v>0</v>
      </c>
      <c r="I4658" s="7">
        <v>0</v>
      </c>
      <c r="J4658" s="17">
        <v>9</v>
      </c>
      <c r="K4658" s="17"/>
      <c r="L4658" s="7">
        <f t="shared" si="1958"/>
        <v>9</v>
      </c>
      <c r="M4658" s="8">
        <v>1</v>
      </c>
      <c r="N4658" s="8">
        <f t="shared" si="1959"/>
        <v>1</v>
      </c>
      <c r="O4658" s="11" t="s">
        <v>1702</v>
      </c>
      <c r="P4658" s="16" t="str">
        <f t="shared" si="1960"/>
        <v>20-Aug-1907</v>
      </c>
      <c r="R4658" s="16" t="str">
        <f t="shared" si="1961"/>
        <v>x</v>
      </c>
      <c r="S4658" s="16" t="str">
        <f t="shared" si="1961"/>
        <v>x</v>
      </c>
      <c r="U4658" s="46" t="str">
        <f t="shared" si="1962"/>
        <v/>
      </c>
      <c r="V4658" s="46">
        <f t="shared" si="1962"/>
        <v>9</v>
      </c>
      <c r="W4658" s="46" t="str">
        <f t="shared" si="1962"/>
        <v/>
      </c>
      <c r="X4658" s="46" t="str">
        <f t="shared" si="1962"/>
        <v/>
      </c>
    </row>
    <row r="4659" spans="2:24" x14ac:dyDescent="0.25">
      <c r="B4659" s="11" t="str">
        <f t="shared" si="1957"/>
        <v>NOOR-16MAY1920</v>
      </c>
      <c r="C4659" s="11" t="s">
        <v>3559</v>
      </c>
      <c r="D4659" s="11" t="s">
        <v>2103</v>
      </c>
      <c r="E4659" s="39" t="s">
        <v>4485</v>
      </c>
      <c r="F4659" s="11" t="s">
        <v>1700</v>
      </c>
      <c r="G4659" s="39" t="s">
        <v>4486</v>
      </c>
      <c r="H4659" s="7">
        <v>0</v>
      </c>
      <c r="I4659" s="7">
        <v>0</v>
      </c>
      <c r="J4659" s="17">
        <v>34</v>
      </c>
      <c r="K4659" s="17"/>
      <c r="L4659" s="7">
        <f t="shared" si="1958"/>
        <v>34</v>
      </c>
      <c r="M4659" s="8">
        <v>1</v>
      </c>
      <c r="N4659" s="8">
        <f t="shared" si="1959"/>
        <v>1</v>
      </c>
      <c r="O4659" s="11" t="s">
        <v>1702</v>
      </c>
      <c r="P4659" s="16" t="str">
        <f t="shared" si="1960"/>
        <v>16-May-1920</v>
      </c>
      <c r="R4659" s="16" t="str">
        <f t="shared" si="1961"/>
        <v>x</v>
      </c>
      <c r="S4659" s="16" t="str">
        <f t="shared" si="1961"/>
        <v>x</v>
      </c>
      <c r="U4659" s="46" t="str">
        <f t="shared" si="1930"/>
        <v/>
      </c>
      <c r="V4659" s="46">
        <f t="shared" si="1930"/>
        <v>34</v>
      </c>
      <c r="W4659" s="46" t="str">
        <f t="shared" si="1930"/>
        <v/>
      </c>
      <c r="X4659" s="46" t="str">
        <f t="shared" si="1930"/>
        <v/>
      </c>
    </row>
    <row r="4660" spans="2:24" x14ac:dyDescent="0.25">
      <c r="B4660" s="11" t="str">
        <f t="shared" si="1957"/>
        <v>NOOR-21JUN1920</v>
      </c>
      <c r="C4660" s="11" t="s">
        <v>3559</v>
      </c>
      <c r="D4660" s="11" t="s">
        <v>2103</v>
      </c>
      <c r="E4660" s="39" t="s">
        <v>3560</v>
      </c>
      <c r="F4660" s="11" t="s">
        <v>1700</v>
      </c>
      <c r="G4660" s="39" t="s">
        <v>3561</v>
      </c>
      <c r="H4660" s="7">
        <v>0</v>
      </c>
      <c r="I4660" s="7">
        <v>0</v>
      </c>
      <c r="J4660" s="17">
        <v>11</v>
      </c>
      <c r="K4660" s="17"/>
      <c r="L4660" s="7">
        <f t="shared" si="1958"/>
        <v>11</v>
      </c>
      <c r="M4660" s="8">
        <v>1</v>
      </c>
      <c r="N4660" s="8">
        <f t="shared" si="1959"/>
        <v>1</v>
      </c>
      <c r="O4660" s="11" t="s">
        <v>1702</v>
      </c>
      <c r="P4660" s="16" t="str">
        <f t="shared" si="1960"/>
        <v>21-Jun-1920</v>
      </c>
      <c r="R4660" s="16" t="str">
        <f t="shared" si="1961"/>
        <v>x</v>
      </c>
      <c r="S4660" s="16" t="str">
        <f t="shared" si="1961"/>
        <v>x</v>
      </c>
      <c r="U4660" s="46" t="str">
        <f t="shared" si="1930"/>
        <v/>
      </c>
      <c r="V4660" s="46">
        <f t="shared" si="1930"/>
        <v>11</v>
      </c>
      <c r="W4660" s="46" t="str">
        <f t="shared" si="1930"/>
        <v/>
      </c>
      <c r="X4660" s="46" t="str">
        <f t="shared" si="1930"/>
        <v/>
      </c>
    </row>
    <row r="4661" spans="2:24" x14ac:dyDescent="0.25">
      <c r="N4661" s="8" t="str">
        <f>IF(R4661="x",1,"")</f>
        <v/>
      </c>
      <c r="U4661" s="46" t="str">
        <f t="shared" si="1930"/>
        <v/>
      </c>
      <c r="V4661" s="46" t="str">
        <f t="shared" si="1930"/>
        <v/>
      </c>
      <c r="W4661" s="46" t="str">
        <f t="shared" si="1930"/>
        <v/>
      </c>
      <c r="X4661" s="46" t="str">
        <f t="shared" si="1930"/>
        <v/>
      </c>
    </row>
    <row r="4662" spans="2:24" x14ac:dyDescent="0.25">
      <c r="B4662" s="18"/>
      <c r="C4662" s="18"/>
      <c r="D4662" s="18"/>
      <c r="E4662" s="40"/>
      <c r="F4662" s="18"/>
      <c r="G4662" s="40"/>
      <c r="H4662" s="7">
        <f t="shared" ref="H4662:N4662" si="1963">SUM(H4655:H4661)</f>
        <v>0</v>
      </c>
      <c r="I4662" s="7">
        <f t="shared" si="1963"/>
        <v>3</v>
      </c>
      <c r="J4662" s="7">
        <f>SUM(J4655:J4661)</f>
        <v>104</v>
      </c>
      <c r="K4662" s="7">
        <f t="shared" si="1963"/>
        <v>0</v>
      </c>
      <c r="L4662" s="7">
        <f t="shared" si="1963"/>
        <v>107</v>
      </c>
      <c r="M4662" s="7">
        <f t="shared" si="1963"/>
        <v>6</v>
      </c>
      <c r="N4662" s="7">
        <f t="shared" si="1963"/>
        <v>6</v>
      </c>
      <c r="O4662" s="18"/>
      <c r="P4662" s="13"/>
      <c r="Q4662" s="13"/>
      <c r="S4662" s="13"/>
      <c r="T4662" s="15"/>
      <c r="U4662" s="46" t="str">
        <f t="shared" si="1930"/>
        <v/>
      </c>
      <c r="V4662" s="46" t="str">
        <f t="shared" si="1930"/>
        <v/>
      </c>
      <c r="W4662" s="46" t="str">
        <f t="shared" si="1930"/>
        <v/>
      </c>
      <c r="X4662" s="46" t="str">
        <f t="shared" si="1930"/>
        <v/>
      </c>
    </row>
    <row r="4663" spans="2:24" x14ac:dyDescent="0.25">
      <c r="B4663" s="18"/>
      <c r="C4663" s="18"/>
      <c r="D4663" s="18"/>
      <c r="E4663" s="40"/>
      <c r="F4663" s="18"/>
      <c r="G4663" s="40"/>
      <c r="N4663" s="8" t="str">
        <f>IF(R4663="x",1,"")</f>
        <v/>
      </c>
      <c r="O4663" s="18"/>
      <c r="P4663" s="13"/>
      <c r="Q4663" s="13"/>
      <c r="R4663" s="13"/>
      <c r="S4663" s="13"/>
      <c r="T4663" s="15"/>
      <c r="U4663" s="46" t="str">
        <f t="shared" si="1930"/>
        <v/>
      </c>
      <c r="V4663" s="46" t="str">
        <f t="shared" si="1930"/>
        <v/>
      </c>
      <c r="W4663" s="46" t="str">
        <f t="shared" si="1930"/>
        <v/>
      </c>
      <c r="X4663" s="46" t="str">
        <f t="shared" si="1930"/>
        <v/>
      </c>
    </row>
    <row r="4664" spans="2:24" x14ac:dyDescent="0.25">
      <c r="B4664" s="18"/>
      <c r="C4664" s="18"/>
      <c r="D4664" s="18"/>
      <c r="E4664" s="40"/>
      <c r="F4664" s="18"/>
      <c r="G4664" s="40"/>
      <c r="N4664" s="8" t="str">
        <f>IF(R4664="x",1,"")</f>
        <v/>
      </c>
      <c r="O4664" s="18"/>
      <c r="P4664" s="13"/>
      <c r="Q4664" s="13"/>
      <c r="R4664" s="13"/>
      <c r="S4664" s="13"/>
      <c r="T4664" s="15"/>
      <c r="U4664" s="46" t="str">
        <f t="shared" si="1930"/>
        <v/>
      </c>
      <c r="V4664" s="46" t="str">
        <f t="shared" si="1930"/>
        <v/>
      </c>
      <c r="W4664" s="46" t="str">
        <f t="shared" si="1930"/>
        <v/>
      </c>
      <c r="X4664" s="46" t="str">
        <f t="shared" si="1930"/>
        <v/>
      </c>
    </row>
    <row r="4665" spans="2:24" x14ac:dyDescent="0.25">
      <c r="B4665" s="11" t="str">
        <f t="shared" ref="B4665:B4670" si="1964">CONCATENATE("NRDL","-",LEFT(P4665,2),UPPER(MID(P4665,4,3)),RIGHT(P4665,4))</f>
        <v>NRDL-22JUL1891</v>
      </c>
      <c r="C4665" s="11" t="s">
        <v>3574</v>
      </c>
      <c r="D4665" s="11" t="s">
        <v>2814</v>
      </c>
      <c r="F4665" s="11" t="s">
        <v>1700</v>
      </c>
      <c r="G4665" s="39" t="s">
        <v>5516</v>
      </c>
      <c r="H4665" s="7">
        <v>0</v>
      </c>
      <c r="I4665" s="7">
        <v>0</v>
      </c>
      <c r="J4665" s="17">
        <v>17</v>
      </c>
      <c r="K4665" s="17"/>
      <c r="L4665" s="7">
        <f t="shared" ref="L4665:L4670" si="1965">SUM(H4665:K4665)</f>
        <v>17</v>
      </c>
      <c r="M4665" s="8">
        <v>1</v>
      </c>
      <c r="N4665" s="8">
        <f t="shared" ref="N4665:N4670" si="1966">IF(L4665&gt;0,1,"")</f>
        <v>1</v>
      </c>
      <c r="O4665" s="11" t="s">
        <v>1702</v>
      </c>
      <c r="P4665" s="16" t="str">
        <f t="shared" ref="P4665:P4670" si="1967">IF(LEN(G4665)=10,CONCATENATE("0",G4665),G4665)</f>
        <v>22-Jul-1891</v>
      </c>
      <c r="R4665" s="16" t="str">
        <f>IF($L4665&gt;0,"x","")</f>
        <v>x</v>
      </c>
      <c r="S4665" s="16" t="str">
        <f>IF($L4665&gt;0,"x","")</f>
        <v>x</v>
      </c>
      <c r="U4665" s="46" t="str">
        <f t="shared" si="1930"/>
        <v/>
      </c>
      <c r="V4665" s="46">
        <f t="shared" si="1930"/>
        <v>17</v>
      </c>
      <c r="W4665" s="46" t="str">
        <f t="shared" si="1930"/>
        <v/>
      </c>
      <c r="X4665" s="46" t="str">
        <f t="shared" si="1930"/>
        <v/>
      </c>
    </row>
    <row r="4666" spans="2:24" x14ac:dyDescent="0.25">
      <c r="B4666" s="11" t="str">
        <f t="shared" si="1964"/>
        <v>NRDL-12JUL1893</v>
      </c>
      <c r="C4666" s="11" t="s">
        <v>3574</v>
      </c>
      <c r="D4666" s="11" t="s">
        <v>2814</v>
      </c>
      <c r="F4666" s="11" t="s">
        <v>1700</v>
      </c>
      <c r="G4666" s="39" t="s">
        <v>3697</v>
      </c>
      <c r="H4666" s="7">
        <v>0</v>
      </c>
      <c r="I4666" s="7">
        <v>0</v>
      </c>
      <c r="J4666" s="17">
        <v>14</v>
      </c>
      <c r="K4666" s="17"/>
      <c r="L4666" s="7">
        <f t="shared" si="1965"/>
        <v>14</v>
      </c>
      <c r="M4666" s="8">
        <v>1</v>
      </c>
      <c r="N4666" s="8">
        <f t="shared" si="1966"/>
        <v>1</v>
      </c>
      <c r="O4666" s="11" t="s">
        <v>1702</v>
      </c>
      <c r="P4666" s="16" t="str">
        <f t="shared" si="1967"/>
        <v>12-Jul-1893</v>
      </c>
      <c r="R4666" s="16" t="str">
        <f t="shared" ref="R4666:S4670" si="1968">IF($L4666&gt;0,"x","")</f>
        <v>x</v>
      </c>
      <c r="S4666" s="16" t="str">
        <f t="shared" si="1968"/>
        <v>x</v>
      </c>
      <c r="U4666" s="46" t="str">
        <f>IF($O4666=U$5,$L4666,"")</f>
        <v/>
      </c>
      <c r="V4666" s="46">
        <f>IF($O4666=V$5,$L4666,"")</f>
        <v>14</v>
      </c>
      <c r="W4666" s="46" t="str">
        <f>IF($O4666=W$5,$L4666,"")</f>
        <v/>
      </c>
      <c r="X4666" s="46" t="str">
        <f>IF($O4666=X$5,$L4666,"")</f>
        <v/>
      </c>
    </row>
    <row r="4667" spans="2:24" x14ac:dyDescent="0.25">
      <c r="B4667" s="11" t="str">
        <f t="shared" si="1964"/>
        <v>NRDL-20SEP1905</v>
      </c>
      <c r="C4667" s="11" t="s">
        <v>3574</v>
      </c>
      <c r="D4667" s="11" t="s">
        <v>2097</v>
      </c>
      <c r="E4667" s="39" t="s">
        <v>3624</v>
      </c>
      <c r="F4667" s="11" t="s">
        <v>3039</v>
      </c>
      <c r="G4667" s="39" t="s">
        <v>11356</v>
      </c>
      <c r="I4667" s="7">
        <v>0</v>
      </c>
      <c r="J4667" s="17">
        <v>8</v>
      </c>
      <c r="K4667" s="17"/>
      <c r="L4667" s="7">
        <f t="shared" si="1965"/>
        <v>8</v>
      </c>
      <c r="M4667" s="8">
        <v>1</v>
      </c>
      <c r="N4667" s="8">
        <f t="shared" si="1966"/>
        <v>1</v>
      </c>
      <c r="O4667" s="11" t="s">
        <v>1702</v>
      </c>
      <c r="P4667" s="16" t="str">
        <f t="shared" si="1967"/>
        <v>20-Sep-1905</v>
      </c>
      <c r="R4667" s="16" t="str">
        <f>IF($L4667&gt;0,"x","")</f>
        <v>x</v>
      </c>
      <c r="S4667" s="16" t="str">
        <f>IF($L4667&gt;0,"x","")</f>
        <v>x</v>
      </c>
      <c r="U4667" s="46" t="str">
        <f t="shared" ref="U4667:X4668" si="1969">IF($O4667=U$5,$L4667,"")</f>
        <v/>
      </c>
      <c r="V4667" s="46">
        <f t="shared" si="1969"/>
        <v>8</v>
      </c>
      <c r="W4667" s="46" t="str">
        <f t="shared" si="1969"/>
        <v/>
      </c>
      <c r="X4667" s="46" t="str">
        <f t="shared" si="1969"/>
        <v/>
      </c>
    </row>
    <row r="4668" spans="2:24" x14ac:dyDescent="0.25">
      <c r="B4668" s="11" t="str">
        <f t="shared" si="1964"/>
        <v>NRDL-23OCT1905</v>
      </c>
      <c r="C4668" s="11" t="s">
        <v>3574</v>
      </c>
      <c r="D4668" s="11" t="s">
        <v>2097</v>
      </c>
      <c r="E4668" s="39" t="s">
        <v>3573</v>
      </c>
      <c r="F4668" s="11" t="s">
        <v>3039</v>
      </c>
      <c r="G4668" s="39" t="s">
        <v>3572</v>
      </c>
      <c r="I4668" s="7">
        <v>0</v>
      </c>
      <c r="J4668" s="17">
        <v>10</v>
      </c>
      <c r="K4668" s="17"/>
      <c r="L4668" s="7">
        <f t="shared" si="1965"/>
        <v>10</v>
      </c>
      <c r="M4668" s="8">
        <v>1</v>
      </c>
      <c r="N4668" s="8">
        <f t="shared" si="1966"/>
        <v>1</v>
      </c>
      <c r="O4668" s="11" t="s">
        <v>1702</v>
      </c>
      <c r="P4668" s="16" t="str">
        <f t="shared" si="1967"/>
        <v>23-Oct-1905</v>
      </c>
      <c r="R4668" s="16" t="str">
        <f t="shared" si="1968"/>
        <v>x</v>
      </c>
      <c r="S4668" s="16" t="str">
        <f t="shared" si="1968"/>
        <v>x</v>
      </c>
      <c r="U4668" s="46" t="str">
        <f t="shared" si="1969"/>
        <v/>
      </c>
      <c r="V4668" s="46">
        <f t="shared" si="1969"/>
        <v>10</v>
      </c>
      <c r="W4668" s="46" t="str">
        <f t="shared" si="1969"/>
        <v/>
      </c>
      <c r="X4668" s="46" t="str">
        <f t="shared" si="1969"/>
        <v/>
      </c>
    </row>
    <row r="4669" spans="2:24" x14ac:dyDescent="0.25">
      <c r="B4669" s="11" t="str">
        <f t="shared" si="1964"/>
        <v>NRDL-13DEC1905</v>
      </c>
      <c r="C4669" s="11" t="s">
        <v>3574</v>
      </c>
      <c r="D4669" s="11" t="s">
        <v>2097</v>
      </c>
      <c r="E4669" s="39" t="s">
        <v>11359</v>
      </c>
      <c r="F4669" s="11" t="s">
        <v>3039</v>
      </c>
      <c r="G4669" s="39" t="s">
        <v>5689</v>
      </c>
      <c r="I4669" s="7">
        <v>4</v>
      </c>
      <c r="J4669" s="17">
        <v>4</v>
      </c>
      <c r="K4669" s="17"/>
      <c r="L4669" s="7">
        <f t="shared" si="1965"/>
        <v>8</v>
      </c>
      <c r="M4669" s="8">
        <v>1</v>
      </c>
      <c r="N4669" s="8">
        <f t="shared" si="1966"/>
        <v>1</v>
      </c>
      <c r="O4669" s="11" t="s">
        <v>1702</v>
      </c>
      <c r="P4669" s="16" t="str">
        <f t="shared" si="1967"/>
        <v>13-Dec-1905</v>
      </c>
      <c r="R4669" s="16" t="str">
        <f>IF($L4669&gt;0,"x","")</f>
        <v>x</v>
      </c>
      <c r="S4669" s="16" t="str">
        <f>IF($L4669&gt;0,"x","")</f>
        <v>x</v>
      </c>
      <c r="U4669" s="46" t="str">
        <f t="shared" si="1930"/>
        <v/>
      </c>
      <c r="V4669" s="46">
        <f t="shared" si="1930"/>
        <v>8</v>
      </c>
      <c r="W4669" s="46" t="str">
        <f t="shared" si="1930"/>
        <v/>
      </c>
      <c r="X4669" s="46" t="str">
        <f t="shared" si="1930"/>
        <v/>
      </c>
    </row>
    <row r="4670" spans="2:24" x14ac:dyDescent="0.25">
      <c r="B4670" s="11" t="str">
        <f t="shared" si="1964"/>
        <v>NRDL-14MAR1907</v>
      </c>
      <c r="C4670" s="11" t="s">
        <v>3574</v>
      </c>
      <c r="D4670" s="11" t="s">
        <v>2097</v>
      </c>
      <c r="E4670" s="39" t="s">
        <v>4697</v>
      </c>
      <c r="F4670" s="11" t="s">
        <v>3039</v>
      </c>
      <c r="G4670" s="39" t="s">
        <v>4698</v>
      </c>
      <c r="I4670" s="7">
        <v>0</v>
      </c>
      <c r="J4670" s="17">
        <v>5</v>
      </c>
      <c r="K4670" s="17"/>
      <c r="L4670" s="7">
        <f t="shared" si="1965"/>
        <v>5</v>
      </c>
      <c r="M4670" s="8">
        <v>1</v>
      </c>
      <c r="N4670" s="8">
        <f t="shared" si="1966"/>
        <v>1</v>
      </c>
      <c r="O4670" s="11" t="s">
        <v>1702</v>
      </c>
      <c r="P4670" s="16" t="str">
        <f t="shared" si="1967"/>
        <v>14-Mar-1907</v>
      </c>
      <c r="R4670" s="16" t="str">
        <f t="shared" si="1968"/>
        <v>x</v>
      </c>
      <c r="S4670" s="16" t="str">
        <f t="shared" si="1968"/>
        <v>x</v>
      </c>
      <c r="U4670" s="46" t="str">
        <f>IF($O4670=U$5,$L4670,"")</f>
        <v/>
      </c>
      <c r="V4670" s="46">
        <f>IF($O4670=V$5,$L4670,"")</f>
        <v>5</v>
      </c>
      <c r="W4670" s="46" t="str">
        <f>IF($O4670=W$5,$L4670,"")</f>
        <v/>
      </c>
      <c r="X4670" s="46" t="str">
        <f>IF($O4670=X$5,$L4670,"")</f>
        <v/>
      </c>
    </row>
    <row r="4671" spans="2:24" x14ac:dyDescent="0.25">
      <c r="N4671" s="8" t="str">
        <f>IF(R4671="x",1,"")</f>
        <v/>
      </c>
      <c r="U4671" s="46" t="str">
        <f t="shared" si="1930"/>
        <v/>
      </c>
      <c r="V4671" s="46" t="str">
        <f t="shared" si="1930"/>
        <v/>
      </c>
      <c r="W4671" s="46" t="str">
        <f t="shared" si="1930"/>
        <v/>
      </c>
      <c r="X4671" s="46" t="str">
        <f t="shared" si="1930"/>
        <v/>
      </c>
    </row>
    <row r="4672" spans="2:24" x14ac:dyDescent="0.25">
      <c r="B4672" s="18"/>
      <c r="C4672" s="18"/>
      <c r="D4672" s="18"/>
      <c r="E4672" s="40"/>
      <c r="F4672" s="18"/>
      <c r="G4672" s="40"/>
      <c r="H4672" s="7">
        <f t="shared" ref="H4672:N4672" si="1970">SUM(H4665:H4671)</f>
        <v>0</v>
      </c>
      <c r="I4672" s="7">
        <f t="shared" si="1970"/>
        <v>4</v>
      </c>
      <c r="J4672" s="7">
        <f>SUM(J4665:J4671)</f>
        <v>58</v>
      </c>
      <c r="K4672" s="7">
        <f t="shared" si="1970"/>
        <v>0</v>
      </c>
      <c r="L4672" s="7">
        <f t="shared" si="1970"/>
        <v>62</v>
      </c>
      <c r="M4672" s="7">
        <f t="shared" si="1970"/>
        <v>6</v>
      </c>
      <c r="N4672" s="7">
        <f t="shared" si="1970"/>
        <v>6</v>
      </c>
      <c r="O4672" s="18"/>
      <c r="P4672" s="13"/>
      <c r="Q4672" s="13"/>
      <c r="S4672" s="13"/>
      <c r="T4672" s="15"/>
      <c r="U4672" s="46" t="str">
        <f t="shared" si="1930"/>
        <v/>
      </c>
      <c r="V4672" s="46" t="str">
        <f t="shared" si="1930"/>
        <v/>
      </c>
      <c r="W4672" s="46" t="str">
        <f t="shared" si="1930"/>
        <v/>
      </c>
      <c r="X4672" s="46" t="str">
        <f t="shared" si="1930"/>
        <v/>
      </c>
    </row>
    <row r="4673" spans="2:24" x14ac:dyDescent="0.25">
      <c r="B4673" s="18"/>
      <c r="C4673" s="18"/>
      <c r="D4673" s="18"/>
      <c r="E4673" s="40"/>
      <c r="F4673" s="18"/>
      <c r="G4673" s="40"/>
      <c r="N4673" s="8" t="str">
        <f>IF(R4673="x",1,"")</f>
        <v/>
      </c>
      <c r="O4673" s="18"/>
      <c r="P4673" s="13"/>
      <c r="Q4673" s="13"/>
      <c r="R4673" s="13"/>
      <c r="S4673" s="13"/>
      <c r="T4673" s="15"/>
      <c r="U4673" s="46" t="str">
        <f t="shared" si="1930"/>
        <v/>
      </c>
      <c r="V4673" s="46" t="str">
        <f t="shared" si="1930"/>
        <v/>
      </c>
      <c r="W4673" s="46" t="str">
        <f t="shared" si="1930"/>
        <v/>
      </c>
      <c r="X4673" s="46" t="str">
        <f t="shared" si="1930"/>
        <v/>
      </c>
    </row>
    <row r="4674" spans="2:24" x14ac:dyDescent="0.25">
      <c r="B4674" s="18"/>
      <c r="C4674" s="18"/>
      <c r="D4674" s="18"/>
      <c r="E4674" s="40"/>
      <c r="F4674" s="18"/>
      <c r="G4674" s="40"/>
      <c r="N4674" s="8" t="str">
        <f>IF(R4674="x",1,"")</f>
        <v/>
      </c>
      <c r="O4674" s="18"/>
      <c r="P4674" s="13"/>
      <c r="Q4674" s="13"/>
      <c r="R4674" s="13"/>
      <c r="S4674" s="13"/>
      <c r="T4674" s="15"/>
      <c r="U4674" s="46" t="str">
        <f t="shared" si="1930"/>
        <v/>
      </c>
      <c r="V4674" s="46" t="str">
        <f t="shared" si="1930"/>
        <v/>
      </c>
      <c r="W4674" s="46" t="str">
        <f t="shared" si="1930"/>
        <v/>
      </c>
      <c r="X4674" s="46" t="str">
        <f t="shared" si="1930"/>
        <v/>
      </c>
    </row>
    <row r="4675" spans="2:24" x14ac:dyDescent="0.25">
      <c r="B4675" s="11" t="str">
        <f>CONCATENATE("NRDA","-",LEFT(P4675,2),UPPER(MID(P4675,4,3)),RIGHT(P4675,4))</f>
        <v>NRDA-21NOV1904</v>
      </c>
      <c r="C4675" s="11" t="s">
        <v>3307</v>
      </c>
      <c r="D4675" s="11" t="s">
        <v>3007</v>
      </c>
      <c r="E4675" s="39" t="s">
        <v>4166</v>
      </c>
      <c r="F4675" s="11" t="s">
        <v>1700</v>
      </c>
      <c r="G4675" s="39" t="s">
        <v>2622</v>
      </c>
      <c r="H4675" s="7">
        <v>0</v>
      </c>
      <c r="J4675" s="17">
        <v>5</v>
      </c>
      <c r="K4675" s="17"/>
      <c r="L4675" s="7">
        <f>SUM(H4675:K4675)</f>
        <v>5</v>
      </c>
      <c r="M4675" s="8">
        <v>1</v>
      </c>
      <c r="N4675" s="8">
        <f>IF(L4675&gt;0,1,"")</f>
        <v>1</v>
      </c>
      <c r="O4675" s="11" t="s">
        <v>1702</v>
      </c>
      <c r="P4675" s="16" t="str">
        <f>IF(LEN(G4675)=10,CONCATENATE("0",G4675),G4675)</f>
        <v>21-Nov-1904</v>
      </c>
      <c r="R4675" s="16" t="str">
        <f>IF($L4675&gt;0,"x","")</f>
        <v>x</v>
      </c>
      <c r="S4675" s="16" t="str">
        <f>IF($L4675&gt;0,"x","")</f>
        <v>x</v>
      </c>
      <c r="U4675" s="46" t="str">
        <f t="shared" si="1930"/>
        <v/>
      </c>
      <c r="V4675" s="46">
        <f t="shared" si="1930"/>
        <v>5</v>
      </c>
      <c r="W4675" s="46" t="str">
        <f t="shared" si="1930"/>
        <v/>
      </c>
      <c r="X4675" s="46" t="str">
        <f t="shared" si="1930"/>
        <v/>
      </c>
    </row>
    <row r="4676" spans="2:24" x14ac:dyDescent="0.25">
      <c r="B4676" s="11" t="str">
        <f>CONCATENATE("NRDA","-",LEFT(P4676,2),UPPER(MID(P4676,4,3)),RIGHT(P4676,4))</f>
        <v>NRDA-27OCT1908</v>
      </c>
      <c r="C4676" s="11" t="s">
        <v>3307</v>
      </c>
      <c r="D4676" s="11" t="s">
        <v>3007</v>
      </c>
      <c r="E4676" s="39" t="s">
        <v>3308</v>
      </c>
      <c r="F4676" s="11" t="s">
        <v>1700</v>
      </c>
      <c r="G4676" s="39" t="s">
        <v>3309</v>
      </c>
      <c r="H4676" s="7">
        <v>0</v>
      </c>
      <c r="I4676" s="7">
        <v>0</v>
      </c>
      <c r="J4676" s="17">
        <v>14</v>
      </c>
      <c r="K4676" s="17"/>
      <c r="L4676" s="7">
        <f>SUM(H4676:K4676)</f>
        <v>14</v>
      </c>
      <c r="M4676" s="8">
        <v>1</v>
      </c>
      <c r="N4676" s="8">
        <f>IF(L4676&gt;0,1,"")</f>
        <v>1</v>
      </c>
      <c r="O4676" s="11" t="s">
        <v>1702</v>
      </c>
      <c r="P4676" s="16" t="str">
        <f>IF(LEN(G4676)=10,CONCATENATE("0",G4676),G4676)</f>
        <v>27-Oct-1908</v>
      </c>
      <c r="R4676" s="16" t="str">
        <f>IF($L4676&gt;0,"x","")</f>
        <v>x</v>
      </c>
      <c r="S4676" s="16" t="str">
        <f>IF($L4676&gt;0,"x","")</f>
        <v>x</v>
      </c>
      <c r="U4676" s="46" t="str">
        <f t="shared" si="1930"/>
        <v/>
      </c>
      <c r="V4676" s="46">
        <f t="shared" si="1930"/>
        <v>14</v>
      </c>
      <c r="W4676" s="46" t="str">
        <f t="shared" si="1930"/>
        <v/>
      </c>
      <c r="X4676" s="46" t="str">
        <f t="shared" si="1930"/>
        <v/>
      </c>
    </row>
    <row r="4677" spans="2:24" x14ac:dyDescent="0.25">
      <c r="N4677" s="8" t="str">
        <f>IF(R4677="x",1,"")</f>
        <v/>
      </c>
      <c r="U4677" s="46" t="str">
        <f t="shared" si="1930"/>
        <v/>
      </c>
      <c r="V4677" s="46" t="str">
        <f t="shared" si="1930"/>
        <v/>
      </c>
      <c r="W4677" s="46" t="str">
        <f t="shared" si="1930"/>
        <v/>
      </c>
      <c r="X4677" s="46" t="str">
        <f t="shared" si="1930"/>
        <v/>
      </c>
    </row>
    <row r="4678" spans="2:24" x14ac:dyDescent="0.25">
      <c r="B4678" s="18"/>
      <c r="C4678" s="18"/>
      <c r="D4678" s="18"/>
      <c r="E4678" s="40"/>
      <c r="F4678" s="18"/>
      <c r="G4678" s="40"/>
      <c r="H4678" s="7">
        <f t="shared" ref="H4678:N4678" si="1971">SUM(H4675:H4677)</f>
        <v>0</v>
      </c>
      <c r="I4678" s="7">
        <f t="shared" si="1971"/>
        <v>0</v>
      </c>
      <c r="J4678" s="7">
        <f>SUM(J4675:J4677)</f>
        <v>19</v>
      </c>
      <c r="K4678" s="7">
        <f t="shared" si="1971"/>
        <v>0</v>
      </c>
      <c r="L4678" s="7">
        <f t="shared" si="1971"/>
        <v>19</v>
      </c>
      <c r="M4678" s="7">
        <f t="shared" si="1971"/>
        <v>2</v>
      </c>
      <c r="N4678" s="7">
        <f t="shared" si="1971"/>
        <v>2</v>
      </c>
      <c r="O4678" s="18"/>
      <c r="P4678" s="13"/>
      <c r="Q4678" s="13"/>
      <c r="S4678" s="13"/>
      <c r="T4678" s="15"/>
      <c r="U4678" s="46" t="str">
        <f t="shared" si="1930"/>
        <v/>
      </c>
      <c r="V4678" s="46" t="str">
        <f t="shared" si="1930"/>
        <v/>
      </c>
      <c r="W4678" s="46" t="str">
        <f t="shared" si="1930"/>
        <v/>
      </c>
      <c r="X4678" s="46" t="str">
        <f t="shared" si="1930"/>
        <v/>
      </c>
    </row>
    <row r="4679" spans="2:24" x14ac:dyDescent="0.25">
      <c r="B4679" s="18"/>
      <c r="C4679" s="18"/>
      <c r="D4679" s="18"/>
      <c r="E4679" s="40"/>
      <c r="F4679" s="18"/>
      <c r="G4679" s="40"/>
      <c r="N4679" s="8" t="str">
        <f>IF(R4679="x",1,"")</f>
        <v/>
      </c>
      <c r="O4679" s="18"/>
      <c r="P4679" s="13"/>
      <c r="Q4679" s="13"/>
      <c r="R4679" s="13"/>
      <c r="S4679" s="13"/>
      <c r="T4679" s="15"/>
      <c r="U4679" s="46" t="str">
        <f t="shared" ref="U4679:X4684" si="1972">IF($O4679=U$5,$L4679,"")</f>
        <v/>
      </c>
      <c r="V4679" s="46" t="str">
        <f t="shared" si="1972"/>
        <v/>
      </c>
      <c r="W4679" s="46" t="str">
        <f t="shared" si="1972"/>
        <v/>
      </c>
      <c r="X4679" s="46" t="str">
        <f t="shared" si="1972"/>
        <v/>
      </c>
    </row>
    <row r="4680" spans="2:24" x14ac:dyDescent="0.25">
      <c r="B4680" s="18"/>
      <c r="C4680" s="18"/>
      <c r="D4680" s="18"/>
      <c r="E4680" s="40"/>
      <c r="F4680" s="18"/>
      <c r="G4680" s="40"/>
      <c r="N4680" s="8" t="str">
        <f>IF(R4680="x",1,"")</f>
        <v/>
      </c>
      <c r="O4680" s="18"/>
      <c r="P4680" s="13"/>
      <c r="Q4680" s="13"/>
      <c r="R4680" s="13"/>
      <c r="S4680" s="13"/>
      <c r="T4680" s="15"/>
      <c r="U4680" s="46" t="str">
        <f t="shared" si="1972"/>
        <v/>
      </c>
      <c r="V4680" s="46" t="str">
        <f t="shared" si="1972"/>
        <v/>
      </c>
      <c r="W4680" s="46" t="str">
        <f t="shared" si="1972"/>
        <v/>
      </c>
      <c r="X4680" s="46" t="str">
        <f t="shared" si="1972"/>
        <v/>
      </c>
    </row>
    <row r="4681" spans="2:24" x14ac:dyDescent="0.25">
      <c r="B4681" s="11" t="str">
        <f>CONCATENATE("NORM","-",LEFT(P4681,2),UPPER(MID(P4681,4,3)),RIGHT(P4681,4))</f>
        <v>NORM-06JUL1896</v>
      </c>
      <c r="C4681" s="11" t="s">
        <v>3474</v>
      </c>
      <c r="D4681" s="11" t="s">
        <v>6273</v>
      </c>
      <c r="F4681" s="11" t="s">
        <v>1700</v>
      </c>
      <c r="G4681" s="39" t="s">
        <v>1706</v>
      </c>
      <c r="H4681" s="7">
        <v>0</v>
      </c>
      <c r="I4681" s="7">
        <v>0</v>
      </c>
      <c r="J4681" s="17">
        <v>4</v>
      </c>
      <c r="K4681" s="17"/>
      <c r="L4681" s="7">
        <f>SUM(H4681:K4681)</f>
        <v>4</v>
      </c>
      <c r="M4681" s="8">
        <v>1</v>
      </c>
      <c r="N4681" s="8">
        <f>IF(L4681&gt;0,1,"")</f>
        <v>1</v>
      </c>
      <c r="O4681" s="11" t="s">
        <v>1702</v>
      </c>
      <c r="P4681" s="16" t="str">
        <f>IF(LEN(G4681)=10,CONCATENATE("0",G4681),G4681)</f>
        <v>06-Jul-1896</v>
      </c>
      <c r="R4681" s="16" t="str">
        <f>IF($L4681&gt;0,"x","")</f>
        <v>x</v>
      </c>
      <c r="S4681" s="16" t="str">
        <f>IF($L4681&gt;0,"x","")</f>
        <v>x</v>
      </c>
      <c r="U4681" s="46" t="str">
        <f t="shared" si="1972"/>
        <v/>
      </c>
      <c r="V4681" s="46">
        <f t="shared" si="1972"/>
        <v>4</v>
      </c>
      <c r="W4681" s="46" t="str">
        <f t="shared" si="1972"/>
        <v/>
      </c>
      <c r="X4681" s="46" t="str">
        <f t="shared" si="1972"/>
        <v/>
      </c>
    </row>
    <row r="4682" spans="2:24" x14ac:dyDescent="0.25">
      <c r="B4682" s="11" t="str">
        <f>CONCATENATE("NORM","-",LEFT(P4682,2),UPPER(MID(P4682,4,3)),RIGHT(P4682,4))</f>
        <v>NORM-29MAY1897</v>
      </c>
      <c r="C4682" s="11" t="s">
        <v>3474</v>
      </c>
      <c r="D4682" s="11" t="s">
        <v>2224</v>
      </c>
      <c r="F4682" s="11" t="s">
        <v>1700</v>
      </c>
      <c r="G4682" s="39" t="s">
        <v>3475</v>
      </c>
      <c r="H4682" s="7">
        <v>0</v>
      </c>
      <c r="I4682" s="7">
        <v>0</v>
      </c>
      <c r="J4682" s="17">
        <v>11</v>
      </c>
      <c r="K4682" s="17"/>
      <c r="L4682" s="7">
        <f>SUM(H4682:K4682)</f>
        <v>11</v>
      </c>
      <c r="M4682" s="8">
        <v>1</v>
      </c>
      <c r="N4682" s="8">
        <f>IF(L4682&gt;0,1,"")</f>
        <v>1</v>
      </c>
      <c r="O4682" s="11" t="s">
        <v>1702</v>
      </c>
      <c r="P4682" s="16" t="str">
        <f>IF(LEN(G4682)=10,CONCATENATE("0",G4682),G4682)</f>
        <v>29-May-1897</v>
      </c>
      <c r="R4682" s="16" t="str">
        <f>IF($L4682&gt;0,"x","")</f>
        <v>x</v>
      </c>
      <c r="S4682" s="16" t="str">
        <f>IF($L4682&gt;0,"x","")</f>
        <v>x</v>
      </c>
      <c r="U4682" s="46" t="str">
        <f t="shared" si="1972"/>
        <v/>
      </c>
      <c r="V4682" s="46">
        <f t="shared" si="1972"/>
        <v>11</v>
      </c>
      <c r="W4682" s="46" t="str">
        <f t="shared" si="1972"/>
        <v/>
      </c>
      <c r="X4682" s="46" t="str">
        <f t="shared" si="1972"/>
        <v/>
      </c>
    </row>
    <row r="4683" spans="2:24" x14ac:dyDescent="0.25">
      <c r="N4683" s="8" t="str">
        <f>IF(R4683="x",1,"")</f>
        <v/>
      </c>
      <c r="U4683" s="46" t="str">
        <f t="shared" si="1972"/>
        <v/>
      </c>
      <c r="V4683" s="46" t="str">
        <f t="shared" si="1972"/>
        <v/>
      </c>
      <c r="W4683" s="46" t="str">
        <f t="shared" si="1972"/>
        <v/>
      </c>
      <c r="X4683" s="46" t="str">
        <f t="shared" si="1972"/>
        <v/>
      </c>
    </row>
    <row r="4684" spans="2:24" x14ac:dyDescent="0.25">
      <c r="B4684" s="18"/>
      <c r="C4684" s="18"/>
      <c r="D4684" s="18"/>
      <c r="E4684" s="40"/>
      <c r="F4684" s="18"/>
      <c r="G4684" s="40"/>
      <c r="H4684" s="7">
        <f t="shared" ref="H4684:N4684" si="1973">SUM(H4681:H4683)</f>
        <v>0</v>
      </c>
      <c r="I4684" s="7">
        <f t="shared" si="1973"/>
        <v>0</v>
      </c>
      <c r="J4684" s="7">
        <f>SUM(J4681:J4683)</f>
        <v>15</v>
      </c>
      <c r="K4684" s="7">
        <f t="shared" si="1973"/>
        <v>0</v>
      </c>
      <c r="L4684" s="7">
        <f t="shared" si="1973"/>
        <v>15</v>
      </c>
      <c r="M4684" s="7">
        <f t="shared" si="1973"/>
        <v>2</v>
      </c>
      <c r="N4684" s="7">
        <f t="shared" si="1973"/>
        <v>2</v>
      </c>
      <c r="O4684" s="18"/>
      <c r="P4684" s="13"/>
      <c r="Q4684" s="13"/>
      <c r="S4684" s="13"/>
      <c r="T4684" s="15"/>
      <c r="U4684" s="46" t="str">
        <f t="shared" si="1972"/>
        <v/>
      </c>
      <c r="V4684" s="46" t="str">
        <f t="shared" si="1972"/>
        <v/>
      </c>
      <c r="W4684" s="46" t="str">
        <f t="shared" si="1972"/>
        <v/>
      </c>
      <c r="X4684" s="46" t="str">
        <f t="shared" si="1972"/>
        <v/>
      </c>
    </row>
    <row r="4685" spans="2:24" x14ac:dyDescent="0.25">
      <c r="B4685" s="18"/>
      <c r="C4685" s="18"/>
      <c r="D4685" s="18"/>
      <c r="E4685" s="40"/>
      <c r="F4685" s="18"/>
      <c r="G4685" s="40"/>
      <c r="N4685" s="8" t="str">
        <f>IF(R4685="x",1,"")</f>
        <v/>
      </c>
      <c r="O4685" s="18"/>
      <c r="P4685" s="13"/>
      <c r="Q4685" s="13"/>
      <c r="R4685" s="13"/>
      <c r="S4685" s="13"/>
      <c r="T4685" s="15"/>
      <c r="U4685" s="46" t="str">
        <f t="shared" si="1930"/>
        <v/>
      </c>
      <c r="V4685" s="46" t="str">
        <f t="shared" si="1930"/>
        <v/>
      </c>
      <c r="W4685" s="46" t="str">
        <f t="shared" si="1930"/>
        <v/>
      </c>
      <c r="X4685" s="46" t="str">
        <f t="shared" si="1930"/>
        <v/>
      </c>
    </row>
    <row r="4686" spans="2:24" x14ac:dyDescent="0.25">
      <c r="B4686" s="18"/>
      <c r="C4686" s="18"/>
      <c r="D4686" s="18"/>
      <c r="E4686" s="40"/>
      <c r="F4686" s="18"/>
      <c r="G4686" s="40"/>
      <c r="N4686" s="8" t="str">
        <f>IF(R4686="x",1,"")</f>
        <v/>
      </c>
      <c r="O4686" s="18"/>
      <c r="P4686" s="13"/>
      <c r="Q4686" s="13"/>
      <c r="R4686" s="13"/>
      <c r="S4686" s="13"/>
      <c r="T4686" s="15"/>
      <c r="U4686" s="46" t="str">
        <f t="shared" si="1930"/>
        <v/>
      </c>
      <c r="V4686" s="46" t="str">
        <f t="shared" si="1930"/>
        <v/>
      </c>
      <c r="W4686" s="46" t="str">
        <f t="shared" si="1930"/>
        <v/>
      </c>
      <c r="X4686" s="46" t="str">
        <f t="shared" si="1930"/>
        <v/>
      </c>
    </row>
    <row r="4687" spans="2:24" x14ac:dyDescent="0.25">
      <c r="B4687" s="11" t="str">
        <f t="shared" ref="B4687:B4692" si="1974">CONCATENATE("NORT","-",LEFT(P4687,2),UPPER(MID(P4687,4,3)),RIGHT(P4687,4))</f>
        <v>NORT-12APR1915</v>
      </c>
      <c r="C4687" s="11" t="s">
        <v>5895</v>
      </c>
      <c r="D4687" s="11" t="s">
        <v>2097</v>
      </c>
      <c r="E4687" s="39" t="s">
        <v>6003</v>
      </c>
      <c r="F4687" s="11" t="s">
        <v>2922</v>
      </c>
      <c r="G4687" s="39" t="s">
        <v>6004</v>
      </c>
      <c r="I4687" s="7">
        <v>2</v>
      </c>
      <c r="J4687" s="17">
        <v>0</v>
      </c>
      <c r="K4687" s="17"/>
      <c r="L4687" s="7">
        <f t="shared" ref="L4687:L4692" si="1975">SUM(H4687:K4687)</f>
        <v>2</v>
      </c>
      <c r="M4687" s="8">
        <v>1</v>
      </c>
      <c r="N4687" s="8">
        <f t="shared" ref="N4687:N4692" si="1976">IF(L4687&gt;0,1,"")</f>
        <v>1</v>
      </c>
      <c r="O4687" s="11" t="s">
        <v>1702</v>
      </c>
      <c r="P4687" s="16" t="str">
        <f t="shared" ref="P4687:P4692" si="1977">IF(LEN(G4687)=10,CONCATENATE("0",G4687),G4687)</f>
        <v>12-Apr-1915</v>
      </c>
      <c r="R4687" s="16" t="str">
        <f t="shared" ref="R4687:S4692" si="1978">IF($L4687&gt;0,"x","")</f>
        <v>x</v>
      </c>
      <c r="S4687" s="16" t="str">
        <f t="shared" si="1978"/>
        <v>x</v>
      </c>
      <c r="U4687" s="46" t="str">
        <f t="shared" si="1930"/>
        <v/>
      </c>
      <c r="V4687" s="46">
        <f t="shared" si="1930"/>
        <v>2</v>
      </c>
      <c r="W4687" s="46" t="str">
        <f t="shared" si="1930"/>
        <v/>
      </c>
      <c r="X4687" s="46" t="str">
        <f t="shared" si="1930"/>
        <v/>
      </c>
    </row>
    <row r="4688" spans="2:24" x14ac:dyDescent="0.25">
      <c r="B4688" s="11" t="str">
        <f t="shared" si="1974"/>
        <v>NORT-10DEC1926</v>
      </c>
      <c r="C4688" s="11" t="s">
        <v>5895</v>
      </c>
      <c r="D4688" s="11" t="s">
        <v>3122</v>
      </c>
      <c r="E4688" s="39" t="s">
        <v>11279</v>
      </c>
      <c r="F4688" s="11" t="s">
        <v>4211</v>
      </c>
      <c r="G4688" s="39" t="s">
        <v>11279</v>
      </c>
      <c r="H4688" s="7">
        <v>3</v>
      </c>
      <c r="J4688" s="17">
        <v>0</v>
      </c>
      <c r="K4688" s="17"/>
      <c r="L4688" s="7">
        <f t="shared" si="1975"/>
        <v>3</v>
      </c>
      <c r="M4688" s="8">
        <v>1</v>
      </c>
      <c r="N4688" s="8">
        <f t="shared" si="1976"/>
        <v>1</v>
      </c>
      <c r="O4688" s="11" t="s">
        <v>1702</v>
      </c>
      <c r="P4688" s="16" t="str">
        <f t="shared" si="1977"/>
        <v>10-Dec-1926</v>
      </c>
      <c r="R4688" s="16" t="str">
        <f t="shared" si="1978"/>
        <v>x</v>
      </c>
      <c r="S4688" s="16" t="str">
        <f t="shared" si="1978"/>
        <v>x</v>
      </c>
      <c r="U4688" s="46" t="str">
        <f t="shared" ref="U4688:X4692" si="1979">IF($O4688=U$5,$L4688,"")</f>
        <v/>
      </c>
      <c r="V4688" s="46">
        <f t="shared" si="1979"/>
        <v>3</v>
      </c>
      <c r="W4688" s="46" t="str">
        <f t="shared" si="1979"/>
        <v/>
      </c>
      <c r="X4688" s="46" t="str">
        <f t="shared" si="1979"/>
        <v/>
      </c>
    </row>
    <row r="4689" spans="2:24" x14ac:dyDescent="0.25">
      <c r="B4689" s="11" t="str">
        <f t="shared" si="1974"/>
        <v>NORT-21DEC1927</v>
      </c>
      <c r="C4689" s="11" t="s">
        <v>5895</v>
      </c>
      <c r="D4689" s="11" t="s">
        <v>3122</v>
      </c>
      <c r="E4689" s="39" t="s">
        <v>11336</v>
      </c>
      <c r="F4689" s="11" t="s">
        <v>4211</v>
      </c>
      <c r="G4689" s="39" t="s">
        <v>11336</v>
      </c>
      <c r="H4689" s="7">
        <v>8</v>
      </c>
      <c r="J4689" s="17"/>
      <c r="K4689" s="17"/>
      <c r="L4689" s="7">
        <f t="shared" si="1975"/>
        <v>8</v>
      </c>
      <c r="M4689" s="8">
        <v>1</v>
      </c>
      <c r="N4689" s="8">
        <f t="shared" si="1976"/>
        <v>1</v>
      </c>
      <c r="O4689" s="11" t="s">
        <v>1702</v>
      </c>
      <c r="P4689" s="16" t="str">
        <f t="shared" si="1977"/>
        <v>21-Dec-1927</v>
      </c>
      <c r="R4689" s="16" t="str">
        <f t="shared" si="1978"/>
        <v>x</v>
      </c>
      <c r="S4689" s="16" t="str">
        <f t="shared" si="1978"/>
        <v>x</v>
      </c>
      <c r="U4689" s="46" t="str">
        <f t="shared" si="1979"/>
        <v/>
      </c>
      <c r="V4689" s="46">
        <f t="shared" si="1979"/>
        <v>8</v>
      </c>
      <c r="W4689" s="46" t="str">
        <f t="shared" si="1979"/>
        <v/>
      </c>
      <c r="X4689" s="46" t="str">
        <f t="shared" si="1979"/>
        <v/>
      </c>
    </row>
    <row r="4690" spans="2:24" x14ac:dyDescent="0.25">
      <c r="B4690" s="11" t="str">
        <f t="shared" si="1974"/>
        <v>NORT-04JAN1929</v>
      </c>
      <c r="C4690" s="11" t="s">
        <v>5895</v>
      </c>
      <c r="D4690" s="11" t="s">
        <v>3122</v>
      </c>
      <c r="E4690" s="39" t="s">
        <v>11264</v>
      </c>
      <c r="F4690" s="11" t="s">
        <v>4211</v>
      </c>
      <c r="G4690" s="39" t="s">
        <v>11264</v>
      </c>
      <c r="H4690" s="7">
        <v>4</v>
      </c>
      <c r="J4690" s="17">
        <v>0</v>
      </c>
      <c r="K4690" s="17"/>
      <c r="L4690" s="7">
        <f t="shared" si="1975"/>
        <v>4</v>
      </c>
      <c r="M4690" s="8">
        <v>1</v>
      </c>
      <c r="N4690" s="8">
        <f t="shared" si="1976"/>
        <v>1</v>
      </c>
      <c r="O4690" s="11" t="s">
        <v>1702</v>
      </c>
      <c r="P4690" s="16" t="str">
        <f t="shared" si="1977"/>
        <v>04-Jan-1929</v>
      </c>
      <c r="R4690" s="16" t="str">
        <f t="shared" si="1978"/>
        <v>x</v>
      </c>
      <c r="S4690" s="16" t="str">
        <f t="shared" si="1978"/>
        <v>x</v>
      </c>
      <c r="U4690" s="46" t="str">
        <f t="shared" si="1979"/>
        <v/>
      </c>
      <c r="V4690" s="46">
        <f t="shared" si="1979"/>
        <v>4</v>
      </c>
      <c r="W4690" s="46" t="str">
        <f t="shared" si="1979"/>
        <v/>
      </c>
      <c r="X4690" s="46" t="str">
        <f t="shared" si="1979"/>
        <v/>
      </c>
    </row>
    <row r="4691" spans="2:24" x14ac:dyDescent="0.25">
      <c r="B4691" s="11" t="str">
        <f t="shared" si="1974"/>
        <v>NORT-18JAN1929</v>
      </c>
      <c r="C4691" s="11" t="s">
        <v>5895</v>
      </c>
      <c r="D4691" s="11" t="s">
        <v>3122</v>
      </c>
      <c r="E4691" s="39" t="s">
        <v>11350</v>
      </c>
      <c r="F4691" s="11" t="s">
        <v>4211</v>
      </c>
      <c r="G4691" s="39" t="s">
        <v>11350</v>
      </c>
      <c r="H4691" s="7">
        <v>2</v>
      </c>
      <c r="J4691" s="17"/>
      <c r="K4691" s="17"/>
      <c r="L4691" s="7">
        <f t="shared" si="1975"/>
        <v>2</v>
      </c>
      <c r="M4691" s="8">
        <v>1</v>
      </c>
      <c r="N4691" s="8">
        <f t="shared" si="1976"/>
        <v>1</v>
      </c>
      <c r="O4691" s="11" t="s">
        <v>1702</v>
      </c>
      <c r="P4691" s="16" t="str">
        <f t="shared" si="1977"/>
        <v>18-Jan-1929</v>
      </c>
      <c r="R4691" s="16" t="str">
        <f t="shared" si="1978"/>
        <v>x</v>
      </c>
      <c r="S4691" s="16" t="str">
        <f t="shared" si="1978"/>
        <v>x</v>
      </c>
      <c r="U4691" s="46" t="str">
        <f t="shared" si="1979"/>
        <v/>
      </c>
      <c r="V4691" s="46">
        <f t="shared" si="1979"/>
        <v>2</v>
      </c>
      <c r="W4691" s="46" t="str">
        <f t="shared" si="1979"/>
        <v/>
      </c>
      <c r="X4691" s="46" t="str">
        <f t="shared" si="1979"/>
        <v/>
      </c>
    </row>
    <row r="4692" spans="2:24" x14ac:dyDescent="0.25">
      <c r="B4692" s="11" t="str">
        <f t="shared" si="1974"/>
        <v>NORT-12FEB1930</v>
      </c>
      <c r="C4692" s="11" t="s">
        <v>5895</v>
      </c>
      <c r="D4692" s="11" t="s">
        <v>3122</v>
      </c>
      <c r="E4692" s="39" t="s">
        <v>5896</v>
      </c>
      <c r="F4692" s="11" t="s">
        <v>4211</v>
      </c>
      <c r="G4692" s="39" t="s">
        <v>5896</v>
      </c>
      <c r="H4692" s="7">
        <v>1</v>
      </c>
      <c r="J4692" s="17"/>
      <c r="K4692" s="17"/>
      <c r="L4692" s="7">
        <f t="shared" si="1975"/>
        <v>1</v>
      </c>
      <c r="M4692" s="8">
        <v>1</v>
      </c>
      <c r="N4692" s="8">
        <f t="shared" si="1976"/>
        <v>1</v>
      </c>
      <c r="O4692" s="11" t="s">
        <v>1702</v>
      </c>
      <c r="P4692" s="16" t="str">
        <f t="shared" si="1977"/>
        <v>12-Feb-1930</v>
      </c>
      <c r="R4692" s="16" t="str">
        <f t="shared" si="1978"/>
        <v>x</v>
      </c>
      <c r="S4692" s="16" t="str">
        <f t="shared" si="1978"/>
        <v>x</v>
      </c>
      <c r="U4692" s="46" t="str">
        <f t="shared" si="1979"/>
        <v/>
      </c>
      <c r="V4692" s="46">
        <f t="shared" si="1979"/>
        <v>1</v>
      </c>
      <c r="W4692" s="46" t="str">
        <f t="shared" si="1979"/>
        <v/>
      </c>
      <c r="X4692" s="46" t="str">
        <f t="shared" si="1979"/>
        <v/>
      </c>
    </row>
    <row r="4693" spans="2:24" x14ac:dyDescent="0.25">
      <c r="N4693" s="8" t="str">
        <f>IF(R4693="x",1,"")</f>
        <v/>
      </c>
      <c r="U4693" s="46" t="str">
        <f t="shared" si="1930"/>
        <v/>
      </c>
      <c r="V4693" s="46" t="str">
        <f t="shared" si="1930"/>
        <v/>
      </c>
      <c r="W4693" s="46" t="str">
        <f t="shared" si="1930"/>
        <v/>
      </c>
      <c r="X4693" s="46" t="str">
        <f t="shared" si="1930"/>
        <v/>
      </c>
    </row>
    <row r="4694" spans="2:24" x14ac:dyDescent="0.25">
      <c r="B4694" s="18"/>
      <c r="C4694" s="18"/>
      <c r="D4694" s="18"/>
      <c r="E4694" s="40"/>
      <c r="F4694" s="18"/>
      <c r="G4694" s="40"/>
      <c r="H4694" s="7">
        <f t="shared" ref="H4694:N4694" si="1980">SUM(H4687:H4693)</f>
        <v>18</v>
      </c>
      <c r="I4694" s="7">
        <f t="shared" si="1980"/>
        <v>2</v>
      </c>
      <c r="J4694" s="7">
        <f>SUM(J4687:J4693)</f>
        <v>0</v>
      </c>
      <c r="K4694" s="7">
        <f t="shared" si="1980"/>
        <v>0</v>
      </c>
      <c r="L4694" s="7">
        <f t="shared" si="1980"/>
        <v>20</v>
      </c>
      <c r="M4694" s="7">
        <f t="shared" si="1980"/>
        <v>6</v>
      </c>
      <c r="N4694" s="7">
        <f t="shared" si="1980"/>
        <v>6</v>
      </c>
      <c r="O4694" s="18"/>
      <c r="P4694" s="13"/>
      <c r="Q4694" s="13"/>
      <c r="S4694" s="13"/>
      <c r="T4694" s="15"/>
      <c r="U4694" s="46" t="str">
        <f t="shared" si="1930"/>
        <v/>
      </c>
      <c r="V4694" s="46" t="str">
        <f t="shared" si="1930"/>
        <v/>
      </c>
      <c r="W4694" s="46" t="str">
        <f t="shared" si="1930"/>
        <v/>
      </c>
      <c r="X4694" s="46" t="str">
        <f t="shared" si="1930"/>
        <v/>
      </c>
    </row>
    <row r="4695" spans="2:24" x14ac:dyDescent="0.25">
      <c r="B4695" s="18"/>
      <c r="C4695" s="18"/>
      <c r="D4695" s="18"/>
      <c r="E4695" s="40"/>
      <c r="F4695" s="18"/>
      <c r="G4695" s="40"/>
      <c r="N4695" s="8" t="str">
        <f>IF(R4695="x",1,"")</f>
        <v/>
      </c>
      <c r="O4695" s="18"/>
      <c r="P4695" s="13"/>
      <c r="Q4695" s="13"/>
      <c r="R4695" s="13"/>
      <c r="S4695" s="13"/>
      <c r="T4695" s="15"/>
      <c r="U4695" s="46" t="str">
        <f t="shared" si="1930"/>
        <v/>
      </c>
      <c r="V4695" s="46" t="str">
        <f t="shared" si="1930"/>
        <v/>
      </c>
      <c r="W4695" s="46" t="str">
        <f t="shared" si="1930"/>
        <v/>
      </c>
      <c r="X4695" s="46" t="str">
        <f t="shared" si="1930"/>
        <v/>
      </c>
    </row>
    <row r="4696" spans="2:24" x14ac:dyDescent="0.25">
      <c r="B4696" s="18"/>
      <c r="C4696" s="18"/>
      <c r="D4696" s="18"/>
      <c r="E4696" s="40"/>
      <c r="F4696" s="18"/>
      <c r="G4696" s="40"/>
      <c r="N4696" s="8" t="str">
        <f>IF(R4696="x",1,"")</f>
        <v/>
      </c>
      <c r="O4696" s="18"/>
      <c r="P4696" s="13"/>
      <c r="Q4696" s="13"/>
      <c r="R4696" s="13"/>
      <c r="S4696" s="13"/>
      <c r="T4696" s="15"/>
      <c r="U4696" s="46" t="str">
        <f t="shared" si="1930"/>
        <v/>
      </c>
      <c r="V4696" s="46" t="str">
        <f t="shared" si="1930"/>
        <v/>
      </c>
      <c r="W4696" s="46" t="str">
        <f t="shared" si="1930"/>
        <v/>
      </c>
      <c r="X4696" s="46" t="str">
        <f>IF($O4696=X$5,$L4696,"")</f>
        <v/>
      </c>
    </row>
    <row r="4697" spans="2:24" x14ac:dyDescent="0.25">
      <c r="B4697" s="11" t="str">
        <f>CONCATENATE("NORW","-",LEFT(P4697,2),UPPER(MID(P4697,4,3)),RIGHT(P4697,4))</f>
        <v>NORW-12JAN1894</v>
      </c>
      <c r="C4697" s="11" t="s">
        <v>4098</v>
      </c>
      <c r="D4697" s="11" t="s">
        <v>3249</v>
      </c>
      <c r="F4697" s="11" t="s">
        <v>1700</v>
      </c>
      <c r="G4697" s="39" t="s">
        <v>4099</v>
      </c>
      <c r="H4697" s="7">
        <v>0</v>
      </c>
      <c r="I4697" s="7">
        <v>0</v>
      </c>
      <c r="J4697" s="17">
        <v>2</v>
      </c>
      <c r="K4697" s="17"/>
      <c r="L4697" s="7">
        <f>SUM(H4697:K4697)</f>
        <v>2</v>
      </c>
      <c r="M4697" s="8">
        <v>1</v>
      </c>
      <c r="N4697" s="8">
        <f>IF(L4697&gt;0,1,"")</f>
        <v>1</v>
      </c>
      <c r="O4697" s="11" t="s">
        <v>1702</v>
      </c>
      <c r="P4697" s="16" t="str">
        <f>IF(LEN(G4697)=10,CONCATENATE("0",G4697),G4697)</f>
        <v>12-Jan-1894</v>
      </c>
      <c r="R4697" s="16" t="str">
        <f>IF($L4697&gt;0,"x","")</f>
        <v>x</v>
      </c>
      <c r="S4697" s="16" t="str">
        <f>IF($L4697&gt;0,"x","")</f>
        <v>x</v>
      </c>
      <c r="U4697" s="46" t="str">
        <f t="shared" ref="U4697:X4780" si="1981">IF($O4697=U$5,$L4697,"")</f>
        <v/>
      </c>
      <c r="V4697" s="46">
        <f t="shared" si="1981"/>
        <v>2</v>
      </c>
      <c r="W4697" s="46" t="str">
        <f t="shared" si="1981"/>
        <v/>
      </c>
      <c r="X4697" s="46" t="str">
        <f t="shared" si="1981"/>
        <v/>
      </c>
    </row>
    <row r="4698" spans="2:24" x14ac:dyDescent="0.25">
      <c r="N4698" s="8" t="str">
        <f>IF(R4698="x",1,"")</f>
        <v/>
      </c>
      <c r="U4698" s="46" t="str">
        <f t="shared" si="1981"/>
        <v/>
      </c>
      <c r="V4698" s="46" t="str">
        <f t="shared" si="1981"/>
        <v/>
      </c>
      <c r="W4698" s="46" t="str">
        <f t="shared" si="1981"/>
        <v/>
      </c>
      <c r="X4698" s="46" t="str">
        <f t="shared" si="1981"/>
        <v/>
      </c>
    </row>
    <row r="4699" spans="2:24" x14ac:dyDescent="0.25">
      <c r="B4699" s="18"/>
      <c r="C4699" s="18"/>
      <c r="D4699" s="18"/>
      <c r="E4699" s="40"/>
      <c r="F4699" s="18"/>
      <c r="G4699" s="40"/>
      <c r="H4699" s="7">
        <f t="shared" ref="H4699:N4699" si="1982">SUM(H4697:H4698)</f>
        <v>0</v>
      </c>
      <c r="I4699" s="7">
        <f t="shared" si="1982"/>
        <v>0</v>
      </c>
      <c r="J4699" s="7">
        <f>SUM(J4697:J4698)</f>
        <v>2</v>
      </c>
      <c r="K4699" s="7">
        <f t="shared" si="1982"/>
        <v>0</v>
      </c>
      <c r="L4699" s="7">
        <f t="shared" si="1982"/>
        <v>2</v>
      </c>
      <c r="M4699" s="7">
        <f t="shared" si="1982"/>
        <v>1</v>
      </c>
      <c r="N4699" s="7">
        <f t="shared" si="1982"/>
        <v>1</v>
      </c>
      <c r="O4699" s="18"/>
      <c r="P4699" s="13"/>
      <c r="Q4699" s="13"/>
      <c r="S4699" s="13"/>
      <c r="T4699" s="15"/>
      <c r="U4699" s="46" t="str">
        <f t="shared" si="1981"/>
        <v/>
      </c>
      <c r="V4699" s="46" t="str">
        <f t="shared" si="1981"/>
        <v/>
      </c>
      <c r="W4699" s="46" t="str">
        <f t="shared" si="1981"/>
        <v/>
      </c>
      <c r="X4699" s="46" t="str">
        <f t="shared" si="1981"/>
        <v/>
      </c>
    </row>
    <row r="4700" spans="2:24" x14ac:dyDescent="0.25">
      <c r="B4700" s="18"/>
      <c r="C4700" s="18"/>
      <c r="D4700" s="18"/>
      <c r="E4700" s="40"/>
      <c r="F4700" s="18"/>
      <c r="G4700" s="40"/>
      <c r="N4700" s="8" t="str">
        <f>IF(R4700="x",1,"")</f>
        <v/>
      </c>
      <c r="O4700" s="18"/>
      <c r="P4700" s="13"/>
      <c r="Q4700" s="13"/>
      <c r="R4700" s="13"/>
      <c r="S4700" s="13"/>
      <c r="T4700" s="15"/>
      <c r="U4700" s="46" t="str">
        <f t="shared" si="1981"/>
        <v/>
      </c>
      <c r="V4700" s="46" t="str">
        <f t="shared" si="1981"/>
        <v/>
      </c>
      <c r="W4700" s="46" t="str">
        <f t="shared" si="1981"/>
        <v/>
      </c>
      <c r="X4700" s="46" t="str">
        <f t="shared" si="1981"/>
        <v/>
      </c>
    </row>
    <row r="4701" spans="2:24" x14ac:dyDescent="0.25">
      <c r="B4701" s="18"/>
      <c r="C4701" s="18"/>
      <c r="D4701" s="18"/>
      <c r="E4701" s="40"/>
      <c r="F4701" s="18"/>
      <c r="G4701" s="40"/>
      <c r="N4701" s="8" t="str">
        <f>IF(R4701="x",1,"")</f>
        <v/>
      </c>
      <c r="O4701" s="18"/>
      <c r="P4701" s="13"/>
      <c r="Q4701" s="13"/>
      <c r="R4701" s="13"/>
      <c r="S4701" s="13"/>
      <c r="T4701" s="15"/>
      <c r="U4701" s="46" t="str">
        <f t="shared" si="1981"/>
        <v/>
      </c>
      <c r="V4701" s="46" t="str">
        <f t="shared" si="1981"/>
        <v/>
      </c>
      <c r="W4701" s="46" t="str">
        <f t="shared" si="1981"/>
        <v/>
      </c>
      <c r="X4701" s="46" t="str">
        <f t="shared" si="1981"/>
        <v/>
      </c>
    </row>
    <row r="4702" spans="2:24" x14ac:dyDescent="0.25">
      <c r="B4702" s="11" t="str">
        <f>CONCATENATE("NUES","-",LEFT(P4702,2),UPPER(MID(P4702,4,3)),RIGHT(P4702,4))</f>
        <v>NUES-17NOV1890</v>
      </c>
      <c r="C4702" s="11" t="s">
        <v>3556</v>
      </c>
      <c r="D4702" s="11" t="s">
        <v>3007</v>
      </c>
      <c r="F4702" s="11" t="s">
        <v>1700</v>
      </c>
      <c r="G4702" s="39" t="s">
        <v>5119</v>
      </c>
      <c r="J4702" s="17">
        <v>7</v>
      </c>
      <c r="K4702" s="17"/>
      <c r="L4702" s="7">
        <f>SUM(H4702:K4702)</f>
        <v>7</v>
      </c>
      <c r="M4702" s="8">
        <v>1</v>
      </c>
      <c r="N4702" s="8">
        <f>IF(L4702&gt;0,1,"")</f>
        <v>1</v>
      </c>
      <c r="O4702" s="11" t="s">
        <v>1702</v>
      </c>
      <c r="P4702" s="16" t="str">
        <f>IF(LEN(G4702)=10,CONCATENATE("0",G4702),G4702)</f>
        <v>17-Nov-1890</v>
      </c>
      <c r="R4702" s="16" t="str">
        <f t="shared" ref="R4702:S4706" si="1983">IF($L4702&gt;0,"x","")</f>
        <v>x</v>
      </c>
      <c r="S4702" s="16" t="str">
        <f t="shared" si="1983"/>
        <v>x</v>
      </c>
      <c r="U4702" s="46" t="str">
        <f t="shared" si="1981"/>
        <v/>
      </c>
      <c r="V4702" s="46">
        <f t="shared" si="1981"/>
        <v>7</v>
      </c>
      <c r="W4702" s="46" t="str">
        <f t="shared" si="1981"/>
        <v/>
      </c>
      <c r="X4702" s="46" t="str">
        <f t="shared" si="1981"/>
        <v/>
      </c>
    </row>
    <row r="4703" spans="2:24" x14ac:dyDescent="0.25">
      <c r="B4703" s="11" t="str">
        <f>CONCATENATE("NUES","-",LEFT(P4703,2),UPPER(MID(P4703,4,3)),RIGHT(P4703,4))</f>
        <v>NUES-23SEP1895</v>
      </c>
      <c r="C4703" s="11" t="s">
        <v>3556</v>
      </c>
      <c r="D4703" s="11" t="s">
        <v>4877</v>
      </c>
      <c r="F4703" s="11" t="s">
        <v>1700</v>
      </c>
      <c r="G4703" s="39" t="s">
        <v>264</v>
      </c>
      <c r="J4703" s="17">
        <v>1</v>
      </c>
      <c r="K4703" s="17"/>
      <c r="L4703" s="7">
        <f>SUM(H4703:K4703)</f>
        <v>1</v>
      </c>
      <c r="M4703" s="8">
        <v>1</v>
      </c>
      <c r="N4703" s="8">
        <f>IF(L4703&gt;0,1,"")</f>
        <v>1</v>
      </c>
      <c r="O4703" s="11" t="s">
        <v>1702</v>
      </c>
      <c r="P4703" s="16" t="str">
        <f>IF(LEN(G4703)=10,CONCATENATE("0",G4703),G4703)</f>
        <v>23-Sep-1895</v>
      </c>
      <c r="R4703" s="16" t="str">
        <f t="shared" si="1983"/>
        <v>x</v>
      </c>
      <c r="S4703" s="16" t="str">
        <f t="shared" si="1983"/>
        <v>x</v>
      </c>
      <c r="U4703" s="46" t="str">
        <f t="shared" ref="U4703:X4706" si="1984">IF($O4703=U$5,$L4703,"")</f>
        <v/>
      </c>
      <c r="V4703" s="46">
        <f t="shared" si="1984"/>
        <v>1</v>
      </c>
      <c r="W4703" s="46" t="str">
        <f t="shared" si="1984"/>
        <v/>
      </c>
      <c r="X4703" s="46" t="str">
        <f t="shared" si="1984"/>
        <v/>
      </c>
    </row>
    <row r="4704" spans="2:24" x14ac:dyDescent="0.25">
      <c r="B4704" s="11" t="str">
        <f>CONCATENATE("NUES","-",LEFT(P4704,2),UPPER(MID(P4704,4,3)),RIGHT(P4704,4))</f>
        <v>NUES-18OCT1897</v>
      </c>
      <c r="C4704" s="11" t="s">
        <v>3556</v>
      </c>
      <c r="D4704" s="11" t="s">
        <v>870</v>
      </c>
      <c r="E4704" s="39" t="s">
        <v>1713</v>
      </c>
      <c r="F4704" s="11" t="s">
        <v>1700</v>
      </c>
      <c r="G4704" s="39" t="s">
        <v>6329</v>
      </c>
      <c r="J4704" s="17">
        <v>13</v>
      </c>
      <c r="K4704" s="17"/>
      <c r="L4704" s="7">
        <f>SUM(H4704:K4704)</f>
        <v>13</v>
      </c>
      <c r="M4704" s="8">
        <v>1</v>
      </c>
      <c r="N4704" s="8">
        <f>IF(L4704&gt;0,1,"")</f>
        <v>1</v>
      </c>
      <c r="O4704" s="11" t="s">
        <v>1702</v>
      </c>
      <c r="P4704" s="16" t="str">
        <f>IF(LEN(G4704)=10,CONCATENATE("0",G4704),G4704)</f>
        <v>18-Oct-1897</v>
      </c>
      <c r="R4704" s="16" t="str">
        <f t="shared" si="1983"/>
        <v>x</v>
      </c>
      <c r="S4704" s="16" t="str">
        <f t="shared" si="1983"/>
        <v>x</v>
      </c>
      <c r="U4704" s="46" t="str">
        <f t="shared" si="1984"/>
        <v/>
      </c>
      <c r="V4704" s="46">
        <f t="shared" si="1984"/>
        <v>13</v>
      </c>
      <c r="W4704" s="46" t="str">
        <f t="shared" si="1984"/>
        <v/>
      </c>
      <c r="X4704" s="46" t="str">
        <f t="shared" si="1984"/>
        <v/>
      </c>
    </row>
    <row r="4705" spans="2:26" x14ac:dyDescent="0.25">
      <c r="B4705" s="11" t="str">
        <f>CONCATENATE("NUES","-",LEFT(P4705,2),UPPER(MID(P4705,4,3)),RIGHT(P4705,4))</f>
        <v>NUES-24FEB1898</v>
      </c>
      <c r="C4705" s="11" t="s">
        <v>3556</v>
      </c>
      <c r="D4705" s="11" t="s">
        <v>870</v>
      </c>
      <c r="E4705" s="39" t="s">
        <v>467</v>
      </c>
      <c r="F4705" s="11" t="s">
        <v>1700</v>
      </c>
      <c r="G4705" s="39" t="s">
        <v>207</v>
      </c>
      <c r="J4705" s="17">
        <v>5</v>
      </c>
      <c r="K4705" s="17"/>
      <c r="L4705" s="7">
        <f>SUM(H4705:K4705)</f>
        <v>5</v>
      </c>
      <c r="M4705" s="8">
        <v>1</v>
      </c>
      <c r="N4705" s="8">
        <f>IF(L4705&gt;0,1,"")</f>
        <v>1</v>
      </c>
      <c r="O4705" s="11" t="s">
        <v>1702</v>
      </c>
      <c r="P4705" s="16" t="str">
        <f>IF(LEN(G4705)=10,CONCATENATE("0",G4705),G4705)</f>
        <v>24-Feb-1898</v>
      </c>
      <c r="R4705" s="16" t="str">
        <f t="shared" si="1983"/>
        <v>x</v>
      </c>
      <c r="S4705" s="16" t="str">
        <f t="shared" si="1983"/>
        <v>x</v>
      </c>
      <c r="U4705" s="46" t="str">
        <f t="shared" si="1984"/>
        <v/>
      </c>
      <c r="V4705" s="46">
        <f t="shared" si="1984"/>
        <v>5</v>
      </c>
      <c r="W4705" s="46" t="str">
        <f t="shared" si="1984"/>
        <v/>
      </c>
      <c r="X4705" s="46" t="str">
        <f t="shared" si="1984"/>
        <v/>
      </c>
    </row>
    <row r="4706" spans="2:26" x14ac:dyDescent="0.25">
      <c r="B4706" s="11" t="str">
        <f>CONCATENATE("NUES","-",LEFT(P4706,2),UPPER(MID(P4706,4,3)),RIGHT(P4706,4))</f>
        <v>NUES-23AUG1899</v>
      </c>
      <c r="C4706" s="11" t="s">
        <v>3556</v>
      </c>
      <c r="D4706" s="11" t="s">
        <v>870</v>
      </c>
      <c r="E4706" s="39" t="s">
        <v>5664</v>
      </c>
      <c r="F4706" s="11" t="s">
        <v>1700</v>
      </c>
      <c r="G4706" s="39" t="s">
        <v>5665</v>
      </c>
      <c r="J4706" s="17">
        <v>8</v>
      </c>
      <c r="K4706" s="17"/>
      <c r="L4706" s="7">
        <f>SUM(H4706:K4706)</f>
        <v>8</v>
      </c>
      <c r="M4706" s="8">
        <v>1</v>
      </c>
      <c r="N4706" s="8">
        <f>IF(L4706&gt;0,1,"")</f>
        <v>1</v>
      </c>
      <c r="O4706" s="11" t="s">
        <v>1702</v>
      </c>
      <c r="P4706" s="16" t="str">
        <f>IF(LEN(G4706)=10,CONCATENATE("0",G4706),G4706)</f>
        <v>23-Aug-1899</v>
      </c>
      <c r="R4706" s="16" t="str">
        <f t="shared" si="1983"/>
        <v>x</v>
      </c>
      <c r="S4706" s="16" t="str">
        <f t="shared" si="1983"/>
        <v>x</v>
      </c>
      <c r="U4706" s="46" t="str">
        <f t="shared" si="1984"/>
        <v/>
      </c>
      <c r="V4706" s="46">
        <f t="shared" si="1984"/>
        <v>8</v>
      </c>
      <c r="W4706" s="46" t="str">
        <f t="shared" si="1984"/>
        <v/>
      </c>
      <c r="X4706" s="46" t="str">
        <f t="shared" si="1984"/>
        <v/>
      </c>
    </row>
    <row r="4707" spans="2:26" x14ac:dyDescent="0.25">
      <c r="N4707" s="8" t="str">
        <f>IF(R4707="x",1,"")</f>
        <v/>
      </c>
      <c r="U4707" s="46" t="str">
        <f t="shared" si="1981"/>
        <v/>
      </c>
      <c r="V4707" s="46" t="str">
        <f t="shared" si="1981"/>
        <v/>
      </c>
      <c r="W4707" s="46" t="str">
        <f t="shared" si="1981"/>
        <v/>
      </c>
      <c r="X4707" s="46" t="str">
        <f t="shared" si="1981"/>
        <v/>
      </c>
    </row>
    <row r="4708" spans="2:26" x14ac:dyDescent="0.25">
      <c r="B4708" s="18"/>
      <c r="C4708" s="18"/>
      <c r="D4708" s="18"/>
      <c r="E4708" s="40"/>
      <c r="F4708" s="18"/>
      <c r="G4708" s="40"/>
      <c r="H4708" s="7">
        <f t="shared" ref="H4708:N4708" si="1985">SUM(H4702:H4707)</f>
        <v>0</v>
      </c>
      <c r="I4708" s="7">
        <f t="shared" si="1985"/>
        <v>0</v>
      </c>
      <c r="J4708" s="7">
        <f>SUM(J4702:J4707)</f>
        <v>34</v>
      </c>
      <c r="K4708" s="7">
        <f t="shared" si="1985"/>
        <v>0</v>
      </c>
      <c r="L4708" s="7">
        <f t="shared" si="1985"/>
        <v>34</v>
      </c>
      <c r="M4708" s="7">
        <f t="shared" si="1985"/>
        <v>5</v>
      </c>
      <c r="N4708" s="7">
        <f t="shared" si="1985"/>
        <v>5</v>
      </c>
      <c r="O4708" s="18"/>
      <c r="P4708" s="13"/>
      <c r="Q4708" s="13"/>
      <c r="S4708" s="13"/>
      <c r="T4708" s="15"/>
      <c r="U4708" s="46" t="str">
        <f t="shared" si="1981"/>
        <v/>
      </c>
      <c r="V4708" s="46" t="str">
        <f t="shared" si="1981"/>
        <v/>
      </c>
      <c r="W4708" s="46" t="str">
        <f t="shared" si="1981"/>
        <v/>
      </c>
      <c r="X4708" s="46" t="str">
        <f t="shared" si="1981"/>
        <v/>
      </c>
    </row>
    <row r="4709" spans="2:26" x14ac:dyDescent="0.25">
      <c r="B4709" s="18"/>
      <c r="C4709" s="18"/>
      <c r="D4709" s="18"/>
      <c r="E4709" s="40"/>
      <c r="F4709" s="18"/>
      <c r="G4709" s="40"/>
      <c r="N4709" s="8" t="str">
        <f>IF(R4709="x",1,"")</f>
        <v/>
      </c>
      <c r="O4709" s="18"/>
      <c r="P4709" s="13"/>
      <c r="Q4709" s="13"/>
      <c r="R4709" s="13"/>
      <c r="S4709" s="13"/>
      <c r="T4709" s="15"/>
      <c r="U4709" s="46" t="str">
        <f t="shared" si="1981"/>
        <v/>
      </c>
      <c r="V4709" s="46" t="str">
        <f t="shared" si="1981"/>
        <v/>
      </c>
      <c r="W4709" s="46" t="str">
        <f t="shared" si="1981"/>
        <v/>
      </c>
      <c r="X4709" s="46" t="str">
        <f t="shared" si="1981"/>
        <v/>
      </c>
    </row>
    <row r="4710" spans="2:26" x14ac:dyDescent="0.25">
      <c r="B4710" s="18"/>
      <c r="C4710" s="18"/>
      <c r="D4710" s="18"/>
      <c r="E4710" s="40"/>
      <c r="F4710" s="18"/>
      <c r="G4710" s="40"/>
      <c r="N4710" s="8" t="str">
        <f>IF(R4710="x",1,"")</f>
        <v/>
      </c>
      <c r="O4710" s="18"/>
      <c r="P4710" s="13"/>
      <c r="Q4710" s="13"/>
      <c r="R4710" s="13"/>
      <c r="S4710" s="13"/>
      <c r="T4710" s="15"/>
      <c r="U4710" s="46" t="str">
        <f t="shared" si="1981"/>
        <v/>
      </c>
      <c r="V4710" s="46" t="str">
        <f t="shared" si="1981"/>
        <v/>
      </c>
      <c r="W4710" s="46" t="str">
        <f t="shared" si="1981"/>
        <v/>
      </c>
      <c r="X4710" s="46" t="str">
        <f t="shared" si="1981"/>
        <v/>
      </c>
    </row>
    <row r="4711" spans="2:26" x14ac:dyDescent="0.25">
      <c r="B4711" s="11" t="str">
        <f t="shared" ref="B4711:B4719" si="1986">CONCATENATE("OBDM","-",LEFT(P4711,2),UPPER(MID(P4711,4,3)),RIGHT(P4711,4))</f>
        <v>OBDM-19SEP1889</v>
      </c>
      <c r="C4711" s="11" t="s">
        <v>160</v>
      </c>
      <c r="D4711" s="11" t="s">
        <v>2103</v>
      </c>
      <c r="F4711" s="11" t="s">
        <v>1700</v>
      </c>
      <c r="G4711" s="39" t="s">
        <v>11448</v>
      </c>
      <c r="H4711" s="7">
        <v>0</v>
      </c>
      <c r="I4711" s="7">
        <v>0</v>
      </c>
      <c r="J4711" s="17">
        <v>7</v>
      </c>
      <c r="K4711" s="17"/>
      <c r="L4711" s="7">
        <f t="shared" ref="L4711:L4719" si="1987">SUM(H4711:K4711)</f>
        <v>7</v>
      </c>
      <c r="M4711" s="8">
        <v>1</v>
      </c>
      <c r="N4711" s="8">
        <f t="shared" ref="N4711:N4754" si="1988">IF(L4711&gt;0,1,"")</f>
        <v>1</v>
      </c>
      <c r="O4711" s="11" t="s">
        <v>1702</v>
      </c>
      <c r="P4711" s="16" t="str">
        <f t="shared" ref="P4711:P4719" si="1989">IF(LEN(G4711)=10,CONCATENATE("0",G4711),G4711)</f>
        <v>19-Sep-1889</v>
      </c>
      <c r="R4711" s="16" t="str">
        <f>IF($L4711&gt;0,"x","")</f>
        <v>x</v>
      </c>
      <c r="S4711" s="16" t="str">
        <f>IF($L4711&gt;0,"x","")</f>
        <v>x</v>
      </c>
      <c r="U4711" s="46" t="str">
        <f t="shared" si="1981"/>
        <v/>
      </c>
      <c r="V4711" s="46">
        <f t="shared" si="1981"/>
        <v>7</v>
      </c>
      <c r="W4711" s="46" t="str">
        <f t="shared" si="1981"/>
        <v/>
      </c>
      <c r="X4711" s="46" t="str">
        <f t="shared" si="1981"/>
        <v/>
      </c>
    </row>
    <row r="4712" spans="2:26" x14ac:dyDescent="0.25">
      <c r="B4712" s="11" t="str">
        <f>CONCATENATE("OBDM","-",LEFT(P4712,2),UPPER(MID(P4712,4,3)),RIGHT(P4712,4))</f>
        <v>OBDM-13DEC1889</v>
      </c>
      <c r="C4712" s="11" t="s">
        <v>160</v>
      </c>
      <c r="D4712" s="11" t="s">
        <v>2103</v>
      </c>
      <c r="F4712" s="11" t="s">
        <v>1700</v>
      </c>
      <c r="G4712" s="39" t="s">
        <v>6016</v>
      </c>
      <c r="H4712" s="7">
        <v>0</v>
      </c>
      <c r="I4712" s="7">
        <v>0</v>
      </c>
      <c r="J4712" s="17">
        <v>19</v>
      </c>
      <c r="K4712" s="17"/>
      <c r="L4712" s="7">
        <f>SUM(H4712:K4712)</f>
        <v>19</v>
      </c>
      <c r="M4712" s="8">
        <v>1</v>
      </c>
      <c r="N4712" s="8">
        <f>IF(L4712&gt;0,1,"")</f>
        <v>1</v>
      </c>
      <c r="O4712" s="11" t="s">
        <v>1702</v>
      </c>
      <c r="P4712" s="16" t="str">
        <f>IF(LEN(G4712)=10,CONCATENATE("0",G4712),G4712)</f>
        <v>13-Dec-1889</v>
      </c>
      <c r="R4712" s="16" t="str">
        <f>IF($L4712&gt;0,"x","")</f>
        <v>x</v>
      </c>
      <c r="S4712" s="16" t="str">
        <f>IF($L4712&gt;0,"x","")</f>
        <v>x</v>
      </c>
      <c r="U4712" s="46" t="str">
        <f t="shared" ref="U4712:X4713" si="1990">IF($O4712=U$5,$L4712,"")</f>
        <v/>
      </c>
      <c r="V4712" s="46">
        <f t="shared" si="1990"/>
        <v>19</v>
      </c>
      <c r="W4712" s="46" t="str">
        <f t="shared" si="1990"/>
        <v/>
      </c>
      <c r="X4712" s="46" t="str">
        <f t="shared" si="1990"/>
        <v/>
      </c>
    </row>
    <row r="4713" spans="2:26" x14ac:dyDescent="0.25">
      <c r="B4713" s="11" t="str">
        <f>CONCATENATE("OBDM","-",LEFT(P4713,2),UPPER(MID(P4713,4,3)),RIGHT(P4713,4))</f>
        <v>OBDM-15FEB1892</v>
      </c>
      <c r="C4713" s="11" t="s">
        <v>160</v>
      </c>
      <c r="D4713" s="11" t="s">
        <v>2103</v>
      </c>
      <c r="F4713" s="11" t="s">
        <v>1700</v>
      </c>
      <c r="G4713" s="39" t="s">
        <v>161</v>
      </c>
      <c r="H4713" s="7">
        <v>0</v>
      </c>
      <c r="I4713" s="7">
        <v>0</v>
      </c>
      <c r="J4713" s="17">
        <v>3</v>
      </c>
      <c r="K4713" s="17"/>
      <c r="L4713" s="7">
        <f>SUM(H4713:K4713)</f>
        <v>3</v>
      </c>
      <c r="M4713" s="8">
        <v>1</v>
      </c>
      <c r="N4713" s="8">
        <f>IF(L4713&gt;0,1,"")</f>
        <v>1</v>
      </c>
      <c r="O4713" s="11" t="s">
        <v>1702</v>
      </c>
      <c r="P4713" s="16" t="str">
        <f>IF(LEN(G4713)=10,CONCATENATE("0",G4713),G4713)</f>
        <v>15-Feb-1892</v>
      </c>
      <c r="R4713" s="16" t="str">
        <f t="shared" ref="R4713:S4754" si="1991">IF($L4713&gt;0,"x","")</f>
        <v>x</v>
      </c>
      <c r="S4713" s="16" t="str">
        <f t="shared" si="1991"/>
        <v>x</v>
      </c>
      <c r="U4713" s="46" t="str">
        <f t="shared" si="1990"/>
        <v/>
      </c>
      <c r="V4713" s="46">
        <f t="shared" si="1990"/>
        <v>3</v>
      </c>
      <c r="W4713" s="46" t="str">
        <f t="shared" si="1990"/>
        <v/>
      </c>
      <c r="X4713" s="46" t="str">
        <f t="shared" si="1990"/>
        <v/>
      </c>
      <c r="Z4713" s="11" t="s">
        <v>213</v>
      </c>
    </row>
    <row r="4714" spans="2:26" x14ac:dyDescent="0.25">
      <c r="B4714" s="11" t="str">
        <f t="shared" si="1986"/>
        <v>OBDM-28MAR1892</v>
      </c>
      <c r="C4714" s="11" t="s">
        <v>160</v>
      </c>
      <c r="D4714" s="11" t="s">
        <v>2103</v>
      </c>
      <c r="F4714" s="11" t="s">
        <v>1700</v>
      </c>
      <c r="G4714" s="39" t="s">
        <v>162</v>
      </c>
      <c r="H4714" s="7">
        <v>0</v>
      </c>
      <c r="I4714" s="7">
        <v>0</v>
      </c>
      <c r="J4714" s="17">
        <v>0</v>
      </c>
      <c r="K4714" s="17"/>
      <c r="L4714" s="7">
        <f t="shared" si="1987"/>
        <v>0</v>
      </c>
      <c r="M4714" s="8">
        <v>1</v>
      </c>
      <c r="N4714" s="8" t="str">
        <f t="shared" si="1988"/>
        <v/>
      </c>
      <c r="O4714" s="11" t="s">
        <v>1702</v>
      </c>
      <c r="P4714" s="16" t="str">
        <f t="shared" si="1989"/>
        <v>28-Mar-1892</v>
      </c>
      <c r="R4714" s="16" t="str">
        <f t="shared" si="1991"/>
        <v/>
      </c>
      <c r="S4714" s="16" t="str">
        <f t="shared" si="1991"/>
        <v/>
      </c>
      <c r="U4714" s="46" t="str">
        <f t="shared" si="1981"/>
        <v/>
      </c>
      <c r="V4714" s="46">
        <f t="shared" si="1981"/>
        <v>0</v>
      </c>
      <c r="W4714" s="46" t="str">
        <f t="shared" si="1981"/>
        <v/>
      </c>
      <c r="X4714" s="46" t="str">
        <f t="shared" si="1981"/>
        <v/>
      </c>
    </row>
    <row r="4715" spans="2:26" x14ac:dyDescent="0.25">
      <c r="B4715" s="11" t="str">
        <f t="shared" si="1986"/>
        <v>OBDM-17JUN1892</v>
      </c>
      <c r="C4715" s="11" t="s">
        <v>160</v>
      </c>
      <c r="D4715" s="11" t="s">
        <v>2103</v>
      </c>
      <c r="F4715" s="11" t="s">
        <v>1700</v>
      </c>
      <c r="G4715" s="39" t="s">
        <v>163</v>
      </c>
      <c r="H4715" s="7">
        <v>0</v>
      </c>
      <c r="I4715" s="7">
        <v>0</v>
      </c>
      <c r="J4715" s="17">
        <v>0</v>
      </c>
      <c r="K4715" s="17"/>
      <c r="L4715" s="7">
        <f t="shared" si="1987"/>
        <v>0</v>
      </c>
      <c r="M4715" s="8">
        <v>1</v>
      </c>
      <c r="N4715" s="8" t="str">
        <f t="shared" si="1988"/>
        <v/>
      </c>
      <c r="O4715" s="11" t="s">
        <v>1702</v>
      </c>
      <c r="P4715" s="16" t="str">
        <f t="shared" si="1989"/>
        <v>17-Jun-1892</v>
      </c>
      <c r="R4715" s="16" t="str">
        <f t="shared" si="1991"/>
        <v/>
      </c>
      <c r="S4715" s="16" t="str">
        <f t="shared" si="1991"/>
        <v/>
      </c>
      <c r="U4715" s="46" t="str">
        <f t="shared" si="1981"/>
        <v/>
      </c>
      <c r="V4715" s="46">
        <f t="shared" si="1981"/>
        <v>0</v>
      </c>
      <c r="W4715" s="46" t="str">
        <f t="shared" si="1981"/>
        <v/>
      </c>
      <c r="X4715" s="46" t="str">
        <f t="shared" si="1981"/>
        <v/>
      </c>
    </row>
    <row r="4716" spans="2:26" x14ac:dyDescent="0.25">
      <c r="B4716" s="11" t="str">
        <f t="shared" si="1986"/>
        <v>OBDM-21OCT1892</v>
      </c>
      <c r="C4716" s="11" t="s">
        <v>160</v>
      </c>
      <c r="D4716" s="11" t="s">
        <v>2103</v>
      </c>
      <c r="F4716" s="11" t="s">
        <v>1700</v>
      </c>
      <c r="G4716" s="39" t="s">
        <v>164</v>
      </c>
      <c r="H4716" s="7">
        <v>2</v>
      </c>
      <c r="I4716" s="7">
        <v>0</v>
      </c>
      <c r="J4716" s="17">
        <v>0</v>
      </c>
      <c r="K4716" s="17"/>
      <c r="L4716" s="7">
        <f t="shared" si="1987"/>
        <v>2</v>
      </c>
      <c r="M4716" s="8">
        <v>1</v>
      </c>
      <c r="N4716" s="8">
        <f t="shared" si="1988"/>
        <v>1</v>
      </c>
      <c r="O4716" s="11" t="s">
        <v>1702</v>
      </c>
      <c r="P4716" s="16" t="str">
        <f t="shared" si="1989"/>
        <v>21-Oct-1892</v>
      </c>
      <c r="R4716" s="16" t="str">
        <f t="shared" si="1991"/>
        <v>x</v>
      </c>
      <c r="S4716" s="16" t="str">
        <f t="shared" si="1991"/>
        <v>x</v>
      </c>
      <c r="U4716" s="46" t="str">
        <f t="shared" si="1981"/>
        <v/>
      </c>
      <c r="V4716" s="46">
        <f t="shared" si="1981"/>
        <v>2</v>
      </c>
      <c r="W4716" s="46" t="str">
        <f t="shared" si="1981"/>
        <v/>
      </c>
      <c r="X4716" s="46" t="str">
        <f t="shared" si="1981"/>
        <v/>
      </c>
    </row>
    <row r="4717" spans="2:26" x14ac:dyDescent="0.25">
      <c r="B4717" s="11" t="str">
        <f t="shared" si="1986"/>
        <v>OBDM-02DEC1892</v>
      </c>
      <c r="C4717" s="11" t="s">
        <v>160</v>
      </c>
      <c r="D4717" s="11" t="s">
        <v>2103</v>
      </c>
      <c r="F4717" s="11" t="s">
        <v>1700</v>
      </c>
      <c r="G4717" s="39" t="s">
        <v>165</v>
      </c>
      <c r="H4717" s="7">
        <v>7</v>
      </c>
      <c r="I4717" s="7">
        <v>0</v>
      </c>
      <c r="J4717" s="17">
        <v>19</v>
      </c>
      <c r="K4717" s="17"/>
      <c r="L4717" s="7">
        <f t="shared" si="1987"/>
        <v>26</v>
      </c>
      <c r="M4717" s="8">
        <v>1</v>
      </c>
      <c r="N4717" s="8">
        <f t="shared" si="1988"/>
        <v>1</v>
      </c>
      <c r="O4717" s="11" t="s">
        <v>1702</v>
      </c>
      <c r="P4717" s="16" t="str">
        <f t="shared" si="1989"/>
        <v>02-Dec-1892</v>
      </c>
      <c r="R4717" s="16" t="str">
        <f t="shared" si="1991"/>
        <v>x</v>
      </c>
      <c r="S4717" s="16" t="str">
        <f t="shared" si="1991"/>
        <v>x</v>
      </c>
      <c r="U4717" s="46" t="str">
        <f t="shared" si="1981"/>
        <v/>
      </c>
      <c r="V4717" s="46">
        <f t="shared" si="1981"/>
        <v>26</v>
      </c>
      <c r="W4717" s="46" t="str">
        <f t="shared" si="1981"/>
        <v/>
      </c>
      <c r="X4717" s="46" t="str">
        <f t="shared" si="1981"/>
        <v/>
      </c>
    </row>
    <row r="4718" spans="2:26" x14ac:dyDescent="0.25">
      <c r="B4718" s="11" t="str">
        <f t="shared" si="1986"/>
        <v>OBDM-13JAN1893</v>
      </c>
      <c r="C4718" s="11" t="s">
        <v>160</v>
      </c>
      <c r="D4718" s="11" t="s">
        <v>2103</v>
      </c>
      <c r="F4718" s="11" t="s">
        <v>1700</v>
      </c>
      <c r="G4718" s="39" t="s">
        <v>166</v>
      </c>
      <c r="H4718" s="7">
        <v>0</v>
      </c>
      <c r="I4718" s="7">
        <v>0</v>
      </c>
      <c r="J4718" s="17">
        <v>3</v>
      </c>
      <c r="K4718" s="17"/>
      <c r="L4718" s="7">
        <f t="shared" si="1987"/>
        <v>3</v>
      </c>
      <c r="M4718" s="8">
        <v>1</v>
      </c>
      <c r="N4718" s="8">
        <f t="shared" si="1988"/>
        <v>1</v>
      </c>
      <c r="O4718" s="11" t="s">
        <v>1702</v>
      </c>
      <c r="P4718" s="16" t="str">
        <f t="shared" si="1989"/>
        <v>13-Jan-1893</v>
      </c>
      <c r="R4718" s="16" t="str">
        <f t="shared" si="1991"/>
        <v>x</v>
      </c>
      <c r="S4718" s="16" t="str">
        <f t="shared" si="1991"/>
        <v>x</v>
      </c>
      <c r="U4718" s="46" t="str">
        <f t="shared" si="1981"/>
        <v/>
      </c>
      <c r="V4718" s="46">
        <f t="shared" si="1981"/>
        <v>3</v>
      </c>
      <c r="W4718" s="46" t="str">
        <f t="shared" si="1981"/>
        <v/>
      </c>
      <c r="X4718" s="46" t="str">
        <f t="shared" si="1981"/>
        <v/>
      </c>
    </row>
    <row r="4719" spans="2:26" x14ac:dyDescent="0.25">
      <c r="B4719" s="11" t="str">
        <f t="shared" si="1986"/>
        <v>OBDM-06MAR1893</v>
      </c>
      <c r="C4719" s="11" t="s">
        <v>160</v>
      </c>
      <c r="D4719" s="11" t="s">
        <v>2103</v>
      </c>
      <c r="F4719" s="11" t="s">
        <v>1700</v>
      </c>
      <c r="G4719" s="39" t="s">
        <v>2263</v>
      </c>
      <c r="H4719" s="7">
        <v>0</v>
      </c>
      <c r="I4719" s="7">
        <v>0</v>
      </c>
      <c r="J4719" s="17">
        <v>0</v>
      </c>
      <c r="K4719" s="17"/>
      <c r="L4719" s="7">
        <f t="shared" si="1987"/>
        <v>0</v>
      </c>
      <c r="M4719" s="8">
        <v>1</v>
      </c>
      <c r="N4719" s="8" t="str">
        <f t="shared" si="1988"/>
        <v/>
      </c>
      <c r="O4719" s="11" t="s">
        <v>1702</v>
      </c>
      <c r="P4719" s="16" t="str">
        <f t="shared" si="1989"/>
        <v>06-Mar-1893</v>
      </c>
      <c r="R4719" s="16" t="str">
        <f t="shared" si="1991"/>
        <v/>
      </c>
      <c r="S4719" s="16" t="str">
        <f t="shared" si="1991"/>
        <v/>
      </c>
      <c r="U4719" s="46" t="str">
        <f t="shared" si="1981"/>
        <v/>
      </c>
      <c r="V4719" s="46">
        <f t="shared" si="1981"/>
        <v>0</v>
      </c>
      <c r="W4719" s="46" t="str">
        <f t="shared" si="1981"/>
        <v/>
      </c>
      <c r="X4719" s="46" t="str">
        <f t="shared" si="1981"/>
        <v/>
      </c>
    </row>
    <row r="4720" spans="2:26" x14ac:dyDescent="0.25">
      <c r="B4720" s="11" t="str">
        <f t="shared" ref="B4720:B4730" si="1992">CONCATENATE("OBDM","-",LEFT(P4720,2),UPPER(MID(P4720,4,3)),RIGHT(P4720,4))</f>
        <v>OBDM-15APR1893</v>
      </c>
      <c r="C4720" s="11" t="s">
        <v>160</v>
      </c>
      <c r="D4720" s="11" t="s">
        <v>2103</v>
      </c>
      <c r="F4720" s="11" t="s">
        <v>1700</v>
      </c>
      <c r="G4720" s="39" t="s">
        <v>167</v>
      </c>
      <c r="H4720" s="7">
        <v>0</v>
      </c>
      <c r="I4720" s="7">
        <v>0</v>
      </c>
      <c r="J4720" s="17">
        <v>1</v>
      </c>
      <c r="K4720" s="17"/>
      <c r="L4720" s="7">
        <f t="shared" ref="L4720:L4730" si="1993">SUM(H4720:K4720)</f>
        <v>1</v>
      </c>
      <c r="M4720" s="8">
        <v>1</v>
      </c>
      <c r="N4720" s="8">
        <f t="shared" si="1988"/>
        <v>1</v>
      </c>
      <c r="O4720" s="11" t="s">
        <v>1702</v>
      </c>
      <c r="P4720" s="16" t="str">
        <f t="shared" ref="P4720:P4730" si="1994">IF(LEN(G4720)=10,CONCATENATE("0",G4720),G4720)</f>
        <v>15-Apr-1893</v>
      </c>
      <c r="R4720" s="16" t="str">
        <f t="shared" si="1991"/>
        <v>x</v>
      </c>
      <c r="S4720" s="16" t="str">
        <f t="shared" si="1991"/>
        <v>x</v>
      </c>
      <c r="U4720" s="46" t="str">
        <f t="shared" si="1981"/>
        <v/>
      </c>
      <c r="V4720" s="46">
        <f t="shared" si="1981"/>
        <v>1</v>
      </c>
      <c r="W4720" s="46" t="str">
        <f t="shared" si="1981"/>
        <v/>
      </c>
      <c r="X4720" s="46" t="str">
        <f t="shared" si="1981"/>
        <v/>
      </c>
    </row>
    <row r="4721" spans="2:26" x14ac:dyDescent="0.25">
      <c r="B4721" s="11" t="str">
        <f t="shared" si="1992"/>
        <v>OBDM-25MAY1893</v>
      </c>
      <c r="C4721" s="11" t="s">
        <v>160</v>
      </c>
      <c r="D4721" s="11" t="s">
        <v>2103</v>
      </c>
      <c r="F4721" s="11" t="s">
        <v>1700</v>
      </c>
      <c r="G4721" s="39" t="s">
        <v>168</v>
      </c>
      <c r="H4721" s="7">
        <v>0</v>
      </c>
      <c r="I4721" s="7">
        <v>0</v>
      </c>
      <c r="J4721" s="17">
        <v>0</v>
      </c>
      <c r="K4721" s="17"/>
      <c r="L4721" s="7">
        <f t="shared" si="1993"/>
        <v>0</v>
      </c>
      <c r="M4721" s="8">
        <v>1</v>
      </c>
      <c r="N4721" s="8" t="str">
        <f t="shared" si="1988"/>
        <v/>
      </c>
      <c r="O4721" s="11" t="s">
        <v>1702</v>
      </c>
      <c r="P4721" s="16" t="str">
        <f t="shared" si="1994"/>
        <v>25-May-1893</v>
      </c>
      <c r="R4721" s="16" t="str">
        <f t="shared" si="1991"/>
        <v/>
      </c>
      <c r="S4721" s="16" t="str">
        <f t="shared" si="1991"/>
        <v/>
      </c>
      <c r="U4721" s="46" t="str">
        <f t="shared" si="1981"/>
        <v/>
      </c>
      <c r="V4721" s="46">
        <f t="shared" si="1981"/>
        <v>0</v>
      </c>
      <c r="W4721" s="46" t="str">
        <f t="shared" si="1981"/>
        <v/>
      </c>
      <c r="X4721" s="46" t="str">
        <f t="shared" si="1981"/>
        <v/>
      </c>
    </row>
    <row r="4722" spans="2:26" x14ac:dyDescent="0.25">
      <c r="B4722" s="11" t="str">
        <f t="shared" si="1992"/>
        <v>OBDM-05JUL1893</v>
      </c>
      <c r="C4722" s="11" t="s">
        <v>160</v>
      </c>
      <c r="D4722" s="11" t="s">
        <v>2103</v>
      </c>
      <c r="F4722" s="11" t="s">
        <v>1700</v>
      </c>
      <c r="G4722" s="39" t="s">
        <v>169</v>
      </c>
      <c r="H4722" s="7">
        <v>0</v>
      </c>
      <c r="I4722" s="7">
        <v>0</v>
      </c>
      <c r="J4722" s="17">
        <v>0</v>
      </c>
      <c r="K4722" s="17"/>
      <c r="L4722" s="7">
        <f t="shared" si="1993"/>
        <v>0</v>
      </c>
      <c r="M4722" s="8">
        <v>1</v>
      </c>
      <c r="N4722" s="8" t="str">
        <f t="shared" si="1988"/>
        <v/>
      </c>
      <c r="O4722" s="11" t="s">
        <v>1702</v>
      </c>
      <c r="P4722" s="16" t="str">
        <f t="shared" si="1994"/>
        <v>05-Jul-1893</v>
      </c>
      <c r="R4722" s="16" t="str">
        <f t="shared" si="1991"/>
        <v/>
      </c>
      <c r="S4722" s="16" t="str">
        <f t="shared" si="1991"/>
        <v/>
      </c>
      <c r="U4722" s="46" t="str">
        <f t="shared" si="1981"/>
        <v/>
      </c>
      <c r="V4722" s="46">
        <f t="shared" si="1981"/>
        <v>0</v>
      </c>
      <c r="W4722" s="46" t="str">
        <f t="shared" si="1981"/>
        <v/>
      </c>
      <c r="X4722" s="46" t="str">
        <f t="shared" si="1981"/>
        <v/>
      </c>
    </row>
    <row r="4723" spans="2:26" x14ac:dyDescent="0.25">
      <c r="B4723" s="11" t="str">
        <f t="shared" si="1992"/>
        <v>OBDM-08AUG1893</v>
      </c>
      <c r="C4723" s="11" t="s">
        <v>160</v>
      </c>
      <c r="D4723" s="11" t="s">
        <v>2103</v>
      </c>
      <c r="F4723" s="11" t="s">
        <v>1700</v>
      </c>
      <c r="G4723" s="39" t="s">
        <v>170</v>
      </c>
      <c r="H4723" s="7">
        <v>0</v>
      </c>
      <c r="I4723" s="7">
        <v>0</v>
      </c>
      <c r="J4723" s="17">
        <v>0</v>
      </c>
      <c r="K4723" s="17"/>
      <c r="L4723" s="7">
        <f t="shared" si="1993"/>
        <v>0</v>
      </c>
      <c r="M4723" s="8">
        <v>1</v>
      </c>
      <c r="N4723" s="8" t="str">
        <f t="shared" si="1988"/>
        <v/>
      </c>
      <c r="O4723" s="11" t="s">
        <v>1702</v>
      </c>
      <c r="P4723" s="16" t="str">
        <f t="shared" si="1994"/>
        <v>08-Aug-1893</v>
      </c>
      <c r="R4723" s="16" t="str">
        <f t="shared" si="1991"/>
        <v/>
      </c>
      <c r="S4723" s="16" t="str">
        <f t="shared" si="1991"/>
        <v/>
      </c>
      <c r="U4723" s="46" t="str">
        <f t="shared" si="1981"/>
        <v/>
      </c>
      <c r="V4723" s="46">
        <f t="shared" si="1981"/>
        <v>0</v>
      </c>
      <c r="W4723" s="46" t="str">
        <f t="shared" si="1981"/>
        <v/>
      </c>
      <c r="X4723" s="46" t="str">
        <f t="shared" si="1981"/>
        <v/>
      </c>
    </row>
    <row r="4724" spans="2:26" x14ac:dyDescent="0.25">
      <c r="B4724" s="11" t="str">
        <f t="shared" si="1992"/>
        <v>OBDM-12SEP1893</v>
      </c>
      <c r="C4724" s="11" t="s">
        <v>160</v>
      </c>
      <c r="D4724" s="11" t="s">
        <v>2103</v>
      </c>
      <c r="F4724" s="11" t="s">
        <v>1700</v>
      </c>
      <c r="G4724" s="39" t="s">
        <v>171</v>
      </c>
      <c r="H4724" s="7">
        <v>0</v>
      </c>
      <c r="I4724" s="7">
        <v>0</v>
      </c>
      <c r="J4724" s="17">
        <v>0</v>
      </c>
      <c r="K4724" s="17"/>
      <c r="L4724" s="7">
        <f t="shared" si="1993"/>
        <v>0</v>
      </c>
      <c r="M4724" s="8">
        <v>1</v>
      </c>
      <c r="N4724" s="8" t="str">
        <f t="shared" si="1988"/>
        <v/>
      </c>
      <c r="O4724" s="11" t="s">
        <v>1702</v>
      </c>
      <c r="P4724" s="16" t="str">
        <f t="shared" si="1994"/>
        <v>12-Sep-1893</v>
      </c>
      <c r="R4724" s="16" t="str">
        <f t="shared" si="1991"/>
        <v/>
      </c>
      <c r="S4724" s="16" t="str">
        <f t="shared" si="1991"/>
        <v/>
      </c>
      <c r="U4724" s="46" t="str">
        <f t="shared" si="1981"/>
        <v/>
      </c>
      <c r="V4724" s="46">
        <f t="shared" si="1981"/>
        <v>0</v>
      </c>
      <c r="W4724" s="46" t="str">
        <f t="shared" si="1981"/>
        <v/>
      </c>
      <c r="X4724" s="46" t="str">
        <f t="shared" si="1981"/>
        <v/>
      </c>
    </row>
    <row r="4725" spans="2:26" x14ac:dyDescent="0.25">
      <c r="B4725" s="11" t="str">
        <f>CONCATENATE("OBDM","-",LEFT(P4725,2),UPPER(MID(P4725,4,3)),RIGHT(P4725,4))</f>
        <v>OBDM-18OCT1893</v>
      </c>
      <c r="C4725" s="11" t="s">
        <v>160</v>
      </c>
      <c r="D4725" s="11" t="s">
        <v>2103</v>
      </c>
      <c r="F4725" s="11" t="s">
        <v>1700</v>
      </c>
      <c r="G4725" s="39" t="s">
        <v>5148</v>
      </c>
      <c r="H4725" s="7">
        <v>0</v>
      </c>
      <c r="I4725" s="7">
        <v>0</v>
      </c>
      <c r="J4725" s="17">
        <v>7</v>
      </c>
      <c r="K4725" s="17"/>
      <c r="L4725" s="7">
        <f>SUM(H4725:K4725)</f>
        <v>7</v>
      </c>
      <c r="M4725" s="8">
        <v>1</v>
      </c>
      <c r="N4725" s="8">
        <f>IF(L4725&gt;0,1,"")</f>
        <v>1</v>
      </c>
      <c r="O4725" s="11" t="s">
        <v>1702</v>
      </c>
      <c r="P4725" s="16" t="str">
        <f>IF(LEN(G4725)=10,CONCATENATE("0",G4725),G4725)</f>
        <v>18-Oct-1893</v>
      </c>
      <c r="R4725" s="16" t="str">
        <f t="shared" si="1991"/>
        <v>x</v>
      </c>
      <c r="S4725" s="16" t="str">
        <f t="shared" si="1991"/>
        <v>x</v>
      </c>
      <c r="U4725" s="46" t="str">
        <f>IF($O4725=U$5,$L4725,"")</f>
        <v/>
      </c>
      <c r="V4725" s="46">
        <f>IF($O4725=V$5,$L4725,"")</f>
        <v>7</v>
      </c>
      <c r="W4725" s="46" t="str">
        <f>IF($O4725=W$5,$L4725,"")</f>
        <v/>
      </c>
      <c r="X4725" s="46" t="str">
        <f>IF($O4725=X$5,$L4725,"")</f>
        <v/>
      </c>
    </row>
    <row r="4726" spans="2:26" x14ac:dyDescent="0.25">
      <c r="B4726" s="11" t="str">
        <f t="shared" si="1992"/>
        <v>OBDM-22NOV1893</v>
      </c>
      <c r="C4726" s="11" t="s">
        <v>160</v>
      </c>
      <c r="D4726" s="11" t="s">
        <v>2103</v>
      </c>
      <c r="F4726" s="11" t="s">
        <v>1700</v>
      </c>
      <c r="G4726" s="39" t="s">
        <v>172</v>
      </c>
      <c r="H4726" s="7">
        <v>0</v>
      </c>
      <c r="I4726" s="7">
        <v>0</v>
      </c>
      <c r="J4726" s="17">
        <v>0</v>
      </c>
      <c r="K4726" s="17"/>
      <c r="L4726" s="7">
        <f t="shared" si="1993"/>
        <v>0</v>
      </c>
      <c r="M4726" s="8">
        <v>1</v>
      </c>
      <c r="N4726" s="8" t="str">
        <f t="shared" si="1988"/>
        <v/>
      </c>
      <c r="O4726" s="11" t="s">
        <v>1702</v>
      </c>
      <c r="P4726" s="16" t="str">
        <f t="shared" si="1994"/>
        <v>22-Nov-1893</v>
      </c>
      <c r="R4726" s="16" t="str">
        <f t="shared" si="1991"/>
        <v/>
      </c>
      <c r="S4726" s="16" t="str">
        <f t="shared" si="1991"/>
        <v/>
      </c>
      <c r="U4726" s="46" t="str">
        <f t="shared" si="1981"/>
        <v/>
      </c>
      <c r="V4726" s="46">
        <f t="shared" si="1981"/>
        <v>0</v>
      </c>
      <c r="W4726" s="46" t="str">
        <f t="shared" si="1981"/>
        <v/>
      </c>
      <c r="X4726" s="46" t="str">
        <f t="shared" si="1981"/>
        <v/>
      </c>
    </row>
    <row r="4727" spans="2:26" x14ac:dyDescent="0.25">
      <c r="B4727" s="11" t="str">
        <f t="shared" si="1992"/>
        <v>OBDM-05JAN1894</v>
      </c>
      <c r="C4727" s="11" t="s">
        <v>160</v>
      </c>
      <c r="D4727" s="11" t="s">
        <v>2103</v>
      </c>
      <c r="F4727" s="11" t="s">
        <v>1700</v>
      </c>
      <c r="G4727" s="39" t="s">
        <v>173</v>
      </c>
      <c r="H4727" s="7">
        <v>0</v>
      </c>
      <c r="I4727" s="7">
        <v>0</v>
      </c>
      <c r="J4727" s="17">
        <v>0</v>
      </c>
      <c r="K4727" s="17"/>
      <c r="L4727" s="7">
        <f t="shared" si="1993"/>
        <v>0</v>
      </c>
      <c r="M4727" s="8">
        <v>1</v>
      </c>
      <c r="N4727" s="8" t="str">
        <f t="shared" si="1988"/>
        <v/>
      </c>
      <c r="O4727" s="11" t="s">
        <v>1702</v>
      </c>
      <c r="P4727" s="16" t="str">
        <f t="shared" si="1994"/>
        <v>05-Jan-1894</v>
      </c>
      <c r="R4727" s="16" t="str">
        <f t="shared" si="1991"/>
        <v/>
      </c>
      <c r="S4727" s="16" t="str">
        <f t="shared" si="1991"/>
        <v/>
      </c>
      <c r="U4727" s="46" t="str">
        <f t="shared" si="1981"/>
        <v/>
      </c>
      <c r="V4727" s="46">
        <f t="shared" si="1981"/>
        <v>0</v>
      </c>
      <c r="W4727" s="46" t="str">
        <f t="shared" si="1981"/>
        <v/>
      </c>
      <c r="X4727" s="46" t="str">
        <f t="shared" si="1981"/>
        <v/>
      </c>
    </row>
    <row r="4728" spans="2:26" x14ac:dyDescent="0.25">
      <c r="B4728" s="11" t="str">
        <f t="shared" si="1992"/>
        <v>OBDM-19FEB1894</v>
      </c>
      <c r="C4728" s="11" t="s">
        <v>160</v>
      </c>
      <c r="D4728" s="11" t="s">
        <v>2103</v>
      </c>
      <c r="F4728" s="11" t="s">
        <v>1700</v>
      </c>
      <c r="G4728" s="39" t="s">
        <v>2274</v>
      </c>
      <c r="H4728" s="7">
        <v>0</v>
      </c>
      <c r="I4728" s="7">
        <v>0</v>
      </c>
      <c r="J4728" s="17">
        <v>0</v>
      </c>
      <c r="K4728" s="17"/>
      <c r="L4728" s="7">
        <f t="shared" si="1993"/>
        <v>0</v>
      </c>
      <c r="M4728" s="8">
        <v>1</v>
      </c>
      <c r="N4728" s="8" t="str">
        <f t="shared" si="1988"/>
        <v/>
      </c>
      <c r="O4728" s="11" t="s">
        <v>1702</v>
      </c>
      <c r="P4728" s="16" t="str">
        <f t="shared" si="1994"/>
        <v>19-Feb-1894</v>
      </c>
      <c r="R4728" s="16" t="str">
        <f t="shared" si="1991"/>
        <v/>
      </c>
      <c r="S4728" s="16" t="str">
        <f t="shared" si="1991"/>
        <v/>
      </c>
      <c r="U4728" s="46" t="str">
        <f t="shared" si="1981"/>
        <v/>
      </c>
      <c r="V4728" s="46">
        <f t="shared" si="1981"/>
        <v>0</v>
      </c>
      <c r="W4728" s="46" t="str">
        <f t="shared" si="1981"/>
        <v/>
      </c>
      <c r="X4728" s="46" t="str">
        <f t="shared" si="1981"/>
        <v/>
      </c>
    </row>
    <row r="4729" spans="2:26" x14ac:dyDescent="0.25">
      <c r="B4729" s="11" t="str">
        <f t="shared" si="1992"/>
        <v>OBDM-14AUG1894</v>
      </c>
      <c r="C4729" s="11" t="s">
        <v>160</v>
      </c>
      <c r="D4729" s="11" t="s">
        <v>2103</v>
      </c>
      <c r="F4729" s="11" t="s">
        <v>1700</v>
      </c>
      <c r="G4729" s="39" t="s">
        <v>174</v>
      </c>
      <c r="H4729" s="7">
        <v>0</v>
      </c>
      <c r="I4729" s="7">
        <v>0</v>
      </c>
      <c r="J4729" s="17">
        <v>0</v>
      </c>
      <c r="K4729" s="17"/>
      <c r="L4729" s="7">
        <f t="shared" si="1993"/>
        <v>0</v>
      </c>
      <c r="M4729" s="8">
        <v>1</v>
      </c>
      <c r="N4729" s="8" t="str">
        <f t="shared" si="1988"/>
        <v/>
      </c>
      <c r="O4729" s="11" t="s">
        <v>1702</v>
      </c>
      <c r="P4729" s="16" t="str">
        <f t="shared" si="1994"/>
        <v>14-Aug-1894</v>
      </c>
      <c r="R4729" s="16" t="str">
        <f t="shared" si="1991"/>
        <v/>
      </c>
      <c r="S4729" s="16" t="str">
        <f t="shared" si="1991"/>
        <v/>
      </c>
      <c r="U4729" s="46" t="str">
        <f t="shared" si="1981"/>
        <v/>
      </c>
      <c r="V4729" s="46">
        <f t="shared" si="1981"/>
        <v>0</v>
      </c>
      <c r="W4729" s="46" t="str">
        <f t="shared" si="1981"/>
        <v/>
      </c>
      <c r="X4729" s="46" t="str">
        <f t="shared" si="1981"/>
        <v/>
      </c>
    </row>
    <row r="4730" spans="2:26" x14ac:dyDescent="0.25">
      <c r="B4730" s="11" t="str">
        <f t="shared" si="1992"/>
        <v>OBDM-17SEP1894</v>
      </c>
      <c r="C4730" s="11" t="s">
        <v>160</v>
      </c>
      <c r="D4730" s="11" t="s">
        <v>2103</v>
      </c>
      <c r="F4730" s="11" t="s">
        <v>1700</v>
      </c>
      <c r="G4730" s="39" t="s">
        <v>254</v>
      </c>
      <c r="H4730" s="7">
        <v>0</v>
      </c>
      <c r="I4730" s="7">
        <v>0</v>
      </c>
      <c r="J4730" s="17">
        <v>5</v>
      </c>
      <c r="K4730" s="17"/>
      <c r="L4730" s="7">
        <f t="shared" si="1993"/>
        <v>5</v>
      </c>
      <c r="M4730" s="8">
        <v>1</v>
      </c>
      <c r="N4730" s="8">
        <f>IF(L4730&gt;0,1,"")</f>
        <v>1</v>
      </c>
      <c r="O4730" s="11" t="s">
        <v>1702</v>
      </c>
      <c r="P4730" s="16" t="str">
        <f t="shared" si="1994"/>
        <v>17-Sep-1894</v>
      </c>
      <c r="R4730" s="16" t="str">
        <f t="shared" si="1991"/>
        <v>x</v>
      </c>
      <c r="S4730" s="16" t="str">
        <f t="shared" si="1991"/>
        <v>x</v>
      </c>
      <c r="U4730" s="46" t="str">
        <f>IF($O4730=U$5,$L4730,"")</f>
        <v/>
      </c>
      <c r="V4730" s="46">
        <f>IF($O4730=V$5,$L4730,"")</f>
        <v>5</v>
      </c>
      <c r="W4730" s="46" t="str">
        <f>IF($O4730=W$5,$L4730,"")</f>
        <v/>
      </c>
      <c r="X4730" s="46" t="str">
        <f>IF($O4730=X$5,$L4730,"")</f>
        <v/>
      </c>
    </row>
    <row r="4731" spans="2:26" x14ac:dyDescent="0.25">
      <c r="B4731" s="11" t="str">
        <f t="shared" ref="B4731:B4736" si="1995">CONCATENATE("OBDM","-",LEFT(P4731,2),UPPER(MID(P4731,4,3)),RIGHT(P4731,4))</f>
        <v>OBDM-23OCT1894</v>
      </c>
      <c r="C4731" s="11" t="s">
        <v>160</v>
      </c>
      <c r="D4731" s="11" t="s">
        <v>2103</v>
      </c>
      <c r="F4731" s="11" t="s">
        <v>1700</v>
      </c>
      <c r="G4731" s="39" t="s">
        <v>175</v>
      </c>
      <c r="H4731" s="7">
        <v>0</v>
      </c>
      <c r="I4731" s="7">
        <v>0</v>
      </c>
      <c r="J4731" s="17">
        <v>0</v>
      </c>
      <c r="K4731" s="17"/>
      <c r="L4731" s="7">
        <f t="shared" ref="L4731:L4736" si="1996">SUM(H4731:K4731)</f>
        <v>0</v>
      </c>
      <c r="M4731" s="8">
        <v>1</v>
      </c>
      <c r="N4731" s="8" t="str">
        <f t="shared" si="1988"/>
        <v/>
      </c>
      <c r="O4731" s="11" t="s">
        <v>1702</v>
      </c>
      <c r="P4731" s="16" t="str">
        <f t="shared" ref="P4731:P4736" si="1997">IF(LEN(G4731)=10,CONCATENATE("0",G4731),G4731)</f>
        <v>23-Oct-1894</v>
      </c>
      <c r="R4731" s="16" t="str">
        <f t="shared" si="1991"/>
        <v/>
      </c>
      <c r="S4731" s="16" t="str">
        <f t="shared" si="1991"/>
        <v/>
      </c>
      <c r="U4731" s="46" t="str">
        <f t="shared" si="1981"/>
        <v/>
      </c>
      <c r="V4731" s="46">
        <f t="shared" si="1981"/>
        <v>0</v>
      </c>
      <c r="W4731" s="46" t="str">
        <f t="shared" si="1981"/>
        <v/>
      </c>
      <c r="X4731" s="46" t="str">
        <f t="shared" si="1981"/>
        <v/>
      </c>
    </row>
    <row r="4732" spans="2:26" s="18" customFormat="1" x14ac:dyDescent="0.25">
      <c r="B4732" s="11" t="str">
        <f t="shared" si="1995"/>
        <v>OBDM-30NOV1894</v>
      </c>
      <c r="C4732" s="11" t="s">
        <v>160</v>
      </c>
      <c r="D4732" s="11" t="s">
        <v>2103</v>
      </c>
      <c r="E4732" s="39"/>
      <c r="F4732" s="11" t="s">
        <v>1700</v>
      </c>
      <c r="G4732" s="39" t="s">
        <v>4</v>
      </c>
      <c r="H4732" s="7">
        <v>0</v>
      </c>
      <c r="I4732" s="7">
        <v>0</v>
      </c>
      <c r="J4732" s="17">
        <v>4</v>
      </c>
      <c r="K4732" s="17"/>
      <c r="L4732" s="7">
        <f t="shared" si="1996"/>
        <v>4</v>
      </c>
      <c r="M4732" s="8">
        <v>1</v>
      </c>
      <c r="N4732" s="8">
        <f t="shared" si="1988"/>
        <v>1</v>
      </c>
      <c r="O4732" s="11" t="s">
        <v>1702</v>
      </c>
      <c r="P4732" s="16" t="str">
        <f t="shared" si="1997"/>
        <v>30-Nov-1894</v>
      </c>
      <c r="Q4732" s="16"/>
      <c r="R4732" s="16" t="str">
        <f t="shared" si="1991"/>
        <v>x</v>
      </c>
      <c r="S4732" s="16" t="str">
        <f t="shared" si="1991"/>
        <v>x</v>
      </c>
      <c r="T4732" s="12"/>
      <c r="U4732" s="46" t="str">
        <f t="shared" si="1981"/>
        <v/>
      </c>
      <c r="V4732" s="46">
        <f t="shared" si="1981"/>
        <v>4</v>
      </c>
      <c r="W4732" s="46" t="str">
        <f t="shared" si="1981"/>
        <v/>
      </c>
      <c r="X4732" s="46" t="str">
        <f t="shared" si="1981"/>
        <v/>
      </c>
      <c r="Z4732" s="11"/>
    </row>
    <row r="4733" spans="2:26" s="18" customFormat="1" x14ac:dyDescent="0.25">
      <c r="B4733" s="11" t="str">
        <f t="shared" si="1995"/>
        <v>OBDM-04JAN1895</v>
      </c>
      <c r="C4733" s="11" t="s">
        <v>160</v>
      </c>
      <c r="D4733" s="11" t="s">
        <v>2103</v>
      </c>
      <c r="E4733" s="39"/>
      <c r="F4733" s="11" t="s">
        <v>1700</v>
      </c>
      <c r="G4733" s="39" t="s">
        <v>176</v>
      </c>
      <c r="H4733" s="7">
        <v>0</v>
      </c>
      <c r="I4733" s="7">
        <v>0</v>
      </c>
      <c r="J4733" s="17">
        <v>0</v>
      </c>
      <c r="K4733" s="17"/>
      <c r="L4733" s="7">
        <f t="shared" si="1996"/>
        <v>0</v>
      </c>
      <c r="M4733" s="8">
        <v>1</v>
      </c>
      <c r="N4733" s="8" t="str">
        <f t="shared" si="1988"/>
        <v/>
      </c>
      <c r="O4733" s="11" t="s">
        <v>1702</v>
      </c>
      <c r="P4733" s="16" t="str">
        <f t="shared" si="1997"/>
        <v>04-Jan-1895</v>
      </c>
      <c r="Q4733" s="16"/>
      <c r="R4733" s="16" t="str">
        <f t="shared" si="1991"/>
        <v/>
      </c>
      <c r="S4733" s="16" t="str">
        <f t="shared" si="1991"/>
        <v/>
      </c>
      <c r="T4733" s="12"/>
      <c r="U4733" s="46" t="str">
        <f t="shared" si="1981"/>
        <v/>
      </c>
      <c r="V4733" s="46">
        <f t="shared" si="1981"/>
        <v>0</v>
      </c>
      <c r="W4733" s="46" t="str">
        <f t="shared" si="1981"/>
        <v/>
      </c>
      <c r="X4733" s="46" t="str">
        <f t="shared" si="1981"/>
        <v/>
      </c>
      <c r="Z4733" s="11"/>
    </row>
    <row r="4734" spans="2:26" s="18" customFormat="1" x14ac:dyDescent="0.25">
      <c r="B4734" s="11" t="str">
        <f t="shared" si="1995"/>
        <v>OBDM-04APR1895</v>
      </c>
      <c r="C4734" s="11" t="s">
        <v>160</v>
      </c>
      <c r="D4734" s="11" t="s">
        <v>2103</v>
      </c>
      <c r="E4734" s="39"/>
      <c r="F4734" s="11" t="s">
        <v>1700</v>
      </c>
      <c r="G4734" s="39" t="s">
        <v>177</v>
      </c>
      <c r="H4734" s="7">
        <v>0</v>
      </c>
      <c r="I4734" s="7">
        <v>0</v>
      </c>
      <c r="J4734" s="17">
        <v>0</v>
      </c>
      <c r="K4734" s="17"/>
      <c r="L4734" s="7">
        <f t="shared" si="1996"/>
        <v>0</v>
      </c>
      <c r="M4734" s="8">
        <v>1</v>
      </c>
      <c r="N4734" s="8" t="str">
        <f t="shared" si="1988"/>
        <v/>
      </c>
      <c r="O4734" s="11" t="s">
        <v>1702</v>
      </c>
      <c r="P4734" s="16" t="str">
        <f t="shared" si="1997"/>
        <v>04-Apr-1895</v>
      </c>
      <c r="Q4734" s="16"/>
      <c r="R4734" s="16" t="str">
        <f t="shared" si="1991"/>
        <v/>
      </c>
      <c r="S4734" s="16" t="str">
        <f t="shared" si="1991"/>
        <v/>
      </c>
      <c r="T4734" s="12"/>
      <c r="U4734" s="46" t="str">
        <f t="shared" si="1981"/>
        <v/>
      </c>
      <c r="V4734" s="46">
        <f t="shared" si="1981"/>
        <v>0</v>
      </c>
      <c r="W4734" s="46" t="str">
        <f t="shared" si="1981"/>
        <v/>
      </c>
      <c r="X4734" s="46" t="str">
        <f t="shared" si="1981"/>
        <v/>
      </c>
      <c r="Z4734" s="11"/>
    </row>
    <row r="4735" spans="2:26" x14ac:dyDescent="0.25">
      <c r="B4735" s="11" t="str">
        <f t="shared" si="1995"/>
        <v>OBDM-08MAY1895</v>
      </c>
      <c r="C4735" s="11" t="s">
        <v>160</v>
      </c>
      <c r="D4735" s="11" t="s">
        <v>2103</v>
      </c>
      <c r="F4735" s="11" t="s">
        <v>1700</v>
      </c>
      <c r="G4735" s="39" t="s">
        <v>178</v>
      </c>
      <c r="H4735" s="7">
        <v>0</v>
      </c>
      <c r="I4735" s="7">
        <v>0</v>
      </c>
      <c r="J4735" s="17">
        <v>0</v>
      </c>
      <c r="K4735" s="17"/>
      <c r="L4735" s="7">
        <f t="shared" si="1996"/>
        <v>0</v>
      </c>
      <c r="M4735" s="8">
        <v>1</v>
      </c>
      <c r="N4735" s="8" t="str">
        <f t="shared" si="1988"/>
        <v/>
      </c>
      <c r="O4735" s="11" t="s">
        <v>1702</v>
      </c>
      <c r="P4735" s="16" t="str">
        <f t="shared" si="1997"/>
        <v>08-May-1895</v>
      </c>
      <c r="R4735" s="16" t="str">
        <f t="shared" si="1991"/>
        <v/>
      </c>
      <c r="S4735" s="16" t="str">
        <f t="shared" si="1991"/>
        <v/>
      </c>
      <c r="U4735" s="46" t="str">
        <f t="shared" si="1981"/>
        <v/>
      </c>
      <c r="V4735" s="46">
        <f t="shared" si="1981"/>
        <v>0</v>
      </c>
      <c r="W4735" s="46" t="str">
        <f t="shared" si="1981"/>
        <v/>
      </c>
      <c r="X4735" s="46" t="str">
        <f t="shared" si="1981"/>
        <v/>
      </c>
    </row>
    <row r="4736" spans="2:26" x14ac:dyDescent="0.25">
      <c r="B4736" s="11" t="str">
        <f t="shared" si="1995"/>
        <v>OBDM-24SEP1895</v>
      </c>
      <c r="C4736" s="11" t="s">
        <v>160</v>
      </c>
      <c r="D4736" s="11" t="s">
        <v>2103</v>
      </c>
      <c r="F4736" s="11" t="s">
        <v>1700</v>
      </c>
      <c r="G4736" s="39" t="s">
        <v>179</v>
      </c>
      <c r="H4736" s="7">
        <v>0</v>
      </c>
      <c r="I4736" s="7">
        <v>0</v>
      </c>
      <c r="J4736" s="17">
        <v>0</v>
      </c>
      <c r="K4736" s="17"/>
      <c r="L4736" s="7">
        <f t="shared" si="1996"/>
        <v>0</v>
      </c>
      <c r="M4736" s="8">
        <v>1</v>
      </c>
      <c r="N4736" s="8" t="str">
        <f t="shared" si="1988"/>
        <v/>
      </c>
      <c r="O4736" s="11" t="s">
        <v>1702</v>
      </c>
      <c r="P4736" s="16" t="str">
        <f t="shared" si="1997"/>
        <v>24-Sep-1895</v>
      </c>
      <c r="R4736" s="16" t="str">
        <f t="shared" si="1991"/>
        <v/>
      </c>
      <c r="S4736" s="16" t="str">
        <f t="shared" si="1991"/>
        <v/>
      </c>
      <c r="U4736" s="46" t="str">
        <f t="shared" si="1981"/>
        <v/>
      </c>
      <c r="V4736" s="46">
        <f t="shared" si="1981"/>
        <v>0</v>
      </c>
      <c r="W4736" s="46" t="str">
        <f t="shared" si="1981"/>
        <v/>
      </c>
      <c r="X4736" s="46" t="str">
        <f t="shared" si="1981"/>
        <v/>
      </c>
    </row>
    <row r="4737" spans="2:26" x14ac:dyDescent="0.25">
      <c r="B4737" s="11" t="str">
        <f t="shared" ref="B4737:B4744" si="1998">CONCATENATE("OBDM","-",LEFT(P4737,2),UPPER(MID(P4737,4,3)),RIGHT(P4737,4))</f>
        <v>OBDM-06JUL1896</v>
      </c>
      <c r="C4737" s="11" t="s">
        <v>160</v>
      </c>
      <c r="D4737" s="11" t="s">
        <v>2103</v>
      </c>
      <c r="F4737" s="11" t="s">
        <v>1700</v>
      </c>
      <c r="G4737" s="39" t="s">
        <v>1706</v>
      </c>
      <c r="H4737" s="7">
        <v>0</v>
      </c>
      <c r="I4737" s="7">
        <v>0</v>
      </c>
      <c r="J4737" s="17">
        <v>3</v>
      </c>
      <c r="K4737" s="17"/>
      <c r="L4737" s="7">
        <f t="shared" ref="L4737:L4744" si="1999">SUM(H4737:K4737)</f>
        <v>3</v>
      </c>
      <c r="M4737" s="8">
        <v>1</v>
      </c>
      <c r="N4737" s="8">
        <f t="shared" si="1988"/>
        <v>1</v>
      </c>
      <c r="O4737" s="11" t="s">
        <v>1702</v>
      </c>
      <c r="P4737" s="16" t="str">
        <f t="shared" ref="P4737:P4744" si="2000">IF(LEN(G4737)=10,CONCATENATE("0",G4737),G4737)</f>
        <v>06-Jul-1896</v>
      </c>
      <c r="R4737" s="16" t="str">
        <f t="shared" si="1991"/>
        <v>x</v>
      </c>
      <c r="S4737" s="16" t="str">
        <f t="shared" si="1991"/>
        <v>x</v>
      </c>
      <c r="U4737" s="46" t="str">
        <f t="shared" si="1981"/>
        <v/>
      </c>
      <c r="V4737" s="46">
        <f t="shared" si="1981"/>
        <v>3</v>
      </c>
      <c r="W4737" s="46" t="str">
        <f t="shared" si="1981"/>
        <v/>
      </c>
      <c r="X4737" s="46" t="str">
        <f t="shared" si="1981"/>
        <v/>
      </c>
    </row>
    <row r="4738" spans="2:26" x14ac:dyDescent="0.25">
      <c r="B4738" s="11" t="str">
        <f t="shared" si="1998"/>
        <v>OBDM-10AUG1896</v>
      </c>
      <c r="C4738" s="11" t="s">
        <v>160</v>
      </c>
      <c r="D4738" s="11" t="s">
        <v>2103</v>
      </c>
      <c r="F4738" s="11" t="s">
        <v>1700</v>
      </c>
      <c r="G4738" s="39" t="s">
        <v>180</v>
      </c>
      <c r="H4738" s="7">
        <v>0</v>
      </c>
      <c r="I4738" s="7">
        <v>1</v>
      </c>
      <c r="J4738" s="17">
        <v>2</v>
      </c>
      <c r="K4738" s="17"/>
      <c r="L4738" s="7">
        <f t="shared" si="1999"/>
        <v>3</v>
      </c>
      <c r="M4738" s="8">
        <v>1</v>
      </c>
      <c r="N4738" s="8">
        <f t="shared" si="1988"/>
        <v>1</v>
      </c>
      <c r="O4738" s="11" t="s">
        <v>1702</v>
      </c>
      <c r="P4738" s="16" t="str">
        <f t="shared" si="2000"/>
        <v>10-Aug-1896</v>
      </c>
      <c r="R4738" s="16" t="str">
        <f t="shared" si="1991"/>
        <v>x</v>
      </c>
      <c r="S4738" s="16" t="str">
        <f t="shared" si="1991"/>
        <v>x</v>
      </c>
      <c r="U4738" s="46" t="str">
        <f t="shared" si="1981"/>
        <v/>
      </c>
      <c r="V4738" s="46">
        <f t="shared" si="1981"/>
        <v>3</v>
      </c>
      <c r="W4738" s="46" t="str">
        <f t="shared" si="1981"/>
        <v/>
      </c>
      <c r="X4738" s="46" t="str">
        <f t="shared" si="1981"/>
        <v/>
      </c>
    </row>
    <row r="4739" spans="2:26" x14ac:dyDescent="0.25">
      <c r="B4739" s="11" t="str">
        <f t="shared" si="1998"/>
        <v>OBDM-14SEP1896</v>
      </c>
      <c r="C4739" s="11" t="s">
        <v>160</v>
      </c>
      <c r="D4739" s="11" t="s">
        <v>2103</v>
      </c>
      <c r="F4739" s="11" t="s">
        <v>1700</v>
      </c>
      <c r="G4739" s="39" t="s">
        <v>181</v>
      </c>
      <c r="H4739" s="7">
        <v>0</v>
      </c>
      <c r="I4739" s="7">
        <v>0</v>
      </c>
      <c r="J4739" s="17">
        <v>2</v>
      </c>
      <c r="K4739" s="17"/>
      <c r="L4739" s="7">
        <f t="shared" si="1999"/>
        <v>2</v>
      </c>
      <c r="M4739" s="8">
        <v>1</v>
      </c>
      <c r="N4739" s="8">
        <f t="shared" si="1988"/>
        <v>1</v>
      </c>
      <c r="O4739" s="11" t="s">
        <v>1702</v>
      </c>
      <c r="P4739" s="16" t="str">
        <f t="shared" si="2000"/>
        <v>14-Sep-1896</v>
      </c>
      <c r="R4739" s="16" t="str">
        <f t="shared" si="1991"/>
        <v>x</v>
      </c>
      <c r="S4739" s="16" t="str">
        <f t="shared" si="1991"/>
        <v>x</v>
      </c>
      <c r="U4739" s="46" t="str">
        <f t="shared" si="1981"/>
        <v/>
      </c>
      <c r="V4739" s="46">
        <f t="shared" si="1981"/>
        <v>2</v>
      </c>
      <c r="W4739" s="46" t="str">
        <f t="shared" si="1981"/>
        <v/>
      </c>
      <c r="X4739" s="46" t="str">
        <f t="shared" si="1981"/>
        <v/>
      </c>
    </row>
    <row r="4740" spans="2:26" x14ac:dyDescent="0.25">
      <c r="B4740" s="11" t="str">
        <f t="shared" si="1998"/>
        <v>OBDM-19OCT1896</v>
      </c>
      <c r="C4740" s="11" t="s">
        <v>160</v>
      </c>
      <c r="D4740" s="11" t="s">
        <v>2103</v>
      </c>
      <c r="F4740" s="11" t="s">
        <v>1700</v>
      </c>
      <c r="G4740" s="39" t="s">
        <v>182</v>
      </c>
      <c r="H4740" s="7">
        <v>0</v>
      </c>
      <c r="I4740" s="7">
        <v>0</v>
      </c>
      <c r="J4740" s="17">
        <v>167</v>
      </c>
      <c r="K4740" s="17"/>
      <c r="L4740" s="7">
        <f t="shared" si="1999"/>
        <v>167</v>
      </c>
      <c r="M4740" s="8">
        <v>1</v>
      </c>
      <c r="N4740" s="8">
        <f t="shared" si="1988"/>
        <v>1</v>
      </c>
      <c r="O4740" s="11" t="s">
        <v>1702</v>
      </c>
      <c r="P4740" s="16" t="str">
        <f t="shared" si="2000"/>
        <v>19-Oct-1896</v>
      </c>
      <c r="R4740" s="16" t="str">
        <f t="shared" si="1991"/>
        <v>x</v>
      </c>
      <c r="S4740" s="16" t="str">
        <f t="shared" si="1991"/>
        <v>x</v>
      </c>
      <c r="U4740" s="46" t="str">
        <f t="shared" si="1981"/>
        <v/>
      </c>
      <c r="V4740" s="46">
        <f t="shared" si="1981"/>
        <v>167</v>
      </c>
      <c r="W4740" s="46" t="str">
        <f t="shared" si="1981"/>
        <v/>
      </c>
      <c r="X4740" s="46" t="str">
        <f t="shared" si="1981"/>
        <v/>
      </c>
    </row>
    <row r="4741" spans="2:26" x14ac:dyDescent="0.25">
      <c r="B4741" s="11" t="str">
        <f t="shared" si="1998"/>
        <v>OBDM-24NOV1896</v>
      </c>
      <c r="C4741" s="11" t="s">
        <v>160</v>
      </c>
      <c r="D4741" s="11" t="s">
        <v>2103</v>
      </c>
      <c r="F4741" s="11" t="s">
        <v>1700</v>
      </c>
      <c r="G4741" s="39" t="s">
        <v>183</v>
      </c>
      <c r="H4741" s="7">
        <v>0</v>
      </c>
      <c r="I4741" s="7">
        <v>0</v>
      </c>
      <c r="J4741" s="17">
        <v>4</v>
      </c>
      <c r="K4741" s="17"/>
      <c r="L4741" s="7">
        <f t="shared" si="1999"/>
        <v>4</v>
      </c>
      <c r="M4741" s="8">
        <v>1</v>
      </c>
      <c r="N4741" s="8">
        <f t="shared" si="1988"/>
        <v>1</v>
      </c>
      <c r="O4741" s="11" t="s">
        <v>1702</v>
      </c>
      <c r="P4741" s="16" t="str">
        <f t="shared" si="2000"/>
        <v>24-Nov-1896</v>
      </c>
      <c r="R4741" s="16" t="str">
        <f t="shared" si="1991"/>
        <v>x</v>
      </c>
      <c r="S4741" s="16" t="str">
        <f t="shared" si="1991"/>
        <v>x</v>
      </c>
      <c r="U4741" s="46" t="str">
        <f t="shared" si="1981"/>
        <v/>
      </c>
      <c r="V4741" s="46">
        <f t="shared" si="1981"/>
        <v>4</v>
      </c>
      <c r="W4741" s="46" t="str">
        <f t="shared" si="1981"/>
        <v/>
      </c>
      <c r="X4741" s="46" t="str">
        <f t="shared" si="1981"/>
        <v/>
      </c>
    </row>
    <row r="4742" spans="2:26" s="18" customFormat="1" x14ac:dyDescent="0.25">
      <c r="B4742" s="11" t="str">
        <f t="shared" si="1998"/>
        <v>OBDM-21APR1897</v>
      </c>
      <c r="C4742" s="11" t="s">
        <v>160</v>
      </c>
      <c r="D4742" s="11" t="s">
        <v>2103</v>
      </c>
      <c r="E4742" s="39"/>
      <c r="F4742" s="11" t="s">
        <v>1700</v>
      </c>
      <c r="G4742" s="39" t="s">
        <v>184</v>
      </c>
      <c r="H4742" s="7">
        <v>0</v>
      </c>
      <c r="I4742" s="7">
        <v>0</v>
      </c>
      <c r="J4742" s="17">
        <v>29</v>
      </c>
      <c r="K4742" s="17"/>
      <c r="L4742" s="7">
        <f t="shared" si="1999"/>
        <v>29</v>
      </c>
      <c r="M4742" s="8">
        <v>1</v>
      </c>
      <c r="N4742" s="8">
        <f t="shared" si="1988"/>
        <v>1</v>
      </c>
      <c r="O4742" s="11" t="s">
        <v>1702</v>
      </c>
      <c r="P4742" s="16" t="str">
        <f t="shared" si="2000"/>
        <v>21-Apr-1897</v>
      </c>
      <c r="Q4742" s="16"/>
      <c r="R4742" s="16" t="str">
        <f t="shared" si="1991"/>
        <v>x</v>
      </c>
      <c r="S4742" s="16" t="str">
        <f t="shared" si="1991"/>
        <v>x</v>
      </c>
      <c r="T4742" s="12"/>
      <c r="U4742" s="46" t="str">
        <f t="shared" si="1981"/>
        <v/>
      </c>
      <c r="V4742" s="46">
        <f t="shared" si="1981"/>
        <v>29</v>
      </c>
      <c r="W4742" s="46" t="str">
        <f t="shared" si="1981"/>
        <v/>
      </c>
      <c r="X4742" s="46" t="str">
        <f t="shared" si="1981"/>
        <v/>
      </c>
      <c r="Z4742" s="11"/>
    </row>
    <row r="4743" spans="2:26" s="18" customFormat="1" x14ac:dyDescent="0.25">
      <c r="B4743" s="11" t="str">
        <f t="shared" si="1998"/>
        <v>OBDM-31MAY1897</v>
      </c>
      <c r="C4743" s="11" t="s">
        <v>160</v>
      </c>
      <c r="D4743" s="11" t="s">
        <v>2103</v>
      </c>
      <c r="E4743" s="39"/>
      <c r="F4743" s="11" t="s">
        <v>1700</v>
      </c>
      <c r="G4743" s="39" t="s">
        <v>185</v>
      </c>
      <c r="H4743" s="7">
        <v>0</v>
      </c>
      <c r="I4743" s="7">
        <v>0</v>
      </c>
      <c r="J4743" s="17">
        <v>53</v>
      </c>
      <c r="K4743" s="17"/>
      <c r="L4743" s="7">
        <f t="shared" si="1999"/>
        <v>53</v>
      </c>
      <c r="M4743" s="8">
        <v>1</v>
      </c>
      <c r="N4743" s="8">
        <f t="shared" si="1988"/>
        <v>1</v>
      </c>
      <c r="O4743" s="11" t="s">
        <v>1702</v>
      </c>
      <c r="P4743" s="16" t="str">
        <f t="shared" si="2000"/>
        <v>31-May-1897</v>
      </c>
      <c r="Q4743" s="16"/>
      <c r="R4743" s="16" t="str">
        <f t="shared" si="1991"/>
        <v>x</v>
      </c>
      <c r="S4743" s="16" t="str">
        <f t="shared" si="1991"/>
        <v>x</v>
      </c>
      <c r="T4743" s="12"/>
      <c r="U4743" s="46" t="str">
        <f t="shared" si="1981"/>
        <v/>
      </c>
      <c r="V4743" s="46">
        <f t="shared" si="1981"/>
        <v>53</v>
      </c>
      <c r="W4743" s="46" t="str">
        <f t="shared" si="1981"/>
        <v/>
      </c>
      <c r="X4743" s="46" t="str">
        <f t="shared" si="1981"/>
        <v/>
      </c>
      <c r="Z4743" s="11"/>
    </row>
    <row r="4744" spans="2:26" s="18" customFormat="1" x14ac:dyDescent="0.25">
      <c r="B4744" s="11" t="str">
        <f t="shared" si="1998"/>
        <v>OBDM-06JUL1897</v>
      </c>
      <c r="C4744" s="11" t="s">
        <v>160</v>
      </c>
      <c r="D4744" s="11" t="s">
        <v>2103</v>
      </c>
      <c r="E4744" s="39" t="s">
        <v>191</v>
      </c>
      <c r="F4744" s="11" t="s">
        <v>1700</v>
      </c>
      <c r="G4744" s="39" t="s">
        <v>186</v>
      </c>
      <c r="H4744" s="7"/>
      <c r="I4744" s="7"/>
      <c r="J4744" s="17">
        <v>44</v>
      </c>
      <c r="K4744" s="17"/>
      <c r="L4744" s="7">
        <f t="shared" si="1999"/>
        <v>44</v>
      </c>
      <c r="M4744" s="8">
        <v>1</v>
      </c>
      <c r="N4744" s="8">
        <f t="shared" si="1988"/>
        <v>1</v>
      </c>
      <c r="O4744" s="11" t="s">
        <v>1702</v>
      </c>
      <c r="P4744" s="16" t="str">
        <f t="shared" si="2000"/>
        <v>06-Jul-1897</v>
      </c>
      <c r="Q4744" s="16"/>
      <c r="R4744" s="16" t="str">
        <f t="shared" si="1991"/>
        <v>x</v>
      </c>
      <c r="S4744" s="16" t="str">
        <f t="shared" si="1991"/>
        <v>x</v>
      </c>
      <c r="T4744" s="12"/>
      <c r="U4744" s="46" t="str">
        <f t="shared" si="1981"/>
        <v/>
      </c>
      <c r="V4744" s="46">
        <f t="shared" si="1981"/>
        <v>44</v>
      </c>
      <c r="W4744" s="46" t="str">
        <f t="shared" si="1981"/>
        <v/>
      </c>
      <c r="X4744" s="46" t="str">
        <f t="shared" si="1981"/>
        <v/>
      </c>
      <c r="Z4744" s="11"/>
    </row>
    <row r="4745" spans="2:26" x14ac:dyDescent="0.25">
      <c r="B4745" s="11" t="str">
        <f t="shared" ref="B4745:B4750" si="2001">CONCATENATE("OBDM","-",LEFT(P4745,2),UPPER(MID(P4745,4,3)),RIGHT(P4745,4))</f>
        <v>OBDM-07AUG1897</v>
      </c>
      <c r="C4745" s="11" t="s">
        <v>160</v>
      </c>
      <c r="D4745" s="11" t="s">
        <v>2103</v>
      </c>
      <c r="E4745" s="39" t="s">
        <v>196</v>
      </c>
      <c r="F4745" s="11" t="s">
        <v>1700</v>
      </c>
      <c r="G4745" s="39" t="s">
        <v>29</v>
      </c>
      <c r="J4745" s="17">
        <v>29</v>
      </c>
      <c r="K4745" s="17"/>
      <c r="L4745" s="7">
        <f t="shared" ref="L4745:L4750" si="2002">SUM(H4745:K4745)</f>
        <v>29</v>
      </c>
      <c r="M4745" s="8">
        <v>1</v>
      </c>
      <c r="N4745" s="8">
        <f t="shared" si="1988"/>
        <v>1</v>
      </c>
      <c r="O4745" s="11" t="s">
        <v>1702</v>
      </c>
      <c r="P4745" s="16" t="str">
        <f t="shared" ref="P4745:P4750" si="2003">IF(LEN(G4745)=10,CONCATENATE("0",G4745),G4745)</f>
        <v>07-Aug-1897</v>
      </c>
      <c r="R4745" s="16" t="str">
        <f t="shared" si="1991"/>
        <v>x</v>
      </c>
      <c r="S4745" s="16" t="str">
        <f t="shared" si="1991"/>
        <v>x</v>
      </c>
      <c r="U4745" s="46" t="str">
        <f t="shared" si="1981"/>
        <v/>
      </c>
      <c r="V4745" s="46">
        <f t="shared" si="1981"/>
        <v>29</v>
      </c>
      <c r="W4745" s="46" t="str">
        <f t="shared" si="1981"/>
        <v/>
      </c>
      <c r="X4745" s="46" t="str">
        <f t="shared" si="1981"/>
        <v/>
      </c>
    </row>
    <row r="4746" spans="2:26" x14ac:dyDescent="0.25">
      <c r="B4746" s="11" t="str">
        <f t="shared" si="2001"/>
        <v>OBDM-13SEP1897</v>
      </c>
      <c r="C4746" s="11" t="s">
        <v>160</v>
      </c>
      <c r="D4746" s="11" t="s">
        <v>2103</v>
      </c>
      <c r="E4746" s="39" t="s">
        <v>197</v>
      </c>
      <c r="F4746" s="11" t="s">
        <v>1700</v>
      </c>
      <c r="G4746" s="39" t="s">
        <v>187</v>
      </c>
      <c r="J4746" s="17">
        <v>19</v>
      </c>
      <c r="K4746" s="17"/>
      <c r="L4746" s="7">
        <f t="shared" si="2002"/>
        <v>19</v>
      </c>
      <c r="M4746" s="8">
        <v>1</v>
      </c>
      <c r="N4746" s="8">
        <f t="shared" si="1988"/>
        <v>1</v>
      </c>
      <c r="O4746" s="11" t="s">
        <v>1702</v>
      </c>
      <c r="P4746" s="16" t="str">
        <f t="shared" si="2003"/>
        <v>13-Sep-1897</v>
      </c>
      <c r="R4746" s="16" t="str">
        <f t="shared" si="1991"/>
        <v>x</v>
      </c>
      <c r="S4746" s="16" t="str">
        <f t="shared" si="1991"/>
        <v>x</v>
      </c>
      <c r="U4746" s="46" t="str">
        <f t="shared" si="1981"/>
        <v/>
      </c>
      <c r="V4746" s="46">
        <f t="shared" si="1981"/>
        <v>19</v>
      </c>
      <c r="W4746" s="46" t="str">
        <f t="shared" si="1981"/>
        <v/>
      </c>
      <c r="X4746" s="46" t="str">
        <f t="shared" si="1981"/>
        <v/>
      </c>
    </row>
    <row r="4747" spans="2:26" s="18" customFormat="1" x14ac:dyDescent="0.25">
      <c r="B4747" s="11" t="str">
        <f t="shared" si="2001"/>
        <v>OBDM-17OCT1897</v>
      </c>
      <c r="C4747" s="11" t="s">
        <v>160</v>
      </c>
      <c r="D4747" s="11" t="s">
        <v>2103</v>
      </c>
      <c r="E4747" s="39" t="s">
        <v>198</v>
      </c>
      <c r="F4747" s="11" t="s">
        <v>1700</v>
      </c>
      <c r="G4747" s="39" t="s">
        <v>188</v>
      </c>
      <c r="H4747" s="7"/>
      <c r="I4747" s="7"/>
      <c r="J4747" s="17">
        <v>16</v>
      </c>
      <c r="K4747" s="17"/>
      <c r="L4747" s="7">
        <f t="shared" si="2002"/>
        <v>16</v>
      </c>
      <c r="M4747" s="8">
        <v>1</v>
      </c>
      <c r="N4747" s="8">
        <f t="shared" si="1988"/>
        <v>1</v>
      </c>
      <c r="O4747" s="11" t="s">
        <v>1702</v>
      </c>
      <c r="P4747" s="16" t="str">
        <f t="shared" si="2003"/>
        <v>17-Oct-1897</v>
      </c>
      <c r="Q4747" s="16"/>
      <c r="R4747" s="16" t="str">
        <f t="shared" si="1991"/>
        <v>x</v>
      </c>
      <c r="S4747" s="16" t="str">
        <f t="shared" si="1991"/>
        <v>x</v>
      </c>
      <c r="T4747" s="12"/>
      <c r="U4747" s="46" t="str">
        <f t="shared" si="1981"/>
        <v/>
      </c>
      <c r="V4747" s="46">
        <f t="shared" si="1981"/>
        <v>16</v>
      </c>
      <c r="W4747" s="46" t="str">
        <f t="shared" si="1981"/>
        <v/>
      </c>
      <c r="X4747" s="46" t="str">
        <f t="shared" si="1981"/>
        <v/>
      </c>
      <c r="Z4747" s="11"/>
    </row>
    <row r="4748" spans="2:26" s="18" customFormat="1" x14ac:dyDescent="0.25">
      <c r="B4748" s="11" t="str">
        <f t="shared" si="2001"/>
        <v>OBDM-23NOV1897</v>
      </c>
      <c r="C4748" s="11" t="s">
        <v>160</v>
      </c>
      <c r="D4748" s="11" t="s">
        <v>2103</v>
      </c>
      <c r="E4748" s="39" t="s">
        <v>199</v>
      </c>
      <c r="F4748" s="11" t="s">
        <v>1700</v>
      </c>
      <c r="G4748" s="39" t="s">
        <v>189</v>
      </c>
      <c r="H4748" s="7"/>
      <c r="I4748" s="7"/>
      <c r="J4748" s="17">
        <v>7</v>
      </c>
      <c r="K4748" s="17"/>
      <c r="L4748" s="7">
        <f t="shared" si="2002"/>
        <v>7</v>
      </c>
      <c r="M4748" s="8">
        <v>1</v>
      </c>
      <c r="N4748" s="8">
        <f t="shared" si="1988"/>
        <v>1</v>
      </c>
      <c r="O4748" s="11" t="s">
        <v>1702</v>
      </c>
      <c r="P4748" s="16" t="str">
        <f t="shared" si="2003"/>
        <v>23-Nov-1897</v>
      </c>
      <c r="Q4748" s="16"/>
      <c r="R4748" s="16" t="str">
        <f t="shared" si="1991"/>
        <v>x</v>
      </c>
      <c r="S4748" s="16" t="str">
        <f t="shared" si="1991"/>
        <v>x</v>
      </c>
      <c r="T4748" s="12"/>
      <c r="U4748" s="46" t="str">
        <f t="shared" si="1981"/>
        <v/>
      </c>
      <c r="V4748" s="46">
        <f t="shared" si="1981"/>
        <v>7</v>
      </c>
      <c r="W4748" s="46" t="str">
        <f t="shared" si="1981"/>
        <v/>
      </c>
      <c r="X4748" s="46" t="str">
        <f t="shared" si="1981"/>
        <v/>
      </c>
      <c r="Z4748" s="11"/>
    </row>
    <row r="4749" spans="2:26" s="18" customFormat="1" x14ac:dyDescent="0.25">
      <c r="B4749" s="11" t="str">
        <f t="shared" si="2001"/>
        <v>OBDM-28DEC1897</v>
      </c>
      <c r="C4749" s="11" t="s">
        <v>160</v>
      </c>
      <c r="D4749" s="11" t="s">
        <v>2103</v>
      </c>
      <c r="E4749" s="39" t="s">
        <v>200</v>
      </c>
      <c r="F4749" s="11" t="s">
        <v>1700</v>
      </c>
      <c r="G4749" s="39" t="s">
        <v>190</v>
      </c>
      <c r="H4749" s="7"/>
      <c r="I4749" s="7"/>
      <c r="J4749" s="17">
        <v>20</v>
      </c>
      <c r="K4749" s="17"/>
      <c r="L4749" s="7">
        <f t="shared" si="2002"/>
        <v>20</v>
      </c>
      <c r="M4749" s="8">
        <v>1</v>
      </c>
      <c r="N4749" s="8">
        <f t="shared" si="1988"/>
        <v>1</v>
      </c>
      <c r="O4749" s="11" t="s">
        <v>1702</v>
      </c>
      <c r="P4749" s="16" t="str">
        <f t="shared" si="2003"/>
        <v>28-Dec-1897</v>
      </c>
      <c r="Q4749" s="16"/>
      <c r="R4749" s="16" t="str">
        <f t="shared" si="1991"/>
        <v>x</v>
      </c>
      <c r="S4749" s="16" t="str">
        <f t="shared" si="1991"/>
        <v>x</v>
      </c>
      <c r="T4749" s="12"/>
      <c r="U4749" s="46" t="str">
        <f t="shared" si="1981"/>
        <v/>
      </c>
      <c r="V4749" s="46">
        <f t="shared" si="1981"/>
        <v>20</v>
      </c>
      <c r="W4749" s="46" t="str">
        <f t="shared" si="1981"/>
        <v/>
      </c>
      <c r="X4749" s="46" t="str">
        <f t="shared" si="1981"/>
        <v/>
      </c>
      <c r="Z4749" s="11"/>
    </row>
    <row r="4750" spans="2:26" x14ac:dyDescent="0.25">
      <c r="B4750" s="11" t="str">
        <f t="shared" si="2001"/>
        <v>OBDM-31JAN1898</v>
      </c>
      <c r="C4750" s="11" t="s">
        <v>160</v>
      </c>
      <c r="D4750" s="11" t="s">
        <v>2103</v>
      </c>
      <c r="E4750" s="39" t="s">
        <v>206</v>
      </c>
      <c r="F4750" s="11" t="s">
        <v>1700</v>
      </c>
      <c r="G4750" s="39" t="s">
        <v>201</v>
      </c>
      <c r="J4750" s="17">
        <v>5</v>
      </c>
      <c r="K4750" s="17"/>
      <c r="L4750" s="7">
        <f t="shared" si="2002"/>
        <v>5</v>
      </c>
      <c r="M4750" s="8">
        <v>1</v>
      </c>
      <c r="N4750" s="8">
        <f t="shared" si="1988"/>
        <v>1</v>
      </c>
      <c r="O4750" s="11" t="s">
        <v>1702</v>
      </c>
      <c r="P4750" s="16" t="str">
        <f t="shared" si="2003"/>
        <v>31-Jan-1898</v>
      </c>
      <c r="R4750" s="16" t="str">
        <f t="shared" si="1991"/>
        <v>x</v>
      </c>
      <c r="S4750" s="16" t="str">
        <f t="shared" si="1991"/>
        <v>x</v>
      </c>
      <c r="U4750" s="46" t="str">
        <f t="shared" si="1981"/>
        <v/>
      </c>
      <c r="V4750" s="46">
        <f t="shared" si="1981"/>
        <v>5</v>
      </c>
      <c r="W4750" s="46" t="str">
        <f t="shared" si="1981"/>
        <v/>
      </c>
      <c r="X4750" s="46" t="str">
        <f t="shared" si="1981"/>
        <v/>
      </c>
    </row>
    <row r="4751" spans="2:26" x14ac:dyDescent="0.25">
      <c r="B4751" s="11" t="str">
        <f>CONCATENATE("OBDM","-",LEFT(P4751,2),UPPER(MID(P4751,4,3)),RIGHT(P4751,4))</f>
        <v>OBDM-07MAR1898</v>
      </c>
      <c r="C4751" s="11" t="s">
        <v>160</v>
      </c>
      <c r="D4751" s="11" t="s">
        <v>2103</v>
      </c>
      <c r="E4751" s="39" t="s">
        <v>207</v>
      </c>
      <c r="F4751" s="11" t="s">
        <v>1700</v>
      </c>
      <c r="G4751" s="39" t="s">
        <v>202</v>
      </c>
      <c r="J4751" s="17">
        <v>0</v>
      </c>
      <c r="K4751" s="17"/>
      <c r="L4751" s="7">
        <f>SUM(H4751:K4751)</f>
        <v>0</v>
      </c>
      <c r="M4751" s="8">
        <v>1</v>
      </c>
      <c r="N4751" s="8" t="str">
        <f t="shared" si="1988"/>
        <v/>
      </c>
      <c r="O4751" s="11" t="s">
        <v>1702</v>
      </c>
      <c r="P4751" s="16" t="str">
        <f>IF(LEN(G4751)=10,CONCATENATE("0",G4751),G4751)</f>
        <v>07-Mar-1898</v>
      </c>
      <c r="R4751" s="16" t="str">
        <f t="shared" si="1991"/>
        <v/>
      </c>
      <c r="S4751" s="16" t="str">
        <f t="shared" si="1991"/>
        <v/>
      </c>
      <c r="U4751" s="46" t="str">
        <f t="shared" si="1981"/>
        <v/>
      </c>
      <c r="V4751" s="46">
        <f t="shared" si="1981"/>
        <v>0</v>
      </c>
      <c r="W4751" s="46" t="str">
        <f t="shared" si="1981"/>
        <v/>
      </c>
      <c r="X4751" s="46" t="str">
        <f t="shared" si="1981"/>
        <v/>
      </c>
    </row>
    <row r="4752" spans="2:26" s="18" customFormat="1" x14ac:dyDescent="0.25">
      <c r="B4752" s="11" t="str">
        <f>CONCATENATE("OBDM","-",LEFT(P4752,2),UPPER(MID(P4752,4,3)),RIGHT(P4752,4))</f>
        <v>OBDM-12APR1898</v>
      </c>
      <c r="C4752" s="11" t="s">
        <v>160</v>
      </c>
      <c r="D4752" s="11" t="s">
        <v>2103</v>
      </c>
      <c r="E4752" s="39" t="s">
        <v>208</v>
      </c>
      <c r="F4752" s="11" t="s">
        <v>1700</v>
      </c>
      <c r="G4752" s="39" t="s">
        <v>203</v>
      </c>
      <c r="H4752" s="7"/>
      <c r="I4752" s="7"/>
      <c r="J4752" s="17">
        <v>1</v>
      </c>
      <c r="K4752" s="17"/>
      <c r="L4752" s="7">
        <f>SUM(H4752:K4752)</f>
        <v>1</v>
      </c>
      <c r="M4752" s="8">
        <v>1</v>
      </c>
      <c r="N4752" s="8">
        <f t="shared" si="1988"/>
        <v>1</v>
      </c>
      <c r="O4752" s="11" t="s">
        <v>1702</v>
      </c>
      <c r="P4752" s="16" t="str">
        <f>IF(LEN(G4752)=10,CONCATENATE("0",G4752),G4752)</f>
        <v>12-Apr-1898</v>
      </c>
      <c r="Q4752" s="16"/>
      <c r="R4752" s="16" t="str">
        <f t="shared" si="1991"/>
        <v>x</v>
      </c>
      <c r="S4752" s="16" t="str">
        <f t="shared" si="1991"/>
        <v>x</v>
      </c>
      <c r="T4752" s="12"/>
      <c r="U4752" s="46" t="str">
        <f t="shared" si="1981"/>
        <v/>
      </c>
      <c r="V4752" s="46">
        <f t="shared" si="1981"/>
        <v>1</v>
      </c>
      <c r="W4752" s="46" t="str">
        <f t="shared" si="1981"/>
        <v/>
      </c>
      <c r="X4752" s="46" t="str">
        <f t="shared" si="1981"/>
        <v/>
      </c>
      <c r="Z4752" s="11"/>
    </row>
    <row r="4753" spans="2:26" s="18" customFormat="1" x14ac:dyDescent="0.25">
      <c r="B4753" s="11" t="str">
        <f>CONCATENATE("OBDM","-",LEFT(P4753,2),UPPER(MID(P4753,4,3)),RIGHT(P4753,4))</f>
        <v>OBDM-16MAY1898</v>
      </c>
      <c r="C4753" s="11" t="s">
        <v>160</v>
      </c>
      <c r="D4753" s="11" t="s">
        <v>2103</v>
      </c>
      <c r="E4753" s="39" t="s">
        <v>209</v>
      </c>
      <c r="F4753" s="11" t="s">
        <v>1700</v>
      </c>
      <c r="G4753" s="39" t="s">
        <v>204</v>
      </c>
      <c r="H4753" s="7"/>
      <c r="I4753" s="7"/>
      <c r="J4753" s="17">
        <v>3</v>
      </c>
      <c r="K4753" s="17"/>
      <c r="L4753" s="7">
        <f>SUM(H4753:K4753)</f>
        <v>3</v>
      </c>
      <c r="M4753" s="8">
        <v>1</v>
      </c>
      <c r="N4753" s="8">
        <f t="shared" si="1988"/>
        <v>1</v>
      </c>
      <c r="O4753" s="11" t="s">
        <v>1702</v>
      </c>
      <c r="P4753" s="16" t="str">
        <f>IF(LEN(G4753)=10,CONCATENATE("0",G4753),G4753)</f>
        <v>16-May-1898</v>
      </c>
      <c r="Q4753" s="16"/>
      <c r="R4753" s="16" t="str">
        <f t="shared" si="1991"/>
        <v>x</v>
      </c>
      <c r="S4753" s="16" t="str">
        <f t="shared" si="1991"/>
        <v>x</v>
      </c>
      <c r="T4753" s="12"/>
      <c r="U4753" s="46" t="str">
        <f t="shared" si="1981"/>
        <v/>
      </c>
      <c r="V4753" s="46">
        <f t="shared" si="1981"/>
        <v>3</v>
      </c>
      <c r="W4753" s="46" t="str">
        <f t="shared" si="1981"/>
        <v/>
      </c>
      <c r="X4753" s="46" t="str">
        <f t="shared" si="1981"/>
        <v/>
      </c>
      <c r="Z4753" s="11"/>
    </row>
    <row r="4754" spans="2:26" s="18" customFormat="1" x14ac:dyDescent="0.25">
      <c r="B4754" s="11" t="str">
        <f>CONCATENATE("OBDM","-",LEFT(P4754,2),UPPER(MID(P4754,4,3)),RIGHT(P4754,4))</f>
        <v>OBDM-20JUN1898</v>
      </c>
      <c r="C4754" s="11" t="s">
        <v>160</v>
      </c>
      <c r="D4754" s="11" t="s">
        <v>2103</v>
      </c>
      <c r="E4754" s="39" t="s">
        <v>210</v>
      </c>
      <c r="F4754" s="11" t="s">
        <v>1700</v>
      </c>
      <c r="G4754" s="39" t="s">
        <v>205</v>
      </c>
      <c r="H4754" s="7"/>
      <c r="I4754" s="7"/>
      <c r="J4754" s="17">
        <v>2</v>
      </c>
      <c r="K4754" s="17"/>
      <c r="L4754" s="7">
        <f>SUM(H4754:K4754)</f>
        <v>2</v>
      </c>
      <c r="M4754" s="8">
        <v>1</v>
      </c>
      <c r="N4754" s="8">
        <f t="shared" si="1988"/>
        <v>1</v>
      </c>
      <c r="O4754" s="11" t="s">
        <v>1702</v>
      </c>
      <c r="P4754" s="16" t="str">
        <f>IF(LEN(G4754)=10,CONCATENATE("0",G4754),G4754)</f>
        <v>20-Jun-1898</v>
      </c>
      <c r="Q4754" s="16"/>
      <c r="R4754" s="16" t="str">
        <f t="shared" si="1991"/>
        <v>x</v>
      </c>
      <c r="S4754" s="16" t="str">
        <f t="shared" si="1991"/>
        <v>x</v>
      </c>
      <c r="T4754" s="12"/>
      <c r="U4754" s="46" t="str">
        <f t="shared" si="1981"/>
        <v/>
      </c>
      <c r="V4754" s="46">
        <f t="shared" si="1981"/>
        <v>2</v>
      </c>
      <c r="W4754" s="46" t="str">
        <f t="shared" si="1981"/>
        <v/>
      </c>
      <c r="X4754" s="46" t="str">
        <f t="shared" si="1981"/>
        <v/>
      </c>
      <c r="Z4754" s="11"/>
    </row>
    <row r="4755" spans="2:26" x14ac:dyDescent="0.25">
      <c r="N4755" s="8" t="str">
        <f>IF(R4755="x",1,"")</f>
        <v/>
      </c>
      <c r="U4755" s="46" t="str">
        <f t="shared" si="1981"/>
        <v/>
      </c>
      <c r="V4755" s="46" t="str">
        <f t="shared" si="1981"/>
        <v/>
      </c>
      <c r="W4755" s="46" t="str">
        <f t="shared" si="1981"/>
        <v/>
      </c>
      <c r="X4755" s="46" t="str">
        <f t="shared" si="1981"/>
        <v/>
      </c>
    </row>
    <row r="4756" spans="2:26" x14ac:dyDescent="0.25">
      <c r="B4756" s="18"/>
      <c r="C4756" s="18"/>
      <c r="D4756" s="18"/>
      <c r="E4756" s="40"/>
      <c r="F4756" s="18"/>
      <c r="G4756" s="40"/>
      <c r="H4756" s="7">
        <f t="shared" ref="H4756:N4756" si="2004">SUM(H4711:H4755)</f>
        <v>9</v>
      </c>
      <c r="I4756" s="7">
        <f t="shared" si="2004"/>
        <v>1</v>
      </c>
      <c r="J4756" s="7">
        <f>SUM(J4711:J4755)</f>
        <v>474</v>
      </c>
      <c r="K4756" s="7">
        <f t="shared" si="2004"/>
        <v>0</v>
      </c>
      <c r="L4756" s="7">
        <f t="shared" si="2004"/>
        <v>484</v>
      </c>
      <c r="M4756" s="7">
        <f t="shared" si="2004"/>
        <v>44</v>
      </c>
      <c r="N4756" s="7">
        <f t="shared" si="2004"/>
        <v>27</v>
      </c>
      <c r="O4756" s="18"/>
      <c r="P4756" s="13"/>
      <c r="Q4756" s="13"/>
      <c r="S4756" s="13"/>
      <c r="T4756" s="15"/>
      <c r="U4756" s="46" t="str">
        <f t="shared" si="1981"/>
        <v/>
      </c>
      <c r="V4756" s="46" t="str">
        <f t="shared" si="1981"/>
        <v/>
      </c>
      <c r="W4756" s="46" t="str">
        <f t="shared" si="1981"/>
        <v/>
      </c>
      <c r="X4756" s="46" t="str">
        <f t="shared" si="1981"/>
        <v/>
      </c>
    </row>
    <row r="4757" spans="2:26" x14ac:dyDescent="0.25">
      <c r="B4757" s="18"/>
      <c r="C4757" s="18"/>
      <c r="D4757" s="18"/>
      <c r="E4757" s="40"/>
      <c r="F4757" s="18"/>
      <c r="G4757" s="40"/>
      <c r="N4757" s="8" t="str">
        <f>IF(R4757="x",1,"")</f>
        <v/>
      </c>
      <c r="O4757" s="18"/>
      <c r="P4757" s="13"/>
      <c r="Q4757" s="13"/>
      <c r="R4757" s="13"/>
      <c r="S4757" s="13"/>
      <c r="T4757" s="15"/>
      <c r="U4757" s="46" t="str">
        <f t="shared" si="1981"/>
        <v/>
      </c>
      <c r="V4757" s="46" t="str">
        <f t="shared" si="1981"/>
        <v/>
      </c>
      <c r="W4757" s="46" t="str">
        <f t="shared" si="1981"/>
        <v/>
      </c>
      <c r="X4757" s="46" t="str">
        <f t="shared" si="1981"/>
        <v/>
      </c>
    </row>
    <row r="4758" spans="2:26" x14ac:dyDescent="0.25">
      <c r="B4758" s="18"/>
      <c r="C4758" s="18"/>
      <c r="D4758" s="18"/>
      <c r="E4758" s="40"/>
      <c r="F4758" s="18"/>
      <c r="G4758" s="40"/>
      <c r="N4758" s="8" t="str">
        <f>IF(R4758="x",1,"")</f>
        <v/>
      </c>
      <c r="O4758" s="18"/>
      <c r="P4758" s="13"/>
      <c r="Q4758" s="13"/>
      <c r="R4758" s="13"/>
      <c r="S4758" s="13"/>
      <c r="T4758" s="15"/>
      <c r="U4758" s="46" t="str">
        <f t="shared" si="1981"/>
        <v/>
      </c>
      <c r="V4758" s="46" t="str">
        <f t="shared" si="1981"/>
        <v/>
      </c>
      <c r="W4758" s="46" t="str">
        <f t="shared" si="1981"/>
        <v/>
      </c>
      <c r="X4758" s="46" t="str">
        <f t="shared" si="1981"/>
        <v/>
      </c>
    </row>
    <row r="4759" spans="2:26" x14ac:dyDescent="0.25">
      <c r="B4759" s="11" t="str">
        <f t="shared" ref="B4759:B4778" si="2005">CONCATENATE("OCNA","-",LEFT(P4759,2),UPPER(MID(P4759,4,3)),RIGHT(P4759,4))</f>
        <v>OCNA-29JUL1909</v>
      </c>
      <c r="C4759" s="11" t="s">
        <v>3087</v>
      </c>
      <c r="D4759" s="11" t="s">
        <v>3064</v>
      </c>
      <c r="E4759" s="39" t="s">
        <v>2047</v>
      </c>
      <c r="F4759" s="11" t="s">
        <v>1700</v>
      </c>
      <c r="G4759" s="39" t="s">
        <v>3607</v>
      </c>
      <c r="H4759" s="7">
        <v>0</v>
      </c>
      <c r="I4759" s="7">
        <v>2</v>
      </c>
      <c r="J4759" s="17">
        <v>0</v>
      </c>
      <c r="K4759" s="17"/>
      <c r="L4759" s="7">
        <f t="shared" ref="L4759:L4778" si="2006">SUM(H4759:K4759)</f>
        <v>2</v>
      </c>
      <c r="M4759" s="8">
        <v>1</v>
      </c>
      <c r="N4759" s="8">
        <f t="shared" ref="N4759:N4778" si="2007">IF(L4759&gt;0,1,"")</f>
        <v>1</v>
      </c>
      <c r="O4759" s="11" t="s">
        <v>1702</v>
      </c>
      <c r="P4759" s="16" t="str">
        <f t="shared" ref="P4759:P4778" si="2008">IF(LEN(G4759)=10,CONCATENATE("0",G4759),G4759)</f>
        <v>29-Jul-1909</v>
      </c>
      <c r="R4759" s="16" t="str">
        <f>IF($L4759&gt;0,"x","")</f>
        <v>x</v>
      </c>
      <c r="S4759" s="16" t="str">
        <f>IF($L4759&gt;0,"x","")</f>
        <v>x</v>
      </c>
      <c r="U4759" s="46" t="str">
        <f t="shared" si="1981"/>
        <v/>
      </c>
      <c r="V4759" s="46">
        <f t="shared" si="1981"/>
        <v>2</v>
      </c>
      <c r="W4759" s="46" t="str">
        <f t="shared" si="1981"/>
        <v/>
      </c>
      <c r="X4759" s="46" t="str">
        <f t="shared" si="1981"/>
        <v/>
      </c>
    </row>
    <row r="4760" spans="2:26" x14ac:dyDescent="0.25">
      <c r="B4760" s="11" t="str">
        <f>CONCATENATE("OCNA","-",LEFT(P4760,2),UPPER(MID(P4760,4,3)),RIGHT(P4760,4))</f>
        <v>OCNA-29JUL1909</v>
      </c>
      <c r="C4760" s="11" t="s">
        <v>3087</v>
      </c>
      <c r="D4760" s="11" t="s">
        <v>1906</v>
      </c>
      <c r="E4760" s="39" t="s">
        <v>3608</v>
      </c>
      <c r="F4760" s="11" t="s">
        <v>1700</v>
      </c>
      <c r="G4760" s="39" t="s">
        <v>3607</v>
      </c>
      <c r="H4760" s="7">
        <v>0</v>
      </c>
      <c r="I4760" s="7">
        <v>6</v>
      </c>
      <c r="J4760" s="17">
        <v>13</v>
      </c>
      <c r="K4760" s="17"/>
      <c r="L4760" s="7">
        <f>SUM(H4760:K4760)</f>
        <v>19</v>
      </c>
      <c r="M4760" s="8">
        <v>1</v>
      </c>
      <c r="N4760" s="8">
        <f>IF(L4760&gt;0,1,"")</f>
        <v>1</v>
      </c>
      <c r="O4760" s="11" t="s">
        <v>1702</v>
      </c>
      <c r="P4760" s="16" t="str">
        <f>IF(LEN(G4760)=10,CONCATENATE("0",G4760),G4760)</f>
        <v>29-Jul-1909</v>
      </c>
      <c r="R4760" s="16" t="str">
        <f t="shared" ref="R4760:S4763" si="2009">IF($L4760&gt;0,"x","")</f>
        <v>x</v>
      </c>
      <c r="S4760" s="16" t="str">
        <f t="shared" si="2009"/>
        <v>x</v>
      </c>
      <c r="U4760" s="46" t="str">
        <f>IF($O4760=U$5,$L4760,"")</f>
        <v/>
      </c>
      <c r="V4760" s="46">
        <f>IF($O4760=V$5,$L4760,"")</f>
        <v>19</v>
      </c>
      <c r="W4760" s="46" t="str">
        <f>IF($O4760=W$5,$L4760,"")</f>
        <v/>
      </c>
      <c r="X4760" s="46" t="str">
        <f>IF($O4760=X$5,$L4760,"")</f>
        <v/>
      </c>
    </row>
    <row r="4761" spans="2:26" x14ac:dyDescent="0.25">
      <c r="B4761" s="11" t="str">
        <f t="shared" si="2005"/>
        <v>OCNA-07OCT1909</v>
      </c>
      <c r="C4761" s="11" t="s">
        <v>3087</v>
      </c>
      <c r="D4761" s="11" t="s">
        <v>1906</v>
      </c>
      <c r="E4761" s="39" t="s">
        <v>3306</v>
      </c>
      <c r="F4761" s="11" t="s">
        <v>1700</v>
      </c>
      <c r="G4761" s="39" t="s">
        <v>3305</v>
      </c>
      <c r="H4761" s="7">
        <v>0</v>
      </c>
      <c r="I4761" s="7">
        <v>0</v>
      </c>
      <c r="J4761" s="17">
        <v>78</v>
      </c>
      <c r="K4761" s="17"/>
      <c r="L4761" s="7">
        <f t="shared" si="2006"/>
        <v>78</v>
      </c>
      <c r="M4761" s="8">
        <v>1</v>
      </c>
      <c r="N4761" s="8">
        <f t="shared" si="2007"/>
        <v>1</v>
      </c>
      <c r="O4761" s="11" t="s">
        <v>1702</v>
      </c>
      <c r="P4761" s="16" t="str">
        <f t="shared" si="2008"/>
        <v>07-Oct-1909</v>
      </c>
      <c r="R4761" s="16" t="str">
        <f t="shared" si="2009"/>
        <v>x</v>
      </c>
      <c r="S4761" s="16" t="str">
        <f t="shared" si="2009"/>
        <v>x</v>
      </c>
      <c r="U4761" s="46" t="str">
        <f t="shared" si="1981"/>
        <v/>
      </c>
      <c r="V4761" s="46">
        <f t="shared" si="1981"/>
        <v>78</v>
      </c>
      <c r="W4761" s="46" t="str">
        <f t="shared" si="1981"/>
        <v/>
      </c>
      <c r="X4761" s="46" t="str">
        <f t="shared" si="1981"/>
        <v/>
      </c>
    </row>
    <row r="4762" spans="2:26" x14ac:dyDescent="0.25">
      <c r="B4762" s="11" t="str">
        <f>CONCATENATE("OCNA","-",LEFT(P4762,2),UPPER(MID(P4762,4,3)),RIGHT(P4762,4))</f>
        <v>OCNA-24NOV1909</v>
      </c>
      <c r="C4762" s="11" t="s">
        <v>3087</v>
      </c>
      <c r="D4762" s="11" t="s">
        <v>1906</v>
      </c>
      <c r="E4762" s="39" t="s">
        <v>1485</v>
      </c>
      <c r="F4762" s="11" t="s">
        <v>1700</v>
      </c>
      <c r="G4762" s="39" t="s">
        <v>5382</v>
      </c>
      <c r="H4762" s="7">
        <v>0</v>
      </c>
      <c r="I4762" s="7">
        <v>0</v>
      </c>
      <c r="J4762" s="17">
        <v>36</v>
      </c>
      <c r="K4762" s="17"/>
      <c r="L4762" s="7">
        <f>SUM(H4762:K4762)</f>
        <v>36</v>
      </c>
      <c r="M4762" s="8">
        <v>1</v>
      </c>
      <c r="N4762" s="8">
        <f>IF(L4762&gt;0,1,"")</f>
        <v>1</v>
      </c>
      <c r="O4762" s="11" t="s">
        <v>1702</v>
      </c>
      <c r="P4762" s="16" t="str">
        <f>IF(LEN(G4762)=10,CONCATENATE("0",G4762),G4762)</f>
        <v>24-Nov-1909</v>
      </c>
      <c r="R4762" s="16" t="str">
        <f t="shared" si="2009"/>
        <v>x</v>
      </c>
      <c r="S4762" s="16" t="str">
        <f t="shared" si="2009"/>
        <v>x</v>
      </c>
      <c r="U4762" s="46" t="str">
        <f t="shared" ref="U4762:X4763" si="2010">IF($O4762=U$5,$L4762,"")</f>
        <v/>
      </c>
      <c r="V4762" s="46">
        <f t="shared" si="2010"/>
        <v>36</v>
      </c>
      <c r="W4762" s="46" t="str">
        <f t="shared" si="2010"/>
        <v/>
      </c>
      <c r="X4762" s="46" t="str">
        <f t="shared" si="2010"/>
        <v/>
      </c>
    </row>
    <row r="4763" spans="2:26" x14ac:dyDescent="0.25">
      <c r="B4763" s="11" t="str">
        <f t="shared" si="2005"/>
        <v>OCNA-19JAN1910</v>
      </c>
      <c r="C4763" s="11" t="s">
        <v>3087</v>
      </c>
      <c r="D4763" s="11" t="s">
        <v>1906</v>
      </c>
      <c r="E4763" s="39" t="s">
        <v>873</v>
      </c>
      <c r="F4763" s="11" t="s">
        <v>1700</v>
      </c>
      <c r="G4763" s="39" t="s">
        <v>2751</v>
      </c>
      <c r="I4763" s="7">
        <v>0</v>
      </c>
      <c r="J4763" s="17">
        <v>36</v>
      </c>
      <c r="K4763" s="17"/>
      <c r="L4763" s="7">
        <f t="shared" si="2006"/>
        <v>36</v>
      </c>
      <c r="M4763" s="8">
        <v>1</v>
      </c>
      <c r="N4763" s="8">
        <f t="shared" si="2007"/>
        <v>1</v>
      </c>
      <c r="O4763" s="11" t="s">
        <v>1702</v>
      </c>
      <c r="P4763" s="16" t="str">
        <f t="shared" si="2008"/>
        <v>19-Jan-1910</v>
      </c>
      <c r="R4763" s="16" t="str">
        <f t="shared" si="2009"/>
        <v>x</v>
      </c>
      <c r="S4763" s="16" t="str">
        <f t="shared" si="2009"/>
        <v>x</v>
      </c>
      <c r="U4763" s="46" t="str">
        <f t="shared" si="2010"/>
        <v/>
      </c>
      <c r="V4763" s="46">
        <f t="shared" si="2010"/>
        <v>36</v>
      </c>
      <c r="W4763" s="46" t="str">
        <f t="shared" si="2010"/>
        <v/>
      </c>
      <c r="X4763" s="46" t="str">
        <f t="shared" si="2010"/>
        <v/>
      </c>
    </row>
    <row r="4764" spans="2:26" x14ac:dyDescent="0.25">
      <c r="B4764" s="11" t="str">
        <f t="shared" si="2005"/>
        <v>OCNA-23JUN1910</v>
      </c>
      <c r="C4764" s="11" t="s">
        <v>3087</v>
      </c>
      <c r="D4764" s="11" t="s">
        <v>1906</v>
      </c>
      <c r="E4764" s="39" t="s">
        <v>3088</v>
      </c>
      <c r="F4764" s="11" t="s">
        <v>1700</v>
      </c>
      <c r="G4764" s="39" t="s">
        <v>3089</v>
      </c>
      <c r="H4764" s="7">
        <v>0</v>
      </c>
      <c r="I4764" s="7">
        <v>0</v>
      </c>
      <c r="J4764" s="17">
        <v>61</v>
      </c>
      <c r="K4764" s="17"/>
      <c r="L4764" s="7">
        <f t="shared" si="2006"/>
        <v>61</v>
      </c>
      <c r="M4764" s="8">
        <v>1</v>
      </c>
      <c r="N4764" s="8">
        <f t="shared" si="2007"/>
        <v>1</v>
      </c>
      <c r="O4764" s="11" t="s">
        <v>1702</v>
      </c>
      <c r="P4764" s="16" t="str">
        <f t="shared" si="2008"/>
        <v>23-Jun-1910</v>
      </c>
      <c r="R4764" s="16" t="str">
        <f t="shared" ref="R4764:S4778" si="2011">IF($L4764&gt;0,"x","")</f>
        <v>x</v>
      </c>
      <c r="S4764" s="16" t="str">
        <f t="shared" si="2011"/>
        <v>x</v>
      </c>
      <c r="U4764" s="46" t="str">
        <f t="shared" si="1981"/>
        <v/>
      </c>
      <c r="V4764" s="46">
        <f t="shared" si="1981"/>
        <v>61</v>
      </c>
      <c r="W4764" s="46" t="str">
        <f t="shared" si="1981"/>
        <v/>
      </c>
      <c r="X4764" s="46" t="str">
        <f t="shared" si="1981"/>
        <v/>
      </c>
    </row>
    <row r="4765" spans="2:26" x14ac:dyDescent="0.25">
      <c r="B4765" s="11" t="str">
        <f t="shared" si="2005"/>
        <v>OCNA-09AUG1910</v>
      </c>
      <c r="C4765" s="11" t="s">
        <v>3087</v>
      </c>
      <c r="D4765" s="11" t="s">
        <v>1906</v>
      </c>
      <c r="E4765" s="39" t="s">
        <v>5524</v>
      </c>
      <c r="F4765" s="11" t="s">
        <v>1700</v>
      </c>
      <c r="G4765" s="39" t="s">
        <v>5525</v>
      </c>
      <c r="I4765" s="7">
        <v>1</v>
      </c>
      <c r="J4765" s="17">
        <v>38</v>
      </c>
      <c r="K4765" s="17"/>
      <c r="L4765" s="7">
        <f t="shared" si="2006"/>
        <v>39</v>
      </c>
      <c r="M4765" s="8">
        <v>1</v>
      </c>
      <c r="N4765" s="8">
        <f t="shared" si="2007"/>
        <v>1</v>
      </c>
      <c r="O4765" s="11" t="s">
        <v>1702</v>
      </c>
      <c r="P4765" s="16" t="str">
        <f t="shared" si="2008"/>
        <v>09-Aug-1910</v>
      </c>
      <c r="R4765" s="16" t="str">
        <f t="shared" si="2011"/>
        <v>x</v>
      </c>
      <c r="S4765" s="16" t="str">
        <f t="shared" si="2011"/>
        <v>x</v>
      </c>
      <c r="U4765" s="46" t="str">
        <f t="shared" ref="U4765:X4767" si="2012">IF($O4765=U$5,$L4765,"")</f>
        <v/>
      </c>
      <c r="V4765" s="46">
        <f t="shared" si="2012"/>
        <v>39</v>
      </c>
      <c r="W4765" s="46" t="str">
        <f t="shared" si="2012"/>
        <v/>
      </c>
      <c r="X4765" s="46" t="str">
        <f t="shared" si="2012"/>
        <v/>
      </c>
    </row>
    <row r="4766" spans="2:26" x14ac:dyDescent="0.25">
      <c r="B4766" s="11" t="str">
        <f t="shared" si="2005"/>
        <v>OCNA-31MAY1911</v>
      </c>
      <c r="C4766" s="11" t="s">
        <v>3087</v>
      </c>
      <c r="D4766" s="11" t="s">
        <v>1906</v>
      </c>
      <c r="E4766" s="39" t="s">
        <v>1878</v>
      </c>
      <c r="F4766" s="11" t="s">
        <v>1700</v>
      </c>
      <c r="G4766" s="39" t="s">
        <v>5381</v>
      </c>
      <c r="I4766" s="7">
        <v>0</v>
      </c>
      <c r="J4766" s="17">
        <v>18</v>
      </c>
      <c r="K4766" s="17"/>
      <c r="L4766" s="7">
        <f t="shared" si="2006"/>
        <v>18</v>
      </c>
      <c r="M4766" s="8">
        <v>1</v>
      </c>
      <c r="N4766" s="8">
        <f t="shared" si="2007"/>
        <v>1</v>
      </c>
      <c r="O4766" s="11" t="s">
        <v>1702</v>
      </c>
      <c r="P4766" s="16" t="str">
        <f t="shared" si="2008"/>
        <v>31-May-1911</v>
      </c>
      <c r="R4766" s="16" t="str">
        <f>IF($L4766&gt;0,"x","")</f>
        <v>x</v>
      </c>
      <c r="S4766" s="16" t="str">
        <f>IF($L4766&gt;0,"x","")</f>
        <v>x</v>
      </c>
      <c r="U4766" s="46" t="str">
        <f t="shared" si="2012"/>
        <v/>
      </c>
      <c r="V4766" s="46">
        <f t="shared" si="2012"/>
        <v>18</v>
      </c>
      <c r="W4766" s="46" t="str">
        <f t="shared" si="2012"/>
        <v/>
      </c>
      <c r="X4766" s="46" t="str">
        <f t="shared" si="2012"/>
        <v/>
      </c>
    </row>
    <row r="4767" spans="2:26" x14ac:dyDescent="0.25">
      <c r="B4767" s="11" t="str">
        <f>CONCATENATE("OCNA","-",LEFT(P4767,2),UPPER(MID(P4767,4,3)),RIGHT(P4767,4))</f>
        <v>OCNA-13SEP1911</v>
      </c>
      <c r="C4767" s="11" t="s">
        <v>3087</v>
      </c>
      <c r="D4767" s="11" t="s">
        <v>1906</v>
      </c>
      <c r="E4767" s="39" t="s">
        <v>5791</v>
      </c>
      <c r="F4767" s="11" t="s">
        <v>1700</v>
      </c>
      <c r="G4767" s="39" t="s">
        <v>885</v>
      </c>
      <c r="H4767" s="7">
        <v>0</v>
      </c>
      <c r="I4767" s="7">
        <v>5</v>
      </c>
      <c r="J4767" s="17">
        <v>11</v>
      </c>
      <c r="K4767" s="17"/>
      <c r="L4767" s="7">
        <f>SUM(H4767:K4767)</f>
        <v>16</v>
      </c>
      <c r="M4767" s="8">
        <v>1</v>
      </c>
      <c r="N4767" s="8">
        <f>IF(L4767&gt;0,1,"")</f>
        <v>1</v>
      </c>
      <c r="O4767" s="11" t="s">
        <v>1702</v>
      </c>
      <c r="P4767" s="16" t="str">
        <f>IF(LEN(G4767)=10,CONCATENATE("0",G4767),G4767)</f>
        <v>13-Sep-1911</v>
      </c>
      <c r="R4767" s="16" t="str">
        <f>IF($L4767&gt;0,"x","")</f>
        <v>x</v>
      </c>
      <c r="S4767" s="16" t="str">
        <f>IF($L4767&gt;0,"x","")</f>
        <v>x</v>
      </c>
      <c r="U4767" s="46" t="str">
        <f t="shared" si="2012"/>
        <v/>
      </c>
      <c r="V4767" s="46">
        <f t="shared" si="2012"/>
        <v>16</v>
      </c>
      <c r="W4767" s="46" t="str">
        <f t="shared" si="2012"/>
        <v/>
      </c>
      <c r="X4767" s="46" t="str">
        <f t="shared" si="2012"/>
        <v/>
      </c>
    </row>
    <row r="4768" spans="2:26" x14ac:dyDescent="0.25">
      <c r="B4768" s="11" t="str">
        <f t="shared" si="2005"/>
        <v>OCNA-13SEP1911</v>
      </c>
      <c r="C4768" s="11" t="s">
        <v>3087</v>
      </c>
      <c r="D4768" s="11" t="s">
        <v>3007</v>
      </c>
      <c r="E4768" s="39" t="s">
        <v>903</v>
      </c>
      <c r="F4768" s="11" t="s">
        <v>1700</v>
      </c>
      <c r="G4768" s="39" t="s">
        <v>885</v>
      </c>
      <c r="H4768" s="7">
        <v>0</v>
      </c>
      <c r="I4768" s="7">
        <v>0</v>
      </c>
      <c r="J4768" s="17">
        <v>3</v>
      </c>
      <c r="K4768" s="17"/>
      <c r="L4768" s="7">
        <f t="shared" si="2006"/>
        <v>3</v>
      </c>
      <c r="M4768" s="8">
        <v>1</v>
      </c>
      <c r="N4768" s="8">
        <f t="shared" si="2007"/>
        <v>1</v>
      </c>
      <c r="O4768" s="11" t="s">
        <v>1702</v>
      </c>
      <c r="P4768" s="16" t="str">
        <f t="shared" si="2008"/>
        <v>13-Sep-1911</v>
      </c>
      <c r="R4768" s="16" t="str">
        <f t="shared" si="2011"/>
        <v>x</v>
      </c>
      <c r="S4768" s="16" t="str">
        <f t="shared" si="2011"/>
        <v>x</v>
      </c>
      <c r="U4768" s="46" t="str">
        <f t="shared" si="1981"/>
        <v/>
      </c>
      <c r="V4768" s="46">
        <f t="shared" si="1981"/>
        <v>3</v>
      </c>
      <c r="W4768" s="46" t="str">
        <f t="shared" si="1981"/>
        <v/>
      </c>
      <c r="X4768" s="46" t="str">
        <f t="shared" si="1981"/>
        <v/>
      </c>
    </row>
    <row r="4769" spans="2:24" x14ac:dyDescent="0.25">
      <c r="B4769" s="11" t="str">
        <f>CONCATENATE("OCNA","-",LEFT(P4769,2),UPPER(MID(P4769,4,3)),RIGHT(P4769,4))</f>
        <v>OCNA-22DEC1911</v>
      </c>
      <c r="C4769" s="11" t="s">
        <v>3087</v>
      </c>
      <c r="D4769" s="11" t="s">
        <v>1906</v>
      </c>
      <c r="E4769" s="39" t="s">
        <v>3790</v>
      </c>
      <c r="F4769" s="11" t="s">
        <v>1700</v>
      </c>
      <c r="G4769" s="39" t="s">
        <v>11275</v>
      </c>
      <c r="H4769" s="7">
        <v>0</v>
      </c>
      <c r="I4769" s="7">
        <v>5</v>
      </c>
      <c r="J4769" s="17">
        <v>51</v>
      </c>
      <c r="K4769" s="17"/>
      <c r="L4769" s="7">
        <f>SUM(H4769:K4769)</f>
        <v>56</v>
      </c>
      <c r="M4769" s="8">
        <v>1</v>
      </c>
      <c r="N4769" s="8">
        <f>IF(L4769&gt;0,1,"")</f>
        <v>1</v>
      </c>
      <c r="O4769" s="11" t="s">
        <v>1702</v>
      </c>
      <c r="P4769" s="16" t="str">
        <f>IF(LEN(G4769)=10,CONCATENATE("0",G4769),G4769)</f>
        <v>22-Dec-1911</v>
      </c>
      <c r="R4769" s="16" t="str">
        <f t="shared" si="2011"/>
        <v>x</v>
      </c>
      <c r="S4769" s="16" t="str">
        <f t="shared" si="2011"/>
        <v>x</v>
      </c>
      <c r="U4769" s="46" t="str">
        <f>IF($O4769=U$5,$L4769,"")</f>
        <v/>
      </c>
      <c r="V4769" s="46">
        <f>IF($O4769=V$5,$L4769,"")</f>
        <v>56</v>
      </c>
      <c r="W4769" s="46" t="str">
        <f>IF($O4769=W$5,$L4769,"")</f>
        <v/>
      </c>
      <c r="X4769" s="46" t="str">
        <f>IF($O4769=X$5,$L4769,"")</f>
        <v/>
      </c>
    </row>
    <row r="4770" spans="2:24" x14ac:dyDescent="0.25">
      <c r="B4770" s="11" t="str">
        <f t="shared" si="2005"/>
        <v>OCNA-29MAR1912</v>
      </c>
      <c r="C4770" s="11" t="s">
        <v>3087</v>
      </c>
      <c r="D4770" s="11" t="s">
        <v>1906</v>
      </c>
      <c r="E4770" s="39" t="s">
        <v>3876</v>
      </c>
      <c r="F4770" s="11" t="s">
        <v>1700</v>
      </c>
      <c r="G4770" s="39" t="s">
        <v>3877</v>
      </c>
      <c r="I4770" s="7">
        <v>1</v>
      </c>
      <c r="J4770" s="17">
        <v>20</v>
      </c>
      <c r="K4770" s="17"/>
      <c r="L4770" s="7">
        <f t="shared" si="2006"/>
        <v>21</v>
      </c>
      <c r="M4770" s="8">
        <v>1</v>
      </c>
      <c r="N4770" s="8">
        <f t="shared" si="2007"/>
        <v>1</v>
      </c>
      <c r="O4770" s="11" t="s">
        <v>1702</v>
      </c>
      <c r="P4770" s="16" t="str">
        <f t="shared" si="2008"/>
        <v>29-Mar-1912</v>
      </c>
      <c r="R4770" s="16" t="str">
        <f t="shared" si="2011"/>
        <v>x</v>
      </c>
      <c r="S4770" s="16" t="str">
        <f t="shared" si="2011"/>
        <v>x</v>
      </c>
      <c r="U4770" s="46" t="str">
        <f t="shared" si="1981"/>
        <v/>
      </c>
      <c r="V4770" s="46">
        <f t="shared" si="1981"/>
        <v>21</v>
      </c>
      <c r="W4770" s="46" t="str">
        <f t="shared" si="1981"/>
        <v/>
      </c>
      <c r="X4770" s="46" t="str">
        <f t="shared" si="1981"/>
        <v/>
      </c>
    </row>
    <row r="4771" spans="2:24" x14ac:dyDescent="0.25">
      <c r="B4771" s="11" t="str">
        <f>CONCATENATE("OCNA","-",LEFT(P4771,2),UPPER(MID(P4771,4,3)),RIGHT(P4771,4))</f>
        <v>OCNA-15MAY1912</v>
      </c>
      <c r="C4771" s="11" t="s">
        <v>3087</v>
      </c>
      <c r="D4771" s="11" t="s">
        <v>1906</v>
      </c>
      <c r="E4771" s="39" t="s">
        <v>1898</v>
      </c>
      <c r="F4771" s="11" t="s">
        <v>1700</v>
      </c>
      <c r="G4771" s="39" t="s">
        <v>2514</v>
      </c>
      <c r="H4771" s="7">
        <v>1</v>
      </c>
      <c r="I4771" s="7">
        <v>0</v>
      </c>
      <c r="J4771" s="17">
        <v>25</v>
      </c>
      <c r="K4771" s="17"/>
      <c r="L4771" s="7">
        <f>SUM(H4771:K4771)</f>
        <v>26</v>
      </c>
      <c r="M4771" s="8">
        <v>1</v>
      </c>
      <c r="N4771" s="8">
        <f>IF(L4771&gt;0,1,"")</f>
        <v>1</v>
      </c>
      <c r="O4771" s="11" t="s">
        <v>1702</v>
      </c>
      <c r="P4771" s="16" t="str">
        <f>IF(LEN(G4771)=10,CONCATENATE("0",G4771),G4771)</f>
        <v>15-May-1912</v>
      </c>
      <c r="R4771" s="16" t="str">
        <f t="shared" si="2011"/>
        <v>x</v>
      </c>
      <c r="S4771" s="16" t="str">
        <f t="shared" si="2011"/>
        <v>x</v>
      </c>
      <c r="U4771" s="46" t="str">
        <f t="shared" ref="U4771:X4772" si="2013">IF($O4771=U$5,$L4771,"")</f>
        <v/>
      </c>
      <c r="V4771" s="46">
        <f t="shared" si="2013"/>
        <v>26</v>
      </c>
      <c r="W4771" s="46" t="str">
        <f t="shared" si="2013"/>
        <v/>
      </c>
      <c r="X4771" s="46" t="str">
        <f t="shared" si="2013"/>
        <v/>
      </c>
    </row>
    <row r="4772" spans="2:24" x14ac:dyDescent="0.25">
      <c r="B4772" s="11" t="str">
        <f t="shared" si="2005"/>
        <v>OCNA-01JUL1912</v>
      </c>
      <c r="C4772" s="11" t="s">
        <v>3087</v>
      </c>
      <c r="D4772" s="11" t="s">
        <v>1906</v>
      </c>
      <c r="E4772" s="39" t="s">
        <v>3177</v>
      </c>
      <c r="F4772" s="11" t="s">
        <v>1700</v>
      </c>
      <c r="G4772" s="39" t="s">
        <v>5413</v>
      </c>
      <c r="I4772" s="7">
        <v>5</v>
      </c>
      <c r="J4772" s="17">
        <v>59</v>
      </c>
      <c r="K4772" s="17"/>
      <c r="L4772" s="7">
        <f t="shared" si="2006"/>
        <v>64</v>
      </c>
      <c r="M4772" s="8">
        <v>1</v>
      </c>
      <c r="N4772" s="8">
        <f t="shared" si="2007"/>
        <v>1</v>
      </c>
      <c r="O4772" s="11" t="s">
        <v>1702</v>
      </c>
      <c r="P4772" s="16" t="str">
        <f t="shared" si="2008"/>
        <v>01-Jul-1912</v>
      </c>
      <c r="R4772" s="16" t="str">
        <f>IF($L4772&gt;0,"x","")</f>
        <v>x</v>
      </c>
      <c r="S4772" s="16" t="str">
        <f>IF($L4772&gt;0,"x","")</f>
        <v>x</v>
      </c>
      <c r="U4772" s="46" t="str">
        <f t="shared" si="2013"/>
        <v/>
      </c>
      <c r="V4772" s="46">
        <f t="shared" si="2013"/>
        <v>64</v>
      </c>
      <c r="W4772" s="46" t="str">
        <f t="shared" si="2013"/>
        <v/>
      </c>
      <c r="X4772" s="46" t="str">
        <f t="shared" si="2013"/>
        <v/>
      </c>
    </row>
    <row r="4773" spans="2:24" x14ac:dyDescent="0.25">
      <c r="B4773" s="11" t="str">
        <f t="shared" si="2005"/>
        <v>OCNA-20NOV1912</v>
      </c>
      <c r="C4773" s="11" t="s">
        <v>3087</v>
      </c>
      <c r="D4773" s="11" t="s">
        <v>1906</v>
      </c>
      <c r="E4773" s="39" t="s">
        <v>1324</v>
      </c>
      <c r="F4773" s="11" t="s">
        <v>1700</v>
      </c>
      <c r="G4773" s="39" t="s">
        <v>3077</v>
      </c>
      <c r="I4773" s="7">
        <v>6</v>
      </c>
      <c r="J4773" s="17">
        <v>33</v>
      </c>
      <c r="K4773" s="17"/>
      <c r="L4773" s="7">
        <f t="shared" si="2006"/>
        <v>39</v>
      </c>
      <c r="M4773" s="8">
        <v>1</v>
      </c>
      <c r="N4773" s="8">
        <f t="shared" si="2007"/>
        <v>1</v>
      </c>
      <c r="O4773" s="11" t="s">
        <v>1702</v>
      </c>
      <c r="P4773" s="16" t="str">
        <f t="shared" si="2008"/>
        <v>20-Nov-1912</v>
      </c>
      <c r="R4773" s="16" t="str">
        <f t="shared" si="2011"/>
        <v>x</v>
      </c>
      <c r="S4773" s="16" t="str">
        <f t="shared" si="2011"/>
        <v>x</v>
      </c>
      <c r="U4773" s="46" t="str">
        <f t="shared" si="1981"/>
        <v/>
      </c>
      <c r="V4773" s="46">
        <f t="shared" si="1981"/>
        <v>39</v>
      </c>
      <c r="W4773" s="46" t="str">
        <f t="shared" si="1981"/>
        <v/>
      </c>
      <c r="X4773" s="46" t="str">
        <f t="shared" si="1981"/>
        <v/>
      </c>
    </row>
    <row r="4774" spans="2:24" x14ac:dyDescent="0.25">
      <c r="B4774" s="11" t="str">
        <f t="shared" si="2005"/>
        <v>OCNA-12JAN1913</v>
      </c>
      <c r="C4774" s="11" t="s">
        <v>3087</v>
      </c>
      <c r="D4774" s="11" t="s">
        <v>1906</v>
      </c>
      <c r="E4774" s="39" t="s">
        <v>997</v>
      </c>
      <c r="F4774" s="11" t="s">
        <v>1700</v>
      </c>
      <c r="G4774" s="39" t="s">
        <v>4008</v>
      </c>
      <c r="I4774" s="7">
        <v>1</v>
      </c>
      <c r="J4774" s="17">
        <v>105</v>
      </c>
      <c r="K4774" s="17"/>
      <c r="L4774" s="7">
        <f t="shared" si="2006"/>
        <v>106</v>
      </c>
      <c r="M4774" s="8">
        <v>1</v>
      </c>
      <c r="N4774" s="8">
        <f t="shared" si="2007"/>
        <v>1</v>
      </c>
      <c r="O4774" s="11" t="s">
        <v>1702</v>
      </c>
      <c r="P4774" s="16" t="str">
        <f t="shared" si="2008"/>
        <v>12-Jan-1913</v>
      </c>
      <c r="R4774" s="16" t="str">
        <f t="shared" si="2011"/>
        <v>x</v>
      </c>
      <c r="S4774" s="16" t="str">
        <f t="shared" si="2011"/>
        <v>x</v>
      </c>
      <c r="U4774" s="46" t="str">
        <f t="shared" si="1981"/>
        <v/>
      </c>
      <c r="V4774" s="46">
        <f t="shared" si="1981"/>
        <v>106</v>
      </c>
      <c r="W4774" s="46" t="str">
        <f t="shared" si="1981"/>
        <v/>
      </c>
      <c r="X4774" s="46" t="str">
        <f t="shared" si="1981"/>
        <v/>
      </c>
    </row>
    <row r="4775" spans="2:24" x14ac:dyDescent="0.25">
      <c r="B4775" s="11" t="str">
        <f t="shared" si="2005"/>
        <v>OCNA-05JUN1913</v>
      </c>
      <c r="C4775" s="11" t="s">
        <v>3087</v>
      </c>
      <c r="D4775" s="11" t="s">
        <v>1906</v>
      </c>
      <c r="E4775" s="39" t="s">
        <v>4600</v>
      </c>
      <c r="F4775" s="11" t="s">
        <v>1700</v>
      </c>
      <c r="G4775" s="39" t="s">
        <v>4601</v>
      </c>
      <c r="H4775" s="7">
        <v>0</v>
      </c>
      <c r="I4775" s="7">
        <v>3</v>
      </c>
      <c r="J4775" s="17">
        <f>41+1</f>
        <v>42</v>
      </c>
      <c r="K4775" s="17"/>
      <c r="L4775" s="7">
        <f t="shared" si="2006"/>
        <v>45</v>
      </c>
      <c r="M4775" s="8">
        <v>1</v>
      </c>
      <c r="N4775" s="8">
        <f t="shared" si="2007"/>
        <v>1</v>
      </c>
      <c r="O4775" s="11" t="s">
        <v>1702</v>
      </c>
      <c r="P4775" s="16" t="str">
        <f t="shared" si="2008"/>
        <v>05-Jun-1913</v>
      </c>
      <c r="R4775" s="16" t="str">
        <f t="shared" si="2011"/>
        <v>x</v>
      </c>
      <c r="S4775" s="16" t="str">
        <f t="shared" si="2011"/>
        <v>x</v>
      </c>
      <c r="T4775" s="11"/>
      <c r="U4775" s="46" t="str">
        <f t="shared" ref="U4775:X4777" si="2014">IF($O4775=U$5,$L4775,"")</f>
        <v/>
      </c>
      <c r="V4775" s="46">
        <f t="shared" si="2014"/>
        <v>45</v>
      </c>
      <c r="W4775" s="46" t="str">
        <f t="shared" si="2014"/>
        <v/>
      </c>
      <c r="X4775" s="46" t="str">
        <f t="shared" si="2014"/>
        <v/>
      </c>
    </row>
    <row r="4776" spans="2:24" x14ac:dyDescent="0.25">
      <c r="B4776" s="11" t="str">
        <f t="shared" si="2005"/>
        <v>OCNA-05JUN1913</v>
      </c>
      <c r="C4776" s="11" t="s">
        <v>3087</v>
      </c>
      <c r="D4776" s="11" t="s">
        <v>2224</v>
      </c>
      <c r="E4776" s="39" t="s">
        <v>3141</v>
      </c>
      <c r="F4776" s="11" t="s">
        <v>1700</v>
      </c>
      <c r="G4776" s="39" t="s">
        <v>4601</v>
      </c>
      <c r="H4776" s="7">
        <v>0</v>
      </c>
      <c r="I4776" s="7">
        <v>0</v>
      </c>
      <c r="J4776" s="17">
        <v>30</v>
      </c>
      <c r="K4776" s="17"/>
      <c r="L4776" s="7">
        <f t="shared" si="2006"/>
        <v>30</v>
      </c>
      <c r="M4776" s="8">
        <v>1</v>
      </c>
      <c r="N4776" s="8">
        <f t="shared" si="2007"/>
        <v>1</v>
      </c>
      <c r="O4776" s="11" t="s">
        <v>1702</v>
      </c>
      <c r="P4776" s="16" t="str">
        <f t="shared" si="2008"/>
        <v>05-Jun-1913</v>
      </c>
      <c r="R4776" s="16" t="str">
        <f t="shared" si="2011"/>
        <v>x</v>
      </c>
      <c r="S4776" s="16" t="str">
        <f t="shared" si="2011"/>
        <v>x</v>
      </c>
      <c r="U4776" s="46" t="str">
        <f t="shared" si="2014"/>
        <v/>
      </c>
      <c r="V4776" s="46">
        <f t="shared" si="2014"/>
        <v>30</v>
      </c>
      <c r="W4776" s="46" t="str">
        <f t="shared" si="2014"/>
        <v/>
      </c>
      <c r="X4776" s="46" t="str">
        <f t="shared" si="2014"/>
        <v/>
      </c>
    </row>
    <row r="4777" spans="2:24" x14ac:dyDescent="0.25">
      <c r="B4777" s="11" t="str">
        <f t="shared" si="2005"/>
        <v>OCNA-25SEP1913</v>
      </c>
      <c r="C4777" s="11" t="s">
        <v>3087</v>
      </c>
      <c r="D4777" s="11" t="s">
        <v>1906</v>
      </c>
      <c r="E4777" s="39" t="s">
        <v>5022</v>
      </c>
      <c r="F4777" s="11" t="s">
        <v>1700</v>
      </c>
      <c r="G4777" s="39" t="s">
        <v>5196</v>
      </c>
      <c r="H4777" s="7">
        <v>0</v>
      </c>
      <c r="I4777" s="7">
        <v>1</v>
      </c>
      <c r="J4777" s="17">
        <v>41</v>
      </c>
      <c r="K4777" s="17"/>
      <c r="L4777" s="7">
        <f t="shared" si="2006"/>
        <v>42</v>
      </c>
      <c r="M4777" s="8">
        <v>1</v>
      </c>
      <c r="N4777" s="8">
        <f t="shared" si="2007"/>
        <v>1</v>
      </c>
      <c r="O4777" s="11" t="s">
        <v>1702</v>
      </c>
      <c r="P4777" s="16" t="str">
        <f t="shared" si="2008"/>
        <v>25-Sep-1913</v>
      </c>
      <c r="R4777" s="16" t="str">
        <f t="shared" si="2011"/>
        <v>x</v>
      </c>
      <c r="S4777" s="16" t="str">
        <f t="shared" si="2011"/>
        <v>x</v>
      </c>
      <c r="U4777" s="46" t="str">
        <f t="shared" si="2014"/>
        <v/>
      </c>
      <c r="V4777" s="46">
        <f t="shared" si="2014"/>
        <v>42</v>
      </c>
      <c r="W4777" s="46" t="str">
        <f t="shared" si="2014"/>
        <v/>
      </c>
      <c r="X4777" s="46" t="str">
        <f t="shared" si="2014"/>
        <v/>
      </c>
    </row>
    <row r="4778" spans="2:24" x14ac:dyDescent="0.25">
      <c r="B4778" s="11" t="str">
        <f t="shared" si="2005"/>
        <v>OCNA-18JUN1914</v>
      </c>
      <c r="C4778" s="11" t="s">
        <v>3087</v>
      </c>
      <c r="D4778" s="11" t="s">
        <v>1906</v>
      </c>
      <c r="E4778" s="39" t="s">
        <v>3775</v>
      </c>
      <c r="F4778" s="11" t="s">
        <v>1700</v>
      </c>
      <c r="G4778" s="39" t="s">
        <v>3776</v>
      </c>
      <c r="I4778" s="7">
        <v>1</v>
      </c>
      <c r="J4778" s="17">
        <v>15</v>
      </c>
      <c r="K4778" s="17"/>
      <c r="L4778" s="7">
        <f t="shared" si="2006"/>
        <v>16</v>
      </c>
      <c r="M4778" s="8">
        <v>1</v>
      </c>
      <c r="N4778" s="8">
        <f t="shared" si="2007"/>
        <v>1</v>
      </c>
      <c r="O4778" s="11" t="s">
        <v>1702</v>
      </c>
      <c r="P4778" s="16" t="str">
        <f t="shared" si="2008"/>
        <v>18-Jun-1914</v>
      </c>
      <c r="R4778" s="16" t="str">
        <f t="shared" si="2011"/>
        <v>x</v>
      </c>
      <c r="S4778" s="16" t="str">
        <f t="shared" si="2011"/>
        <v>x</v>
      </c>
      <c r="U4778" s="46" t="str">
        <f t="shared" si="1981"/>
        <v/>
      </c>
      <c r="V4778" s="46">
        <f t="shared" si="1981"/>
        <v>16</v>
      </c>
      <c r="W4778" s="46" t="str">
        <f t="shared" si="1981"/>
        <v/>
      </c>
      <c r="X4778" s="46" t="str">
        <f t="shared" si="1981"/>
        <v/>
      </c>
    </row>
    <row r="4779" spans="2:24" x14ac:dyDescent="0.25">
      <c r="N4779" s="8" t="str">
        <f>IF(R4779="x",1,"")</f>
        <v/>
      </c>
      <c r="U4779" s="46" t="str">
        <f t="shared" si="1981"/>
        <v/>
      </c>
      <c r="V4779" s="46" t="str">
        <f t="shared" si="1981"/>
        <v/>
      </c>
      <c r="W4779" s="46" t="str">
        <f t="shared" si="1981"/>
        <v/>
      </c>
      <c r="X4779" s="46" t="str">
        <f t="shared" si="1981"/>
        <v/>
      </c>
    </row>
    <row r="4780" spans="2:24" x14ac:dyDescent="0.25">
      <c r="B4780" s="18"/>
      <c r="C4780" s="18"/>
      <c r="D4780" s="18"/>
      <c r="E4780" s="40"/>
      <c r="F4780" s="18"/>
      <c r="G4780" s="40"/>
      <c r="H4780" s="7">
        <f t="shared" ref="H4780:N4780" si="2015">SUM(H4759:H4779)</f>
        <v>1</v>
      </c>
      <c r="I4780" s="7">
        <f t="shared" si="2015"/>
        <v>37</v>
      </c>
      <c r="J4780" s="7">
        <f>SUM(J4759:J4779)</f>
        <v>715</v>
      </c>
      <c r="K4780" s="7">
        <f t="shared" si="2015"/>
        <v>0</v>
      </c>
      <c r="L4780" s="7">
        <f t="shared" si="2015"/>
        <v>753</v>
      </c>
      <c r="M4780" s="7">
        <f t="shared" si="2015"/>
        <v>20</v>
      </c>
      <c r="N4780" s="7">
        <f t="shared" si="2015"/>
        <v>20</v>
      </c>
      <c r="O4780" s="18"/>
      <c r="P4780" s="13"/>
      <c r="Q4780" s="13"/>
      <c r="S4780" s="13"/>
      <c r="T4780" s="15"/>
      <c r="U4780" s="46" t="str">
        <f t="shared" si="1981"/>
        <v/>
      </c>
      <c r="V4780" s="46" t="str">
        <f t="shared" si="1981"/>
        <v/>
      </c>
      <c r="W4780" s="46" t="str">
        <f t="shared" si="1981"/>
        <v/>
      </c>
      <c r="X4780" s="46" t="str">
        <f>IF($O4780=X$5,$L4780,"")</f>
        <v/>
      </c>
    </row>
    <row r="4781" spans="2:24" x14ac:dyDescent="0.25">
      <c r="B4781" s="18"/>
      <c r="C4781" s="18"/>
      <c r="D4781" s="18"/>
      <c r="E4781" s="40"/>
      <c r="F4781" s="18"/>
      <c r="G4781" s="40"/>
      <c r="N4781" s="8" t="str">
        <f>IF(R4781="x",1,"")</f>
        <v/>
      </c>
      <c r="O4781" s="18"/>
      <c r="P4781" s="13"/>
      <c r="Q4781" s="13"/>
      <c r="R4781" s="13"/>
      <c r="S4781" s="13"/>
      <c r="T4781" s="15"/>
      <c r="U4781" s="46" t="str">
        <f t="shared" ref="U4781:X4867" si="2016">IF($O4781=U$5,$L4781,"")</f>
        <v/>
      </c>
      <c r="V4781" s="46" t="str">
        <f t="shared" si="2016"/>
        <v/>
      </c>
      <c r="W4781" s="46" t="str">
        <f t="shared" si="2016"/>
        <v/>
      </c>
      <c r="X4781" s="46" t="str">
        <f t="shared" si="2016"/>
        <v/>
      </c>
    </row>
    <row r="4782" spans="2:24" x14ac:dyDescent="0.25">
      <c r="B4782" s="18"/>
      <c r="C4782" s="18"/>
      <c r="D4782" s="18"/>
      <c r="E4782" s="40"/>
      <c r="F4782" s="18"/>
      <c r="G4782" s="40"/>
      <c r="N4782" s="8" t="str">
        <f>IF(R4782="x",1,"")</f>
        <v/>
      </c>
      <c r="O4782" s="18"/>
      <c r="P4782" s="13"/>
      <c r="Q4782" s="13"/>
      <c r="R4782" s="13"/>
      <c r="S4782" s="13"/>
      <c r="T4782" s="15"/>
      <c r="U4782" s="46" t="str">
        <f t="shared" si="2016"/>
        <v/>
      </c>
      <c r="V4782" s="46" t="str">
        <f t="shared" si="2016"/>
        <v/>
      </c>
      <c r="W4782" s="46" t="str">
        <f t="shared" si="2016"/>
        <v/>
      </c>
      <c r="X4782" s="46" t="str">
        <f t="shared" si="2016"/>
        <v/>
      </c>
    </row>
    <row r="4783" spans="2:24" x14ac:dyDescent="0.25">
      <c r="B4783" s="11" t="str">
        <f t="shared" ref="B4783:B4797" si="2017">CONCATENATE("OCNC","-",LEFT(P4783,2),UPPER(MID(P4783,4,3)),RIGHT(P4783,4))</f>
        <v>OCNC-21APR1906</v>
      </c>
      <c r="C4783" s="11" t="s">
        <v>3008</v>
      </c>
      <c r="D4783" s="11" t="s">
        <v>2097</v>
      </c>
      <c r="E4783" s="39" t="s">
        <v>5967</v>
      </c>
      <c r="F4783" s="11" t="s">
        <v>1700</v>
      </c>
      <c r="G4783" s="39" t="s">
        <v>2082</v>
      </c>
      <c r="H4783" s="7">
        <v>0</v>
      </c>
      <c r="I4783" s="7">
        <v>0</v>
      </c>
      <c r="J4783" s="17">
        <v>2</v>
      </c>
      <c r="K4783" s="17"/>
      <c r="L4783" s="7">
        <f t="shared" ref="L4783:L4797" si="2018">SUM(H4783:K4783)</f>
        <v>2</v>
      </c>
      <c r="M4783" s="8">
        <v>1</v>
      </c>
      <c r="N4783" s="8">
        <f t="shared" ref="N4783:N4797" si="2019">IF(L4783&gt;0,1,"")</f>
        <v>1</v>
      </c>
      <c r="O4783" s="11" t="s">
        <v>1702</v>
      </c>
      <c r="P4783" s="16" t="str">
        <f t="shared" ref="P4783:P4797" si="2020">IF(LEN(G4783)=10,CONCATENATE("0",G4783),G4783)</f>
        <v>21-Apr-1906</v>
      </c>
      <c r="R4783" s="16" t="str">
        <f t="shared" ref="R4783:S4785" si="2021">IF($L4783&gt;0,"x","")</f>
        <v>x</v>
      </c>
      <c r="S4783" s="16" t="str">
        <f t="shared" si="2021"/>
        <v>x</v>
      </c>
      <c r="T4783" s="11"/>
      <c r="U4783" s="46" t="str">
        <f t="shared" si="2016"/>
        <v/>
      </c>
      <c r="V4783" s="46">
        <f t="shared" si="2016"/>
        <v>2</v>
      </c>
      <c r="W4783" s="46" t="str">
        <f t="shared" si="2016"/>
        <v/>
      </c>
      <c r="X4783" s="46" t="str">
        <f t="shared" si="2016"/>
        <v/>
      </c>
    </row>
    <row r="4784" spans="2:24" x14ac:dyDescent="0.25">
      <c r="B4784" s="11" t="str">
        <f>CONCATENATE("OCNC","-",LEFT(P4784,2),UPPER(MID(P4784,4,3)),RIGHT(P4784,4))</f>
        <v>OCNC-27DEC1906</v>
      </c>
      <c r="C4784" s="11" t="s">
        <v>3008</v>
      </c>
      <c r="D4784" s="11" t="s">
        <v>2097</v>
      </c>
      <c r="E4784" s="39" t="s">
        <v>3413</v>
      </c>
      <c r="F4784" s="11" t="s">
        <v>1700</v>
      </c>
      <c r="G4784" s="39" t="s">
        <v>5302</v>
      </c>
      <c r="H4784" s="7">
        <v>0</v>
      </c>
      <c r="I4784" s="7">
        <v>0</v>
      </c>
      <c r="J4784" s="17">
        <v>11</v>
      </c>
      <c r="K4784" s="17"/>
      <c r="L4784" s="7">
        <f>SUM(H4784:K4784)</f>
        <v>11</v>
      </c>
      <c r="M4784" s="8">
        <v>1</v>
      </c>
      <c r="N4784" s="8">
        <f>IF(L4784&gt;0,1,"")</f>
        <v>1</v>
      </c>
      <c r="O4784" s="11" t="s">
        <v>1702</v>
      </c>
      <c r="P4784" s="16" t="str">
        <f>IF(LEN(G4784)=10,CONCATENATE("0",G4784),G4784)</f>
        <v>27-Dec-1906</v>
      </c>
      <c r="R4784" s="16" t="str">
        <f t="shared" si="2021"/>
        <v>x</v>
      </c>
      <c r="S4784" s="16" t="str">
        <f t="shared" si="2021"/>
        <v>x</v>
      </c>
      <c r="U4784" s="46" t="str">
        <f t="shared" ref="U4784:X4785" si="2022">IF($O4784=U$5,$L4784,"")</f>
        <v/>
      </c>
      <c r="V4784" s="46">
        <f t="shared" si="2022"/>
        <v>11</v>
      </c>
      <c r="W4784" s="46" t="str">
        <f t="shared" si="2022"/>
        <v/>
      </c>
      <c r="X4784" s="46" t="str">
        <f t="shared" si="2022"/>
        <v/>
      </c>
    </row>
    <row r="4785" spans="2:24" x14ac:dyDescent="0.25">
      <c r="B4785" s="11" t="str">
        <f t="shared" si="2017"/>
        <v>OCNC-13NOV1907</v>
      </c>
      <c r="C4785" s="11" t="s">
        <v>3008</v>
      </c>
      <c r="D4785" s="11" t="s">
        <v>2224</v>
      </c>
      <c r="E4785" s="39" t="s">
        <v>3473</v>
      </c>
      <c r="F4785" s="11" t="s">
        <v>1700</v>
      </c>
      <c r="G4785" s="39" t="s">
        <v>4057</v>
      </c>
      <c r="H4785" s="7">
        <v>0</v>
      </c>
      <c r="I4785" s="7">
        <v>3</v>
      </c>
      <c r="J4785" s="17">
        <v>16</v>
      </c>
      <c r="K4785" s="17"/>
      <c r="L4785" s="7">
        <f t="shared" si="2018"/>
        <v>19</v>
      </c>
      <c r="M4785" s="8">
        <v>1</v>
      </c>
      <c r="N4785" s="8">
        <f t="shared" si="2019"/>
        <v>1</v>
      </c>
      <c r="O4785" s="11" t="s">
        <v>1702</v>
      </c>
      <c r="P4785" s="16" t="str">
        <f t="shared" si="2020"/>
        <v>13-Nov-1907</v>
      </c>
      <c r="R4785" s="16" t="str">
        <f t="shared" si="2021"/>
        <v>x</v>
      </c>
      <c r="S4785" s="16" t="str">
        <f t="shared" si="2021"/>
        <v>x</v>
      </c>
      <c r="U4785" s="46" t="str">
        <f t="shared" si="2022"/>
        <v/>
      </c>
      <c r="V4785" s="46">
        <f t="shared" si="2022"/>
        <v>19</v>
      </c>
      <c r="W4785" s="46" t="str">
        <f t="shared" si="2022"/>
        <v/>
      </c>
      <c r="X4785" s="46" t="str">
        <f t="shared" si="2022"/>
        <v/>
      </c>
    </row>
    <row r="4786" spans="2:24" x14ac:dyDescent="0.25">
      <c r="B4786" s="11" t="str">
        <f t="shared" si="2017"/>
        <v>OCNC-11DEC1907</v>
      </c>
      <c r="C4786" s="11" t="s">
        <v>3008</v>
      </c>
      <c r="D4786" s="11" t="s">
        <v>2224</v>
      </c>
      <c r="E4786" s="39" t="s">
        <v>3229</v>
      </c>
      <c r="F4786" s="11" t="s">
        <v>1700</v>
      </c>
      <c r="G4786" s="39" t="s">
        <v>3228</v>
      </c>
      <c r="H4786" s="7">
        <v>0</v>
      </c>
      <c r="I4786" s="7">
        <v>0</v>
      </c>
      <c r="J4786" s="17">
        <v>6</v>
      </c>
      <c r="K4786" s="17"/>
      <c r="L4786" s="7">
        <f t="shared" si="2018"/>
        <v>6</v>
      </c>
      <c r="M4786" s="8">
        <v>1</v>
      </c>
      <c r="N4786" s="8">
        <f t="shared" si="2019"/>
        <v>1</v>
      </c>
      <c r="O4786" s="11" t="s">
        <v>1702</v>
      </c>
      <c r="P4786" s="16" t="str">
        <f t="shared" si="2020"/>
        <v>11-Dec-1907</v>
      </c>
      <c r="R4786" s="16" t="str">
        <f t="shared" ref="R4786:S4795" si="2023">IF($L4786&gt;0,"x","")</f>
        <v>x</v>
      </c>
      <c r="S4786" s="16" t="str">
        <f t="shared" si="2023"/>
        <v>x</v>
      </c>
      <c r="U4786" s="46" t="str">
        <f t="shared" si="2016"/>
        <v/>
      </c>
      <c r="V4786" s="46">
        <f t="shared" si="2016"/>
        <v>6</v>
      </c>
      <c r="W4786" s="46" t="str">
        <f t="shared" si="2016"/>
        <v/>
      </c>
      <c r="X4786" s="46" t="str">
        <f t="shared" si="2016"/>
        <v/>
      </c>
    </row>
    <row r="4787" spans="2:24" x14ac:dyDescent="0.25">
      <c r="B4787" s="11" t="str">
        <f t="shared" si="2017"/>
        <v>OCNC-16SEP1908</v>
      </c>
      <c r="C4787" s="11" t="s">
        <v>3008</v>
      </c>
      <c r="D4787" s="11" t="s">
        <v>2224</v>
      </c>
      <c r="E4787" s="39" t="s">
        <v>3488</v>
      </c>
      <c r="F4787" s="11" t="s">
        <v>1700</v>
      </c>
      <c r="G4787" s="39" t="s">
        <v>3487</v>
      </c>
      <c r="H4787" s="7">
        <v>0</v>
      </c>
      <c r="I4787" s="7">
        <v>0</v>
      </c>
      <c r="J4787" s="17">
        <v>4</v>
      </c>
      <c r="K4787" s="17"/>
      <c r="L4787" s="7">
        <f t="shared" si="2018"/>
        <v>4</v>
      </c>
      <c r="M4787" s="8">
        <v>1</v>
      </c>
      <c r="N4787" s="8">
        <f t="shared" si="2019"/>
        <v>1</v>
      </c>
      <c r="O4787" s="11" t="s">
        <v>1702</v>
      </c>
      <c r="P4787" s="16" t="str">
        <f t="shared" si="2020"/>
        <v>16-Sep-1908</v>
      </c>
      <c r="R4787" s="16" t="str">
        <f t="shared" si="2023"/>
        <v>x</v>
      </c>
      <c r="S4787" s="16" t="str">
        <f t="shared" si="2023"/>
        <v>x</v>
      </c>
      <c r="U4787" s="46" t="str">
        <f t="shared" si="2016"/>
        <v/>
      </c>
      <c r="V4787" s="46">
        <f t="shared" si="2016"/>
        <v>4</v>
      </c>
      <c r="W4787" s="46" t="str">
        <f t="shared" si="2016"/>
        <v/>
      </c>
      <c r="X4787" s="46" t="str">
        <f t="shared" si="2016"/>
        <v/>
      </c>
    </row>
    <row r="4788" spans="2:24" x14ac:dyDescent="0.25">
      <c r="B4788" s="11" t="str">
        <f t="shared" si="2017"/>
        <v>OCNC-03JUN1909</v>
      </c>
      <c r="C4788" s="11" t="s">
        <v>3008</v>
      </c>
      <c r="D4788" s="11" t="s">
        <v>2224</v>
      </c>
      <c r="E4788" s="39" t="s">
        <v>3838</v>
      </c>
      <c r="F4788" s="11" t="s">
        <v>1700</v>
      </c>
      <c r="G4788" s="39" t="s">
        <v>3837</v>
      </c>
      <c r="H4788" s="7">
        <v>0</v>
      </c>
      <c r="I4788" s="7">
        <v>1</v>
      </c>
      <c r="J4788" s="17">
        <v>1</v>
      </c>
      <c r="K4788" s="17"/>
      <c r="L4788" s="7">
        <f t="shared" si="2018"/>
        <v>2</v>
      </c>
      <c r="M4788" s="8">
        <v>1</v>
      </c>
      <c r="N4788" s="8">
        <f t="shared" si="2019"/>
        <v>1</v>
      </c>
      <c r="O4788" s="11" t="s">
        <v>1702</v>
      </c>
      <c r="P4788" s="16" t="str">
        <f t="shared" si="2020"/>
        <v>03-Jun-1909</v>
      </c>
      <c r="R4788" s="16" t="str">
        <f t="shared" si="2023"/>
        <v>x</v>
      </c>
      <c r="S4788" s="16" t="str">
        <f t="shared" si="2023"/>
        <v>x</v>
      </c>
      <c r="U4788" s="46" t="str">
        <f t="shared" si="2016"/>
        <v/>
      </c>
      <c r="V4788" s="46">
        <f t="shared" si="2016"/>
        <v>2</v>
      </c>
      <c r="W4788" s="46" t="str">
        <f t="shared" si="2016"/>
        <v/>
      </c>
      <c r="X4788" s="46" t="str">
        <f t="shared" si="2016"/>
        <v/>
      </c>
    </row>
    <row r="4789" spans="2:24" x14ac:dyDescent="0.25">
      <c r="B4789" s="11" t="str">
        <f t="shared" si="2017"/>
        <v>OCNC-30JUN1909</v>
      </c>
      <c r="C4789" s="11" t="s">
        <v>3008</v>
      </c>
      <c r="D4789" s="11" t="s">
        <v>2224</v>
      </c>
      <c r="E4789" s="39" t="s">
        <v>5410</v>
      </c>
      <c r="F4789" s="11" t="s">
        <v>1700</v>
      </c>
      <c r="G4789" s="39" t="s">
        <v>2942</v>
      </c>
      <c r="I4789" s="7">
        <v>0</v>
      </c>
      <c r="J4789" s="17">
        <v>1</v>
      </c>
      <c r="K4789" s="17"/>
      <c r="L4789" s="7">
        <f t="shared" si="2018"/>
        <v>1</v>
      </c>
      <c r="M4789" s="8">
        <v>1</v>
      </c>
      <c r="N4789" s="8">
        <f t="shared" si="2019"/>
        <v>1</v>
      </c>
      <c r="O4789" s="11" t="s">
        <v>1702</v>
      </c>
      <c r="P4789" s="16" t="str">
        <f t="shared" si="2020"/>
        <v>30-Jun-1909</v>
      </c>
      <c r="R4789" s="16" t="str">
        <f>IF($L4789&gt;0,"x","")</f>
        <v>x</v>
      </c>
      <c r="S4789" s="16" t="str">
        <f>IF($L4789&gt;0,"x","")</f>
        <v>x</v>
      </c>
      <c r="U4789" s="46" t="str">
        <f t="shared" ref="U4789:X4790" si="2024">IF($O4789=U$5,$L4789,"")</f>
        <v/>
      </c>
      <c r="V4789" s="46">
        <f t="shared" si="2024"/>
        <v>1</v>
      </c>
      <c r="W4789" s="46" t="str">
        <f t="shared" si="2024"/>
        <v/>
      </c>
      <c r="X4789" s="46" t="str">
        <f t="shared" si="2024"/>
        <v/>
      </c>
    </row>
    <row r="4790" spans="2:24" x14ac:dyDescent="0.25">
      <c r="B4790" s="11" t="str">
        <f>CONCATENATE("OCNC","-",LEFT(P4790,2),UPPER(MID(P4790,4,3)),RIGHT(P4790,4))</f>
        <v>OCNC-28JUL1909</v>
      </c>
      <c r="C4790" s="11" t="s">
        <v>3008</v>
      </c>
      <c r="D4790" s="11" t="s">
        <v>2224</v>
      </c>
      <c r="E4790" s="39" t="s">
        <v>5587</v>
      </c>
      <c r="F4790" s="11" t="s">
        <v>1700</v>
      </c>
      <c r="G4790" s="39" t="s">
        <v>3314</v>
      </c>
      <c r="H4790" s="7">
        <v>0</v>
      </c>
      <c r="J4790" s="17">
        <v>14</v>
      </c>
      <c r="K4790" s="17"/>
      <c r="L4790" s="7">
        <f>SUM(H4790:K4790)</f>
        <v>14</v>
      </c>
      <c r="M4790" s="8">
        <v>1</v>
      </c>
      <c r="N4790" s="8">
        <f>IF(L4790&gt;0,1,"")</f>
        <v>1</v>
      </c>
      <c r="O4790" s="11" t="s">
        <v>1702</v>
      </c>
      <c r="P4790" s="16" t="str">
        <f>IF(LEN(G4790)=10,CONCATENATE("0",G4790),G4790)</f>
        <v>28-Jul-1909</v>
      </c>
      <c r="R4790" s="16" t="str">
        <f>IF($L4790&gt;0,"x","")</f>
        <v>x</v>
      </c>
      <c r="S4790" s="16" t="str">
        <f>IF($L4790&gt;0,"x","")</f>
        <v>x</v>
      </c>
      <c r="U4790" s="46" t="str">
        <f t="shared" si="2024"/>
        <v/>
      </c>
      <c r="V4790" s="46">
        <f t="shared" si="2024"/>
        <v>14</v>
      </c>
      <c r="W4790" s="46" t="str">
        <f t="shared" si="2024"/>
        <v/>
      </c>
      <c r="X4790" s="46" t="str">
        <f t="shared" si="2024"/>
        <v/>
      </c>
    </row>
    <row r="4791" spans="2:24" x14ac:dyDescent="0.25">
      <c r="B4791" s="11" t="str">
        <f t="shared" si="2017"/>
        <v>OCNC-22SEP1909</v>
      </c>
      <c r="C4791" s="11" t="s">
        <v>3008</v>
      </c>
      <c r="D4791" s="11" t="s">
        <v>2224</v>
      </c>
      <c r="E4791" s="39" t="s">
        <v>3482</v>
      </c>
      <c r="F4791" s="11" t="s">
        <v>1700</v>
      </c>
      <c r="G4791" s="39" t="s">
        <v>3481</v>
      </c>
      <c r="H4791" s="7">
        <v>0</v>
      </c>
      <c r="I4791" s="7">
        <v>0</v>
      </c>
      <c r="J4791" s="17">
        <v>13</v>
      </c>
      <c r="K4791" s="17"/>
      <c r="L4791" s="7">
        <f t="shared" si="2018"/>
        <v>13</v>
      </c>
      <c r="M4791" s="8">
        <v>1</v>
      </c>
      <c r="N4791" s="8">
        <f t="shared" si="2019"/>
        <v>1</v>
      </c>
      <c r="O4791" s="11" t="s">
        <v>1702</v>
      </c>
      <c r="P4791" s="16" t="str">
        <f t="shared" si="2020"/>
        <v>22-Sep-1909</v>
      </c>
      <c r="R4791" s="16" t="str">
        <f t="shared" si="2023"/>
        <v>x</v>
      </c>
      <c r="S4791" s="16" t="str">
        <f t="shared" si="2023"/>
        <v>x</v>
      </c>
      <c r="U4791" s="46" t="str">
        <f t="shared" si="2016"/>
        <v/>
      </c>
      <c r="V4791" s="46">
        <f t="shared" si="2016"/>
        <v>13</v>
      </c>
      <c r="W4791" s="46" t="str">
        <f t="shared" si="2016"/>
        <v/>
      </c>
      <c r="X4791" s="46" t="str">
        <f t="shared" si="2016"/>
        <v/>
      </c>
    </row>
    <row r="4792" spans="2:24" x14ac:dyDescent="0.25">
      <c r="B4792" s="11" t="str">
        <f t="shared" si="2017"/>
        <v>OCNC-21OCT1909</v>
      </c>
      <c r="C4792" s="11" t="s">
        <v>3008</v>
      </c>
      <c r="D4792" s="11" t="s">
        <v>2224</v>
      </c>
      <c r="E4792" s="39" t="s">
        <v>3534</v>
      </c>
      <c r="F4792" s="11" t="s">
        <v>1700</v>
      </c>
      <c r="G4792" s="39" t="s">
        <v>3845</v>
      </c>
      <c r="H4792" s="7">
        <v>0</v>
      </c>
      <c r="I4792" s="7">
        <v>0</v>
      </c>
      <c r="J4792" s="17">
        <v>2</v>
      </c>
      <c r="K4792" s="17"/>
      <c r="L4792" s="7">
        <f t="shared" si="2018"/>
        <v>2</v>
      </c>
      <c r="M4792" s="8">
        <v>1</v>
      </c>
      <c r="N4792" s="8">
        <f t="shared" si="2019"/>
        <v>1</v>
      </c>
      <c r="O4792" s="11" t="s">
        <v>1702</v>
      </c>
      <c r="P4792" s="16" t="str">
        <f t="shared" si="2020"/>
        <v>21-Oct-1909</v>
      </c>
      <c r="R4792" s="16" t="str">
        <f t="shared" si="2023"/>
        <v>x</v>
      </c>
      <c r="S4792" s="16" t="str">
        <f t="shared" si="2023"/>
        <v>x</v>
      </c>
      <c r="U4792" s="46" t="str">
        <f t="shared" si="2016"/>
        <v/>
      </c>
      <c r="V4792" s="46">
        <f t="shared" si="2016"/>
        <v>2</v>
      </c>
      <c r="W4792" s="46" t="str">
        <f t="shared" si="2016"/>
        <v/>
      </c>
      <c r="X4792" s="46" t="str">
        <f t="shared" si="2016"/>
        <v/>
      </c>
    </row>
    <row r="4793" spans="2:24" x14ac:dyDescent="0.25">
      <c r="B4793" s="11" t="str">
        <f t="shared" si="2017"/>
        <v>OCNC-17NOV1909</v>
      </c>
      <c r="C4793" s="11" t="s">
        <v>3008</v>
      </c>
      <c r="D4793" s="11" t="s">
        <v>3619</v>
      </c>
      <c r="E4793" s="39" t="s">
        <v>5833</v>
      </c>
      <c r="F4793" s="11" t="s">
        <v>1700</v>
      </c>
      <c r="G4793" s="39" t="s">
        <v>3848</v>
      </c>
      <c r="H4793" s="7">
        <v>0</v>
      </c>
      <c r="I4793" s="7">
        <v>0</v>
      </c>
      <c r="J4793" s="17">
        <v>2</v>
      </c>
      <c r="K4793" s="17"/>
      <c r="L4793" s="7">
        <f t="shared" si="2018"/>
        <v>2</v>
      </c>
      <c r="M4793" s="8">
        <v>1</v>
      </c>
      <c r="N4793" s="8">
        <f t="shared" si="2019"/>
        <v>1</v>
      </c>
      <c r="O4793" s="11" t="s">
        <v>1702</v>
      </c>
      <c r="P4793" s="16" t="str">
        <f t="shared" si="2020"/>
        <v>17-Nov-1909</v>
      </c>
      <c r="R4793" s="16" t="str">
        <f t="shared" si="2023"/>
        <v>x</v>
      </c>
      <c r="S4793" s="16" t="str">
        <f t="shared" si="2023"/>
        <v>x</v>
      </c>
      <c r="U4793" s="46" t="str">
        <f>IF($O4793=U$5,$L4793,"")</f>
        <v/>
      </c>
      <c r="V4793" s="46">
        <f>IF($O4793=V$5,$L4793,"")</f>
        <v>2</v>
      </c>
      <c r="W4793" s="46" t="str">
        <f>IF($O4793=W$5,$L4793,"")</f>
        <v/>
      </c>
      <c r="X4793" s="46" t="str">
        <f>IF($O4793=X$5,$L4793,"")</f>
        <v/>
      </c>
    </row>
    <row r="4794" spans="2:24" x14ac:dyDescent="0.25">
      <c r="B4794" s="11" t="str">
        <f t="shared" si="2017"/>
        <v>OCNC-17FEB1910</v>
      </c>
      <c r="C4794" s="11" t="s">
        <v>3008</v>
      </c>
      <c r="D4794" s="11" t="s">
        <v>2224</v>
      </c>
      <c r="E4794" s="39" t="s">
        <v>4920</v>
      </c>
      <c r="F4794" s="11" t="s">
        <v>1700</v>
      </c>
      <c r="G4794" s="39" t="s">
        <v>4921</v>
      </c>
      <c r="H4794" s="7">
        <v>0</v>
      </c>
      <c r="J4794" s="17">
        <v>5</v>
      </c>
      <c r="K4794" s="17"/>
      <c r="L4794" s="7">
        <f t="shared" si="2018"/>
        <v>5</v>
      </c>
      <c r="M4794" s="8">
        <v>1</v>
      </c>
      <c r="N4794" s="8">
        <f t="shared" si="2019"/>
        <v>1</v>
      </c>
      <c r="O4794" s="11" t="s">
        <v>1702</v>
      </c>
      <c r="P4794" s="16" t="str">
        <f t="shared" si="2020"/>
        <v>17-Feb-1910</v>
      </c>
      <c r="R4794" s="16" t="str">
        <f t="shared" si="2023"/>
        <v>x</v>
      </c>
      <c r="S4794" s="16" t="str">
        <f t="shared" si="2023"/>
        <v>x</v>
      </c>
      <c r="U4794" s="46" t="str">
        <f t="shared" ref="U4794:X4795" si="2025">IF($O4794=U$5,$L4794,"")</f>
        <v/>
      </c>
      <c r="V4794" s="46">
        <f t="shared" si="2025"/>
        <v>5</v>
      </c>
      <c r="W4794" s="46" t="str">
        <f t="shared" si="2025"/>
        <v/>
      </c>
      <c r="X4794" s="46" t="str">
        <f t="shared" si="2025"/>
        <v/>
      </c>
    </row>
    <row r="4795" spans="2:24" x14ac:dyDescent="0.25">
      <c r="B4795" s="11" t="str">
        <f t="shared" si="2017"/>
        <v>OCNC-16MAR1910</v>
      </c>
      <c r="C4795" s="11" t="s">
        <v>3008</v>
      </c>
      <c r="D4795" s="11" t="s">
        <v>2224</v>
      </c>
      <c r="E4795" s="39" t="s">
        <v>3892</v>
      </c>
      <c r="F4795" s="11" t="s">
        <v>1700</v>
      </c>
      <c r="G4795" s="39" t="s">
        <v>2677</v>
      </c>
      <c r="H4795" s="7">
        <v>0</v>
      </c>
      <c r="I4795" s="7">
        <v>0</v>
      </c>
      <c r="J4795" s="17">
        <v>3</v>
      </c>
      <c r="K4795" s="17"/>
      <c r="L4795" s="7">
        <f t="shared" si="2018"/>
        <v>3</v>
      </c>
      <c r="M4795" s="8">
        <v>1</v>
      </c>
      <c r="N4795" s="8">
        <f t="shared" si="2019"/>
        <v>1</v>
      </c>
      <c r="O4795" s="11" t="s">
        <v>1702</v>
      </c>
      <c r="P4795" s="16" t="str">
        <f t="shared" si="2020"/>
        <v>16-Mar-1910</v>
      </c>
      <c r="R4795" s="16" t="str">
        <f t="shared" si="2023"/>
        <v>x</v>
      </c>
      <c r="S4795" s="16" t="str">
        <f t="shared" si="2023"/>
        <v>x</v>
      </c>
      <c r="U4795" s="46" t="str">
        <f t="shared" si="2025"/>
        <v/>
      </c>
      <c r="V4795" s="46">
        <f t="shared" si="2025"/>
        <v>3</v>
      </c>
      <c r="W4795" s="46" t="str">
        <f t="shared" si="2025"/>
        <v/>
      </c>
      <c r="X4795" s="46" t="str">
        <f t="shared" si="2025"/>
        <v/>
      </c>
    </row>
    <row r="4796" spans="2:24" x14ac:dyDescent="0.25">
      <c r="B4796" s="11" t="str">
        <f t="shared" si="2017"/>
        <v>OCNC-06JUL1910</v>
      </c>
      <c r="C4796" s="11" t="s">
        <v>3008</v>
      </c>
      <c r="D4796" s="11" t="s">
        <v>2224</v>
      </c>
      <c r="E4796" s="39" t="s">
        <v>3023</v>
      </c>
      <c r="F4796" s="11" t="s">
        <v>1700</v>
      </c>
      <c r="G4796" s="39" t="s">
        <v>3022</v>
      </c>
      <c r="H4796" s="7">
        <v>0</v>
      </c>
      <c r="I4796" s="7">
        <v>0</v>
      </c>
      <c r="J4796" s="17">
        <v>6</v>
      </c>
      <c r="K4796" s="17"/>
      <c r="L4796" s="7">
        <f t="shared" si="2018"/>
        <v>6</v>
      </c>
      <c r="M4796" s="8">
        <v>1</v>
      </c>
      <c r="N4796" s="8">
        <f t="shared" si="2019"/>
        <v>1</v>
      </c>
      <c r="O4796" s="11" t="s">
        <v>1702</v>
      </c>
      <c r="P4796" s="16" t="str">
        <f t="shared" si="2020"/>
        <v>06-Jul-1910</v>
      </c>
      <c r="R4796" s="16" t="str">
        <f t="shared" ref="R4796:S4815" si="2026">IF($L4796&gt;0,"x","")</f>
        <v>x</v>
      </c>
      <c r="S4796" s="16" t="str">
        <f t="shared" si="2026"/>
        <v>x</v>
      </c>
      <c r="U4796" s="46" t="str">
        <f t="shared" si="2016"/>
        <v/>
      </c>
      <c r="V4796" s="46">
        <f t="shared" si="2016"/>
        <v>6</v>
      </c>
      <c r="W4796" s="46" t="str">
        <f t="shared" si="2016"/>
        <v/>
      </c>
      <c r="X4796" s="46" t="str">
        <f t="shared" si="2016"/>
        <v/>
      </c>
    </row>
    <row r="4797" spans="2:24" x14ac:dyDescent="0.25">
      <c r="B4797" s="11" t="str">
        <f t="shared" si="2017"/>
        <v>OCNC-03AUG1910</v>
      </c>
      <c r="C4797" s="11" t="s">
        <v>3008</v>
      </c>
      <c r="D4797" s="11" t="s">
        <v>2224</v>
      </c>
      <c r="E4797" s="39" t="s">
        <v>3009</v>
      </c>
      <c r="F4797" s="11" t="s">
        <v>1700</v>
      </c>
      <c r="G4797" s="39" t="s">
        <v>3010</v>
      </c>
      <c r="H4797" s="7">
        <v>0</v>
      </c>
      <c r="I4797" s="7">
        <v>0</v>
      </c>
      <c r="J4797" s="17">
        <v>2</v>
      </c>
      <c r="K4797" s="17"/>
      <c r="L4797" s="7">
        <f t="shared" si="2018"/>
        <v>2</v>
      </c>
      <c r="M4797" s="8">
        <v>1</v>
      </c>
      <c r="N4797" s="8">
        <f t="shared" si="2019"/>
        <v>1</v>
      </c>
      <c r="O4797" s="11" t="s">
        <v>1702</v>
      </c>
      <c r="P4797" s="16" t="str">
        <f t="shared" si="2020"/>
        <v>03-Aug-1910</v>
      </c>
      <c r="R4797" s="16" t="str">
        <f t="shared" si="2026"/>
        <v>x</v>
      </c>
      <c r="S4797" s="16" t="str">
        <f t="shared" si="2026"/>
        <v>x</v>
      </c>
      <c r="U4797" s="46" t="str">
        <f t="shared" si="2016"/>
        <v/>
      </c>
      <c r="V4797" s="46">
        <f t="shared" si="2016"/>
        <v>2</v>
      </c>
      <c r="W4797" s="46" t="str">
        <f t="shared" si="2016"/>
        <v/>
      </c>
      <c r="X4797" s="46" t="str">
        <f t="shared" si="2016"/>
        <v/>
      </c>
    </row>
    <row r="4798" spans="2:24" x14ac:dyDescent="0.25">
      <c r="B4798" s="11" t="str">
        <f t="shared" ref="B4798:B4804" si="2027">CONCATENATE("OCNC","-",LEFT(P4798,2),UPPER(MID(P4798,4,3)),RIGHT(P4798,4))</f>
        <v>OCNC-25JAN1911</v>
      </c>
      <c r="C4798" s="11" t="s">
        <v>3008</v>
      </c>
      <c r="D4798" s="11" t="s">
        <v>3619</v>
      </c>
      <c r="E4798" s="39" t="s">
        <v>5076</v>
      </c>
      <c r="F4798" s="11" t="s">
        <v>1700</v>
      </c>
      <c r="G4798" s="39" t="s">
        <v>5075</v>
      </c>
      <c r="H4798" s="7">
        <v>0</v>
      </c>
      <c r="I4798" s="7">
        <f>2+1</f>
        <v>3</v>
      </c>
      <c r="J4798" s="17">
        <v>4</v>
      </c>
      <c r="K4798" s="17"/>
      <c r="L4798" s="7">
        <f t="shared" ref="L4798:L4804" si="2028">SUM(H4798:K4798)</f>
        <v>7</v>
      </c>
      <c r="M4798" s="8">
        <v>1</v>
      </c>
      <c r="N4798" s="8">
        <f t="shared" ref="N4798:N4804" si="2029">IF(L4798&gt;0,1,"")</f>
        <v>1</v>
      </c>
      <c r="O4798" s="11" t="s">
        <v>1702</v>
      </c>
      <c r="P4798" s="16" t="str">
        <f t="shared" ref="P4798:P4804" si="2030">IF(LEN(G4798)=10,CONCATENATE("0",G4798),G4798)</f>
        <v>25-Jan-1911</v>
      </c>
      <c r="R4798" s="16" t="str">
        <f>IF($L4798&gt;0,"x","")</f>
        <v>x</v>
      </c>
      <c r="S4798" s="16" t="str">
        <f>IF($L4798&gt;0,"x","")</f>
        <v>x</v>
      </c>
      <c r="U4798" s="46" t="str">
        <f t="shared" ref="U4798:X4803" si="2031">IF($O4798=U$5,$L4798,"")</f>
        <v/>
      </c>
      <c r="V4798" s="46">
        <f t="shared" si="2031"/>
        <v>7</v>
      </c>
      <c r="W4798" s="46" t="str">
        <f t="shared" si="2031"/>
        <v/>
      </c>
      <c r="X4798" s="46" t="str">
        <f t="shared" si="2031"/>
        <v/>
      </c>
    </row>
    <row r="4799" spans="2:24" x14ac:dyDescent="0.25">
      <c r="B4799" s="11" t="str">
        <f t="shared" si="2027"/>
        <v>OCNC-09AUG1911</v>
      </c>
      <c r="C4799" s="11" t="s">
        <v>3008</v>
      </c>
      <c r="D4799" s="11" t="s">
        <v>2224</v>
      </c>
      <c r="E4799" s="39" t="s">
        <v>5435</v>
      </c>
      <c r="F4799" s="11" t="s">
        <v>1700</v>
      </c>
      <c r="G4799" s="39" t="s">
        <v>2477</v>
      </c>
      <c r="H4799" s="7">
        <v>0</v>
      </c>
      <c r="I4799" s="7">
        <v>0</v>
      </c>
      <c r="J4799" s="17">
        <v>8</v>
      </c>
      <c r="K4799" s="17"/>
      <c r="L4799" s="7">
        <f t="shared" si="2028"/>
        <v>8</v>
      </c>
      <c r="M4799" s="8">
        <v>1</v>
      </c>
      <c r="N4799" s="8">
        <f t="shared" si="2029"/>
        <v>1</v>
      </c>
      <c r="O4799" s="11" t="s">
        <v>1702</v>
      </c>
      <c r="P4799" s="16" t="str">
        <f t="shared" si="2030"/>
        <v>09-Aug-1911</v>
      </c>
      <c r="R4799" s="16" t="str">
        <f>IF($L4799&gt;0,"x","")</f>
        <v>x</v>
      </c>
      <c r="S4799" s="16" t="str">
        <f>IF($L4799&gt;0,"x","")</f>
        <v>x</v>
      </c>
      <c r="U4799" s="46" t="str">
        <f t="shared" si="2031"/>
        <v/>
      </c>
      <c r="V4799" s="46">
        <f t="shared" si="2031"/>
        <v>8</v>
      </c>
      <c r="W4799" s="46" t="str">
        <f t="shared" si="2031"/>
        <v/>
      </c>
      <c r="X4799" s="46" t="str">
        <f t="shared" si="2031"/>
        <v/>
      </c>
    </row>
    <row r="4800" spans="2:24" x14ac:dyDescent="0.25">
      <c r="B4800" s="11" t="str">
        <f t="shared" si="2027"/>
        <v>OCNC-13DEC1911</v>
      </c>
      <c r="C4800" s="11" t="s">
        <v>3008</v>
      </c>
      <c r="D4800" s="11" t="s">
        <v>2224</v>
      </c>
      <c r="E4800" s="39" t="s">
        <v>3736</v>
      </c>
      <c r="F4800" s="11" t="s">
        <v>1700</v>
      </c>
      <c r="G4800" s="39" t="s">
        <v>5040</v>
      </c>
      <c r="H4800" s="7">
        <v>0</v>
      </c>
      <c r="I4800" s="7">
        <v>2</v>
      </c>
      <c r="J4800" s="17">
        <v>7</v>
      </c>
      <c r="K4800" s="17"/>
      <c r="L4800" s="7">
        <f t="shared" si="2028"/>
        <v>9</v>
      </c>
      <c r="M4800" s="8">
        <v>1</v>
      </c>
      <c r="N4800" s="8">
        <f t="shared" si="2029"/>
        <v>1</v>
      </c>
      <c r="O4800" s="11" t="s">
        <v>1702</v>
      </c>
      <c r="P4800" s="16" t="str">
        <f t="shared" si="2030"/>
        <v>13-Dec-1911</v>
      </c>
      <c r="R4800" s="16" t="str">
        <f t="shared" si="2026"/>
        <v>x</v>
      </c>
      <c r="S4800" s="16" t="str">
        <f t="shared" si="2026"/>
        <v>x</v>
      </c>
      <c r="U4800" s="46" t="str">
        <f t="shared" si="2031"/>
        <v/>
      </c>
      <c r="V4800" s="46">
        <f t="shared" si="2031"/>
        <v>9</v>
      </c>
      <c r="W4800" s="46" t="str">
        <f t="shared" si="2031"/>
        <v/>
      </c>
      <c r="X4800" s="46" t="str">
        <f t="shared" si="2031"/>
        <v/>
      </c>
    </row>
    <row r="4801" spans="2:24" x14ac:dyDescent="0.25">
      <c r="B4801" s="11" t="str">
        <f>CONCATENATE("OCNC","-",LEFT(P4801,2),UPPER(MID(P4801,4,3)),RIGHT(P4801,4))</f>
        <v>OCNC-18JUL1912</v>
      </c>
      <c r="C4801" s="11" t="s">
        <v>3008</v>
      </c>
      <c r="D4801" s="11" t="s">
        <v>2224</v>
      </c>
      <c r="E4801" s="39" t="s">
        <v>3246</v>
      </c>
      <c r="F4801" s="11" t="s">
        <v>1700</v>
      </c>
      <c r="G4801" s="39" t="s">
        <v>5650</v>
      </c>
      <c r="H4801" s="7">
        <v>0</v>
      </c>
      <c r="I4801" s="7">
        <v>0</v>
      </c>
      <c r="J4801" s="17">
        <f>27+2</f>
        <v>29</v>
      </c>
      <c r="K4801" s="17"/>
      <c r="L4801" s="7">
        <f>SUM(H4801:K4801)</f>
        <v>29</v>
      </c>
      <c r="M4801" s="8">
        <v>1</v>
      </c>
      <c r="N4801" s="8">
        <f>IF(L4801&gt;0,1,"")</f>
        <v>1</v>
      </c>
      <c r="O4801" s="11" t="s">
        <v>1702</v>
      </c>
      <c r="P4801" s="16" t="str">
        <f>IF(LEN(G4801)=10,CONCATENATE("0",G4801),G4801)</f>
        <v>18-Jul-1912</v>
      </c>
      <c r="R4801" s="16" t="str">
        <f t="shared" si="2026"/>
        <v>x</v>
      </c>
      <c r="S4801" s="16" t="str">
        <f t="shared" si="2026"/>
        <v>x</v>
      </c>
      <c r="U4801" s="46" t="str">
        <f t="shared" si="2031"/>
        <v/>
      </c>
      <c r="V4801" s="46">
        <f t="shared" si="2031"/>
        <v>29</v>
      </c>
      <c r="W4801" s="46" t="str">
        <f t="shared" si="2031"/>
        <v/>
      </c>
      <c r="X4801" s="46" t="str">
        <f t="shared" si="2031"/>
        <v/>
      </c>
    </row>
    <row r="4802" spans="2:24" x14ac:dyDescent="0.25">
      <c r="B4802" s="11" t="str">
        <f t="shared" si="2027"/>
        <v>OCNC-07AUG1912</v>
      </c>
      <c r="C4802" s="11" t="s">
        <v>3008</v>
      </c>
      <c r="D4802" s="11" t="s">
        <v>2224</v>
      </c>
      <c r="E4802" s="39" t="s">
        <v>4913</v>
      </c>
      <c r="F4802" s="11" t="s">
        <v>1700</v>
      </c>
      <c r="G4802" s="39" t="s">
        <v>2518</v>
      </c>
      <c r="H4802" s="7">
        <v>0</v>
      </c>
      <c r="I4802" s="7">
        <v>0</v>
      </c>
      <c r="J4802" s="17">
        <v>3</v>
      </c>
      <c r="K4802" s="17"/>
      <c r="L4802" s="7">
        <f t="shared" si="2028"/>
        <v>3</v>
      </c>
      <c r="M4802" s="8">
        <v>1</v>
      </c>
      <c r="N4802" s="8">
        <f t="shared" si="2029"/>
        <v>1</v>
      </c>
      <c r="O4802" s="11" t="s">
        <v>1702</v>
      </c>
      <c r="P4802" s="16" t="str">
        <f t="shared" si="2030"/>
        <v>07-Aug-1912</v>
      </c>
      <c r="R4802" s="16" t="str">
        <f t="shared" si="2026"/>
        <v>x</v>
      </c>
      <c r="S4802" s="16" t="str">
        <f t="shared" si="2026"/>
        <v>x</v>
      </c>
      <c r="U4802" s="46" t="str">
        <f t="shared" si="2031"/>
        <v/>
      </c>
      <c r="V4802" s="46">
        <f t="shared" si="2031"/>
        <v>3</v>
      </c>
      <c r="W4802" s="46" t="str">
        <f t="shared" si="2031"/>
        <v/>
      </c>
      <c r="X4802" s="46" t="str">
        <f t="shared" si="2031"/>
        <v/>
      </c>
    </row>
    <row r="4803" spans="2:24" x14ac:dyDescent="0.25">
      <c r="B4803" s="11" t="str">
        <f t="shared" si="2027"/>
        <v>OCNC-10OCT1912</v>
      </c>
      <c r="C4803" s="11" t="s">
        <v>3008</v>
      </c>
      <c r="D4803" s="11" t="s">
        <v>2224</v>
      </c>
      <c r="E4803" s="39" t="s">
        <v>5235</v>
      </c>
      <c r="F4803" s="11" t="s">
        <v>1700</v>
      </c>
      <c r="G4803" s="39" t="s">
        <v>5236</v>
      </c>
      <c r="H4803" s="7">
        <v>0</v>
      </c>
      <c r="I4803" s="7">
        <v>2</v>
      </c>
      <c r="J4803" s="17">
        <f>6+6</f>
        <v>12</v>
      </c>
      <c r="K4803" s="17"/>
      <c r="L4803" s="7">
        <f t="shared" si="2028"/>
        <v>14</v>
      </c>
      <c r="M4803" s="8">
        <v>1</v>
      </c>
      <c r="N4803" s="8">
        <f t="shared" si="2029"/>
        <v>1</v>
      </c>
      <c r="O4803" s="11" t="s">
        <v>1702</v>
      </c>
      <c r="P4803" s="16" t="str">
        <f t="shared" si="2030"/>
        <v>10-Oct-1912</v>
      </c>
      <c r="R4803" s="16" t="str">
        <f>IF($L4803&gt;0,"x","")</f>
        <v>x</v>
      </c>
      <c r="S4803" s="16" t="str">
        <f>IF($L4803&gt;0,"x","")</f>
        <v>x</v>
      </c>
      <c r="U4803" s="46" t="str">
        <f t="shared" si="2031"/>
        <v/>
      </c>
      <c r="V4803" s="46">
        <f t="shared" si="2031"/>
        <v>14</v>
      </c>
      <c r="W4803" s="46" t="str">
        <f t="shared" si="2031"/>
        <v/>
      </c>
      <c r="X4803" s="46" t="str">
        <f t="shared" si="2031"/>
        <v/>
      </c>
    </row>
    <row r="4804" spans="2:24" x14ac:dyDescent="0.25">
      <c r="B4804" s="11" t="str">
        <f t="shared" si="2027"/>
        <v>OCNC-30OCT1912</v>
      </c>
      <c r="C4804" s="11" t="s">
        <v>3008</v>
      </c>
      <c r="D4804" s="11" t="s">
        <v>2224</v>
      </c>
      <c r="E4804" s="39" t="s">
        <v>3861</v>
      </c>
      <c r="F4804" s="11" t="s">
        <v>1700</v>
      </c>
      <c r="G4804" s="39" t="s">
        <v>92</v>
      </c>
      <c r="H4804" s="7">
        <v>0</v>
      </c>
      <c r="I4804" s="7">
        <v>0</v>
      </c>
      <c r="J4804" s="17">
        <v>8</v>
      </c>
      <c r="K4804" s="17"/>
      <c r="L4804" s="7">
        <f t="shared" si="2028"/>
        <v>8</v>
      </c>
      <c r="M4804" s="8">
        <v>1</v>
      </c>
      <c r="N4804" s="8">
        <f t="shared" si="2029"/>
        <v>1</v>
      </c>
      <c r="O4804" s="11" t="s">
        <v>1702</v>
      </c>
      <c r="P4804" s="16" t="str">
        <f t="shared" si="2030"/>
        <v>30-Oct-1912</v>
      </c>
      <c r="R4804" s="16" t="str">
        <f t="shared" si="2026"/>
        <v>x</v>
      </c>
      <c r="S4804" s="16" t="str">
        <f t="shared" si="2026"/>
        <v>x</v>
      </c>
      <c r="U4804" s="46" t="str">
        <f t="shared" si="2016"/>
        <v/>
      </c>
      <c r="V4804" s="46">
        <f t="shared" si="2016"/>
        <v>8</v>
      </c>
      <c r="W4804" s="46" t="str">
        <f t="shared" si="2016"/>
        <v/>
      </c>
      <c r="X4804" s="46" t="str">
        <f t="shared" si="2016"/>
        <v/>
      </c>
    </row>
    <row r="4805" spans="2:24" x14ac:dyDescent="0.25">
      <c r="B4805" s="11" t="str">
        <f t="shared" ref="B4805:B4818" si="2032">CONCATENATE("OCNC","-",LEFT(P4805,2),UPPER(MID(P4805,4,3)),RIGHT(P4805,4))</f>
        <v>OCNC-21NOV1912</v>
      </c>
      <c r="C4805" s="11" t="s">
        <v>3008</v>
      </c>
      <c r="D4805" s="11" t="s">
        <v>2224</v>
      </c>
      <c r="E4805" s="39" t="s">
        <v>3379</v>
      </c>
      <c r="F4805" s="11" t="s">
        <v>1700</v>
      </c>
      <c r="G4805" s="39" t="s">
        <v>3380</v>
      </c>
      <c r="H4805" s="7">
        <v>0</v>
      </c>
      <c r="I4805" s="7">
        <v>0</v>
      </c>
      <c r="J4805" s="17">
        <v>9</v>
      </c>
      <c r="K4805" s="17"/>
      <c r="L4805" s="7">
        <f t="shared" ref="L4805:L4818" si="2033">SUM(H4805:K4805)</f>
        <v>9</v>
      </c>
      <c r="M4805" s="8">
        <v>1</v>
      </c>
      <c r="N4805" s="8">
        <f t="shared" ref="N4805:N4818" si="2034">IF(L4805&gt;0,1,"")</f>
        <v>1</v>
      </c>
      <c r="O4805" s="11" t="s">
        <v>1702</v>
      </c>
      <c r="P4805" s="16" t="str">
        <f t="shared" ref="P4805:P4818" si="2035">IF(LEN(G4805)=10,CONCATENATE("0",G4805),G4805)</f>
        <v>21-Nov-1912</v>
      </c>
      <c r="R4805" s="16" t="str">
        <f t="shared" si="2026"/>
        <v>x</v>
      </c>
      <c r="S4805" s="16" t="str">
        <f t="shared" si="2026"/>
        <v>x</v>
      </c>
      <c r="U4805" s="46" t="str">
        <f t="shared" si="2016"/>
        <v/>
      </c>
      <c r="V4805" s="46">
        <f t="shared" si="2016"/>
        <v>9</v>
      </c>
      <c r="W4805" s="46" t="str">
        <f t="shared" si="2016"/>
        <v/>
      </c>
      <c r="X4805" s="46" t="str">
        <f t="shared" si="2016"/>
        <v/>
      </c>
    </row>
    <row r="4806" spans="2:24" x14ac:dyDescent="0.25">
      <c r="B4806" s="11" t="str">
        <f t="shared" si="2032"/>
        <v>OCNC-12DEC1912</v>
      </c>
      <c r="C4806" s="11" t="s">
        <v>3008</v>
      </c>
      <c r="D4806" s="11" t="s">
        <v>2224</v>
      </c>
      <c r="E4806" s="39" t="s">
        <v>3706</v>
      </c>
      <c r="F4806" s="11" t="s">
        <v>1700</v>
      </c>
      <c r="G4806" s="39" t="s">
        <v>997</v>
      </c>
      <c r="H4806" s="7">
        <v>0</v>
      </c>
      <c r="I4806" s="7">
        <v>0</v>
      </c>
      <c r="J4806" s="17">
        <v>3</v>
      </c>
      <c r="K4806" s="17"/>
      <c r="L4806" s="7">
        <f t="shared" si="2033"/>
        <v>3</v>
      </c>
      <c r="M4806" s="8">
        <v>1</v>
      </c>
      <c r="N4806" s="8">
        <f t="shared" si="2034"/>
        <v>1</v>
      </c>
      <c r="O4806" s="11" t="s">
        <v>1702</v>
      </c>
      <c r="P4806" s="16" t="str">
        <f t="shared" si="2035"/>
        <v>12-Dec-1912</v>
      </c>
      <c r="R4806" s="16" t="str">
        <f t="shared" si="2026"/>
        <v>x</v>
      </c>
      <c r="S4806" s="16" t="str">
        <f t="shared" si="2026"/>
        <v>x</v>
      </c>
      <c r="U4806" s="46" t="str">
        <f>IF($O4806=U$5,$L4806,"")</f>
        <v/>
      </c>
      <c r="V4806" s="46">
        <f>IF($O4806=V$5,$L4806,"")</f>
        <v>3</v>
      </c>
      <c r="W4806" s="46" t="str">
        <f>IF($O4806=W$5,$L4806,"")</f>
        <v/>
      </c>
      <c r="X4806" s="46" t="str">
        <f>IF($O4806=X$5,$L4806,"")</f>
        <v/>
      </c>
    </row>
    <row r="4807" spans="2:24" x14ac:dyDescent="0.25">
      <c r="B4807" s="11" t="str">
        <f t="shared" si="2032"/>
        <v>OCNC-03JAN1913</v>
      </c>
      <c r="C4807" s="11" t="s">
        <v>3008</v>
      </c>
      <c r="D4807" s="11" t="s">
        <v>2224</v>
      </c>
      <c r="E4807" s="39" t="s">
        <v>4003</v>
      </c>
      <c r="F4807" s="11" t="s">
        <v>1700</v>
      </c>
      <c r="G4807" s="39" t="s">
        <v>4004</v>
      </c>
      <c r="H4807" s="7">
        <v>0</v>
      </c>
      <c r="I4807" s="7">
        <v>0</v>
      </c>
      <c r="J4807" s="17">
        <f>10+2</f>
        <v>12</v>
      </c>
      <c r="K4807" s="17"/>
      <c r="L4807" s="7">
        <f t="shared" si="2033"/>
        <v>12</v>
      </c>
      <c r="M4807" s="8">
        <v>1</v>
      </c>
      <c r="N4807" s="8">
        <f t="shared" si="2034"/>
        <v>1</v>
      </c>
      <c r="O4807" s="11" t="s">
        <v>1702</v>
      </c>
      <c r="P4807" s="16" t="str">
        <f t="shared" si="2035"/>
        <v>03-Jan-1913</v>
      </c>
      <c r="R4807" s="16" t="str">
        <f t="shared" si="2026"/>
        <v>x</v>
      </c>
      <c r="S4807" s="16" t="str">
        <f t="shared" si="2026"/>
        <v>x</v>
      </c>
      <c r="U4807" s="46" t="str">
        <f t="shared" si="2016"/>
        <v/>
      </c>
      <c r="V4807" s="46">
        <f t="shared" si="2016"/>
        <v>12</v>
      </c>
      <c r="W4807" s="46" t="str">
        <f t="shared" si="2016"/>
        <v/>
      </c>
      <c r="X4807" s="46" t="str">
        <f t="shared" si="2016"/>
        <v/>
      </c>
    </row>
    <row r="4808" spans="2:24" x14ac:dyDescent="0.25">
      <c r="B4808" s="11" t="str">
        <f>CONCATENATE("OCNC","-",LEFT(P4808,2),UPPER(MID(P4808,4,3)),RIGHT(P4808,4))</f>
        <v>OCNC-15MAY1913</v>
      </c>
      <c r="C4808" s="11" t="s">
        <v>3008</v>
      </c>
      <c r="D4808" s="11" t="s">
        <v>2224</v>
      </c>
      <c r="E4808" s="39" t="s">
        <v>5232</v>
      </c>
      <c r="F4808" s="11" t="s">
        <v>1700</v>
      </c>
      <c r="G4808" s="39" t="s">
        <v>3652</v>
      </c>
      <c r="H4808" s="7">
        <v>0</v>
      </c>
      <c r="I4808" s="7">
        <v>0</v>
      </c>
      <c r="J4808" s="17">
        <f>16+1</f>
        <v>17</v>
      </c>
      <c r="K4808" s="17"/>
      <c r="L4808" s="7">
        <f>SUM(H4808:K4808)</f>
        <v>17</v>
      </c>
      <c r="M4808" s="8">
        <v>1</v>
      </c>
      <c r="N4808" s="8">
        <f>IF(L4808&gt;0,1,"")</f>
        <v>1</v>
      </c>
      <c r="O4808" s="11" t="s">
        <v>1702</v>
      </c>
      <c r="P4808" s="16" t="str">
        <f>IF(LEN(G4808)=10,CONCATENATE("0",G4808),G4808)</f>
        <v>15-May-1913</v>
      </c>
      <c r="R4808" s="16" t="str">
        <f t="shared" si="2026"/>
        <v>x</v>
      </c>
      <c r="S4808" s="16" t="str">
        <f t="shared" si="2026"/>
        <v>x</v>
      </c>
      <c r="U4808" s="46" t="str">
        <f t="shared" ref="U4808:X4809" si="2036">IF($O4808=U$5,$L4808,"")</f>
        <v/>
      </c>
      <c r="V4808" s="46">
        <f t="shared" si="2036"/>
        <v>17</v>
      </c>
      <c r="W4808" s="46" t="str">
        <f t="shared" si="2036"/>
        <v/>
      </c>
      <c r="X4808" s="46" t="str">
        <f t="shared" si="2036"/>
        <v/>
      </c>
    </row>
    <row r="4809" spans="2:24" x14ac:dyDescent="0.25">
      <c r="B4809" s="11" t="str">
        <f>CONCATENATE("OCNC","-",LEFT(P4809,2),UPPER(MID(P4809,4,3)),RIGHT(P4809,4))</f>
        <v>OCNC-25JUN1913</v>
      </c>
      <c r="C4809" s="11" t="s">
        <v>3008</v>
      </c>
      <c r="D4809" s="11" t="s">
        <v>2224</v>
      </c>
      <c r="E4809" s="39" t="s">
        <v>4289</v>
      </c>
      <c r="F4809" s="11" t="s">
        <v>1700</v>
      </c>
      <c r="G4809" s="39" t="s">
        <v>2536</v>
      </c>
      <c r="H4809" s="7">
        <v>0</v>
      </c>
      <c r="I4809" s="7">
        <v>0</v>
      </c>
      <c r="J4809" s="17">
        <v>13</v>
      </c>
      <c r="K4809" s="17"/>
      <c r="L4809" s="7">
        <f>SUM(H4809:K4809)</f>
        <v>13</v>
      </c>
      <c r="M4809" s="8">
        <v>1</v>
      </c>
      <c r="N4809" s="8">
        <f>IF(L4809&gt;0,1,"")</f>
        <v>1</v>
      </c>
      <c r="O4809" s="11" t="s">
        <v>1702</v>
      </c>
      <c r="P4809" s="16" t="str">
        <f>IF(LEN(G4809)=10,CONCATENATE("0",G4809),G4809)</f>
        <v>25-Jun-1913</v>
      </c>
      <c r="R4809" s="16" t="str">
        <f t="shared" si="2026"/>
        <v>x</v>
      </c>
      <c r="S4809" s="16" t="str">
        <f t="shared" si="2026"/>
        <v>x</v>
      </c>
      <c r="U4809" s="46" t="str">
        <f t="shared" si="2036"/>
        <v/>
      </c>
      <c r="V4809" s="46">
        <f t="shared" si="2036"/>
        <v>13</v>
      </c>
      <c r="W4809" s="46" t="str">
        <f t="shared" si="2036"/>
        <v/>
      </c>
      <c r="X4809" s="46" t="str">
        <f t="shared" si="2036"/>
        <v/>
      </c>
    </row>
    <row r="4810" spans="2:24" x14ac:dyDescent="0.25">
      <c r="B4810" s="11" t="str">
        <f t="shared" si="2032"/>
        <v>OCNC-13AUG1913</v>
      </c>
      <c r="C4810" s="11" t="s">
        <v>3008</v>
      </c>
      <c r="D4810" s="11" t="s">
        <v>2224</v>
      </c>
      <c r="E4810" s="39" t="s">
        <v>3144</v>
      </c>
      <c r="F4810" s="11" t="s">
        <v>1700</v>
      </c>
      <c r="G4810" s="39" t="s">
        <v>2538</v>
      </c>
      <c r="H4810" s="7">
        <v>0</v>
      </c>
      <c r="I4810" s="7">
        <v>0</v>
      </c>
      <c r="J4810" s="17">
        <f>15+1</f>
        <v>16</v>
      </c>
      <c r="K4810" s="17"/>
      <c r="L4810" s="7">
        <f t="shared" si="2033"/>
        <v>16</v>
      </c>
      <c r="M4810" s="8">
        <v>1</v>
      </c>
      <c r="N4810" s="8">
        <f t="shared" si="2034"/>
        <v>1</v>
      </c>
      <c r="O4810" s="11" t="s">
        <v>1702</v>
      </c>
      <c r="P4810" s="16" t="str">
        <f t="shared" si="2035"/>
        <v>13-Aug-1913</v>
      </c>
      <c r="R4810" s="16" t="str">
        <f t="shared" si="2026"/>
        <v>x</v>
      </c>
      <c r="S4810" s="16" t="str">
        <f t="shared" si="2026"/>
        <v>x</v>
      </c>
      <c r="U4810" s="46" t="str">
        <f t="shared" si="2016"/>
        <v/>
      </c>
      <c r="V4810" s="46">
        <f t="shared" si="2016"/>
        <v>16</v>
      </c>
      <c r="W4810" s="46" t="str">
        <f t="shared" si="2016"/>
        <v/>
      </c>
      <c r="X4810" s="46" t="str">
        <f>IF($O4810=X$5,$L4810,"")</f>
        <v/>
      </c>
    </row>
    <row r="4811" spans="2:24" x14ac:dyDescent="0.25">
      <c r="B4811" s="11" t="str">
        <f t="shared" si="2032"/>
        <v>OCNC-04SEP1913</v>
      </c>
      <c r="C4811" s="11" t="s">
        <v>3008</v>
      </c>
      <c r="D4811" s="11" t="s">
        <v>2224</v>
      </c>
      <c r="E4811" s="39" t="s">
        <v>3368</v>
      </c>
      <c r="F4811" s="11" t="s">
        <v>1700</v>
      </c>
      <c r="G4811" s="39" t="s">
        <v>1928</v>
      </c>
      <c r="H4811" s="7">
        <v>0</v>
      </c>
      <c r="I4811" s="7">
        <v>0</v>
      </c>
      <c r="J4811" s="17">
        <v>5</v>
      </c>
      <c r="K4811" s="17"/>
      <c r="L4811" s="7">
        <f t="shared" si="2033"/>
        <v>5</v>
      </c>
      <c r="M4811" s="8">
        <v>1</v>
      </c>
      <c r="N4811" s="8">
        <f t="shared" si="2034"/>
        <v>1</v>
      </c>
      <c r="O4811" s="11" t="s">
        <v>1702</v>
      </c>
      <c r="P4811" s="16" t="str">
        <f t="shared" si="2035"/>
        <v>04-Sep-1913</v>
      </c>
      <c r="R4811" s="16" t="str">
        <f t="shared" si="2026"/>
        <v>x</v>
      </c>
      <c r="S4811" s="16" t="str">
        <f t="shared" si="2026"/>
        <v>x</v>
      </c>
      <c r="U4811" s="46" t="str">
        <f t="shared" si="2016"/>
        <v/>
      </c>
      <c r="V4811" s="46">
        <f t="shared" si="2016"/>
        <v>5</v>
      </c>
      <c r="W4811" s="46" t="str">
        <f t="shared" si="2016"/>
        <v/>
      </c>
      <c r="X4811" s="46" t="str">
        <f t="shared" si="2016"/>
        <v/>
      </c>
    </row>
    <row r="4812" spans="2:24" x14ac:dyDescent="0.25">
      <c r="B4812" s="11" t="str">
        <f t="shared" si="2032"/>
        <v>OCNC-15OCT1913</v>
      </c>
      <c r="C4812" s="11" t="s">
        <v>3008</v>
      </c>
      <c r="D4812" s="11" t="s">
        <v>2224</v>
      </c>
      <c r="E4812" s="39" t="s">
        <v>3724</v>
      </c>
      <c r="F4812" s="11" t="s">
        <v>1700</v>
      </c>
      <c r="G4812" s="39" t="s">
        <v>2541</v>
      </c>
      <c r="H4812" s="7">
        <v>0</v>
      </c>
      <c r="I4812" s="7">
        <v>2</v>
      </c>
      <c r="J4812" s="17">
        <v>19</v>
      </c>
      <c r="K4812" s="17"/>
      <c r="L4812" s="7">
        <f t="shared" si="2033"/>
        <v>21</v>
      </c>
      <c r="M4812" s="8">
        <v>1</v>
      </c>
      <c r="N4812" s="8">
        <f t="shared" si="2034"/>
        <v>1</v>
      </c>
      <c r="O4812" s="11" t="s">
        <v>1702</v>
      </c>
      <c r="P4812" s="16" t="str">
        <f t="shared" si="2035"/>
        <v>15-Oct-1913</v>
      </c>
      <c r="R4812" s="16" t="str">
        <f t="shared" si="2026"/>
        <v>x</v>
      </c>
      <c r="S4812" s="16" t="str">
        <f t="shared" si="2026"/>
        <v>x</v>
      </c>
      <c r="U4812" s="46" t="str">
        <f t="shared" si="2016"/>
        <v/>
      </c>
      <c r="V4812" s="46">
        <f t="shared" si="2016"/>
        <v>21</v>
      </c>
      <c r="W4812" s="46" t="str">
        <f t="shared" si="2016"/>
        <v/>
      </c>
      <c r="X4812" s="46" t="str">
        <f t="shared" si="2016"/>
        <v/>
      </c>
    </row>
    <row r="4813" spans="2:24" x14ac:dyDescent="0.25">
      <c r="B4813" s="11" t="str">
        <f>CONCATENATE("OCNC","-",LEFT(P4813,2),UPPER(MID(P4813,4,3)),RIGHT(P4813,4))</f>
        <v>OCNC-06NOV1913</v>
      </c>
      <c r="C4813" s="11" t="s">
        <v>3008</v>
      </c>
      <c r="D4813" s="11" t="s">
        <v>2224</v>
      </c>
      <c r="E4813" s="39" t="s">
        <v>5987</v>
      </c>
      <c r="F4813" s="11" t="s">
        <v>1700</v>
      </c>
      <c r="G4813" s="39" t="s">
        <v>3118</v>
      </c>
      <c r="H4813" s="7">
        <v>0</v>
      </c>
      <c r="I4813" s="7">
        <v>0</v>
      </c>
      <c r="J4813" s="17">
        <v>7</v>
      </c>
      <c r="K4813" s="17"/>
      <c r="L4813" s="7">
        <f>SUM(H4813:K4813)</f>
        <v>7</v>
      </c>
      <c r="M4813" s="8">
        <v>1</v>
      </c>
      <c r="N4813" s="8">
        <f>IF(L4813&gt;0,1,"")</f>
        <v>1</v>
      </c>
      <c r="O4813" s="11" t="s">
        <v>1702</v>
      </c>
      <c r="P4813" s="16" t="str">
        <f>IF(LEN(G4813)=10,CONCATENATE("0",G4813),G4813)</f>
        <v>06-Nov-1913</v>
      </c>
      <c r="R4813" s="16" t="str">
        <f t="shared" si="2026"/>
        <v>x</v>
      </c>
      <c r="S4813" s="16" t="str">
        <f t="shared" si="2026"/>
        <v>x</v>
      </c>
      <c r="U4813" s="46" t="str">
        <f>IF($O4813=U$5,$L4813,"")</f>
        <v/>
      </c>
      <c r="V4813" s="46">
        <f>IF($O4813=V$5,$L4813,"")</f>
        <v>7</v>
      </c>
      <c r="W4813" s="46" t="str">
        <f>IF($O4813=W$5,$L4813,"")</f>
        <v/>
      </c>
      <c r="X4813" s="46" t="str">
        <f>IF($O4813=X$5,$L4813,"")</f>
        <v/>
      </c>
    </row>
    <row r="4814" spans="2:24" x14ac:dyDescent="0.25">
      <c r="B4814" s="11" t="str">
        <f>CONCATENATE("OCNC","-",LEFT(P4814,2),UPPER(MID(P4814,4,3)),RIGHT(P4814,4))</f>
        <v>OCNC-27NOV1913</v>
      </c>
      <c r="C4814" s="11" t="s">
        <v>3008</v>
      </c>
      <c r="D4814" s="11" t="s">
        <v>2224</v>
      </c>
      <c r="E4814" s="39" t="s">
        <v>3372</v>
      </c>
      <c r="F4814" s="11" t="s">
        <v>1700</v>
      </c>
      <c r="G4814" s="39" t="s">
        <v>3630</v>
      </c>
      <c r="H4814" s="7">
        <v>0</v>
      </c>
      <c r="I4814" s="7">
        <v>0</v>
      </c>
      <c r="J4814" s="17">
        <f>55+2</f>
        <v>57</v>
      </c>
      <c r="K4814" s="17"/>
      <c r="L4814" s="7">
        <f>SUM(H4814:K4814)</f>
        <v>57</v>
      </c>
      <c r="M4814" s="8">
        <v>1</v>
      </c>
      <c r="N4814" s="8">
        <f>IF(L4814&gt;0,1,"")</f>
        <v>1</v>
      </c>
      <c r="O4814" s="11" t="s">
        <v>1702</v>
      </c>
      <c r="P4814" s="16" t="str">
        <f>IF(LEN(G4814)=10,CONCATENATE("0",G4814),G4814)</f>
        <v>27-Nov-1913</v>
      </c>
      <c r="R4814" s="16" t="str">
        <f t="shared" si="2026"/>
        <v>x</v>
      </c>
      <c r="S4814" s="16" t="str">
        <f t="shared" si="2026"/>
        <v>x</v>
      </c>
      <c r="U4814" s="46" t="str">
        <f t="shared" ref="U4814:X4817" si="2037">IF($O4814=U$5,$L4814,"")</f>
        <v/>
      </c>
      <c r="V4814" s="46">
        <f t="shared" si="2037"/>
        <v>57</v>
      </c>
      <c r="W4814" s="46" t="str">
        <f t="shared" si="2037"/>
        <v/>
      </c>
      <c r="X4814" s="46" t="str">
        <f t="shared" si="2037"/>
        <v/>
      </c>
    </row>
    <row r="4815" spans="2:24" x14ac:dyDescent="0.25">
      <c r="B4815" s="11" t="str">
        <f>CONCATENATE("OCNC","-",LEFT(P4815,2),UPPER(MID(P4815,4,3)),RIGHT(P4815,4))</f>
        <v>OCNC-15JAN1914</v>
      </c>
      <c r="C4815" s="11" t="s">
        <v>3008</v>
      </c>
      <c r="D4815" s="11" t="s">
        <v>2224</v>
      </c>
      <c r="E4815" s="39" t="s">
        <v>11195</v>
      </c>
      <c r="F4815" s="11" t="s">
        <v>1700</v>
      </c>
      <c r="G4815" s="39" t="s">
        <v>11196</v>
      </c>
      <c r="H4815" s="7">
        <v>0</v>
      </c>
      <c r="I4815" s="7">
        <v>0</v>
      </c>
      <c r="J4815" s="17">
        <v>8</v>
      </c>
      <c r="K4815" s="17"/>
      <c r="L4815" s="7">
        <f>SUM(H4815:K4815)</f>
        <v>8</v>
      </c>
      <c r="M4815" s="8">
        <v>1</v>
      </c>
      <c r="N4815" s="8">
        <f>IF(L4815&gt;0,1,"")</f>
        <v>1</v>
      </c>
      <c r="O4815" s="11" t="s">
        <v>1702</v>
      </c>
      <c r="P4815" s="16" t="str">
        <f>IF(LEN(G4815)=10,CONCATENATE("0",G4815),G4815)</f>
        <v>15-Jan-1914</v>
      </c>
      <c r="R4815" s="16" t="str">
        <f t="shared" si="2026"/>
        <v>x</v>
      </c>
      <c r="S4815" s="16" t="str">
        <f t="shared" si="2026"/>
        <v>x</v>
      </c>
      <c r="U4815" s="46" t="str">
        <f t="shared" si="2037"/>
        <v/>
      </c>
      <c r="V4815" s="46">
        <f t="shared" si="2037"/>
        <v>8</v>
      </c>
      <c r="W4815" s="46" t="str">
        <f t="shared" si="2037"/>
        <v/>
      </c>
      <c r="X4815" s="46" t="str">
        <f t="shared" si="2037"/>
        <v/>
      </c>
    </row>
    <row r="4816" spans="2:24" x14ac:dyDescent="0.25">
      <c r="B4816" s="11" t="str">
        <f>CONCATENATE("OCNC","-",LEFT(P4816,2),UPPER(MID(P4816,4,3)),RIGHT(P4816,4))</f>
        <v>OCNC-12MAR1914</v>
      </c>
      <c r="C4816" s="11" t="s">
        <v>3008</v>
      </c>
      <c r="D4816" s="11" t="s">
        <v>2224</v>
      </c>
      <c r="E4816" s="39" t="s">
        <v>5688</v>
      </c>
      <c r="F4816" s="11" t="s">
        <v>1700</v>
      </c>
      <c r="G4816" s="39" t="s">
        <v>5465</v>
      </c>
      <c r="H4816" s="7">
        <v>1</v>
      </c>
      <c r="I4816" s="7">
        <v>1</v>
      </c>
      <c r="J4816" s="17">
        <v>2</v>
      </c>
      <c r="K4816" s="17"/>
      <c r="L4816" s="7">
        <f>SUM(H4816:K4816)</f>
        <v>4</v>
      </c>
      <c r="M4816" s="8">
        <v>1</v>
      </c>
      <c r="N4816" s="8">
        <f>IF(L4816&gt;0,1,"")</f>
        <v>1</v>
      </c>
      <c r="O4816" s="11" t="s">
        <v>1702</v>
      </c>
      <c r="P4816" s="16" t="str">
        <f>IF(LEN(G4816)=10,CONCATENATE("0",G4816),G4816)</f>
        <v>12-Mar-1914</v>
      </c>
      <c r="R4816" s="16" t="str">
        <f t="shared" ref="R4816:S4818" si="2038">IF($L4816&gt;0,"x","")</f>
        <v>x</v>
      </c>
      <c r="S4816" s="16" t="str">
        <f t="shared" si="2038"/>
        <v>x</v>
      </c>
      <c r="U4816" s="46" t="str">
        <f t="shared" si="2037"/>
        <v/>
      </c>
      <c r="V4816" s="46">
        <f t="shared" si="2037"/>
        <v>4</v>
      </c>
      <c r="W4816" s="46" t="str">
        <f t="shared" si="2037"/>
        <v/>
      </c>
      <c r="X4816" s="46" t="str">
        <f t="shared" si="2037"/>
        <v/>
      </c>
    </row>
    <row r="4817" spans="2:26" x14ac:dyDescent="0.25">
      <c r="B4817" s="11" t="str">
        <f>CONCATENATE("OCNC","-",LEFT(P4817,2),UPPER(MID(P4817,4,3)),RIGHT(P4817,4))</f>
        <v>OCNC-20MAY1914</v>
      </c>
      <c r="C4817" s="11" t="s">
        <v>3008</v>
      </c>
      <c r="D4817" s="11" t="s">
        <v>2224</v>
      </c>
      <c r="E4817" s="39" t="s">
        <v>11199</v>
      </c>
      <c r="F4817" s="11" t="s">
        <v>1700</v>
      </c>
      <c r="G4817" s="39" t="s">
        <v>2562</v>
      </c>
      <c r="H4817" s="7">
        <v>0</v>
      </c>
      <c r="I4817" s="7">
        <v>0</v>
      </c>
      <c r="J4817" s="17">
        <f>2+1</f>
        <v>3</v>
      </c>
      <c r="K4817" s="17"/>
      <c r="L4817" s="7">
        <f>SUM(H4817:K4817)</f>
        <v>3</v>
      </c>
      <c r="M4817" s="8">
        <v>1</v>
      </c>
      <c r="N4817" s="8">
        <f>IF(L4817&gt;0,1,"")</f>
        <v>1</v>
      </c>
      <c r="O4817" s="11" t="s">
        <v>1702</v>
      </c>
      <c r="P4817" s="16" t="str">
        <f>IF(LEN(G4817)=10,CONCATENATE("0",G4817),G4817)</f>
        <v>20-May-1914</v>
      </c>
      <c r="R4817" s="16" t="str">
        <f t="shared" si="2038"/>
        <v>x</v>
      </c>
      <c r="S4817" s="16" t="str">
        <f t="shared" si="2038"/>
        <v>x</v>
      </c>
      <c r="U4817" s="46" t="str">
        <f t="shared" si="2037"/>
        <v/>
      </c>
      <c r="V4817" s="46">
        <f t="shared" si="2037"/>
        <v>3</v>
      </c>
      <c r="W4817" s="46" t="str">
        <f t="shared" si="2037"/>
        <v/>
      </c>
      <c r="X4817" s="46" t="str">
        <f t="shared" si="2037"/>
        <v/>
      </c>
    </row>
    <row r="4818" spans="2:26" x14ac:dyDescent="0.25">
      <c r="B4818" s="11" t="str">
        <f t="shared" si="2032"/>
        <v>OCNC-29JUL1914</v>
      </c>
      <c r="C4818" s="11" t="s">
        <v>3008</v>
      </c>
      <c r="D4818" s="11" t="s">
        <v>2224</v>
      </c>
      <c r="E4818" s="39" t="s">
        <v>11231</v>
      </c>
      <c r="F4818" s="11" t="s">
        <v>1700</v>
      </c>
      <c r="G4818" s="39" t="s">
        <v>2566</v>
      </c>
      <c r="H4818" s="7">
        <v>0</v>
      </c>
      <c r="I4818" s="7">
        <v>0</v>
      </c>
      <c r="J4818" s="17">
        <v>10</v>
      </c>
      <c r="K4818" s="17"/>
      <c r="L4818" s="7">
        <f t="shared" si="2033"/>
        <v>10</v>
      </c>
      <c r="M4818" s="8">
        <v>1</v>
      </c>
      <c r="N4818" s="8">
        <f t="shared" si="2034"/>
        <v>1</v>
      </c>
      <c r="O4818" s="11" t="s">
        <v>1702</v>
      </c>
      <c r="P4818" s="16" t="str">
        <f t="shared" si="2035"/>
        <v>29-Jul-1914</v>
      </c>
      <c r="R4818" s="16" t="str">
        <f t="shared" si="2038"/>
        <v>x</v>
      </c>
      <c r="S4818" s="16" t="str">
        <f t="shared" si="2038"/>
        <v>x</v>
      </c>
      <c r="U4818" s="46" t="str">
        <f t="shared" si="2016"/>
        <v/>
      </c>
      <c r="V4818" s="46">
        <f t="shared" si="2016"/>
        <v>10</v>
      </c>
      <c r="W4818" s="46" t="str">
        <f t="shared" si="2016"/>
        <v/>
      </c>
      <c r="X4818" s="46" t="str">
        <f t="shared" si="2016"/>
        <v/>
      </c>
    </row>
    <row r="4819" spans="2:26" x14ac:dyDescent="0.25">
      <c r="N4819" s="8" t="str">
        <f>IF(R4819="x",1,"")</f>
        <v/>
      </c>
      <c r="U4819" s="46" t="str">
        <f t="shared" si="2016"/>
        <v/>
      </c>
      <c r="V4819" s="46" t="str">
        <f t="shared" si="2016"/>
        <v/>
      </c>
      <c r="W4819" s="46" t="str">
        <f t="shared" si="2016"/>
        <v/>
      </c>
      <c r="X4819" s="46" t="str">
        <f t="shared" si="2016"/>
        <v/>
      </c>
    </row>
    <row r="4820" spans="2:26" x14ac:dyDescent="0.25">
      <c r="B4820" s="18"/>
      <c r="C4820" s="18"/>
      <c r="D4820" s="18"/>
      <c r="E4820" s="40"/>
      <c r="F4820" s="18"/>
      <c r="G4820" s="40"/>
      <c r="H4820" s="7">
        <f t="shared" ref="H4820:N4820" si="2039">SUM(H4783:H4819)</f>
        <v>1</v>
      </c>
      <c r="I4820" s="7">
        <f t="shared" si="2039"/>
        <v>14</v>
      </c>
      <c r="J4820" s="7">
        <f>SUM(J4783:J4819)</f>
        <v>340</v>
      </c>
      <c r="K4820" s="7">
        <f t="shared" si="2039"/>
        <v>0</v>
      </c>
      <c r="L4820" s="7">
        <f t="shared" si="2039"/>
        <v>355</v>
      </c>
      <c r="M4820" s="7">
        <f t="shared" si="2039"/>
        <v>36</v>
      </c>
      <c r="N4820" s="7">
        <f t="shared" si="2039"/>
        <v>36</v>
      </c>
      <c r="O4820" s="18"/>
      <c r="P4820" s="13"/>
      <c r="Q4820" s="13"/>
      <c r="S4820" s="13"/>
      <c r="T4820" s="15"/>
      <c r="U4820" s="46" t="str">
        <f t="shared" si="2016"/>
        <v/>
      </c>
      <c r="V4820" s="46" t="str">
        <f t="shared" si="2016"/>
        <v/>
      </c>
      <c r="W4820" s="46" t="str">
        <f t="shared" si="2016"/>
        <v/>
      </c>
      <c r="X4820" s="46" t="str">
        <f t="shared" si="2016"/>
        <v/>
      </c>
    </row>
    <row r="4821" spans="2:26" x14ac:dyDescent="0.25">
      <c r="B4821" s="18"/>
      <c r="C4821" s="18"/>
      <c r="D4821" s="18"/>
      <c r="E4821" s="40"/>
      <c r="F4821" s="18"/>
      <c r="G4821" s="40"/>
      <c r="N4821" s="8" t="str">
        <f>IF(R4821="x",1,"")</f>
        <v/>
      </c>
      <c r="O4821" s="18"/>
      <c r="P4821" s="13"/>
      <c r="Q4821" s="13"/>
      <c r="R4821" s="13"/>
      <c r="S4821" s="13"/>
      <c r="T4821" s="15"/>
      <c r="U4821" s="46" t="str">
        <f t="shared" si="2016"/>
        <v/>
      </c>
      <c r="V4821" s="46" t="str">
        <f t="shared" si="2016"/>
        <v/>
      </c>
      <c r="W4821" s="46" t="str">
        <f t="shared" si="2016"/>
        <v/>
      </c>
      <c r="X4821" s="46" t="str">
        <f t="shared" si="2016"/>
        <v/>
      </c>
    </row>
    <row r="4822" spans="2:26" x14ac:dyDescent="0.25">
      <c r="B4822" s="18"/>
      <c r="C4822" s="18"/>
      <c r="D4822" s="18"/>
      <c r="E4822" s="40"/>
      <c r="F4822" s="18"/>
      <c r="G4822" s="40"/>
      <c r="N4822" s="8" t="str">
        <f>IF(R4822="x",1,"")</f>
        <v/>
      </c>
      <c r="O4822" s="18"/>
      <c r="P4822" s="13"/>
      <c r="Q4822" s="13"/>
      <c r="R4822" s="13"/>
      <c r="S4822" s="13"/>
      <c r="T4822" s="15"/>
      <c r="U4822" s="46" t="str">
        <f t="shared" si="2016"/>
        <v/>
      </c>
      <c r="V4822" s="46" t="str">
        <f t="shared" si="2016"/>
        <v/>
      </c>
      <c r="W4822" s="46" t="str">
        <f t="shared" si="2016"/>
        <v/>
      </c>
      <c r="X4822" s="46" t="str">
        <f t="shared" si="2016"/>
        <v/>
      </c>
    </row>
    <row r="4823" spans="2:26" x14ac:dyDescent="0.25">
      <c r="B4823" s="11" t="str">
        <f>CONCATENATE("OHIO","-",LEFT(P4823,2),UPPER(MID(P4823,4,3)),RIGHT(P4823,4))</f>
        <v>OHIO-03DEC1894</v>
      </c>
      <c r="C4823" s="11" t="s">
        <v>3809</v>
      </c>
      <c r="D4823" s="11" t="s">
        <v>2097</v>
      </c>
      <c r="E4823" s="39" t="s">
        <v>3810</v>
      </c>
      <c r="F4823" s="11" t="s">
        <v>3039</v>
      </c>
      <c r="G4823" s="39" t="s">
        <v>373</v>
      </c>
      <c r="J4823" s="17">
        <v>2</v>
      </c>
      <c r="K4823" s="17"/>
      <c r="L4823" s="7">
        <f>SUM(H4823:K4823)</f>
        <v>2</v>
      </c>
      <c r="M4823" s="8">
        <v>1</v>
      </c>
      <c r="N4823" s="8">
        <f>IF(L4823&gt;0,1,"")</f>
        <v>1</v>
      </c>
      <c r="O4823" s="11" t="s">
        <v>1702</v>
      </c>
      <c r="P4823" s="16" t="str">
        <f>IF(LEN(G4823)=10,CONCATENATE("0",G4823),G4823)</f>
        <v>03-Dec-1894</v>
      </c>
      <c r="R4823" s="16" t="str">
        <f t="shared" ref="R4823:S4825" si="2040">IF($L4823&gt;0,"x","")</f>
        <v>x</v>
      </c>
      <c r="S4823" s="16" t="str">
        <f t="shared" si="2040"/>
        <v>x</v>
      </c>
      <c r="U4823" s="46" t="str">
        <f t="shared" si="2016"/>
        <v/>
      </c>
      <c r="V4823" s="46">
        <f t="shared" si="2016"/>
        <v>2</v>
      </c>
      <c r="W4823" s="46" t="str">
        <f t="shared" si="2016"/>
        <v/>
      </c>
      <c r="X4823" s="46" t="str">
        <f t="shared" si="2016"/>
        <v/>
      </c>
    </row>
    <row r="4824" spans="2:26" x14ac:dyDescent="0.25">
      <c r="B4824" s="11" t="str">
        <f>CONCATENATE("OHIO","-",LEFT(P4824,2),UPPER(MID(P4824,4,3)),RIGHT(P4824,4))</f>
        <v>OHIO-03JUL1923</v>
      </c>
      <c r="C4824" s="11" t="s">
        <v>3809</v>
      </c>
      <c r="D4824" s="11" t="s">
        <v>2224</v>
      </c>
      <c r="E4824" s="39" t="s">
        <v>11202</v>
      </c>
      <c r="F4824" s="11" t="s">
        <v>1700</v>
      </c>
      <c r="G4824" s="39" t="s">
        <v>2995</v>
      </c>
      <c r="H4824" s="7">
        <v>2</v>
      </c>
      <c r="I4824" s="7">
        <v>11</v>
      </c>
      <c r="J4824" s="17">
        <v>13</v>
      </c>
      <c r="K4824" s="17"/>
      <c r="L4824" s="7">
        <f>SUM(H4824:K4824)</f>
        <v>26</v>
      </c>
      <c r="M4824" s="8">
        <v>1</v>
      </c>
      <c r="N4824" s="8">
        <f>IF(L4824&gt;0,1,"")</f>
        <v>1</v>
      </c>
      <c r="O4824" s="11" t="s">
        <v>1702</v>
      </c>
      <c r="P4824" s="16" t="str">
        <f>IF(LEN(G4824)=10,CONCATENATE("0",G4824),G4824)</f>
        <v>03-Jul-1923</v>
      </c>
      <c r="R4824" s="16" t="str">
        <f t="shared" si="2040"/>
        <v>x</v>
      </c>
      <c r="S4824" s="16" t="str">
        <f t="shared" si="2040"/>
        <v>x</v>
      </c>
      <c r="U4824" s="46" t="str">
        <f t="shared" ref="U4824:X4825" si="2041">IF($O4824=U$5,$L4824,"")</f>
        <v/>
      </c>
      <c r="V4824" s="46">
        <f t="shared" si="2041"/>
        <v>26</v>
      </c>
      <c r="W4824" s="46" t="str">
        <f t="shared" si="2041"/>
        <v/>
      </c>
      <c r="X4824" s="46" t="str">
        <f t="shared" si="2041"/>
        <v/>
      </c>
    </row>
    <row r="4825" spans="2:26" x14ac:dyDescent="0.25">
      <c r="B4825" s="11" t="str">
        <f>CONCATENATE("OHIO","-",LEFT(P4825,2),UPPER(MID(P4825,4,3)),RIGHT(P4825,4))</f>
        <v>OHIO-05AUG1923</v>
      </c>
      <c r="C4825" s="11" t="s">
        <v>3809</v>
      </c>
      <c r="D4825" s="11" t="s">
        <v>2224</v>
      </c>
      <c r="E4825" s="39" t="s">
        <v>2822</v>
      </c>
      <c r="F4825" s="11" t="s">
        <v>1700</v>
      </c>
      <c r="G4825" s="39" t="s">
        <v>6115</v>
      </c>
      <c r="H4825" s="7">
        <v>2</v>
      </c>
      <c r="I4825" s="7">
        <v>2</v>
      </c>
      <c r="J4825" s="17">
        <v>18</v>
      </c>
      <c r="K4825" s="17"/>
      <c r="L4825" s="7">
        <f>SUM(H4825:K4825)</f>
        <v>22</v>
      </c>
      <c r="M4825" s="8">
        <v>1</v>
      </c>
      <c r="N4825" s="8">
        <f>IF(L4825&gt;0,1,"")</f>
        <v>1</v>
      </c>
      <c r="O4825" s="11" t="s">
        <v>1702</v>
      </c>
      <c r="P4825" s="16" t="str">
        <f>IF(LEN(G4825)=10,CONCATENATE("0",G4825),G4825)</f>
        <v>05-Aug-1923</v>
      </c>
      <c r="R4825" s="16" t="str">
        <f t="shared" si="2040"/>
        <v>x</v>
      </c>
      <c r="S4825" s="16" t="str">
        <f t="shared" si="2040"/>
        <v>x</v>
      </c>
      <c r="U4825" s="46" t="str">
        <f t="shared" si="2041"/>
        <v/>
      </c>
      <c r="V4825" s="46">
        <f t="shared" si="2041"/>
        <v>22</v>
      </c>
      <c r="W4825" s="46" t="str">
        <f t="shared" si="2041"/>
        <v/>
      </c>
      <c r="X4825" s="46" t="str">
        <f t="shared" si="2041"/>
        <v/>
      </c>
    </row>
    <row r="4826" spans="2:26" x14ac:dyDescent="0.25">
      <c r="N4826" s="8" t="str">
        <f>IF(R4826="x",1,"")</f>
        <v/>
      </c>
      <c r="U4826" s="46" t="str">
        <f t="shared" si="2016"/>
        <v/>
      </c>
      <c r="V4826" s="46" t="str">
        <f t="shared" si="2016"/>
        <v/>
      </c>
      <c r="W4826" s="46" t="str">
        <f t="shared" si="2016"/>
        <v/>
      </c>
      <c r="X4826" s="46" t="str">
        <f t="shared" si="2016"/>
        <v/>
      </c>
    </row>
    <row r="4827" spans="2:26" x14ac:dyDescent="0.25">
      <c r="B4827" s="18"/>
      <c r="C4827" s="18"/>
      <c r="D4827" s="18"/>
      <c r="E4827" s="40"/>
      <c r="F4827" s="18"/>
      <c r="G4827" s="40"/>
      <c r="H4827" s="7">
        <f t="shared" ref="H4827:N4827" si="2042">SUM(H4823:H4826)</f>
        <v>4</v>
      </c>
      <c r="I4827" s="7">
        <f t="shared" si="2042"/>
        <v>13</v>
      </c>
      <c r="J4827" s="7">
        <f>SUM(J4823:J4826)</f>
        <v>33</v>
      </c>
      <c r="K4827" s="7">
        <f t="shared" si="2042"/>
        <v>0</v>
      </c>
      <c r="L4827" s="7">
        <f t="shared" si="2042"/>
        <v>50</v>
      </c>
      <c r="M4827" s="7">
        <f t="shared" si="2042"/>
        <v>3</v>
      </c>
      <c r="N4827" s="7">
        <f t="shared" si="2042"/>
        <v>3</v>
      </c>
      <c r="O4827" s="18"/>
      <c r="P4827" s="13"/>
      <c r="Q4827" s="13"/>
      <c r="S4827" s="13"/>
      <c r="T4827" s="15"/>
      <c r="U4827" s="46" t="str">
        <f t="shared" si="2016"/>
        <v/>
      </c>
      <c r="V4827" s="46" t="str">
        <f t="shared" si="2016"/>
        <v/>
      </c>
      <c r="W4827" s="46" t="str">
        <f t="shared" si="2016"/>
        <v/>
      </c>
      <c r="X4827" s="46" t="str">
        <f t="shared" si="2016"/>
        <v/>
      </c>
    </row>
    <row r="4828" spans="2:26" s="18" customFormat="1" x14ac:dyDescent="0.25">
      <c r="E4828" s="40"/>
      <c r="G4828" s="40"/>
      <c r="H4828" s="7"/>
      <c r="I4828" s="7"/>
      <c r="J4828" s="7"/>
      <c r="K4828" s="7"/>
      <c r="L4828" s="7"/>
      <c r="M4828" s="8"/>
      <c r="N4828" s="8" t="str">
        <f>IF(R4828="x",1,"")</f>
        <v/>
      </c>
      <c r="P4828" s="13"/>
      <c r="Q4828" s="13"/>
      <c r="R4828" s="13"/>
      <c r="S4828" s="13"/>
      <c r="T4828" s="15"/>
      <c r="U4828" s="46" t="str">
        <f t="shared" si="2016"/>
        <v/>
      </c>
      <c r="V4828" s="46" t="str">
        <f t="shared" si="2016"/>
        <v/>
      </c>
      <c r="W4828" s="46" t="str">
        <f t="shared" si="2016"/>
        <v/>
      </c>
      <c r="X4828" s="46" t="str">
        <f t="shared" si="2016"/>
        <v/>
      </c>
      <c r="Z4828" s="11"/>
    </row>
    <row r="4829" spans="2:26" s="18" customFormat="1" x14ac:dyDescent="0.25">
      <c r="E4829" s="40"/>
      <c r="G4829" s="40"/>
      <c r="H4829" s="7"/>
      <c r="I4829" s="7"/>
      <c r="J4829" s="7"/>
      <c r="K4829" s="7"/>
      <c r="L4829" s="7"/>
      <c r="M4829" s="8"/>
      <c r="N4829" s="8" t="str">
        <f>IF(R4829="x",1,"")</f>
        <v/>
      </c>
      <c r="P4829" s="13"/>
      <c r="Q4829" s="13"/>
      <c r="R4829" s="13"/>
      <c r="S4829" s="13"/>
      <c r="T4829" s="15"/>
      <c r="U4829" s="46" t="str">
        <f t="shared" si="2016"/>
        <v/>
      </c>
      <c r="V4829" s="46" t="str">
        <f t="shared" si="2016"/>
        <v/>
      </c>
      <c r="W4829" s="46" t="str">
        <f t="shared" si="2016"/>
        <v/>
      </c>
      <c r="X4829" s="46" t="str">
        <f t="shared" si="2016"/>
        <v/>
      </c>
      <c r="Z4829" s="11"/>
    </row>
    <row r="4830" spans="2:26" s="18" customFormat="1" x14ac:dyDescent="0.25">
      <c r="B4830" s="11" t="str">
        <f t="shared" ref="B4830:B4836" si="2043">CONCATENATE("OLMP","-",LEFT(P4830,2),UPPER(MID(P4830,4,3)),RIGHT(P4830,4))</f>
        <v>OLMP-21JUN1911</v>
      </c>
      <c r="C4830" s="11" t="s">
        <v>2469</v>
      </c>
      <c r="D4830" s="11" t="s">
        <v>2224</v>
      </c>
      <c r="E4830" s="39" t="s">
        <v>2475</v>
      </c>
      <c r="F4830" s="11" t="s">
        <v>1700</v>
      </c>
      <c r="G4830" s="39" t="s">
        <v>2474</v>
      </c>
      <c r="H4830" s="7">
        <v>0</v>
      </c>
      <c r="I4830" s="7">
        <v>0</v>
      </c>
      <c r="J4830" s="17">
        <v>0</v>
      </c>
      <c r="K4830" s="17"/>
      <c r="L4830" s="7">
        <f t="shared" ref="L4830:L4836" si="2044">SUM(H4830:K4830)</f>
        <v>0</v>
      </c>
      <c r="M4830" s="8">
        <v>1</v>
      </c>
      <c r="N4830" s="8" t="str">
        <f t="shared" ref="N4830:N4836" si="2045">IF(L4830&gt;0,1,"")</f>
        <v/>
      </c>
      <c r="O4830" s="11" t="s">
        <v>1702</v>
      </c>
      <c r="P4830" s="16" t="str">
        <f t="shared" ref="P4830:P4836" si="2046">IF(LEN(G4830)=10,CONCATENATE("0",G4830),G4830)</f>
        <v>21-Jun-1911</v>
      </c>
      <c r="Q4830" s="16"/>
      <c r="R4830" s="16" t="str">
        <f t="shared" ref="R4830:S4880" si="2047">IF($L4830&gt;0,"x","")</f>
        <v/>
      </c>
      <c r="S4830" s="16" t="str">
        <f t="shared" si="2047"/>
        <v/>
      </c>
      <c r="T4830" s="12"/>
      <c r="U4830" s="46" t="str">
        <f t="shared" si="2016"/>
        <v/>
      </c>
      <c r="V4830" s="46">
        <f t="shared" si="2016"/>
        <v>0</v>
      </c>
      <c r="W4830" s="46" t="str">
        <f t="shared" si="2016"/>
        <v/>
      </c>
      <c r="X4830" s="46" t="str">
        <f t="shared" si="2016"/>
        <v/>
      </c>
      <c r="Z4830" s="11" t="s">
        <v>2567</v>
      </c>
    </row>
    <row r="4831" spans="2:26" s="18" customFormat="1" x14ac:dyDescent="0.25">
      <c r="B4831" s="11" t="str">
        <f t="shared" si="2043"/>
        <v>OLMP-19JUL1911</v>
      </c>
      <c r="C4831" s="11" t="s">
        <v>2469</v>
      </c>
      <c r="D4831" s="11" t="s">
        <v>2224</v>
      </c>
      <c r="E4831" s="39" t="s">
        <v>2476</v>
      </c>
      <c r="F4831" s="11" t="s">
        <v>1700</v>
      </c>
      <c r="G4831" s="39" t="s">
        <v>2470</v>
      </c>
      <c r="H4831" s="7">
        <v>0</v>
      </c>
      <c r="I4831" s="7">
        <v>0</v>
      </c>
      <c r="J4831" s="17">
        <v>5</v>
      </c>
      <c r="K4831" s="17"/>
      <c r="L4831" s="7">
        <f t="shared" si="2044"/>
        <v>5</v>
      </c>
      <c r="M4831" s="8">
        <v>1</v>
      </c>
      <c r="N4831" s="8">
        <f t="shared" si="2045"/>
        <v>1</v>
      </c>
      <c r="O4831" s="11" t="s">
        <v>1702</v>
      </c>
      <c r="P4831" s="16" t="str">
        <f t="shared" si="2046"/>
        <v>19-Jul-1911</v>
      </c>
      <c r="Q4831" s="16"/>
      <c r="R4831" s="16" t="str">
        <f t="shared" si="2047"/>
        <v>x</v>
      </c>
      <c r="S4831" s="16" t="str">
        <f t="shared" si="2047"/>
        <v>x</v>
      </c>
      <c r="T4831" s="12"/>
      <c r="U4831" s="46" t="str">
        <f t="shared" si="2016"/>
        <v/>
      </c>
      <c r="V4831" s="46">
        <f t="shared" si="2016"/>
        <v>5</v>
      </c>
      <c r="W4831" s="46" t="str">
        <f t="shared" si="2016"/>
        <v/>
      </c>
      <c r="X4831" s="46" t="str">
        <f t="shared" si="2016"/>
        <v/>
      </c>
      <c r="Z4831" s="11"/>
    </row>
    <row r="4832" spans="2:26" s="18" customFormat="1" x14ac:dyDescent="0.25">
      <c r="B4832" s="11" t="str">
        <f t="shared" si="2043"/>
        <v>OLMP-16AUG1911</v>
      </c>
      <c r="C4832" s="11" t="s">
        <v>2469</v>
      </c>
      <c r="D4832" s="11" t="s">
        <v>2224</v>
      </c>
      <c r="E4832" s="39" t="s">
        <v>2477</v>
      </c>
      <c r="F4832" s="11" t="s">
        <v>1700</v>
      </c>
      <c r="G4832" s="39" t="s">
        <v>2471</v>
      </c>
      <c r="H4832" s="7">
        <v>0</v>
      </c>
      <c r="I4832" s="7">
        <v>0</v>
      </c>
      <c r="J4832" s="17">
        <v>7</v>
      </c>
      <c r="K4832" s="17"/>
      <c r="L4832" s="7">
        <f t="shared" si="2044"/>
        <v>7</v>
      </c>
      <c r="M4832" s="8">
        <v>1</v>
      </c>
      <c r="N4832" s="8">
        <f t="shared" si="2045"/>
        <v>1</v>
      </c>
      <c r="O4832" s="11" t="s">
        <v>1702</v>
      </c>
      <c r="P4832" s="16" t="str">
        <f t="shared" si="2046"/>
        <v>16-Aug-1911</v>
      </c>
      <c r="Q4832" s="16"/>
      <c r="R4832" s="16" t="str">
        <f t="shared" si="2047"/>
        <v>x</v>
      </c>
      <c r="S4832" s="16" t="str">
        <f t="shared" si="2047"/>
        <v>x</v>
      </c>
      <c r="T4832" s="12"/>
      <c r="U4832" s="46" t="str">
        <f t="shared" si="2016"/>
        <v/>
      </c>
      <c r="V4832" s="46">
        <f t="shared" si="2016"/>
        <v>7</v>
      </c>
      <c r="W4832" s="46" t="str">
        <f t="shared" si="2016"/>
        <v/>
      </c>
      <c r="X4832" s="46" t="str">
        <f t="shared" si="2016"/>
        <v/>
      </c>
      <c r="Z4832" s="11"/>
    </row>
    <row r="4833" spans="2:26" s="18" customFormat="1" x14ac:dyDescent="0.25">
      <c r="B4833" s="11" t="str">
        <f t="shared" si="2043"/>
        <v>OLMP-06SEP1911</v>
      </c>
      <c r="C4833" s="11" t="s">
        <v>2469</v>
      </c>
      <c r="D4833" s="11" t="s">
        <v>2224</v>
      </c>
      <c r="E4833" s="39" t="s">
        <v>2478</v>
      </c>
      <c r="F4833" s="11" t="s">
        <v>1700</v>
      </c>
      <c r="G4833" s="39" t="s">
        <v>2472</v>
      </c>
      <c r="H4833" s="7">
        <v>0</v>
      </c>
      <c r="I4833" s="7">
        <v>0</v>
      </c>
      <c r="J4833" s="17">
        <v>0</v>
      </c>
      <c r="K4833" s="17"/>
      <c r="L4833" s="7">
        <f t="shared" si="2044"/>
        <v>0</v>
      </c>
      <c r="M4833" s="8">
        <v>1</v>
      </c>
      <c r="N4833" s="8" t="str">
        <f t="shared" si="2045"/>
        <v/>
      </c>
      <c r="O4833" s="11" t="s">
        <v>1702</v>
      </c>
      <c r="P4833" s="16" t="str">
        <f t="shared" si="2046"/>
        <v>06-Sep-1911</v>
      </c>
      <c r="Q4833" s="16"/>
      <c r="R4833" s="16" t="str">
        <f t="shared" si="2047"/>
        <v/>
      </c>
      <c r="S4833" s="16" t="str">
        <f t="shared" si="2047"/>
        <v/>
      </c>
      <c r="T4833" s="12"/>
      <c r="U4833" s="46" t="str">
        <f t="shared" si="2016"/>
        <v/>
      </c>
      <c r="V4833" s="46">
        <f t="shared" si="2016"/>
        <v>0</v>
      </c>
      <c r="W4833" s="46" t="str">
        <f t="shared" si="2016"/>
        <v/>
      </c>
      <c r="X4833" s="46" t="str">
        <f t="shared" si="2016"/>
        <v/>
      </c>
      <c r="Z4833" s="11"/>
    </row>
    <row r="4834" spans="2:26" s="18" customFormat="1" x14ac:dyDescent="0.25">
      <c r="B4834" s="11" t="str">
        <f t="shared" si="2043"/>
        <v>OLMP-07DEC1911</v>
      </c>
      <c r="C4834" s="11" t="s">
        <v>2469</v>
      </c>
      <c r="D4834" s="11" t="s">
        <v>2224</v>
      </c>
      <c r="E4834" s="39" t="s">
        <v>2497</v>
      </c>
      <c r="F4834" s="11" t="s">
        <v>1700</v>
      </c>
      <c r="G4834" s="39" t="s">
        <v>2473</v>
      </c>
      <c r="H4834" s="7">
        <v>0</v>
      </c>
      <c r="I4834" s="7">
        <v>0</v>
      </c>
      <c r="J4834" s="17">
        <v>1</v>
      </c>
      <c r="K4834" s="17"/>
      <c r="L4834" s="7">
        <f t="shared" si="2044"/>
        <v>1</v>
      </c>
      <c r="M4834" s="8">
        <v>1</v>
      </c>
      <c r="N4834" s="8">
        <f t="shared" si="2045"/>
        <v>1</v>
      </c>
      <c r="O4834" s="11" t="s">
        <v>1702</v>
      </c>
      <c r="P4834" s="16" t="str">
        <f t="shared" si="2046"/>
        <v>07-Dec-1911</v>
      </c>
      <c r="Q4834" s="16"/>
      <c r="R4834" s="16" t="str">
        <f t="shared" si="2047"/>
        <v>x</v>
      </c>
      <c r="S4834" s="16" t="str">
        <f t="shared" si="2047"/>
        <v>x</v>
      </c>
      <c r="T4834" s="12"/>
      <c r="U4834" s="46" t="str">
        <f t="shared" si="2016"/>
        <v/>
      </c>
      <c r="V4834" s="46">
        <f t="shared" si="2016"/>
        <v>1</v>
      </c>
      <c r="W4834" s="46" t="str">
        <f t="shared" si="2016"/>
        <v/>
      </c>
      <c r="X4834" s="46" t="str">
        <f t="shared" si="2016"/>
        <v/>
      </c>
      <c r="Z4834" s="11"/>
    </row>
    <row r="4835" spans="2:26" s="18" customFormat="1" x14ac:dyDescent="0.25">
      <c r="B4835" s="11" t="str">
        <f t="shared" si="2043"/>
        <v>OLMP-27DEC1911</v>
      </c>
      <c r="C4835" s="11" t="s">
        <v>2469</v>
      </c>
      <c r="D4835" s="11" t="s">
        <v>2224</v>
      </c>
      <c r="E4835" s="39" t="s">
        <v>2499</v>
      </c>
      <c r="F4835" s="11" t="s">
        <v>1700</v>
      </c>
      <c r="G4835" s="39" t="s">
        <v>2498</v>
      </c>
      <c r="H4835" s="7">
        <v>1</v>
      </c>
      <c r="I4835" s="7">
        <v>0</v>
      </c>
      <c r="J4835" s="17">
        <v>13</v>
      </c>
      <c r="K4835" s="17"/>
      <c r="L4835" s="7">
        <f t="shared" si="2044"/>
        <v>14</v>
      </c>
      <c r="M4835" s="8">
        <v>1</v>
      </c>
      <c r="N4835" s="8">
        <f t="shared" si="2045"/>
        <v>1</v>
      </c>
      <c r="O4835" s="11" t="s">
        <v>1702</v>
      </c>
      <c r="P4835" s="16" t="str">
        <f t="shared" si="2046"/>
        <v>27-Dec-1911</v>
      </c>
      <c r="Q4835" s="16"/>
      <c r="R4835" s="16" t="str">
        <f t="shared" si="2047"/>
        <v>x</v>
      </c>
      <c r="S4835" s="16" t="str">
        <f t="shared" si="2047"/>
        <v>x</v>
      </c>
      <c r="T4835" s="12"/>
      <c r="U4835" s="46" t="str">
        <f t="shared" si="2016"/>
        <v/>
      </c>
      <c r="V4835" s="46">
        <f t="shared" si="2016"/>
        <v>14</v>
      </c>
      <c r="W4835" s="46" t="str">
        <f t="shared" si="2016"/>
        <v/>
      </c>
      <c r="X4835" s="46" t="str">
        <f t="shared" si="2016"/>
        <v/>
      </c>
      <c r="Z4835" s="11"/>
    </row>
    <row r="4836" spans="2:26" s="18" customFormat="1" x14ac:dyDescent="0.25">
      <c r="B4836" s="11" t="str">
        <f t="shared" si="2043"/>
        <v>OLMP-18JAN1912</v>
      </c>
      <c r="C4836" s="11" t="s">
        <v>2469</v>
      </c>
      <c r="D4836" s="11" t="s">
        <v>2224</v>
      </c>
      <c r="E4836" s="39" t="s">
        <v>2508</v>
      </c>
      <c r="F4836" s="11" t="s">
        <v>1700</v>
      </c>
      <c r="G4836" s="39" t="s">
        <v>906</v>
      </c>
      <c r="H4836" s="7">
        <v>0</v>
      </c>
      <c r="I4836" s="7">
        <v>0</v>
      </c>
      <c r="J4836" s="17">
        <v>5</v>
      </c>
      <c r="K4836" s="17"/>
      <c r="L4836" s="7">
        <f t="shared" si="2044"/>
        <v>5</v>
      </c>
      <c r="M4836" s="8">
        <v>1</v>
      </c>
      <c r="N4836" s="8">
        <f t="shared" si="2045"/>
        <v>1</v>
      </c>
      <c r="O4836" s="11" t="s">
        <v>1702</v>
      </c>
      <c r="P4836" s="16" t="str">
        <f t="shared" si="2046"/>
        <v>18-Jan-1912</v>
      </c>
      <c r="Q4836" s="16"/>
      <c r="R4836" s="16" t="str">
        <f t="shared" si="2047"/>
        <v>x</v>
      </c>
      <c r="S4836" s="16" t="str">
        <f t="shared" si="2047"/>
        <v>x</v>
      </c>
      <c r="T4836" s="12"/>
      <c r="U4836" s="46" t="str">
        <f t="shared" si="2016"/>
        <v/>
      </c>
      <c r="V4836" s="46">
        <f t="shared" si="2016"/>
        <v>5</v>
      </c>
      <c r="W4836" s="46" t="str">
        <f t="shared" si="2016"/>
        <v/>
      </c>
      <c r="X4836" s="46" t="str">
        <f t="shared" si="2016"/>
        <v/>
      </c>
      <c r="Z4836" s="11"/>
    </row>
    <row r="4837" spans="2:26" s="18" customFormat="1" x14ac:dyDescent="0.25">
      <c r="B4837" s="11" t="str">
        <f t="shared" ref="B4837:B4846" si="2048">CONCATENATE("OLMP","-",LEFT(P4837,2),UPPER(MID(P4837,4,3)),RIGHT(P4837,4))</f>
        <v>OLMP-14FEB1912</v>
      </c>
      <c r="C4837" s="11" t="s">
        <v>2469</v>
      </c>
      <c r="D4837" s="11" t="s">
        <v>2224</v>
      </c>
      <c r="E4837" s="39" t="s">
        <v>2509</v>
      </c>
      <c r="F4837" s="11" t="s">
        <v>1700</v>
      </c>
      <c r="G4837" s="39" t="s">
        <v>2500</v>
      </c>
      <c r="H4837" s="7">
        <v>0</v>
      </c>
      <c r="I4837" s="7">
        <v>1</v>
      </c>
      <c r="J4837" s="17">
        <v>6</v>
      </c>
      <c r="K4837" s="17"/>
      <c r="L4837" s="7">
        <f t="shared" ref="L4837:L4846" si="2049">SUM(H4837:K4837)</f>
        <v>7</v>
      </c>
      <c r="M4837" s="8">
        <v>1</v>
      </c>
      <c r="N4837" s="8">
        <f t="shared" ref="N4837:N4846" si="2050">IF(L4837&gt;0,1,"")</f>
        <v>1</v>
      </c>
      <c r="O4837" s="11" t="s">
        <v>1702</v>
      </c>
      <c r="P4837" s="16" t="str">
        <f t="shared" ref="P4837:P4846" si="2051">IF(LEN(G4837)=10,CONCATENATE("0",G4837),G4837)</f>
        <v>14-Feb-1912</v>
      </c>
      <c r="Q4837" s="16"/>
      <c r="R4837" s="16" t="str">
        <f t="shared" si="2047"/>
        <v>x</v>
      </c>
      <c r="S4837" s="16" t="str">
        <f t="shared" si="2047"/>
        <v>x</v>
      </c>
      <c r="T4837" s="12"/>
      <c r="U4837" s="46" t="str">
        <f t="shared" si="2016"/>
        <v/>
      </c>
      <c r="V4837" s="46">
        <f t="shared" si="2016"/>
        <v>7</v>
      </c>
      <c r="W4837" s="46" t="str">
        <f t="shared" si="2016"/>
        <v/>
      </c>
      <c r="X4837" s="46" t="str">
        <f t="shared" si="2016"/>
        <v/>
      </c>
      <c r="Z4837" s="11"/>
    </row>
    <row r="4838" spans="2:26" s="18" customFormat="1" x14ac:dyDescent="0.25">
      <c r="B4838" s="11" t="str">
        <f t="shared" si="2048"/>
        <v>OLMP-21MAR1912</v>
      </c>
      <c r="C4838" s="11" t="s">
        <v>2469</v>
      </c>
      <c r="D4838" s="11" t="s">
        <v>2224</v>
      </c>
      <c r="E4838" s="39" t="s">
        <v>2510</v>
      </c>
      <c r="F4838" s="11" t="s">
        <v>1700</v>
      </c>
      <c r="G4838" s="39" t="s">
        <v>979</v>
      </c>
      <c r="H4838" s="7">
        <v>0</v>
      </c>
      <c r="I4838" s="7">
        <v>0</v>
      </c>
      <c r="J4838" s="17">
        <v>8</v>
      </c>
      <c r="K4838" s="17"/>
      <c r="L4838" s="7">
        <f t="shared" si="2049"/>
        <v>8</v>
      </c>
      <c r="M4838" s="8">
        <v>1</v>
      </c>
      <c r="N4838" s="8">
        <f t="shared" si="2050"/>
        <v>1</v>
      </c>
      <c r="O4838" s="11" t="s">
        <v>1702</v>
      </c>
      <c r="P4838" s="16" t="str">
        <f t="shared" si="2051"/>
        <v>21-Mar-1912</v>
      </c>
      <c r="Q4838" s="16"/>
      <c r="R4838" s="16" t="str">
        <f t="shared" si="2047"/>
        <v>x</v>
      </c>
      <c r="S4838" s="16" t="str">
        <f t="shared" si="2047"/>
        <v>x</v>
      </c>
      <c r="T4838" s="12"/>
      <c r="U4838" s="46" t="str">
        <f t="shared" si="2016"/>
        <v/>
      </c>
      <c r="V4838" s="46">
        <f t="shared" si="2016"/>
        <v>8</v>
      </c>
      <c r="W4838" s="46" t="str">
        <f t="shared" si="2016"/>
        <v/>
      </c>
      <c r="X4838" s="46" t="str">
        <f t="shared" si="2016"/>
        <v/>
      </c>
      <c r="Z4838" s="11"/>
    </row>
    <row r="4839" spans="2:26" s="18" customFormat="1" x14ac:dyDescent="0.25">
      <c r="B4839" s="11" t="str">
        <f t="shared" si="2048"/>
        <v>OLMP-11APR1912</v>
      </c>
      <c r="C4839" s="11" t="s">
        <v>2469</v>
      </c>
      <c r="D4839" s="11" t="s">
        <v>2224</v>
      </c>
      <c r="E4839" s="39" t="s">
        <v>2513</v>
      </c>
      <c r="F4839" s="11" t="s">
        <v>1700</v>
      </c>
      <c r="G4839" s="39" t="s">
        <v>2501</v>
      </c>
      <c r="H4839" s="7">
        <v>0</v>
      </c>
      <c r="I4839" s="7">
        <v>0</v>
      </c>
      <c r="J4839" s="17">
        <v>12</v>
      </c>
      <c r="K4839" s="17"/>
      <c r="L4839" s="7">
        <f t="shared" si="2049"/>
        <v>12</v>
      </c>
      <c r="M4839" s="8">
        <v>1</v>
      </c>
      <c r="N4839" s="8">
        <f t="shared" si="2050"/>
        <v>1</v>
      </c>
      <c r="O4839" s="11" t="s">
        <v>1702</v>
      </c>
      <c r="P4839" s="16" t="str">
        <f t="shared" si="2051"/>
        <v>11-Apr-1912</v>
      </c>
      <c r="Q4839" s="16"/>
      <c r="R4839" s="16" t="str">
        <f t="shared" si="2047"/>
        <v>x</v>
      </c>
      <c r="S4839" s="16" t="str">
        <f t="shared" si="2047"/>
        <v>x</v>
      </c>
      <c r="T4839" s="12"/>
      <c r="U4839" s="46" t="str">
        <f t="shared" si="2016"/>
        <v/>
      </c>
      <c r="V4839" s="46">
        <f t="shared" si="2016"/>
        <v>12</v>
      </c>
      <c r="W4839" s="46" t="str">
        <f t="shared" si="2016"/>
        <v/>
      </c>
      <c r="X4839" s="46" t="str">
        <f t="shared" si="2016"/>
        <v/>
      </c>
      <c r="Z4839" s="11"/>
    </row>
    <row r="4840" spans="2:26" s="18" customFormat="1" x14ac:dyDescent="0.25">
      <c r="B4840" s="11" t="str">
        <f t="shared" si="2048"/>
        <v>OLMP-23MAY1912</v>
      </c>
      <c r="C4840" s="11" t="s">
        <v>2469</v>
      </c>
      <c r="D4840" s="11" t="s">
        <v>2224</v>
      </c>
      <c r="E4840" s="39" t="s">
        <v>2514</v>
      </c>
      <c r="F4840" s="11" t="s">
        <v>1700</v>
      </c>
      <c r="G4840" s="39" t="s">
        <v>1900</v>
      </c>
      <c r="H4840" s="7">
        <v>0</v>
      </c>
      <c r="I4840" s="7">
        <v>0</v>
      </c>
      <c r="J4840" s="17">
        <v>4</v>
      </c>
      <c r="K4840" s="17"/>
      <c r="L4840" s="7">
        <f t="shared" si="2049"/>
        <v>4</v>
      </c>
      <c r="M4840" s="8">
        <v>1</v>
      </c>
      <c r="N4840" s="8">
        <f t="shared" si="2050"/>
        <v>1</v>
      </c>
      <c r="O4840" s="11" t="s">
        <v>1702</v>
      </c>
      <c r="P4840" s="16" t="str">
        <f t="shared" si="2051"/>
        <v>23-May-1912</v>
      </c>
      <c r="Q4840" s="16"/>
      <c r="R4840" s="16" t="str">
        <f t="shared" si="2047"/>
        <v>x</v>
      </c>
      <c r="S4840" s="16" t="str">
        <f t="shared" si="2047"/>
        <v>x</v>
      </c>
      <c r="T4840" s="12"/>
      <c r="U4840" s="46" t="str">
        <f t="shared" si="2016"/>
        <v/>
      </c>
      <c r="V4840" s="46">
        <f t="shared" si="2016"/>
        <v>4</v>
      </c>
      <c r="W4840" s="46" t="str">
        <f t="shared" si="2016"/>
        <v/>
      </c>
      <c r="X4840" s="46" t="str">
        <f t="shared" si="2016"/>
        <v/>
      </c>
      <c r="Z4840" s="11"/>
    </row>
    <row r="4841" spans="2:26" s="18" customFormat="1" x14ac:dyDescent="0.25">
      <c r="B4841" s="11" t="str">
        <f t="shared" si="2048"/>
        <v>OLMP-12JUN1912</v>
      </c>
      <c r="C4841" s="11" t="s">
        <v>2469</v>
      </c>
      <c r="D4841" s="11" t="s">
        <v>2224</v>
      </c>
      <c r="E4841" s="39" t="s">
        <v>2515</v>
      </c>
      <c r="F4841" s="11" t="s">
        <v>1700</v>
      </c>
      <c r="G4841" s="39" t="s">
        <v>2502</v>
      </c>
      <c r="H4841" s="7">
        <v>1</v>
      </c>
      <c r="I4841" s="7">
        <v>0</v>
      </c>
      <c r="J4841" s="17">
        <v>7</v>
      </c>
      <c r="K4841" s="17"/>
      <c r="L4841" s="7">
        <f t="shared" si="2049"/>
        <v>8</v>
      </c>
      <c r="M4841" s="8">
        <v>1</v>
      </c>
      <c r="N4841" s="8">
        <f t="shared" si="2050"/>
        <v>1</v>
      </c>
      <c r="O4841" s="11" t="s">
        <v>1702</v>
      </c>
      <c r="P4841" s="16" t="str">
        <f t="shared" si="2051"/>
        <v>12-Jun-1912</v>
      </c>
      <c r="Q4841" s="16"/>
      <c r="R4841" s="16" t="str">
        <f t="shared" si="2047"/>
        <v>x</v>
      </c>
      <c r="S4841" s="16" t="str">
        <f t="shared" si="2047"/>
        <v>x</v>
      </c>
      <c r="T4841" s="12"/>
      <c r="U4841" s="46" t="str">
        <f t="shared" si="2016"/>
        <v/>
      </c>
      <c r="V4841" s="46">
        <f t="shared" si="2016"/>
        <v>8</v>
      </c>
      <c r="W4841" s="46" t="str">
        <f t="shared" si="2016"/>
        <v/>
      </c>
      <c r="X4841" s="46" t="str">
        <f t="shared" si="2016"/>
        <v/>
      </c>
      <c r="Z4841" s="11"/>
    </row>
    <row r="4842" spans="2:26" x14ac:dyDescent="0.25">
      <c r="B4842" s="11" t="str">
        <f>CONCATENATE("OLMP","-",LEFT(P4842,2),UPPER(MID(P4842,4,3)),RIGHT(P4842,4))</f>
        <v>OLMP-03JUL1912</v>
      </c>
      <c r="C4842" s="11" t="s">
        <v>2469</v>
      </c>
      <c r="D4842" s="11" t="s">
        <v>2224</v>
      </c>
      <c r="E4842" s="39" t="s">
        <v>2516</v>
      </c>
      <c r="F4842" s="11" t="s">
        <v>1700</v>
      </c>
      <c r="G4842" s="39" t="s">
        <v>2507</v>
      </c>
      <c r="H4842" s="7">
        <v>0</v>
      </c>
      <c r="I4842" s="7">
        <v>2</v>
      </c>
      <c r="J4842" s="17">
        <v>18</v>
      </c>
      <c r="K4842" s="17"/>
      <c r="L4842" s="7">
        <f>SUM(H4842:K4842)</f>
        <v>20</v>
      </c>
      <c r="M4842" s="8">
        <v>1</v>
      </c>
      <c r="N4842" s="8">
        <f>IF(L4842&gt;0,1,"")</f>
        <v>1</v>
      </c>
      <c r="O4842" s="11" t="s">
        <v>1702</v>
      </c>
      <c r="P4842" s="16" t="str">
        <f>IF(LEN(G4842)=10,CONCATENATE("0",G4842),G4842)</f>
        <v>03-Jul-1912</v>
      </c>
      <c r="R4842" s="16" t="str">
        <f t="shared" si="2047"/>
        <v>x</v>
      </c>
      <c r="S4842" s="16" t="str">
        <f t="shared" si="2047"/>
        <v>x</v>
      </c>
      <c r="U4842" s="46" t="str">
        <f t="shared" si="2016"/>
        <v/>
      </c>
      <c r="V4842" s="46">
        <f t="shared" si="2016"/>
        <v>20</v>
      </c>
      <c r="W4842" s="46" t="str">
        <f t="shared" si="2016"/>
        <v/>
      </c>
      <c r="X4842" s="46" t="str">
        <f t="shared" si="2016"/>
        <v/>
      </c>
    </row>
    <row r="4843" spans="2:26" x14ac:dyDescent="0.25">
      <c r="B4843" s="11" t="str">
        <f t="shared" si="2048"/>
        <v>OLMP-24JUL1912</v>
      </c>
      <c r="C4843" s="11" t="s">
        <v>2469</v>
      </c>
      <c r="D4843" s="11" t="s">
        <v>2224</v>
      </c>
      <c r="E4843" s="39" t="s">
        <v>2517</v>
      </c>
      <c r="F4843" s="11" t="s">
        <v>1700</v>
      </c>
      <c r="G4843" s="39" t="s">
        <v>2503</v>
      </c>
      <c r="H4843" s="7">
        <v>0</v>
      </c>
      <c r="I4843" s="7">
        <v>0</v>
      </c>
      <c r="J4843" s="17">
        <v>5</v>
      </c>
      <c r="K4843" s="17"/>
      <c r="L4843" s="7">
        <f t="shared" si="2049"/>
        <v>5</v>
      </c>
      <c r="M4843" s="8">
        <v>1</v>
      </c>
      <c r="N4843" s="8">
        <f t="shared" si="2050"/>
        <v>1</v>
      </c>
      <c r="O4843" s="11" t="s">
        <v>1702</v>
      </c>
      <c r="P4843" s="16" t="str">
        <f t="shared" si="2051"/>
        <v>24-Jul-1912</v>
      </c>
      <c r="R4843" s="16" t="str">
        <f t="shared" si="2047"/>
        <v>x</v>
      </c>
      <c r="S4843" s="16" t="str">
        <f t="shared" si="2047"/>
        <v>x</v>
      </c>
      <c r="U4843" s="46" t="str">
        <f t="shared" si="2016"/>
        <v/>
      </c>
      <c r="V4843" s="46">
        <f t="shared" si="2016"/>
        <v>5</v>
      </c>
      <c r="W4843" s="46" t="str">
        <f t="shared" si="2016"/>
        <v/>
      </c>
      <c r="X4843" s="46" t="str">
        <f t="shared" si="2016"/>
        <v/>
      </c>
    </row>
    <row r="4844" spans="2:26" x14ac:dyDescent="0.25">
      <c r="B4844" s="11" t="str">
        <f t="shared" si="2048"/>
        <v>OLMP-15AUG1912</v>
      </c>
      <c r="C4844" s="11" t="s">
        <v>2469</v>
      </c>
      <c r="D4844" s="11" t="s">
        <v>2224</v>
      </c>
      <c r="E4844" s="39" t="s">
        <v>2518</v>
      </c>
      <c r="F4844" s="11" t="s">
        <v>1700</v>
      </c>
      <c r="G4844" s="39" t="s">
        <v>2504</v>
      </c>
      <c r="H4844" s="7">
        <v>1</v>
      </c>
      <c r="I4844" s="7">
        <v>0</v>
      </c>
      <c r="J4844" s="17">
        <v>2</v>
      </c>
      <c r="K4844" s="17"/>
      <c r="L4844" s="7">
        <f t="shared" si="2049"/>
        <v>3</v>
      </c>
      <c r="M4844" s="8">
        <v>1</v>
      </c>
      <c r="N4844" s="8">
        <f t="shared" si="2050"/>
        <v>1</v>
      </c>
      <c r="O4844" s="11" t="s">
        <v>1702</v>
      </c>
      <c r="P4844" s="16" t="str">
        <f t="shared" si="2051"/>
        <v>15-Aug-1912</v>
      </c>
      <c r="R4844" s="16" t="str">
        <f t="shared" si="2047"/>
        <v>x</v>
      </c>
      <c r="S4844" s="16" t="str">
        <f t="shared" si="2047"/>
        <v>x</v>
      </c>
      <c r="U4844" s="46" t="str">
        <f t="shared" si="2016"/>
        <v/>
      </c>
      <c r="V4844" s="46">
        <f t="shared" si="2016"/>
        <v>3</v>
      </c>
      <c r="W4844" s="46" t="str">
        <f t="shared" si="2016"/>
        <v/>
      </c>
      <c r="X4844" s="46" t="str">
        <f t="shared" si="2016"/>
        <v/>
      </c>
    </row>
    <row r="4845" spans="2:26" x14ac:dyDescent="0.25">
      <c r="B4845" s="11" t="str">
        <f t="shared" si="2048"/>
        <v>OLMP-05SEP1912</v>
      </c>
      <c r="C4845" s="11" t="s">
        <v>2469</v>
      </c>
      <c r="D4845" s="11" t="s">
        <v>2224</v>
      </c>
      <c r="E4845" s="39" t="s">
        <v>2519</v>
      </c>
      <c r="F4845" s="11" t="s">
        <v>1700</v>
      </c>
      <c r="G4845" s="39" t="s">
        <v>2505</v>
      </c>
      <c r="H4845" s="7">
        <v>0</v>
      </c>
      <c r="I4845" s="7">
        <v>1</v>
      </c>
      <c r="J4845" s="17">
        <v>2</v>
      </c>
      <c r="K4845" s="17"/>
      <c r="L4845" s="7">
        <f t="shared" si="2049"/>
        <v>3</v>
      </c>
      <c r="M4845" s="8">
        <v>1</v>
      </c>
      <c r="N4845" s="8">
        <f t="shared" si="2050"/>
        <v>1</v>
      </c>
      <c r="O4845" s="11" t="s">
        <v>1702</v>
      </c>
      <c r="P4845" s="16" t="str">
        <f t="shared" si="2051"/>
        <v>05-Sep-1912</v>
      </c>
      <c r="R4845" s="16" t="str">
        <f t="shared" si="2047"/>
        <v>x</v>
      </c>
      <c r="S4845" s="16" t="str">
        <f t="shared" si="2047"/>
        <v>x</v>
      </c>
      <c r="U4845" s="46" t="str">
        <f t="shared" si="2016"/>
        <v/>
      </c>
      <c r="V4845" s="46">
        <f t="shared" si="2016"/>
        <v>3</v>
      </c>
      <c r="W4845" s="46" t="str">
        <f t="shared" si="2016"/>
        <v/>
      </c>
      <c r="X4845" s="46" t="str">
        <f t="shared" si="2016"/>
        <v/>
      </c>
    </row>
    <row r="4846" spans="2:26" x14ac:dyDescent="0.25">
      <c r="B4846" s="11" t="str">
        <f t="shared" si="2048"/>
        <v>OLMP-26SEP1912</v>
      </c>
      <c r="C4846" s="11" t="s">
        <v>2469</v>
      </c>
      <c r="D4846" s="11" t="s">
        <v>2224</v>
      </c>
      <c r="E4846" s="39" t="s">
        <v>2520</v>
      </c>
      <c r="F4846" s="11" t="s">
        <v>1700</v>
      </c>
      <c r="G4846" s="39" t="s">
        <v>2506</v>
      </c>
      <c r="H4846" s="7">
        <v>0</v>
      </c>
      <c r="I4846" s="7">
        <v>0</v>
      </c>
      <c r="J4846" s="17">
        <v>0</v>
      </c>
      <c r="K4846" s="17"/>
      <c r="L4846" s="7">
        <f t="shared" si="2049"/>
        <v>0</v>
      </c>
      <c r="M4846" s="8">
        <v>1</v>
      </c>
      <c r="N4846" s="8" t="str">
        <f t="shared" si="2050"/>
        <v/>
      </c>
      <c r="O4846" s="11" t="s">
        <v>1702</v>
      </c>
      <c r="P4846" s="16" t="str">
        <f t="shared" si="2051"/>
        <v>26-Sep-1912</v>
      </c>
      <c r="R4846" s="16" t="str">
        <f t="shared" si="2047"/>
        <v/>
      </c>
      <c r="S4846" s="16" t="str">
        <f t="shared" si="2047"/>
        <v/>
      </c>
      <c r="U4846" s="46" t="str">
        <f t="shared" si="2016"/>
        <v/>
      </c>
      <c r="V4846" s="46">
        <f t="shared" si="2016"/>
        <v>0</v>
      </c>
      <c r="W4846" s="46" t="str">
        <f t="shared" si="2016"/>
        <v/>
      </c>
      <c r="X4846" s="46" t="str">
        <f t="shared" si="2016"/>
        <v/>
      </c>
    </row>
    <row r="4847" spans="2:26" x14ac:dyDescent="0.25">
      <c r="B4847" s="11" t="str">
        <f>CONCATENATE("OLMP","-",LEFT(P4847,2),UPPER(MID(P4847,4,3)),RIGHT(P4847,4))</f>
        <v>OLMP-09APR1913</v>
      </c>
      <c r="C4847" s="11" t="s">
        <v>2469</v>
      </c>
      <c r="D4847" s="11" t="s">
        <v>2224</v>
      </c>
      <c r="E4847" s="39" t="s">
        <v>1922</v>
      </c>
      <c r="F4847" s="11" t="s">
        <v>1700</v>
      </c>
      <c r="G4847" s="39" t="s">
        <v>2521</v>
      </c>
      <c r="H4847" s="7">
        <v>0</v>
      </c>
      <c r="I4847" s="7">
        <v>0</v>
      </c>
      <c r="J4847" s="17">
        <v>0</v>
      </c>
      <c r="K4847" s="17"/>
      <c r="L4847" s="7">
        <f>SUM(H4847:K4847)</f>
        <v>0</v>
      </c>
      <c r="M4847" s="8">
        <v>1</v>
      </c>
      <c r="N4847" s="8" t="str">
        <f>IF(L4847&gt;0,1,"")</f>
        <v/>
      </c>
      <c r="O4847" s="11" t="s">
        <v>1702</v>
      </c>
      <c r="P4847" s="16" t="str">
        <f>IF(LEN(G4847)=10,CONCATENATE("0",G4847),G4847)</f>
        <v>09-Apr-1913</v>
      </c>
      <c r="R4847" s="16" t="str">
        <f t="shared" si="2047"/>
        <v/>
      </c>
      <c r="S4847" s="16" t="str">
        <f t="shared" si="2047"/>
        <v/>
      </c>
      <c r="U4847" s="46" t="str">
        <f t="shared" si="2016"/>
        <v/>
      </c>
      <c r="V4847" s="46">
        <f t="shared" si="2016"/>
        <v>0</v>
      </c>
      <c r="W4847" s="46" t="str">
        <f t="shared" si="2016"/>
        <v/>
      </c>
      <c r="X4847" s="46" t="str">
        <f t="shared" si="2016"/>
        <v/>
      </c>
    </row>
    <row r="4848" spans="2:26" x14ac:dyDescent="0.25">
      <c r="B4848" s="11" t="str">
        <f>CONCATENATE("OLMP","-",LEFT(P4848,2),UPPER(MID(P4848,4,3)),RIGHT(P4848,4))</f>
        <v>OLMP-30APR1913</v>
      </c>
      <c r="C4848" s="11" t="s">
        <v>2469</v>
      </c>
      <c r="D4848" s="11" t="s">
        <v>598</v>
      </c>
      <c r="E4848" s="39" t="s">
        <v>2532</v>
      </c>
      <c r="F4848" s="11" t="s">
        <v>1700</v>
      </c>
      <c r="G4848" s="39" t="s">
        <v>2533</v>
      </c>
      <c r="H4848" s="7">
        <v>0</v>
      </c>
      <c r="I4848" s="7">
        <f>0+1</f>
        <v>1</v>
      </c>
      <c r="J4848" s="17">
        <v>0</v>
      </c>
      <c r="K4848" s="17"/>
      <c r="L4848" s="7">
        <f>SUM(H4848:K4848)</f>
        <v>1</v>
      </c>
      <c r="M4848" s="8">
        <v>1</v>
      </c>
      <c r="N4848" s="8">
        <f>IF(L4848&gt;0,1,"")</f>
        <v>1</v>
      </c>
      <c r="O4848" s="11" t="s">
        <v>1702</v>
      </c>
      <c r="P4848" s="16" t="str">
        <f>IF(LEN(G4848)=10,CONCATENATE("0",G4848),G4848)</f>
        <v>30-Apr-1913</v>
      </c>
      <c r="R4848" s="16" t="str">
        <f t="shared" si="2047"/>
        <v>x</v>
      </c>
      <c r="S4848" s="16" t="str">
        <f t="shared" si="2047"/>
        <v>x</v>
      </c>
      <c r="U4848" s="46" t="str">
        <f t="shared" si="2016"/>
        <v/>
      </c>
      <c r="V4848" s="46">
        <f t="shared" si="2016"/>
        <v>1</v>
      </c>
      <c r="W4848" s="46" t="str">
        <f t="shared" si="2016"/>
        <v/>
      </c>
      <c r="X4848" s="46" t="str">
        <f t="shared" si="2016"/>
        <v/>
      </c>
    </row>
    <row r="4849" spans="2:24" x14ac:dyDescent="0.25">
      <c r="B4849" s="11" t="str">
        <f t="shared" ref="B4849:B4885" si="2052">CONCATENATE("OLMP","-",LEFT(P4849,2),UPPER(MID(P4849,4,3)),RIGHT(P4849,4))</f>
        <v>OLMP-30APR1913</v>
      </c>
      <c r="C4849" s="11" t="s">
        <v>2469</v>
      </c>
      <c r="D4849" s="11" t="s">
        <v>2224</v>
      </c>
      <c r="E4849" s="39" t="s">
        <v>2532</v>
      </c>
      <c r="F4849" s="11" t="s">
        <v>1700</v>
      </c>
      <c r="G4849" s="39" t="s">
        <v>2533</v>
      </c>
      <c r="H4849" s="7">
        <v>0</v>
      </c>
      <c r="I4849" s="7">
        <v>0</v>
      </c>
      <c r="J4849" s="17">
        <v>4</v>
      </c>
      <c r="K4849" s="17"/>
      <c r="L4849" s="7">
        <f t="shared" ref="L4849:L4885" si="2053">SUM(H4849:K4849)</f>
        <v>4</v>
      </c>
      <c r="M4849" s="8">
        <v>1</v>
      </c>
      <c r="N4849" s="8">
        <f t="shared" ref="N4849:N4885" si="2054">IF(L4849&gt;0,1,"")</f>
        <v>1</v>
      </c>
      <c r="O4849" s="11" t="s">
        <v>1702</v>
      </c>
      <c r="P4849" s="16" t="str">
        <f t="shared" ref="P4849:P4885" si="2055">IF(LEN(G4849)=10,CONCATENATE("0",G4849),G4849)</f>
        <v>30-Apr-1913</v>
      </c>
      <c r="R4849" s="16" t="str">
        <f t="shared" si="2047"/>
        <v>x</v>
      </c>
      <c r="S4849" s="16" t="str">
        <f t="shared" si="2047"/>
        <v>x</v>
      </c>
      <c r="U4849" s="46" t="str">
        <f t="shared" si="2016"/>
        <v/>
      </c>
      <c r="V4849" s="46">
        <f t="shared" si="2016"/>
        <v>4</v>
      </c>
      <c r="W4849" s="46" t="str">
        <f t="shared" si="2016"/>
        <v/>
      </c>
      <c r="X4849" s="46" t="str">
        <f t="shared" si="2016"/>
        <v/>
      </c>
    </row>
    <row r="4850" spans="2:24" x14ac:dyDescent="0.25">
      <c r="B4850" s="11" t="str">
        <f t="shared" si="2052"/>
        <v>OLMP-21MAY1913</v>
      </c>
      <c r="C4850" s="11" t="s">
        <v>2469</v>
      </c>
      <c r="D4850" s="11" t="s">
        <v>2224</v>
      </c>
      <c r="E4850" s="39" t="s">
        <v>2534</v>
      </c>
      <c r="F4850" s="11" t="s">
        <v>1700</v>
      </c>
      <c r="G4850" s="39" t="s">
        <v>2522</v>
      </c>
      <c r="H4850" s="7">
        <v>0</v>
      </c>
      <c r="I4850" s="7">
        <v>0</v>
      </c>
      <c r="J4850" s="17">
        <v>11</v>
      </c>
      <c r="K4850" s="17"/>
      <c r="L4850" s="7">
        <f t="shared" si="2053"/>
        <v>11</v>
      </c>
      <c r="M4850" s="8">
        <v>1</v>
      </c>
      <c r="N4850" s="8">
        <f t="shared" si="2054"/>
        <v>1</v>
      </c>
      <c r="O4850" s="11" t="s">
        <v>1702</v>
      </c>
      <c r="P4850" s="16" t="str">
        <f t="shared" si="2055"/>
        <v>21-May-1913</v>
      </c>
      <c r="R4850" s="16" t="str">
        <f t="shared" si="2047"/>
        <v>x</v>
      </c>
      <c r="S4850" s="16" t="str">
        <f t="shared" si="2047"/>
        <v>x</v>
      </c>
      <c r="U4850" s="46" t="str">
        <f t="shared" si="2016"/>
        <v/>
      </c>
      <c r="V4850" s="46">
        <f t="shared" si="2016"/>
        <v>11</v>
      </c>
      <c r="W4850" s="46" t="str">
        <f t="shared" si="2016"/>
        <v/>
      </c>
      <c r="X4850" s="46" t="str">
        <f t="shared" si="2016"/>
        <v/>
      </c>
    </row>
    <row r="4851" spans="2:24" x14ac:dyDescent="0.25">
      <c r="B4851" s="11" t="str">
        <f t="shared" si="2052"/>
        <v>OLMP-12JUN1913</v>
      </c>
      <c r="C4851" s="11" t="s">
        <v>2469</v>
      </c>
      <c r="D4851" s="11" t="s">
        <v>2224</v>
      </c>
      <c r="E4851" s="39" t="s">
        <v>2535</v>
      </c>
      <c r="F4851" s="11" t="s">
        <v>1700</v>
      </c>
      <c r="G4851" s="39" t="s">
        <v>2523</v>
      </c>
      <c r="H4851" s="7">
        <v>0</v>
      </c>
      <c r="I4851" s="7">
        <v>0</v>
      </c>
      <c r="J4851" s="17">
        <v>15</v>
      </c>
      <c r="K4851" s="17"/>
      <c r="L4851" s="7">
        <f t="shared" si="2053"/>
        <v>15</v>
      </c>
      <c r="M4851" s="8">
        <v>1</v>
      </c>
      <c r="N4851" s="8">
        <f t="shared" si="2054"/>
        <v>1</v>
      </c>
      <c r="O4851" s="11" t="s">
        <v>1702</v>
      </c>
      <c r="P4851" s="16" t="str">
        <f t="shared" si="2055"/>
        <v>12-Jun-1913</v>
      </c>
      <c r="R4851" s="16" t="str">
        <f t="shared" si="2047"/>
        <v>x</v>
      </c>
      <c r="S4851" s="16" t="str">
        <f t="shared" si="2047"/>
        <v>x</v>
      </c>
      <c r="U4851" s="46" t="str">
        <f t="shared" si="2016"/>
        <v/>
      </c>
      <c r="V4851" s="46">
        <f t="shared" si="2016"/>
        <v>15</v>
      </c>
      <c r="W4851" s="46" t="str">
        <f t="shared" si="2016"/>
        <v/>
      </c>
      <c r="X4851" s="46" t="str">
        <f t="shared" si="2016"/>
        <v/>
      </c>
    </row>
    <row r="4852" spans="2:24" x14ac:dyDescent="0.25">
      <c r="B4852" s="11" t="str">
        <f t="shared" si="2052"/>
        <v>OLMP-02JUL1913</v>
      </c>
      <c r="C4852" s="11" t="s">
        <v>2469</v>
      </c>
      <c r="D4852" s="11" t="s">
        <v>2224</v>
      </c>
      <c r="E4852" s="39" t="s">
        <v>2536</v>
      </c>
      <c r="F4852" s="11" t="s">
        <v>1700</v>
      </c>
      <c r="G4852" s="39" t="s">
        <v>2524</v>
      </c>
      <c r="H4852" s="7">
        <v>0</v>
      </c>
      <c r="I4852" s="7">
        <v>0</v>
      </c>
      <c r="J4852" s="17">
        <v>41</v>
      </c>
      <c r="K4852" s="17"/>
      <c r="L4852" s="7">
        <f t="shared" si="2053"/>
        <v>41</v>
      </c>
      <c r="M4852" s="8">
        <v>1</v>
      </c>
      <c r="N4852" s="8">
        <f t="shared" si="2054"/>
        <v>1</v>
      </c>
      <c r="O4852" s="11" t="s">
        <v>1702</v>
      </c>
      <c r="P4852" s="16" t="str">
        <f t="shared" si="2055"/>
        <v>02-Jul-1913</v>
      </c>
      <c r="R4852" s="16" t="str">
        <f t="shared" si="2047"/>
        <v>x</v>
      </c>
      <c r="S4852" s="16" t="str">
        <f t="shared" si="2047"/>
        <v>x</v>
      </c>
      <c r="U4852" s="46" t="str">
        <f t="shared" si="2016"/>
        <v/>
      </c>
      <c r="V4852" s="46">
        <f t="shared" si="2016"/>
        <v>41</v>
      </c>
      <c r="W4852" s="46" t="str">
        <f t="shared" si="2016"/>
        <v/>
      </c>
      <c r="X4852" s="46" t="str">
        <f t="shared" si="2016"/>
        <v/>
      </c>
    </row>
    <row r="4853" spans="2:24" x14ac:dyDescent="0.25">
      <c r="B4853" s="11" t="str">
        <f t="shared" si="2052"/>
        <v>OLMP-30JUL1913</v>
      </c>
      <c r="C4853" s="11" t="s">
        <v>2469</v>
      </c>
      <c r="D4853" s="11" t="s">
        <v>2224</v>
      </c>
      <c r="E4853" s="39" t="s">
        <v>2537</v>
      </c>
      <c r="F4853" s="11" t="s">
        <v>1700</v>
      </c>
      <c r="G4853" s="39" t="s">
        <v>2525</v>
      </c>
      <c r="H4853" s="7">
        <v>0</v>
      </c>
      <c r="I4853" s="7">
        <v>1</v>
      </c>
      <c r="J4853" s="17">
        <v>29</v>
      </c>
      <c r="K4853" s="17"/>
      <c r="L4853" s="7">
        <f t="shared" si="2053"/>
        <v>30</v>
      </c>
      <c r="M4853" s="8">
        <v>1</v>
      </c>
      <c r="N4853" s="8">
        <f t="shared" si="2054"/>
        <v>1</v>
      </c>
      <c r="O4853" s="11" t="s">
        <v>1702</v>
      </c>
      <c r="P4853" s="16" t="str">
        <f t="shared" si="2055"/>
        <v>30-Jul-1913</v>
      </c>
      <c r="R4853" s="16" t="str">
        <f t="shared" si="2047"/>
        <v>x</v>
      </c>
      <c r="S4853" s="16" t="str">
        <f t="shared" si="2047"/>
        <v>x</v>
      </c>
      <c r="U4853" s="46" t="str">
        <f t="shared" si="2016"/>
        <v/>
      </c>
      <c r="V4853" s="46">
        <f t="shared" si="2016"/>
        <v>30</v>
      </c>
      <c r="W4853" s="46" t="str">
        <f t="shared" si="2016"/>
        <v/>
      </c>
      <c r="X4853" s="46" t="str">
        <f t="shared" si="2016"/>
        <v/>
      </c>
    </row>
    <row r="4854" spans="2:24" x14ac:dyDescent="0.25">
      <c r="B4854" s="11" t="str">
        <f t="shared" si="2052"/>
        <v>OLMP-20AUG1913</v>
      </c>
      <c r="C4854" s="11" t="s">
        <v>2469</v>
      </c>
      <c r="D4854" s="11" t="s">
        <v>2224</v>
      </c>
      <c r="E4854" s="39" t="s">
        <v>2538</v>
      </c>
      <c r="F4854" s="11" t="s">
        <v>1700</v>
      </c>
      <c r="G4854" s="39" t="s">
        <v>2526</v>
      </c>
      <c r="H4854" s="7">
        <v>0</v>
      </c>
      <c r="I4854" s="7">
        <v>0</v>
      </c>
      <c r="J4854" s="17">
        <v>11</v>
      </c>
      <c r="K4854" s="17"/>
      <c r="L4854" s="7">
        <f t="shared" si="2053"/>
        <v>11</v>
      </c>
      <c r="M4854" s="8">
        <v>1</v>
      </c>
      <c r="N4854" s="8">
        <f t="shared" si="2054"/>
        <v>1</v>
      </c>
      <c r="O4854" s="11" t="s">
        <v>1702</v>
      </c>
      <c r="P4854" s="16" t="str">
        <f t="shared" si="2055"/>
        <v>20-Aug-1913</v>
      </c>
      <c r="R4854" s="16" t="str">
        <f t="shared" si="2047"/>
        <v>x</v>
      </c>
      <c r="S4854" s="16" t="str">
        <f t="shared" si="2047"/>
        <v>x</v>
      </c>
      <c r="U4854" s="46" t="str">
        <f t="shared" si="2016"/>
        <v/>
      </c>
      <c r="V4854" s="46">
        <f t="shared" si="2016"/>
        <v>11</v>
      </c>
      <c r="W4854" s="46" t="str">
        <f t="shared" si="2016"/>
        <v/>
      </c>
      <c r="X4854" s="46" t="str">
        <f t="shared" si="2016"/>
        <v/>
      </c>
    </row>
    <row r="4855" spans="2:24" x14ac:dyDescent="0.25">
      <c r="B4855" s="11" t="str">
        <f t="shared" si="2052"/>
        <v>OLMP-10SEP1913</v>
      </c>
      <c r="C4855" s="11" t="s">
        <v>2469</v>
      </c>
      <c r="D4855" s="11" t="s">
        <v>3619</v>
      </c>
      <c r="E4855" s="39" t="s">
        <v>2539</v>
      </c>
      <c r="F4855" s="11" t="s">
        <v>1700</v>
      </c>
      <c r="G4855" s="39" t="s">
        <v>2527</v>
      </c>
      <c r="H4855" s="7">
        <f>0+2</f>
        <v>2</v>
      </c>
      <c r="I4855" s="7">
        <f>0+1</f>
        <v>1</v>
      </c>
      <c r="J4855" s="17">
        <f>16+2</f>
        <v>18</v>
      </c>
      <c r="K4855" s="17"/>
      <c r="L4855" s="7">
        <f t="shared" si="2053"/>
        <v>21</v>
      </c>
      <c r="M4855" s="8">
        <v>1</v>
      </c>
      <c r="N4855" s="8">
        <f t="shared" si="2054"/>
        <v>1</v>
      </c>
      <c r="O4855" s="11" t="s">
        <v>1702</v>
      </c>
      <c r="P4855" s="16" t="str">
        <f t="shared" si="2055"/>
        <v>10-Sep-1913</v>
      </c>
      <c r="R4855" s="16" t="str">
        <f>IF($L4855&gt;0,"x","")</f>
        <v>x</v>
      </c>
      <c r="S4855" s="16" t="str">
        <f>IF($L4855&gt;0,"x","")</f>
        <v>x</v>
      </c>
      <c r="U4855" s="46" t="str">
        <f t="shared" si="2016"/>
        <v/>
      </c>
      <c r="V4855" s="46">
        <f t="shared" si="2016"/>
        <v>21</v>
      </c>
      <c r="W4855" s="46" t="str">
        <f t="shared" si="2016"/>
        <v/>
      </c>
      <c r="X4855" s="46" t="str">
        <f t="shared" si="2016"/>
        <v/>
      </c>
    </row>
    <row r="4856" spans="2:24" x14ac:dyDescent="0.25">
      <c r="B4856" s="11" t="str">
        <f t="shared" si="2052"/>
        <v>OLMP-02OCT1913</v>
      </c>
      <c r="C4856" s="11" t="s">
        <v>2469</v>
      </c>
      <c r="D4856" s="11" t="s">
        <v>2224</v>
      </c>
      <c r="E4856" s="39" t="s">
        <v>2540</v>
      </c>
      <c r="F4856" s="11" t="s">
        <v>1700</v>
      </c>
      <c r="G4856" s="39" t="s">
        <v>2528</v>
      </c>
      <c r="H4856" s="7">
        <v>0</v>
      </c>
      <c r="I4856" s="7">
        <v>0</v>
      </c>
      <c r="J4856" s="17">
        <v>7</v>
      </c>
      <c r="K4856" s="17"/>
      <c r="L4856" s="7">
        <f t="shared" si="2053"/>
        <v>7</v>
      </c>
      <c r="M4856" s="8">
        <v>1</v>
      </c>
      <c r="N4856" s="8">
        <f t="shared" si="2054"/>
        <v>1</v>
      </c>
      <c r="O4856" s="11" t="s">
        <v>1702</v>
      </c>
      <c r="P4856" s="16" t="str">
        <f t="shared" si="2055"/>
        <v>02-Oct-1913</v>
      </c>
      <c r="R4856" s="16" t="str">
        <f t="shared" si="2047"/>
        <v>x</v>
      </c>
      <c r="S4856" s="16" t="str">
        <f t="shared" si="2047"/>
        <v>x</v>
      </c>
      <c r="U4856" s="46" t="str">
        <f t="shared" si="2016"/>
        <v/>
      </c>
      <c r="V4856" s="46">
        <f t="shared" si="2016"/>
        <v>7</v>
      </c>
      <c r="W4856" s="46" t="str">
        <f t="shared" si="2016"/>
        <v/>
      </c>
      <c r="X4856" s="46" t="str">
        <f t="shared" si="2016"/>
        <v/>
      </c>
    </row>
    <row r="4857" spans="2:24" x14ac:dyDescent="0.25">
      <c r="B4857" s="11" t="str">
        <f t="shared" si="2052"/>
        <v>OLMP-22OCT1913</v>
      </c>
      <c r="C4857" s="11" t="s">
        <v>2469</v>
      </c>
      <c r="D4857" s="11" t="s">
        <v>2224</v>
      </c>
      <c r="E4857" s="39" t="s">
        <v>2541</v>
      </c>
      <c r="F4857" s="11" t="s">
        <v>1700</v>
      </c>
      <c r="G4857" s="39" t="s">
        <v>2529</v>
      </c>
      <c r="H4857" s="7">
        <v>0</v>
      </c>
      <c r="I4857" s="7">
        <v>0</v>
      </c>
      <c r="J4857" s="17">
        <v>12</v>
      </c>
      <c r="K4857" s="17"/>
      <c r="L4857" s="7">
        <f t="shared" si="2053"/>
        <v>12</v>
      </c>
      <c r="M4857" s="8">
        <v>1</v>
      </c>
      <c r="N4857" s="8">
        <f t="shared" si="2054"/>
        <v>1</v>
      </c>
      <c r="O4857" s="11" t="s">
        <v>1702</v>
      </c>
      <c r="P4857" s="16" t="str">
        <f t="shared" si="2055"/>
        <v>22-Oct-1913</v>
      </c>
      <c r="R4857" s="16" t="str">
        <f t="shared" si="2047"/>
        <v>x</v>
      </c>
      <c r="S4857" s="16" t="str">
        <f t="shared" si="2047"/>
        <v>x</v>
      </c>
      <c r="T4857" s="11"/>
      <c r="U4857" s="46" t="str">
        <f t="shared" si="2016"/>
        <v/>
      </c>
      <c r="V4857" s="46">
        <f t="shared" si="2016"/>
        <v>12</v>
      </c>
      <c r="W4857" s="46" t="str">
        <f t="shared" si="2016"/>
        <v/>
      </c>
      <c r="X4857" s="46" t="str">
        <f t="shared" si="2016"/>
        <v/>
      </c>
    </row>
    <row r="4858" spans="2:24" x14ac:dyDescent="0.25">
      <c r="B4858" s="11" t="str">
        <f t="shared" si="2052"/>
        <v>OLMP-13NOV1913</v>
      </c>
      <c r="C4858" s="11" t="s">
        <v>2469</v>
      </c>
      <c r="D4858" s="11" t="s">
        <v>2224</v>
      </c>
      <c r="E4858" s="39" t="s">
        <v>2542</v>
      </c>
      <c r="F4858" s="11" t="s">
        <v>1700</v>
      </c>
      <c r="G4858" s="39" t="s">
        <v>2530</v>
      </c>
      <c r="H4858" s="7">
        <v>0</v>
      </c>
      <c r="I4858" s="7">
        <v>0</v>
      </c>
      <c r="J4858" s="17">
        <v>32</v>
      </c>
      <c r="K4858" s="17"/>
      <c r="L4858" s="7">
        <f t="shared" si="2053"/>
        <v>32</v>
      </c>
      <c r="M4858" s="8">
        <v>1</v>
      </c>
      <c r="N4858" s="8">
        <f t="shared" si="2054"/>
        <v>1</v>
      </c>
      <c r="O4858" s="11" t="s">
        <v>1702</v>
      </c>
      <c r="P4858" s="16" t="str">
        <f t="shared" si="2055"/>
        <v>13-Nov-1913</v>
      </c>
      <c r="R4858" s="16" t="str">
        <f t="shared" si="2047"/>
        <v>x</v>
      </c>
      <c r="S4858" s="16" t="str">
        <f t="shared" si="2047"/>
        <v>x</v>
      </c>
      <c r="T4858" s="11"/>
      <c r="U4858" s="46" t="str">
        <f t="shared" si="2016"/>
        <v/>
      </c>
      <c r="V4858" s="46">
        <f t="shared" si="2016"/>
        <v>32</v>
      </c>
      <c r="W4858" s="46" t="str">
        <f t="shared" si="2016"/>
        <v/>
      </c>
      <c r="X4858" s="46" t="str">
        <f t="shared" si="2016"/>
        <v/>
      </c>
    </row>
    <row r="4859" spans="2:24" x14ac:dyDescent="0.25">
      <c r="B4859" s="11" t="str">
        <f t="shared" si="2052"/>
        <v>OLMP-11DEC1913</v>
      </c>
      <c r="C4859" s="11" t="s">
        <v>2469</v>
      </c>
      <c r="D4859" s="11" t="s">
        <v>2224</v>
      </c>
      <c r="E4859" s="39" t="s">
        <v>2543</v>
      </c>
      <c r="F4859" s="11" t="s">
        <v>1700</v>
      </c>
      <c r="G4859" s="39" t="s">
        <v>2531</v>
      </c>
      <c r="H4859" s="7">
        <v>0</v>
      </c>
      <c r="I4859" s="7">
        <v>0</v>
      </c>
      <c r="J4859" s="17">
        <v>9</v>
      </c>
      <c r="K4859" s="17"/>
      <c r="L4859" s="7">
        <f t="shared" si="2053"/>
        <v>9</v>
      </c>
      <c r="M4859" s="8">
        <v>1</v>
      </c>
      <c r="N4859" s="8">
        <f t="shared" si="2054"/>
        <v>1</v>
      </c>
      <c r="O4859" s="11" t="s">
        <v>1702</v>
      </c>
      <c r="P4859" s="16" t="str">
        <f t="shared" si="2055"/>
        <v>11-Dec-1913</v>
      </c>
      <c r="R4859" s="16" t="str">
        <f t="shared" si="2047"/>
        <v>x</v>
      </c>
      <c r="S4859" s="16" t="str">
        <f t="shared" si="2047"/>
        <v>x</v>
      </c>
      <c r="T4859" s="11"/>
      <c r="U4859" s="46" t="str">
        <f t="shared" si="2016"/>
        <v/>
      </c>
      <c r="V4859" s="46">
        <f t="shared" si="2016"/>
        <v>9</v>
      </c>
      <c r="W4859" s="46" t="str">
        <f t="shared" si="2016"/>
        <v/>
      </c>
      <c r="X4859" s="46" t="str">
        <f t="shared" si="2016"/>
        <v/>
      </c>
    </row>
    <row r="4860" spans="2:24" x14ac:dyDescent="0.25">
      <c r="B4860" s="11" t="str">
        <f t="shared" si="2052"/>
        <v>OLMP-28JAN1914</v>
      </c>
      <c r="C4860" s="11" t="s">
        <v>2469</v>
      </c>
      <c r="D4860" s="11" t="s">
        <v>2224</v>
      </c>
      <c r="E4860" s="39" t="s">
        <v>2558</v>
      </c>
      <c r="F4860" s="11" t="s">
        <v>1700</v>
      </c>
      <c r="G4860" s="39" t="s">
        <v>1341</v>
      </c>
      <c r="H4860" s="7">
        <v>0</v>
      </c>
      <c r="I4860" s="7">
        <v>0</v>
      </c>
      <c r="J4860" s="17">
        <v>0</v>
      </c>
      <c r="K4860" s="17"/>
      <c r="L4860" s="7">
        <f t="shared" si="2053"/>
        <v>0</v>
      </c>
      <c r="M4860" s="8">
        <v>1</v>
      </c>
      <c r="N4860" s="8" t="str">
        <f t="shared" si="2054"/>
        <v/>
      </c>
      <c r="O4860" s="11" t="s">
        <v>1702</v>
      </c>
      <c r="P4860" s="16" t="str">
        <f t="shared" si="2055"/>
        <v>28-Jan-1914</v>
      </c>
      <c r="R4860" s="16" t="str">
        <f t="shared" si="2047"/>
        <v/>
      </c>
      <c r="S4860" s="16" t="str">
        <f t="shared" si="2047"/>
        <v/>
      </c>
      <c r="T4860" s="11"/>
      <c r="U4860" s="46" t="str">
        <f t="shared" si="2016"/>
        <v/>
      </c>
      <c r="V4860" s="46">
        <f t="shared" si="2016"/>
        <v>0</v>
      </c>
      <c r="W4860" s="46" t="str">
        <f t="shared" si="2016"/>
        <v/>
      </c>
      <c r="X4860" s="46" t="str">
        <f t="shared" si="2016"/>
        <v/>
      </c>
    </row>
    <row r="4861" spans="2:24" x14ac:dyDescent="0.25">
      <c r="B4861" s="11" t="str">
        <f t="shared" ref="B4861:B4866" si="2056">CONCATENATE("OLMP","-",LEFT(P4861,2),UPPER(MID(P4861,4,3)),RIGHT(P4861,4))</f>
        <v>OLMP-26FEB1914</v>
      </c>
      <c r="C4861" s="11" t="s">
        <v>2469</v>
      </c>
      <c r="D4861" s="11" t="s">
        <v>2224</v>
      </c>
      <c r="E4861" s="39" t="s">
        <v>2559</v>
      </c>
      <c r="F4861" s="11" t="s">
        <v>1700</v>
      </c>
      <c r="G4861" s="39" t="s">
        <v>2544</v>
      </c>
      <c r="H4861" s="7">
        <v>0</v>
      </c>
      <c r="I4861" s="7">
        <v>0</v>
      </c>
      <c r="J4861" s="17">
        <v>0</v>
      </c>
      <c r="K4861" s="17"/>
      <c r="L4861" s="7">
        <f t="shared" ref="L4861:L4866" si="2057">SUM(H4861:K4861)</f>
        <v>0</v>
      </c>
      <c r="M4861" s="8">
        <v>1</v>
      </c>
      <c r="N4861" s="8" t="str">
        <f t="shared" ref="N4861:N4866" si="2058">IF(L4861&gt;0,1,"")</f>
        <v/>
      </c>
      <c r="O4861" s="11" t="s">
        <v>1702</v>
      </c>
      <c r="P4861" s="16" t="str">
        <f t="shared" ref="P4861:P4866" si="2059">IF(LEN(G4861)=10,CONCATENATE("0",G4861),G4861)</f>
        <v>26-Feb-1914</v>
      </c>
      <c r="R4861" s="16" t="str">
        <f t="shared" si="2047"/>
        <v/>
      </c>
      <c r="S4861" s="16" t="str">
        <f t="shared" si="2047"/>
        <v/>
      </c>
      <c r="T4861" s="11"/>
      <c r="U4861" s="46" t="str">
        <f t="shared" si="2016"/>
        <v/>
      </c>
      <c r="V4861" s="46">
        <f t="shared" si="2016"/>
        <v>0</v>
      </c>
      <c r="W4861" s="46" t="str">
        <f t="shared" si="2016"/>
        <v/>
      </c>
      <c r="X4861" s="46" t="str">
        <f t="shared" si="2016"/>
        <v/>
      </c>
    </row>
    <row r="4862" spans="2:24" x14ac:dyDescent="0.25">
      <c r="B4862" s="11" t="str">
        <f t="shared" si="2056"/>
        <v>OLMP-26MAR1914</v>
      </c>
      <c r="C4862" s="11" t="s">
        <v>2469</v>
      </c>
      <c r="D4862" s="11" t="s">
        <v>2224</v>
      </c>
      <c r="E4862" s="39" t="s">
        <v>2560</v>
      </c>
      <c r="F4862" s="11" t="s">
        <v>1700</v>
      </c>
      <c r="G4862" s="39" t="s">
        <v>2545</v>
      </c>
      <c r="H4862" s="7">
        <v>0</v>
      </c>
      <c r="I4862" s="7">
        <v>0</v>
      </c>
      <c r="J4862" s="17">
        <v>0</v>
      </c>
      <c r="K4862" s="17"/>
      <c r="L4862" s="7">
        <f t="shared" si="2057"/>
        <v>0</v>
      </c>
      <c r="M4862" s="8">
        <v>1</v>
      </c>
      <c r="N4862" s="8" t="str">
        <f t="shared" si="2058"/>
        <v/>
      </c>
      <c r="O4862" s="11" t="s">
        <v>1702</v>
      </c>
      <c r="P4862" s="16" t="str">
        <f t="shared" si="2059"/>
        <v>26-Mar-1914</v>
      </c>
      <c r="R4862" s="16" t="str">
        <f t="shared" si="2047"/>
        <v/>
      </c>
      <c r="S4862" s="16" t="str">
        <f t="shared" si="2047"/>
        <v/>
      </c>
      <c r="T4862" s="11"/>
      <c r="U4862" s="46" t="str">
        <f t="shared" si="2016"/>
        <v/>
      </c>
      <c r="V4862" s="46">
        <f t="shared" si="2016"/>
        <v>0</v>
      </c>
      <c r="W4862" s="46" t="str">
        <f t="shared" si="2016"/>
        <v/>
      </c>
      <c r="X4862" s="46" t="str">
        <f t="shared" si="2016"/>
        <v/>
      </c>
    </row>
    <row r="4863" spans="2:24" x14ac:dyDescent="0.25">
      <c r="B4863" s="11" t="str">
        <f t="shared" si="2056"/>
        <v>OLMP-15APR1914</v>
      </c>
      <c r="C4863" s="11" t="s">
        <v>2469</v>
      </c>
      <c r="D4863" s="11" t="s">
        <v>2224</v>
      </c>
      <c r="E4863" s="39" t="s">
        <v>1352</v>
      </c>
      <c r="F4863" s="11" t="s">
        <v>1700</v>
      </c>
      <c r="G4863" s="39" t="s">
        <v>2546</v>
      </c>
      <c r="H4863" s="7">
        <v>0</v>
      </c>
      <c r="I4863" s="7">
        <v>0</v>
      </c>
      <c r="J4863" s="17">
        <v>0</v>
      </c>
      <c r="K4863" s="17"/>
      <c r="L4863" s="7">
        <f t="shared" si="2057"/>
        <v>0</v>
      </c>
      <c r="M4863" s="8">
        <v>1</v>
      </c>
      <c r="N4863" s="8" t="str">
        <f t="shared" si="2058"/>
        <v/>
      </c>
      <c r="O4863" s="11" t="s">
        <v>1702</v>
      </c>
      <c r="P4863" s="16" t="str">
        <f t="shared" si="2059"/>
        <v>15-Apr-1914</v>
      </c>
      <c r="R4863" s="16" t="str">
        <f t="shared" si="2047"/>
        <v/>
      </c>
      <c r="S4863" s="16" t="str">
        <f t="shared" si="2047"/>
        <v/>
      </c>
      <c r="T4863" s="11"/>
      <c r="U4863" s="46" t="str">
        <f t="shared" si="2016"/>
        <v/>
      </c>
      <c r="V4863" s="46">
        <f t="shared" si="2016"/>
        <v>0</v>
      </c>
      <c r="W4863" s="46" t="str">
        <f t="shared" si="2016"/>
        <v/>
      </c>
      <c r="X4863" s="46" t="str">
        <f t="shared" si="2016"/>
        <v/>
      </c>
    </row>
    <row r="4864" spans="2:24" x14ac:dyDescent="0.25">
      <c r="B4864" s="11" t="str">
        <f t="shared" si="2056"/>
        <v>OLMP-06MAY1914</v>
      </c>
      <c r="C4864" s="11" t="s">
        <v>2469</v>
      </c>
      <c r="D4864" s="11" t="s">
        <v>2224</v>
      </c>
      <c r="E4864" s="39" t="s">
        <v>1041</v>
      </c>
      <c r="F4864" s="11" t="s">
        <v>1700</v>
      </c>
      <c r="G4864" s="39" t="s">
        <v>2561</v>
      </c>
      <c r="H4864" s="7">
        <v>0</v>
      </c>
      <c r="I4864" s="7">
        <v>0</v>
      </c>
      <c r="J4864" s="17">
        <v>2</v>
      </c>
      <c r="K4864" s="17"/>
      <c r="L4864" s="7">
        <f t="shared" si="2057"/>
        <v>2</v>
      </c>
      <c r="M4864" s="8">
        <v>1</v>
      </c>
      <c r="N4864" s="8">
        <f t="shared" si="2058"/>
        <v>1</v>
      </c>
      <c r="O4864" s="11" t="s">
        <v>1702</v>
      </c>
      <c r="P4864" s="16" t="str">
        <f t="shared" si="2059"/>
        <v>06-May-1914</v>
      </c>
      <c r="R4864" s="16" t="str">
        <f t="shared" si="2047"/>
        <v>x</v>
      </c>
      <c r="S4864" s="16" t="str">
        <f t="shared" si="2047"/>
        <v>x</v>
      </c>
      <c r="T4864" s="11"/>
      <c r="U4864" s="46" t="str">
        <f t="shared" si="2016"/>
        <v/>
      </c>
      <c r="V4864" s="46">
        <f t="shared" si="2016"/>
        <v>2</v>
      </c>
      <c r="W4864" s="46" t="str">
        <f t="shared" si="2016"/>
        <v/>
      </c>
      <c r="X4864" s="46" t="str">
        <f t="shared" si="2016"/>
        <v/>
      </c>
    </row>
    <row r="4865" spans="2:24" x14ac:dyDescent="0.25">
      <c r="B4865" s="11" t="str">
        <f t="shared" si="2056"/>
        <v>OLMP-27MAY1914</v>
      </c>
      <c r="C4865" s="11" t="s">
        <v>2469</v>
      </c>
      <c r="D4865" s="11" t="s">
        <v>2224</v>
      </c>
      <c r="E4865" s="39" t="s">
        <v>2562</v>
      </c>
      <c r="F4865" s="11" t="s">
        <v>1700</v>
      </c>
      <c r="G4865" s="39" t="s">
        <v>2547</v>
      </c>
      <c r="H4865" s="7">
        <v>0</v>
      </c>
      <c r="I4865" s="7">
        <v>0</v>
      </c>
      <c r="J4865" s="17">
        <v>0</v>
      </c>
      <c r="K4865" s="17"/>
      <c r="L4865" s="7">
        <f t="shared" si="2057"/>
        <v>0</v>
      </c>
      <c r="M4865" s="8">
        <v>1</v>
      </c>
      <c r="N4865" s="8" t="str">
        <f t="shared" si="2058"/>
        <v/>
      </c>
      <c r="O4865" s="11" t="s">
        <v>1702</v>
      </c>
      <c r="P4865" s="16" t="str">
        <f t="shared" si="2059"/>
        <v>27-May-1914</v>
      </c>
      <c r="R4865" s="16" t="str">
        <f t="shared" si="2047"/>
        <v/>
      </c>
      <c r="S4865" s="16" t="str">
        <f t="shared" si="2047"/>
        <v/>
      </c>
      <c r="T4865" s="11"/>
      <c r="U4865" s="46" t="str">
        <f t="shared" si="2016"/>
        <v/>
      </c>
      <c r="V4865" s="46">
        <f t="shared" si="2016"/>
        <v>0</v>
      </c>
      <c r="W4865" s="46" t="str">
        <f t="shared" si="2016"/>
        <v/>
      </c>
      <c r="X4865" s="46" t="str">
        <f t="shared" si="2016"/>
        <v/>
      </c>
    </row>
    <row r="4866" spans="2:24" x14ac:dyDescent="0.25">
      <c r="B4866" s="11" t="str">
        <f t="shared" si="2056"/>
        <v>OLMP-17JUN1914</v>
      </c>
      <c r="C4866" s="11" t="s">
        <v>2469</v>
      </c>
      <c r="D4866" s="11" t="s">
        <v>2224</v>
      </c>
      <c r="E4866" s="39" t="s">
        <v>2563</v>
      </c>
      <c r="F4866" s="11" t="s">
        <v>1700</v>
      </c>
      <c r="G4866" s="39" t="s">
        <v>2564</v>
      </c>
      <c r="H4866" s="7">
        <v>0</v>
      </c>
      <c r="I4866" s="7">
        <v>0</v>
      </c>
      <c r="J4866" s="17">
        <v>9</v>
      </c>
      <c r="K4866" s="17"/>
      <c r="L4866" s="7">
        <f t="shared" si="2057"/>
        <v>9</v>
      </c>
      <c r="M4866" s="8">
        <v>1</v>
      </c>
      <c r="N4866" s="8">
        <f t="shared" si="2058"/>
        <v>1</v>
      </c>
      <c r="O4866" s="11" t="s">
        <v>1702</v>
      </c>
      <c r="P4866" s="16" t="str">
        <f t="shared" si="2059"/>
        <v>17-Jun-1914</v>
      </c>
      <c r="R4866" s="16" t="str">
        <f t="shared" si="2047"/>
        <v>x</v>
      </c>
      <c r="S4866" s="16" t="str">
        <f t="shared" si="2047"/>
        <v>x</v>
      </c>
      <c r="T4866" s="11"/>
      <c r="U4866" s="46" t="str">
        <f t="shared" si="2016"/>
        <v/>
      </c>
      <c r="V4866" s="46">
        <f t="shared" si="2016"/>
        <v>9</v>
      </c>
      <c r="W4866" s="46" t="str">
        <f t="shared" si="2016"/>
        <v/>
      </c>
      <c r="X4866" s="46" t="str">
        <f t="shared" si="2016"/>
        <v/>
      </c>
    </row>
    <row r="4867" spans="2:24" x14ac:dyDescent="0.25">
      <c r="B4867" s="11" t="str">
        <f t="shared" si="2052"/>
        <v>OLMP-08JUL1914</v>
      </c>
      <c r="C4867" s="11" t="s">
        <v>2469</v>
      </c>
      <c r="D4867" s="11" t="s">
        <v>2224</v>
      </c>
      <c r="E4867" s="39" t="s">
        <v>2565</v>
      </c>
      <c r="F4867" s="11" t="s">
        <v>1700</v>
      </c>
      <c r="G4867" s="39" t="s">
        <v>2548</v>
      </c>
      <c r="H4867" s="7">
        <v>0</v>
      </c>
      <c r="I4867" s="7">
        <v>0</v>
      </c>
      <c r="J4867" s="17">
        <v>7</v>
      </c>
      <c r="K4867" s="17"/>
      <c r="L4867" s="7">
        <f t="shared" si="2053"/>
        <v>7</v>
      </c>
      <c r="M4867" s="8">
        <v>1</v>
      </c>
      <c r="N4867" s="8">
        <f t="shared" si="2054"/>
        <v>1</v>
      </c>
      <c r="O4867" s="11" t="s">
        <v>1702</v>
      </c>
      <c r="P4867" s="16" t="str">
        <f t="shared" si="2055"/>
        <v>08-Jul-1914</v>
      </c>
      <c r="R4867" s="16" t="str">
        <f t="shared" si="2047"/>
        <v>x</v>
      </c>
      <c r="S4867" s="16" t="str">
        <f t="shared" si="2047"/>
        <v>x</v>
      </c>
      <c r="T4867" s="11"/>
      <c r="U4867" s="46" t="str">
        <f t="shared" si="2016"/>
        <v/>
      </c>
      <c r="V4867" s="46">
        <f t="shared" si="2016"/>
        <v>7</v>
      </c>
      <c r="W4867" s="46" t="str">
        <f t="shared" si="2016"/>
        <v/>
      </c>
      <c r="X4867" s="46" t="str">
        <f t="shared" si="2016"/>
        <v/>
      </c>
    </row>
    <row r="4868" spans="2:24" x14ac:dyDescent="0.25">
      <c r="B4868" s="11" t="str">
        <f>CONCATENATE("OLMP","-",LEFT(P4868,2),UPPER(MID(P4868,4,3)),RIGHT(P4868,4))</f>
        <v>OLMP-05AUG1914</v>
      </c>
      <c r="C4868" s="11" t="s">
        <v>2469</v>
      </c>
      <c r="D4868" s="11" t="s">
        <v>2224</v>
      </c>
      <c r="E4868" s="39" t="s">
        <v>2566</v>
      </c>
      <c r="F4868" s="11" t="s">
        <v>1700</v>
      </c>
      <c r="G4868" s="39" t="s">
        <v>2549</v>
      </c>
      <c r="H4868" s="7">
        <v>0</v>
      </c>
      <c r="I4868" s="7">
        <v>0</v>
      </c>
      <c r="J4868" s="17">
        <v>5</v>
      </c>
      <c r="K4868" s="17"/>
      <c r="L4868" s="7">
        <f>SUM(H4868:K4868)</f>
        <v>5</v>
      </c>
      <c r="M4868" s="8">
        <v>1</v>
      </c>
      <c r="N4868" s="8">
        <f>IF(L4868&gt;0,1,"")</f>
        <v>1</v>
      </c>
      <c r="O4868" s="11" t="s">
        <v>1702</v>
      </c>
      <c r="P4868" s="16" t="str">
        <f>IF(LEN(G4868)=10,CONCATENATE("0",G4868),G4868)</f>
        <v>05-Aug-1914</v>
      </c>
      <c r="R4868" s="16" t="str">
        <f t="shared" si="2047"/>
        <v>x</v>
      </c>
      <c r="S4868" s="16" t="str">
        <f t="shared" si="2047"/>
        <v>x</v>
      </c>
      <c r="T4868" s="11"/>
      <c r="U4868" s="46" t="str">
        <f>IF($O4868=U$5,$L4868,"")</f>
        <v/>
      </c>
      <c r="V4868" s="46">
        <f>IF($O4868=V$5,$L4868,"")</f>
        <v>5</v>
      </c>
      <c r="W4868" s="46" t="str">
        <f>IF($O4868=W$5,$L4868,"")</f>
        <v/>
      </c>
      <c r="X4868" s="46" t="str">
        <f>IF($O4868=X$5,$L4868,"")</f>
        <v/>
      </c>
    </row>
    <row r="4869" spans="2:24" x14ac:dyDescent="0.25">
      <c r="B4869" s="11" t="str">
        <f>CONCATENATE("OLMP","-",LEFT(P4869,2),UPPER(MID(P4869,4,3)),RIGHT(P4869,4))</f>
        <v>OLMP-02JUL1920</v>
      </c>
      <c r="C4869" s="11" t="s">
        <v>2469</v>
      </c>
      <c r="D4869" s="11" t="s">
        <v>2569</v>
      </c>
      <c r="E4869" s="39" t="s">
        <v>2568</v>
      </c>
      <c r="F4869" s="11" t="s">
        <v>1700</v>
      </c>
      <c r="G4869" s="39" t="s">
        <v>2553</v>
      </c>
      <c r="H4869" s="7">
        <v>0</v>
      </c>
      <c r="I4869" s="7">
        <v>0</v>
      </c>
      <c r="J4869" s="17">
        <f>86+3</f>
        <v>89</v>
      </c>
      <c r="K4869" s="17"/>
      <c r="L4869" s="7">
        <f t="shared" si="2053"/>
        <v>89</v>
      </c>
      <c r="M4869" s="8">
        <v>1</v>
      </c>
      <c r="N4869" s="8">
        <f>IF(L4869&gt;0,1,"")</f>
        <v>1</v>
      </c>
      <c r="O4869" s="11" t="s">
        <v>1702</v>
      </c>
      <c r="P4869" s="16" t="str">
        <f>IF(LEN(G4869)=10,CONCATENATE("0",G4869),G4869)</f>
        <v>02-Jul-1920</v>
      </c>
      <c r="R4869" s="16" t="str">
        <f t="shared" si="2047"/>
        <v>x</v>
      </c>
      <c r="S4869" s="16" t="str">
        <f t="shared" si="2047"/>
        <v>x</v>
      </c>
      <c r="T4869" s="11"/>
      <c r="U4869" s="46" t="str">
        <f t="shared" ref="U4869:X4985" si="2060">IF($O4869=U$5,$L4869,"")</f>
        <v/>
      </c>
      <c r="V4869" s="46">
        <f t="shared" si="2060"/>
        <v>89</v>
      </c>
      <c r="W4869" s="46" t="str">
        <f t="shared" si="2060"/>
        <v/>
      </c>
      <c r="X4869" s="46" t="str">
        <f t="shared" si="2060"/>
        <v/>
      </c>
    </row>
    <row r="4870" spans="2:24" x14ac:dyDescent="0.25">
      <c r="B4870" s="11" t="str">
        <f t="shared" si="2052"/>
        <v>OLMP-28JUL1920</v>
      </c>
      <c r="C4870" s="11" t="s">
        <v>2469</v>
      </c>
      <c r="D4870" s="11" t="s">
        <v>2224</v>
      </c>
      <c r="E4870" s="39" t="s">
        <v>2570</v>
      </c>
      <c r="F4870" s="11" t="s">
        <v>1700</v>
      </c>
      <c r="G4870" s="39" t="s">
        <v>2550</v>
      </c>
      <c r="H4870" s="7">
        <v>0</v>
      </c>
      <c r="I4870" s="7">
        <v>0</v>
      </c>
      <c r="J4870" s="17">
        <v>0</v>
      </c>
      <c r="K4870" s="17"/>
      <c r="L4870" s="7">
        <f t="shared" si="2053"/>
        <v>0</v>
      </c>
      <c r="M4870" s="8">
        <v>1</v>
      </c>
      <c r="N4870" s="8" t="str">
        <f t="shared" si="2054"/>
        <v/>
      </c>
      <c r="O4870" s="11" t="s">
        <v>1702</v>
      </c>
      <c r="P4870" s="16" t="str">
        <f t="shared" si="2055"/>
        <v>28-Jul-1920</v>
      </c>
      <c r="R4870" s="16" t="str">
        <f t="shared" si="2047"/>
        <v/>
      </c>
      <c r="S4870" s="16" t="str">
        <f t="shared" si="2047"/>
        <v/>
      </c>
      <c r="T4870" s="11"/>
      <c r="U4870" s="46" t="str">
        <f t="shared" si="2060"/>
        <v/>
      </c>
      <c r="V4870" s="46">
        <f t="shared" si="2060"/>
        <v>0</v>
      </c>
      <c r="W4870" s="46" t="str">
        <f t="shared" si="2060"/>
        <v/>
      </c>
      <c r="X4870" s="46" t="str">
        <f t="shared" si="2060"/>
        <v/>
      </c>
    </row>
    <row r="4871" spans="2:24" x14ac:dyDescent="0.25">
      <c r="B4871" s="11" t="str">
        <f t="shared" si="2052"/>
        <v>OLMP-25AUG1920</v>
      </c>
      <c r="C4871" s="11" t="s">
        <v>2469</v>
      </c>
      <c r="D4871" s="11" t="s">
        <v>598</v>
      </c>
      <c r="E4871" s="39" t="s">
        <v>2571</v>
      </c>
      <c r="F4871" s="11" t="s">
        <v>1700</v>
      </c>
      <c r="G4871" s="39" t="s">
        <v>2554</v>
      </c>
      <c r="H4871" s="7">
        <f>0+1</f>
        <v>1</v>
      </c>
      <c r="I4871" s="7">
        <v>0</v>
      </c>
      <c r="J4871" s="17">
        <v>1</v>
      </c>
      <c r="K4871" s="17"/>
      <c r="L4871" s="7">
        <f t="shared" si="2053"/>
        <v>2</v>
      </c>
      <c r="M4871" s="8">
        <v>1</v>
      </c>
      <c r="N4871" s="8">
        <f t="shared" si="2054"/>
        <v>1</v>
      </c>
      <c r="O4871" s="11" t="s">
        <v>1702</v>
      </c>
      <c r="P4871" s="16" t="str">
        <f t="shared" si="2055"/>
        <v>25-Aug-1920</v>
      </c>
      <c r="R4871" s="16" t="str">
        <f t="shared" si="2047"/>
        <v>x</v>
      </c>
      <c r="S4871" s="16" t="str">
        <f t="shared" si="2047"/>
        <v>x</v>
      </c>
      <c r="T4871" s="11"/>
      <c r="U4871" s="46" t="str">
        <f t="shared" si="2060"/>
        <v/>
      </c>
      <c r="V4871" s="46">
        <f t="shared" si="2060"/>
        <v>2</v>
      </c>
      <c r="W4871" s="46" t="str">
        <f t="shared" si="2060"/>
        <v/>
      </c>
      <c r="X4871" s="46" t="str">
        <f t="shared" si="2060"/>
        <v/>
      </c>
    </row>
    <row r="4872" spans="2:24" x14ac:dyDescent="0.25">
      <c r="B4872" s="11" t="str">
        <f t="shared" ref="B4872:B4878" si="2061">CONCATENATE("OLMP","-",LEFT(P4872,2),UPPER(MID(P4872,4,3)),RIGHT(P4872,4))</f>
        <v>OLMP-25AUG1920</v>
      </c>
      <c r="C4872" s="11" t="s">
        <v>2469</v>
      </c>
      <c r="D4872" s="11" t="s">
        <v>2224</v>
      </c>
      <c r="E4872" s="39" t="s">
        <v>2571</v>
      </c>
      <c r="F4872" s="11" t="s">
        <v>1700</v>
      </c>
      <c r="G4872" s="39" t="s">
        <v>2554</v>
      </c>
      <c r="H4872" s="7">
        <v>0</v>
      </c>
      <c r="I4872" s="7">
        <v>0</v>
      </c>
      <c r="J4872" s="17">
        <v>2</v>
      </c>
      <c r="K4872" s="17"/>
      <c r="L4872" s="7">
        <f t="shared" ref="L4872:L4878" si="2062">SUM(H4872:K4872)</f>
        <v>2</v>
      </c>
      <c r="M4872" s="8">
        <v>1</v>
      </c>
      <c r="N4872" s="8">
        <f t="shared" ref="N4872:N4878" si="2063">IF(L4872&gt;0,1,"")</f>
        <v>1</v>
      </c>
      <c r="O4872" s="11" t="s">
        <v>1702</v>
      </c>
      <c r="P4872" s="16" t="str">
        <f t="shared" ref="P4872:P4878" si="2064">IF(LEN(G4872)=10,CONCATENATE("0",G4872),G4872)</f>
        <v>25-Aug-1920</v>
      </c>
      <c r="R4872" s="16" t="str">
        <f t="shared" si="2047"/>
        <v>x</v>
      </c>
      <c r="S4872" s="16" t="str">
        <f t="shared" si="2047"/>
        <v>x</v>
      </c>
      <c r="T4872" s="11"/>
      <c r="U4872" s="46" t="str">
        <f t="shared" si="2060"/>
        <v/>
      </c>
      <c r="V4872" s="46">
        <f t="shared" si="2060"/>
        <v>2</v>
      </c>
      <c r="W4872" s="46" t="str">
        <f t="shared" si="2060"/>
        <v/>
      </c>
      <c r="X4872" s="46" t="str">
        <f t="shared" si="2060"/>
        <v/>
      </c>
    </row>
    <row r="4873" spans="2:24" x14ac:dyDescent="0.25">
      <c r="B4873" s="11" t="str">
        <f t="shared" si="2061"/>
        <v>OLMP-15SEP1920</v>
      </c>
      <c r="C4873" s="11" t="s">
        <v>2469</v>
      </c>
      <c r="D4873" s="11" t="s">
        <v>598</v>
      </c>
      <c r="E4873" s="39" t="s">
        <v>2572</v>
      </c>
      <c r="F4873" s="11" t="s">
        <v>1700</v>
      </c>
      <c r="G4873" s="39" t="s">
        <v>2555</v>
      </c>
      <c r="H4873" s="7">
        <f>0+1</f>
        <v>1</v>
      </c>
      <c r="I4873" s="7">
        <v>0</v>
      </c>
      <c r="J4873" s="17">
        <v>0</v>
      </c>
      <c r="K4873" s="17"/>
      <c r="L4873" s="7">
        <f t="shared" si="2062"/>
        <v>1</v>
      </c>
      <c r="M4873" s="8">
        <v>1</v>
      </c>
      <c r="N4873" s="8">
        <f t="shared" si="2063"/>
        <v>1</v>
      </c>
      <c r="O4873" s="11" t="s">
        <v>1702</v>
      </c>
      <c r="P4873" s="16" t="str">
        <f t="shared" si="2064"/>
        <v>15-Sep-1920</v>
      </c>
      <c r="R4873" s="16" t="str">
        <f t="shared" si="2047"/>
        <v>x</v>
      </c>
      <c r="S4873" s="16" t="str">
        <f t="shared" si="2047"/>
        <v>x</v>
      </c>
      <c r="T4873" s="11"/>
      <c r="U4873" s="46" t="str">
        <f t="shared" si="2060"/>
        <v/>
      </c>
      <c r="V4873" s="46">
        <f t="shared" si="2060"/>
        <v>1</v>
      </c>
      <c r="W4873" s="46" t="str">
        <f t="shared" si="2060"/>
        <v/>
      </c>
      <c r="X4873" s="46" t="str">
        <f t="shared" si="2060"/>
        <v/>
      </c>
    </row>
    <row r="4874" spans="2:24" x14ac:dyDescent="0.25">
      <c r="B4874" s="11" t="str">
        <f t="shared" si="2061"/>
        <v>OLMP-15SEP1920</v>
      </c>
      <c r="C4874" s="11" t="s">
        <v>2469</v>
      </c>
      <c r="D4874" s="11" t="s">
        <v>2224</v>
      </c>
      <c r="E4874" s="39" t="s">
        <v>2572</v>
      </c>
      <c r="F4874" s="11" t="s">
        <v>1700</v>
      </c>
      <c r="G4874" s="39" t="s">
        <v>2555</v>
      </c>
      <c r="H4874" s="7">
        <v>0</v>
      </c>
      <c r="I4874" s="7">
        <v>0</v>
      </c>
      <c r="J4874" s="17">
        <v>16</v>
      </c>
      <c r="K4874" s="17"/>
      <c r="L4874" s="7">
        <f t="shared" si="2062"/>
        <v>16</v>
      </c>
      <c r="M4874" s="8">
        <v>1</v>
      </c>
      <c r="N4874" s="8">
        <f t="shared" si="2063"/>
        <v>1</v>
      </c>
      <c r="O4874" s="11" t="s">
        <v>1702</v>
      </c>
      <c r="P4874" s="16" t="str">
        <f t="shared" si="2064"/>
        <v>15-Sep-1920</v>
      </c>
      <c r="R4874" s="16" t="str">
        <f t="shared" si="2047"/>
        <v>x</v>
      </c>
      <c r="S4874" s="16" t="str">
        <f t="shared" si="2047"/>
        <v>x</v>
      </c>
      <c r="T4874" s="11"/>
      <c r="U4874" s="46" t="str">
        <f t="shared" si="2060"/>
        <v/>
      </c>
      <c r="V4874" s="46">
        <f t="shared" si="2060"/>
        <v>16</v>
      </c>
      <c r="W4874" s="46" t="str">
        <f t="shared" si="2060"/>
        <v/>
      </c>
      <c r="X4874" s="46" t="str">
        <f t="shared" si="2060"/>
        <v/>
      </c>
    </row>
    <row r="4875" spans="2:24" x14ac:dyDescent="0.25">
      <c r="B4875" s="11" t="str">
        <f t="shared" si="2061"/>
        <v>OLMP-06OCT1920</v>
      </c>
      <c r="C4875" s="11" t="s">
        <v>2469</v>
      </c>
      <c r="D4875" s="11" t="s">
        <v>2224</v>
      </c>
      <c r="E4875" s="39" t="s">
        <v>2573</v>
      </c>
      <c r="F4875" s="11" t="s">
        <v>1700</v>
      </c>
      <c r="G4875" s="39" t="s">
        <v>2556</v>
      </c>
      <c r="H4875" s="7">
        <v>7</v>
      </c>
      <c r="I4875" s="7">
        <v>0</v>
      </c>
      <c r="J4875" s="17">
        <v>3</v>
      </c>
      <c r="K4875" s="17"/>
      <c r="L4875" s="7">
        <f t="shared" si="2062"/>
        <v>10</v>
      </c>
      <c r="M4875" s="8">
        <v>1</v>
      </c>
      <c r="N4875" s="8">
        <f t="shared" si="2063"/>
        <v>1</v>
      </c>
      <c r="O4875" s="11" t="s">
        <v>1702</v>
      </c>
      <c r="P4875" s="16" t="str">
        <f t="shared" si="2064"/>
        <v>06-Oct-1920</v>
      </c>
      <c r="R4875" s="16" t="str">
        <f t="shared" si="2047"/>
        <v>x</v>
      </c>
      <c r="S4875" s="16" t="str">
        <f t="shared" si="2047"/>
        <v>x</v>
      </c>
      <c r="U4875" s="46" t="str">
        <f t="shared" si="2060"/>
        <v/>
      </c>
      <c r="V4875" s="46">
        <f t="shared" si="2060"/>
        <v>10</v>
      </c>
      <c r="W4875" s="46" t="str">
        <f t="shared" si="2060"/>
        <v/>
      </c>
      <c r="X4875" s="46" t="str">
        <f t="shared" si="2060"/>
        <v/>
      </c>
    </row>
    <row r="4876" spans="2:24" x14ac:dyDescent="0.25">
      <c r="B4876" s="11" t="str">
        <f>CONCATENATE("OLMP","-",LEFT(P4876,2),UPPER(MID(P4876,4,3)),RIGHT(P4876,4))</f>
        <v>OLMP-24NOV1920</v>
      </c>
      <c r="C4876" s="11" t="s">
        <v>2469</v>
      </c>
      <c r="D4876" s="11" t="s">
        <v>598</v>
      </c>
      <c r="E4876" s="39" t="s">
        <v>2574</v>
      </c>
      <c r="F4876" s="11" t="s">
        <v>1700</v>
      </c>
      <c r="G4876" s="39" t="s">
        <v>2557</v>
      </c>
      <c r="H4876" s="7">
        <v>0</v>
      </c>
      <c r="I4876" s="7">
        <f>4+2</f>
        <v>6</v>
      </c>
      <c r="J4876" s="17">
        <v>0</v>
      </c>
      <c r="K4876" s="17"/>
      <c r="L4876" s="7">
        <f>SUM(H4876:K4876)</f>
        <v>6</v>
      </c>
      <c r="M4876" s="8">
        <v>1</v>
      </c>
      <c r="N4876" s="8">
        <f>IF(L4876&gt;0,1,"")</f>
        <v>1</v>
      </c>
      <c r="O4876" s="11" t="s">
        <v>1702</v>
      </c>
      <c r="P4876" s="16" t="str">
        <f>IF(LEN(G4876)=10,CONCATENATE("0",G4876),G4876)</f>
        <v>24-Nov-1920</v>
      </c>
      <c r="R4876" s="16" t="str">
        <f t="shared" si="2047"/>
        <v>x</v>
      </c>
      <c r="S4876" s="16" t="str">
        <f t="shared" si="2047"/>
        <v>x</v>
      </c>
      <c r="U4876" s="46" t="str">
        <f>IF($O4876=U$5,$L4876,"")</f>
        <v/>
      </c>
      <c r="V4876" s="46">
        <f>IF($O4876=V$5,$L4876,"")</f>
        <v>6</v>
      </c>
      <c r="W4876" s="46" t="str">
        <f>IF($O4876=W$5,$L4876,"")</f>
        <v/>
      </c>
      <c r="X4876" s="46" t="str">
        <f>IF($O4876=X$5,$L4876,"")</f>
        <v/>
      </c>
    </row>
    <row r="4877" spans="2:24" x14ac:dyDescent="0.25">
      <c r="B4877" s="11" t="str">
        <f t="shared" si="2061"/>
        <v>OLMP-24NOV1920</v>
      </c>
      <c r="C4877" s="11" t="s">
        <v>2469</v>
      </c>
      <c r="D4877" s="11" t="s">
        <v>2224</v>
      </c>
      <c r="E4877" s="39" t="s">
        <v>2574</v>
      </c>
      <c r="F4877" s="11" t="s">
        <v>1700</v>
      </c>
      <c r="G4877" s="39" t="s">
        <v>2557</v>
      </c>
      <c r="H4877" s="7">
        <v>0</v>
      </c>
      <c r="I4877" s="7">
        <v>0</v>
      </c>
      <c r="J4877" s="17">
        <v>20</v>
      </c>
      <c r="K4877" s="17"/>
      <c r="L4877" s="7">
        <f t="shared" si="2062"/>
        <v>20</v>
      </c>
      <c r="M4877" s="8">
        <v>1</v>
      </c>
      <c r="N4877" s="8">
        <f t="shared" si="2063"/>
        <v>1</v>
      </c>
      <c r="O4877" s="11" t="s">
        <v>1702</v>
      </c>
      <c r="P4877" s="16" t="str">
        <f t="shared" si="2064"/>
        <v>24-Nov-1920</v>
      </c>
      <c r="R4877" s="16" t="str">
        <f t="shared" si="2047"/>
        <v>x</v>
      </c>
      <c r="S4877" s="16" t="str">
        <f t="shared" si="2047"/>
        <v>x</v>
      </c>
      <c r="U4877" s="46" t="str">
        <f t="shared" si="2060"/>
        <v/>
      </c>
      <c r="V4877" s="46">
        <f t="shared" si="2060"/>
        <v>20</v>
      </c>
      <c r="W4877" s="46" t="str">
        <f t="shared" si="2060"/>
        <v/>
      </c>
      <c r="X4877" s="46" t="str">
        <f t="shared" si="2060"/>
        <v/>
      </c>
    </row>
    <row r="4878" spans="2:24" x14ac:dyDescent="0.25">
      <c r="B4878" s="11" t="str">
        <f t="shared" si="2061"/>
        <v>OLMP-22DEC1920</v>
      </c>
      <c r="C4878" s="11" t="s">
        <v>2469</v>
      </c>
      <c r="D4878" s="11" t="s">
        <v>2224</v>
      </c>
      <c r="E4878" s="39" t="s">
        <v>2098</v>
      </c>
      <c r="F4878" s="11" t="s">
        <v>1700</v>
      </c>
      <c r="G4878" s="39" t="s">
        <v>2575</v>
      </c>
      <c r="H4878" s="7">
        <v>2</v>
      </c>
      <c r="I4878" s="7">
        <v>5</v>
      </c>
      <c r="J4878" s="17">
        <v>6</v>
      </c>
      <c r="K4878" s="17"/>
      <c r="L4878" s="7">
        <f t="shared" si="2062"/>
        <v>13</v>
      </c>
      <c r="M4878" s="8">
        <v>1</v>
      </c>
      <c r="N4878" s="8">
        <f t="shared" si="2063"/>
        <v>1</v>
      </c>
      <c r="O4878" s="11" t="s">
        <v>1702</v>
      </c>
      <c r="P4878" s="16" t="str">
        <f t="shared" si="2064"/>
        <v>22-Dec-1920</v>
      </c>
      <c r="R4878" s="16" t="str">
        <f t="shared" si="2047"/>
        <v>x</v>
      </c>
      <c r="S4878" s="16" t="str">
        <f t="shared" si="2047"/>
        <v>x</v>
      </c>
      <c r="U4878" s="46" t="str">
        <f t="shared" si="2060"/>
        <v/>
      </c>
      <c r="V4878" s="46">
        <f t="shared" si="2060"/>
        <v>13</v>
      </c>
      <c r="W4878" s="46" t="str">
        <f t="shared" si="2060"/>
        <v/>
      </c>
      <c r="X4878" s="46" t="str">
        <f t="shared" si="2060"/>
        <v/>
      </c>
    </row>
    <row r="4879" spans="2:24" x14ac:dyDescent="0.25">
      <c r="B4879" s="11" t="str">
        <f t="shared" si="2052"/>
        <v>OLMP-16MAR1921</v>
      </c>
      <c r="C4879" s="11" t="s">
        <v>2469</v>
      </c>
      <c r="D4879" s="11" t="s">
        <v>2224</v>
      </c>
      <c r="E4879" s="39" t="s">
        <v>2576</v>
      </c>
      <c r="F4879" s="11" t="s">
        <v>1700</v>
      </c>
      <c r="G4879" s="39" t="s">
        <v>2551</v>
      </c>
      <c r="H4879" s="7">
        <v>0</v>
      </c>
      <c r="I4879" s="7">
        <v>0</v>
      </c>
      <c r="J4879" s="17">
        <v>2</v>
      </c>
      <c r="K4879" s="17"/>
      <c r="L4879" s="7">
        <f t="shared" si="2053"/>
        <v>2</v>
      </c>
      <c r="M4879" s="8">
        <v>1</v>
      </c>
      <c r="N4879" s="8">
        <f t="shared" si="2054"/>
        <v>1</v>
      </c>
      <c r="O4879" s="11" t="s">
        <v>1702</v>
      </c>
      <c r="P4879" s="16" t="str">
        <f t="shared" si="2055"/>
        <v>16-Mar-1921</v>
      </c>
      <c r="R4879" s="16" t="str">
        <f t="shared" si="2047"/>
        <v>x</v>
      </c>
      <c r="S4879" s="16" t="str">
        <f t="shared" si="2047"/>
        <v>x</v>
      </c>
      <c r="U4879" s="46" t="str">
        <f t="shared" si="2060"/>
        <v/>
      </c>
      <c r="V4879" s="46">
        <f t="shared" si="2060"/>
        <v>2</v>
      </c>
      <c r="W4879" s="46" t="str">
        <f t="shared" si="2060"/>
        <v/>
      </c>
      <c r="X4879" s="46" t="str">
        <f t="shared" si="2060"/>
        <v/>
      </c>
    </row>
    <row r="4880" spans="2:24" x14ac:dyDescent="0.25">
      <c r="B4880" s="11" t="str">
        <f t="shared" si="2052"/>
        <v>OLMP-11MAY1921</v>
      </c>
      <c r="C4880" s="11" t="s">
        <v>2469</v>
      </c>
      <c r="D4880" s="11" t="s">
        <v>2224</v>
      </c>
      <c r="E4880" s="39" t="s">
        <v>1140</v>
      </c>
      <c r="F4880" s="11" t="s">
        <v>1700</v>
      </c>
      <c r="G4880" s="39" t="s">
        <v>2552</v>
      </c>
      <c r="H4880" s="7">
        <v>2</v>
      </c>
      <c r="I4880" s="7">
        <v>2</v>
      </c>
      <c r="J4880" s="17">
        <v>4</v>
      </c>
      <c r="K4880" s="17"/>
      <c r="L4880" s="7">
        <f t="shared" si="2053"/>
        <v>8</v>
      </c>
      <c r="M4880" s="8">
        <v>1</v>
      </c>
      <c r="N4880" s="8">
        <f t="shared" si="2054"/>
        <v>1</v>
      </c>
      <c r="O4880" s="11" t="s">
        <v>1702</v>
      </c>
      <c r="P4880" s="16" t="str">
        <f t="shared" si="2055"/>
        <v>11-May-1921</v>
      </c>
      <c r="R4880" s="16" t="str">
        <f t="shared" si="2047"/>
        <v>x</v>
      </c>
      <c r="S4880" s="16" t="str">
        <f t="shared" si="2047"/>
        <v>x</v>
      </c>
      <c r="U4880" s="46" t="str">
        <f t="shared" si="2060"/>
        <v/>
      </c>
      <c r="V4880" s="46">
        <f t="shared" si="2060"/>
        <v>8</v>
      </c>
      <c r="W4880" s="46" t="str">
        <f t="shared" si="2060"/>
        <v/>
      </c>
      <c r="X4880" s="46" t="str">
        <f t="shared" si="2060"/>
        <v/>
      </c>
    </row>
    <row r="4881" spans="2:24" x14ac:dyDescent="0.25">
      <c r="B4881" s="11" t="str">
        <f>CONCATENATE("OLMP","-",LEFT(P4881,2),UPPER(MID(P4881,4,3)),RIGHT(P4881,4))</f>
        <v>OLMP-29MAR1922</v>
      </c>
      <c r="C4881" s="11" t="s">
        <v>2469</v>
      </c>
      <c r="D4881" s="11" t="s">
        <v>2224</v>
      </c>
      <c r="E4881" s="39" t="s">
        <v>4265</v>
      </c>
      <c r="F4881" s="11" t="s">
        <v>1700</v>
      </c>
      <c r="G4881" s="39" t="s">
        <v>4266</v>
      </c>
      <c r="H4881" s="7">
        <v>0</v>
      </c>
      <c r="I4881" s="7">
        <v>0</v>
      </c>
      <c r="J4881" s="17">
        <f>0+2</f>
        <v>2</v>
      </c>
      <c r="K4881" s="17"/>
      <c r="L4881" s="7">
        <f>SUM(H4881:K4881)</f>
        <v>2</v>
      </c>
      <c r="M4881" s="8">
        <v>1</v>
      </c>
      <c r="N4881" s="8">
        <f>IF(L4881&gt;0,1,"")</f>
        <v>1</v>
      </c>
      <c r="O4881" s="11" t="s">
        <v>1702</v>
      </c>
      <c r="P4881" s="16" t="str">
        <f>IF(LEN(G4881)=10,CONCATENATE("0",G4881),G4881)</f>
        <v>29-Mar-1922</v>
      </c>
      <c r="R4881" s="16" t="str">
        <f t="shared" ref="R4881:S4901" si="2065">IF($L4881&gt;0,"x","")</f>
        <v>x</v>
      </c>
      <c r="S4881" s="16" t="str">
        <f t="shared" si="2065"/>
        <v>x</v>
      </c>
      <c r="U4881" s="46" t="str">
        <f t="shared" si="2060"/>
        <v/>
      </c>
      <c r="V4881" s="46">
        <f t="shared" si="2060"/>
        <v>2</v>
      </c>
      <c r="W4881" s="46" t="str">
        <f t="shared" si="2060"/>
        <v/>
      </c>
      <c r="X4881" s="46" t="str">
        <f t="shared" si="2060"/>
        <v/>
      </c>
    </row>
    <row r="4882" spans="2:24" x14ac:dyDescent="0.25">
      <c r="B4882" s="11" t="str">
        <f t="shared" si="2052"/>
        <v>OLMP-10MAY1922</v>
      </c>
      <c r="C4882" s="11" t="s">
        <v>2469</v>
      </c>
      <c r="D4882" s="11" t="s">
        <v>2224</v>
      </c>
      <c r="E4882" s="39" t="s">
        <v>3911</v>
      </c>
      <c r="F4882" s="11" t="s">
        <v>1700</v>
      </c>
      <c r="G4882" s="39" t="s">
        <v>3910</v>
      </c>
      <c r="H4882" s="7">
        <v>0</v>
      </c>
      <c r="I4882" s="7">
        <v>0</v>
      </c>
      <c r="J4882" s="17">
        <f>1+2</f>
        <v>3</v>
      </c>
      <c r="K4882" s="17"/>
      <c r="L4882" s="7">
        <f t="shared" si="2053"/>
        <v>3</v>
      </c>
      <c r="M4882" s="8">
        <v>1</v>
      </c>
      <c r="N4882" s="8">
        <f t="shared" si="2054"/>
        <v>1</v>
      </c>
      <c r="O4882" s="11" t="s">
        <v>1702</v>
      </c>
      <c r="P4882" s="16" t="str">
        <f t="shared" si="2055"/>
        <v>10-May-1922</v>
      </c>
      <c r="R4882" s="16" t="str">
        <f t="shared" si="2065"/>
        <v>x</v>
      </c>
      <c r="S4882" s="16" t="str">
        <f t="shared" si="2065"/>
        <v>x</v>
      </c>
      <c r="U4882" s="46" t="str">
        <f t="shared" si="2060"/>
        <v/>
      </c>
      <c r="V4882" s="46">
        <f t="shared" si="2060"/>
        <v>3</v>
      </c>
      <c r="W4882" s="46" t="str">
        <f t="shared" si="2060"/>
        <v/>
      </c>
      <c r="X4882" s="46" t="str">
        <f t="shared" si="2060"/>
        <v/>
      </c>
    </row>
    <row r="4883" spans="2:24" x14ac:dyDescent="0.25">
      <c r="B4883" s="11" t="str">
        <f t="shared" si="2052"/>
        <v>OLMP-28NOV1922</v>
      </c>
      <c r="C4883" s="11" t="s">
        <v>2469</v>
      </c>
      <c r="D4883" s="11" t="s">
        <v>2224</v>
      </c>
      <c r="E4883" s="39" t="s">
        <v>4370</v>
      </c>
      <c r="F4883" s="11" t="s">
        <v>1700</v>
      </c>
      <c r="G4883" s="39" t="s">
        <v>4371</v>
      </c>
      <c r="H4883" s="7">
        <f>0+2</f>
        <v>2</v>
      </c>
      <c r="I4883" s="7">
        <v>0</v>
      </c>
      <c r="J4883" s="17">
        <v>0</v>
      </c>
      <c r="K4883" s="17"/>
      <c r="L4883" s="7">
        <f t="shared" si="2053"/>
        <v>2</v>
      </c>
      <c r="M4883" s="8">
        <v>1</v>
      </c>
      <c r="N4883" s="8">
        <f t="shared" si="2054"/>
        <v>1</v>
      </c>
      <c r="O4883" s="11" t="s">
        <v>1702</v>
      </c>
      <c r="P4883" s="16" t="str">
        <f t="shared" si="2055"/>
        <v>28-Nov-1922</v>
      </c>
      <c r="R4883" s="16" t="str">
        <f t="shared" si="2065"/>
        <v>x</v>
      </c>
      <c r="S4883" s="16" t="str">
        <f t="shared" si="2065"/>
        <v>x</v>
      </c>
      <c r="U4883" s="46" t="str">
        <f t="shared" si="2060"/>
        <v/>
      </c>
      <c r="V4883" s="46">
        <f t="shared" si="2060"/>
        <v>2</v>
      </c>
      <c r="W4883" s="46" t="str">
        <f t="shared" si="2060"/>
        <v/>
      </c>
      <c r="X4883" s="46" t="str">
        <f t="shared" si="2060"/>
        <v/>
      </c>
    </row>
    <row r="4884" spans="2:24" x14ac:dyDescent="0.25">
      <c r="B4884" s="11" t="str">
        <f t="shared" si="2052"/>
        <v>OLMP-07FEB1923</v>
      </c>
      <c r="C4884" s="11" t="s">
        <v>2469</v>
      </c>
      <c r="D4884" s="11" t="s">
        <v>2224</v>
      </c>
      <c r="E4884" s="39" t="s">
        <v>3634</v>
      </c>
      <c r="F4884" s="11" t="s">
        <v>1700</v>
      </c>
      <c r="G4884" s="39" t="s">
        <v>3633</v>
      </c>
      <c r="H4884" s="7">
        <v>0</v>
      </c>
      <c r="I4884" s="7">
        <v>2</v>
      </c>
      <c r="J4884" s="17">
        <f>2+2</f>
        <v>4</v>
      </c>
      <c r="K4884" s="17"/>
      <c r="L4884" s="7">
        <f t="shared" si="2053"/>
        <v>6</v>
      </c>
      <c r="M4884" s="8">
        <v>1</v>
      </c>
      <c r="N4884" s="8">
        <f t="shared" si="2054"/>
        <v>1</v>
      </c>
      <c r="O4884" s="11" t="s">
        <v>1702</v>
      </c>
      <c r="P4884" s="16" t="str">
        <f t="shared" si="2055"/>
        <v>07-Feb-1923</v>
      </c>
      <c r="R4884" s="16" t="str">
        <f t="shared" si="2065"/>
        <v>x</v>
      </c>
      <c r="S4884" s="16" t="str">
        <f t="shared" si="2065"/>
        <v>x</v>
      </c>
      <c r="U4884" s="46" t="str">
        <f t="shared" si="2060"/>
        <v/>
      </c>
      <c r="V4884" s="46">
        <f t="shared" si="2060"/>
        <v>6</v>
      </c>
      <c r="W4884" s="46" t="str">
        <f t="shared" si="2060"/>
        <v/>
      </c>
      <c r="X4884" s="46" t="str">
        <f t="shared" si="2060"/>
        <v/>
      </c>
    </row>
    <row r="4885" spans="2:24" x14ac:dyDescent="0.25">
      <c r="B4885" s="11" t="str">
        <f t="shared" si="2052"/>
        <v>OLMP-27JUN1923</v>
      </c>
      <c r="C4885" s="11" t="s">
        <v>2469</v>
      </c>
      <c r="D4885" s="11" t="s">
        <v>3619</v>
      </c>
      <c r="E4885" s="39" t="s">
        <v>4973</v>
      </c>
      <c r="F4885" s="11" t="s">
        <v>1700</v>
      </c>
      <c r="G4885" s="39" t="s">
        <v>1167</v>
      </c>
      <c r="H4885" s="7">
        <v>0</v>
      </c>
      <c r="I4885" s="7">
        <v>1</v>
      </c>
      <c r="J4885" s="17">
        <v>1</v>
      </c>
      <c r="K4885" s="17"/>
      <c r="L4885" s="7">
        <f t="shared" si="2053"/>
        <v>2</v>
      </c>
      <c r="M4885" s="8">
        <v>1</v>
      </c>
      <c r="N4885" s="8">
        <f t="shared" si="2054"/>
        <v>1</v>
      </c>
      <c r="O4885" s="11" t="s">
        <v>1702</v>
      </c>
      <c r="P4885" s="16" t="str">
        <f t="shared" si="2055"/>
        <v>27-Jun-1923</v>
      </c>
      <c r="R4885" s="16" t="str">
        <f t="shared" si="2065"/>
        <v>x</v>
      </c>
      <c r="S4885" s="16" t="str">
        <f t="shared" si="2065"/>
        <v>x</v>
      </c>
      <c r="U4885" s="46" t="str">
        <f t="shared" ref="U4885:X4900" si="2066">IF($O4885=U$5,$L4885,"")</f>
        <v/>
      </c>
      <c r="V4885" s="46">
        <f t="shared" si="2066"/>
        <v>2</v>
      </c>
      <c r="W4885" s="46" t="str">
        <f t="shared" si="2066"/>
        <v/>
      </c>
      <c r="X4885" s="46" t="str">
        <f t="shared" si="2066"/>
        <v/>
      </c>
    </row>
    <row r="4886" spans="2:24" x14ac:dyDescent="0.25">
      <c r="B4886" s="11" t="str">
        <f t="shared" ref="B4886:B4902" si="2067">CONCATENATE("OLMP","-",LEFT(P4886,2),UPPER(MID(P4886,4,3)),RIGHT(P4886,4))</f>
        <v>OLMP-29JUL1924</v>
      </c>
      <c r="C4886" s="11" t="s">
        <v>2469</v>
      </c>
      <c r="D4886" s="11" t="s">
        <v>2224</v>
      </c>
      <c r="E4886" s="39" t="s">
        <v>5532</v>
      </c>
      <c r="F4886" s="11" t="s">
        <v>1700</v>
      </c>
      <c r="G4886" s="39" t="s">
        <v>5533</v>
      </c>
      <c r="H4886" s="7">
        <v>0</v>
      </c>
      <c r="I4886" s="7">
        <v>6</v>
      </c>
      <c r="J4886" s="17">
        <f>1+1</f>
        <v>2</v>
      </c>
      <c r="K4886" s="17"/>
      <c r="L4886" s="7">
        <f t="shared" ref="L4886:L4902" si="2068">SUM(H4886:K4886)</f>
        <v>8</v>
      </c>
      <c r="M4886" s="8">
        <v>1</v>
      </c>
      <c r="N4886" s="8">
        <f t="shared" ref="N4886:N4902" si="2069">IF(L4886&gt;0,1,"")</f>
        <v>1</v>
      </c>
      <c r="O4886" s="11" t="s">
        <v>1702</v>
      </c>
      <c r="P4886" s="16" t="str">
        <f t="shared" ref="P4886:P4902" si="2070">IF(LEN(G4886)=10,CONCATENATE("0",G4886),G4886)</f>
        <v>29-Jul-1924</v>
      </c>
      <c r="R4886" s="16" t="str">
        <f t="shared" si="2065"/>
        <v>x</v>
      </c>
      <c r="S4886" s="16" t="str">
        <f t="shared" si="2065"/>
        <v>x</v>
      </c>
      <c r="U4886" s="46" t="str">
        <f t="shared" si="2066"/>
        <v/>
      </c>
      <c r="V4886" s="46">
        <f t="shared" si="2066"/>
        <v>8</v>
      </c>
      <c r="W4886" s="46" t="str">
        <f t="shared" si="2066"/>
        <v/>
      </c>
      <c r="X4886" s="46" t="str">
        <f t="shared" si="2066"/>
        <v/>
      </c>
    </row>
    <row r="4887" spans="2:24" x14ac:dyDescent="0.25">
      <c r="B4887" s="11" t="str">
        <f t="shared" si="2067"/>
        <v>OLMP-24DEC1924</v>
      </c>
      <c r="C4887" s="11" t="s">
        <v>2469</v>
      </c>
      <c r="D4887" s="11" t="s">
        <v>2224</v>
      </c>
      <c r="E4887" s="39" t="s">
        <v>4405</v>
      </c>
      <c r="F4887" s="11" t="s">
        <v>1700</v>
      </c>
      <c r="G4887" s="39" t="s">
        <v>4406</v>
      </c>
      <c r="H4887" s="7">
        <v>0</v>
      </c>
      <c r="I4887" s="7">
        <v>5</v>
      </c>
      <c r="J4887" s="17">
        <f>11+6</f>
        <v>17</v>
      </c>
      <c r="K4887" s="17"/>
      <c r="L4887" s="7">
        <f t="shared" si="2068"/>
        <v>22</v>
      </c>
      <c r="M4887" s="8">
        <v>1</v>
      </c>
      <c r="N4887" s="8">
        <f t="shared" si="2069"/>
        <v>1</v>
      </c>
      <c r="O4887" s="11" t="s">
        <v>1702</v>
      </c>
      <c r="P4887" s="16" t="str">
        <f t="shared" si="2070"/>
        <v>24-Dec-1924</v>
      </c>
      <c r="R4887" s="16" t="str">
        <f t="shared" si="2065"/>
        <v>x</v>
      </c>
      <c r="S4887" s="16" t="str">
        <f t="shared" si="2065"/>
        <v>x</v>
      </c>
      <c r="U4887" s="46" t="str">
        <f t="shared" si="2066"/>
        <v/>
      </c>
      <c r="V4887" s="46">
        <f t="shared" si="2066"/>
        <v>22</v>
      </c>
      <c r="W4887" s="46" t="str">
        <f t="shared" si="2066"/>
        <v/>
      </c>
      <c r="X4887" s="46" t="str">
        <f t="shared" si="2066"/>
        <v/>
      </c>
    </row>
    <row r="4888" spans="2:24" x14ac:dyDescent="0.25">
      <c r="B4888" s="11" t="str">
        <f t="shared" si="2067"/>
        <v>OLMP-04MAR1925</v>
      </c>
      <c r="C4888" s="11" t="s">
        <v>2469</v>
      </c>
      <c r="D4888" s="11" t="s">
        <v>2224</v>
      </c>
      <c r="E4888" s="39" t="s">
        <v>11450</v>
      </c>
      <c r="F4888" s="11" t="s">
        <v>1700</v>
      </c>
      <c r="G4888" s="39" t="s">
        <v>11449</v>
      </c>
      <c r="H4888" s="7">
        <v>0</v>
      </c>
      <c r="I4888" s="7">
        <v>0</v>
      </c>
      <c r="J4888" s="17">
        <f>6+1</f>
        <v>7</v>
      </c>
      <c r="K4888" s="17"/>
      <c r="L4888" s="7">
        <f t="shared" si="2068"/>
        <v>7</v>
      </c>
      <c r="M4888" s="8">
        <v>1</v>
      </c>
      <c r="N4888" s="8">
        <f t="shared" si="2069"/>
        <v>1</v>
      </c>
      <c r="O4888" s="11" t="s">
        <v>1702</v>
      </c>
      <c r="P4888" s="16" t="str">
        <f t="shared" si="2070"/>
        <v>04-Mar-1925</v>
      </c>
      <c r="R4888" s="16" t="str">
        <f t="shared" ref="R4888:S4893" si="2071">IF($L4888&gt;0,"x","")</f>
        <v>x</v>
      </c>
      <c r="S4888" s="16" t="str">
        <f t="shared" si="2065"/>
        <v>x</v>
      </c>
      <c r="U4888" s="46" t="str">
        <f t="shared" si="2066"/>
        <v/>
      </c>
      <c r="V4888" s="46">
        <f t="shared" si="2066"/>
        <v>7</v>
      </c>
      <c r="W4888" s="46" t="str">
        <f t="shared" si="2066"/>
        <v/>
      </c>
      <c r="X4888" s="46" t="str">
        <f t="shared" si="2066"/>
        <v/>
      </c>
    </row>
    <row r="4889" spans="2:24" x14ac:dyDescent="0.25">
      <c r="B4889" s="11" t="str">
        <f t="shared" si="2067"/>
        <v>OLMP-17JUN1925</v>
      </c>
      <c r="C4889" s="11" t="s">
        <v>2469</v>
      </c>
      <c r="D4889" s="11" t="s">
        <v>2224</v>
      </c>
      <c r="E4889" s="39" t="s">
        <v>5328</v>
      </c>
      <c r="F4889" s="11" t="s">
        <v>1700</v>
      </c>
      <c r="G4889" s="39" t="s">
        <v>5329</v>
      </c>
      <c r="H4889" s="7">
        <v>0</v>
      </c>
      <c r="I4889" s="7">
        <v>0</v>
      </c>
      <c r="J4889" s="17">
        <f>2+1</f>
        <v>3</v>
      </c>
      <c r="K4889" s="17"/>
      <c r="L4889" s="7">
        <f t="shared" si="2068"/>
        <v>3</v>
      </c>
      <c r="M4889" s="8">
        <v>1</v>
      </c>
      <c r="N4889" s="8">
        <f t="shared" si="2069"/>
        <v>1</v>
      </c>
      <c r="O4889" s="11" t="s">
        <v>1702</v>
      </c>
      <c r="P4889" s="16" t="str">
        <f t="shared" si="2070"/>
        <v>17-Jun-1925</v>
      </c>
      <c r="R4889" s="16" t="str">
        <f t="shared" si="2071"/>
        <v>x</v>
      </c>
      <c r="S4889" s="16" t="str">
        <f t="shared" si="2071"/>
        <v>x</v>
      </c>
      <c r="U4889" s="46" t="str">
        <f t="shared" si="2066"/>
        <v/>
      </c>
      <c r="V4889" s="46">
        <f t="shared" si="2066"/>
        <v>3</v>
      </c>
      <c r="W4889" s="46" t="str">
        <f t="shared" si="2066"/>
        <v/>
      </c>
      <c r="X4889" s="46" t="str">
        <f t="shared" si="2066"/>
        <v/>
      </c>
    </row>
    <row r="4890" spans="2:24" x14ac:dyDescent="0.25">
      <c r="B4890" s="11" t="str">
        <f t="shared" si="2067"/>
        <v>OLMP-28SEP1926</v>
      </c>
      <c r="C4890" s="11" t="s">
        <v>2469</v>
      </c>
      <c r="D4890" s="11" t="s">
        <v>2224</v>
      </c>
      <c r="E4890" s="39" t="s">
        <v>4860</v>
      </c>
      <c r="F4890" s="11" t="s">
        <v>1700</v>
      </c>
      <c r="G4890" s="39" t="s">
        <v>11476</v>
      </c>
      <c r="H4890" s="7">
        <v>0</v>
      </c>
      <c r="I4890" s="7">
        <f>5+1</f>
        <v>6</v>
      </c>
      <c r="J4890" s="17">
        <v>5</v>
      </c>
      <c r="K4890" s="17"/>
      <c r="L4890" s="7">
        <f t="shared" si="2068"/>
        <v>11</v>
      </c>
      <c r="M4890" s="8">
        <v>1</v>
      </c>
      <c r="N4890" s="8">
        <f t="shared" si="2069"/>
        <v>1</v>
      </c>
      <c r="O4890" s="11" t="s">
        <v>1702</v>
      </c>
      <c r="P4890" s="16" t="str">
        <f t="shared" si="2070"/>
        <v>28-Sep-1926</v>
      </c>
      <c r="R4890" s="16" t="str">
        <f t="shared" si="2071"/>
        <v>x</v>
      </c>
      <c r="S4890" s="16" t="str">
        <f t="shared" si="2071"/>
        <v>x</v>
      </c>
      <c r="U4890" s="46" t="str">
        <f t="shared" si="2066"/>
        <v/>
      </c>
      <c r="V4890" s="46">
        <f t="shared" si="2066"/>
        <v>11</v>
      </c>
      <c r="W4890" s="46" t="str">
        <f t="shared" si="2066"/>
        <v/>
      </c>
      <c r="X4890" s="46" t="str">
        <f t="shared" si="2066"/>
        <v/>
      </c>
    </row>
    <row r="4891" spans="2:24" x14ac:dyDescent="0.25">
      <c r="B4891" s="11" t="str">
        <f t="shared" si="2067"/>
        <v>OLMP-10NOV1926</v>
      </c>
      <c r="C4891" s="11" t="s">
        <v>2469</v>
      </c>
      <c r="D4891" s="11" t="s">
        <v>2224</v>
      </c>
      <c r="E4891" s="39" t="s">
        <v>11248</v>
      </c>
      <c r="F4891" s="11" t="s">
        <v>1700</v>
      </c>
      <c r="G4891" s="39" t="s">
        <v>5084</v>
      </c>
      <c r="H4891" s="7">
        <f>0+1</f>
        <v>1</v>
      </c>
      <c r="I4891" s="7">
        <f>1+1</f>
        <v>2</v>
      </c>
      <c r="J4891" s="17">
        <v>4</v>
      </c>
      <c r="K4891" s="17"/>
      <c r="L4891" s="7">
        <f t="shared" si="2068"/>
        <v>7</v>
      </c>
      <c r="M4891" s="8">
        <v>1</v>
      </c>
      <c r="N4891" s="8">
        <f t="shared" si="2069"/>
        <v>1</v>
      </c>
      <c r="O4891" s="11" t="s">
        <v>1702</v>
      </c>
      <c r="P4891" s="16" t="str">
        <f t="shared" si="2070"/>
        <v>10-Nov-1926</v>
      </c>
      <c r="R4891" s="16" t="str">
        <f t="shared" si="2071"/>
        <v>x</v>
      </c>
      <c r="S4891" s="16" t="str">
        <f t="shared" si="2071"/>
        <v>x</v>
      </c>
      <c r="U4891" s="46" t="str">
        <f t="shared" si="2066"/>
        <v/>
      </c>
      <c r="V4891" s="46">
        <f t="shared" si="2066"/>
        <v>7</v>
      </c>
      <c r="W4891" s="46" t="str">
        <f t="shared" si="2066"/>
        <v/>
      </c>
      <c r="X4891" s="46" t="str">
        <f t="shared" si="2066"/>
        <v/>
      </c>
    </row>
    <row r="4892" spans="2:24" x14ac:dyDescent="0.25">
      <c r="B4892" s="11" t="str">
        <f t="shared" si="2067"/>
        <v>OLMP-02MAR1927</v>
      </c>
      <c r="C4892" s="11" t="s">
        <v>2469</v>
      </c>
      <c r="D4892" s="11" t="s">
        <v>2224</v>
      </c>
      <c r="E4892" s="39" t="s">
        <v>5743</v>
      </c>
      <c r="F4892" s="11" t="s">
        <v>1700</v>
      </c>
      <c r="G4892" s="39" t="s">
        <v>5744</v>
      </c>
      <c r="H4892" s="7">
        <v>0</v>
      </c>
      <c r="I4892" s="7">
        <f>4+1</f>
        <v>5</v>
      </c>
      <c r="J4892" s="17">
        <v>12</v>
      </c>
      <c r="K4892" s="17"/>
      <c r="L4892" s="7">
        <f t="shared" si="2068"/>
        <v>17</v>
      </c>
      <c r="M4892" s="8">
        <v>1</v>
      </c>
      <c r="N4892" s="8">
        <f t="shared" si="2069"/>
        <v>1</v>
      </c>
      <c r="O4892" s="11" t="s">
        <v>1702</v>
      </c>
      <c r="P4892" s="16" t="str">
        <f t="shared" si="2070"/>
        <v>02-Mar-1927</v>
      </c>
      <c r="R4892" s="16" t="str">
        <f t="shared" si="2071"/>
        <v>x</v>
      </c>
      <c r="S4892" s="16" t="str">
        <f t="shared" si="2071"/>
        <v>x</v>
      </c>
      <c r="U4892" s="46" t="str">
        <f t="shared" si="2066"/>
        <v/>
      </c>
      <c r="V4892" s="46">
        <f t="shared" si="2066"/>
        <v>17</v>
      </c>
      <c r="W4892" s="46" t="str">
        <f t="shared" si="2066"/>
        <v/>
      </c>
      <c r="X4892" s="46" t="str">
        <f t="shared" si="2066"/>
        <v/>
      </c>
    </row>
    <row r="4893" spans="2:24" x14ac:dyDescent="0.25">
      <c r="B4893" s="11" t="str">
        <f t="shared" si="2067"/>
        <v>OLMP-24MAY1927</v>
      </c>
      <c r="C4893" s="11" t="s">
        <v>2469</v>
      </c>
      <c r="D4893" s="11" t="s">
        <v>2224</v>
      </c>
      <c r="E4893" s="39" t="s">
        <v>5621</v>
      </c>
      <c r="F4893" s="11" t="s">
        <v>1700</v>
      </c>
      <c r="G4893" s="39" t="s">
        <v>5622</v>
      </c>
      <c r="H4893" s="7">
        <f>0+1</f>
        <v>1</v>
      </c>
      <c r="I4893" s="7">
        <f>2</f>
        <v>2</v>
      </c>
      <c r="J4893" s="17">
        <v>9</v>
      </c>
      <c r="K4893" s="17"/>
      <c r="L4893" s="7">
        <f t="shared" si="2068"/>
        <v>12</v>
      </c>
      <c r="M4893" s="8">
        <v>1</v>
      </c>
      <c r="N4893" s="8">
        <f t="shared" si="2069"/>
        <v>1</v>
      </c>
      <c r="O4893" s="11" t="s">
        <v>1702</v>
      </c>
      <c r="P4893" s="16" t="str">
        <f t="shared" si="2070"/>
        <v>24-May-1927</v>
      </c>
      <c r="R4893" s="16" t="str">
        <f t="shared" si="2071"/>
        <v>x</v>
      </c>
      <c r="S4893" s="16" t="str">
        <f t="shared" si="2071"/>
        <v>x</v>
      </c>
      <c r="U4893" s="46" t="str">
        <f t="shared" si="2066"/>
        <v/>
      </c>
      <c r="V4893" s="46">
        <f t="shared" si="2066"/>
        <v>12</v>
      </c>
      <c r="W4893" s="46" t="str">
        <f t="shared" si="2066"/>
        <v/>
      </c>
      <c r="X4893" s="46" t="str">
        <f t="shared" si="2066"/>
        <v/>
      </c>
    </row>
    <row r="4894" spans="2:24" x14ac:dyDescent="0.25">
      <c r="B4894" s="11" t="str">
        <f t="shared" si="2067"/>
        <v>OLMP-23AUG1927</v>
      </c>
      <c r="C4894" s="11" t="s">
        <v>2469</v>
      </c>
      <c r="D4894" s="11" t="s">
        <v>2224</v>
      </c>
      <c r="E4894" s="39" t="s">
        <v>4898</v>
      </c>
      <c r="F4894" s="11" t="s">
        <v>1700</v>
      </c>
      <c r="G4894" s="39" t="s">
        <v>4899</v>
      </c>
      <c r="H4894" s="7">
        <v>0</v>
      </c>
      <c r="I4894" s="7">
        <v>0</v>
      </c>
      <c r="J4894" s="17">
        <v>5</v>
      </c>
      <c r="K4894" s="17"/>
      <c r="L4894" s="7">
        <f t="shared" si="2068"/>
        <v>5</v>
      </c>
      <c r="M4894" s="8">
        <v>1</v>
      </c>
      <c r="N4894" s="8">
        <f t="shared" si="2069"/>
        <v>1</v>
      </c>
      <c r="O4894" s="11" t="s">
        <v>1702</v>
      </c>
      <c r="P4894" s="16" t="str">
        <f t="shared" si="2070"/>
        <v>23-Aug-1927</v>
      </c>
      <c r="R4894" s="16" t="str">
        <f t="shared" si="2065"/>
        <v>x</v>
      </c>
      <c r="S4894" s="16" t="str">
        <f t="shared" si="2065"/>
        <v>x</v>
      </c>
      <c r="U4894" s="46" t="str">
        <f t="shared" si="2066"/>
        <v/>
      </c>
      <c r="V4894" s="46">
        <f t="shared" si="2066"/>
        <v>5</v>
      </c>
      <c r="W4894" s="46" t="str">
        <f t="shared" si="2066"/>
        <v/>
      </c>
      <c r="X4894" s="46" t="str">
        <f t="shared" si="2066"/>
        <v/>
      </c>
    </row>
    <row r="4895" spans="2:24" x14ac:dyDescent="0.25">
      <c r="B4895" s="11" t="str">
        <f t="shared" si="2067"/>
        <v>OLMP-01FEB1928</v>
      </c>
      <c r="C4895" s="11" t="s">
        <v>2469</v>
      </c>
      <c r="D4895" s="11" t="s">
        <v>2224</v>
      </c>
      <c r="E4895" s="39" t="s">
        <v>5619</v>
      </c>
      <c r="F4895" s="11" t="s">
        <v>1700</v>
      </c>
      <c r="G4895" s="39" t="s">
        <v>5620</v>
      </c>
      <c r="H4895" s="7">
        <v>0</v>
      </c>
      <c r="I4895" s="7">
        <f>1+1</f>
        <v>2</v>
      </c>
      <c r="J4895" s="17">
        <f>4+1</f>
        <v>5</v>
      </c>
      <c r="K4895" s="17"/>
      <c r="L4895" s="7">
        <f t="shared" si="2068"/>
        <v>7</v>
      </c>
      <c r="M4895" s="8">
        <v>1</v>
      </c>
      <c r="N4895" s="8">
        <f t="shared" si="2069"/>
        <v>1</v>
      </c>
      <c r="O4895" s="11" t="s">
        <v>1702</v>
      </c>
      <c r="P4895" s="16" t="str">
        <f t="shared" si="2070"/>
        <v>01-Feb-1928</v>
      </c>
      <c r="R4895" s="16" t="str">
        <f t="shared" si="2065"/>
        <v>x</v>
      </c>
      <c r="S4895" s="16" t="str">
        <f t="shared" si="2065"/>
        <v>x</v>
      </c>
      <c r="U4895" s="46" t="str">
        <f t="shared" si="2066"/>
        <v/>
      </c>
      <c r="V4895" s="46">
        <f t="shared" si="2066"/>
        <v>7</v>
      </c>
      <c r="W4895" s="46" t="str">
        <f t="shared" si="2066"/>
        <v/>
      </c>
      <c r="X4895" s="46" t="str">
        <f t="shared" si="2066"/>
        <v/>
      </c>
    </row>
    <row r="4896" spans="2:24" x14ac:dyDescent="0.25">
      <c r="B4896" s="11" t="str">
        <f t="shared" si="2067"/>
        <v>OLMP-28AUG1928</v>
      </c>
      <c r="C4896" s="11" t="s">
        <v>2469</v>
      </c>
      <c r="D4896" s="11" t="s">
        <v>2224</v>
      </c>
      <c r="E4896" s="39" t="s">
        <v>11133</v>
      </c>
      <c r="F4896" s="11" t="s">
        <v>1700</v>
      </c>
      <c r="G4896" s="39" t="s">
        <v>11134</v>
      </c>
      <c r="H4896" s="7">
        <v>0</v>
      </c>
      <c r="I4896" s="7">
        <v>1</v>
      </c>
      <c r="J4896" s="17">
        <f>3+3</f>
        <v>6</v>
      </c>
      <c r="K4896" s="17"/>
      <c r="L4896" s="7">
        <f t="shared" si="2068"/>
        <v>7</v>
      </c>
      <c r="M4896" s="8">
        <v>1</v>
      </c>
      <c r="N4896" s="8">
        <f t="shared" si="2069"/>
        <v>1</v>
      </c>
      <c r="O4896" s="11" t="s">
        <v>1702</v>
      </c>
      <c r="P4896" s="16" t="str">
        <f t="shared" si="2070"/>
        <v>28-Aug-1928</v>
      </c>
      <c r="R4896" s="16" t="str">
        <f>IF($L4896&gt;0,"x","")</f>
        <v>x</v>
      </c>
      <c r="S4896" s="16" t="str">
        <f>IF($L4896&gt;0,"x","")</f>
        <v>x</v>
      </c>
      <c r="U4896" s="46" t="str">
        <f t="shared" si="2066"/>
        <v/>
      </c>
      <c r="V4896" s="46">
        <f t="shared" si="2066"/>
        <v>7</v>
      </c>
      <c r="W4896" s="46" t="str">
        <f t="shared" si="2066"/>
        <v/>
      </c>
      <c r="X4896" s="46" t="str">
        <f t="shared" si="2066"/>
        <v/>
      </c>
    </row>
    <row r="4897" spans="2:26" x14ac:dyDescent="0.25">
      <c r="B4897" s="11" t="str">
        <f t="shared" si="2067"/>
        <v>OLMP-30OCT1928</v>
      </c>
      <c r="C4897" s="11" t="s">
        <v>2469</v>
      </c>
      <c r="D4897" s="11" t="s">
        <v>2224</v>
      </c>
      <c r="E4897" s="39" t="s">
        <v>6289</v>
      </c>
      <c r="F4897" s="11" t="s">
        <v>1700</v>
      </c>
      <c r="G4897" s="39" t="s">
        <v>6290</v>
      </c>
      <c r="H4897" s="7">
        <f>0+1</f>
        <v>1</v>
      </c>
      <c r="I4897" s="7">
        <v>1</v>
      </c>
      <c r="J4897" s="17">
        <v>2</v>
      </c>
      <c r="K4897" s="17"/>
      <c r="L4897" s="7">
        <f t="shared" si="2068"/>
        <v>4</v>
      </c>
      <c r="M4897" s="8">
        <v>1</v>
      </c>
      <c r="N4897" s="8">
        <f t="shared" si="2069"/>
        <v>1</v>
      </c>
      <c r="O4897" s="11" t="s">
        <v>1702</v>
      </c>
      <c r="P4897" s="16" t="str">
        <f t="shared" si="2070"/>
        <v>30-Oct-1928</v>
      </c>
      <c r="R4897" s="16" t="str">
        <f t="shared" si="2065"/>
        <v>x</v>
      </c>
      <c r="S4897" s="16" t="str">
        <f t="shared" si="2065"/>
        <v>x</v>
      </c>
      <c r="U4897" s="46" t="str">
        <f t="shared" si="2066"/>
        <v/>
      </c>
      <c r="V4897" s="46">
        <f t="shared" si="2066"/>
        <v>4</v>
      </c>
      <c r="W4897" s="46" t="str">
        <f t="shared" si="2066"/>
        <v/>
      </c>
      <c r="X4897" s="46" t="str">
        <f t="shared" si="2066"/>
        <v/>
      </c>
    </row>
    <row r="4898" spans="2:26" x14ac:dyDescent="0.25">
      <c r="B4898" s="11" t="str">
        <f t="shared" si="2067"/>
        <v>OLMP-13MAR1929</v>
      </c>
      <c r="C4898" s="11" t="s">
        <v>2469</v>
      </c>
      <c r="D4898" s="11" t="s">
        <v>2224</v>
      </c>
      <c r="E4898" s="39" t="s">
        <v>5767</v>
      </c>
      <c r="F4898" s="11" t="s">
        <v>1700</v>
      </c>
      <c r="G4898" s="39" t="s">
        <v>11437</v>
      </c>
      <c r="H4898" s="7">
        <v>0</v>
      </c>
      <c r="I4898" s="7">
        <v>1</v>
      </c>
      <c r="J4898" s="17">
        <v>7</v>
      </c>
      <c r="K4898" s="17"/>
      <c r="L4898" s="7">
        <f t="shared" si="2068"/>
        <v>8</v>
      </c>
      <c r="M4898" s="8">
        <v>1</v>
      </c>
      <c r="N4898" s="8">
        <f t="shared" si="2069"/>
        <v>1</v>
      </c>
      <c r="O4898" s="11" t="s">
        <v>1702</v>
      </c>
      <c r="P4898" s="16" t="str">
        <f t="shared" si="2070"/>
        <v>13-Mar-1929</v>
      </c>
      <c r="R4898" s="16" t="str">
        <f t="shared" si="2065"/>
        <v>x</v>
      </c>
      <c r="S4898" s="16" t="str">
        <f t="shared" si="2065"/>
        <v>x</v>
      </c>
      <c r="U4898" s="46" t="str">
        <f t="shared" si="2066"/>
        <v/>
      </c>
      <c r="V4898" s="46">
        <f t="shared" si="2066"/>
        <v>8</v>
      </c>
      <c r="W4898" s="46" t="str">
        <f t="shared" si="2066"/>
        <v/>
      </c>
      <c r="X4898" s="46" t="str">
        <f t="shared" si="2066"/>
        <v/>
      </c>
    </row>
    <row r="4899" spans="2:26" x14ac:dyDescent="0.25">
      <c r="B4899" s="11" t="str">
        <f t="shared" si="2067"/>
        <v>OLMP-27AUG1929</v>
      </c>
      <c r="C4899" s="11" t="s">
        <v>2469</v>
      </c>
      <c r="D4899" s="11" t="s">
        <v>2224</v>
      </c>
      <c r="E4899" s="39" t="s">
        <v>4565</v>
      </c>
      <c r="F4899" s="11" t="s">
        <v>1700</v>
      </c>
      <c r="G4899" s="39" t="s">
        <v>5899</v>
      </c>
      <c r="H4899" s="7">
        <v>0</v>
      </c>
      <c r="I4899" s="7">
        <f>0+1</f>
        <v>1</v>
      </c>
      <c r="J4899" s="17">
        <f>3+2</f>
        <v>5</v>
      </c>
      <c r="K4899" s="17"/>
      <c r="L4899" s="7">
        <f t="shared" si="2068"/>
        <v>6</v>
      </c>
      <c r="M4899" s="8">
        <v>1</v>
      </c>
      <c r="N4899" s="8">
        <f t="shared" si="2069"/>
        <v>1</v>
      </c>
      <c r="O4899" s="11" t="s">
        <v>1702</v>
      </c>
      <c r="P4899" s="16" t="str">
        <f t="shared" si="2070"/>
        <v>27-Aug-1929</v>
      </c>
      <c r="R4899" s="16" t="str">
        <f t="shared" si="2065"/>
        <v>x</v>
      </c>
      <c r="S4899" s="16" t="str">
        <f t="shared" si="2065"/>
        <v>x</v>
      </c>
      <c r="U4899" s="46" t="str">
        <f t="shared" si="2066"/>
        <v/>
      </c>
      <c r="V4899" s="46">
        <f t="shared" si="2066"/>
        <v>6</v>
      </c>
      <c r="W4899" s="46" t="str">
        <f t="shared" si="2066"/>
        <v/>
      </c>
      <c r="X4899" s="46" t="str">
        <f t="shared" si="2066"/>
        <v/>
      </c>
    </row>
    <row r="4900" spans="2:26" x14ac:dyDescent="0.25">
      <c r="B4900" s="11" t="str">
        <f t="shared" si="2067"/>
        <v>OLMP-17SEP1929</v>
      </c>
      <c r="C4900" s="11" t="s">
        <v>2469</v>
      </c>
      <c r="D4900" s="11" t="s">
        <v>2224</v>
      </c>
      <c r="E4900" s="39" t="s">
        <v>5498</v>
      </c>
      <c r="F4900" s="11" t="s">
        <v>1700</v>
      </c>
      <c r="G4900" s="39" t="s">
        <v>5499</v>
      </c>
      <c r="H4900" s="7">
        <v>0</v>
      </c>
      <c r="I4900" s="7">
        <v>1</v>
      </c>
      <c r="J4900" s="17">
        <f>4+2</f>
        <v>6</v>
      </c>
      <c r="K4900" s="17"/>
      <c r="L4900" s="7">
        <f t="shared" si="2068"/>
        <v>7</v>
      </c>
      <c r="M4900" s="8">
        <v>1</v>
      </c>
      <c r="N4900" s="8">
        <f t="shared" si="2069"/>
        <v>1</v>
      </c>
      <c r="O4900" s="11" t="s">
        <v>1702</v>
      </c>
      <c r="P4900" s="16" t="str">
        <f t="shared" si="2070"/>
        <v>17-Sep-1929</v>
      </c>
      <c r="R4900" s="16" t="str">
        <f t="shared" si="2065"/>
        <v>x</v>
      </c>
      <c r="S4900" s="16" t="str">
        <f t="shared" si="2065"/>
        <v>x</v>
      </c>
      <c r="U4900" s="46" t="str">
        <f t="shared" si="2066"/>
        <v/>
      </c>
      <c r="V4900" s="46">
        <f t="shared" si="2066"/>
        <v>7</v>
      </c>
      <c r="W4900" s="46" t="str">
        <f t="shared" si="2066"/>
        <v/>
      </c>
      <c r="X4900" s="46" t="str">
        <f t="shared" si="2066"/>
        <v/>
      </c>
    </row>
    <row r="4901" spans="2:26" x14ac:dyDescent="0.25">
      <c r="B4901" s="11" t="str">
        <f t="shared" si="2067"/>
        <v>OLMP-17DEC1929</v>
      </c>
      <c r="C4901" s="11" t="s">
        <v>2469</v>
      </c>
      <c r="D4901" s="11" t="s">
        <v>2224</v>
      </c>
      <c r="E4901" s="39" t="s">
        <v>5009</v>
      </c>
      <c r="F4901" s="11" t="s">
        <v>1700</v>
      </c>
      <c r="G4901" s="39" t="s">
        <v>5010</v>
      </c>
      <c r="H4901" s="7">
        <v>0</v>
      </c>
      <c r="I4901" s="7">
        <v>2</v>
      </c>
      <c r="J4901" s="17">
        <f>11+2</f>
        <v>13</v>
      </c>
      <c r="K4901" s="17"/>
      <c r="L4901" s="7">
        <f t="shared" si="2068"/>
        <v>15</v>
      </c>
      <c r="M4901" s="8">
        <v>1</v>
      </c>
      <c r="N4901" s="8">
        <f t="shared" si="2069"/>
        <v>1</v>
      </c>
      <c r="O4901" s="11" t="s">
        <v>1702</v>
      </c>
      <c r="P4901" s="16" t="str">
        <f t="shared" si="2070"/>
        <v>17-Dec-1929</v>
      </c>
      <c r="R4901" s="16" t="str">
        <f t="shared" si="2065"/>
        <v>x</v>
      </c>
      <c r="S4901" s="16" t="str">
        <f t="shared" si="2065"/>
        <v>x</v>
      </c>
      <c r="U4901" s="46" t="str">
        <f t="shared" si="2060"/>
        <v/>
      </c>
      <c r="V4901" s="46">
        <f t="shared" si="2060"/>
        <v>15</v>
      </c>
      <c r="W4901" s="46" t="str">
        <f t="shared" si="2060"/>
        <v/>
      </c>
      <c r="X4901" s="46" t="str">
        <f t="shared" si="2060"/>
        <v/>
      </c>
    </row>
    <row r="4902" spans="2:26" x14ac:dyDescent="0.25">
      <c r="B4902" s="11" t="str">
        <f t="shared" si="2067"/>
        <v>OLMP-03NOV1931</v>
      </c>
      <c r="C4902" s="11" t="s">
        <v>2469</v>
      </c>
      <c r="D4902" s="11" t="s">
        <v>2224</v>
      </c>
      <c r="E4902" s="39" t="s">
        <v>11389</v>
      </c>
      <c r="F4902" s="11" t="s">
        <v>1700</v>
      </c>
      <c r="G4902" s="39" t="s">
        <v>11390</v>
      </c>
      <c r="H4902" s="7">
        <v>0</v>
      </c>
      <c r="J4902" s="17">
        <f>4+2</f>
        <v>6</v>
      </c>
      <c r="K4902" s="17"/>
      <c r="L4902" s="7">
        <f t="shared" si="2068"/>
        <v>6</v>
      </c>
      <c r="M4902" s="8">
        <v>1</v>
      </c>
      <c r="N4902" s="8">
        <f t="shared" si="2069"/>
        <v>1</v>
      </c>
      <c r="O4902" s="11" t="s">
        <v>1702</v>
      </c>
      <c r="P4902" s="16" t="str">
        <f t="shared" si="2070"/>
        <v>03-Nov-1931</v>
      </c>
      <c r="R4902" s="16" t="str">
        <f>IF($L4902&gt;0,"x","")</f>
        <v>x</v>
      </c>
      <c r="S4902" s="16" t="str">
        <f>IF($L4902&gt;0,"x","")</f>
        <v>x</v>
      </c>
      <c r="U4902" s="46" t="str">
        <f>IF($O4902=U$5,$L4902,"")</f>
        <v/>
      </c>
      <c r="V4902" s="46">
        <f>IF($O4902=V$5,$L4902,"")</f>
        <v>6</v>
      </c>
      <c r="W4902" s="46" t="str">
        <f>IF($O4902=W$5,$L4902,"")</f>
        <v/>
      </c>
      <c r="X4902" s="46" t="str">
        <f>IF($O4902=X$5,$L4902,"")</f>
        <v/>
      </c>
    </row>
    <row r="4903" spans="2:26" x14ac:dyDescent="0.25">
      <c r="N4903" s="8" t="str">
        <f>IF(R4903="x",1,"")</f>
        <v/>
      </c>
      <c r="U4903" s="46" t="str">
        <f t="shared" si="2060"/>
        <v/>
      </c>
      <c r="V4903" s="46" t="str">
        <f t="shared" si="2060"/>
        <v/>
      </c>
      <c r="W4903" s="46" t="str">
        <f t="shared" si="2060"/>
        <v/>
      </c>
      <c r="X4903" s="46" t="str">
        <f t="shared" si="2060"/>
        <v/>
      </c>
    </row>
    <row r="4904" spans="2:26" x14ac:dyDescent="0.25">
      <c r="B4904" s="18"/>
      <c r="C4904" s="18"/>
      <c r="D4904" s="18"/>
      <c r="E4904" s="40"/>
      <c r="F4904" s="18"/>
      <c r="G4904" s="40"/>
      <c r="H4904" s="7">
        <f t="shared" ref="H4904:N4904" si="2072">SUM(H4830:H4903)</f>
        <v>23</v>
      </c>
      <c r="I4904" s="7">
        <f t="shared" si="2072"/>
        <v>58</v>
      </c>
      <c r="J4904" s="7">
        <f t="shared" si="2072"/>
        <v>574</v>
      </c>
      <c r="K4904" s="7">
        <f t="shared" si="2072"/>
        <v>0</v>
      </c>
      <c r="L4904" s="7">
        <f t="shared" si="2072"/>
        <v>655</v>
      </c>
      <c r="M4904" s="7">
        <f t="shared" si="2072"/>
        <v>73</v>
      </c>
      <c r="N4904" s="7">
        <f t="shared" si="2072"/>
        <v>63</v>
      </c>
      <c r="O4904" s="18"/>
      <c r="P4904" s="13"/>
      <c r="Q4904" s="13"/>
      <c r="S4904" s="13"/>
      <c r="T4904" s="15"/>
      <c r="U4904" s="46" t="str">
        <f t="shared" si="2060"/>
        <v/>
      </c>
      <c r="V4904" s="46" t="str">
        <f t="shared" si="2060"/>
        <v/>
      </c>
      <c r="W4904" s="46" t="str">
        <f t="shared" si="2060"/>
        <v/>
      </c>
      <c r="X4904" s="46" t="str">
        <f t="shared" si="2060"/>
        <v/>
      </c>
    </row>
    <row r="4905" spans="2:26" x14ac:dyDescent="0.25">
      <c r="B4905" s="18"/>
      <c r="C4905" s="18"/>
      <c r="D4905" s="18"/>
      <c r="E4905" s="40"/>
      <c r="F4905" s="18"/>
      <c r="G4905" s="40"/>
      <c r="N4905" s="8" t="str">
        <f>IF(R4905="x",1,"")</f>
        <v/>
      </c>
      <c r="O4905" s="18"/>
      <c r="P4905" s="13"/>
      <c r="Q4905" s="13"/>
      <c r="R4905" s="13"/>
      <c r="S4905" s="13"/>
      <c r="T4905" s="15"/>
      <c r="U4905" s="46" t="str">
        <f t="shared" ref="U4905:X4909" si="2073">IF($O4905=U$5,$L4905,"")</f>
        <v/>
      </c>
      <c r="V4905" s="46" t="str">
        <f t="shared" si="2073"/>
        <v/>
      </c>
      <c r="W4905" s="46" t="str">
        <f t="shared" si="2073"/>
        <v/>
      </c>
      <c r="X4905" s="46" t="str">
        <f t="shared" si="2073"/>
        <v/>
      </c>
    </row>
    <row r="4906" spans="2:26" x14ac:dyDescent="0.25">
      <c r="B4906" s="18"/>
      <c r="C4906" s="18"/>
      <c r="D4906" s="18"/>
      <c r="E4906" s="40"/>
      <c r="F4906" s="18"/>
      <c r="G4906" s="40"/>
      <c r="N4906" s="8" t="str">
        <f>IF(R4906="x",1,"")</f>
        <v/>
      </c>
      <c r="O4906" s="18"/>
      <c r="P4906" s="13"/>
      <c r="Q4906" s="13"/>
      <c r="R4906" s="13"/>
      <c r="S4906" s="13"/>
      <c r="T4906" s="15"/>
      <c r="U4906" s="46" t="str">
        <f t="shared" si="2073"/>
        <v/>
      </c>
      <c r="V4906" s="46" t="str">
        <f t="shared" si="2073"/>
        <v/>
      </c>
      <c r="W4906" s="46" t="str">
        <f t="shared" si="2073"/>
        <v/>
      </c>
      <c r="X4906" s="46" t="str">
        <f t="shared" si="2073"/>
        <v/>
      </c>
    </row>
    <row r="4907" spans="2:26" x14ac:dyDescent="0.25">
      <c r="B4907" s="11" t="str">
        <f>CONCATENATE("OPHR","-",LEFT(P4907,2),UPPER(MID(P4907,4,3)),RIGHT(P4907,4))</f>
        <v>OPHR-14NOV1917</v>
      </c>
      <c r="C4907" s="11" t="s">
        <v>5257</v>
      </c>
      <c r="D4907" s="11" t="s">
        <v>3415</v>
      </c>
      <c r="E4907" s="39" t="s">
        <v>5258</v>
      </c>
      <c r="F4907" s="11" t="s">
        <v>2441</v>
      </c>
      <c r="G4907" s="39" t="s">
        <v>5259</v>
      </c>
      <c r="H4907" s="7">
        <v>0</v>
      </c>
      <c r="I4907" s="7">
        <v>4</v>
      </c>
      <c r="J4907" s="17">
        <v>0</v>
      </c>
      <c r="K4907" s="17"/>
      <c r="L4907" s="7">
        <f>SUM(H4907:K4907)</f>
        <v>4</v>
      </c>
      <c r="M4907" s="8">
        <v>1</v>
      </c>
      <c r="N4907" s="8">
        <f>IF(L4907&gt;0,1,"")</f>
        <v>1</v>
      </c>
      <c r="O4907" s="11" t="s">
        <v>1702</v>
      </c>
      <c r="P4907" s="16" t="str">
        <f>IF(LEN(G4907)=10,CONCATENATE("0",G4907),G4907)</f>
        <v>14-Nov-1917</v>
      </c>
      <c r="R4907" s="16" t="str">
        <f>IF($L4907&gt;0,"x","")</f>
        <v>x</v>
      </c>
      <c r="S4907" s="16" t="str">
        <f>IF($L4907&gt;0,"x","")</f>
        <v>x</v>
      </c>
      <c r="U4907" s="46" t="str">
        <f t="shared" si="2073"/>
        <v/>
      </c>
      <c r="V4907" s="46">
        <f t="shared" si="2073"/>
        <v>4</v>
      </c>
      <c r="W4907" s="46" t="str">
        <f t="shared" si="2073"/>
        <v/>
      </c>
      <c r="X4907" s="46" t="str">
        <f t="shared" si="2073"/>
        <v/>
      </c>
    </row>
    <row r="4908" spans="2:26" x14ac:dyDescent="0.25">
      <c r="N4908" s="8" t="str">
        <f>IF(R4908="x",1,"")</f>
        <v/>
      </c>
      <c r="U4908" s="46" t="str">
        <f t="shared" si="2073"/>
        <v/>
      </c>
      <c r="V4908" s="46" t="str">
        <f t="shared" si="2073"/>
        <v/>
      </c>
      <c r="W4908" s="46" t="str">
        <f t="shared" si="2073"/>
        <v/>
      </c>
      <c r="X4908" s="46" t="str">
        <f t="shared" si="2073"/>
        <v/>
      </c>
    </row>
    <row r="4909" spans="2:26" x14ac:dyDescent="0.25">
      <c r="B4909" s="18"/>
      <c r="C4909" s="18"/>
      <c r="D4909" s="18"/>
      <c r="E4909" s="40"/>
      <c r="F4909" s="18"/>
      <c r="G4909" s="40"/>
      <c r="H4909" s="7">
        <f t="shared" ref="H4909:N4909" si="2074">SUM(H4907:H4908)</f>
        <v>0</v>
      </c>
      <c r="I4909" s="7">
        <f t="shared" si="2074"/>
        <v>4</v>
      </c>
      <c r="J4909" s="7">
        <f>SUM(J4907:J4908)</f>
        <v>0</v>
      </c>
      <c r="K4909" s="7">
        <f t="shared" si="2074"/>
        <v>0</v>
      </c>
      <c r="L4909" s="7">
        <f t="shared" si="2074"/>
        <v>4</v>
      </c>
      <c r="M4909" s="7">
        <f t="shared" si="2074"/>
        <v>1</v>
      </c>
      <c r="N4909" s="7">
        <f t="shared" si="2074"/>
        <v>1</v>
      </c>
      <c r="O4909" s="18"/>
      <c r="P4909" s="13"/>
      <c r="Q4909" s="13"/>
      <c r="S4909" s="13"/>
      <c r="T4909" s="15"/>
      <c r="U4909" s="46" t="str">
        <f t="shared" si="2073"/>
        <v/>
      </c>
      <c r="V4909" s="46" t="str">
        <f t="shared" si="2073"/>
        <v/>
      </c>
      <c r="W4909" s="46" t="str">
        <f t="shared" si="2073"/>
        <v/>
      </c>
      <c r="X4909" s="46" t="str">
        <f t="shared" si="2073"/>
        <v/>
      </c>
    </row>
    <row r="4910" spans="2:26" x14ac:dyDescent="0.25">
      <c r="B4910" s="18"/>
      <c r="C4910" s="18"/>
      <c r="D4910" s="18"/>
      <c r="E4910" s="40"/>
      <c r="F4910" s="18"/>
      <c r="G4910" s="40"/>
      <c r="N4910" s="8" t="str">
        <f>IF(R4910="x",1,"")</f>
        <v/>
      </c>
      <c r="O4910" s="18"/>
      <c r="P4910" s="13"/>
      <c r="Q4910" s="13"/>
      <c r="R4910" s="13"/>
      <c r="S4910" s="13"/>
      <c r="T4910" s="15"/>
      <c r="U4910" s="46" t="str">
        <f t="shared" si="2060"/>
        <v/>
      </c>
      <c r="V4910" s="46" t="str">
        <f t="shared" si="2060"/>
        <v/>
      </c>
      <c r="W4910" s="46" t="str">
        <f t="shared" si="2060"/>
        <v/>
      </c>
      <c r="X4910" s="46" t="str">
        <f t="shared" si="2060"/>
        <v/>
      </c>
    </row>
    <row r="4911" spans="2:26" x14ac:dyDescent="0.25">
      <c r="B4911" s="18"/>
      <c r="C4911" s="18"/>
      <c r="D4911" s="18"/>
      <c r="E4911" s="40"/>
      <c r="F4911" s="18"/>
      <c r="G4911" s="40"/>
      <c r="N4911" s="8" t="str">
        <f>IF(R4911="x",1,"")</f>
        <v/>
      </c>
      <c r="O4911" s="18"/>
      <c r="P4911" s="13"/>
      <c r="Q4911" s="13"/>
      <c r="R4911" s="13"/>
      <c r="S4911" s="13"/>
      <c r="T4911" s="15"/>
      <c r="U4911" s="46" t="str">
        <f t="shared" si="2060"/>
        <v/>
      </c>
      <c r="V4911" s="46" t="str">
        <f t="shared" si="2060"/>
        <v/>
      </c>
      <c r="W4911" s="46" t="str">
        <f t="shared" si="2060"/>
        <v/>
      </c>
      <c r="X4911" s="46" t="str">
        <f t="shared" si="2060"/>
        <v/>
      </c>
    </row>
    <row r="4912" spans="2:26" s="18" customFormat="1" x14ac:dyDescent="0.25">
      <c r="B4912" s="11" t="str">
        <f>CONCATENATE("ORBI","-",LEFT(P4912,2),UPPER(MID(P4912,4,3)),RIGHT(P4912,4))</f>
        <v>ORBI-04NOV1921</v>
      </c>
      <c r="C4912" s="11" t="s">
        <v>4231</v>
      </c>
      <c r="D4912" s="11" t="s">
        <v>2224</v>
      </c>
      <c r="E4912" s="39" t="s">
        <v>4259</v>
      </c>
      <c r="F4912" s="11" t="s">
        <v>1700</v>
      </c>
      <c r="G4912" s="39" t="s">
        <v>4260</v>
      </c>
      <c r="H4912" s="7">
        <v>0</v>
      </c>
      <c r="I4912" s="7">
        <v>0</v>
      </c>
      <c r="J4912" s="17">
        <f>4+3</f>
        <v>7</v>
      </c>
      <c r="K4912" s="17"/>
      <c r="L4912" s="7">
        <f>SUM(H4912:K4912)</f>
        <v>7</v>
      </c>
      <c r="M4912" s="8">
        <v>1</v>
      </c>
      <c r="N4912" s="8">
        <f>IF(L4912&gt;0,1,"")</f>
        <v>1</v>
      </c>
      <c r="O4912" s="11" t="s">
        <v>1702</v>
      </c>
      <c r="P4912" s="16" t="str">
        <f>IF(LEN(G4912)=10,CONCATENATE("0",G4912),G4912)</f>
        <v>04-Nov-1921</v>
      </c>
      <c r="Q4912" s="16"/>
      <c r="R4912" s="16" t="str">
        <f t="shared" ref="R4912:S4914" si="2075">IF($L4912&gt;0,"x","")</f>
        <v>x</v>
      </c>
      <c r="S4912" s="16" t="str">
        <f t="shared" si="2075"/>
        <v>x</v>
      </c>
      <c r="T4912" s="12"/>
      <c r="U4912" s="46" t="str">
        <f t="shared" si="2060"/>
        <v/>
      </c>
      <c r="V4912" s="46">
        <f t="shared" si="2060"/>
        <v>7</v>
      </c>
      <c r="W4912" s="46" t="str">
        <f t="shared" si="2060"/>
        <v/>
      </c>
      <c r="X4912" s="46" t="str">
        <f t="shared" si="2060"/>
        <v/>
      </c>
      <c r="Z4912" s="11"/>
    </row>
    <row r="4913" spans="2:26" s="18" customFormat="1" x14ac:dyDescent="0.25">
      <c r="B4913" s="11" t="str">
        <f>CONCATENATE("ORBI","-",LEFT(P4913,2),UPPER(MID(P4913,4,3)),RIGHT(P4913,4))</f>
        <v>ORBI-09JUL1923</v>
      </c>
      <c r="C4913" s="11" t="s">
        <v>4231</v>
      </c>
      <c r="D4913" s="11" t="s">
        <v>2224</v>
      </c>
      <c r="E4913" s="39" t="s">
        <v>4232</v>
      </c>
      <c r="F4913" s="11" t="s">
        <v>1700</v>
      </c>
      <c r="G4913" s="39" t="s">
        <v>4233</v>
      </c>
      <c r="H4913" s="7"/>
      <c r="I4913" s="7">
        <f>1+1</f>
        <v>2</v>
      </c>
      <c r="J4913" s="17">
        <f>0+3</f>
        <v>3</v>
      </c>
      <c r="K4913" s="17"/>
      <c r="L4913" s="7">
        <f>SUM(H4913:K4913)</f>
        <v>5</v>
      </c>
      <c r="M4913" s="8">
        <v>1</v>
      </c>
      <c r="N4913" s="8">
        <f>IF(L4913&gt;0,1,"")</f>
        <v>1</v>
      </c>
      <c r="O4913" s="11" t="s">
        <v>1702</v>
      </c>
      <c r="P4913" s="16" t="str">
        <f>IF(LEN(G4913)=10,CONCATENATE("0",G4913),G4913)</f>
        <v>09-Jul-1923</v>
      </c>
      <c r="Q4913" s="16"/>
      <c r="R4913" s="16" t="str">
        <f t="shared" si="2075"/>
        <v>x</v>
      </c>
      <c r="S4913" s="16" t="str">
        <f t="shared" si="2075"/>
        <v>x</v>
      </c>
      <c r="T4913" s="12"/>
      <c r="U4913" s="46" t="str">
        <f t="shared" si="2060"/>
        <v/>
      </c>
      <c r="V4913" s="46">
        <f t="shared" si="2060"/>
        <v>5</v>
      </c>
      <c r="W4913" s="46" t="str">
        <f t="shared" si="2060"/>
        <v/>
      </c>
      <c r="X4913" s="46" t="str">
        <f t="shared" si="2060"/>
        <v/>
      </c>
      <c r="Z4913" s="11"/>
    </row>
    <row r="4914" spans="2:26" s="18" customFormat="1" x14ac:dyDescent="0.25">
      <c r="B4914" s="11" t="str">
        <f>CONCATENATE("ORBI","-",LEFT(P4914,2),UPPER(MID(P4914,4,3)),RIGHT(P4914,4))</f>
        <v>ORBI-29OCT1925</v>
      </c>
      <c r="C4914" s="11" t="s">
        <v>4231</v>
      </c>
      <c r="D4914" s="11" t="s">
        <v>2224</v>
      </c>
      <c r="E4914" s="39" t="s">
        <v>4591</v>
      </c>
      <c r="F4914" s="11" t="s">
        <v>1700</v>
      </c>
      <c r="G4914" s="39" t="s">
        <v>5757</v>
      </c>
      <c r="H4914" s="7"/>
      <c r="I4914" s="7">
        <v>0</v>
      </c>
      <c r="J4914" s="17">
        <v>1</v>
      </c>
      <c r="K4914" s="17"/>
      <c r="L4914" s="7">
        <f>SUM(H4914:K4914)</f>
        <v>1</v>
      </c>
      <c r="M4914" s="8">
        <v>1</v>
      </c>
      <c r="N4914" s="8">
        <f>IF(L4914&gt;0,1,"")</f>
        <v>1</v>
      </c>
      <c r="O4914" s="11" t="s">
        <v>1702</v>
      </c>
      <c r="P4914" s="16" t="str">
        <f>IF(LEN(G4914)=10,CONCATENATE("0",G4914),G4914)</f>
        <v>29-Oct-1925</v>
      </c>
      <c r="Q4914" s="16"/>
      <c r="R4914" s="16" t="str">
        <f t="shared" si="2075"/>
        <v>x</v>
      </c>
      <c r="S4914" s="16" t="str">
        <f t="shared" si="2075"/>
        <v>x</v>
      </c>
      <c r="T4914" s="12"/>
      <c r="U4914" s="46" t="str">
        <f>IF($O4914=U$5,$L4914,"")</f>
        <v/>
      </c>
      <c r="V4914" s="46">
        <f>IF($O4914=V$5,$L4914,"")</f>
        <v>1</v>
      </c>
      <c r="W4914" s="46" t="str">
        <f>IF($O4914=W$5,$L4914,"")</f>
        <v/>
      </c>
      <c r="X4914" s="46" t="str">
        <f>IF($O4914=X$5,$L4914,"")</f>
        <v/>
      </c>
      <c r="Z4914" s="11"/>
    </row>
    <row r="4915" spans="2:26" s="18" customFormat="1" x14ac:dyDescent="0.25">
      <c r="B4915" s="11"/>
      <c r="C4915" s="11"/>
      <c r="D4915" s="11"/>
      <c r="E4915" s="39"/>
      <c r="F4915" s="11"/>
      <c r="G4915" s="39"/>
      <c r="H4915" s="7"/>
      <c r="I4915" s="7"/>
      <c r="J4915" s="7"/>
      <c r="K4915" s="7"/>
      <c r="L4915" s="7"/>
      <c r="M4915" s="8"/>
      <c r="N4915" s="8" t="str">
        <f>IF(R4915="x",1,"")</f>
        <v/>
      </c>
      <c r="O4915" s="11"/>
      <c r="P4915" s="16"/>
      <c r="Q4915" s="16"/>
      <c r="R4915" s="16"/>
      <c r="S4915" s="16"/>
      <c r="T4915" s="12"/>
      <c r="U4915" s="46" t="str">
        <f t="shared" si="2060"/>
        <v/>
      </c>
      <c r="V4915" s="46" t="str">
        <f t="shared" si="2060"/>
        <v/>
      </c>
      <c r="W4915" s="46" t="str">
        <f t="shared" si="2060"/>
        <v/>
      </c>
      <c r="X4915" s="46" t="str">
        <f t="shared" si="2060"/>
        <v/>
      </c>
      <c r="Z4915" s="11"/>
    </row>
    <row r="4916" spans="2:26" x14ac:dyDescent="0.25">
      <c r="B4916" s="18"/>
      <c r="C4916" s="18"/>
      <c r="D4916" s="18"/>
      <c r="E4916" s="40"/>
      <c r="F4916" s="18"/>
      <c r="G4916" s="40"/>
      <c r="H4916" s="7">
        <f t="shared" ref="H4916:N4916" si="2076">SUM(H4912:H4915)</f>
        <v>0</v>
      </c>
      <c r="I4916" s="7">
        <f t="shared" si="2076"/>
        <v>2</v>
      </c>
      <c r="J4916" s="7">
        <f>SUM(J4912:J4915)</f>
        <v>11</v>
      </c>
      <c r="K4916" s="7">
        <f t="shared" si="2076"/>
        <v>0</v>
      </c>
      <c r="L4916" s="7">
        <f t="shared" si="2076"/>
        <v>13</v>
      </c>
      <c r="M4916" s="7">
        <f t="shared" si="2076"/>
        <v>3</v>
      </c>
      <c r="N4916" s="7">
        <f t="shared" si="2076"/>
        <v>3</v>
      </c>
      <c r="O4916" s="18"/>
      <c r="P4916" s="13"/>
      <c r="Q4916" s="13"/>
      <c r="S4916" s="13"/>
      <c r="T4916" s="15"/>
      <c r="U4916" s="46" t="str">
        <f t="shared" si="2060"/>
        <v/>
      </c>
      <c r="V4916" s="46" t="str">
        <f t="shared" si="2060"/>
        <v/>
      </c>
      <c r="W4916" s="46" t="str">
        <f t="shared" si="2060"/>
        <v/>
      </c>
      <c r="X4916" s="46" t="str">
        <f t="shared" si="2060"/>
        <v/>
      </c>
    </row>
    <row r="4917" spans="2:26" x14ac:dyDescent="0.25">
      <c r="B4917" s="18"/>
      <c r="C4917" s="18"/>
      <c r="D4917" s="18"/>
      <c r="E4917" s="40"/>
      <c r="F4917" s="18"/>
      <c r="G4917" s="40"/>
      <c r="N4917" s="8" t="str">
        <f>IF(R4917="x",1,"")</f>
        <v/>
      </c>
      <c r="O4917" s="18"/>
      <c r="P4917" s="13"/>
      <c r="Q4917" s="13"/>
      <c r="R4917" s="13"/>
      <c r="S4917" s="13"/>
      <c r="T4917" s="15"/>
      <c r="U4917" s="46" t="str">
        <f t="shared" si="2060"/>
        <v/>
      </c>
      <c r="V4917" s="46" t="str">
        <f t="shared" si="2060"/>
        <v/>
      </c>
      <c r="W4917" s="46" t="str">
        <f t="shared" si="2060"/>
        <v/>
      </c>
      <c r="X4917" s="46" t="str">
        <f t="shared" si="2060"/>
        <v/>
      </c>
    </row>
    <row r="4918" spans="2:26" x14ac:dyDescent="0.25">
      <c r="B4918" s="18"/>
      <c r="C4918" s="18"/>
      <c r="D4918" s="18"/>
      <c r="E4918" s="40"/>
      <c r="F4918" s="18"/>
      <c r="G4918" s="40"/>
      <c r="N4918" s="8" t="str">
        <f>IF(R4918="x",1,"")</f>
        <v/>
      </c>
      <c r="O4918" s="18"/>
      <c r="P4918" s="13"/>
      <c r="Q4918" s="13"/>
      <c r="R4918" s="13"/>
      <c r="S4918" s="13"/>
      <c r="T4918" s="15"/>
      <c r="U4918" s="46" t="str">
        <f t="shared" si="2060"/>
        <v/>
      </c>
      <c r="V4918" s="46" t="str">
        <f t="shared" si="2060"/>
        <v/>
      </c>
      <c r="W4918" s="46" t="str">
        <f t="shared" si="2060"/>
        <v/>
      </c>
      <c r="X4918" s="46" t="str">
        <f t="shared" si="2060"/>
        <v/>
      </c>
    </row>
    <row r="4919" spans="2:26" s="18" customFormat="1" x14ac:dyDescent="0.25">
      <c r="B4919" s="11" t="str">
        <f>CONCATENATE("ORCA","-",LEFT(P4919,2),UPPER(MID(P4919,4,3)),RIGHT(P4919,4))</f>
        <v>ORCA-01OCT1923</v>
      </c>
      <c r="C4919" s="11" t="s">
        <v>4454</v>
      </c>
      <c r="D4919" s="11" t="s">
        <v>2224</v>
      </c>
      <c r="E4919" s="39" t="s">
        <v>5598</v>
      </c>
      <c r="F4919" s="11" t="s">
        <v>1700</v>
      </c>
      <c r="G4919" s="39" t="s">
        <v>3092</v>
      </c>
      <c r="H4919" s="7">
        <v>0</v>
      </c>
      <c r="I4919" s="7">
        <v>5</v>
      </c>
      <c r="J4919" s="17">
        <v>21</v>
      </c>
      <c r="K4919" s="17"/>
      <c r="L4919" s="7">
        <f>SUM(H4919:K4919)</f>
        <v>26</v>
      </c>
      <c r="M4919" s="8">
        <v>1</v>
      </c>
      <c r="N4919" s="8">
        <f>IF(L4919&gt;0,1,"")</f>
        <v>1</v>
      </c>
      <c r="O4919" s="11" t="s">
        <v>1702</v>
      </c>
      <c r="P4919" s="16" t="str">
        <f>IF(LEN(G4919)=10,CONCATENATE("0",G4919),G4919)</f>
        <v>01-Oct-1923</v>
      </c>
      <c r="Q4919" s="16"/>
      <c r="R4919" s="16" t="str">
        <f t="shared" ref="R4919:S4921" si="2077">IF($L4919&gt;0,"x","")</f>
        <v>x</v>
      </c>
      <c r="S4919" s="16" t="str">
        <f t="shared" si="2077"/>
        <v>x</v>
      </c>
      <c r="T4919" s="12"/>
      <c r="U4919" s="46" t="str">
        <f t="shared" si="2060"/>
        <v/>
      </c>
      <c r="V4919" s="46">
        <f t="shared" si="2060"/>
        <v>26</v>
      </c>
      <c r="W4919" s="46" t="str">
        <f t="shared" si="2060"/>
        <v/>
      </c>
      <c r="X4919" s="46" t="str">
        <f t="shared" si="2060"/>
        <v/>
      </c>
      <c r="Z4919" s="11"/>
    </row>
    <row r="4920" spans="2:26" s="18" customFormat="1" x14ac:dyDescent="0.25">
      <c r="B4920" s="11" t="str">
        <f>CONCATENATE("ORCA","-",LEFT(P4920,2),UPPER(MID(P4920,4,3)),RIGHT(P4920,4))</f>
        <v>ORCA-01JAN1924</v>
      </c>
      <c r="C4920" s="11" t="s">
        <v>4454</v>
      </c>
      <c r="D4920" s="11" t="s">
        <v>2224</v>
      </c>
      <c r="E4920" s="39" t="s">
        <v>6225</v>
      </c>
      <c r="F4920" s="11" t="s">
        <v>1700</v>
      </c>
      <c r="G4920" s="39" t="s">
        <v>4332</v>
      </c>
      <c r="H4920" s="7">
        <v>0</v>
      </c>
      <c r="I4920" s="7">
        <v>0</v>
      </c>
      <c r="J4920" s="17">
        <v>1</v>
      </c>
      <c r="K4920" s="17"/>
      <c r="L4920" s="7">
        <f>SUM(H4920:K4920)</f>
        <v>1</v>
      </c>
      <c r="M4920" s="8">
        <v>1</v>
      </c>
      <c r="N4920" s="8">
        <f>IF(L4920&gt;0,1,"")</f>
        <v>1</v>
      </c>
      <c r="O4920" s="11" t="s">
        <v>1702</v>
      </c>
      <c r="P4920" s="16" t="str">
        <f>IF(LEN(G4920)=10,CONCATENATE("0",G4920),G4920)</f>
        <v>01-Jan-1924</v>
      </c>
      <c r="Q4920" s="16"/>
      <c r="R4920" s="16" t="str">
        <f t="shared" si="2077"/>
        <v>x</v>
      </c>
      <c r="S4920" s="16" t="str">
        <f t="shared" si="2077"/>
        <v>x</v>
      </c>
      <c r="T4920" s="12"/>
      <c r="U4920" s="46" t="str">
        <f t="shared" ref="U4920:X4921" si="2078">IF($O4920=U$5,$L4920,"")</f>
        <v/>
      </c>
      <c r="V4920" s="46">
        <f t="shared" si="2078"/>
        <v>1</v>
      </c>
      <c r="W4920" s="46" t="str">
        <f t="shared" si="2078"/>
        <v/>
      </c>
      <c r="X4920" s="46" t="str">
        <f t="shared" si="2078"/>
        <v/>
      </c>
      <c r="Z4920" s="11"/>
    </row>
    <row r="4921" spans="2:26" s="18" customFormat="1" x14ac:dyDescent="0.25">
      <c r="B4921" s="11" t="str">
        <f>CONCATENATE("ORCA","-",LEFT(P4921,2),UPPER(MID(P4921,4,3)),RIGHT(P4921,4))</f>
        <v>ORCA-19NOV1924</v>
      </c>
      <c r="C4921" s="11" t="s">
        <v>4454</v>
      </c>
      <c r="D4921" s="11" t="s">
        <v>2224</v>
      </c>
      <c r="E4921" s="39" t="s">
        <v>4455</v>
      </c>
      <c r="F4921" s="11" t="s">
        <v>1700</v>
      </c>
      <c r="G4921" s="39" t="s">
        <v>4456</v>
      </c>
      <c r="H4921" s="7"/>
      <c r="I4921" s="7">
        <v>0</v>
      </c>
      <c r="J4921" s="17">
        <v>6</v>
      </c>
      <c r="K4921" s="17"/>
      <c r="L4921" s="7">
        <f>SUM(H4921:K4921)</f>
        <v>6</v>
      </c>
      <c r="M4921" s="8">
        <v>1</v>
      </c>
      <c r="N4921" s="8">
        <f>IF(L4921&gt;0,1,"")</f>
        <v>1</v>
      </c>
      <c r="O4921" s="11" t="s">
        <v>1702</v>
      </c>
      <c r="P4921" s="16" t="str">
        <f>IF(LEN(G4921)=10,CONCATENATE("0",G4921),G4921)</f>
        <v>19-Nov-1924</v>
      </c>
      <c r="Q4921" s="16"/>
      <c r="R4921" s="16" t="str">
        <f t="shared" si="2077"/>
        <v>x</v>
      </c>
      <c r="S4921" s="16" t="str">
        <f t="shared" si="2077"/>
        <v>x</v>
      </c>
      <c r="T4921" s="12"/>
      <c r="U4921" s="46" t="str">
        <f t="shared" si="2078"/>
        <v/>
      </c>
      <c r="V4921" s="46">
        <f t="shared" si="2078"/>
        <v>6</v>
      </c>
      <c r="W4921" s="46" t="str">
        <f t="shared" si="2078"/>
        <v/>
      </c>
      <c r="X4921" s="46" t="str">
        <f t="shared" si="2078"/>
        <v/>
      </c>
      <c r="Z4921" s="11"/>
    </row>
    <row r="4922" spans="2:26" s="18" customFormat="1" x14ac:dyDescent="0.25">
      <c r="B4922" s="11"/>
      <c r="C4922" s="11"/>
      <c r="D4922" s="11"/>
      <c r="E4922" s="39"/>
      <c r="F4922" s="11"/>
      <c r="G4922" s="39"/>
      <c r="H4922" s="7"/>
      <c r="I4922" s="7"/>
      <c r="J4922" s="7"/>
      <c r="K4922" s="7"/>
      <c r="L4922" s="7"/>
      <c r="M4922" s="8"/>
      <c r="N4922" s="8" t="str">
        <f>IF(R4922="x",1,"")</f>
        <v/>
      </c>
      <c r="O4922" s="11"/>
      <c r="P4922" s="16"/>
      <c r="Q4922" s="16"/>
      <c r="R4922" s="16"/>
      <c r="S4922" s="16"/>
      <c r="T4922" s="12"/>
      <c r="U4922" s="46" t="str">
        <f t="shared" si="2060"/>
        <v/>
      </c>
      <c r="V4922" s="46" t="str">
        <f t="shared" si="2060"/>
        <v/>
      </c>
      <c r="W4922" s="46" t="str">
        <f t="shared" si="2060"/>
        <v/>
      </c>
      <c r="X4922" s="46" t="str">
        <f t="shared" si="2060"/>
        <v/>
      </c>
      <c r="Z4922" s="11"/>
    </row>
    <row r="4923" spans="2:26" x14ac:dyDescent="0.25">
      <c r="B4923" s="18"/>
      <c r="C4923" s="18"/>
      <c r="D4923" s="18"/>
      <c r="E4923" s="40"/>
      <c r="F4923" s="18"/>
      <c r="G4923" s="40"/>
      <c r="H4923" s="7">
        <f t="shared" ref="H4923:N4923" si="2079">SUM(H4919:H4922)</f>
        <v>0</v>
      </c>
      <c r="I4923" s="7">
        <f t="shared" si="2079"/>
        <v>5</v>
      </c>
      <c r="J4923" s="7">
        <f>SUM(J4919:J4922)</f>
        <v>28</v>
      </c>
      <c r="K4923" s="7">
        <f t="shared" si="2079"/>
        <v>0</v>
      </c>
      <c r="L4923" s="7">
        <f t="shared" si="2079"/>
        <v>33</v>
      </c>
      <c r="M4923" s="7">
        <f t="shared" si="2079"/>
        <v>3</v>
      </c>
      <c r="N4923" s="7">
        <f t="shared" si="2079"/>
        <v>3</v>
      </c>
      <c r="O4923" s="18"/>
      <c r="P4923" s="13"/>
      <c r="Q4923" s="13"/>
      <c r="S4923" s="13"/>
      <c r="T4923" s="15"/>
      <c r="U4923" s="46" t="str">
        <f t="shared" si="2060"/>
        <v/>
      </c>
      <c r="V4923" s="46" t="str">
        <f t="shared" si="2060"/>
        <v/>
      </c>
      <c r="W4923" s="46" t="str">
        <f t="shared" si="2060"/>
        <v/>
      </c>
      <c r="X4923" s="46" t="str">
        <f t="shared" si="2060"/>
        <v/>
      </c>
    </row>
    <row r="4924" spans="2:26" x14ac:dyDescent="0.25">
      <c r="B4924" s="18"/>
      <c r="C4924" s="18"/>
      <c r="D4924" s="18"/>
      <c r="E4924" s="40"/>
      <c r="F4924" s="18"/>
      <c r="G4924" s="40"/>
      <c r="N4924" s="8" t="str">
        <f>IF(R4924="x",1,"")</f>
        <v/>
      </c>
      <c r="O4924" s="18"/>
      <c r="P4924" s="13"/>
      <c r="Q4924" s="13"/>
      <c r="R4924" s="13"/>
      <c r="S4924" s="13"/>
      <c r="T4924" s="15"/>
      <c r="U4924" s="46" t="str">
        <f t="shared" si="2060"/>
        <v/>
      </c>
      <c r="V4924" s="46" t="str">
        <f t="shared" si="2060"/>
        <v/>
      </c>
      <c r="W4924" s="46" t="str">
        <f t="shared" si="2060"/>
        <v/>
      </c>
      <c r="X4924" s="46" t="str">
        <f t="shared" si="2060"/>
        <v/>
      </c>
    </row>
    <row r="4925" spans="2:26" x14ac:dyDescent="0.25">
      <c r="B4925" s="18"/>
      <c r="C4925" s="18"/>
      <c r="D4925" s="18"/>
      <c r="E4925" s="40"/>
      <c r="F4925" s="18"/>
      <c r="G4925" s="40"/>
      <c r="N4925" s="8" t="str">
        <f>IF(R4925="x",1,"")</f>
        <v/>
      </c>
      <c r="O4925" s="18"/>
      <c r="P4925" s="13"/>
      <c r="Q4925" s="13"/>
      <c r="R4925" s="13"/>
      <c r="S4925" s="13"/>
      <c r="T4925" s="15"/>
      <c r="U4925" s="46" t="str">
        <f t="shared" si="2060"/>
        <v/>
      </c>
      <c r="V4925" s="46" t="str">
        <f t="shared" si="2060"/>
        <v/>
      </c>
      <c r="W4925" s="46" t="str">
        <f t="shared" si="2060"/>
        <v/>
      </c>
      <c r="X4925" s="46" t="str">
        <f t="shared" si="2060"/>
        <v/>
      </c>
    </row>
    <row r="4926" spans="2:26" s="18" customFormat="1" x14ac:dyDescent="0.25">
      <c r="B4926" s="11" t="str">
        <f>CONCATENATE("ORDU","-",LEFT(P4926,2),UPPER(MID(P4926,4,3)),RIGHT(P4926,4))</f>
        <v>ORDU-14OCT1921</v>
      </c>
      <c r="C4926" s="11" t="s">
        <v>4276</v>
      </c>
      <c r="D4926" s="11" t="s">
        <v>2224</v>
      </c>
      <c r="E4926" s="39" t="s">
        <v>1135</v>
      </c>
      <c r="F4926" s="11" t="s">
        <v>1700</v>
      </c>
      <c r="G4926" s="39" t="s">
        <v>6011</v>
      </c>
      <c r="H4926" s="7">
        <v>0</v>
      </c>
      <c r="I4926" s="7">
        <v>0</v>
      </c>
      <c r="J4926" s="17">
        <v>14</v>
      </c>
      <c r="K4926" s="17"/>
      <c r="L4926" s="7">
        <f>SUM(H4926:K4926)</f>
        <v>14</v>
      </c>
      <c r="M4926" s="8">
        <v>1</v>
      </c>
      <c r="N4926" s="8">
        <f>IF(L4926&gt;0,1,"")</f>
        <v>1</v>
      </c>
      <c r="O4926" s="11" t="s">
        <v>1702</v>
      </c>
      <c r="P4926" s="16" t="str">
        <f>IF(LEN(G4926)=10,CONCATENATE("0",G4926),G4926)</f>
        <v>14-Oct-1921</v>
      </c>
      <c r="Q4926" s="16"/>
      <c r="R4926" s="16" t="str">
        <f>IF($L4926&gt;0,"x","")</f>
        <v>x</v>
      </c>
      <c r="S4926" s="16" t="str">
        <f>IF($L4926&gt;0,"x","")</f>
        <v>x</v>
      </c>
      <c r="T4926" s="12"/>
      <c r="U4926" s="46" t="str">
        <f t="shared" si="2060"/>
        <v/>
      </c>
      <c r="V4926" s="46">
        <f t="shared" si="2060"/>
        <v>14</v>
      </c>
      <c r="W4926" s="46" t="str">
        <f t="shared" si="2060"/>
        <v/>
      </c>
      <c r="X4926" s="46" t="str">
        <f t="shared" si="2060"/>
        <v/>
      </c>
      <c r="Z4926" s="11"/>
    </row>
    <row r="4927" spans="2:26" s="18" customFormat="1" x14ac:dyDescent="0.25">
      <c r="B4927" s="11" t="str">
        <f>CONCATENATE("ORDU","-",LEFT(P4927,2),UPPER(MID(P4927,4,3)),RIGHT(P4927,4))</f>
        <v>ORDU-07AUG1922</v>
      </c>
      <c r="C4927" s="11" t="s">
        <v>4276</v>
      </c>
      <c r="D4927" s="11" t="s">
        <v>2224</v>
      </c>
      <c r="E4927" s="39" t="s">
        <v>4277</v>
      </c>
      <c r="F4927" s="11" t="s">
        <v>1700</v>
      </c>
      <c r="G4927" s="39" t="s">
        <v>4275</v>
      </c>
      <c r="H4927" s="7">
        <v>0</v>
      </c>
      <c r="I4927" s="7">
        <v>0</v>
      </c>
      <c r="J4927" s="17">
        <f>17+2</f>
        <v>19</v>
      </c>
      <c r="K4927" s="17"/>
      <c r="L4927" s="7">
        <f>SUM(H4927:K4927)</f>
        <v>19</v>
      </c>
      <c r="M4927" s="8">
        <v>1</v>
      </c>
      <c r="N4927" s="8">
        <f>IF(L4927&gt;0,1,"")</f>
        <v>1</v>
      </c>
      <c r="O4927" s="11" t="s">
        <v>1702</v>
      </c>
      <c r="P4927" s="16" t="str">
        <f>IF(LEN(G4927)=10,CONCATENATE("0",G4927),G4927)</f>
        <v>07-Aug-1922</v>
      </c>
      <c r="Q4927" s="16"/>
      <c r="R4927" s="16" t="str">
        <f t="shared" ref="R4927:S4930" si="2080">IF($L4927&gt;0,"x","")</f>
        <v>x</v>
      </c>
      <c r="S4927" s="16" t="str">
        <f t="shared" si="2080"/>
        <v>x</v>
      </c>
      <c r="T4927" s="12"/>
      <c r="U4927" s="46" t="str">
        <f t="shared" ref="U4927:X4928" si="2081">IF($O4927=U$5,$L4927,"")</f>
        <v/>
      </c>
      <c r="V4927" s="46">
        <f t="shared" si="2081"/>
        <v>19</v>
      </c>
      <c r="W4927" s="46" t="str">
        <f t="shared" si="2081"/>
        <v/>
      </c>
      <c r="X4927" s="46" t="str">
        <f t="shared" si="2081"/>
        <v/>
      </c>
      <c r="Z4927" s="11"/>
    </row>
    <row r="4928" spans="2:26" s="18" customFormat="1" x14ac:dyDescent="0.25">
      <c r="B4928" s="11" t="str">
        <f>CONCATENATE("ORDU","-",LEFT(P4928,2),UPPER(MID(P4928,4,3)),RIGHT(P4928,4))</f>
        <v>ORDU-11SEP1922</v>
      </c>
      <c r="C4928" s="11" t="s">
        <v>4276</v>
      </c>
      <c r="D4928" s="11" t="s">
        <v>2224</v>
      </c>
      <c r="E4928" s="39" t="s">
        <v>2079</v>
      </c>
      <c r="F4928" s="11" t="s">
        <v>1700</v>
      </c>
      <c r="G4928" s="39" t="s">
        <v>5564</v>
      </c>
      <c r="H4928" s="7">
        <v>0</v>
      </c>
      <c r="I4928" s="7">
        <v>0</v>
      </c>
      <c r="J4928" s="17">
        <v>3</v>
      </c>
      <c r="K4928" s="17"/>
      <c r="L4928" s="7">
        <f>SUM(H4928:K4928)</f>
        <v>3</v>
      </c>
      <c r="M4928" s="8">
        <v>1</v>
      </c>
      <c r="N4928" s="8">
        <f>IF(L4928&gt;0,1,"")</f>
        <v>1</v>
      </c>
      <c r="O4928" s="11" t="s">
        <v>1702</v>
      </c>
      <c r="P4928" s="16" t="str">
        <f>IF(LEN(G4928)=10,CONCATENATE("0",G4928),G4928)</f>
        <v>11-Sep-1922</v>
      </c>
      <c r="Q4928" s="16"/>
      <c r="R4928" s="16" t="str">
        <f t="shared" si="2080"/>
        <v>x</v>
      </c>
      <c r="S4928" s="16" t="str">
        <f t="shared" si="2080"/>
        <v>x</v>
      </c>
      <c r="T4928" s="12"/>
      <c r="U4928" s="46" t="str">
        <f t="shared" si="2081"/>
        <v/>
      </c>
      <c r="V4928" s="46">
        <f t="shared" si="2081"/>
        <v>3</v>
      </c>
      <c r="W4928" s="46" t="str">
        <f t="shared" si="2081"/>
        <v/>
      </c>
      <c r="X4928" s="46" t="str">
        <f t="shared" si="2081"/>
        <v/>
      </c>
      <c r="Z4928" s="11"/>
    </row>
    <row r="4929" spans="2:26" s="18" customFormat="1" x14ac:dyDescent="0.25">
      <c r="B4929" s="11" t="str">
        <f>CONCATENATE("ORDU","-",LEFT(P4929,2),UPPER(MID(P4929,4,3)),RIGHT(P4929,4))</f>
        <v>ORDU-13OCT1924</v>
      </c>
      <c r="C4929" s="11" t="s">
        <v>4276</v>
      </c>
      <c r="D4929" s="11" t="s">
        <v>3134</v>
      </c>
      <c r="E4929" s="39" t="s">
        <v>4342</v>
      </c>
      <c r="F4929" s="11" t="s">
        <v>1700</v>
      </c>
      <c r="G4929" s="39" t="s">
        <v>4343</v>
      </c>
      <c r="H4929" s="7"/>
      <c r="I4929" s="7">
        <v>0</v>
      </c>
      <c r="J4929" s="17">
        <v>1</v>
      </c>
      <c r="K4929" s="17"/>
      <c r="L4929" s="7">
        <f>SUM(H4929:K4929)</f>
        <v>1</v>
      </c>
      <c r="M4929" s="8">
        <v>1</v>
      </c>
      <c r="N4929" s="8">
        <f>IF(L4929&gt;0,1,"")</f>
        <v>1</v>
      </c>
      <c r="O4929" s="11" t="s">
        <v>1702</v>
      </c>
      <c r="P4929" s="16" t="str">
        <f>IF(LEN(G4929)=10,CONCATENATE("0",G4929),G4929)</f>
        <v>13-Oct-1924</v>
      </c>
      <c r="Q4929" s="16"/>
      <c r="R4929" s="16" t="str">
        <f t="shared" si="2080"/>
        <v>x</v>
      </c>
      <c r="S4929" s="16" t="str">
        <f t="shared" si="2080"/>
        <v>x</v>
      </c>
      <c r="T4929" s="12"/>
      <c r="U4929" s="46" t="str">
        <f t="shared" si="2060"/>
        <v/>
      </c>
      <c r="V4929" s="46">
        <f t="shared" si="2060"/>
        <v>1</v>
      </c>
      <c r="W4929" s="46" t="str">
        <f t="shared" si="2060"/>
        <v/>
      </c>
      <c r="X4929" s="46" t="str">
        <f t="shared" si="2060"/>
        <v/>
      </c>
      <c r="Z4929" s="11"/>
    </row>
    <row r="4930" spans="2:26" s="18" customFormat="1" x14ac:dyDescent="0.25">
      <c r="B4930" s="11" t="str">
        <f>CONCATENATE("ORDU","-",LEFT(P4930,2),UPPER(MID(P4930,4,3)),RIGHT(P4930,4))</f>
        <v>ORDU-13OCT1924</v>
      </c>
      <c r="C4930" s="11" t="s">
        <v>4276</v>
      </c>
      <c r="D4930" s="11" t="s">
        <v>2224</v>
      </c>
      <c r="E4930" s="39" t="s">
        <v>4344</v>
      </c>
      <c r="F4930" s="11" t="s">
        <v>1700</v>
      </c>
      <c r="G4930" s="39" t="s">
        <v>4343</v>
      </c>
      <c r="H4930" s="7"/>
      <c r="I4930" s="7">
        <v>1</v>
      </c>
      <c r="J4930" s="17">
        <v>1</v>
      </c>
      <c r="K4930" s="17"/>
      <c r="L4930" s="7">
        <f>SUM(H4930:K4930)</f>
        <v>2</v>
      </c>
      <c r="M4930" s="8">
        <v>1</v>
      </c>
      <c r="N4930" s="8">
        <f>IF(L4930&gt;0,1,"")</f>
        <v>1</v>
      </c>
      <c r="O4930" s="11" t="s">
        <v>1702</v>
      </c>
      <c r="P4930" s="16" t="str">
        <f>IF(LEN(G4930)=10,CONCATENATE("0",G4930),G4930)</f>
        <v>13-Oct-1924</v>
      </c>
      <c r="Q4930" s="16"/>
      <c r="R4930" s="16" t="str">
        <f t="shared" si="2080"/>
        <v>x</v>
      </c>
      <c r="S4930" s="16" t="str">
        <f t="shared" si="2080"/>
        <v>x</v>
      </c>
      <c r="T4930" s="12"/>
      <c r="U4930" s="46" t="str">
        <f t="shared" si="2060"/>
        <v/>
      </c>
      <c r="V4930" s="46">
        <f t="shared" si="2060"/>
        <v>2</v>
      </c>
      <c r="W4930" s="46" t="str">
        <f t="shared" si="2060"/>
        <v/>
      </c>
      <c r="X4930" s="46" t="str">
        <f t="shared" si="2060"/>
        <v/>
      </c>
      <c r="Z4930" s="11"/>
    </row>
    <row r="4931" spans="2:26" s="18" customFormat="1" x14ac:dyDescent="0.25">
      <c r="B4931" s="11"/>
      <c r="C4931" s="11"/>
      <c r="D4931" s="11"/>
      <c r="E4931" s="39"/>
      <c r="F4931" s="11"/>
      <c r="G4931" s="39"/>
      <c r="H4931" s="7"/>
      <c r="I4931" s="7"/>
      <c r="J4931" s="7"/>
      <c r="K4931" s="7"/>
      <c r="L4931" s="7"/>
      <c r="M4931" s="8"/>
      <c r="N4931" s="8" t="str">
        <f>IF(R4931="x",1,"")</f>
        <v/>
      </c>
      <c r="O4931" s="11"/>
      <c r="P4931" s="16"/>
      <c r="Q4931" s="16"/>
      <c r="R4931" s="16"/>
      <c r="S4931" s="16"/>
      <c r="T4931" s="12"/>
      <c r="U4931" s="46" t="str">
        <f t="shared" si="2060"/>
        <v/>
      </c>
      <c r="V4931" s="46" t="str">
        <f t="shared" si="2060"/>
        <v/>
      </c>
      <c r="W4931" s="46" t="str">
        <f t="shared" si="2060"/>
        <v/>
      </c>
      <c r="X4931" s="46" t="str">
        <f t="shared" si="2060"/>
        <v/>
      </c>
      <c r="Z4931" s="11"/>
    </row>
    <row r="4932" spans="2:26" x14ac:dyDescent="0.25">
      <c r="B4932" s="18"/>
      <c r="C4932" s="18"/>
      <c r="D4932" s="18"/>
      <c r="E4932" s="40"/>
      <c r="F4932" s="18"/>
      <c r="G4932" s="40"/>
      <c r="H4932" s="7">
        <f t="shared" ref="H4932:N4932" si="2082">SUM(H4926:H4931)</f>
        <v>0</v>
      </c>
      <c r="I4932" s="7">
        <f t="shared" si="2082"/>
        <v>1</v>
      </c>
      <c r="J4932" s="7">
        <f>SUM(J4926:J4931)</f>
        <v>38</v>
      </c>
      <c r="K4932" s="7">
        <f t="shared" si="2082"/>
        <v>0</v>
      </c>
      <c r="L4932" s="7">
        <f t="shared" si="2082"/>
        <v>39</v>
      </c>
      <c r="M4932" s="7">
        <f t="shared" si="2082"/>
        <v>5</v>
      </c>
      <c r="N4932" s="7">
        <f t="shared" si="2082"/>
        <v>5</v>
      </c>
      <c r="O4932" s="18"/>
      <c r="P4932" s="13"/>
      <c r="Q4932" s="13"/>
      <c r="S4932" s="13"/>
      <c r="T4932" s="15"/>
      <c r="U4932" s="46" t="str">
        <f t="shared" si="2060"/>
        <v/>
      </c>
      <c r="V4932" s="46" t="str">
        <f t="shared" si="2060"/>
        <v/>
      </c>
      <c r="W4932" s="46" t="str">
        <f t="shared" si="2060"/>
        <v/>
      </c>
      <c r="X4932" s="46" t="str">
        <f t="shared" si="2060"/>
        <v/>
      </c>
    </row>
    <row r="4933" spans="2:26" x14ac:dyDescent="0.25">
      <c r="B4933" s="18"/>
      <c r="C4933" s="18"/>
      <c r="D4933" s="18"/>
      <c r="E4933" s="40"/>
      <c r="F4933" s="18"/>
      <c r="G4933" s="40"/>
      <c r="N4933" s="8" t="str">
        <f>IF(R4933="x",1,"")</f>
        <v/>
      </c>
      <c r="O4933" s="18"/>
      <c r="P4933" s="13"/>
      <c r="Q4933" s="13"/>
      <c r="R4933" s="13"/>
      <c r="S4933" s="13"/>
      <c r="T4933" s="15"/>
      <c r="U4933" s="46" t="str">
        <f t="shared" ref="U4933:X4937" si="2083">IF($O4933=U$5,$L4933,"")</f>
        <v/>
      </c>
      <c r="V4933" s="46" t="str">
        <f t="shared" si="2083"/>
        <v/>
      </c>
      <c r="W4933" s="46" t="str">
        <f t="shared" si="2083"/>
        <v/>
      </c>
      <c r="X4933" s="46" t="str">
        <f t="shared" si="2083"/>
        <v/>
      </c>
    </row>
    <row r="4934" spans="2:26" x14ac:dyDescent="0.25">
      <c r="B4934" s="18"/>
      <c r="C4934" s="18"/>
      <c r="D4934" s="18"/>
      <c r="E4934" s="40"/>
      <c r="F4934" s="18"/>
      <c r="G4934" s="40"/>
      <c r="N4934" s="8" t="str">
        <f>IF(R4934="x",1,"")</f>
        <v/>
      </c>
      <c r="O4934" s="18"/>
      <c r="P4934" s="13"/>
      <c r="Q4934" s="13"/>
      <c r="R4934" s="13"/>
      <c r="S4934" s="13"/>
      <c r="T4934" s="15"/>
      <c r="U4934" s="46" t="str">
        <f t="shared" si="2083"/>
        <v/>
      </c>
      <c r="V4934" s="46" t="str">
        <f t="shared" si="2083"/>
        <v/>
      </c>
      <c r="W4934" s="46" t="str">
        <f t="shared" si="2083"/>
        <v/>
      </c>
      <c r="X4934" s="46" t="str">
        <f t="shared" si="2083"/>
        <v/>
      </c>
    </row>
    <row r="4935" spans="2:26" s="18" customFormat="1" x14ac:dyDescent="0.25">
      <c r="B4935" s="11" t="str">
        <f>CONCATENATE("ORNT","-",LEFT(P4935,2),UPPER(MID(P4935,4,3)),RIGHT(P4935,4))</f>
        <v>ORNT-23DEC1930</v>
      </c>
      <c r="C4935" s="11" t="s">
        <v>5771</v>
      </c>
      <c r="D4935" s="11" t="s">
        <v>3122</v>
      </c>
      <c r="E4935" s="39" t="s">
        <v>5772</v>
      </c>
      <c r="F4935" s="11" t="s">
        <v>1700</v>
      </c>
      <c r="G4935" s="39" t="s">
        <v>5773</v>
      </c>
      <c r="H4935" s="7">
        <v>1</v>
      </c>
      <c r="I4935" s="7"/>
      <c r="J4935" s="17"/>
      <c r="K4935" s="17"/>
      <c r="L4935" s="7">
        <f>SUM(H4935:K4935)</f>
        <v>1</v>
      </c>
      <c r="M4935" s="8">
        <v>1</v>
      </c>
      <c r="N4935" s="8">
        <f>IF(L4935&gt;0,1,"")</f>
        <v>1</v>
      </c>
      <c r="O4935" s="11" t="s">
        <v>1702</v>
      </c>
      <c r="P4935" s="16" t="str">
        <f>IF(LEN(G4935)=10,CONCATENATE("0",G4935),G4935)</f>
        <v>23-Dec-1930</v>
      </c>
      <c r="Q4935" s="16"/>
      <c r="R4935" s="16" t="str">
        <f>IF($L4935&gt;0,"x","")</f>
        <v>x</v>
      </c>
      <c r="S4935" s="16" t="str">
        <f>IF($L4935&gt;0,"x","")</f>
        <v>x</v>
      </c>
      <c r="T4935" s="12"/>
      <c r="U4935" s="46" t="str">
        <f t="shared" si="2083"/>
        <v/>
      </c>
      <c r="V4935" s="46">
        <f t="shared" si="2083"/>
        <v>1</v>
      </c>
      <c r="W4935" s="46" t="str">
        <f t="shared" si="2083"/>
        <v/>
      </c>
      <c r="X4935" s="46" t="str">
        <f t="shared" si="2083"/>
        <v/>
      </c>
      <c r="Z4935" s="11"/>
    </row>
    <row r="4936" spans="2:26" s="18" customFormat="1" x14ac:dyDescent="0.25">
      <c r="B4936" s="11"/>
      <c r="C4936" s="11"/>
      <c r="D4936" s="11"/>
      <c r="E4936" s="39"/>
      <c r="F4936" s="11"/>
      <c r="G4936" s="39"/>
      <c r="H4936" s="7"/>
      <c r="I4936" s="7"/>
      <c r="J4936" s="7"/>
      <c r="K4936" s="7"/>
      <c r="L4936" s="7"/>
      <c r="M4936" s="8"/>
      <c r="N4936" s="8" t="str">
        <f>IF(R4936="x",1,"")</f>
        <v/>
      </c>
      <c r="O4936" s="11"/>
      <c r="P4936" s="16"/>
      <c r="Q4936" s="16"/>
      <c r="R4936" s="16"/>
      <c r="S4936" s="16"/>
      <c r="T4936" s="12"/>
      <c r="U4936" s="46" t="str">
        <f t="shared" si="2083"/>
        <v/>
      </c>
      <c r="V4936" s="46" t="str">
        <f t="shared" si="2083"/>
        <v/>
      </c>
      <c r="W4936" s="46" t="str">
        <f t="shared" si="2083"/>
        <v/>
      </c>
      <c r="X4936" s="46" t="str">
        <f t="shared" si="2083"/>
        <v/>
      </c>
      <c r="Z4936" s="11"/>
    </row>
    <row r="4937" spans="2:26" x14ac:dyDescent="0.25">
      <c r="B4937" s="18"/>
      <c r="C4937" s="18"/>
      <c r="D4937" s="18"/>
      <c r="E4937" s="40"/>
      <c r="F4937" s="18"/>
      <c r="G4937" s="40"/>
      <c r="H4937" s="7">
        <f t="shared" ref="H4937:N4937" si="2084">SUM(H4935:H4936)</f>
        <v>1</v>
      </c>
      <c r="I4937" s="7">
        <f t="shared" si="2084"/>
        <v>0</v>
      </c>
      <c r="J4937" s="7">
        <f t="shared" si="2084"/>
        <v>0</v>
      </c>
      <c r="K4937" s="7">
        <f t="shared" si="2084"/>
        <v>0</v>
      </c>
      <c r="L4937" s="7">
        <f t="shared" si="2084"/>
        <v>1</v>
      </c>
      <c r="M4937" s="7">
        <f t="shared" si="2084"/>
        <v>1</v>
      </c>
      <c r="N4937" s="7">
        <f t="shared" si="2084"/>
        <v>1</v>
      </c>
      <c r="O4937" s="18"/>
      <c r="P4937" s="13"/>
      <c r="Q4937" s="13"/>
      <c r="S4937" s="13"/>
      <c r="T4937" s="15"/>
      <c r="U4937" s="46" t="str">
        <f t="shared" si="2083"/>
        <v/>
      </c>
      <c r="V4937" s="46" t="str">
        <f t="shared" si="2083"/>
        <v/>
      </c>
      <c r="W4937" s="46" t="str">
        <f t="shared" si="2083"/>
        <v/>
      </c>
      <c r="X4937" s="46" t="str">
        <f t="shared" si="2083"/>
        <v/>
      </c>
    </row>
    <row r="4938" spans="2:26" x14ac:dyDescent="0.25">
      <c r="B4938" s="18"/>
      <c r="C4938" s="18"/>
      <c r="D4938" s="18"/>
      <c r="E4938" s="40"/>
      <c r="F4938" s="18"/>
      <c r="G4938" s="40"/>
      <c r="N4938" s="8" t="str">
        <f>IF(R4938="x",1,"")</f>
        <v/>
      </c>
      <c r="O4938" s="18"/>
      <c r="P4938" s="13"/>
      <c r="Q4938" s="13"/>
      <c r="R4938" s="13"/>
      <c r="S4938" s="13"/>
      <c r="T4938" s="15"/>
      <c r="U4938" s="46" t="str">
        <f t="shared" ref="U4938:X4942" si="2085">IF($O4938=U$5,$L4938,"")</f>
        <v/>
      </c>
      <c r="V4938" s="46" t="str">
        <f t="shared" si="2085"/>
        <v/>
      </c>
      <c r="W4938" s="46" t="str">
        <f t="shared" si="2085"/>
        <v/>
      </c>
      <c r="X4938" s="46" t="str">
        <f t="shared" si="2085"/>
        <v/>
      </c>
    </row>
    <row r="4939" spans="2:26" x14ac:dyDescent="0.25">
      <c r="B4939" s="18"/>
      <c r="C4939" s="18"/>
      <c r="D4939" s="18"/>
      <c r="E4939" s="40"/>
      <c r="F4939" s="18"/>
      <c r="G4939" s="40"/>
      <c r="N4939" s="8" t="str">
        <f>IF(R4939="x",1,"")</f>
        <v/>
      </c>
      <c r="O4939" s="18"/>
      <c r="P4939" s="13"/>
      <c r="Q4939" s="13"/>
      <c r="R4939" s="13"/>
      <c r="S4939" s="13"/>
      <c r="T4939" s="15"/>
      <c r="U4939" s="46" t="str">
        <f t="shared" si="2085"/>
        <v/>
      </c>
      <c r="V4939" s="46" t="str">
        <f t="shared" si="2085"/>
        <v/>
      </c>
      <c r="W4939" s="46" t="str">
        <f t="shared" si="2085"/>
        <v/>
      </c>
      <c r="X4939" s="46" t="str">
        <f t="shared" si="2085"/>
        <v/>
      </c>
    </row>
    <row r="4940" spans="2:26" s="18" customFormat="1" x14ac:dyDescent="0.25">
      <c r="B4940" s="11" t="str">
        <f>CONCATENATE("ORIZ","-",LEFT(P4940,2),UPPER(MID(P4940,4,3)),RIGHT(P4940,4))</f>
        <v>ORIZ-10NOV1925</v>
      </c>
      <c r="C4940" s="11" t="s">
        <v>11442</v>
      </c>
      <c r="D4940" s="11" t="s">
        <v>3122</v>
      </c>
      <c r="E4940" s="39" t="s">
        <v>11400</v>
      </c>
      <c r="F4940" s="11" t="s">
        <v>1700</v>
      </c>
      <c r="G4940" s="39" t="s">
        <v>5081</v>
      </c>
      <c r="H4940" s="7">
        <f>3+1</f>
        <v>4</v>
      </c>
      <c r="I4940" s="7"/>
      <c r="J4940" s="17">
        <f>0+1</f>
        <v>1</v>
      </c>
      <c r="K4940" s="17"/>
      <c r="L4940" s="7">
        <f>SUM(H4940:K4940)</f>
        <v>5</v>
      </c>
      <c r="M4940" s="8">
        <v>1</v>
      </c>
      <c r="N4940" s="8">
        <f>IF(L4940&gt;0,1,"")</f>
        <v>1</v>
      </c>
      <c r="O4940" s="11" t="s">
        <v>1702</v>
      </c>
      <c r="P4940" s="16" t="str">
        <f>IF(LEN(G4940)=10,CONCATENATE("0",G4940),G4940)</f>
        <v>10-Nov-1925</v>
      </c>
      <c r="Q4940" s="16"/>
      <c r="R4940" s="16" t="str">
        <f>IF($L4940&gt;0,"x","")</f>
        <v>x</v>
      </c>
      <c r="S4940" s="16" t="str">
        <f>IF($L4940&gt;0,"x","")</f>
        <v>x</v>
      </c>
      <c r="T4940" s="12"/>
      <c r="U4940" s="46" t="str">
        <f t="shared" si="2085"/>
        <v/>
      </c>
      <c r="V4940" s="46">
        <f t="shared" si="2085"/>
        <v>5</v>
      </c>
      <c r="W4940" s="46" t="str">
        <f t="shared" si="2085"/>
        <v/>
      </c>
      <c r="X4940" s="46" t="str">
        <f t="shared" si="2085"/>
        <v/>
      </c>
      <c r="Z4940" s="11"/>
    </row>
    <row r="4941" spans="2:26" s="18" customFormat="1" x14ac:dyDescent="0.25">
      <c r="B4941" s="11"/>
      <c r="C4941" s="11"/>
      <c r="D4941" s="11"/>
      <c r="E4941" s="39"/>
      <c r="F4941" s="11"/>
      <c r="G4941" s="39"/>
      <c r="H4941" s="7"/>
      <c r="I4941" s="7"/>
      <c r="J4941" s="7"/>
      <c r="K4941" s="7"/>
      <c r="L4941" s="7"/>
      <c r="M4941" s="8"/>
      <c r="N4941" s="8" t="str">
        <f>IF(R4941="x",1,"")</f>
        <v/>
      </c>
      <c r="O4941" s="11"/>
      <c r="P4941" s="16"/>
      <c r="Q4941" s="16"/>
      <c r="R4941" s="16"/>
      <c r="S4941" s="16"/>
      <c r="T4941" s="12"/>
      <c r="U4941" s="46" t="str">
        <f t="shared" si="2085"/>
        <v/>
      </c>
      <c r="V4941" s="46" t="str">
        <f t="shared" si="2085"/>
        <v/>
      </c>
      <c r="W4941" s="46" t="str">
        <f t="shared" si="2085"/>
        <v/>
      </c>
      <c r="X4941" s="46" t="str">
        <f t="shared" si="2085"/>
        <v/>
      </c>
      <c r="Z4941" s="11"/>
    </row>
    <row r="4942" spans="2:26" x14ac:dyDescent="0.25">
      <c r="B4942" s="18"/>
      <c r="C4942" s="18"/>
      <c r="D4942" s="18"/>
      <c r="E4942" s="40"/>
      <c r="F4942" s="18"/>
      <c r="G4942" s="40"/>
      <c r="H4942" s="7">
        <f t="shared" ref="H4942:N4942" si="2086">SUM(H4940:H4941)</f>
        <v>4</v>
      </c>
      <c r="I4942" s="7">
        <f t="shared" si="2086"/>
        <v>0</v>
      </c>
      <c r="J4942" s="7">
        <f>SUM(J4940:J4941)</f>
        <v>1</v>
      </c>
      <c r="K4942" s="7">
        <f t="shared" si="2086"/>
        <v>0</v>
      </c>
      <c r="L4942" s="7">
        <f t="shared" si="2086"/>
        <v>5</v>
      </c>
      <c r="M4942" s="7">
        <f t="shared" si="2086"/>
        <v>1</v>
      </c>
      <c r="N4942" s="7">
        <f t="shared" si="2086"/>
        <v>1</v>
      </c>
      <c r="O4942" s="18"/>
      <c r="P4942" s="13"/>
      <c r="Q4942" s="13"/>
      <c r="S4942" s="13"/>
      <c r="T4942" s="15"/>
      <c r="U4942" s="46" t="str">
        <f t="shared" si="2085"/>
        <v/>
      </c>
      <c r="V4942" s="46" t="str">
        <f t="shared" si="2085"/>
        <v/>
      </c>
      <c r="W4942" s="46" t="str">
        <f t="shared" si="2085"/>
        <v/>
      </c>
      <c r="X4942" s="46" t="str">
        <f t="shared" si="2085"/>
        <v/>
      </c>
    </row>
    <row r="4943" spans="2:26" x14ac:dyDescent="0.25">
      <c r="B4943" s="18"/>
      <c r="C4943" s="18"/>
      <c r="D4943" s="18"/>
      <c r="E4943" s="40"/>
      <c r="F4943" s="18"/>
      <c r="G4943" s="40"/>
      <c r="N4943" s="8" t="str">
        <f>IF(R4943="x",1,"")</f>
        <v/>
      </c>
      <c r="O4943" s="18"/>
      <c r="P4943" s="13"/>
      <c r="Q4943" s="13"/>
      <c r="R4943" s="13"/>
      <c r="S4943" s="13"/>
      <c r="T4943" s="15"/>
      <c r="U4943" s="46" t="str">
        <f t="shared" si="2060"/>
        <v/>
      </c>
      <c r="V4943" s="46" t="str">
        <f t="shared" si="2060"/>
        <v/>
      </c>
      <c r="W4943" s="46" t="str">
        <f t="shared" si="2060"/>
        <v/>
      </c>
      <c r="X4943" s="46" t="str">
        <f t="shared" si="2060"/>
        <v/>
      </c>
    </row>
    <row r="4944" spans="2:26" x14ac:dyDescent="0.25">
      <c r="B4944" s="18"/>
      <c r="C4944" s="18"/>
      <c r="D4944" s="18"/>
      <c r="E4944" s="40"/>
      <c r="F4944" s="18"/>
      <c r="G4944" s="40"/>
      <c r="N4944" s="8" t="str">
        <f>IF(R4944="x",1,"")</f>
        <v/>
      </c>
      <c r="O4944" s="18"/>
      <c r="P4944" s="13"/>
      <c r="Q4944" s="13"/>
      <c r="R4944" s="13"/>
      <c r="S4944" s="13"/>
      <c r="T4944" s="15"/>
      <c r="U4944" s="46" t="str">
        <f t="shared" si="2060"/>
        <v/>
      </c>
      <c r="V4944" s="46" t="str">
        <f t="shared" si="2060"/>
        <v/>
      </c>
      <c r="W4944" s="46" t="str">
        <f t="shared" si="2060"/>
        <v/>
      </c>
      <c r="X4944" s="46" t="str">
        <f t="shared" si="2060"/>
        <v/>
      </c>
    </row>
    <row r="4945" spans="2:26" x14ac:dyDescent="0.25">
      <c r="B4945" s="11" t="str">
        <f>CONCATENATE("OSC2","-",LEFT(P4945,2),UPPER(MID(P4945,4,3)),RIGHT(P4945,4))</f>
        <v>OSC2-09AUG1916</v>
      </c>
      <c r="C4945" s="11" t="s">
        <v>2998</v>
      </c>
      <c r="D4945" s="11" t="s">
        <v>117</v>
      </c>
      <c r="E4945" s="39" t="s">
        <v>3946</v>
      </c>
      <c r="F4945" s="11" t="s">
        <v>1700</v>
      </c>
      <c r="G4945" s="39" t="s">
        <v>3945</v>
      </c>
      <c r="H4945" s="7">
        <v>0</v>
      </c>
      <c r="I4945" s="7">
        <v>7</v>
      </c>
      <c r="J4945" s="17">
        <v>33</v>
      </c>
      <c r="K4945" s="17"/>
      <c r="L4945" s="7">
        <f>SUM(H4945:K4945)</f>
        <v>40</v>
      </c>
      <c r="M4945" s="8">
        <v>1</v>
      </c>
      <c r="N4945" s="8">
        <f>IF(L4945&gt;0,1,"")</f>
        <v>1</v>
      </c>
      <c r="O4945" s="11" t="s">
        <v>1702</v>
      </c>
      <c r="P4945" s="16" t="str">
        <f>IF(LEN(G4945)=10,CONCATENATE("0",G4945),G4945)</f>
        <v>09-Aug-1916</v>
      </c>
      <c r="R4945" s="16" t="str">
        <f t="shared" ref="R4945:S4948" si="2087">IF($L4945&gt;0,"x","")</f>
        <v>x</v>
      </c>
      <c r="S4945" s="16" t="str">
        <f t="shared" si="2087"/>
        <v>x</v>
      </c>
      <c r="U4945" s="46" t="str">
        <f t="shared" si="2060"/>
        <v/>
      </c>
      <c r="V4945" s="46">
        <f t="shared" si="2060"/>
        <v>40</v>
      </c>
      <c r="W4945" s="46" t="str">
        <f t="shared" si="2060"/>
        <v/>
      </c>
      <c r="X4945" s="46" t="str">
        <f t="shared" si="2060"/>
        <v/>
      </c>
    </row>
    <row r="4946" spans="2:26" x14ac:dyDescent="0.25">
      <c r="B4946" s="11" t="str">
        <f>CONCATENATE("OSC2","-",LEFT(P4946,2),UPPER(MID(P4946,4,3)),RIGHT(P4946,4))</f>
        <v>OSC2-01NOV1916</v>
      </c>
      <c r="C4946" s="11" t="s">
        <v>2998</v>
      </c>
      <c r="D4946" s="11" t="s">
        <v>3001</v>
      </c>
      <c r="E4946" s="39" t="s">
        <v>3002</v>
      </c>
      <c r="F4946" s="11" t="s">
        <v>1700</v>
      </c>
      <c r="G4946" s="39" t="s">
        <v>3000</v>
      </c>
      <c r="H4946" s="7">
        <v>0</v>
      </c>
      <c r="I4946" s="7">
        <v>0</v>
      </c>
      <c r="J4946" s="17">
        <v>2</v>
      </c>
      <c r="K4946" s="17"/>
      <c r="L4946" s="7">
        <f>SUM(H4946:K4946)</f>
        <v>2</v>
      </c>
      <c r="M4946" s="8">
        <v>1</v>
      </c>
      <c r="N4946" s="8">
        <f>IF(L4946&gt;0,1,"")</f>
        <v>1</v>
      </c>
      <c r="O4946" s="11" t="s">
        <v>1702</v>
      </c>
      <c r="P4946" s="16" t="str">
        <f>IF(LEN(G4946)=10,CONCATENATE("0",G4946),G4946)</f>
        <v>01-Nov-1916</v>
      </c>
      <c r="R4946" s="16" t="str">
        <f t="shared" si="2087"/>
        <v>x</v>
      </c>
      <c r="S4946" s="16" t="str">
        <f t="shared" si="2087"/>
        <v>x</v>
      </c>
      <c r="U4946" s="46" t="str">
        <f t="shared" si="2060"/>
        <v/>
      </c>
      <c r="V4946" s="46">
        <f t="shared" si="2060"/>
        <v>2</v>
      </c>
      <c r="W4946" s="46" t="str">
        <f t="shared" si="2060"/>
        <v/>
      </c>
      <c r="X4946" s="46" t="str">
        <f t="shared" si="2060"/>
        <v/>
      </c>
    </row>
    <row r="4947" spans="2:26" x14ac:dyDescent="0.25">
      <c r="B4947" s="11" t="str">
        <f>CONCATENATE("OSC2","-",LEFT(P4947,2),UPPER(MID(P4947,4,3)),RIGHT(P4947,4))</f>
        <v>OSC2-01NOV1916</v>
      </c>
      <c r="C4947" s="11" t="s">
        <v>2998</v>
      </c>
      <c r="D4947" s="11" t="s">
        <v>117</v>
      </c>
      <c r="E4947" s="39" t="s">
        <v>2999</v>
      </c>
      <c r="F4947" s="11" t="s">
        <v>1700</v>
      </c>
      <c r="G4947" s="39" t="s">
        <v>3000</v>
      </c>
      <c r="H4947" s="7">
        <v>0</v>
      </c>
      <c r="I4947" s="7">
        <v>0</v>
      </c>
      <c r="J4947" s="17">
        <v>37</v>
      </c>
      <c r="K4947" s="17"/>
      <c r="L4947" s="7">
        <f>SUM(H4947:K4947)</f>
        <v>37</v>
      </c>
      <c r="M4947" s="8">
        <v>1</v>
      </c>
      <c r="N4947" s="8">
        <f>IF(L4947&gt;0,1,"")</f>
        <v>1</v>
      </c>
      <c r="O4947" s="11" t="s">
        <v>1702</v>
      </c>
      <c r="P4947" s="16" t="str">
        <f>IF(LEN(G4947)=10,CONCATENATE("0",G4947),G4947)</f>
        <v>01-Nov-1916</v>
      </c>
      <c r="R4947" s="16" t="str">
        <f t="shared" si="2087"/>
        <v>x</v>
      </c>
      <c r="S4947" s="16" t="str">
        <f t="shared" si="2087"/>
        <v>x</v>
      </c>
      <c r="U4947" s="46" t="str">
        <f t="shared" si="2060"/>
        <v/>
      </c>
      <c r="V4947" s="46">
        <f t="shared" si="2060"/>
        <v>37</v>
      </c>
      <c r="W4947" s="46" t="str">
        <f t="shared" si="2060"/>
        <v/>
      </c>
      <c r="X4947" s="46" t="str">
        <f t="shared" si="2060"/>
        <v/>
      </c>
    </row>
    <row r="4948" spans="2:26" x14ac:dyDescent="0.25">
      <c r="B4948" s="11" t="str">
        <f>CONCATENATE("OSC2","-",LEFT(P4948,2),UPPER(MID(P4948,4,3)),RIGHT(P4948,4))</f>
        <v>OSC2-21DEC1916</v>
      </c>
      <c r="C4948" s="11" t="s">
        <v>2998</v>
      </c>
      <c r="D4948" s="11" t="s">
        <v>117</v>
      </c>
      <c r="E4948" s="39" t="s">
        <v>5683</v>
      </c>
      <c r="F4948" s="11" t="s">
        <v>1700</v>
      </c>
      <c r="G4948" s="39" t="s">
        <v>5684</v>
      </c>
      <c r="H4948" s="7">
        <v>0</v>
      </c>
      <c r="I4948" s="7">
        <v>3</v>
      </c>
      <c r="J4948" s="17">
        <v>49</v>
      </c>
      <c r="K4948" s="17"/>
      <c r="L4948" s="7">
        <f>SUM(H4948:K4948)</f>
        <v>52</v>
      </c>
      <c r="M4948" s="8">
        <v>1</v>
      </c>
      <c r="N4948" s="8">
        <f>IF(L4948&gt;0,1,"")</f>
        <v>1</v>
      </c>
      <c r="O4948" s="11" t="s">
        <v>1702</v>
      </c>
      <c r="P4948" s="16" t="str">
        <f>IF(LEN(G4948)=10,CONCATENATE("0",G4948),G4948)</f>
        <v>21-Dec-1916</v>
      </c>
      <c r="R4948" s="16" t="str">
        <f t="shared" si="2087"/>
        <v>x</v>
      </c>
      <c r="S4948" s="16" t="str">
        <f t="shared" si="2087"/>
        <v>x</v>
      </c>
      <c r="U4948" s="46" t="str">
        <f>IF($O4948=U$5,$L4948,"")</f>
        <v/>
      </c>
      <c r="V4948" s="46">
        <f>IF($O4948=V$5,$L4948,"")</f>
        <v>52</v>
      </c>
      <c r="W4948" s="46" t="str">
        <f>IF($O4948=W$5,$L4948,"")</f>
        <v/>
      </c>
      <c r="X4948" s="46" t="str">
        <f>IF($O4948=X$5,$L4948,"")</f>
        <v/>
      </c>
    </row>
    <row r="4949" spans="2:26" x14ac:dyDescent="0.25">
      <c r="N4949" s="8" t="str">
        <f>IF(R4949="x",1,"")</f>
        <v/>
      </c>
      <c r="U4949" s="46" t="str">
        <f t="shared" si="2060"/>
        <v/>
      </c>
      <c r="V4949" s="46" t="str">
        <f t="shared" si="2060"/>
        <v/>
      </c>
      <c r="W4949" s="46" t="str">
        <f t="shared" si="2060"/>
        <v/>
      </c>
      <c r="X4949" s="46" t="str">
        <f t="shared" si="2060"/>
        <v/>
      </c>
    </row>
    <row r="4950" spans="2:26" x14ac:dyDescent="0.25">
      <c r="B4950" s="18"/>
      <c r="C4950" s="18"/>
      <c r="D4950" s="18"/>
      <c r="E4950" s="40"/>
      <c r="F4950" s="18"/>
      <c r="G4950" s="40"/>
      <c r="H4950" s="7">
        <f t="shared" ref="H4950:N4950" si="2088">SUM(H4945:H4949)</f>
        <v>0</v>
      </c>
      <c r="I4950" s="7">
        <f t="shared" si="2088"/>
        <v>10</v>
      </c>
      <c r="J4950" s="7">
        <f>SUM(J4945:J4949)</f>
        <v>121</v>
      </c>
      <c r="K4950" s="7">
        <f t="shared" si="2088"/>
        <v>0</v>
      </c>
      <c r="L4950" s="7">
        <f t="shared" si="2088"/>
        <v>131</v>
      </c>
      <c r="M4950" s="7">
        <f t="shared" si="2088"/>
        <v>4</v>
      </c>
      <c r="N4950" s="7">
        <f t="shared" si="2088"/>
        <v>4</v>
      </c>
      <c r="O4950" s="18"/>
      <c r="P4950" s="13"/>
      <c r="Q4950" s="13"/>
      <c r="S4950" s="13"/>
      <c r="T4950" s="15"/>
      <c r="U4950" s="46" t="str">
        <f t="shared" si="2060"/>
        <v/>
      </c>
      <c r="V4950" s="46" t="str">
        <f t="shared" si="2060"/>
        <v/>
      </c>
      <c r="W4950" s="46" t="str">
        <f t="shared" si="2060"/>
        <v/>
      </c>
      <c r="X4950" s="46" t="str">
        <f t="shared" si="2060"/>
        <v/>
      </c>
    </row>
    <row r="4951" spans="2:26" x14ac:dyDescent="0.25">
      <c r="B4951" s="18"/>
      <c r="C4951" s="18"/>
      <c r="D4951" s="18"/>
      <c r="E4951" s="40"/>
      <c r="F4951" s="18"/>
      <c r="G4951" s="40"/>
      <c r="N4951" s="8" t="str">
        <f>IF(R4951="x",1,"")</f>
        <v/>
      </c>
      <c r="O4951" s="18"/>
      <c r="P4951" s="13"/>
      <c r="Q4951" s="13"/>
      <c r="R4951" s="13"/>
      <c r="S4951" s="13"/>
      <c r="T4951" s="15"/>
      <c r="U4951" s="46" t="str">
        <f t="shared" si="2060"/>
        <v/>
      </c>
      <c r="V4951" s="46" t="str">
        <f t="shared" si="2060"/>
        <v/>
      </c>
      <c r="W4951" s="46" t="str">
        <f t="shared" si="2060"/>
        <v/>
      </c>
      <c r="X4951" s="46" t="str">
        <f t="shared" si="2060"/>
        <v/>
      </c>
    </row>
    <row r="4952" spans="2:26" x14ac:dyDescent="0.25">
      <c r="B4952" s="18"/>
      <c r="C4952" s="18"/>
      <c r="D4952" s="18"/>
      <c r="E4952" s="40"/>
      <c r="F4952" s="18"/>
      <c r="G4952" s="40"/>
      <c r="N4952" s="8" t="str">
        <f>IF(R4952="x",1,"")</f>
        <v/>
      </c>
      <c r="O4952" s="18"/>
      <c r="P4952" s="13"/>
      <c r="Q4952" s="13"/>
      <c r="R4952" s="13"/>
      <c r="S4952" s="13"/>
      <c r="T4952" s="15"/>
      <c r="U4952" s="46" t="str">
        <f t="shared" si="2060"/>
        <v/>
      </c>
      <c r="V4952" s="46" t="str">
        <f t="shared" si="2060"/>
        <v/>
      </c>
      <c r="W4952" s="46" t="str">
        <f t="shared" si="2060"/>
        <v/>
      </c>
      <c r="X4952" s="46" t="str">
        <f t="shared" si="2060"/>
        <v/>
      </c>
    </row>
    <row r="4953" spans="2:26" s="18" customFormat="1" x14ac:dyDescent="0.25">
      <c r="B4953" s="11" t="str">
        <f>CONCATENATE("PCAL","-",LEFT(P4953,2),UPPER(MID(P4953,4,3)),RIGHT(P4953,4))</f>
        <v>PCAL-14OCT1889</v>
      </c>
      <c r="C4953" s="11" t="s">
        <v>3412</v>
      </c>
      <c r="D4953" s="11" t="s">
        <v>2103</v>
      </c>
      <c r="E4953" s="39"/>
      <c r="F4953" s="11" t="s">
        <v>1700</v>
      </c>
      <c r="G4953" s="39" t="s">
        <v>3411</v>
      </c>
      <c r="H4953" s="7">
        <v>0</v>
      </c>
      <c r="I4953" s="7">
        <v>0</v>
      </c>
      <c r="J4953" s="17">
        <v>6</v>
      </c>
      <c r="K4953" s="17"/>
      <c r="L4953" s="7">
        <f>SUM(H4953:K4953)</f>
        <v>6</v>
      </c>
      <c r="M4953" s="8">
        <v>1</v>
      </c>
      <c r="N4953" s="8">
        <f>IF(L4953&gt;0,1,"")</f>
        <v>1</v>
      </c>
      <c r="O4953" s="11" t="s">
        <v>1702</v>
      </c>
      <c r="P4953" s="16" t="str">
        <f>IF(LEN(G4953)=10,CONCATENATE("0",G4953),G4953)</f>
        <v>14-Oct-1889</v>
      </c>
      <c r="Q4953" s="16"/>
      <c r="R4953" s="16" t="str">
        <f>IF($L4953&gt;0,"x","")</f>
        <v>x</v>
      </c>
      <c r="S4953" s="16" t="str">
        <f>IF($L4953&gt;0,"x","")</f>
        <v>x</v>
      </c>
      <c r="T4953" s="12"/>
      <c r="U4953" s="46" t="str">
        <f t="shared" si="2060"/>
        <v/>
      </c>
      <c r="V4953" s="46">
        <f t="shared" si="2060"/>
        <v>6</v>
      </c>
      <c r="W4953" s="46" t="str">
        <f t="shared" si="2060"/>
        <v/>
      </c>
      <c r="X4953" s="46" t="str">
        <f t="shared" si="2060"/>
        <v/>
      </c>
      <c r="Z4953" s="11"/>
    </row>
    <row r="4954" spans="2:26" s="18" customFormat="1" x14ac:dyDescent="0.25">
      <c r="B4954" s="11" t="str">
        <f>CONCATENATE("PCAL","-",LEFT(P4954,2),UPPER(MID(P4954,4,3)),RIGHT(P4954,4))</f>
        <v>PCAL-26NOV1889</v>
      </c>
      <c r="C4954" s="11" t="s">
        <v>3412</v>
      </c>
      <c r="D4954" s="11" t="s">
        <v>5993</v>
      </c>
      <c r="E4954" s="39"/>
      <c r="F4954" s="11" t="s">
        <v>1700</v>
      </c>
      <c r="G4954" s="39" t="s">
        <v>5994</v>
      </c>
      <c r="H4954" s="7"/>
      <c r="I4954" s="7">
        <v>0</v>
      </c>
      <c r="J4954" s="17">
        <v>5</v>
      </c>
      <c r="K4954" s="17"/>
      <c r="L4954" s="7">
        <f>SUM(H4954:K4954)</f>
        <v>5</v>
      </c>
      <c r="M4954" s="8">
        <v>1</v>
      </c>
      <c r="N4954" s="8">
        <f>IF(L4954&gt;0,1,"")</f>
        <v>1</v>
      </c>
      <c r="O4954" s="11" t="s">
        <v>1702</v>
      </c>
      <c r="P4954" s="16" t="str">
        <f>IF(LEN(G4954)=10,CONCATENATE("0",G4954),G4954)</f>
        <v>26-Nov-1889</v>
      </c>
      <c r="Q4954" s="16"/>
      <c r="R4954" s="16" t="str">
        <f>IF($L4954&gt;0,"x","")</f>
        <v>x</v>
      </c>
      <c r="S4954" s="16" t="str">
        <f>IF($L4954&gt;0,"x","")</f>
        <v>x</v>
      </c>
      <c r="T4954" s="12"/>
      <c r="U4954" s="46" t="str">
        <f>IF($O4954=U$5,$L4954,"")</f>
        <v/>
      </c>
      <c r="V4954" s="46">
        <f>IF($O4954=V$5,$L4954,"")</f>
        <v>5</v>
      </c>
      <c r="W4954" s="46" t="str">
        <f>IF($O4954=W$5,$L4954,"")</f>
        <v/>
      </c>
      <c r="X4954" s="46" t="str">
        <f>IF($O4954=X$5,$L4954,"")</f>
        <v/>
      </c>
      <c r="Z4954" s="11"/>
    </row>
    <row r="4955" spans="2:26" s="18" customFormat="1" x14ac:dyDescent="0.25">
      <c r="B4955" s="11"/>
      <c r="C4955" s="11"/>
      <c r="D4955" s="11"/>
      <c r="E4955" s="39"/>
      <c r="F4955" s="11"/>
      <c r="G4955" s="39"/>
      <c r="H4955" s="7"/>
      <c r="I4955" s="7"/>
      <c r="J4955" s="7"/>
      <c r="K4955" s="7"/>
      <c r="L4955" s="7"/>
      <c r="M4955" s="8"/>
      <c r="N4955" s="8" t="str">
        <f>IF(R4955="x",1,"")</f>
        <v/>
      </c>
      <c r="O4955" s="11"/>
      <c r="P4955" s="16"/>
      <c r="Q4955" s="16"/>
      <c r="R4955" s="16"/>
      <c r="S4955" s="16"/>
      <c r="T4955" s="12"/>
      <c r="U4955" s="46" t="str">
        <f t="shared" si="2060"/>
        <v/>
      </c>
      <c r="V4955" s="46" t="str">
        <f t="shared" si="2060"/>
        <v/>
      </c>
      <c r="W4955" s="46" t="str">
        <f t="shared" si="2060"/>
        <v/>
      </c>
      <c r="X4955" s="46" t="str">
        <f t="shared" si="2060"/>
        <v/>
      </c>
      <c r="Z4955" s="11"/>
    </row>
    <row r="4956" spans="2:26" x14ac:dyDescent="0.25">
      <c r="B4956" s="18"/>
      <c r="C4956" s="18"/>
      <c r="D4956" s="18"/>
      <c r="E4956" s="40"/>
      <c r="F4956" s="18"/>
      <c r="G4956" s="40"/>
      <c r="H4956" s="7">
        <f t="shared" ref="H4956:N4956" si="2089">SUM(H4953:H4955)</f>
        <v>0</v>
      </c>
      <c r="I4956" s="7">
        <f t="shared" si="2089"/>
        <v>0</v>
      </c>
      <c r="J4956" s="7">
        <f>SUM(J4953:J4955)</f>
        <v>11</v>
      </c>
      <c r="K4956" s="7">
        <f t="shared" si="2089"/>
        <v>0</v>
      </c>
      <c r="L4956" s="7">
        <f t="shared" si="2089"/>
        <v>11</v>
      </c>
      <c r="M4956" s="7">
        <f t="shared" si="2089"/>
        <v>2</v>
      </c>
      <c r="N4956" s="7">
        <f t="shared" si="2089"/>
        <v>2</v>
      </c>
      <c r="O4956" s="18"/>
      <c r="P4956" s="13"/>
      <c r="Q4956" s="13"/>
      <c r="S4956" s="13"/>
      <c r="T4956" s="15"/>
      <c r="U4956" s="46" t="str">
        <f t="shared" si="2060"/>
        <v/>
      </c>
      <c r="V4956" s="46" t="str">
        <f t="shared" si="2060"/>
        <v/>
      </c>
      <c r="W4956" s="46" t="str">
        <f t="shared" si="2060"/>
        <v/>
      </c>
      <c r="X4956" s="46" t="str">
        <f t="shared" si="2060"/>
        <v/>
      </c>
    </row>
    <row r="4957" spans="2:26" x14ac:dyDescent="0.25">
      <c r="B4957" s="18"/>
      <c r="C4957" s="18"/>
      <c r="D4957" s="18"/>
      <c r="E4957" s="40"/>
      <c r="F4957" s="18"/>
      <c r="G4957" s="40"/>
      <c r="N4957" s="8" t="str">
        <f>IF(R4957="x",1,"")</f>
        <v/>
      </c>
      <c r="O4957" s="18"/>
      <c r="P4957" s="13"/>
      <c r="Q4957" s="13"/>
      <c r="R4957" s="13"/>
      <c r="S4957" s="13"/>
      <c r="T4957" s="15"/>
      <c r="U4957" s="46" t="str">
        <f t="shared" ref="U4957:X4962" si="2090">IF($O4957=U$5,$L4957,"")</f>
        <v/>
      </c>
      <c r="V4957" s="46" t="str">
        <f t="shared" si="2090"/>
        <v/>
      </c>
      <c r="W4957" s="46" t="str">
        <f t="shared" si="2090"/>
        <v/>
      </c>
      <c r="X4957" s="46" t="str">
        <f t="shared" si="2090"/>
        <v/>
      </c>
    </row>
    <row r="4958" spans="2:26" x14ac:dyDescent="0.25">
      <c r="B4958" s="18"/>
      <c r="C4958" s="18"/>
      <c r="D4958" s="18"/>
      <c r="E4958" s="40"/>
      <c r="F4958" s="18"/>
      <c r="G4958" s="40"/>
      <c r="N4958" s="8" t="str">
        <f>IF(R4958="x",1,"")</f>
        <v/>
      </c>
      <c r="O4958" s="18"/>
      <c r="P4958" s="13"/>
      <c r="Q4958" s="13"/>
      <c r="R4958" s="13"/>
      <c r="S4958" s="13"/>
      <c r="T4958" s="15"/>
      <c r="U4958" s="46" t="str">
        <f t="shared" si="2090"/>
        <v/>
      </c>
      <c r="V4958" s="46" t="str">
        <f t="shared" si="2090"/>
        <v/>
      </c>
      <c r="W4958" s="46" t="str">
        <f t="shared" si="2090"/>
        <v/>
      </c>
      <c r="X4958" s="46" t="str">
        <f t="shared" si="2090"/>
        <v/>
      </c>
    </row>
    <row r="4959" spans="2:26" s="18" customFormat="1" x14ac:dyDescent="0.25">
      <c r="B4959" s="11" t="str">
        <f>CONCATENATE("PALA","-",LEFT(P4959,2),UPPER(MID(P4959,4,3)),RIGHT(P4959,4))</f>
        <v>PALA-10JUN1899</v>
      </c>
      <c r="C4959" s="11" t="s">
        <v>3240</v>
      </c>
      <c r="D4959" s="11" t="s">
        <v>2103</v>
      </c>
      <c r="E4959" s="39" t="s">
        <v>479</v>
      </c>
      <c r="F4959" s="11" t="s">
        <v>1700</v>
      </c>
      <c r="G4959" s="39" t="s">
        <v>3239</v>
      </c>
      <c r="H4959" s="7"/>
      <c r="I4959" s="7"/>
      <c r="J4959" s="17">
        <v>6</v>
      </c>
      <c r="K4959" s="17"/>
      <c r="L4959" s="7">
        <f>SUM(H4959:K4959)</f>
        <v>6</v>
      </c>
      <c r="M4959" s="8">
        <v>1</v>
      </c>
      <c r="N4959" s="8">
        <f>IF(L4959&gt;0,1,"")</f>
        <v>1</v>
      </c>
      <c r="O4959" s="11" t="s">
        <v>1702</v>
      </c>
      <c r="P4959" s="16" t="str">
        <f>IF(LEN(G4959)=10,CONCATENATE("0",G4959),G4959)</f>
        <v>10-Jun-1899</v>
      </c>
      <c r="Q4959" s="16"/>
      <c r="R4959" s="16" t="str">
        <f>IF($L4959&gt;0,"x","")</f>
        <v>x</v>
      </c>
      <c r="S4959" s="16" t="str">
        <f>IF($L4959&gt;0,"x","")</f>
        <v>x</v>
      </c>
      <c r="T4959" s="12"/>
      <c r="U4959" s="46" t="str">
        <f t="shared" si="2090"/>
        <v/>
      </c>
      <c r="V4959" s="46">
        <f t="shared" si="2090"/>
        <v>6</v>
      </c>
      <c r="W4959" s="46" t="str">
        <f t="shared" si="2090"/>
        <v/>
      </c>
      <c r="X4959" s="46" t="str">
        <f t="shared" si="2090"/>
        <v/>
      </c>
      <c r="Z4959" s="11"/>
    </row>
    <row r="4960" spans="2:26" s="18" customFormat="1" x14ac:dyDescent="0.25">
      <c r="B4960" s="11" t="str">
        <f>CONCATENATE("PALA","-",LEFT(P4960,2),UPPER(MID(P4960,4,3)),RIGHT(P4960,4))</f>
        <v>PALA-13JAN1902</v>
      </c>
      <c r="C4960" s="11" t="s">
        <v>3240</v>
      </c>
      <c r="D4960" s="11" t="s">
        <v>2103</v>
      </c>
      <c r="E4960" s="39" t="s">
        <v>11475</v>
      </c>
      <c r="F4960" s="11" t="s">
        <v>1700</v>
      </c>
      <c r="G4960" s="39" t="s">
        <v>2593</v>
      </c>
      <c r="H4960" s="7"/>
      <c r="I4960" s="7"/>
      <c r="J4960" s="17">
        <v>3</v>
      </c>
      <c r="K4960" s="17"/>
      <c r="L4960" s="7">
        <f>SUM(H4960:K4960)</f>
        <v>3</v>
      </c>
      <c r="M4960" s="8">
        <v>1</v>
      </c>
      <c r="N4960" s="8">
        <f>IF(L4960&gt;0,1,"")</f>
        <v>1</v>
      </c>
      <c r="O4960" s="11" t="s">
        <v>1702</v>
      </c>
      <c r="P4960" s="16" t="str">
        <f>IF(LEN(G4960)=10,CONCATENATE("0",G4960),G4960)</f>
        <v>13-Jan-1902</v>
      </c>
      <c r="Q4960" s="16"/>
      <c r="R4960" s="16" t="str">
        <f>IF($L4960&gt;0,"x","")</f>
        <v>x</v>
      </c>
      <c r="S4960" s="16" t="str">
        <f>IF($L4960&gt;0,"x","")</f>
        <v>x</v>
      </c>
      <c r="T4960" s="12"/>
      <c r="U4960" s="46" t="str">
        <f t="shared" si="2090"/>
        <v/>
      </c>
      <c r="V4960" s="46">
        <f t="shared" si="2090"/>
        <v>3</v>
      </c>
      <c r="W4960" s="46" t="str">
        <f t="shared" si="2090"/>
        <v/>
      </c>
      <c r="X4960" s="46" t="str">
        <f t="shared" si="2090"/>
        <v/>
      </c>
      <c r="Z4960" s="11"/>
    </row>
    <row r="4961" spans="2:26" s="18" customFormat="1" x14ac:dyDescent="0.25">
      <c r="B4961" s="11"/>
      <c r="C4961" s="11"/>
      <c r="D4961" s="11"/>
      <c r="E4961" s="39"/>
      <c r="F4961" s="11"/>
      <c r="G4961" s="39"/>
      <c r="H4961" s="7"/>
      <c r="I4961" s="7"/>
      <c r="J4961" s="7"/>
      <c r="K4961" s="7"/>
      <c r="L4961" s="7"/>
      <c r="M4961" s="8"/>
      <c r="N4961" s="8" t="str">
        <f>IF(R4961="x",1,"")</f>
        <v/>
      </c>
      <c r="O4961" s="11"/>
      <c r="P4961" s="16"/>
      <c r="Q4961" s="16"/>
      <c r="R4961" s="16"/>
      <c r="S4961" s="16"/>
      <c r="T4961" s="12"/>
      <c r="U4961" s="46" t="str">
        <f t="shared" si="2090"/>
        <v/>
      </c>
      <c r="V4961" s="46" t="str">
        <f t="shared" si="2090"/>
        <v/>
      </c>
      <c r="W4961" s="46" t="str">
        <f t="shared" si="2090"/>
        <v/>
      </c>
      <c r="X4961" s="46" t="str">
        <f t="shared" si="2090"/>
        <v/>
      </c>
      <c r="Z4961" s="11"/>
    </row>
    <row r="4962" spans="2:26" x14ac:dyDescent="0.25">
      <c r="B4962" s="18"/>
      <c r="C4962" s="18"/>
      <c r="D4962" s="18"/>
      <c r="E4962" s="40"/>
      <c r="F4962" s="18"/>
      <c r="G4962" s="40"/>
      <c r="H4962" s="7">
        <f t="shared" ref="H4962:N4962" si="2091">SUM(H4959:H4961)</f>
        <v>0</v>
      </c>
      <c r="I4962" s="7">
        <f t="shared" si="2091"/>
        <v>0</v>
      </c>
      <c r="J4962" s="7">
        <f>SUM(J4959:J4961)</f>
        <v>9</v>
      </c>
      <c r="K4962" s="7">
        <f t="shared" si="2091"/>
        <v>0</v>
      </c>
      <c r="L4962" s="7">
        <f t="shared" si="2091"/>
        <v>9</v>
      </c>
      <c r="M4962" s="7">
        <f t="shared" si="2091"/>
        <v>2</v>
      </c>
      <c r="N4962" s="7">
        <f t="shared" si="2091"/>
        <v>2</v>
      </c>
      <c r="O4962" s="18"/>
      <c r="P4962" s="13"/>
      <c r="Q4962" s="13"/>
      <c r="S4962" s="13"/>
      <c r="T4962" s="15"/>
      <c r="U4962" s="46" t="str">
        <f t="shared" si="2090"/>
        <v/>
      </c>
      <c r="V4962" s="46" t="str">
        <f t="shared" si="2090"/>
        <v/>
      </c>
      <c r="W4962" s="46" t="str">
        <f t="shared" si="2090"/>
        <v/>
      </c>
      <c r="X4962" s="46" t="str">
        <f t="shared" si="2090"/>
        <v/>
      </c>
    </row>
    <row r="4963" spans="2:26" x14ac:dyDescent="0.25">
      <c r="B4963" s="18"/>
      <c r="C4963" s="18"/>
      <c r="D4963" s="18"/>
      <c r="E4963" s="40"/>
      <c r="F4963" s="18"/>
      <c r="G4963" s="40"/>
      <c r="N4963" s="8" t="str">
        <f>IF(R4963="x",1,"")</f>
        <v/>
      </c>
      <c r="O4963" s="18"/>
      <c r="P4963" s="13"/>
      <c r="Q4963" s="13"/>
      <c r="R4963" s="13"/>
      <c r="S4963" s="13"/>
      <c r="T4963" s="15"/>
      <c r="U4963" s="46" t="str">
        <f t="shared" si="2060"/>
        <v/>
      </c>
      <c r="V4963" s="46" t="str">
        <f t="shared" si="2060"/>
        <v/>
      </c>
      <c r="W4963" s="46" t="str">
        <f t="shared" si="2060"/>
        <v/>
      </c>
      <c r="X4963" s="46" t="str">
        <f t="shared" si="2060"/>
        <v/>
      </c>
    </row>
    <row r="4964" spans="2:26" x14ac:dyDescent="0.25">
      <c r="B4964" s="18"/>
      <c r="C4964" s="18"/>
      <c r="D4964" s="18"/>
      <c r="E4964" s="40"/>
      <c r="F4964" s="18"/>
      <c r="G4964" s="40"/>
      <c r="N4964" s="8" t="str">
        <f>IF(R4964="x",1,"")</f>
        <v/>
      </c>
      <c r="O4964" s="18"/>
      <c r="P4964" s="13"/>
      <c r="Q4964" s="13"/>
      <c r="R4964" s="13"/>
      <c r="S4964" s="13"/>
      <c r="T4964" s="15"/>
      <c r="U4964" s="46" t="str">
        <f t="shared" si="2060"/>
        <v/>
      </c>
      <c r="V4964" s="46" t="str">
        <f t="shared" si="2060"/>
        <v/>
      </c>
      <c r="W4964" s="46" t="str">
        <f t="shared" si="2060"/>
        <v/>
      </c>
      <c r="X4964" s="46" t="str">
        <f t="shared" si="2060"/>
        <v/>
      </c>
    </row>
    <row r="4965" spans="2:26" s="18" customFormat="1" x14ac:dyDescent="0.25">
      <c r="B4965" s="11" t="str">
        <f>CONCATENATE("PANA","-",LEFT(P4965,2),UPPER(MID(P4965,4,3)),RIGHT(P4965,4))</f>
        <v>PANA-24DEC1923</v>
      </c>
      <c r="C4965" s="11" t="s">
        <v>11236</v>
      </c>
      <c r="D4965" s="11" t="s">
        <v>4635</v>
      </c>
      <c r="E4965" s="39" t="s">
        <v>11237</v>
      </c>
      <c r="F4965" s="11" t="s">
        <v>1700</v>
      </c>
      <c r="G4965" s="39" t="s">
        <v>2826</v>
      </c>
      <c r="H4965" s="7">
        <v>0</v>
      </c>
      <c r="I4965" s="7"/>
      <c r="J4965" s="17">
        <v>3</v>
      </c>
      <c r="K4965" s="17"/>
      <c r="L4965" s="7">
        <f>SUM(H4965:K4965)</f>
        <v>3</v>
      </c>
      <c r="M4965" s="8">
        <v>1</v>
      </c>
      <c r="N4965" s="8">
        <f>IF(L4965&gt;0,1,"")</f>
        <v>1</v>
      </c>
      <c r="O4965" s="11" t="s">
        <v>1702</v>
      </c>
      <c r="P4965" s="16" t="str">
        <f>IF(LEN(G4965)=10,CONCATENATE("0",G4965),G4965)</f>
        <v>24-Dec-1923</v>
      </c>
      <c r="Q4965" s="16"/>
      <c r="R4965" s="16" t="str">
        <f>IF($L4965&gt;0,"x","")</f>
        <v>x</v>
      </c>
      <c r="S4965" s="16" t="str">
        <f>IF($L4965&gt;0,"x","")</f>
        <v>x</v>
      </c>
      <c r="T4965" s="12"/>
      <c r="U4965" s="46" t="str">
        <f t="shared" si="2060"/>
        <v/>
      </c>
      <c r="V4965" s="46">
        <f t="shared" si="2060"/>
        <v>3</v>
      </c>
      <c r="W4965" s="46" t="str">
        <f t="shared" si="2060"/>
        <v/>
      </c>
      <c r="X4965" s="46" t="str">
        <f t="shared" si="2060"/>
        <v/>
      </c>
      <c r="Z4965" s="11"/>
    </row>
    <row r="4966" spans="2:26" s="18" customFormat="1" x14ac:dyDescent="0.25">
      <c r="B4966" s="11"/>
      <c r="C4966" s="11"/>
      <c r="D4966" s="11"/>
      <c r="E4966" s="39"/>
      <c r="F4966" s="11"/>
      <c r="G4966" s="39"/>
      <c r="H4966" s="7"/>
      <c r="I4966" s="7"/>
      <c r="J4966" s="7"/>
      <c r="K4966" s="7"/>
      <c r="L4966" s="7"/>
      <c r="M4966" s="8"/>
      <c r="N4966" s="8" t="str">
        <f>IF(R4966="x",1,"")</f>
        <v/>
      </c>
      <c r="O4966" s="11"/>
      <c r="P4966" s="16"/>
      <c r="Q4966" s="16"/>
      <c r="R4966" s="16"/>
      <c r="S4966" s="16"/>
      <c r="T4966" s="12"/>
      <c r="U4966" s="46" t="str">
        <f t="shared" si="2060"/>
        <v/>
      </c>
      <c r="V4966" s="46" t="str">
        <f t="shared" si="2060"/>
        <v/>
      </c>
      <c r="W4966" s="46" t="str">
        <f t="shared" si="2060"/>
        <v/>
      </c>
      <c r="X4966" s="46" t="str">
        <f t="shared" si="2060"/>
        <v/>
      </c>
      <c r="Z4966" s="11"/>
    </row>
    <row r="4967" spans="2:26" x14ac:dyDescent="0.25">
      <c r="B4967" s="18"/>
      <c r="C4967" s="18"/>
      <c r="D4967" s="18"/>
      <c r="E4967" s="40"/>
      <c r="F4967" s="18"/>
      <c r="G4967" s="40"/>
      <c r="H4967" s="7">
        <f t="shared" ref="H4967:N4967" si="2092">SUM(H4965:H4966)</f>
        <v>0</v>
      </c>
      <c r="I4967" s="7">
        <f t="shared" si="2092"/>
        <v>0</v>
      </c>
      <c r="J4967" s="7">
        <f>SUM(J4965:J4966)</f>
        <v>3</v>
      </c>
      <c r="K4967" s="7">
        <f t="shared" si="2092"/>
        <v>0</v>
      </c>
      <c r="L4967" s="7">
        <f t="shared" si="2092"/>
        <v>3</v>
      </c>
      <c r="M4967" s="7">
        <f t="shared" si="2092"/>
        <v>1</v>
      </c>
      <c r="N4967" s="7">
        <f t="shared" si="2092"/>
        <v>1</v>
      </c>
      <c r="O4967" s="18"/>
      <c r="P4967" s="13"/>
      <c r="Q4967" s="13"/>
      <c r="S4967" s="13"/>
      <c r="T4967" s="15"/>
      <c r="U4967" s="46" t="str">
        <f t="shared" si="2060"/>
        <v/>
      </c>
      <c r="V4967" s="46" t="str">
        <f t="shared" si="2060"/>
        <v/>
      </c>
      <c r="W4967" s="46" t="str">
        <f t="shared" si="2060"/>
        <v/>
      </c>
      <c r="X4967" s="46" t="str">
        <f t="shared" si="2060"/>
        <v/>
      </c>
    </row>
    <row r="4968" spans="2:26" x14ac:dyDescent="0.25">
      <c r="B4968" s="18"/>
      <c r="C4968" s="18"/>
      <c r="D4968" s="18"/>
      <c r="E4968" s="40"/>
      <c r="F4968" s="18"/>
      <c r="G4968" s="40"/>
      <c r="N4968" s="8" t="str">
        <f>IF(R4968="x",1,"")</f>
        <v/>
      </c>
      <c r="O4968" s="18"/>
      <c r="P4968" s="13"/>
      <c r="Q4968" s="13"/>
      <c r="R4968" s="13"/>
      <c r="S4968" s="13"/>
      <c r="T4968" s="15"/>
      <c r="U4968" s="46" t="str">
        <f t="shared" si="2060"/>
        <v/>
      </c>
      <c r="V4968" s="46" t="str">
        <f t="shared" si="2060"/>
        <v/>
      </c>
      <c r="W4968" s="46" t="str">
        <f t="shared" si="2060"/>
        <v/>
      </c>
      <c r="X4968" s="46" t="str">
        <f t="shared" si="2060"/>
        <v/>
      </c>
    </row>
    <row r="4969" spans="2:26" x14ac:dyDescent="0.25">
      <c r="B4969" s="18"/>
      <c r="C4969" s="18"/>
      <c r="D4969" s="18"/>
      <c r="E4969" s="40"/>
      <c r="F4969" s="18"/>
      <c r="G4969" s="40"/>
      <c r="N4969" s="8" t="str">
        <f>IF(R4969="x",1,"")</f>
        <v/>
      </c>
      <c r="O4969" s="18"/>
      <c r="P4969" s="13"/>
      <c r="Q4969" s="13"/>
      <c r="R4969" s="13"/>
      <c r="S4969" s="13"/>
      <c r="T4969" s="15"/>
      <c r="U4969" s="46" t="str">
        <f t="shared" si="2060"/>
        <v/>
      </c>
      <c r="V4969" s="46" t="str">
        <f t="shared" si="2060"/>
        <v/>
      </c>
      <c r="W4969" s="46" t="str">
        <f t="shared" si="2060"/>
        <v/>
      </c>
      <c r="X4969" s="46" t="str">
        <f t="shared" si="2060"/>
        <v/>
      </c>
    </row>
    <row r="4970" spans="2:26" s="18" customFormat="1" x14ac:dyDescent="0.25">
      <c r="B4970" s="11" t="str">
        <f t="shared" ref="B4970:B4987" si="2093">CONCATENATE("PANN","-",LEFT(P4970,2),UPPER(MID(P4970,4,3)),RIGHT(P4970,4))</f>
        <v>PANN-03AUG1912</v>
      </c>
      <c r="C4970" s="11" t="s">
        <v>3154</v>
      </c>
      <c r="D4970" s="11" t="s">
        <v>3957</v>
      </c>
      <c r="E4970" s="39" t="s">
        <v>3712</v>
      </c>
      <c r="F4970" s="11" t="s">
        <v>1700</v>
      </c>
      <c r="G4970" s="39" t="s">
        <v>1002</v>
      </c>
      <c r="H4970" s="7"/>
      <c r="I4970" s="7">
        <v>0</v>
      </c>
      <c r="J4970" s="17">
        <v>6</v>
      </c>
      <c r="K4970" s="17"/>
      <c r="L4970" s="7">
        <f t="shared" ref="L4970:L4987" si="2094">SUM(H4970:K4970)</f>
        <v>6</v>
      </c>
      <c r="M4970" s="8">
        <v>1</v>
      </c>
      <c r="N4970" s="8">
        <f t="shared" ref="N4970:N4987" si="2095">IF(L4970&gt;0,1,"")</f>
        <v>1</v>
      </c>
      <c r="O4970" s="11" t="s">
        <v>1702</v>
      </c>
      <c r="P4970" s="16" t="str">
        <f t="shared" ref="P4970:P4987" si="2096">IF(LEN(G4970)=10,CONCATENATE("0",G4970),G4970)</f>
        <v>03-Aug-1912</v>
      </c>
      <c r="Q4970" s="16"/>
      <c r="R4970" s="16" t="str">
        <f t="shared" ref="R4970:S4972" si="2097">IF($L4970&gt;0,"x","")</f>
        <v>x</v>
      </c>
      <c r="S4970" s="16" t="str">
        <f t="shared" si="2097"/>
        <v>x</v>
      </c>
      <c r="T4970" s="12"/>
      <c r="U4970" s="46" t="str">
        <f t="shared" si="2060"/>
        <v/>
      </c>
      <c r="V4970" s="46">
        <f t="shared" si="2060"/>
        <v>6</v>
      </c>
      <c r="W4970" s="46" t="str">
        <f t="shared" si="2060"/>
        <v/>
      </c>
      <c r="X4970" s="46" t="str">
        <f t="shared" si="2060"/>
        <v/>
      </c>
      <c r="Z4970" s="11"/>
    </row>
    <row r="4971" spans="2:26" s="18" customFormat="1" x14ac:dyDescent="0.25">
      <c r="B4971" s="11" t="str">
        <f t="shared" si="2093"/>
        <v>PANN-03AUG1912</v>
      </c>
      <c r="C4971" s="11" t="s">
        <v>3154</v>
      </c>
      <c r="D4971" s="11" t="s">
        <v>1906</v>
      </c>
      <c r="E4971" s="39" t="s">
        <v>2761</v>
      </c>
      <c r="F4971" s="11" t="s">
        <v>1700</v>
      </c>
      <c r="G4971" s="39" t="s">
        <v>1002</v>
      </c>
      <c r="H4971" s="7"/>
      <c r="I4971" s="7">
        <v>0</v>
      </c>
      <c r="J4971" s="17">
        <v>127</v>
      </c>
      <c r="K4971" s="17"/>
      <c r="L4971" s="7">
        <f t="shared" si="2094"/>
        <v>127</v>
      </c>
      <c r="M4971" s="8">
        <v>1</v>
      </c>
      <c r="N4971" s="8">
        <f t="shared" si="2095"/>
        <v>1</v>
      </c>
      <c r="O4971" s="11" t="s">
        <v>1702</v>
      </c>
      <c r="P4971" s="16" t="str">
        <f t="shared" si="2096"/>
        <v>03-Aug-1912</v>
      </c>
      <c r="Q4971" s="16"/>
      <c r="R4971" s="16" t="str">
        <f t="shared" si="2097"/>
        <v>x</v>
      </c>
      <c r="S4971" s="16" t="str">
        <f t="shared" si="2097"/>
        <v>x</v>
      </c>
      <c r="T4971" s="12"/>
      <c r="U4971" s="46" t="str">
        <f t="shared" si="2060"/>
        <v/>
      </c>
      <c r="V4971" s="46">
        <f t="shared" si="2060"/>
        <v>127</v>
      </c>
      <c r="W4971" s="46" t="str">
        <f t="shared" si="2060"/>
        <v/>
      </c>
      <c r="X4971" s="46" t="str">
        <f t="shared" si="2060"/>
        <v/>
      </c>
      <c r="Z4971" s="11"/>
    </row>
    <row r="4972" spans="2:26" s="18" customFormat="1" x14ac:dyDescent="0.25">
      <c r="B4972" s="11" t="str">
        <f>CONCATENATE("PANN","-",LEFT(P4972,2),UPPER(MID(P4972,4,3)),RIGHT(P4972,4))</f>
        <v>PANN-19SEP1912</v>
      </c>
      <c r="C4972" s="11" t="s">
        <v>3154</v>
      </c>
      <c r="D4972" s="11" t="s">
        <v>3064</v>
      </c>
      <c r="E4972" s="39" t="s">
        <v>1902</v>
      </c>
      <c r="F4972" s="11" t="s">
        <v>1700</v>
      </c>
      <c r="G4972" s="39" t="s">
        <v>3155</v>
      </c>
      <c r="H4972" s="7">
        <v>0</v>
      </c>
      <c r="I4972" s="7">
        <v>3</v>
      </c>
      <c r="J4972" s="17">
        <v>16</v>
      </c>
      <c r="K4972" s="17"/>
      <c r="L4972" s="7">
        <f>SUM(H4972:K4972)</f>
        <v>19</v>
      </c>
      <c r="M4972" s="8">
        <v>1</v>
      </c>
      <c r="N4972" s="8">
        <f>IF(L4972&gt;0,1,"")</f>
        <v>1</v>
      </c>
      <c r="O4972" s="11" t="s">
        <v>1702</v>
      </c>
      <c r="P4972" s="16" t="str">
        <f>IF(LEN(G4972)=10,CONCATENATE("0",G4972),G4972)</f>
        <v>19-Sep-1912</v>
      </c>
      <c r="Q4972" s="16"/>
      <c r="R4972" s="16" t="str">
        <f t="shared" si="2097"/>
        <v>x</v>
      </c>
      <c r="S4972" s="16" t="str">
        <f t="shared" si="2097"/>
        <v>x</v>
      </c>
      <c r="T4972" s="12"/>
      <c r="U4972" s="46" t="str">
        <f>IF($O4972=U$5,$L4972,"")</f>
        <v/>
      </c>
      <c r="V4972" s="46">
        <f>IF($O4972=V$5,$L4972,"")</f>
        <v>19</v>
      </c>
      <c r="W4972" s="46" t="str">
        <f>IF($O4972=W$5,$L4972,"")</f>
        <v/>
      </c>
      <c r="X4972" s="46" t="str">
        <f>IF($O4972=X$5,$L4972,"")</f>
        <v/>
      </c>
      <c r="Z4972" s="11"/>
    </row>
    <row r="4973" spans="2:26" s="18" customFormat="1" x14ac:dyDescent="0.25">
      <c r="B4973" s="11" t="str">
        <f t="shared" si="2093"/>
        <v>PANN-19SEP1912</v>
      </c>
      <c r="C4973" s="11" t="s">
        <v>3154</v>
      </c>
      <c r="D4973" s="11" t="s">
        <v>1906</v>
      </c>
      <c r="E4973" s="39" t="s">
        <v>3156</v>
      </c>
      <c r="F4973" s="11" t="s">
        <v>1700</v>
      </c>
      <c r="G4973" s="39" t="s">
        <v>3155</v>
      </c>
      <c r="H4973" s="7">
        <v>0</v>
      </c>
      <c r="I4973" s="7">
        <v>0</v>
      </c>
      <c r="J4973" s="17">
        <v>50</v>
      </c>
      <c r="K4973" s="17"/>
      <c r="L4973" s="7">
        <f t="shared" si="2094"/>
        <v>50</v>
      </c>
      <c r="M4973" s="8">
        <v>1</v>
      </c>
      <c r="N4973" s="8">
        <f t="shared" si="2095"/>
        <v>1</v>
      </c>
      <c r="O4973" s="11" t="s">
        <v>1702</v>
      </c>
      <c r="P4973" s="16" t="str">
        <f t="shared" si="2096"/>
        <v>19-Sep-1912</v>
      </c>
      <c r="Q4973" s="16"/>
      <c r="R4973" s="16" t="str">
        <f t="shared" ref="R4973:S4988" si="2098">IF($L4973&gt;0,"x","")</f>
        <v>x</v>
      </c>
      <c r="S4973" s="16" t="str">
        <f t="shared" si="2098"/>
        <v>x</v>
      </c>
      <c r="T4973" s="12"/>
      <c r="U4973" s="46" t="str">
        <f t="shared" si="2060"/>
        <v/>
      </c>
      <c r="V4973" s="46">
        <f t="shared" si="2060"/>
        <v>50</v>
      </c>
      <c r="W4973" s="46" t="str">
        <f t="shared" si="2060"/>
        <v/>
      </c>
      <c r="X4973" s="46" t="str">
        <f t="shared" si="2060"/>
        <v/>
      </c>
      <c r="Z4973" s="11"/>
    </row>
    <row r="4974" spans="2:26" s="18" customFormat="1" x14ac:dyDescent="0.25">
      <c r="B4974" s="11" t="str">
        <f t="shared" si="2093"/>
        <v>PANN-09NOV1912</v>
      </c>
      <c r="C4974" s="11" t="s">
        <v>3154</v>
      </c>
      <c r="D4974" s="11" t="s">
        <v>3064</v>
      </c>
      <c r="E4974" s="39" t="s">
        <v>1531</v>
      </c>
      <c r="F4974" s="11" t="s">
        <v>1700</v>
      </c>
      <c r="G4974" s="39" t="s">
        <v>3995</v>
      </c>
      <c r="H4974" s="7">
        <v>0</v>
      </c>
      <c r="I4974" s="7"/>
      <c r="J4974" s="17">
        <v>53</v>
      </c>
      <c r="K4974" s="17"/>
      <c r="L4974" s="7">
        <f t="shared" si="2094"/>
        <v>53</v>
      </c>
      <c r="M4974" s="8">
        <v>1</v>
      </c>
      <c r="N4974" s="8">
        <f t="shared" si="2095"/>
        <v>1</v>
      </c>
      <c r="O4974" s="11" t="s">
        <v>1702</v>
      </c>
      <c r="P4974" s="16" t="str">
        <f t="shared" si="2096"/>
        <v>09-Nov-1912</v>
      </c>
      <c r="Q4974" s="16"/>
      <c r="R4974" s="16" t="str">
        <f t="shared" ref="R4974:S4976" si="2099">IF($L4974&gt;0,"x","")</f>
        <v>x</v>
      </c>
      <c r="S4974" s="16" t="str">
        <f t="shared" si="2099"/>
        <v>x</v>
      </c>
      <c r="T4974" s="12"/>
      <c r="U4974" s="46" t="str">
        <f t="shared" ref="U4974:X4977" si="2100">IF($O4974=U$5,$L4974,"")</f>
        <v/>
      </c>
      <c r="V4974" s="46">
        <f t="shared" si="2100"/>
        <v>53</v>
      </c>
      <c r="W4974" s="46" t="str">
        <f t="shared" si="2100"/>
        <v/>
      </c>
      <c r="X4974" s="46" t="str">
        <f t="shared" si="2100"/>
        <v/>
      </c>
      <c r="Z4974" s="11"/>
    </row>
    <row r="4975" spans="2:26" s="18" customFormat="1" x14ac:dyDescent="0.25">
      <c r="B4975" s="11" t="str">
        <f>CONCATENATE("PANN","-",LEFT(P4975,2),UPPER(MID(P4975,4,3)),RIGHT(P4975,4))</f>
        <v>PANN-17JUN1913</v>
      </c>
      <c r="C4975" s="11" t="s">
        <v>3154</v>
      </c>
      <c r="D4975" s="11" t="s">
        <v>3064</v>
      </c>
      <c r="E4975" s="39" t="s">
        <v>4477</v>
      </c>
      <c r="F4975" s="11" t="s">
        <v>1700</v>
      </c>
      <c r="G4975" s="39" t="s">
        <v>1926</v>
      </c>
      <c r="H4975" s="7">
        <v>0</v>
      </c>
      <c r="I4975" s="7">
        <v>0</v>
      </c>
      <c r="J4975" s="17">
        <v>64</v>
      </c>
      <c r="K4975" s="17"/>
      <c r="L4975" s="7">
        <f>SUM(H4975:K4975)</f>
        <v>64</v>
      </c>
      <c r="M4975" s="8">
        <v>1</v>
      </c>
      <c r="N4975" s="8">
        <f>IF(L4975&gt;0,1,"")</f>
        <v>1</v>
      </c>
      <c r="O4975" s="11" t="s">
        <v>1702</v>
      </c>
      <c r="P4975" s="16" t="str">
        <f>IF(LEN(G4975)=10,CONCATENATE("0",G4975),G4975)</f>
        <v>17-Jun-1913</v>
      </c>
      <c r="Q4975" s="16"/>
      <c r="R4975" s="16" t="str">
        <f t="shared" si="2099"/>
        <v>x</v>
      </c>
      <c r="S4975" s="16" t="str">
        <f t="shared" si="2099"/>
        <v>x</v>
      </c>
      <c r="T4975" s="12"/>
      <c r="U4975" s="46" t="str">
        <f t="shared" si="2100"/>
        <v/>
      </c>
      <c r="V4975" s="46">
        <f t="shared" si="2100"/>
        <v>64</v>
      </c>
      <c r="W4975" s="46" t="str">
        <f t="shared" si="2100"/>
        <v/>
      </c>
      <c r="X4975" s="46" t="str">
        <f t="shared" si="2100"/>
        <v/>
      </c>
      <c r="Z4975" s="11"/>
    </row>
    <row r="4976" spans="2:26" s="18" customFormat="1" x14ac:dyDescent="0.25">
      <c r="B4976" s="11" t="str">
        <f>CONCATENATE("PANN","-",LEFT(P4976,2),UPPER(MID(P4976,4,3)),RIGHT(P4976,4))</f>
        <v>PANN-08AUG1913</v>
      </c>
      <c r="C4976" s="11" t="s">
        <v>3154</v>
      </c>
      <c r="D4976" s="11" t="s">
        <v>3064</v>
      </c>
      <c r="E4976" s="39" t="s">
        <v>1535</v>
      </c>
      <c r="F4976" s="11" t="s">
        <v>1700</v>
      </c>
      <c r="G4976" s="39" t="s">
        <v>4969</v>
      </c>
      <c r="H4976" s="7">
        <v>0</v>
      </c>
      <c r="I4976" s="7">
        <v>0</v>
      </c>
      <c r="J4976" s="17">
        <v>39</v>
      </c>
      <c r="K4976" s="17"/>
      <c r="L4976" s="7">
        <f>SUM(H4976:K4976)</f>
        <v>39</v>
      </c>
      <c r="M4976" s="8">
        <v>1</v>
      </c>
      <c r="N4976" s="8">
        <f>IF(L4976&gt;0,1,"")</f>
        <v>1</v>
      </c>
      <c r="O4976" s="11" t="s">
        <v>1702</v>
      </c>
      <c r="P4976" s="16" t="str">
        <f>IF(LEN(G4976)=10,CONCATENATE("0",G4976),G4976)</f>
        <v>08-Aug-1913</v>
      </c>
      <c r="Q4976" s="16"/>
      <c r="R4976" s="16" t="str">
        <f t="shared" si="2099"/>
        <v>x</v>
      </c>
      <c r="S4976" s="16" t="str">
        <f t="shared" si="2099"/>
        <v>x</v>
      </c>
      <c r="T4976" s="12"/>
      <c r="U4976" s="46" t="str">
        <f t="shared" si="2100"/>
        <v/>
      </c>
      <c r="V4976" s="46">
        <f t="shared" si="2100"/>
        <v>39</v>
      </c>
      <c r="W4976" s="46" t="str">
        <f t="shared" si="2100"/>
        <v/>
      </c>
      <c r="X4976" s="46" t="str">
        <f t="shared" si="2100"/>
        <v/>
      </c>
      <c r="Z4976" s="11"/>
    </row>
    <row r="4977" spans="2:26" s="18" customFormat="1" x14ac:dyDescent="0.25">
      <c r="B4977" s="11" t="str">
        <f t="shared" si="2093"/>
        <v>PANN-18NOV1913</v>
      </c>
      <c r="C4977" s="11" t="s">
        <v>3154</v>
      </c>
      <c r="D4977" s="11" t="s">
        <v>3064</v>
      </c>
      <c r="E4977" s="39" t="s">
        <v>3119</v>
      </c>
      <c r="F4977" s="11" t="s">
        <v>1700</v>
      </c>
      <c r="G4977" s="39" t="s">
        <v>1016</v>
      </c>
      <c r="H4977" s="7">
        <v>0</v>
      </c>
      <c r="I4977" s="7">
        <v>0</v>
      </c>
      <c r="J4977" s="17">
        <v>8</v>
      </c>
      <c r="K4977" s="17"/>
      <c r="L4977" s="7">
        <f t="shared" si="2094"/>
        <v>8</v>
      </c>
      <c r="M4977" s="8">
        <v>1</v>
      </c>
      <c r="N4977" s="8">
        <f t="shared" si="2095"/>
        <v>1</v>
      </c>
      <c r="O4977" s="11" t="s">
        <v>1702</v>
      </c>
      <c r="P4977" s="16" t="str">
        <f t="shared" si="2096"/>
        <v>18-Nov-1913</v>
      </c>
      <c r="Q4977" s="16"/>
      <c r="R4977" s="16" t="str">
        <f t="shared" si="2098"/>
        <v>x</v>
      </c>
      <c r="S4977" s="16" t="str">
        <f t="shared" si="2098"/>
        <v>x</v>
      </c>
      <c r="T4977" s="12"/>
      <c r="U4977" s="46" t="str">
        <f t="shared" si="2100"/>
        <v/>
      </c>
      <c r="V4977" s="46">
        <f t="shared" si="2100"/>
        <v>8</v>
      </c>
      <c r="W4977" s="46" t="str">
        <f t="shared" si="2100"/>
        <v/>
      </c>
      <c r="X4977" s="46" t="str">
        <f t="shared" si="2100"/>
        <v/>
      </c>
      <c r="Z4977" s="11"/>
    </row>
    <row r="4978" spans="2:26" s="18" customFormat="1" x14ac:dyDescent="0.25">
      <c r="B4978" s="11" t="str">
        <f t="shared" si="2093"/>
        <v>PANN-24APR1914</v>
      </c>
      <c r="C4978" s="11" t="s">
        <v>3154</v>
      </c>
      <c r="D4978" s="11" t="s">
        <v>1906</v>
      </c>
      <c r="E4978" s="39" t="s">
        <v>4327</v>
      </c>
      <c r="F4978" s="11" t="s">
        <v>1700</v>
      </c>
      <c r="G4978" s="39" t="s">
        <v>4328</v>
      </c>
      <c r="H4978" s="7">
        <v>0</v>
      </c>
      <c r="I4978" s="7">
        <v>0</v>
      </c>
      <c r="J4978" s="17">
        <v>4</v>
      </c>
      <c r="K4978" s="17"/>
      <c r="L4978" s="7">
        <f t="shared" si="2094"/>
        <v>4</v>
      </c>
      <c r="M4978" s="8">
        <v>1</v>
      </c>
      <c r="N4978" s="8">
        <f t="shared" si="2095"/>
        <v>1</v>
      </c>
      <c r="O4978" s="11" t="s">
        <v>1702</v>
      </c>
      <c r="P4978" s="16" t="str">
        <f t="shared" si="2096"/>
        <v>24-Apr-1914</v>
      </c>
      <c r="Q4978" s="16"/>
      <c r="R4978" s="16" t="str">
        <f t="shared" si="2098"/>
        <v>x</v>
      </c>
      <c r="S4978" s="16" t="str">
        <f t="shared" si="2098"/>
        <v>x</v>
      </c>
      <c r="T4978" s="12"/>
      <c r="U4978" s="46" t="str">
        <f t="shared" si="2060"/>
        <v/>
      </c>
      <c r="V4978" s="46">
        <f t="shared" si="2060"/>
        <v>4</v>
      </c>
      <c r="W4978" s="46" t="str">
        <f t="shared" si="2060"/>
        <v/>
      </c>
      <c r="X4978" s="46" t="str">
        <f t="shared" si="2060"/>
        <v/>
      </c>
      <c r="Z4978" s="11"/>
    </row>
    <row r="4979" spans="2:26" s="18" customFormat="1" x14ac:dyDescent="0.25">
      <c r="B4979" s="11" t="str">
        <f t="shared" si="2093"/>
        <v>PANN-16JUN1914</v>
      </c>
      <c r="C4979" s="11" t="s">
        <v>3154</v>
      </c>
      <c r="D4979" s="11" t="s">
        <v>1906</v>
      </c>
      <c r="E4979" s="39" t="s">
        <v>4694</v>
      </c>
      <c r="F4979" s="11" t="s">
        <v>1700</v>
      </c>
      <c r="G4979" s="39" t="s">
        <v>4695</v>
      </c>
      <c r="H4979" s="7"/>
      <c r="I4979" s="7">
        <v>0</v>
      </c>
      <c r="J4979" s="17">
        <v>6</v>
      </c>
      <c r="K4979" s="17"/>
      <c r="L4979" s="7">
        <f t="shared" si="2094"/>
        <v>6</v>
      </c>
      <c r="M4979" s="8">
        <v>1</v>
      </c>
      <c r="N4979" s="8">
        <f t="shared" si="2095"/>
        <v>1</v>
      </c>
      <c r="O4979" s="11" t="s">
        <v>1702</v>
      </c>
      <c r="P4979" s="16" t="str">
        <f t="shared" si="2096"/>
        <v>16-Jun-1914</v>
      </c>
      <c r="Q4979" s="16"/>
      <c r="R4979" s="16" t="str">
        <f t="shared" si="2098"/>
        <v>x</v>
      </c>
      <c r="S4979" s="16" t="str">
        <f t="shared" si="2098"/>
        <v>x</v>
      </c>
      <c r="T4979" s="12"/>
      <c r="U4979" s="46" t="str">
        <f>IF($O4979=U$5,$L4979,"")</f>
        <v/>
      </c>
      <c r="V4979" s="46">
        <f>IF($O4979=V$5,$L4979,"")</f>
        <v>6</v>
      </c>
      <c r="W4979" s="46" t="str">
        <f>IF($O4979=W$5,$L4979,"")</f>
        <v/>
      </c>
      <c r="X4979" s="46" t="str">
        <f>IF($O4979=X$5,$L4979,"")</f>
        <v/>
      </c>
      <c r="Z4979" s="11"/>
    </row>
    <row r="4980" spans="2:26" s="18" customFormat="1" x14ac:dyDescent="0.25">
      <c r="B4980" s="11" t="str">
        <f t="shared" si="2093"/>
        <v>PANN-05NOV1919</v>
      </c>
      <c r="C4980" s="11" t="s">
        <v>3154</v>
      </c>
      <c r="D4980" s="11" t="s">
        <v>847</v>
      </c>
      <c r="E4980" s="39" t="s">
        <v>3251</v>
      </c>
      <c r="F4980" s="11" t="s">
        <v>1700</v>
      </c>
      <c r="G4980" s="39" t="s">
        <v>3250</v>
      </c>
      <c r="H4980" s="7">
        <f>16+2</f>
        <v>18</v>
      </c>
      <c r="I4980" s="7"/>
      <c r="J4980" s="17">
        <v>10</v>
      </c>
      <c r="K4980" s="17"/>
      <c r="L4980" s="7">
        <f t="shared" si="2094"/>
        <v>28</v>
      </c>
      <c r="M4980" s="8">
        <v>1</v>
      </c>
      <c r="N4980" s="8">
        <f t="shared" si="2095"/>
        <v>1</v>
      </c>
      <c r="O4980" s="11" t="s">
        <v>1702</v>
      </c>
      <c r="P4980" s="16" t="str">
        <f t="shared" si="2096"/>
        <v>05-Nov-1919</v>
      </c>
      <c r="Q4980" s="16"/>
      <c r="R4980" s="16" t="str">
        <f t="shared" si="2098"/>
        <v>x</v>
      </c>
      <c r="S4980" s="16" t="str">
        <f t="shared" si="2098"/>
        <v>x</v>
      </c>
      <c r="T4980" s="12"/>
      <c r="U4980" s="46" t="str">
        <f t="shared" si="2060"/>
        <v/>
      </c>
      <c r="V4980" s="46">
        <f t="shared" si="2060"/>
        <v>28</v>
      </c>
      <c r="W4980" s="46" t="str">
        <f t="shared" si="2060"/>
        <v/>
      </c>
      <c r="X4980" s="46" t="str">
        <f t="shared" si="2060"/>
        <v/>
      </c>
      <c r="Z4980" s="11"/>
    </row>
    <row r="4981" spans="2:26" s="18" customFormat="1" x14ac:dyDescent="0.25">
      <c r="B4981" s="11" t="str">
        <f t="shared" si="2093"/>
        <v>PANN-22JAN1920</v>
      </c>
      <c r="C4981" s="11" t="s">
        <v>3154</v>
      </c>
      <c r="D4981" s="11" t="s">
        <v>847</v>
      </c>
      <c r="E4981" s="39" t="s">
        <v>1561</v>
      </c>
      <c r="F4981" s="11" t="s">
        <v>1700</v>
      </c>
      <c r="G4981" s="39" t="s">
        <v>4692</v>
      </c>
      <c r="H4981" s="7"/>
      <c r="I4981" s="7">
        <v>9</v>
      </c>
      <c r="J4981" s="17">
        <v>60</v>
      </c>
      <c r="K4981" s="17"/>
      <c r="L4981" s="7">
        <f t="shared" si="2094"/>
        <v>69</v>
      </c>
      <c r="M4981" s="8">
        <v>1</v>
      </c>
      <c r="N4981" s="8">
        <f t="shared" si="2095"/>
        <v>1</v>
      </c>
      <c r="O4981" s="11" t="s">
        <v>1702</v>
      </c>
      <c r="P4981" s="16" t="str">
        <f t="shared" si="2096"/>
        <v>22-Jan-1920</v>
      </c>
      <c r="Q4981" s="16"/>
      <c r="R4981" s="16" t="str">
        <f t="shared" si="2098"/>
        <v>x</v>
      </c>
      <c r="S4981" s="16" t="str">
        <f t="shared" si="2098"/>
        <v>x</v>
      </c>
      <c r="T4981" s="12"/>
      <c r="U4981" s="46" t="str">
        <f>IF($O4981=U$5,$L4981,"")</f>
        <v/>
      </c>
      <c r="V4981" s="46">
        <f>IF($O4981=V$5,$L4981,"")</f>
        <v>69</v>
      </c>
      <c r="W4981" s="46" t="str">
        <f>IF($O4981=W$5,$L4981,"")</f>
        <v/>
      </c>
      <c r="X4981" s="46" t="str">
        <f>IF($O4981=X$5,$L4981,"")</f>
        <v/>
      </c>
      <c r="Z4981" s="11"/>
    </row>
    <row r="4982" spans="2:26" s="18" customFormat="1" x14ac:dyDescent="0.25">
      <c r="B4982" s="11" t="str">
        <f t="shared" si="2093"/>
        <v>PANN-07JUN1920</v>
      </c>
      <c r="C4982" s="11" t="s">
        <v>3154</v>
      </c>
      <c r="D4982" s="11" t="s">
        <v>1906</v>
      </c>
      <c r="E4982" s="39" t="s">
        <v>4144</v>
      </c>
      <c r="F4982" s="11" t="s">
        <v>1700</v>
      </c>
      <c r="G4982" s="39" t="s">
        <v>3979</v>
      </c>
      <c r="H4982" s="7"/>
      <c r="I4982" s="7">
        <v>15</v>
      </c>
      <c r="J4982" s="17">
        <v>120</v>
      </c>
      <c r="K4982" s="17"/>
      <c r="L4982" s="7">
        <f t="shared" si="2094"/>
        <v>135</v>
      </c>
      <c r="M4982" s="8">
        <v>1</v>
      </c>
      <c r="N4982" s="8">
        <f t="shared" si="2095"/>
        <v>1</v>
      </c>
      <c r="O4982" s="11" t="s">
        <v>1702</v>
      </c>
      <c r="P4982" s="16" t="str">
        <f t="shared" si="2096"/>
        <v>07-Jun-1920</v>
      </c>
      <c r="Q4982" s="16"/>
      <c r="R4982" s="16" t="str">
        <f t="shared" si="2098"/>
        <v>x</v>
      </c>
      <c r="S4982" s="16" t="str">
        <f t="shared" si="2098"/>
        <v>x</v>
      </c>
      <c r="T4982" s="12"/>
      <c r="U4982" s="46" t="str">
        <f t="shared" si="2060"/>
        <v/>
      </c>
      <c r="V4982" s="46">
        <f t="shared" si="2060"/>
        <v>135</v>
      </c>
      <c r="W4982" s="46" t="str">
        <f t="shared" si="2060"/>
        <v/>
      </c>
      <c r="X4982" s="46" t="str">
        <f t="shared" si="2060"/>
        <v/>
      </c>
      <c r="Z4982" s="11"/>
    </row>
    <row r="4983" spans="2:26" s="18" customFormat="1" x14ac:dyDescent="0.25">
      <c r="B4983" s="11" t="str">
        <f t="shared" si="2093"/>
        <v>PANN-11AUG1920</v>
      </c>
      <c r="C4983" s="11" t="s">
        <v>3154</v>
      </c>
      <c r="D4983" s="11" t="s">
        <v>1906</v>
      </c>
      <c r="E4983" s="39" t="s">
        <v>3295</v>
      </c>
      <c r="F4983" s="11" t="s">
        <v>1700</v>
      </c>
      <c r="G4983" s="39" t="s">
        <v>3294</v>
      </c>
      <c r="H4983" s="7"/>
      <c r="I4983" s="7">
        <v>14</v>
      </c>
      <c r="J4983" s="17">
        <v>172</v>
      </c>
      <c r="K4983" s="17"/>
      <c r="L4983" s="7">
        <f t="shared" si="2094"/>
        <v>186</v>
      </c>
      <c r="M4983" s="8">
        <v>1</v>
      </c>
      <c r="N4983" s="8">
        <f t="shared" si="2095"/>
        <v>1</v>
      </c>
      <c r="O4983" s="11" t="s">
        <v>1702</v>
      </c>
      <c r="P4983" s="16" t="str">
        <f t="shared" si="2096"/>
        <v>11-Aug-1920</v>
      </c>
      <c r="Q4983" s="16"/>
      <c r="R4983" s="16" t="str">
        <f t="shared" si="2098"/>
        <v>x</v>
      </c>
      <c r="S4983" s="16" t="str">
        <f t="shared" si="2098"/>
        <v>x</v>
      </c>
      <c r="T4983" s="12"/>
      <c r="U4983" s="46" t="str">
        <f t="shared" si="2060"/>
        <v/>
      </c>
      <c r="V4983" s="46">
        <f t="shared" si="2060"/>
        <v>186</v>
      </c>
      <c r="W4983" s="46" t="str">
        <f t="shared" si="2060"/>
        <v/>
      </c>
      <c r="X4983" s="46" t="str">
        <f t="shared" si="2060"/>
        <v/>
      </c>
      <c r="Z4983" s="11"/>
    </row>
    <row r="4984" spans="2:26" s="18" customFormat="1" x14ac:dyDescent="0.25">
      <c r="B4984" s="11" t="str">
        <f t="shared" si="2093"/>
        <v>PANN-26OCT1920</v>
      </c>
      <c r="C4984" s="11" t="s">
        <v>3154</v>
      </c>
      <c r="D4984" s="11" t="s">
        <v>847</v>
      </c>
      <c r="E4984" s="39" t="s">
        <v>3168</v>
      </c>
      <c r="F4984" s="11" t="s">
        <v>1700</v>
      </c>
      <c r="G4984" s="39" t="s">
        <v>1578</v>
      </c>
      <c r="H4984" s="7"/>
      <c r="I4984" s="7">
        <f>8-4</f>
        <v>4</v>
      </c>
      <c r="J4984" s="17">
        <f>108+3-12-10</f>
        <v>89</v>
      </c>
      <c r="K4984" s="17"/>
      <c r="L4984" s="7">
        <f t="shared" si="2094"/>
        <v>93</v>
      </c>
      <c r="M4984" s="8">
        <v>1</v>
      </c>
      <c r="N4984" s="8">
        <f t="shared" si="2095"/>
        <v>1</v>
      </c>
      <c r="O4984" s="11" t="s">
        <v>1702</v>
      </c>
      <c r="P4984" s="16" t="str">
        <f t="shared" si="2096"/>
        <v>26-Oct-1920</v>
      </c>
      <c r="Q4984" s="16"/>
      <c r="R4984" s="16" t="str">
        <f t="shared" si="2098"/>
        <v>x</v>
      </c>
      <c r="S4984" s="16" t="str">
        <f t="shared" si="2098"/>
        <v>x</v>
      </c>
      <c r="T4984" s="12"/>
      <c r="U4984" s="46" t="str">
        <f t="shared" si="2060"/>
        <v/>
      </c>
      <c r="V4984" s="46">
        <f t="shared" si="2060"/>
        <v>93</v>
      </c>
      <c r="W4984" s="46" t="str">
        <f t="shared" si="2060"/>
        <v/>
      </c>
      <c r="X4984" s="46" t="str">
        <f t="shared" si="2060"/>
        <v/>
      </c>
      <c r="Z4984" s="11"/>
    </row>
    <row r="4985" spans="2:26" s="18" customFormat="1" x14ac:dyDescent="0.25">
      <c r="B4985" s="11" t="str">
        <f t="shared" si="2093"/>
        <v>PANN-26OCT1920</v>
      </c>
      <c r="C4985" s="11" t="s">
        <v>3154</v>
      </c>
      <c r="D4985" s="11" t="s">
        <v>1906</v>
      </c>
      <c r="E4985" s="39" t="s">
        <v>3184</v>
      </c>
      <c r="F4985" s="11" t="s">
        <v>1700</v>
      </c>
      <c r="G4985" s="39" t="s">
        <v>1578</v>
      </c>
      <c r="H4985" s="7"/>
      <c r="I4985" s="7">
        <v>9</v>
      </c>
      <c r="J4985" s="17">
        <f>89-3</f>
        <v>86</v>
      </c>
      <c r="K4985" s="17"/>
      <c r="L4985" s="7">
        <f t="shared" si="2094"/>
        <v>95</v>
      </c>
      <c r="M4985" s="8">
        <v>1</v>
      </c>
      <c r="N4985" s="8">
        <f t="shared" si="2095"/>
        <v>1</v>
      </c>
      <c r="O4985" s="11" t="s">
        <v>1702</v>
      </c>
      <c r="P4985" s="16" t="str">
        <f t="shared" si="2096"/>
        <v>26-Oct-1920</v>
      </c>
      <c r="Q4985" s="16"/>
      <c r="R4985" s="16" t="str">
        <f t="shared" si="2098"/>
        <v>x</v>
      </c>
      <c r="S4985" s="16" t="str">
        <f t="shared" si="2098"/>
        <v>x</v>
      </c>
      <c r="T4985" s="12"/>
      <c r="U4985" s="46" t="str">
        <f t="shared" si="2060"/>
        <v/>
      </c>
      <c r="V4985" s="46">
        <f t="shared" si="2060"/>
        <v>95</v>
      </c>
      <c r="W4985" s="46" t="str">
        <f t="shared" si="2060"/>
        <v/>
      </c>
      <c r="X4985" s="46" t="str">
        <f>IF($O4985=X$5,$L4985,"")</f>
        <v/>
      </c>
      <c r="Z4985" s="11"/>
    </row>
    <row r="4986" spans="2:26" s="18" customFormat="1" x14ac:dyDescent="0.25">
      <c r="B4986" s="11" t="str">
        <f t="shared" si="2093"/>
        <v>PANN-10JAN1921</v>
      </c>
      <c r="C4986" s="11" t="s">
        <v>3154</v>
      </c>
      <c r="D4986" s="11" t="s">
        <v>1906</v>
      </c>
      <c r="E4986" s="39" t="s">
        <v>3292</v>
      </c>
      <c r="F4986" s="11" t="s">
        <v>1700</v>
      </c>
      <c r="G4986" s="39" t="s">
        <v>4529</v>
      </c>
      <c r="H4986" s="7"/>
      <c r="I4986" s="7">
        <f>18+2</f>
        <v>20</v>
      </c>
      <c r="J4986" s="17">
        <v>87</v>
      </c>
      <c r="K4986" s="17"/>
      <c r="L4986" s="7">
        <f t="shared" si="2094"/>
        <v>107</v>
      </c>
      <c r="M4986" s="8">
        <v>1</v>
      </c>
      <c r="N4986" s="8">
        <f t="shared" si="2095"/>
        <v>1</v>
      </c>
      <c r="O4986" s="11" t="s">
        <v>1702</v>
      </c>
      <c r="P4986" s="16" t="str">
        <f t="shared" si="2096"/>
        <v>10-Jan-1921</v>
      </c>
      <c r="Q4986" s="16"/>
      <c r="R4986" s="16" t="str">
        <f t="shared" si="2098"/>
        <v>x</v>
      </c>
      <c r="S4986" s="16" t="str">
        <f t="shared" si="2098"/>
        <v>x</v>
      </c>
      <c r="T4986" s="12"/>
      <c r="U4986" s="46" t="str">
        <f>IF($O4986=U$5,$L4986,"")</f>
        <v/>
      </c>
      <c r="V4986" s="46">
        <f>IF($O4986=V$5,$L4986,"")</f>
        <v>107</v>
      </c>
      <c r="W4986" s="46" t="str">
        <f>IF($O4986=W$5,$L4986,"")</f>
        <v/>
      </c>
      <c r="X4986" s="46" t="str">
        <f>IF($O4986=X$5,$L4986,"")</f>
        <v/>
      </c>
      <c r="Z4986" s="11"/>
    </row>
    <row r="4987" spans="2:26" s="18" customFormat="1" x14ac:dyDescent="0.25">
      <c r="B4987" s="11" t="str">
        <f t="shared" si="2093"/>
        <v>PANN-17MAR1921</v>
      </c>
      <c r="C4987" s="11" t="s">
        <v>3154</v>
      </c>
      <c r="D4987" s="11" t="s">
        <v>1906</v>
      </c>
      <c r="E4987" s="39" t="s">
        <v>3566</v>
      </c>
      <c r="F4987" s="11" t="s">
        <v>3050</v>
      </c>
      <c r="G4987" s="39" t="s">
        <v>1139</v>
      </c>
      <c r="H4987" s="7"/>
      <c r="I4987" s="7">
        <f>33+4</f>
        <v>37</v>
      </c>
      <c r="J4987" s="17">
        <f>89+1</f>
        <v>90</v>
      </c>
      <c r="K4987" s="17"/>
      <c r="L4987" s="7">
        <f t="shared" si="2094"/>
        <v>127</v>
      </c>
      <c r="M4987" s="8">
        <v>1</v>
      </c>
      <c r="N4987" s="8">
        <f t="shared" si="2095"/>
        <v>1</v>
      </c>
      <c r="O4987" s="11" t="s">
        <v>1702</v>
      </c>
      <c r="P4987" s="16" t="str">
        <f t="shared" si="2096"/>
        <v>17-Mar-1921</v>
      </c>
      <c r="Q4987" s="16"/>
      <c r="R4987" s="16" t="str">
        <f t="shared" si="2098"/>
        <v>x</v>
      </c>
      <c r="S4987" s="16" t="str">
        <f t="shared" si="2098"/>
        <v>x</v>
      </c>
      <c r="T4987" s="12"/>
      <c r="U4987" s="46" t="str">
        <f t="shared" ref="U4987:X5107" si="2101">IF($O4987=U$5,$L4987,"")</f>
        <v/>
      </c>
      <c r="V4987" s="46">
        <f t="shared" si="2101"/>
        <v>127</v>
      </c>
      <c r="W4987" s="46" t="str">
        <f t="shared" si="2101"/>
        <v/>
      </c>
      <c r="X4987" s="46" t="str">
        <f t="shared" si="2101"/>
        <v/>
      </c>
      <c r="Z4987" s="11"/>
    </row>
    <row r="4988" spans="2:26" s="18" customFormat="1" x14ac:dyDescent="0.25">
      <c r="B4988" s="11" t="str">
        <f>CONCATENATE("PANN","-",LEFT(P4988,2),UPPER(MID(P4988,4,3)),RIGHT(P4988,4))</f>
        <v>PANN-12AUG1921</v>
      </c>
      <c r="C4988" s="11" t="s">
        <v>3154</v>
      </c>
      <c r="D4988" s="11" t="s">
        <v>1906</v>
      </c>
      <c r="E4988" s="39" t="s">
        <v>1133</v>
      </c>
      <c r="F4988" s="11" t="s">
        <v>1700</v>
      </c>
      <c r="G4988" s="39" t="s">
        <v>3014</v>
      </c>
      <c r="H4988" s="7"/>
      <c r="I4988" s="7">
        <v>26</v>
      </c>
      <c r="J4988" s="17">
        <f>41+1</f>
        <v>42</v>
      </c>
      <c r="K4988" s="17"/>
      <c r="L4988" s="7">
        <f>SUM(H4988:K4988)</f>
        <v>68</v>
      </c>
      <c r="M4988" s="8">
        <v>1</v>
      </c>
      <c r="N4988" s="8">
        <f>IF(L4988&gt;0,1,"")</f>
        <v>1</v>
      </c>
      <c r="O4988" s="11" t="s">
        <v>1702</v>
      </c>
      <c r="P4988" s="16" t="str">
        <f>IF(LEN(G4988)=10,CONCATENATE("0",G4988),G4988)</f>
        <v>12-Aug-1921</v>
      </c>
      <c r="Q4988" s="16"/>
      <c r="R4988" s="16" t="str">
        <f t="shared" si="2098"/>
        <v>x</v>
      </c>
      <c r="S4988" s="16" t="str">
        <f t="shared" si="2098"/>
        <v>x</v>
      </c>
      <c r="T4988" s="12"/>
      <c r="U4988" s="46" t="str">
        <f>IF($O4988=U$5,$L4988,"")</f>
        <v/>
      </c>
      <c r="V4988" s="46">
        <f>IF($O4988=V$5,$L4988,"")</f>
        <v>68</v>
      </c>
      <c r="W4988" s="46" t="str">
        <f>IF($O4988=W$5,$L4988,"")</f>
        <v/>
      </c>
      <c r="X4988" s="46" t="str">
        <f>IF($O4988=X$5,$L4988,"")</f>
        <v/>
      </c>
      <c r="Z4988" s="11"/>
    </row>
    <row r="4989" spans="2:26" s="18" customFormat="1" x14ac:dyDescent="0.25">
      <c r="B4989" s="11"/>
      <c r="C4989" s="11"/>
      <c r="D4989" s="11"/>
      <c r="E4989" s="39"/>
      <c r="F4989" s="11"/>
      <c r="G4989" s="39"/>
      <c r="H4989" s="7"/>
      <c r="I4989" s="7"/>
      <c r="J4989" s="7"/>
      <c r="K4989" s="7"/>
      <c r="L4989" s="7"/>
      <c r="M4989" s="8"/>
      <c r="N4989" s="8" t="str">
        <f>IF(R4989="x",1,"")</f>
        <v/>
      </c>
      <c r="O4989" s="11"/>
      <c r="P4989" s="16"/>
      <c r="Q4989" s="16"/>
      <c r="R4989" s="16"/>
      <c r="S4989" s="16"/>
      <c r="T4989" s="12"/>
      <c r="U4989" s="46" t="str">
        <f t="shared" si="2101"/>
        <v/>
      </c>
      <c r="V4989" s="46" t="str">
        <f t="shared" si="2101"/>
        <v/>
      </c>
      <c r="W4989" s="46" t="str">
        <f t="shared" si="2101"/>
        <v/>
      </c>
      <c r="X4989" s="46" t="str">
        <f t="shared" si="2101"/>
        <v/>
      </c>
      <c r="Z4989" s="11"/>
    </row>
    <row r="4990" spans="2:26" x14ac:dyDescent="0.25">
      <c r="B4990" s="18"/>
      <c r="C4990" s="18"/>
      <c r="D4990" s="18"/>
      <c r="E4990" s="40"/>
      <c r="F4990" s="18"/>
      <c r="G4990" s="40"/>
      <c r="H4990" s="7">
        <f t="shared" ref="H4990:N4990" si="2102">SUM(H4970:H4989)</f>
        <v>18</v>
      </c>
      <c r="I4990" s="7">
        <f t="shared" si="2102"/>
        <v>137</v>
      </c>
      <c r="J4990" s="7">
        <f>SUM(J4970:J4989)</f>
        <v>1129</v>
      </c>
      <c r="K4990" s="7">
        <f t="shared" si="2102"/>
        <v>0</v>
      </c>
      <c r="L4990" s="7">
        <f t="shared" si="2102"/>
        <v>1284</v>
      </c>
      <c r="M4990" s="7">
        <f t="shared" si="2102"/>
        <v>19</v>
      </c>
      <c r="N4990" s="7">
        <f t="shared" si="2102"/>
        <v>19</v>
      </c>
      <c r="O4990" s="18"/>
      <c r="P4990" s="13"/>
      <c r="Q4990" s="13"/>
      <c r="S4990" s="13"/>
      <c r="T4990" s="15"/>
      <c r="U4990" s="46" t="str">
        <f t="shared" si="2101"/>
        <v/>
      </c>
      <c r="V4990" s="46" t="str">
        <f t="shared" si="2101"/>
        <v/>
      </c>
      <c r="W4990" s="46" t="str">
        <f t="shared" si="2101"/>
        <v/>
      </c>
      <c r="X4990" s="46" t="str">
        <f t="shared" si="2101"/>
        <v/>
      </c>
    </row>
    <row r="4991" spans="2:26" x14ac:dyDescent="0.25">
      <c r="B4991" s="18"/>
      <c r="C4991" s="18"/>
      <c r="D4991" s="18"/>
      <c r="E4991" s="40"/>
      <c r="F4991" s="18"/>
      <c r="G4991" s="40"/>
      <c r="N4991" s="8" t="str">
        <f>IF(R4991="x",1,"")</f>
        <v/>
      </c>
      <c r="O4991" s="18"/>
      <c r="P4991" s="13"/>
      <c r="Q4991" s="13"/>
      <c r="R4991" s="13"/>
      <c r="S4991" s="13"/>
      <c r="T4991" s="15"/>
      <c r="U4991" s="46" t="str">
        <f t="shared" si="2101"/>
        <v/>
      </c>
      <c r="V4991" s="46" t="str">
        <f t="shared" si="2101"/>
        <v/>
      </c>
      <c r="W4991" s="46" t="str">
        <f t="shared" si="2101"/>
        <v/>
      </c>
      <c r="X4991" s="46" t="str">
        <f t="shared" si="2101"/>
        <v/>
      </c>
    </row>
    <row r="4992" spans="2:26" x14ac:dyDescent="0.25">
      <c r="B4992" s="18"/>
      <c r="C4992" s="18"/>
      <c r="D4992" s="18"/>
      <c r="E4992" s="40"/>
      <c r="F4992" s="18"/>
      <c r="G4992" s="40"/>
      <c r="N4992" s="8" t="str">
        <f>IF(R4992="x",1,"")</f>
        <v/>
      </c>
      <c r="O4992" s="18"/>
      <c r="P4992" s="13"/>
      <c r="Q4992" s="13"/>
      <c r="R4992" s="13"/>
      <c r="S4992" s="13"/>
      <c r="T4992" s="15"/>
      <c r="U4992" s="46" t="str">
        <f t="shared" si="2101"/>
        <v/>
      </c>
      <c r="V4992" s="46" t="str">
        <f t="shared" si="2101"/>
        <v/>
      </c>
      <c r="W4992" s="46" t="str">
        <f t="shared" si="2101"/>
        <v/>
      </c>
      <c r="X4992" s="46" t="str">
        <f t="shared" si="2101"/>
        <v/>
      </c>
    </row>
    <row r="4993" spans="2:26" s="18" customFormat="1" x14ac:dyDescent="0.25">
      <c r="B4993" s="11" t="str">
        <f>CONCATENATE("PARI","-",LEFT(P4993,2),UPPER(MID(P4993,4,3)),RIGHT(P4993,4))</f>
        <v>PARI-27JUL1895</v>
      </c>
      <c r="C4993" s="11" t="s">
        <v>3746</v>
      </c>
      <c r="D4993" s="11" t="s">
        <v>598</v>
      </c>
      <c r="E4993" s="39"/>
      <c r="F4993" s="11" t="s">
        <v>1700</v>
      </c>
      <c r="G4993" s="39" t="s">
        <v>5673</v>
      </c>
      <c r="H4993" s="7">
        <v>0</v>
      </c>
      <c r="I4993" s="7">
        <v>0</v>
      </c>
      <c r="J4993" s="17">
        <v>1</v>
      </c>
      <c r="K4993" s="17"/>
      <c r="L4993" s="7">
        <f>SUM(H4993:K4993)</f>
        <v>1</v>
      </c>
      <c r="M4993" s="8">
        <v>1</v>
      </c>
      <c r="N4993" s="8">
        <f>IF(L4993&gt;0,1,"")</f>
        <v>1</v>
      </c>
      <c r="O4993" s="11" t="s">
        <v>1702</v>
      </c>
      <c r="P4993" s="16" t="str">
        <f>IF(LEN(G4993)=10,CONCATENATE("0",G4993),G4993)</f>
        <v>27-Jul-1895</v>
      </c>
      <c r="Q4993" s="16"/>
      <c r="R4993" s="16" t="str">
        <f>IF($L4993&gt;0,"x","")</f>
        <v>x</v>
      </c>
      <c r="S4993" s="16" t="str">
        <f>IF($L4993&gt;0,"x","")</f>
        <v>x</v>
      </c>
      <c r="T4993" s="12"/>
      <c r="U4993" s="46" t="str">
        <f t="shared" si="2101"/>
        <v/>
      </c>
      <c r="V4993" s="46">
        <f t="shared" si="2101"/>
        <v>1</v>
      </c>
      <c r="W4993" s="46" t="str">
        <f t="shared" si="2101"/>
        <v/>
      </c>
      <c r="X4993" s="46" t="str">
        <f t="shared" si="2101"/>
        <v/>
      </c>
      <c r="Z4993" s="11"/>
    </row>
    <row r="4994" spans="2:26" s="18" customFormat="1" x14ac:dyDescent="0.25">
      <c r="B4994" s="11" t="str">
        <f t="shared" ref="B4994:B5000" si="2103">CONCATENATE("PARI","-",LEFT(P4994,2),UPPER(MID(P4994,4,3)),RIGHT(P4994,4))</f>
        <v>PARI-09MAY1896</v>
      </c>
      <c r="C4994" s="11" t="s">
        <v>3746</v>
      </c>
      <c r="D4994" s="11" t="s">
        <v>598</v>
      </c>
      <c r="E4994" s="39"/>
      <c r="F4994" s="11" t="s">
        <v>1700</v>
      </c>
      <c r="G4994" s="39" t="s">
        <v>5798</v>
      </c>
      <c r="H4994" s="7">
        <v>0</v>
      </c>
      <c r="I4994" s="7">
        <v>0</v>
      </c>
      <c r="J4994" s="17">
        <v>8</v>
      </c>
      <c r="K4994" s="17"/>
      <c r="L4994" s="7">
        <f t="shared" ref="L4994:L5000" si="2104">SUM(H4994:K4994)</f>
        <v>8</v>
      </c>
      <c r="M4994" s="8">
        <v>1</v>
      </c>
      <c r="N4994" s="8">
        <f t="shared" ref="N4994:N5000" si="2105">IF(L4994&gt;0,1,"")</f>
        <v>1</v>
      </c>
      <c r="O4994" s="11" t="s">
        <v>1702</v>
      </c>
      <c r="P4994" s="16" t="str">
        <f t="shared" ref="P4994:P5000" si="2106">IF(LEN(G4994)=10,CONCATENATE("0",G4994),G4994)</f>
        <v>09-May-1896</v>
      </c>
      <c r="Q4994" s="16"/>
      <c r="R4994" s="16" t="str">
        <f>IF($L4994&gt;0,"x","")</f>
        <v>x</v>
      </c>
      <c r="S4994" s="16" t="str">
        <f>IF($L4994&gt;0,"x","")</f>
        <v>x</v>
      </c>
      <c r="T4994" s="12"/>
      <c r="U4994" s="46" t="str">
        <f t="shared" ref="U4994:X4996" si="2107">IF($O4994=U$5,$L4994,"")</f>
        <v/>
      </c>
      <c r="V4994" s="46">
        <f t="shared" si="2107"/>
        <v>8</v>
      </c>
      <c r="W4994" s="46" t="str">
        <f t="shared" si="2107"/>
        <v/>
      </c>
      <c r="X4994" s="46" t="str">
        <f t="shared" si="2107"/>
        <v/>
      </c>
      <c r="Z4994" s="11"/>
    </row>
    <row r="4995" spans="2:26" s="18" customFormat="1" x14ac:dyDescent="0.25">
      <c r="B4995" s="11" t="str">
        <f t="shared" si="2103"/>
        <v>PARI-15MAR1897</v>
      </c>
      <c r="C4995" s="11" t="s">
        <v>3746</v>
      </c>
      <c r="D4995" s="11" t="s">
        <v>598</v>
      </c>
      <c r="E4995" s="39"/>
      <c r="F4995" s="11" t="s">
        <v>1700</v>
      </c>
      <c r="G4995" s="39" t="s">
        <v>543</v>
      </c>
      <c r="H4995" s="7">
        <v>0</v>
      </c>
      <c r="I4995" s="7">
        <v>0</v>
      </c>
      <c r="J4995" s="17">
        <v>3</v>
      </c>
      <c r="K4995" s="17"/>
      <c r="L4995" s="7">
        <f t="shared" si="2104"/>
        <v>3</v>
      </c>
      <c r="M4995" s="8">
        <v>1</v>
      </c>
      <c r="N4995" s="8">
        <f t="shared" si="2105"/>
        <v>1</v>
      </c>
      <c r="O4995" s="11" t="s">
        <v>1702</v>
      </c>
      <c r="P4995" s="16" t="str">
        <f t="shared" si="2106"/>
        <v>15-Mar-1897</v>
      </c>
      <c r="Q4995" s="16"/>
      <c r="R4995" s="16" t="str">
        <f t="shared" ref="R4995:S4997" si="2108">IF($L4995&gt;0,"x","")</f>
        <v>x</v>
      </c>
      <c r="S4995" s="16" t="str">
        <f t="shared" si="2108"/>
        <v>x</v>
      </c>
      <c r="T4995" s="12"/>
      <c r="U4995" s="46" t="str">
        <f t="shared" si="2107"/>
        <v/>
      </c>
      <c r="V4995" s="46">
        <f t="shared" si="2107"/>
        <v>3</v>
      </c>
      <c r="W4995" s="46" t="str">
        <f t="shared" si="2107"/>
        <v/>
      </c>
      <c r="X4995" s="46" t="str">
        <f t="shared" si="2107"/>
        <v/>
      </c>
      <c r="Z4995" s="11"/>
    </row>
    <row r="4996" spans="2:26" s="18" customFormat="1" x14ac:dyDescent="0.25">
      <c r="B4996" s="11" t="str">
        <f t="shared" si="2103"/>
        <v>PARI-13AUG1921</v>
      </c>
      <c r="C4996" s="11" t="s">
        <v>3746</v>
      </c>
      <c r="D4996" s="11" t="s">
        <v>1699</v>
      </c>
      <c r="E4996" s="39" t="s">
        <v>3013</v>
      </c>
      <c r="F4996" s="11" t="s">
        <v>1700</v>
      </c>
      <c r="G4996" s="39" t="s">
        <v>4763</v>
      </c>
      <c r="H4996" s="7">
        <v>0</v>
      </c>
      <c r="I4996" s="7">
        <f>4+2</f>
        <v>6</v>
      </c>
      <c r="J4996" s="17">
        <v>7</v>
      </c>
      <c r="K4996" s="17"/>
      <c r="L4996" s="7">
        <f t="shared" si="2104"/>
        <v>13</v>
      </c>
      <c r="M4996" s="8">
        <v>1</v>
      </c>
      <c r="N4996" s="8">
        <f t="shared" si="2105"/>
        <v>1</v>
      </c>
      <c r="O4996" s="11" t="s">
        <v>1702</v>
      </c>
      <c r="P4996" s="16" t="str">
        <f t="shared" si="2106"/>
        <v>13-Aug-1921</v>
      </c>
      <c r="Q4996" s="16"/>
      <c r="R4996" s="16" t="str">
        <f t="shared" si="2108"/>
        <v>x</v>
      </c>
      <c r="S4996" s="16" t="str">
        <f t="shared" si="2108"/>
        <v>x</v>
      </c>
      <c r="T4996" s="12"/>
      <c r="U4996" s="46" t="str">
        <f t="shared" si="2107"/>
        <v/>
      </c>
      <c r="V4996" s="46">
        <f t="shared" si="2107"/>
        <v>13</v>
      </c>
      <c r="W4996" s="46" t="str">
        <f t="shared" si="2107"/>
        <v/>
      </c>
      <c r="X4996" s="46" t="str">
        <f t="shared" si="2107"/>
        <v/>
      </c>
      <c r="Z4996" s="11"/>
    </row>
    <row r="4997" spans="2:26" s="18" customFormat="1" x14ac:dyDescent="0.25">
      <c r="B4997" s="11" t="str">
        <f t="shared" si="2103"/>
        <v>PARI-01OCT1921</v>
      </c>
      <c r="C4997" s="11" t="s">
        <v>3746</v>
      </c>
      <c r="D4997" s="11" t="s">
        <v>1699</v>
      </c>
      <c r="E4997" s="39" t="s">
        <v>1145</v>
      </c>
      <c r="F4997" s="11" t="s">
        <v>1700</v>
      </c>
      <c r="G4997" s="39" t="s">
        <v>3080</v>
      </c>
      <c r="H4997" s="7">
        <v>0</v>
      </c>
      <c r="I4997" s="7">
        <v>1</v>
      </c>
      <c r="J4997" s="17">
        <v>8</v>
      </c>
      <c r="K4997" s="17"/>
      <c r="L4997" s="7">
        <f t="shared" si="2104"/>
        <v>9</v>
      </c>
      <c r="M4997" s="8">
        <v>1</v>
      </c>
      <c r="N4997" s="8">
        <f t="shared" si="2105"/>
        <v>1</v>
      </c>
      <c r="O4997" s="11" t="s">
        <v>1702</v>
      </c>
      <c r="P4997" s="16" t="str">
        <f t="shared" si="2106"/>
        <v>01-Oct-1921</v>
      </c>
      <c r="Q4997" s="16"/>
      <c r="R4997" s="16" t="str">
        <f t="shared" si="2108"/>
        <v>x</v>
      </c>
      <c r="S4997" s="16" t="str">
        <f t="shared" si="2108"/>
        <v>x</v>
      </c>
      <c r="T4997" s="12"/>
      <c r="U4997" s="46" t="str">
        <f t="shared" ref="U4997:X5000" si="2109">IF($O4997=U$5,$L4997,"")</f>
        <v/>
      </c>
      <c r="V4997" s="46">
        <f t="shared" si="2109"/>
        <v>9</v>
      </c>
      <c r="W4997" s="46" t="str">
        <f t="shared" si="2109"/>
        <v/>
      </c>
      <c r="X4997" s="46" t="str">
        <f t="shared" si="2109"/>
        <v/>
      </c>
      <c r="Z4997" s="11"/>
    </row>
    <row r="4998" spans="2:26" s="18" customFormat="1" x14ac:dyDescent="0.25">
      <c r="B4998" s="11" t="str">
        <f t="shared" si="2103"/>
        <v>PARI-01JUL1922</v>
      </c>
      <c r="C4998" s="11" t="s">
        <v>3746</v>
      </c>
      <c r="D4998" s="11" t="s">
        <v>1699</v>
      </c>
      <c r="E4998" s="39" t="s">
        <v>3747</v>
      </c>
      <c r="F4998" s="11" t="s">
        <v>1700</v>
      </c>
      <c r="G4998" s="39" t="s">
        <v>3748</v>
      </c>
      <c r="H4998" s="7">
        <v>1</v>
      </c>
      <c r="I4998" s="7">
        <v>2</v>
      </c>
      <c r="J4998" s="17">
        <v>6</v>
      </c>
      <c r="K4998" s="17"/>
      <c r="L4998" s="7">
        <f t="shared" si="2104"/>
        <v>9</v>
      </c>
      <c r="M4998" s="8">
        <v>1</v>
      </c>
      <c r="N4998" s="8">
        <f t="shared" si="2105"/>
        <v>1</v>
      </c>
      <c r="O4998" s="11" t="s">
        <v>1702</v>
      </c>
      <c r="P4998" s="16" t="str">
        <f t="shared" si="2106"/>
        <v>01-Jul-1922</v>
      </c>
      <c r="Q4998" s="16"/>
      <c r="R4998" s="16" t="str">
        <f t="shared" ref="R4998:S5013" si="2110">IF($L4998&gt;0,"x","")</f>
        <v>x</v>
      </c>
      <c r="S4998" s="16" t="str">
        <f t="shared" si="2110"/>
        <v>x</v>
      </c>
      <c r="T4998" s="12"/>
      <c r="U4998" s="46" t="str">
        <f t="shared" si="2109"/>
        <v/>
      </c>
      <c r="V4998" s="46">
        <f t="shared" si="2109"/>
        <v>9</v>
      </c>
      <c r="W4998" s="46" t="str">
        <f t="shared" si="2109"/>
        <v/>
      </c>
      <c r="X4998" s="46" t="str">
        <f t="shared" si="2109"/>
        <v/>
      </c>
      <c r="Z4998" s="11"/>
    </row>
    <row r="4999" spans="2:26" s="18" customFormat="1" x14ac:dyDescent="0.25">
      <c r="B4999" s="11" t="str">
        <f>CONCATENATE("PARI","-",LEFT(P4999,2),UPPER(MID(P4999,4,3)),RIGHT(P4999,4))</f>
        <v>PARI-19AUG1922</v>
      </c>
      <c r="C4999" s="11" t="s">
        <v>3746</v>
      </c>
      <c r="D4999" s="11" t="s">
        <v>1699</v>
      </c>
      <c r="E4999" s="39" t="s">
        <v>11496</v>
      </c>
      <c r="F4999" s="11" t="s">
        <v>1700</v>
      </c>
      <c r="G4999" s="39" t="s">
        <v>11497</v>
      </c>
      <c r="H4999" s="7">
        <f>0+1</f>
        <v>1</v>
      </c>
      <c r="I4999" s="7">
        <v>29</v>
      </c>
      <c r="J4999" s="17">
        <v>1</v>
      </c>
      <c r="K4999" s="17"/>
      <c r="L4999" s="7">
        <f>SUM(H4999:K4999)</f>
        <v>31</v>
      </c>
      <c r="M4999" s="8">
        <v>1</v>
      </c>
      <c r="N4999" s="8">
        <f>IF(L4999&gt;0,1,"")</f>
        <v>1</v>
      </c>
      <c r="O4999" s="11" t="s">
        <v>1702</v>
      </c>
      <c r="P4999" s="16" t="str">
        <f>IF(LEN(G4999)=10,CONCATENATE("0",G4999),G4999)</f>
        <v>19-Aug-1922</v>
      </c>
      <c r="Q4999" s="16"/>
      <c r="R4999" s="16" t="str">
        <f t="shared" si="2110"/>
        <v>x</v>
      </c>
      <c r="S4999" s="80"/>
      <c r="T4999" s="12"/>
      <c r="U4999" s="46" t="str">
        <f t="shared" si="2109"/>
        <v/>
      </c>
      <c r="V4999" s="46">
        <f t="shared" si="2109"/>
        <v>31</v>
      </c>
      <c r="W4999" s="46" t="str">
        <f t="shared" si="2109"/>
        <v/>
      </c>
      <c r="X4999" s="46" t="str">
        <f t="shared" si="2109"/>
        <v/>
      </c>
      <c r="Z4999" s="11"/>
    </row>
    <row r="5000" spans="2:26" s="18" customFormat="1" x14ac:dyDescent="0.25">
      <c r="B5000" s="11" t="str">
        <f t="shared" si="2103"/>
        <v>PARI-01OCT1922</v>
      </c>
      <c r="C5000" s="11" t="s">
        <v>3746</v>
      </c>
      <c r="D5000" s="11" t="s">
        <v>1699</v>
      </c>
      <c r="E5000" s="39" t="s">
        <v>6181</v>
      </c>
      <c r="F5000" s="11" t="s">
        <v>1700</v>
      </c>
      <c r="G5000" s="39" t="s">
        <v>5017</v>
      </c>
      <c r="H5000" s="7">
        <f>0+3</f>
        <v>3</v>
      </c>
      <c r="I5000" s="7">
        <v>1</v>
      </c>
      <c r="J5000" s="17">
        <v>8</v>
      </c>
      <c r="K5000" s="17"/>
      <c r="L5000" s="7">
        <f t="shared" si="2104"/>
        <v>12</v>
      </c>
      <c r="M5000" s="8">
        <v>1</v>
      </c>
      <c r="N5000" s="8">
        <f t="shared" si="2105"/>
        <v>1</v>
      </c>
      <c r="O5000" s="11" t="s">
        <v>1702</v>
      </c>
      <c r="P5000" s="16" t="str">
        <f t="shared" si="2106"/>
        <v>01-Oct-1922</v>
      </c>
      <c r="Q5000" s="16"/>
      <c r="R5000" s="16" t="str">
        <f t="shared" si="2110"/>
        <v>x</v>
      </c>
      <c r="S5000" s="16" t="str">
        <f t="shared" si="2110"/>
        <v>x</v>
      </c>
      <c r="T5000" s="12"/>
      <c r="U5000" s="46" t="str">
        <f t="shared" si="2109"/>
        <v/>
      </c>
      <c r="V5000" s="46">
        <f t="shared" si="2109"/>
        <v>12</v>
      </c>
      <c r="W5000" s="46" t="str">
        <f t="shared" si="2109"/>
        <v/>
      </c>
      <c r="X5000" s="46" t="str">
        <f t="shared" si="2109"/>
        <v/>
      </c>
      <c r="Z5000" s="11"/>
    </row>
    <row r="5001" spans="2:26" s="18" customFormat="1" x14ac:dyDescent="0.25">
      <c r="B5001" s="11" t="str">
        <f t="shared" ref="B5001:B5013" si="2111">CONCATENATE("PARI","-",LEFT(P5001,2),UPPER(MID(P5001,4,3)),RIGHT(P5001,4))</f>
        <v>PARI-03MAR1923</v>
      </c>
      <c r="C5001" s="11" t="s">
        <v>3746</v>
      </c>
      <c r="D5001" s="11" t="s">
        <v>1699</v>
      </c>
      <c r="E5001" s="39" t="s">
        <v>4297</v>
      </c>
      <c r="F5001" s="11" t="s">
        <v>1700</v>
      </c>
      <c r="G5001" s="39" t="s">
        <v>4298</v>
      </c>
      <c r="H5001" s="7">
        <f>1+1</f>
        <v>2</v>
      </c>
      <c r="I5001" s="7">
        <v>0</v>
      </c>
      <c r="J5001" s="17">
        <f>0+2</f>
        <v>2</v>
      </c>
      <c r="K5001" s="17"/>
      <c r="L5001" s="7">
        <f t="shared" ref="L5001:L5013" si="2112">SUM(H5001:K5001)</f>
        <v>4</v>
      </c>
      <c r="M5001" s="8">
        <v>1</v>
      </c>
      <c r="N5001" s="8">
        <f t="shared" ref="N5001:N5013" si="2113">IF(L5001&gt;0,1,"")</f>
        <v>1</v>
      </c>
      <c r="O5001" s="11" t="s">
        <v>1702</v>
      </c>
      <c r="P5001" s="16" t="str">
        <f t="shared" ref="P5001:P5013" si="2114">IF(LEN(G5001)=10,CONCATENATE("0",G5001),G5001)</f>
        <v>03-Mar-1923</v>
      </c>
      <c r="Q5001" s="16"/>
      <c r="R5001" s="16" t="str">
        <f t="shared" si="2110"/>
        <v>x</v>
      </c>
      <c r="S5001" s="16" t="str">
        <f t="shared" si="2110"/>
        <v>x</v>
      </c>
      <c r="T5001" s="12"/>
      <c r="U5001" s="46" t="str">
        <f t="shared" si="2101"/>
        <v/>
      </c>
      <c r="V5001" s="46">
        <f t="shared" si="2101"/>
        <v>4</v>
      </c>
      <c r="W5001" s="46" t="str">
        <f t="shared" si="2101"/>
        <v/>
      </c>
      <c r="X5001" s="46" t="str">
        <f t="shared" si="2101"/>
        <v/>
      </c>
      <c r="Z5001" s="11"/>
    </row>
    <row r="5002" spans="2:26" s="18" customFormat="1" x14ac:dyDescent="0.25">
      <c r="B5002" s="11" t="str">
        <f t="shared" si="2111"/>
        <v>PARI-12MAY1923</v>
      </c>
      <c r="C5002" s="11" t="s">
        <v>3746</v>
      </c>
      <c r="D5002" s="11" t="s">
        <v>1699</v>
      </c>
      <c r="E5002" s="39" t="s">
        <v>4312</v>
      </c>
      <c r="F5002" s="11" t="s">
        <v>1700</v>
      </c>
      <c r="G5002" s="39" t="s">
        <v>4313</v>
      </c>
      <c r="H5002" s="7">
        <v>0</v>
      </c>
      <c r="I5002" s="7">
        <v>0</v>
      </c>
      <c r="J5002" s="17">
        <f>1+1</f>
        <v>2</v>
      </c>
      <c r="K5002" s="17"/>
      <c r="L5002" s="7">
        <f t="shared" si="2112"/>
        <v>2</v>
      </c>
      <c r="M5002" s="8">
        <v>1</v>
      </c>
      <c r="N5002" s="8">
        <f t="shared" si="2113"/>
        <v>1</v>
      </c>
      <c r="O5002" s="11" t="s">
        <v>1702</v>
      </c>
      <c r="P5002" s="16" t="str">
        <f t="shared" si="2114"/>
        <v>12-May-1923</v>
      </c>
      <c r="Q5002" s="16"/>
      <c r="R5002" s="16" t="str">
        <f t="shared" si="2110"/>
        <v>x</v>
      </c>
      <c r="S5002" s="16" t="str">
        <f t="shared" si="2110"/>
        <v>x</v>
      </c>
      <c r="T5002" s="12"/>
      <c r="U5002" s="46" t="str">
        <f t="shared" si="2101"/>
        <v/>
      </c>
      <c r="V5002" s="46">
        <f t="shared" si="2101"/>
        <v>2</v>
      </c>
      <c r="W5002" s="46" t="str">
        <f t="shared" si="2101"/>
        <v/>
      </c>
      <c r="X5002" s="46" t="str">
        <f t="shared" si="2101"/>
        <v/>
      </c>
      <c r="Z5002" s="11"/>
    </row>
    <row r="5003" spans="2:26" s="18" customFormat="1" x14ac:dyDescent="0.25">
      <c r="B5003" s="11" t="str">
        <f t="shared" si="2111"/>
        <v>PARI-01OCT1923</v>
      </c>
      <c r="C5003" s="11" t="s">
        <v>3746</v>
      </c>
      <c r="D5003" s="11" t="s">
        <v>1699</v>
      </c>
      <c r="E5003" s="39" t="s">
        <v>4325</v>
      </c>
      <c r="F5003" s="11" t="s">
        <v>1700</v>
      </c>
      <c r="G5003" s="39" t="s">
        <v>3092</v>
      </c>
      <c r="H5003" s="7">
        <v>1</v>
      </c>
      <c r="I5003" s="7">
        <f>40+1</f>
        <v>41</v>
      </c>
      <c r="J5003" s="17">
        <f>43+1</f>
        <v>44</v>
      </c>
      <c r="K5003" s="17"/>
      <c r="L5003" s="7">
        <f t="shared" si="2112"/>
        <v>86</v>
      </c>
      <c r="M5003" s="8">
        <v>1</v>
      </c>
      <c r="N5003" s="8">
        <f t="shared" si="2113"/>
        <v>1</v>
      </c>
      <c r="O5003" s="11" t="s">
        <v>1702</v>
      </c>
      <c r="P5003" s="16" t="str">
        <f t="shared" si="2114"/>
        <v>01-Oct-1923</v>
      </c>
      <c r="Q5003" s="16"/>
      <c r="R5003" s="16" t="str">
        <f t="shared" si="2110"/>
        <v>x</v>
      </c>
      <c r="S5003" s="16" t="str">
        <f t="shared" si="2110"/>
        <v>x</v>
      </c>
      <c r="T5003" s="12"/>
      <c r="U5003" s="46" t="str">
        <f t="shared" si="2101"/>
        <v/>
      </c>
      <c r="V5003" s="46">
        <f t="shared" si="2101"/>
        <v>86</v>
      </c>
      <c r="W5003" s="46" t="str">
        <f t="shared" si="2101"/>
        <v/>
      </c>
      <c r="X5003" s="46" t="str">
        <f t="shared" si="2101"/>
        <v/>
      </c>
      <c r="Z5003" s="11"/>
    </row>
    <row r="5004" spans="2:26" s="18" customFormat="1" x14ac:dyDescent="0.25">
      <c r="B5004" s="11" t="str">
        <f t="shared" si="2111"/>
        <v>PARI-08DEC1923</v>
      </c>
      <c r="C5004" s="11" t="s">
        <v>3746</v>
      </c>
      <c r="D5004" s="11" t="s">
        <v>1699</v>
      </c>
      <c r="E5004" s="39" t="s">
        <v>4906</v>
      </c>
      <c r="F5004" s="11" t="s">
        <v>1700</v>
      </c>
      <c r="G5004" s="39" t="s">
        <v>1187</v>
      </c>
      <c r="H5004" s="7">
        <v>2</v>
      </c>
      <c r="I5004" s="7">
        <f>13+1</f>
        <v>14</v>
      </c>
      <c r="J5004" s="17">
        <v>15</v>
      </c>
      <c r="K5004" s="17"/>
      <c r="L5004" s="7">
        <f t="shared" si="2112"/>
        <v>31</v>
      </c>
      <c r="M5004" s="8">
        <v>1</v>
      </c>
      <c r="N5004" s="8">
        <f t="shared" si="2113"/>
        <v>1</v>
      </c>
      <c r="O5004" s="11" t="s">
        <v>1702</v>
      </c>
      <c r="P5004" s="16" t="str">
        <f t="shared" si="2114"/>
        <v>08-Dec-1923</v>
      </c>
      <c r="Q5004" s="16"/>
      <c r="R5004" s="16" t="str">
        <f t="shared" si="2110"/>
        <v>x</v>
      </c>
      <c r="S5004" s="16" t="str">
        <f t="shared" si="2110"/>
        <v>x</v>
      </c>
      <c r="T5004" s="12"/>
      <c r="U5004" s="46" t="str">
        <f t="shared" ref="U5004:X5005" si="2115">IF($O5004=U$5,$L5004,"")</f>
        <v/>
      </c>
      <c r="V5004" s="46">
        <f t="shared" si="2115"/>
        <v>31</v>
      </c>
      <c r="W5004" s="46" t="str">
        <f t="shared" si="2115"/>
        <v/>
      </c>
      <c r="X5004" s="46" t="str">
        <f t="shared" si="2115"/>
        <v/>
      </c>
      <c r="Z5004" s="11"/>
    </row>
    <row r="5005" spans="2:26" s="18" customFormat="1" x14ac:dyDescent="0.25">
      <c r="B5005" s="11" t="str">
        <f t="shared" si="2111"/>
        <v>PARI-13JAN1924</v>
      </c>
      <c r="C5005" s="11" t="s">
        <v>3746</v>
      </c>
      <c r="D5005" s="11" t="s">
        <v>1699</v>
      </c>
      <c r="E5005" s="39" t="s">
        <v>6159</v>
      </c>
      <c r="F5005" s="11" t="s">
        <v>1700</v>
      </c>
      <c r="G5005" s="39" t="s">
        <v>5730</v>
      </c>
      <c r="H5005" s="7">
        <v>0</v>
      </c>
      <c r="I5005" s="7">
        <v>4</v>
      </c>
      <c r="J5005" s="17">
        <v>0</v>
      </c>
      <c r="K5005" s="17"/>
      <c r="L5005" s="7">
        <f t="shared" si="2112"/>
        <v>4</v>
      </c>
      <c r="M5005" s="8">
        <v>1</v>
      </c>
      <c r="N5005" s="8">
        <f t="shared" si="2113"/>
        <v>1</v>
      </c>
      <c r="O5005" s="11" t="s">
        <v>1702</v>
      </c>
      <c r="P5005" s="16" t="str">
        <f t="shared" si="2114"/>
        <v>13-Jan-1924</v>
      </c>
      <c r="Q5005" s="16"/>
      <c r="R5005" s="16" t="str">
        <f t="shared" si="2110"/>
        <v>x</v>
      </c>
      <c r="S5005" s="16" t="str">
        <f t="shared" si="2110"/>
        <v>x</v>
      </c>
      <c r="T5005" s="12"/>
      <c r="U5005" s="46" t="str">
        <f t="shared" si="2115"/>
        <v/>
      </c>
      <c r="V5005" s="46">
        <f t="shared" si="2115"/>
        <v>4</v>
      </c>
      <c r="W5005" s="46" t="str">
        <f t="shared" si="2115"/>
        <v/>
      </c>
      <c r="X5005" s="46" t="str">
        <f t="shared" si="2115"/>
        <v/>
      </c>
      <c r="Z5005" s="11"/>
    </row>
    <row r="5006" spans="2:26" s="18" customFormat="1" x14ac:dyDescent="0.25">
      <c r="B5006" s="11" t="str">
        <f t="shared" si="2111"/>
        <v>PARI-03FEB1924</v>
      </c>
      <c r="C5006" s="11" t="s">
        <v>3746</v>
      </c>
      <c r="D5006" s="11" t="s">
        <v>1699</v>
      </c>
      <c r="E5006" s="39" t="s">
        <v>2827</v>
      </c>
      <c r="F5006" s="11" t="s">
        <v>1700</v>
      </c>
      <c r="G5006" s="39" t="s">
        <v>4333</v>
      </c>
      <c r="H5006" s="7"/>
      <c r="I5006" s="7">
        <f>0+1</f>
        <v>1</v>
      </c>
      <c r="J5006" s="17">
        <v>3</v>
      </c>
      <c r="K5006" s="17"/>
      <c r="L5006" s="7">
        <f t="shared" si="2112"/>
        <v>4</v>
      </c>
      <c r="M5006" s="8">
        <v>1</v>
      </c>
      <c r="N5006" s="8">
        <f t="shared" si="2113"/>
        <v>1</v>
      </c>
      <c r="O5006" s="11" t="s">
        <v>1702</v>
      </c>
      <c r="P5006" s="16" t="str">
        <f t="shared" si="2114"/>
        <v>03-Feb-1924</v>
      </c>
      <c r="Q5006" s="16"/>
      <c r="R5006" s="16" t="str">
        <f t="shared" si="2110"/>
        <v>x</v>
      </c>
      <c r="S5006" s="16" t="str">
        <f t="shared" si="2110"/>
        <v>x</v>
      </c>
      <c r="T5006" s="12"/>
      <c r="U5006" s="46" t="str">
        <f t="shared" si="2101"/>
        <v/>
      </c>
      <c r="V5006" s="46">
        <f t="shared" si="2101"/>
        <v>4</v>
      </c>
      <c r="W5006" s="46" t="str">
        <f t="shared" si="2101"/>
        <v/>
      </c>
      <c r="X5006" s="46" t="str">
        <f t="shared" si="2101"/>
        <v/>
      </c>
      <c r="Z5006" s="11"/>
    </row>
    <row r="5007" spans="2:26" s="18" customFormat="1" x14ac:dyDescent="0.25">
      <c r="B5007" s="11" t="str">
        <f t="shared" si="2111"/>
        <v>PARI-07JUN1924</v>
      </c>
      <c r="C5007" s="11" t="s">
        <v>3746</v>
      </c>
      <c r="D5007" s="11" t="s">
        <v>1699</v>
      </c>
      <c r="E5007" s="39" t="s">
        <v>4339</v>
      </c>
      <c r="F5007" s="11" t="s">
        <v>1700</v>
      </c>
      <c r="G5007" s="39" t="s">
        <v>4340</v>
      </c>
      <c r="H5007" s="7">
        <f>0+1</f>
        <v>1</v>
      </c>
      <c r="I5007" s="7">
        <v>3</v>
      </c>
      <c r="J5007" s="17">
        <f>3+1</f>
        <v>4</v>
      </c>
      <c r="K5007" s="17"/>
      <c r="L5007" s="7">
        <f t="shared" si="2112"/>
        <v>8</v>
      </c>
      <c r="M5007" s="8">
        <v>1</v>
      </c>
      <c r="N5007" s="8">
        <f t="shared" si="2113"/>
        <v>1</v>
      </c>
      <c r="O5007" s="11" t="s">
        <v>1702</v>
      </c>
      <c r="P5007" s="16" t="str">
        <f t="shared" si="2114"/>
        <v>07-Jun-1924</v>
      </c>
      <c r="Q5007" s="16"/>
      <c r="R5007" s="16" t="str">
        <f t="shared" si="2110"/>
        <v>x</v>
      </c>
      <c r="S5007" s="16" t="str">
        <f t="shared" si="2110"/>
        <v>x</v>
      </c>
      <c r="T5007" s="12"/>
      <c r="U5007" s="46" t="str">
        <f>IF($O5007=U$5,$L5007,"")</f>
        <v/>
      </c>
      <c r="V5007" s="46">
        <f>IF($O5007=V$5,$L5007,"")</f>
        <v>8</v>
      </c>
      <c r="W5007" s="46" t="str">
        <f>IF($O5007=W$5,$L5007,"")</f>
        <v/>
      </c>
      <c r="X5007" s="46" t="str">
        <f>IF($O5007=X$5,$L5007,"")</f>
        <v/>
      </c>
      <c r="Z5007" s="11"/>
    </row>
    <row r="5008" spans="2:26" s="18" customFormat="1" x14ac:dyDescent="0.25">
      <c r="B5008" s="11" t="str">
        <f t="shared" si="2111"/>
        <v>PARI-28JUN1924</v>
      </c>
      <c r="C5008" s="11" t="s">
        <v>3746</v>
      </c>
      <c r="D5008" s="11" t="s">
        <v>1699</v>
      </c>
      <c r="E5008" s="39" t="s">
        <v>3267</v>
      </c>
      <c r="F5008" s="11" t="s">
        <v>1700</v>
      </c>
      <c r="G5008" s="39" t="s">
        <v>6184</v>
      </c>
      <c r="H5008" s="7">
        <v>0</v>
      </c>
      <c r="I5008" s="7">
        <v>5</v>
      </c>
      <c r="J5008" s="17">
        <v>11</v>
      </c>
      <c r="K5008" s="17"/>
      <c r="L5008" s="7">
        <f t="shared" si="2112"/>
        <v>16</v>
      </c>
      <c r="M5008" s="8">
        <v>1</v>
      </c>
      <c r="N5008" s="8">
        <f t="shared" si="2113"/>
        <v>1</v>
      </c>
      <c r="O5008" s="11" t="s">
        <v>1702</v>
      </c>
      <c r="P5008" s="16" t="str">
        <f t="shared" si="2114"/>
        <v>28-Jun-1924</v>
      </c>
      <c r="Q5008" s="16"/>
      <c r="R5008" s="16" t="str">
        <f t="shared" si="2110"/>
        <v>x</v>
      </c>
      <c r="S5008" s="16" t="str">
        <f t="shared" si="2110"/>
        <v>x</v>
      </c>
      <c r="T5008" s="12"/>
      <c r="U5008" s="46" t="str">
        <f t="shared" si="2101"/>
        <v/>
      </c>
      <c r="V5008" s="46">
        <f t="shared" si="2101"/>
        <v>16</v>
      </c>
      <c r="W5008" s="46" t="str">
        <f t="shared" si="2101"/>
        <v/>
      </c>
      <c r="X5008" s="46" t="str">
        <f t="shared" si="2101"/>
        <v/>
      </c>
      <c r="Z5008" s="11"/>
    </row>
    <row r="5009" spans="2:26" s="18" customFormat="1" x14ac:dyDescent="0.25">
      <c r="B5009" s="11" t="str">
        <f t="shared" si="2111"/>
        <v>PARI-29SEP1926</v>
      </c>
      <c r="C5009" s="11" t="s">
        <v>3746</v>
      </c>
      <c r="D5009" s="11" t="s">
        <v>1699</v>
      </c>
      <c r="E5009" s="39" t="s">
        <v>4860</v>
      </c>
      <c r="F5009" s="11" t="s">
        <v>1700</v>
      </c>
      <c r="G5009" s="39" t="s">
        <v>4861</v>
      </c>
      <c r="H5009" s="7">
        <v>0</v>
      </c>
      <c r="I5009" s="7">
        <f>1+4</f>
        <v>5</v>
      </c>
      <c r="J5009" s="17">
        <v>0</v>
      </c>
      <c r="K5009" s="17"/>
      <c r="L5009" s="7">
        <f t="shared" si="2112"/>
        <v>5</v>
      </c>
      <c r="M5009" s="8">
        <v>1</v>
      </c>
      <c r="N5009" s="8">
        <f t="shared" si="2113"/>
        <v>1</v>
      </c>
      <c r="O5009" s="11" t="s">
        <v>1702</v>
      </c>
      <c r="P5009" s="16" t="str">
        <f t="shared" si="2114"/>
        <v>29-Sep-1926</v>
      </c>
      <c r="Q5009" s="16"/>
      <c r="R5009" s="16" t="str">
        <f>IF($L5009&gt;0,"x","")</f>
        <v>x</v>
      </c>
      <c r="S5009" s="16" t="str">
        <f>IF($L5009&gt;0,"x","")</f>
        <v>x</v>
      </c>
      <c r="T5009" s="12"/>
      <c r="U5009" s="46" t="str">
        <f t="shared" ref="U5009:X5010" si="2116">IF($O5009=U$5,$L5009,"")</f>
        <v/>
      </c>
      <c r="V5009" s="46">
        <f t="shared" si="2116"/>
        <v>5</v>
      </c>
      <c r="W5009" s="46" t="str">
        <f t="shared" si="2116"/>
        <v/>
      </c>
      <c r="X5009" s="46" t="str">
        <f t="shared" si="2116"/>
        <v/>
      </c>
      <c r="Z5009" s="11"/>
    </row>
    <row r="5010" spans="2:26" s="18" customFormat="1" x14ac:dyDescent="0.25">
      <c r="B5010" s="11" t="str">
        <f t="shared" si="2111"/>
        <v>PARI-02FEB1927</v>
      </c>
      <c r="C5010" s="11" t="s">
        <v>3746</v>
      </c>
      <c r="D5010" s="11" t="s">
        <v>1699</v>
      </c>
      <c r="E5010" s="39" t="s">
        <v>5560</v>
      </c>
      <c r="F5010" s="11" t="s">
        <v>1700</v>
      </c>
      <c r="G5010" s="39" t="s">
        <v>5561</v>
      </c>
      <c r="H5010" s="7">
        <v>0</v>
      </c>
      <c r="I5010" s="7">
        <v>0</v>
      </c>
      <c r="J5010" s="17">
        <f>7+1</f>
        <v>8</v>
      </c>
      <c r="K5010" s="17"/>
      <c r="L5010" s="7">
        <f t="shared" si="2112"/>
        <v>8</v>
      </c>
      <c r="M5010" s="8">
        <v>1</v>
      </c>
      <c r="N5010" s="8">
        <f t="shared" si="2113"/>
        <v>1</v>
      </c>
      <c r="O5010" s="11" t="s">
        <v>1702</v>
      </c>
      <c r="P5010" s="16" t="str">
        <f t="shared" si="2114"/>
        <v>02-Feb-1927</v>
      </c>
      <c r="Q5010" s="16"/>
      <c r="R5010" s="16" t="str">
        <f>IF($L5010&gt;0,"x","")</f>
        <v>x</v>
      </c>
      <c r="S5010" s="16" t="str">
        <f>IF($L5010&gt;0,"x","")</f>
        <v>x</v>
      </c>
      <c r="T5010" s="12"/>
      <c r="U5010" s="46" t="str">
        <f t="shared" si="2116"/>
        <v/>
      </c>
      <c r="V5010" s="46">
        <f t="shared" si="2116"/>
        <v>8</v>
      </c>
      <c r="W5010" s="46" t="str">
        <f t="shared" si="2116"/>
        <v/>
      </c>
      <c r="X5010" s="46" t="str">
        <f t="shared" si="2116"/>
        <v/>
      </c>
      <c r="Z5010" s="11"/>
    </row>
    <row r="5011" spans="2:26" s="18" customFormat="1" x14ac:dyDescent="0.25">
      <c r="B5011" s="11" t="str">
        <f t="shared" si="2111"/>
        <v>PARI-03AUG1927</v>
      </c>
      <c r="C5011" s="11" t="s">
        <v>3746</v>
      </c>
      <c r="D5011" s="11" t="s">
        <v>1699</v>
      </c>
      <c r="E5011" s="39" t="s">
        <v>4442</v>
      </c>
      <c r="F5011" s="11" t="s">
        <v>1700</v>
      </c>
      <c r="G5011" s="39" t="s">
        <v>4443</v>
      </c>
      <c r="H5011" s="7">
        <v>0</v>
      </c>
      <c r="I5011" s="7">
        <v>2</v>
      </c>
      <c r="J5011" s="17">
        <f>4+1</f>
        <v>5</v>
      </c>
      <c r="K5011" s="17"/>
      <c r="L5011" s="7">
        <f t="shared" si="2112"/>
        <v>7</v>
      </c>
      <c r="M5011" s="8">
        <v>1</v>
      </c>
      <c r="N5011" s="8">
        <f t="shared" si="2113"/>
        <v>1</v>
      </c>
      <c r="O5011" s="11" t="s">
        <v>1702</v>
      </c>
      <c r="P5011" s="16" t="str">
        <f t="shared" si="2114"/>
        <v>03-Aug-1927</v>
      </c>
      <c r="Q5011" s="16"/>
      <c r="R5011" s="16" t="str">
        <f t="shared" si="2110"/>
        <v>x</v>
      </c>
      <c r="S5011" s="16" t="str">
        <f t="shared" si="2110"/>
        <v>x</v>
      </c>
      <c r="T5011" s="12"/>
      <c r="U5011" s="46" t="str">
        <f t="shared" si="2101"/>
        <v/>
      </c>
      <c r="V5011" s="46">
        <f t="shared" si="2101"/>
        <v>7</v>
      </c>
      <c r="W5011" s="46" t="str">
        <f t="shared" si="2101"/>
        <v/>
      </c>
      <c r="X5011" s="46" t="str">
        <f t="shared" si="2101"/>
        <v/>
      </c>
      <c r="Z5011" s="11"/>
    </row>
    <row r="5012" spans="2:26" s="18" customFormat="1" x14ac:dyDescent="0.25">
      <c r="B5012" s="11" t="str">
        <f t="shared" si="2111"/>
        <v>PARI-12MAR1929</v>
      </c>
      <c r="C5012" s="11" t="s">
        <v>3746</v>
      </c>
      <c r="D5012" s="11" t="s">
        <v>1699</v>
      </c>
      <c r="E5012" s="39" t="s">
        <v>5767</v>
      </c>
      <c r="F5012" s="11" t="s">
        <v>1700</v>
      </c>
      <c r="G5012" s="39" t="s">
        <v>5768</v>
      </c>
      <c r="H5012" s="7">
        <v>0</v>
      </c>
      <c r="I5012" s="7">
        <f>5+1</f>
        <v>6</v>
      </c>
      <c r="J5012" s="17">
        <f>1+1</f>
        <v>2</v>
      </c>
      <c r="K5012" s="17"/>
      <c r="L5012" s="7">
        <f t="shared" si="2112"/>
        <v>8</v>
      </c>
      <c r="M5012" s="8">
        <v>1</v>
      </c>
      <c r="N5012" s="8">
        <f t="shared" si="2113"/>
        <v>1</v>
      </c>
      <c r="O5012" s="11" t="s">
        <v>1702</v>
      </c>
      <c r="P5012" s="16" t="str">
        <f t="shared" si="2114"/>
        <v>12-Mar-1929</v>
      </c>
      <c r="Q5012" s="16"/>
      <c r="R5012" s="16" t="str">
        <f t="shared" si="2110"/>
        <v>x</v>
      </c>
      <c r="S5012" s="16" t="str">
        <f t="shared" si="2110"/>
        <v>x</v>
      </c>
      <c r="T5012" s="12"/>
      <c r="U5012" s="46" t="str">
        <f t="shared" ref="U5012:X5013" si="2117">IF($O5012=U$5,$L5012,"")</f>
        <v/>
      </c>
      <c r="V5012" s="46">
        <f t="shared" si="2117"/>
        <v>8</v>
      </c>
      <c r="W5012" s="46" t="str">
        <f t="shared" si="2117"/>
        <v/>
      </c>
      <c r="X5012" s="46" t="str">
        <f t="shared" si="2117"/>
        <v/>
      </c>
      <c r="Z5012" s="11"/>
    </row>
    <row r="5013" spans="2:26" s="18" customFormat="1" x14ac:dyDescent="0.25">
      <c r="B5013" s="11" t="str">
        <f t="shared" si="2111"/>
        <v>PARI-09APR1930</v>
      </c>
      <c r="C5013" s="11" t="s">
        <v>3746</v>
      </c>
      <c r="D5013" s="11" t="s">
        <v>1699</v>
      </c>
      <c r="E5013" s="39" t="s">
        <v>6312</v>
      </c>
      <c r="F5013" s="11" t="s">
        <v>1700</v>
      </c>
      <c r="G5013" s="39" t="s">
        <v>6313</v>
      </c>
      <c r="H5013" s="7">
        <v>0</v>
      </c>
      <c r="I5013" s="7">
        <v>3</v>
      </c>
      <c r="J5013" s="17">
        <f>1+1</f>
        <v>2</v>
      </c>
      <c r="K5013" s="17"/>
      <c r="L5013" s="7">
        <f t="shared" si="2112"/>
        <v>5</v>
      </c>
      <c r="M5013" s="8">
        <v>1</v>
      </c>
      <c r="N5013" s="8">
        <f t="shared" si="2113"/>
        <v>1</v>
      </c>
      <c r="O5013" s="11" t="s">
        <v>1702</v>
      </c>
      <c r="P5013" s="16" t="str">
        <f t="shared" si="2114"/>
        <v>09-Apr-1930</v>
      </c>
      <c r="Q5013" s="16"/>
      <c r="R5013" s="16" t="str">
        <f t="shared" si="2110"/>
        <v>x</v>
      </c>
      <c r="S5013" s="16" t="str">
        <f t="shared" si="2110"/>
        <v>x</v>
      </c>
      <c r="T5013" s="12"/>
      <c r="U5013" s="46" t="str">
        <f t="shared" si="2117"/>
        <v/>
      </c>
      <c r="V5013" s="46">
        <f t="shared" si="2117"/>
        <v>5</v>
      </c>
      <c r="W5013" s="46" t="str">
        <f t="shared" si="2117"/>
        <v/>
      </c>
      <c r="X5013" s="46" t="str">
        <f t="shared" si="2117"/>
        <v/>
      </c>
      <c r="Z5013" s="11"/>
    </row>
    <row r="5014" spans="2:26" s="18" customFormat="1" x14ac:dyDescent="0.25">
      <c r="B5014" s="11"/>
      <c r="C5014" s="11"/>
      <c r="D5014" s="11"/>
      <c r="E5014" s="39"/>
      <c r="F5014" s="11"/>
      <c r="G5014" s="39"/>
      <c r="H5014" s="7"/>
      <c r="I5014" s="7"/>
      <c r="J5014" s="7"/>
      <c r="K5014" s="7"/>
      <c r="L5014" s="7"/>
      <c r="M5014" s="8"/>
      <c r="N5014" s="8" t="str">
        <f>IF(R5014="x",1,"")</f>
        <v/>
      </c>
      <c r="O5014" s="11"/>
      <c r="P5014" s="16"/>
      <c r="Q5014" s="16"/>
      <c r="R5014" s="16"/>
      <c r="S5014" s="16"/>
      <c r="T5014" s="12"/>
      <c r="U5014" s="46" t="str">
        <f t="shared" si="2101"/>
        <v/>
      </c>
      <c r="V5014" s="46" t="str">
        <f t="shared" si="2101"/>
        <v/>
      </c>
      <c r="W5014" s="46" t="str">
        <f t="shared" si="2101"/>
        <v/>
      </c>
      <c r="X5014" s="46" t="str">
        <f t="shared" si="2101"/>
        <v/>
      </c>
      <c r="Z5014" s="11"/>
    </row>
    <row r="5015" spans="2:26" x14ac:dyDescent="0.25">
      <c r="B5015" s="18"/>
      <c r="C5015" s="18"/>
      <c r="D5015" s="18"/>
      <c r="E5015" s="40"/>
      <c r="F5015" s="18"/>
      <c r="G5015" s="40"/>
      <c r="H5015" s="7">
        <f t="shared" ref="H5015:N5015" si="2118">SUM(H4993:H5014)</f>
        <v>11</v>
      </c>
      <c r="I5015" s="7">
        <f t="shared" si="2118"/>
        <v>123</v>
      </c>
      <c r="J5015" s="7">
        <f>SUM(J4993:J5014)</f>
        <v>140</v>
      </c>
      <c r="K5015" s="7">
        <f t="shared" si="2118"/>
        <v>0</v>
      </c>
      <c r="L5015" s="7">
        <f t="shared" si="2118"/>
        <v>274</v>
      </c>
      <c r="M5015" s="7">
        <f t="shared" si="2118"/>
        <v>21</v>
      </c>
      <c r="N5015" s="7">
        <f t="shared" si="2118"/>
        <v>21</v>
      </c>
      <c r="O5015" s="18"/>
      <c r="P5015" s="13"/>
      <c r="Q5015" s="13"/>
      <c r="S5015" s="13"/>
      <c r="T5015" s="15"/>
      <c r="U5015" s="46" t="str">
        <f t="shared" si="2101"/>
        <v/>
      </c>
      <c r="V5015" s="46" t="str">
        <f t="shared" si="2101"/>
        <v/>
      </c>
      <c r="W5015" s="46" t="str">
        <f t="shared" si="2101"/>
        <v/>
      </c>
      <c r="X5015" s="46" t="str">
        <f t="shared" si="2101"/>
        <v/>
      </c>
    </row>
    <row r="5016" spans="2:26" x14ac:dyDescent="0.25">
      <c r="B5016" s="18"/>
      <c r="C5016" s="18"/>
      <c r="D5016" s="18"/>
      <c r="E5016" s="40"/>
      <c r="F5016" s="18"/>
      <c r="G5016" s="40"/>
      <c r="N5016" s="8" t="str">
        <f>IF(R5016="x",1,"")</f>
        <v/>
      </c>
      <c r="O5016" s="18"/>
      <c r="P5016" s="13"/>
      <c r="Q5016" s="13"/>
      <c r="R5016" s="13"/>
      <c r="S5016" s="13"/>
      <c r="T5016" s="15"/>
      <c r="U5016" s="46" t="str">
        <f t="shared" si="2101"/>
        <v/>
      </c>
      <c r="V5016" s="46" t="str">
        <f t="shared" si="2101"/>
        <v/>
      </c>
      <c r="W5016" s="46" t="str">
        <f t="shared" si="2101"/>
        <v/>
      </c>
      <c r="X5016" s="46" t="str">
        <f t="shared" si="2101"/>
        <v/>
      </c>
    </row>
    <row r="5017" spans="2:26" x14ac:dyDescent="0.25">
      <c r="B5017" s="18"/>
      <c r="C5017" s="18"/>
      <c r="D5017" s="18"/>
      <c r="E5017" s="40"/>
      <c r="F5017" s="18"/>
      <c r="G5017" s="40"/>
      <c r="N5017" s="8" t="str">
        <f>IF(R5017="x",1,"")</f>
        <v/>
      </c>
      <c r="O5017" s="18"/>
      <c r="P5017" s="13"/>
      <c r="Q5017" s="13"/>
      <c r="R5017" s="13"/>
      <c r="S5017" s="13"/>
      <c r="T5017" s="15"/>
      <c r="U5017" s="46" t="str">
        <f t="shared" si="2101"/>
        <v/>
      </c>
      <c r="V5017" s="46" t="str">
        <f t="shared" si="2101"/>
        <v/>
      </c>
      <c r="W5017" s="46" t="str">
        <f t="shared" si="2101"/>
        <v/>
      </c>
      <c r="X5017" s="46" t="str">
        <f t="shared" si="2101"/>
        <v/>
      </c>
    </row>
    <row r="5018" spans="2:26" s="18" customFormat="1" x14ac:dyDescent="0.25">
      <c r="B5018" s="11" t="str">
        <f>CONCATENATE("PARN","-",LEFT(P5018,2),UPPER(MID(P5018,4,3)),RIGHT(P5018,4))</f>
        <v>PARN-25NOV1899</v>
      </c>
      <c r="C5018" s="11" t="s">
        <v>4083</v>
      </c>
      <c r="D5018" s="11" t="s">
        <v>2097</v>
      </c>
      <c r="E5018" s="39" t="s">
        <v>662</v>
      </c>
      <c r="F5018" s="11" t="s">
        <v>2922</v>
      </c>
      <c r="G5018" s="39" t="s">
        <v>321</v>
      </c>
      <c r="H5018" s="7"/>
      <c r="I5018" s="7"/>
      <c r="J5018" s="17">
        <v>8</v>
      </c>
      <c r="K5018" s="17"/>
      <c r="L5018" s="7">
        <f>SUM(H5018:K5018)</f>
        <v>8</v>
      </c>
      <c r="M5018" s="8">
        <v>1</v>
      </c>
      <c r="N5018" s="8">
        <f>IF(L5018&gt;0,1,"")</f>
        <v>1</v>
      </c>
      <c r="O5018" s="11" t="s">
        <v>1702</v>
      </c>
      <c r="P5018" s="16" t="str">
        <f>IF(LEN(G5018)=10,CONCATENATE("0",G5018),G5018)</f>
        <v>25-Nov-1899</v>
      </c>
      <c r="Q5018" s="16"/>
      <c r="R5018" s="16" t="str">
        <f t="shared" ref="R5018:S5020" si="2119">IF($L5018&gt;0,"x","")</f>
        <v>x</v>
      </c>
      <c r="S5018" s="16" t="str">
        <f t="shared" si="2119"/>
        <v>x</v>
      </c>
      <c r="T5018" s="12"/>
      <c r="U5018" s="46" t="str">
        <f t="shared" si="2101"/>
        <v/>
      </c>
      <c r="V5018" s="46">
        <f t="shared" si="2101"/>
        <v>8</v>
      </c>
      <c r="W5018" s="46" t="str">
        <f t="shared" si="2101"/>
        <v/>
      </c>
      <c r="X5018" s="46" t="str">
        <f t="shared" si="2101"/>
        <v/>
      </c>
      <c r="Z5018" s="11"/>
    </row>
    <row r="5019" spans="2:26" s="18" customFormat="1" x14ac:dyDescent="0.25">
      <c r="B5019" s="11" t="str">
        <f>CONCATENATE("PARN","-",LEFT(P5019,2),UPPER(MID(P5019,4,3)),RIGHT(P5019,4))</f>
        <v>PARN-31JUL1903</v>
      </c>
      <c r="C5019" s="11" t="s">
        <v>4083</v>
      </c>
      <c r="D5019" s="11" t="s">
        <v>2097</v>
      </c>
      <c r="E5019" s="39" t="s">
        <v>3444</v>
      </c>
      <c r="F5019" s="11" t="s">
        <v>3854</v>
      </c>
      <c r="G5019" s="39" t="s">
        <v>5907</v>
      </c>
      <c r="H5019" s="7">
        <v>0</v>
      </c>
      <c r="I5019" s="7">
        <v>7</v>
      </c>
      <c r="J5019" s="17">
        <v>0</v>
      </c>
      <c r="K5019" s="17"/>
      <c r="L5019" s="7">
        <f>SUM(H5019:K5019)</f>
        <v>7</v>
      </c>
      <c r="M5019" s="8">
        <v>1</v>
      </c>
      <c r="N5019" s="8">
        <f>IF(L5019&gt;0,1,"")</f>
        <v>1</v>
      </c>
      <c r="O5019" s="11" t="s">
        <v>1702</v>
      </c>
      <c r="P5019" s="16" t="str">
        <f>IF(LEN(G5019)=10,CONCATENATE("0",G5019),G5019)</f>
        <v>31-Jul-1903</v>
      </c>
      <c r="Q5019" s="16"/>
      <c r="R5019" s="16" t="str">
        <f t="shared" si="2119"/>
        <v>x</v>
      </c>
      <c r="S5019" s="16" t="str">
        <f t="shared" si="2119"/>
        <v>x</v>
      </c>
      <c r="T5019" s="12"/>
      <c r="U5019" s="46" t="str">
        <f t="shared" ref="U5019:X5020" si="2120">IF($O5019=U$5,$L5019,"")</f>
        <v/>
      </c>
      <c r="V5019" s="46">
        <f t="shared" si="2120"/>
        <v>7</v>
      </c>
      <c r="W5019" s="46" t="str">
        <f t="shared" si="2120"/>
        <v/>
      </c>
      <c r="X5019" s="46" t="str">
        <f t="shared" si="2120"/>
        <v/>
      </c>
      <c r="Z5019" s="11"/>
    </row>
    <row r="5020" spans="2:26" s="18" customFormat="1" x14ac:dyDescent="0.25">
      <c r="B5020" s="11" t="str">
        <f>CONCATENATE("PARN","-",LEFT(P5020,2),UPPER(MID(P5020,4,3)),RIGHT(P5020,4))</f>
        <v>PARN-25NOV1906</v>
      </c>
      <c r="C5020" s="11" t="s">
        <v>4083</v>
      </c>
      <c r="D5020" s="11" t="s">
        <v>2097</v>
      </c>
      <c r="E5020" s="39" t="s">
        <v>3932</v>
      </c>
      <c r="F5020" s="11" t="s">
        <v>2904</v>
      </c>
      <c r="G5020" s="39" t="s">
        <v>5515</v>
      </c>
      <c r="H5020" s="7"/>
      <c r="I5020" s="7">
        <v>0</v>
      </c>
      <c r="J5020" s="17">
        <v>1</v>
      </c>
      <c r="K5020" s="17"/>
      <c r="L5020" s="7">
        <f>SUM(H5020:K5020)</f>
        <v>1</v>
      </c>
      <c r="M5020" s="8">
        <v>1</v>
      </c>
      <c r="N5020" s="8">
        <f>IF(L5020&gt;0,1,"")</f>
        <v>1</v>
      </c>
      <c r="O5020" s="11" t="s">
        <v>1702</v>
      </c>
      <c r="P5020" s="16" t="str">
        <f>IF(LEN(G5020)=10,CONCATENATE("0",G5020),G5020)</f>
        <v>25-Nov-1906</v>
      </c>
      <c r="Q5020" s="16"/>
      <c r="R5020" s="16" t="str">
        <f t="shared" si="2119"/>
        <v>x</v>
      </c>
      <c r="S5020" s="16" t="str">
        <f t="shared" si="2119"/>
        <v>x</v>
      </c>
      <c r="T5020" s="12"/>
      <c r="U5020" s="46" t="str">
        <f t="shared" si="2120"/>
        <v/>
      </c>
      <c r="V5020" s="46">
        <f t="shared" si="2120"/>
        <v>1</v>
      </c>
      <c r="W5020" s="46" t="str">
        <f t="shared" si="2120"/>
        <v/>
      </c>
      <c r="X5020" s="46" t="str">
        <f t="shared" si="2120"/>
        <v/>
      </c>
      <c r="Z5020" s="11"/>
    </row>
    <row r="5021" spans="2:26" s="18" customFormat="1" x14ac:dyDescent="0.25">
      <c r="B5021" s="11"/>
      <c r="C5021" s="11"/>
      <c r="D5021" s="11"/>
      <c r="E5021" s="39"/>
      <c r="F5021" s="11"/>
      <c r="G5021" s="39"/>
      <c r="H5021" s="7"/>
      <c r="I5021" s="7"/>
      <c r="J5021" s="7"/>
      <c r="K5021" s="7"/>
      <c r="L5021" s="7"/>
      <c r="M5021" s="8"/>
      <c r="N5021" s="8" t="str">
        <f>IF(R5021="x",1,"")</f>
        <v/>
      </c>
      <c r="O5021" s="11"/>
      <c r="P5021" s="16"/>
      <c r="Q5021" s="16"/>
      <c r="R5021" s="16"/>
      <c r="S5021" s="16"/>
      <c r="T5021" s="12"/>
      <c r="U5021" s="46" t="str">
        <f t="shared" si="2101"/>
        <v/>
      </c>
      <c r="V5021" s="46" t="str">
        <f t="shared" si="2101"/>
        <v/>
      </c>
      <c r="W5021" s="46" t="str">
        <f t="shared" si="2101"/>
        <v/>
      </c>
      <c r="X5021" s="46" t="str">
        <f t="shared" si="2101"/>
        <v/>
      </c>
      <c r="Z5021" s="11"/>
    </row>
    <row r="5022" spans="2:26" x14ac:dyDescent="0.25">
      <c r="B5022" s="18"/>
      <c r="C5022" s="18"/>
      <c r="D5022" s="18"/>
      <c r="E5022" s="40"/>
      <c r="F5022" s="18"/>
      <c r="G5022" s="40"/>
      <c r="H5022" s="7">
        <f t="shared" ref="H5022:N5022" si="2121">SUM(H5018:H5021)</f>
        <v>0</v>
      </c>
      <c r="I5022" s="7">
        <f t="shared" si="2121"/>
        <v>7</v>
      </c>
      <c r="J5022" s="7">
        <f>SUM(J5018:J5021)</f>
        <v>9</v>
      </c>
      <c r="K5022" s="7">
        <f t="shared" si="2121"/>
        <v>0</v>
      </c>
      <c r="L5022" s="7">
        <f t="shared" si="2121"/>
        <v>16</v>
      </c>
      <c r="M5022" s="7">
        <f t="shared" si="2121"/>
        <v>3</v>
      </c>
      <c r="N5022" s="7">
        <f t="shared" si="2121"/>
        <v>3</v>
      </c>
      <c r="O5022" s="18"/>
      <c r="P5022" s="13"/>
      <c r="Q5022" s="13"/>
      <c r="S5022" s="13"/>
      <c r="T5022" s="15"/>
      <c r="U5022" s="46" t="str">
        <f t="shared" si="2101"/>
        <v/>
      </c>
      <c r="V5022" s="46" t="str">
        <f t="shared" si="2101"/>
        <v/>
      </c>
      <c r="W5022" s="46" t="str">
        <f t="shared" si="2101"/>
        <v/>
      </c>
      <c r="X5022" s="46" t="str">
        <f t="shared" si="2101"/>
        <v/>
      </c>
    </row>
    <row r="5023" spans="2:26" x14ac:dyDescent="0.25">
      <c r="B5023" s="18"/>
      <c r="C5023" s="18"/>
      <c r="D5023" s="18"/>
      <c r="E5023" s="40"/>
      <c r="F5023" s="18"/>
      <c r="G5023" s="40"/>
      <c r="N5023" s="8" t="str">
        <f>IF(R5023="x",1,"")</f>
        <v/>
      </c>
      <c r="O5023" s="18"/>
      <c r="P5023" s="13"/>
      <c r="Q5023" s="13"/>
      <c r="R5023" s="13"/>
      <c r="S5023" s="13"/>
      <c r="T5023" s="15"/>
      <c r="U5023" s="46" t="str">
        <f t="shared" si="2101"/>
        <v/>
      </c>
      <c r="V5023" s="46" t="str">
        <f t="shared" si="2101"/>
        <v/>
      </c>
      <c r="W5023" s="46" t="str">
        <f t="shared" si="2101"/>
        <v/>
      </c>
      <c r="X5023" s="46" t="str">
        <f t="shared" si="2101"/>
        <v/>
      </c>
    </row>
    <row r="5024" spans="2:26" x14ac:dyDescent="0.25">
      <c r="B5024" s="18"/>
      <c r="C5024" s="18"/>
      <c r="D5024" s="18"/>
      <c r="E5024" s="40"/>
      <c r="F5024" s="18"/>
      <c r="G5024" s="40"/>
      <c r="N5024" s="8" t="str">
        <f>IF(R5024="x",1,"")</f>
        <v/>
      </c>
      <c r="O5024" s="18"/>
      <c r="P5024" s="13"/>
      <c r="Q5024" s="13"/>
      <c r="R5024" s="13"/>
      <c r="S5024" s="13"/>
      <c r="T5024" s="15"/>
      <c r="U5024" s="46" t="str">
        <f t="shared" si="2101"/>
        <v/>
      </c>
      <c r="V5024" s="46" t="str">
        <f t="shared" si="2101"/>
        <v/>
      </c>
      <c r="W5024" s="46" t="str">
        <f t="shared" si="2101"/>
        <v/>
      </c>
      <c r="X5024" s="46" t="str">
        <f t="shared" si="2101"/>
        <v/>
      </c>
    </row>
    <row r="5025" spans="2:24" x14ac:dyDescent="0.25">
      <c r="B5025" s="11" t="str">
        <f t="shared" ref="B5025:B5036" si="2122">CONCATENATE("PTRA","-",LEFT(P5025,2),UPPER(MID(P5025,4,3)),RIGHT(P5025,4))</f>
        <v>PTRA-30JUL1897</v>
      </c>
      <c r="C5025" s="11" t="s">
        <v>869</v>
      </c>
      <c r="D5025" s="11" t="s">
        <v>3007</v>
      </c>
      <c r="E5025" s="39" t="s">
        <v>3201</v>
      </c>
      <c r="F5025" s="11" t="s">
        <v>1700</v>
      </c>
      <c r="G5025" s="39" t="s">
        <v>3199</v>
      </c>
      <c r="J5025" s="17">
        <v>0</v>
      </c>
      <c r="K5025" s="17"/>
      <c r="L5025" s="7">
        <f t="shared" ref="L5025:L5036" si="2123">SUM(H5025:K5025)</f>
        <v>0</v>
      </c>
      <c r="M5025" s="8">
        <v>1</v>
      </c>
      <c r="N5025" s="8" t="str">
        <f t="shared" ref="N5025:N5036" si="2124">IF(L5025&gt;0,1,"")</f>
        <v/>
      </c>
      <c r="O5025" s="11" t="s">
        <v>1702</v>
      </c>
      <c r="P5025" s="16" t="str">
        <f t="shared" ref="P5025:P5036" si="2125">IF(LEN(G5025)=10,CONCATENATE("0",G5025),G5025)</f>
        <v>30-Jul-1897</v>
      </c>
      <c r="R5025" s="16" t="str">
        <f>IF($L5025&gt;0,"x","")</f>
        <v/>
      </c>
      <c r="S5025" s="16" t="str">
        <f>IF($L5025&gt;0,"x","")</f>
        <v/>
      </c>
      <c r="U5025" s="46" t="str">
        <f t="shared" si="2101"/>
        <v/>
      </c>
      <c r="V5025" s="46">
        <f t="shared" si="2101"/>
        <v>0</v>
      </c>
      <c r="W5025" s="46" t="str">
        <f t="shared" si="2101"/>
        <v/>
      </c>
      <c r="X5025" s="46" t="str">
        <f t="shared" si="2101"/>
        <v/>
      </c>
    </row>
    <row r="5026" spans="2:24" x14ac:dyDescent="0.25">
      <c r="B5026" s="11" t="str">
        <f t="shared" si="2122"/>
        <v>PTRA-30JUL1897</v>
      </c>
      <c r="C5026" s="11" t="s">
        <v>869</v>
      </c>
      <c r="D5026" s="11" t="s">
        <v>870</v>
      </c>
      <c r="E5026" s="39" t="s">
        <v>3200</v>
      </c>
      <c r="F5026" s="11" t="s">
        <v>1700</v>
      </c>
      <c r="G5026" s="39" t="s">
        <v>3199</v>
      </c>
      <c r="J5026" s="17">
        <v>14</v>
      </c>
      <c r="K5026" s="17"/>
      <c r="L5026" s="7">
        <f t="shared" si="2123"/>
        <v>14</v>
      </c>
      <c r="M5026" s="8">
        <v>1</v>
      </c>
      <c r="N5026" s="8">
        <f t="shared" si="2124"/>
        <v>1</v>
      </c>
      <c r="O5026" s="11" t="s">
        <v>1702</v>
      </c>
      <c r="P5026" s="16" t="str">
        <f t="shared" si="2125"/>
        <v>30-Jul-1897</v>
      </c>
      <c r="R5026" s="16" t="str">
        <f>IF($L5026&gt;0,"x","")</f>
        <v>x</v>
      </c>
      <c r="S5026" s="16" t="str">
        <f>IF($L5026&gt;0,"x","")</f>
        <v>x</v>
      </c>
      <c r="U5026" s="46" t="str">
        <f t="shared" si="2101"/>
        <v/>
      </c>
      <c r="V5026" s="46">
        <f t="shared" si="2101"/>
        <v>14</v>
      </c>
      <c r="W5026" s="46" t="str">
        <f t="shared" si="2101"/>
        <v/>
      </c>
      <c r="X5026" s="46" t="str">
        <f t="shared" si="2101"/>
        <v/>
      </c>
    </row>
    <row r="5027" spans="2:24" x14ac:dyDescent="0.25">
      <c r="B5027" s="11" t="str">
        <f>CONCATENATE("PTRA","-",LEFT(P5027,2),UPPER(MID(P5027,4,3)),RIGHT(P5027,4))</f>
        <v>PTRA-04NOV1900</v>
      </c>
      <c r="C5027" s="11" t="s">
        <v>869</v>
      </c>
      <c r="D5027" s="11" t="s">
        <v>870</v>
      </c>
      <c r="E5027" s="39" t="s">
        <v>871</v>
      </c>
      <c r="F5027" s="11" t="s">
        <v>1700</v>
      </c>
      <c r="G5027" s="39" t="s">
        <v>872</v>
      </c>
      <c r="J5027" s="17">
        <v>2</v>
      </c>
      <c r="K5027" s="17"/>
      <c r="L5027" s="7">
        <f>SUM(H5027:K5027)</f>
        <v>2</v>
      </c>
      <c r="M5027" s="8">
        <v>1</v>
      </c>
      <c r="N5027" s="8">
        <f>IF(L5027&gt;0,1,"")</f>
        <v>1</v>
      </c>
      <c r="O5027" s="11" t="s">
        <v>1702</v>
      </c>
      <c r="P5027" s="16" t="str">
        <f>IF(LEN(G5027)=10,CONCATENATE("0",G5027),G5027)</f>
        <v>04-Nov-1900</v>
      </c>
      <c r="R5027" s="16" t="str">
        <f t="shared" ref="R5027:S5041" si="2126">IF($L5027&gt;0,"x","")</f>
        <v>x</v>
      </c>
      <c r="S5027" s="16" t="str">
        <f t="shared" si="2126"/>
        <v>x</v>
      </c>
      <c r="U5027" s="46" t="str">
        <f t="shared" ref="U5027:X5028" si="2127">IF($O5027=U$5,$L5027,"")</f>
        <v/>
      </c>
      <c r="V5027" s="46">
        <f t="shared" si="2127"/>
        <v>2</v>
      </c>
      <c r="W5027" s="46" t="str">
        <f t="shared" si="2127"/>
        <v/>
      </c>
      <c r="X5027" s="46" t="str">
        <f t="shared" si="2127"/>
        <v/>
      </c>
    </row>
    <row r="5028" spans="2:24" x14ac:dyDescent="0.25">
      <c r="B5028" s="11" t="str">
        <f>CONCATENATE("PTRA","-",LEFT(P5028,2),UPPER(MID(P5028,4,3)),RIGHT(P5028,4))</f>
        <v>PTRA-15DEC1902</v>
      </c>
      <c r="C5028" s="11" t="s">
        <v>869</v>
      </c>
      <c r="D5028" s="11" t="s">
        <v>870</v>
      </c>
      <c r="E5028" s="39" t="s">
        <v>5662</v>
      </c>
      <c r="F5028" s="11" t="s">
        <v>1700</v>
      </c>
      <c r="G5028" s="39" t="s">
        <v>5663</v>
      </c>
      <c r="J5028" s="17">
        <v>6</v>
      </c>
      <c r="K5028" s="17"/>
      <c r="L5028" s="7">
        <f>SUM(H5028:K5028)</f>
        <v>6</v>
      </c>
      <c r="M5028" s="8">
        <v>1</v>
      </c>
      <c r="N5028" s="8">
        <f>IF(L5028&gt;0,1,"")</f>
        <v>1</v>
      </c>
      <c r="O5028" s="11" t="s">
        <v>1702</v>
      </c>
      <c r="P5028" s="16" t="str">
        <f>IF(LEN(G5028)=10,CONCATENATE("0",G5028),G5028)</f>
        <v>15-Dec-1902</v>
      </c>
      <c r="R5028" s="16" t="str">
        <f>IF($L5028&gt;0,"x","")</f>
        <v>x</v>
      </c>
      <c r="S5028" s="16" t="str">
        <f>IF($L5028&gt;0,"x","")</f>
        <v>x</v>
      </c>
      <c r="U5028" s="46" t="str">
        <f t="shared" si="2127"/>
        <v/>
      </c>
      <c r="V5028" s="46">
        <f t="shared" si="2127"/>
        <v>6</v>
      </c>
      <c r="W5028" s="46" t="str">
        <f t="shared" si="2127"/>
        <v/>
      </c>
      <c r="X5028" s="46" t="str">
        <f t="shared" si="2127"/>
        <v/>
      </c>
    </row>
    <row r="5029" spans="2:24" x14ac:dyDescent="0.25">
      <c r="B5029" s="11" t="str">
        <f t="shared" si="2122"/>
        <v>PTRA-28JUN1903</v>
      </c>
      <c r="C5029" s="11" t="s">
        <v>869</v>
      </c>
      <c r="D5029" s="11" t="s">
        <v>870</v>
      </c>
      <c r="E5029" s="39" t="s">
        <v>5044</v>
      </c>
      <c r="F5029" s="11" t="s">
        <v>1700</v>
      </c>
      <c r="G5029" s="39" t="s">
        <v>5045</v>
      </c>
      <c r="J5029" s="17">
        <v>3</v>
      </c>
      <c r="K5029" s="17"/>
      <c r="L5029" s="7">
        <f t="shared" si="2123"/>
        <v>3</v>
      </c>
      <c r="M5029" s="8">
        <v>1</v>
      </c>
      <c r="N5029" s="8">
        <f t="shared" si="2124"/>
        <v>1</v>
      </c>
      <c r="O5029" s="11" t="s">
        <v>1702</v>
      </c>
      <c r="P5029" s="16" t="str">
        <f t="shared" si="2125"/>
        <v>28-Jun-1903</v>
      </c>
      <c r="R5029" s="16" t="str">
        <f t="shared" si="2126"/>
        <v>x</v>
      </c>
      <c r="S5029" s="16" t="str">
        <f t="shared" si="2126"/>
        <v>x</v>
      </c>
      <c r="U5029" s="46" t="str">
        <f t="shared" si="2101"/>
        <v/>
      </c>
      <c r="V5029" s="46">
        <f t="shared" si="2101"/>
        <v>3</v>
      </c>
      <c r="W5029" s="46" t="str">
        <f t="shared" si="2101"/>
        <v/>
      </c>
      <c r="X5029" s="46" t="str">
        <f t="shared" si="2101"/>
        <v/>
      </c>
    </row>
    <row r="5030" spans="2:24" x14ac:dyDescent="0.25">
      <c r="B5030" s="11" t="str">
        <f t="shared" si="2122"/>
        <v>PTRA-10JAN1905</v>
      </c>
      <c r="C5030" s="11" t="s">
        <v>869</v>
      </c>
      <c r="D5030" s="11" t="s">
        <v>3007</v>
      </c>
      <c r="E5030" s="39" t="s">
        <v>1412</v>
      </c>
      <c r="F5030" s="11" t="s">
        <v>1700</v>
      </c>
      <c r="G5030" s="39" t="s">
        <v>3345</v>
      </c>
      <c r="H5030" s="7">
        <v>0</v>
      </c>
      <c r="J5030" s="17">
        <v>9</v>
      </c>
      <c r="K5030" s="17"/>
      <c r="L5030" s="7">
        <f t="shared" si="2123"/>
        <v>9</v>
      </c>
      <c r="M5030" s="8">
        <v>1</v>
      </c>
      <c r="N5030" s="8">
        <f t="shared" si="2124"/>
        <v>1</v>
      </c>
      <c r="O5030" s="11" t="s">
        <v>1702</v>
      </c>
      <c r="P5030" s="16" t="str">
        <f t="shared" si="2125"/>
        <v>10-Jan-1905</v>
      </c>
      <c r="R5030" s="16" t="str">
        <f t="shared" si="2126"/>
        <v>x</v>
      </c>
      <c r="S5030" s="16" t="str">
        <f t="shared" si="2126"/>
        <v>x</v>
      </c>
      <c r="U5030" s="46" t="str">
        <f t="shared" si="2101"/>
        <v/>
      </c>
      <c r="V5030" s="46">
        <f t="shared" si="2101"/>
        <v>9</v>
      </c>
      <c r="W5030" s="46" t="str">
        <f t="shared" si="2101"/>
        <v/>
      </c>
      <c r="X5030" s="46" t="str">
        <f t="shared" si="2101"/>
        <v/>
      </c>
    </row>
    <row r="5031" spans="2:24" x14ac:dyDescent="0.25">
      <c r="B5031" s="11" t="str">
        <f>CONCATENATE("PTRA","-",LEFT(P5031,2),UPPER(MID(P5031,4,3)),RIGHT(P5031,4))</f>
        <v>PTRA-17SEP1914</v>
      </c>
      <c r="C5031" s="11" t="s">
        <v>869</v>
      </c>
      <c r="D5031" s="11" t="s">
        <v>870</v>
      </c>
      <c r="E5031" s="39" t="s">
        <v>5180</v>
      </c>
      <c r="F5031" s="11" t="s">
        <v>1700</v>
      </c>
      <c r="G5031" s="39" t="s">
        <v>5181</v>
      </c>
      <c r="H5031" s="7">
        <v>0</v>
      </c>
      <c r="J5031" s="17">
        <v>16</v>
      </c>
      <c r="K5031" s="17"/>
      <c r="L5031" s="7">
        <f>SUM(H5031:K5031)</f>
        <v>16</v>
      </c>
      <c r="M5031" s="8">
        <v>1</v>
      </c>
      <c r="N5031" s="8">
        <f>IF(L5031&gt;0,1,"")</f>
        <v>1</v>
      </c>
      <c r="O5031" s="11" t="s">
        <v>1702</v>
      </c>
      <c r="P5031" s="16" t="str">
        <f>IF(LEN(G5031)=10,CONCATENATE("0",G5031),G5031)</f>
        <v>17-Sep-1914</v>
      </c>
      <c r="R5031" s="16" t="str">
        <f t="shared" si="2126"/>
        <v>x</v>
      </c>
      <c r="S5031" s="16" t="str">
        <f t="shared" si="2126"/>
        <v>x</v>
      </c>
      <c r="U5031" s="46" t="str">
        <f>IF($O5031=U$5,$L5031,"")</f>
        <v/>
      </c>
      <c r="V5031" s="46">
        <f>IF($O5031=V$5,$L5031,"")</f>
        <v>16</v>
      </c>
      <c r="W5031" s="46" t="str">
        <f>IF($O5031=W$5,$L5031,"")</f>
        <v/>
      </c>
      <c r="X5031" s="46" t="str">
        <f>IF($O5031=X$5,$L5031,"")</f>
        <v/>
      </c>
    </row>
    <row r="5032" spans="2:24" x14ac:dyDescent="0.25">
      <c r="B5032" s="11" t="str">
        <f t="shared" si="2122"/>
        <v>PTRA-14APR1920</v>
      </c>
      <c r="C5032" s="11" t="s">
        <v>869</v>
      </c>
      <c r="D5032" s="11" t="s">
        <v>3007</v>
      </c>
      <c r="E5032" s="39" t="s">
        <v>3109</v>
      </c>
      <c r="F5032" s="11" t="s">
        <v>1700</v>
      </c>
      <c r="G5032" s="39" t="s">
        <v>3110</v>
      </c>
      <c r="H5032" s="7">
        <v>13</v>
      </c>
      <c r="I5032" s="7">
        <v>0</v>
      </c>
      <c r="J5032" s="17">
        <v>12</v>
      </c>
      <c r="K5032" s="17"/>
      <c r="L5032" s="7">
        <f t="shared" si="2123"/>
        <v>25</v>
      </c>
      <c r="M5032" s="8">
        <v>1</v>
      </c>
      <c r="N5032" s="8">
        <f t="shared" si="2124"/>
        <v>1</v>
      </c>
      <c r="O5032" s="11" t="s">
        <v>1702</v>
      </c>
      <c r="P5032" s="16" t="str">
        <f t="shared" si="2125"/>
        <v>14-Apr-1920</v>
      </c>
      <c r="R5032" s="16" t="str">
        <f t="shared" si="2126"/>
        <v>x</v>
      </c>
      <c r="S5032" s="16" t="str">
        <f t="shared" si="2126"/>
        <v>x</v>
      </c>
      <c r="U5032" s="46" t="str">
        <f t="shared" si="2101"/>
        <v/>
      </c>
      <c r="V5032" s="46">
        <f t="shared" si="2101"/>
        <v>25</v>
      </c>
      <c r="W5032" s="46" t="str">
        <f t="shared" si="2101"/>
        <v/>
      </c>
      <c r="X5032" s="46" t="str">
        <f t="shared" si="2101"/>
        <v/>
      </c>
    </row>
    <row r="5033" spans="2:24" x14ac:dyDescent="0.25">
      <c r="B5033" s="11" t="str">
        <f>CONCATENATE("PTRA","-",LEFT(P5033,2),UPPER(MID(P5033,4,3)),RIGHT(P5033,4))</f>
        <v>PTRA-30JUL1920</v>
      </c>
      <c r="C5033" s="11" t="s">
        <v>869</v>
      </c>
      <c r="D5033" s="11" t="s">
        <v>870</v>
      </c>
      <c r="E5033" s="39" t="s">
        <v>4878</v>
      </c>
      <c r="F5033" s="11" t="s">
        <v>1700</v>
      </c>
      <c r="G5033" s="39" t="s">
        <v>4879</v>
      </c>
      <c r="H5033" s="7">
        <f>4+1</f>
        <v>5</v>
      </c>
      <c r="I5033" s="7">
        <v>6</v>
      </c>
      <c r="J5033" s="17">
        <v>0</v>
      </c>
      <c r="K5033" s="17"/>
      <c r="L5033" s="7">
        <f>SUM(H5033:K5033)</f>
        <v>11</v>
      </c>
      <c r="M5033" s="8">
        <v>1</v>
      </c>
      <c r="N5033" s="8">
        <f>IF(L5033&gt;0,1,"")</f>
        <v>1</v>
      </c>
      <c r="O5033" s="11" t="s">
        <v>1702</v>
      </c>
      <c r="P5033" s="16" t="str">
        <f>IF(LEN(G5033)=10,CONCATENATE("0",G5033),G5033)</f>
        <v>30-Jul-1920</v>
      </c>
      <c r="R5033" s="16" t="str">
        <f t="shared" si="2126"/>
        <v>x</v>
      </c>
      <c r="S5033" s="16" t="str">
        <f t="shared" si="2126"/>
        <v>x</v>
      </c>
      <c r="U5033" s="46" t="str">
        <f>IF($O5033=U$5,$L5033,"")</f>
        <v/>
      </c>
      <c r="V5033" s="46">
        <f>IF($O5033=V$5,$L5033,"")</f>
        <v>11</v>
      </c>
      <c r="W5033" s="46" t="str">
        <f>IF($O5033=W$5,$L5033,"")</f>
        <v/>
      </c>
      <c r="X5033" s="46" t="str">
        <f>IF($O5033=X$5,$L5033,"")</f>
        <v/>
      </c>
    </row>
    <row r="5034" spans="2:24" x14ac:dyDescent="0.25">
      <c r="B5034" s="11" t="str">
        <f>CONCATENATE("PTRA","-",LEFT(P5034,2),UPPER(MID(P5034,4,3)),RIGHT(P5034,4))</f>
        <v>PTRA-12AUG1921</v>
      </c>
      <c r="C5034" s="11" t="s">
        <v>869</v>
      </c>
      <c r="D5034" s="11" t="s">
        <v>870</v>
      </c>
      <c r="E5034" s="39" t="s">
        <v>4255</v>
      </c>
      <c r="F5034" s="11" t="s">
        <v>1700</v>
      </c>
      <c r="G5034" s="39" t="s">
        <v>3014</v>
      </c>
      <c r="H5034" s="7">
        <v>0</v>
      </c>
      <c r="I5034" s="7">
        <f>11+2</f>
        <v>13</v>
      </c>
      <c r="J5034" s="17">
        <v>0</v>
      </c>
      <c r="K5034" s="17"/>
      <c r="L5034" s="7">
        <f>SUM(H5034:K5034)</f>
        <v>13</v>
      </c>
      <c r="M5034" s="8">
        <v>1</v>
      </c>
      <c r="N5034" s="8">
        <f>IF(L5034&gt;0,1,"")</f>
        <v>1</v>
      </c>
      <c r="O5034" s="11" t="s">
        <v>1702</v>
      </c>
      <c r="P5034" s="16" t="str">
        <f>IF(LEN(G5034)=10,CONCATENATE("0",G5034),G5034)</f>
        <v>12-Aug-1921</v>
      </c>
      <c r="R5034" s="16" t="str">
        <f t="shared" si="2126"/>
        <v>x</v>
      </c>
      <c r="S5034" s="16" t="str">
        <f t="shared" si="2126"/>
        <v>x</v>
      </c>
      <c r="U5034" s="46" t="str">
        <f t="shared" si="2101"/>
        <v/>
      </c>
      <c r="V5034" s="46">
        <f t="shared" si="2101"/>
        <v>13</v>
      </c>
      <c r="W5034" s="46" t="str">
        <f t="shared" si="2101"/>
        <v/>
      </c>
      <c r="X5034" s="46" t="str">
        <f t="shared" si="2101"/>
        <v/>
      </c>
    </row>
    <row r="5035" spans="2:24" x14ac:dyDescent="0.25">
      <c r="B5035" s="11" t="str">
        <f t="shared" si="2122"/>
        <v>PTRA-15MAR1922</v>
      </c>
      <c r="C5035" s="11" t="s">
        <v>869</v>
      </c>
      <c r="D5035" s="11" t="s">
        <v>4877</v>
      </c>
      <c r="E5035" s="39" t="s">
        <v>3730</v>
      </c>
      <c r="F5035" s="11" t="s">
        <v>1700</v>
      </c>
      <c r="G5035" s="39" t="s">
        <v>3731</v>
      </c>
      <c r="H5035" s="7">
        <v>1</v>
      </c>
      <c r="I5035" s="7">
        <v>7</v>
      </c>
      <c r="J5035" s="17">
        <v>3</v>
      </c>
      <c r="K5035" s="17"/>
      <c r="L5035" s="7">
        <f t="shared" si="2123"/>
        <v>11</v>
      </c>
      <c r="M5035" s="8">
        <v>1</v>
      </c>
      <c r="N5035" s="8">
        <f t="shared" si="2124"/>
        <v>1</v>
      </c>
      <c r="O5035" s="11" t="s">
        <v>3728</v>
      </c>
      <c r="P5035" s="16" t="str">
        <f t="shared" si="2125"/>
        <v>15-Mar-1922</v>
      </c>
      <c r="R5035" s="16" t="str">
        <f t="shared" si="2126"/>
        <v>x</v>
      </c>
      <c r="S5035" s="16" t="str">
        <f t="shared" si="2126"/>
        <v>x</v>
      </c>
      <c r="U5035" s="46" t="str">
        <f t="shared" si="2101"/>
        <v/>
      </c>
      <c r="V5035" s="46" t="str">
        <f t="shared" si="2101"/>
        <v/>
      </c>
      <c r="W5035" s="46" t="str">
        <f t="shared" si="2101"/>
        <v/>
      </c>
      <c r="X5035" s="46">
        <f t="shared" si="2101"/>
        <v>11</v>
      </c>
    </row>
    <row r="5036" spans="2:24" x14ac:dyDescent="0.25">
      <c r="B5036" s="11" t="str">
        <f t="shared" si="2122"/>
        <v>PTRA-09FEB1923</v>
      </c>
      <c r="C5036" s="11" t="s">
        <v>869</v>
      </c>
      <c r="D5036" s="11" t="s">
        <v>870</v>
      </c>
      <c r="E5036" s="39" t="s">
        <v>4295</v>
      </c>
      <c r="F5036" s="11" t="s">
        <v>1700</v>
      </c>
      <c r="G5036" s="39" t="s">
        <v>3806</v>
      </c>
      <c r="H5036" s="7">
        <v>0</v>
      </c>
      <c r="I5036" s="7">
        <v>0</v>
      </c>
      <c r="J5036" s="17">
        <f>1+1</f>
        <v>2</v>
      </c>
      <c r="K5036" s="17"/>
      <c r="L5036" s="7">
        <f t="shared" si="2123"/>
        <v>2</v>
      </c>
      <c r="M5036" s="8">
        <v>1</v>
      </c>
      <c r="N5036" s="8">
        <f t="shared" si="2124"/>
        <v>1</v>
      </c>
      <c r="O5036" s="11" t="s">
        <v>1702</v>
      </c>
      <c r="P5036" s="16" t="str">
        <f t="shared" si="2125"/>
        <v>09-Feb-1923</v>
      </c>
      <c r="R5036" s="16" t="str">
        <f t="shared" si="2126"/>
        <v>x</v>
      </c>
      <c r="S5036" s="16" t="str">
        <f t="shared" si="2126"/>
        <v>x</v>
      </c>
      <c r="U5036" s="46" t="str">
        <f t="shared" si="2101"/>
        <v/>
      </c>
      <c r="V5036" s="46">
        <f t="shared" si="2101"/>
        <v>2</v>
      </c>
      <c r="W5036" s="46" t="str">
        <f t="shared" si="2101"/>
        <v/>
      </c>
      <c r="X5036" s="46" t="str">
        <f t="shared" si="2101"/>
        <v/>
      </c>
    </row>
    <row r="5037" spans="2:24" x14ac:dyDescent="0.25">
      <c r="B5037" s="11" t="str">
        <f>CONCATENATE("PTRA","-",LEFT(P5037,2),UPPER(MID(P5037,4,3)),RIGHT(P5037,4))</f>
        <v>PTRA-11APR1923</v>
      </c>
      <c r="C5037" s="11" t="s">
        <v>869</v>
      </c>
      <c r="D5037" s="11" t="s">
        <v>870</v>
      </c>
      <c r="E5037" s="39" t="s">
        <v>4303</v>
      </c>
      <c r="F5037" s="11" t="s">
        <v>1700</v>
      </c>
      <c r="G5037" s="39" t="s">
        <v>4304</v>
      </c>
      <c r="H5037" s="7">
        <v>1</v>
      </c>
      <c r="I5037" s="7">
        <f>6+1</f>
        <v>7</v>
      </c>
      <c r="J5037" s="17">
        <f>11+1</f>
        <v>12</v>
      </c>
      <c r="K5037" s="17"/>
      <c r="L5037" s="7">
        <f>SUM(H5037:K5037)</f>
        <v>20</v>
      </c>
      <c r="M5037" s="8">
        <v>1</v>
      </c>
      <c r="N5037" s="8">
        <f>IF(L5037&gt;0,1,"")</f>
        <v>1</v>
      </c>
      <c r="O5037" s="11" t="s">
        <v>1702</v>
      </c>
      <c r="P5037" s="16" t="str">
        <f>IF(LEN(G5037)=10,CONCATENATE("0",G5037),G5037)</f>
        <v>11-Apr-1923</v>
      </c>
      <c r="R5037" s="16" t="str">
        <f t="shared" si="2126"/>
        <v>x</v>
      </c>
      <c r="S5037" s="16" t="str">
        <f t="shared" si="2126"/>
        <v>x</v>
      </c>
      <c r="U5037" s="46" t="str">
        <f t="shared" si="2101"/>
        <v/>
      </c>
      <c r="V5037" s="46">
        <f t="shared" si="2101"/>
        <v>20</v>
      </c>
      <c r="W5037" s="46" t="str">
        <f t="shared" si="2101"/>
        <v/>
      </c>
      <c r="X5037" s="46" t="str">
        <f t="shared" si="2101"/>
        <v/>
      </c>
    </row>
    <row r="5038" spans="2:24" x14ac:dyDescent="0.25">
      <c r="B5038" s="11" t="str">
        <f>CONCATENATE("PTRA","-",LEFT(P5038,2),UPPER(MID(P5038,4,3)),RIGHT(P5038,4))</f>
        <v>PTRA-11APR1923</v>
      </c>
      <c r="C5038" s="11" t="s">
        <v>869</v>
      </c>
      <c r="D5038" s="11" t="s">
        <v>3832</v>
      </c>
      <c r="E5038" s="39" t="s">
        <v>4305</v>
      </c>
      <c r="F5038" s="11" t="s">
        <v>1700</v>
      </c>
      <c r="G5038" s="39" t="s">
        <v>4304</v>
      </c>
      <c r="H5038" s="7">
        <v>0</v>
      </c>
      <c r="I5038" s="7">
        <v>0</v>
      </c>
      <c r="J5038" s="17">
        <v>8</v>
      </c>
      <c r="K5038" s="17"/>
      <c r="L5038" s="7">
        <f>SUM(H5038:K5038)</f>
        <v>8</v>
      </c>
      <c r="M5038" s="8">
        <v>1</v>
      </c>
      <c r="N5038" s="8">
        <f>IF(L5038&gt;0,1,"")</f>
        <v>1</v>
      </c>
      <c r="O5038" s="11" t="s">
        <v>1702</v>
      </c>
      <c r="P5038" s="16" t="str">
        <f>IF(LEN(G5038)=10,CONCATENATE("0",G5038),G5038)</f>
        <v>11-Apr-1923</v>
      </c>
      <c r="R5038" s="16" t="str">
        <f t="shared" si="2126"/>
        <v>x</v>
      </c>
      <c r="S5038" s="16" t="str">
        <f t="shared" si="2126"/>
        <v>x</v>
      </c>
      <c r="U5038" s="46" t="str">
        <f t="shared" si="2101"/>
        <v/>
      </c>
      <c r="V5038" s="46">
        <f t="shared" si="2101"/>
        <v>8</v>
      </c>
      <c r="W5038" s="46" t="str">
        <f t="shared" si="2101"/>
        <v/>
      </c>
      <c r="X5038" s="46" t="str">
        <f t="shared" si="2101"/>
        <v/>
      </c>
    </row>
    <row r="5039" spans="2:24" x14ac:dyDescent="0.25">
      <c r="B5039" s="11" t="str">
        <f>CONCATENATE("PTRA","-",LEFT(P5039,2),UPPER(MID(P5039,4,3)),RIGHT(P5039,4))</f>
        <v>PTRA-23DEC1923</v>
      </c>
      <c r="C5039" s="11" t="s">
        <v>869</v>
      </c>
      <c r="D5039" s="11" t="s">
        <v>870</v>
      </c>
      <c r="E5039" s="39" t="s">
        <v>4245</v>
      </c>
      <c r="F5039" s="11" t="s">
        <v>1700</v>
      </c>
      <c r="G5039" s="39" t="s">
        <v>4993</v>
      </c>
      <c r="H5039" s="7">
        <v>0</v>
      </c>
      <c r="I5039" s="7">
        <v>2</v>
      </c>
      <c r="J5039" s="17">
        <v>0</v>
      </c>
      <c r="K5039" s="17"/>
      <c r="L5039" s="7">
        <f>SUM(H5039:K5039)</f>
        <v>2</v>
      </c>
      <c r="M5039" s="8">
        <v>1</v>
      </c>
      <c r="N5039" s="8">
        <f>IF(L5039&gt;0,1,"")</f>
        <v>1</v>
      </c>
      <c r="O5039" s="11" t="s">
        <v>1702</v>
      </c>
      <c r="P5039" s="16" t="str">
        <f>IF(LEN(G5039)=10,CONCATENATE("0",G5039),G5039)</f>
        <v>23-Dec-1923</v>
      </c>
      <c r="R5039" s="16" t="str">
        <f t="shared" si="2126"/>
        <v>x</v>
      </c>
      <c r="S5039" s="16" t="str">
        <f t="shared" si="2126"/>
        <v>x</v>
      </c>
      <c r="U5039" s="46" t="str">
        <f>IF($O5039=U$5,$L5039,"")</f>
        <v/>
      </c>
      <c r="V5039" s="46">
        <f>IF($O5039=V$5,$L5039,"")</f>
        <v>2</v>
      </c>
      <c r="W5039" s="46" t="str">
        <f>IF($O5039=W$5,$L5039,"")</f>
        <v/>
      </c>
      <c r="X5039" s="46" t="str">
        <f>IF($O5039=X$5,$L5039,"")</f>
        <v/>
      </c>
    </row>
    <row r="5040" spans="2:24" x14ac:dyDescent="0.25">
      <c r="B5040" s="11" t="str">
        <f>CONCATENATE("PTRA","-",LEFT(P5040,2),UPPER(MID(P5040,4,3)),RIGHT(P5040,4))</f>
        <v>PTRA-07JAN1926</v>
      </c>
      <c r="C5040" s="11" t="s">
        <v>869</v>
      </c>
      <c r="D5040" s="11" t="s">
        <v>870</v>
      </c>
      <c r="E5040" s="39" t="s">
        <v>4441</v>
      </c>
      <c r="F5040" s="11" t="s">
        <v>1700</v>
      </c>
      <c r="G5040" s="39" t="s">
        <v>3072</v>
      </c>
      <c r="H5040" s="7">
        <v>0</v>
      </c>
      <c r="I5040" s="7">
        <f>8+1</f>
        <v>9</v>
      </c>
      <c r="J5040" s="17">
        <f>8+4</f>
        <v>12</v>
      </c>
      <c r="K5040" s="17"/>
      <c r="L5040" s="7">
        <f>SUM(H5040:K5040)</f>
        <v>21</v>
      </c>
      <c r="M5040" s="8">
        <v>1</v>
      </c>
      <c r="N5040" s="8">
        <f>IF(L5040&gt;0,1,"")</f>
        <v>1</v>
      </c>
      <c r="O5040" s="11" t="s">
        <v>1702</v>
      </c>
      <c r="P5040" s="16" t="str">
        <f>IF(LEN(G5040)=10,CONCATENATE("0",G5040),G5040)</f>
        <v>07-Jan-1926</v>
      </c>
      <c r="R5040" s="16" t="str">
        <f t="shared" si="2126"/>
        <v>x</v>
      </c>
      <c r="S5040" s="16" t="str">
        <f t="shared" si="2126"/>
        <v>x</v>
      </c>
      <c r="U5040" s="46" t="str">
        <f t="shared" si="2101"/>
        <v/>
      </c>
      <c r="V5040" s="46">
        <f t="shared" si="2101"/>
        <v>21</v>
      </c>
      <c r="W5040" s="46" t="str">
        <f t="shared" si="2101"/>
        <v/>
      </c>
      <c r="X5040" s="46" t="str">
        <f t="shared" si="2101"/>
        <v/>
      </c>
    </row>
    <row r="5041" spans="2:26" x14ac:dyDescent="0.25">
      <c r="B5041" s="11" t="str">
        <f>CONCATENATE("PTRA","-",LEFT(P5041,2),UPPER(MID(P5041,4,3)),RIGHT(P5041,4))</f>
        <v>PTRA-19AUG1927</v>
      </c>
      <c r="C5041" s="11" t="s">
        <v>869</v>
      </c>
      <c r="D5041" s="11" t="s">
        <v>870</v>
      </c>
      <c r="E5041" s="39" t="s">
        <v>4523</v>
      </c>
      <c r="F5041" s="11" t="s">
        <v>1602</v>
      </c>
      <c r="G5041" s="39" t="s">
        <v>4524</v>
      </c>
      <c r="H5041" s="7">
        <f>0+3</f>
        <v>3</v>
      </c>
      <c r="I5041" s="7">
        <v>21</v>
      </c>
      <c r="J5041" s="17">
        <v>4</v>
      </c>
      <c r="K5041" s="17"/>
      <c r="L5041" s="7">
        <f>SUM(H5041:K5041)</f>
        <v>28</v>
      </c>
      <c r="M5041" s="8">
        <v>1</v>
      </c>
      <c r="N5041" s="8">
        <f>IF(L5041&gt;0,1,"")</f>
        <v>1</v>
      </c>
      <c r="O5041" s="11" t="s">
        <v>1702</v>
      </c>
      <c r="P5041" s="16" t="str">
        <f>IF(LEN(G5041)=10,CONCATENATE("0",G5041),G5041)</f>
        <v>19-Aug-1927</v>
      </c>
      <c r="R5041" s="16" t="str">
        <f t="shared" si="2126"/>
        <v>x</v>
      </c>
      <c r="S5041" s="16" t="str">
        <f t="shared" si="2126"/>
        <v>x</v>
      </c>
      <c r="U5041" s="46" t="str">
        <f>IF($O5041=U$5,$L5041,"")</f>
        <v/>
      </c>
      <c r="V5041" s="46">
        <f>IF($O5041=V$5,$L5041,"")</f>
        <v>28</v>
      </c>
      <c r="W5041" s="46" t="str">
        <f>IF($O5041=W$5,$L5041,"")</f>
        <v/>
      </c>
      <c r="X5041" s="46" t="str">
        <f>IF($O5041=X$5,$L5041,"")</f>
        <v/>
      </c>
    </row>
    <row r="5042" spans="2:26" x14ac:dyDescent="0.25">
      <c r="N5042" s="8" t="str">
        <f>IF(R5042="x",1,"")</f>
        <v/>
      </c>
      <c r="U5042" s="46" t="str">
        <f t="shared" si="2101"/>
        <v/>
      </c>
      <c r="V5042" s="46" t="str">
        <f t="shared" si="2101"/>
        <v/>
      </c>
      <c r="W5042" s="46" t="str">
        <f t="shared" si="2101"/>
        <v/>
      </c>
      <c r="X5042" s="46" t="str">
        <f t="shared" si="2101"/>
        <v/>
      </c>
    </row>
    <row r="5043" spans="2:26" x14ac:dyDescent="0.25">
      <c r="B5043" s="18"/>
      <c r="C5043" s="18"/>
      <c r="D5043" s="18"/>
      <c r="E5043" s="40"/>
      <c r="F5043" s="18"/>
      <c r="G5043" s="40"/>
      <c r="H5043" s="7">
        <f t="shared" ref="H5043:N5043" si="2128">SUM(H5025:H5042)</f>
        <v>23</v>
      </c>
      <c r="I5043" s="7">
        <f t="shared" si="2128"/>
        <v>65</v>
      </c>
      <c r="J5043" s="7">
        <f>SUM(J5025:J5042)</f>
        <v>103</v>
      </c>
      <c r="K5043" s="7">
        <f t="shared" si="2128"/>
        <v>0</v>
      </c>
      <c r="L5043" s="7">
        <f t="shared" si="2128"/>
        <v>191</v>
      </c>
      <c r="M5043" s="7">
        <f t="shared" si="2128"/>
        <v>17</v>
      </c>
      <c r="N5043" s="7">
        <f t="shared" si="2128"/>
        <v>16</v>
      </c>
      <c r="O5043" s="18"/>
      <c r="P5043" s="13"/>
      <c r="Q5043" s="13"/>
      <c r="S5043" s="13"/>
      <c r="T5043" s="15"/>
      <c r="U5043" s="46" t="str">
        <f t="shared" si="2101"/>
        <v/>
      </c>
      <c r="V5043" s="46" t="str">
        <f t="shared" si="2101"/>
        <v/>
      </c>
      <c r="W5043" s="46" t="str">
        <f t="shared" si="2101"/>
        <v/>
      </c>
      <c r="X5043" s="46" t="str">
        <f t="shared" si="2101"/>
        <v/>
      </c>
    </row>
    <row r="5044" spans="2:26" x14ac:dyDescent="0.25">
      <c r="B5044" s="18"/>
      <c r="C5044" s="18"/>
      <c r="D5044" s="18"/>
      <c r="E5044" s="40"/>
      <c r="F5044" s="18"/>
      <c r="G5044" s="40"/>
      <c r="N5044" s="8" t="str">
        <f>IF(R5044="x",1,"")</f>
        <v/>
      </c>
      <c r="O5044" s="18"/>
      <c r="P5044" s="13"/>
      <c r="Q5044" s="13"/>
      <c r="R5044" s="13"/>
      <c r="S5044" s="13"/>
      <c r="T5044" s="15"/>
      <c r="U5044" s="46" t="str">
        <f t="shared" si="2101"/>
        <v/>
      </c>
      <c r="V5044" s="46" t="str">
        <f t="shared" si="2101"/>
        <v/>
      </c>
      <c r="W5044" s="46" t="str">
        <f t="shared" si="2101"/>
        <v/>
      </c>
      <c r="X5044" s="46" t="str">
        <f t="shared" si="2101"/>
        <v/>
      </c>
    </row>
    <row r="5045" spans="2:26" x14ac:dyDescent="0.25">
      <c r="B5045" s="18"/>
      <c r="C5045" s="18"/>
      <c r="D5045" s="18"/>
      <c r="E5045" s="40"/>
      <c r="F5045" s="18"/>
      <c r="G5045" s="40"/>
      <c r="N5045" s="8" t="str">
        <f>IF(R5045="x",1,"")</f>
        <v/>
      </c>
      <c r="O5045" s="18"/>
      <c r="P5045" s="13"/>
      <c r="Q5045" s="13"/>
      <c r="R5045" s="13"/>
      <c r="S5045" s="13"/>
      <c r="T5045" s="15"/>
      <c r="U5045" s="46" t="str">
        <f t="shared" si="2101"/>
        <v/>
      </c>
      <c r="V5045" s="46" t="str">
        <f t="shared" si="2101"/>
        <v/>
      </c>
      <c r="W5045" s="46" t="str">
        <f t="shared" si="2101"/>
        <v/>
      </c>
      <c r="X5045" s="46" t="str">
        <f t="shared" si="2101"/>
        <v/>
      </c>
    </row>
    <row r="5046" spans="2:26" s="18" customFormat="1" x14ac:dyDescent="0.25">
      <c r="B5046" s="11" t="str">
        <f t="shared" ref="B5046:B5058" si="2129">CONCATENATE("PATR","-",LEFT(P5046,2),UPPER(MID(P5046,4,3)),RIGHT(P5046,4))</f>
        <v>PATR-19MAY1899</v>
      </c>
      <c r="C5046" s="11" t="s">
        <v>3435</v>
      </c>
      <c r="D5046" s="11" t="s">
        <v>2103</v>
      </c>
      <c r="E5046" s="39" t="s">
        <v>3501</v>
      </c>
      <c r="F5046" s="11" t="s">
        <v>1700</v>
      </c>
      <c r="G5046" s="39" t="s">
        <v>3502</v>
      </c>
      <c r="H5046" s="7"/>
      <c r="I5046" s="7"/>
      <c r="J5046" s="17">
        <v>8</v>
      </c>
      <c r="K5046" s="17"/>
      <c r="L5046" s="7">
        <f t="shared" ref="L5046:L5058" si="2130">SUM(H5046:K5046)</f>
        <v>8</v>
      </c>
      <c r="M5046" s="8">
        <v>1</v>
      </c>
      <c r="N5046" s="8">
        <f t="shared" ref="N5046:N5058" si="2131">IF(L5046&gt;0,1,"")</f>
        <v>1</v>
      </c>
      <c r="O5046" s="11" t="s">
        <v>1702</v>
      </c>
      <c r="P5046" s="16" t="str">
        <f t="shared" ref="P5046:P5058" si="2132">IF(LEN(G5046)=10,CONCATENATE("0",G5046),G5046)</f>
        <v>19-May-1899</v>
      </c>
      <c r="Q5046" s="16"/>
      <c r="R5046" s="16" t="str">
        <f t="shared" ref="R5046:S5048" si="2133">IF($L5046&gt;0,"x","")</f>
        <v>x</v>
      </c>
      <c r="S5046" s="16" t="str">
        <f t="shared" si="2133"/>
        <v>x</v>
      </c>
      <c r="T5046" s="12"/>
      <c r="U5046" s="46" t="str">
        <f t="shared" si="2101"/>
        <v/>
      </c>
      <c r="V5046" s="46">
        <f t="shared" si="2101"/>
        <v>8</v>
      </c>
      <c r="W5046" s="46" t="str">
        <f t="shared" si="2101"/>
        <v/>
      </c>
      <c r="X5046" s="46" t="str">
        <f t="shared" si="2101"/>
        <v/>
      </c>
      <c r="Z5046" s="11"/>
    </row>
    <row r="5047" spans="2:26" s="18" customFormat="1" x14ac:dyDescent="0.25">
      <c r="B5047" s="11" t="str">
        <f>CONCATENATE("PATR","-",LEFT(P5047,2),UPPER(MID(P5047,4,3)),RIGHT(P5047,4))</f>
        <v>PATR-19OCT1900</v>
      </c>
      <c r="C5047" s="11" t="s">
        <v>3435</v>
      </c>
      <c r="D5047" s="11" t="s">
        <v>2103</v>
      </c>
      <c r="E5047" s="39" t="s">
        <v>1740</v>
      </c>
      <c r="F5047" s="11" t="s">
        <v>1700</v>
      </c>
      <c r="G5047" s="39" t="s">
        <v>5660</v>
      </c>
      <c r="H5047" s="7"/>
      <c r="I5047" s="7"/>
      <c r="J5047" s="17">
        <v>20</v>
      </c>
      <c r="K5047" s="17"/>
      <c r="L5047" s="7">
        <f>SUM(H5047:K5047)</f>
        <v>20</v>
      </c>
      <c r="M5047" s="8">
        <v>1</v>
      </c>
      <c r="N5047" s="8">
        <f>IF(L5047&gt;0,1,"")</f>
        <v>1</v>
      </c>
      <c r="O5047" s="11" t="s">
        <v>1702</v>
      </c>
      <c r="P5047" s="16" t="str">
        <f>IF(LEN(G5047)=10,CONCATENATE("0",G5047),G5047)</f>
        <v>19-Oct-1900</v>
      </c>
      <c r="Q5047" s="16"/>
      <c r="R5047" s="16" t="str">
        <f t="shared" si="2133"/>
        <v>x</v>
      </c>
      <c r="S5047" s="16" t="str">
        <f t="shared" si="2133"/>
        <v>x</v>
      </c>
      <c r="T5047" s="12"/>
      <c r="U5047" s="46" t="str">
        <f>IF($O5047=U$5,$L5047,"")</f>
        <v/>
      </c>
      <c r="V5047" s="46">
        <f>IF($O5047=V$5,$L5047,"")</f>
        <v>20</v>
      </c>
      <c r="W5047" s="46" t="str">
        <f>IF($O5047=W$5,$L5047,"")</f>
        <v/>
      </c>
      <c r="X5047" s="46" t="str">
        <f>IF($O5047=X$5,$L5047,"")</f>
        <v/>
      </c>
      <c r="Z5047" s="11"/>
    </row>
    <row r="5048" spans="2:26" s="18" customFormat="1" x14ac:dyDescent="0.25">
      <c r="B5048" s="11" t="str">
        <f t="shared" si="2129"/>
        <v>PATR-02DEC1900</v>
      </c>
      <c r="C5048" s="11" t="s">
        <v>3435</v>
      </c>
      <c r="D5048" s="11" t="s">
        <v>2103</v>
      </c>
      <c r="E5048" s="39" t="s">
        <v>3531</v>
      </c>
      <c r="F5048" s="11" t="s">
        <v>1700</v>
      </c>
      <c r="G5048" s="39" t="s">
        <v>3871</v>
      </c>
      <c r="H5048" s="7"/>
      <c r="I5048" s="7"/>
      <c r="J5048" s="17">
        <v>14</v>
      </c>
      <c r="K5048" s="17"/>
      <c r="L5048" s="7">
        <f t="shared" si="2130"/>
        <v>14</v>
      </c>
      <c r="M5048" s="8">
        <v>1</v>
      </c>
      <c r="N5048" s="8">
        <f t="shared" si="2131"/>
        <v>1</v>
      </c>
      <c r="O5048" s="11" t="s">
        <v>1702</v>
      </c>
      <c r="P5048" s="16" t="str">
        <f t="shared" si="2132"/>
        <v>02-Dec-1900</v>
      </c>
      <c r="Q5048" s="16"/>
      <c r="R5048" s="16" t="str">
        <f t="shared" si="2133"/>
        <v>x</v>
      </c>
      <c r="S5048" s="16" t="str">
        <f t="shared" si="2133"/>
        <v>x</v>
      </c>
      <c r="T5048" s="12"/>
      <c r="U5048" s="46" t="str">
        <f t="shared" si="2101"/>
        <v/>
      </c>
      <c r="V5048" s="46">
        <f t="shared" si="2101"/>
        <v>14</v>
      </c>
      <c r="W5048" s="46" t="str">
        <f t="shared" si="2101"/>
        <v/>
      </c>
      <c r="X5048" s="46" t="str">
        <f t="shared" si="2101"/>
        <v/>
      </c>
      <c r="Z5048" s="11"/>
    </row>
    <row r="5049" spans="2:26" s="18" customFormat="1" x14ac:dyDescent="0.25">
      <c r="B5049" s="11" t="str">
        <f t="shared" si="2129"/>
        <v>PATR-19JAN1901</v>
      </c>
      <c r="C5049" s="11" t="s">
        <v>3435</v>
      </c>
      <c r="D5049" s="11" t="s">
        <v>2103</v>
      </c>
      <c r="E5049" s="39" t="s">
        <v>704</v>
      </c>
      <c r="F5049" s="11" t="s">
        <v>1700</v>
      </c>
      <c r="G5049" s="39" t="s">
        <v>2584</v>
      </c>
      <c r="H5049" s="7"/>
      <c r="I5049" s="7"/>
      <c r="J5049" s="17">
        <v>25</v>
      </c>
      <c r="K5049" s="17"/>
      <c r="L5049" s="7">
        <f t="shared" si="2130"/>
        <v>25</v>
      </c>
      <c r="M5049" s="8">
        <v>1</v>
      </c>
      <c r="N5049" s="8">
        <f t="shared" si="2131"/>
        <v>1</v>
      </c>
      <c r="O5049" s="11" t="s">
        <v>1702</v>
      </c>
      <c r="P5049" s="16" t="str">
        <f t="shared" si="2132"/>
        <v>19-Jan-1901</v>
      </c>
      <c r="Q5049" s="16"/>
      <c r="R5049" s="16" t="str">
        <f t="shared" ref="R5049:S5058" si="2134">IF($L5049&gt;0,"x","")</f>
        <v>x</v>
      </c>
      <c r="S5049" s="16" t="str">
        <f t="shared" si="2134"/>
        <v>x</v>
      </c>
      <c r="T5049" s="12"/>
      <c r="U5049" s="46" t="str">
        <f t="shared" si="2101"/>
        <v/>
      </c>
      <c r="V5049" s="46">
        <f t="shared" si="2101"/>
        <v>25</v>
      </c>
      <c r="W5049" s="46" t="str">
        <f t="shared" si="2101"/>
        <v/>
      </c>
      <c r="X5049" s="46" t="str">
        <f t="shared" si="2101"/>
        <v/>
      </c>
      <c r="Z5049" s="11"/>
    </row>
    <row r="5050" spans="2:26" s="18" customFormat="1" x14ac:dyDescent="0.25">
      <c r="B5050" s="11" t="str">
        <f t="shared" si="2129"/>
        <v>PATR-18NOV1901</v>
      </c>
      <c r="C5050" s="11" t="s">
        <v>3435</v>
      </c>
      <c r="D5050" s="11" t="s">
        <v>2103</v>
      </c>
      <c r="E5050" s="39" t="s">
        <v>2582</v>
      </c>
      <c r="F5050" s="11" t="s">
        <v>1700</v>
      </c>
      <c r="G5050" s="39" t="s">
        <v>5742</v>
      </c>
      <c r="H5050" s="7"/>
      <c r="I5050" s="7"/>
      <c r="J5050" s="17">
        <v>17</v>
      </c>
      <c r="K5050" s="17"/>
      <c r="L5050" s="7">
        <f t="shared" si="2130"/>
        <v>17</v>
      </c>
      <c r="M5050" s="8">
        <v>1</v>
      </c>
      <c r="N5050" s="8">
        <f t="shared" si="2131"/>
        <v>1</v>
      </c>
      <c r="O5050" s="11" t="s">
        <v>1702</v>
      </c>
      <c r="P5050" s="16" t="str">
        <f t="shared" si="2132"/>
        <v>18-Nov-1901</v>
      </c>
      <c r="Q5050" s="16"/>
      <c r="R5050" s="16" t="str">
        <f t="shared" si="2134"/>
        <v>x</v>
      </c>
      <c r="S5050" s="16" t="str">
        <f t="shared" si="2134"/>
        <v>x</v>
      </c>
      <c r="T5050" s="12"/>
      <c r="U5050" s="46" t="str">
        <f t="shared" ref="U5050:X5054" si="2135">IF($O5050=U$5,$L5050,"")</f>
        <v/>
      </c>
      <c r="V5050" s="46">
        <f t="shared" si="2135"/>
        <v>17</v>
      </c>
      <c r="W5050" s="46" t="str">
        <f t="shared" si="2135"/>
        <v/>
      </c>
      <c r="X5050" s="46" t="str">
        <f t="shared" si="2135"/>
        <v/>
      </c>
      <c r="Z5050" s="11"/>
    </row>
    <row r="5051" spans="2:26" s="18" customFormat="1" x14ac:dyDescent="0.25">
      <c r="B5051" s="11" t="str">
        <f t="shared" si="2129"/>
        <v>PATR-08MAY1902</v>
      </c>
      <c r="C5051" s="11" t="s">
        <v>3435</v>
      </c>
      <c r="D5051" s="11" t="s">
        <v>2103</v>
      </c>
      <c r="E5051" s="39" t="s">
        <v>3852</v>
      </c>
      <c r="F5051" s="11" t="s">
        <v>1700</v>
      </c>
      <c r="G5051" s="39" t="s">
        <v>3853</v>
      </c>
      <c r="H5051" s="7"/>
      <c r="I5051" s="7"/>
      <c r="J5051" s="17">
        <v>21</v>
      </c>
      <c r="K5051" s="17"/>
      <c r="L5051" s="7">
        <f t="shared" si="2130"/>
        <v>21</v>
      </c>
      <c r="M5051" s="8">
        <v>1</v>
      </c>
      <c r="N5051" s="8">
        <f t="shared" si="2131"/>
        <v>1</v>
      </c>
      <c r="O5051" s="11" t="s">
        <v>1702</v>
      </c>
      <c r="P5051" s="16" t="str">
        <f t="shared" si="2132"/>
        <v>08-May-1902</v>
      </c>
      <c r="Q5051" s="16"/>
      <c r="R5051" s="16" t="str">
        <f t="shared" si="2134"/>
        <v>x</v>
      </c>
      <c r="S5051" s="16" t="str">
        <f t="shared" si="2134"/>
        <v>x</v>
      </c>
      <c r="T5051" s="12"/>
      <c r="U5051" s="46" t="str">
        <f t="shared" si="2101"/>
        <v/>
      </c>
      <c r="V5051" s="46">
        <f t="shared" si="2101"/>
        <v>21</v>
      </c>
      <c r="W5051" s="46" t="str">
        <f t="shared" si="2101"/>
        <v/>
      </c>
      <c r="X5051" s="46" t="str">
        <f t="shared" si="2101"/>
        <v/>
      </c>
      <c r="Z5051" s="11"/>
    </row>
    <row r="5052" spans="2:26" s="18" customFormat="1" x14ac:dyDescent="0.25">
      <c r="B5052" s="11" t="str">
        <f>CONCATENATE("PATR","-",LEFT(P5052,2),UPPER(MID(P5052,4,3)),RIGHT(P5052,4))</f>
        <v>PATR-12JUN1902</v>
      </c>
      <c r="C5052" s="11" t="s">
        <v>3435</v>
      </c>
      <c r="D5052" s="11" t="s">
        <v>2103</v>
      </c>
      <c r="E5052" s="39" t="s">
        <v>5880</v>
      </c>
      <c r="F5052" s="11" t="s">
        <v>1700</v>
      </c>
      <c r="G5052" s="39" t="s">
        <v>5881</v>
      </c>
      <c r="H5052" s="7"/>
      <c r="I5052" s="7"/>
      <c r="J5052" s="17">
        <v>17</v>
      </c>
      <c r="K5052" s="17"/>
      <c r="L5052" s="7">
        <f>SUM(H5052:K5052)</f>
        <v>17</v>
      </c>
      <c r="M5052" s="8">
        <v>1</v>
      </c>
      <c r="N5052" s="8">
        <f>IF(L5052&gt;0,1,"")</f>
        <v>1</v>
      </c>
      <c r="O5052" s="11" t="s">
        <v>1702</v>
      </c>
      <c r="P5052" s="16" t="str">
        <f>IF(LEN(G5052)=10,CONCATENATE("0",G5052),G5052)</f>
        <v>12-Jun-1902</v>
      </c>
      <c r="Q5052" s="16"/>
      <c r="R5052" s="16" t="str">
        <f t="shared" si="2134"/>
        <v>x</v>
      </c>
      <c r="S5052" s="16" t="str">
        <f t="shared" si="2134"/>
        <v>x</v>
      </c>
      <c r="T5052" s="12"/>
      <c r="U5052" s="46" t="str">
        <f t="shared" si="2135"/>
        <v/>
      </c>
      <c r="V5052" s="46">
        <f t="shared" si="2135"/>
        <v>17</v>
      </c>
      <c r="W5052" s="46" t="str">
        <f t="shared" si="2135"/>
        <v/>
      </c>
      <c r="X5052" s="46" t="str">
        <f t="shared" si="2135"/>
        <v/>
      </c>
      <c r="Z5052" s="11"/>
    </row>
    <row r="5053" spans="2:26" s="18" customFormat="1" x14ac:dyDescent="0.25">
      <c r="B5053" s="11" t="str">
        <f>CONCATENATE("PATR","-",LEFT(P5053,2),UPPER(MID(P5053,4,3)),RIGHT(P5053,4))</f>
        <v>PATR-17JUL1902</v>
      </c>
      <c r="C5053" s="11" t="s">
        <v>3435</v>
      </c>
      <c r="D5053" s="11" t="s">
        <v>2103</v>
      </c>
      <c r="E5053" s="39" t="s">
        <v>6297</v>
      </c>
      <c r="F5053" s="11" t="s">
        <v>1700</v>
      </c>
      <c r="G5053" s="39" t="s">
        <v>4699</v>
      </c>
      <c r="H5053" s="7"/>
      <c r="I5053" s="7"/>
      <c r="J5053" s="17">
        <v>6</v>
      </c>
      <c r="K5053" s="17"/>
      <c r="L5053" s="7">
        <f>SUM(H5053:K5053)</f>
        <v>6</v>
      </c>
      <c r="M5053" s="8">
        <v>1</v>
      </c>
      <c r="N5053" s="8">
        <f>IF(L5053&gt;0,1,"")</f>
        <v>1</v>
      </c>
      <c r="O5053" s="11" t="s">
        <v>1702</v>
      </c>
      <c r="P5053" s="16" t="str">
        <f>IF(LEN(G5053)=10,CONCATENATE("0",G5053),G5053)</f>
        <v>17-Jul-1902</v>
      </c>
      <c r="Q5053" s="16"/>
      <c r="R5053" s="16" t="str">
        <f t="shared" si="2134"/>
        <v>x</v>
      </c>
      <c r="S5053" s="16" t="str">
        <f t="shared" si="2134"/>
        <v>x</v>
      </c>
      <c r="T5053" s="12"/>
      <c r="U5053" s="46" t="str">
        <f t="shared" si="2135"/>
        <v/>
      </c>
      <c r="V5053" s="46">
        <f t="shared" si="2135"/>
        <v>6</v>
      </c>
      <c r="W5053" s="46" t="str">
        <f t="shared" si="2135"/>
        <v/>
      </c>
      <c r="X5053" s="46" t="str">
        <f t="shared" si="2135"/>
        <v/>
      </c>
      <c r="Z5053" s="11"/>
    </row>
    <row r="5054" spans="2:26" s="18" customFormat="1" x14ac:dyDescent="0.25">
      <c r="B5054" s="11" t="str">
        <f>CONCATENATE("PATR","-",LEFT(P5054,2),UPPER(MID(P5054,4,3)),RIGHT(P5054,4))</f>
        <v>PATR-21AUG1902</v>
      </c>
      <c r="C5054" s="11" t="s">
        <v>3435</v>
      </c>
      <c r="D5054" s="11" t="s">
        <v>2103</v>
      </c>
      <c r="E5054" s="39" t="s">
        <v>1746</v>
      </c>
      <c r="F5054" s="11" t="s">
        <v>1700</v>
      </c>
      <c r="G5054" s="39" t="s">
        <v>5113</v>
      </c>
      <c r="H5054" s="7"/>
      <c r="I5054" s="7"/>
      <c r="J5054" s="17">
        <v>8</v>
      </c>
      <c r="K5054" s="17"/>
      <c r="L5054" s="7">
        <f>SUM(H5054:K5054)</f>
        <v>8</v>
      </c>
      <c r="M5054" s="8">
        <v>1</v>
      </c>
      <c r="N5054" s="8">
        <f>IF(L5054&gt;0,1,"")</f>
        <v>1</v>
      </c>
      <c r="O5054" s="11" t="s">
        <v>1702</v>
      </c>
      <c r="P5054" s="16" t="str">
        <f>IF(LEN(G5054)=10,CONCATENATE("0",G5054),G5054)</f>
        <v>21-Aug-1902</v>
      </c>
      <c r="Q5054" s="16"/>
      <c r="R5054" s="16" t="str">
        <f t="shared" si="2134"/>
        <v>x</v>
      </c>
      <c r="S5054" s="16" t="str">
        <f t="shared" si="2134"/>
        <v>x</v>
      </c>
      <c r="T5054" s="12"/>
      <c r="U5054" s="46" t="str">
        <f t="shared" si="2135"/>
        <v/>
      </c>
      <c r="V5054" s="46">
        <f t="shared" si="2135"/>
        <v>8</v>
      </c>
      <c r="W5054" s="46" t="str">
        <f t="shared" si="2135"/>
        <v/>
      </c>
      <c r="X5054" s="46" t="str">
        <f t="shared" si="2135"/>
        <v/>
      </c>
      <c r="Z5054" s="11"/>
    </row>
    <row r="5055" spans="2:26" s="18" customFormat="1" x14ac:dyDescent="0.25">
      <c r="B5055" s="11" t="str">
        <f t="shared" si="2129"/>
        <v>PATR-31OCT1902</v>
      </c>
      <c r="C5055" s="11" t="s">
        <v>3435</v>
      </c>
      <c r="D5055" s="11" t="s">
        <v>2103</v>
      </c>
      <c r="E5055" s="39" t="s">
        <v>3659</v>
      </c>
      <c r="F5055" s="11" t="s">
        <v>1700</v>
      </c>
      <c r="G5055" s="39" t="s">
        <v>3857</v>
      </c>
      <c r="H5055" s="7"/>
      <c r="I5055" s="7"/>
      <c r="J5055" s="17">
        <v>28</v>
      </c>
      <c r="K5055" s="17"/>
      <c r="L5055" s="7">
        <f t="shared" si="2130"/>
        <v>28</v>
      </c>
      <c r="M5055" s="8">
        <v>1</v>
      </c>
      <c r="N5055" s="8">
        <f t="shared" si="2131"/>
        <v>1</v>
      </c>
      <c r="O5055" s="11" t="s">
        <v>1702</v>
      </c>
      <c r="P5055" s="16" t="str">
        <f t="shared" si="2132"/>
        <v>31-Oct-1902</v>
      </c>
      <c r="Q5055" s="16"/>
      <c r="R5055" s="16" t="str">
        <f t="shared" si="2134"/>
        <v>x</v>
      </c>
      <c r="S5055" s="16" t="str">
        <f t="shared" si="2134"/>
        <v>x</v>
      </c>
      <c r="T5055" s="12"/>
      <c r="U5055" s="46" t="str">
        <f t="shared" si="2101"/>
        <v/>
      </c>
      <c r="V5055" s="46">
        <f t="shared" si="2101"/>
        <v>28</v>
      </c>
      <c r="W5055" s="46" t="str">
        <f t="shared" si="2101"/>
        <v/>
      </c>
      <c r="X5055" s="46" t="str">
        <f t="shared" si="2101"/>
        <v/>
      </c>
      <c r="Z5055" s="11"/>
    </row>
    <row r="5056" spans="2:26" s="18" customFormat="1" x14ac:dyDescent="0.25">
      <c r="B5056" s="11" t="str">
        <f>CONCATENATE("PATR","-",LEFT(P5056,2),UPPER(MID(P5056,4,3)),RIGHT(P5056,4))</f>
        <v>PATR-27OCT1904</v>
      </c>
      <c r="C5056" s="11" t="s">
        <v>3435</v>
      </c>
      <c r="D5056" s="11" t="s">
        <v>2103</v>
      </c>
      <c r="E5056" s="39" t="s">
        <v>2693</v>
      </c>
      <c r="F5056" s="11" t="s">
        <v>1700</v>
      </c>
      <c r="G5056" s="39" t="s">
        <v>5052</v>
      </c>
      <c r="H5056" s="7">
        <v>0</v>
      </c>
      <c r="I5056" s="7">
        <v>0</v>
      </c>
      <c r="J5056" s="17">
        <v>1</v>
      </c>
      <c r="K5056" s="17"/>
      <c r="L5056" s="7">
        <f>SUM(H5056:K5056)</f>
        <v>1</v>
      </c>
      <c r="M5056" s="8">
        <v>1</v>
      </c>
      <c r="N5056" s="8">
        <f>IF(L5056&gt;0,1,"")</f>
        <v>1</v>
      </c>
      <c r="O5056" s="11" t="s">
        <v>1702</v>
      </c>
      <c r="P5056" s="16" t="str">
        <f>IF(LEN(G5056)=10,CONCATENATE("0",G5056),G5056)</f>
        <v>27-Oct-1904</v>
      </c>
      <c r="Q5056" s="16"/>
      <c r="R5056" s="16" t="str">
        <f>IF($L5056&gt;0,"x","")</f>
        <v>x</v>
      </c>
      <c r="S5056" s="16" t="str">
        <f>IF($L5056&gt;0,"x","")</f>
        <v>x</v>
      </c>
      <c r="T5056" s="12"/>
      <c r="U5056" s="46" t="str">
        <f t="shared" ref="U5056:X5057" si="2136">IF($O5056=U$5,$L5056,"")</f>
        <v/>
      </c>
      <c r="V5056" s="46">
        <f t="shared" si="2136"/>
        <v>1</v>
      </c>
      <c r="W5056" s="46" t="str">
        <f t="shared" si="2136"/>
        <v/>
      </c>
      <c r="X5056" s="46" t="str">
        <f t="shared" si="2136"/>
        <v/>
      </c>
      <c r="Z5056" s="11"/>
    </row>
    <row r="5057" spans="2:26" s="18" customFormat="1" x14ac:dyDescent="0.25">
      <c r="B5057" s="11" t="str">
        <f>CONCATENATE("PATR","-",LEFT(P5057,2),UPPER(MID(P5057,4,3)),RIGHT(P5057,4))</f>
        <v>PATR-16JUN1905</v>
      </c>
      <c r="C5057" s="11" t="s">
        <v>3435</v>
      </c>
      <c r="D5057" s="11" t="s">
        <v>2103</v>
      </c>
      <c r="E5057" s="39" t="s">
        <v>1778</v>
      </c>
      <c r="F5057" s="11" t="s">
        <v>1700</v>
      </c>
      <c r="G5057" s="39" t="s">
        <v>5468</v>
      </c>
      <c r="H5057" s="7">
        <v>0</v>
      </c>
      <c r="I5057" s="7">
        <v>0</v>
      </c>
      <c r="J5057" s="17">
        <v>6</v>
      </c>
      <c r="K5057" s="17"/>
      <c r="L5057" s="7">
        <f>SUM(H5057:K5057)</f>
        <v>6</v>
      </c>
      <c r="M5057" s="8">
        <v>1</v>
      </c>
      <c r="N5057" s="8">
        <f>IF(L5057&gt;0,1,"")</f>
        <v>1</v>
      </c>
      <c r="O5057" s="11" t="s">
        <v>1702</v>
      </c>
      <c r="P5057" s="16" t="str">
        <f>IF(LEN(G5057)=10,CONCATENATE("0",G5057),G5057)</f>
        <v>16-Jun-1905</v>
      </c>
      <c r="Q5057" s="16"/>
      <c r="R5057" s="16" t="str">
        <f>IF($L5057&gt;0,"x","")</f>
        <v>x</v>
      </c>
      <c r="S5057" s="16" t="str">
        <f>IF($L5057&gt;0,"x","")</f>
        <v>x</v>
      </c>
      <c r="T5057" s="12"/>
      <c r="U5057" s="46" t="str">
        <f t="shared" si="2136"/>
        <v/>
      </c>
      <c r="V5057" s="46">
        <f t="shared" si="2136"/>
        <v>6</v>
      </c>
      <c r="W5057" s="46" t="str">
        <f t="shared" si="2136"/>
        <v/>
      </c>
      <c r="X5057" s="46" t="str">
        <f t="shared" si="2136"/>
        <v/>
      </c>
      <c r="Z5057" s="11"/>
    </row>
    <row r="5058" spans="2:26" s="18" customFormat="1" x14ac:dyDescent="0.25">
      <c r="B5058" s="11" t="str">
        <f t="shared" si="2129"/>
        <v>PATR-10MAR1906</v>
      </c>
      <c r="C5058" s="11" t="s">
        <v>3435</v>
      </c>
      <c r="D5058" s="11" t="s">
        <v>2103</v>
      </c>
      <c r="E5058" s="39" t="s">
        <v>1790</v>
      </c>
      <c r="F5058" s="11" t="s">
        <v>1700</v>
      </c>
      <c r="G5058" s="39" t="s">
        <v>3597</v>
      </c>
      <c r="H5058" s="7">
        <v>0</v>
      </c>
      <c r="I5058" s="7">
        <v>0</v>
      </c>
      <c r="J5058" s="17">
        <v>19</v>
      </c>
      <c r="K5058" s="17"/>
      <c r="L5058" s="7">
        <f t="shared" si="2130"/>
        <v>19</v>
      </c>
      <c r="M5058" s="8">
        <v>1</v>
      </c>
      <c r="N5058" s="8">
        <f t="shared" si="2131"/>
        <v>1</v>
      </c>
      <c r="O5058" s="11" t="s">
        <v>1702</v>
      </c>
      <c r="P5058" s="16" t="str">
        <f t="shared" si="2132"/>
        <v>10-Mar-1906</v>
      </c>
      <c r="Q5058" s="16"/>
      <c r="R5058" s="16" t="str">
        <f t="shared" si="2134"/>
        <v>x</v>
      </c>
      <c r="S5058" s="16" t="str">
        <f t="shared" si="2134"/>
        <v>x</v>
      </c>
      <c r="T5058" s="12"/>
      <c r="U5058" s="46" t="str">
        <f t="shared" si="2101"/>
        <v/>
      </c>
      <c r="V5058" s="46">
        <f t="shared" si="2101"/>
        <v>19</v>
      </c>
      <c r="W5058" s="46" t="str">
        <f t="shared" si="2101"/>
        <v/>
      </c>
      <c r="X5058" s="46" t="str">
        <f t="shared" si="2101"/>
        <v/>
      </c>
      <c r="Z5058" s="11"/>
    </row>
    <row r="5059" spans="2:26" s="18" customFormat="1" x14ac:dyDescent="0.25">
      <c r="B5059" s="11"/>
      <c r="C5059" s="11"/>
      <c r="D5059" s="11"/>
      <c r="E5059" s="39"/>
      <c r="F5059" s="11"/>
      <c r="G5059" s="39"/>
      <c r="H5059" s="7"/>
      <c r="I5059" s="7"/>
      <c r="J5059" s="7"/>
      <c r="K5059" s="7"/>
      <c r="L5059" s="7"/>
      <c r="M5059" s="8"/>
      <c r="N5059" s="8" t="str">
        <f>IF(R5059="x",1,"")</f>
        <v/>
      </c>
      <c r="O5059" s="11"/>
      <c r="P5059" s="16"/>
      <c r="Q5059" s="16"/>
      <c r="R5059" s="16"/>
      <c r="S5059" s="16"/>
      <c r="T5059" s="12"/>
      <c r="U5059" s="46" t="str">
        <f t="shared" si="2101"/>
        <v/>
      </c>
      <c r="V5059" s="46" t="str">
        <f t="shared" si="2101"/>
        <v/>
      </c>
      <c r="W5059" s="46" t="str">
        <f t="shared" si="2101"/>
        <v/>
      </c>
      <c r="X5059" s="46" t="str">
        <f t="shared" si="2101"/>
        <v/>
      </c>
      <c r="Z5059" s="11"/>
    </row>
    <row r="5060" spans="2:26" x14ac:dyDescent="0.25">
      <c r="B5060" s="18"/>
      <c r="C5060" s="18"/>
      <c r="D5060" s="18"/>
      <c r="E5060" s="40"/>
      <c r="F5060" s="18"/>
      <c r="G5060" s="40"/>
      <c r="H5060" s="7">
        <f t="shared" ref="H5060:N5060" si="2137">SUM(H5046:H5059)</f>
        <v>0</v>
      </c>
      <c r="I5060" s="7">
        <f t="shared" si="2137"/>
        <v>0</v>
      </c>
      <c r="J5060" s="7">
        <f>SUM(J5046:J5059)</f>
        <v>190</v>
      </c>
      <c r="K5060" s="7">
        <f t="shared" si="2137"/>
        <v>0</v>
      </c>
      <c r="L5060" s="7">
        <f t="shared" si="2137"/>
        <v>190</v>
      </c>
      <c r="M5060" s="7">
        <f t="shared" si="2137"/>
        <v>13</v>
      </c>
      <c r="N5060" s="7">
        <f t="shared" si="2137"/>
        <v>13</v>
      </c>
      <c r="O5060" s="18"/>
      <c r="P5060" s="13"/>
      <c r="Q5060" s="13"/>
      <c r="S5060" s="13"/>
      <c r="T5060" s="15"/>
      <c r="U5060" s="46" t="str">
        <f t="shared" si="2101"/>
        <v/>
      </c>
      <c r="V5060" s="46" t="str">
        <f t="shared" si="2101"/>
        <v/>
      </c>
      <c r="W5060" s="46" t="str">
        <f t="shared" si="2101"/>
        <v/>
      </c>
      <c r="X5060" s="46" t="str">
        <f t="shared" si="2101"/>
        <v/>
      </c>
    </row>
    <row r="5061" spans="2:26" x14ac:dyDescent="0.25">
      <c r="B5061" s="18"/>
      <c r="C5061" s="18"/>
      <c r="D5061" s="18"/>
      <c r="E5061" s="40"/>
      <c r="F5061" s="18"/>
      <c r="G5061" s="40"/>
      <c r="N5061" s="8" t="str">
        <f>IF(R5061="x",1,"")</f>
        <v/>
      </c>
      <c r="O5061" s="18"/>
      <c r="P5061" s="13"/>
      <c r="Q5061" s="13"/>
      <c r="R5061" s="13"/>
      <c r="S5061" s="13"/>
      <c r="T5061" s="15"/>
      <c r="U5061" s="46" t="str">
        <f t="shared" si="2101"/>
        <v/>
      </c>
      <c r="V5061" s="46" t="str">
        <f t="shared" si="2101"/>
        <v/>
      </c>
      <c r="W5061" s="46" t="str">
        <f t="shared" si="2101"/>
        <v/>
      </c>
      <c r="X5061" s="46" t="str">
        <f t="shared" si="2101"/>
        <v/>
      </c>
    </row>
    <row r="5062" spans="2:26" x14ac:dyDescent="0.25">
      <c r="B5062" s="18"/>
      <c r="C5062" s="18"/>
      <c r="D5062" s="18"/>
      <c r="E5062" s="40"/>
      <c r="F5062" s="18"/>
      <c r="G5062" s="40"/>
      <c r="N5062" s="8" t="str">
        <f>IF(R5062="x",1,"")</f>
        <v/>
      </c>
      <c r="O5062" s="18"/>
      <c r="P5062" s="13"/>
      <c r="Q5062" s="13"/>
      <c r="R5062" s="13"/>
      <c r="S5062" s="13"/>
      <c r="T5062" s="15"/>
      <c r="U5062" s="46" t="str">
        <f t="shared" si="2101"/>
        <v/>
      </c>
      <c r="V5062" s="46" t="str">
        <f t="shared" si="2101"/>
        <v/>
      </c>
      <c r="W5062" s="46" t="str">
        <f t="shared" si="2101"/>
        <v/>
      </c>
      <c r="X5062" s="46" t="str">
        <f t="shared" si="2101"/>
        <v/>
      </c>
    </row>
    <row r="5063" spans="2:26" s="18" customFormat="1" x14ac:dyDescent="0.25">
      <c r="B5063" s="11" t="str">
        <f t="shared" ref="B5063:B5073" si="2138">CONCATENATE("PTRS","-",LEFT(P5063,2),UPPER(MID(P5063,4,3)),RIGHT(P5063,4))</f>
        <v>PTRS-28AUG1909</v>
      </c>
      <c r="C5063" s="11" t="s">
        <v>846</v>
      </c>
      <c r="D5063" s="11" t="s">
        <v>847</v>
      </c>
      <c r="E5063" s="39" t="s">
        <v>5469</v>
      </c>
      <c r="F5063" s="11" t="s">
        <v>1700</v>
      </c>
      <c r="G5063" s="39" t="s">
        <v>87</v>
      </c>
      <c r="H5063" s="7">
        <v>0</v>
      </c>
      <c r="I5063" s="7">
        <v>1</v>
      </c>
      <c r="J5063" s="17">
        <v>21</v>
      </c>
      <c r="K5063" s="17"/>
      <c r="L5063" s="7">
        <f t="shared" ref="L5063:L5073" si="2139">SUM(H5063:K5063)</f>
        <v>22</v>
      </c>
      <c r="M5063" s="8">
        <v>1</v>
      </c>
      <c r="N5063" s="8">
        <f t="shared" ref="N5063:N5073" si="2140">IF(L5063&gt;0,1,"")</f>
        <v>1</v>
      </c>
      <c r="O5063" s="11" t="s">
        <v>1702</v>
      </c>
      <c r="P5063" s="16" t="str">
        <f t="shared" ref="P5063:P5073" si="2141">IF(LEN(G5063)=10,CONCATENATE("0",G5063),G5063)</f>
        <v>28-Aug-1909</v>
      </c>
      <c r="Q5063" s="16"/>
      <c r="R5063" s="16" t="str">
        <f t="shared" ref="R5063:S5065" si="2142">IF($L5063&gt;0,"x","")</f>
        <v>x</v>
      </c>
      <c r="S5063" s="16" t="str">
        <f t="shared" si="2142"/>
        <v>x</v>
      </c>
      <c r="T5063" s="12"/>
      <c r="U5063" s="46" t="str">
        <f t="shared" si="2101"/>
        <v/>
      </c>
      <c r="V5063" s="46">
        <f t="shared" si="2101"/>
        <v>22</v>
      </c>
      <c r="W5063" s="46" t="str">
        <f t="shared" si="2101"/>
        <v/>
      </c>
      <c r="X5063" s="46" t="str">
        <f t="shared" si="2101"/>
        <v/>
      </c>
      <c r="Z5063" s="11"/>
    </row>
    <row r="5064" spans="2:26" s="18" customFormat="1" x14ac:dyDescent="0.25">
      <c r="B5064" s="11" t="str">
        <f>CONCATENATE("PTRS","-",LEFT(P5064,2),UPPER(MID(P5064,4,3)),RIGHT(P5064,4))</f>
        <v>PTRS-28AUG1909</v>
      </c>
      <c r="C5064" s="11" t="s">
        <v>846</v>
      </c>
      <c r="D5064" s="11" t="s">
        <v>1906</v>
      </c>
      <c r="E5064" s="39" t="s">
        <v>2315</v>
      </c>
      <c r="F5064" s="11" t="s">
        <v>1700</v>
      </c>
      <c r="G5064" s="39" t="s">
        <v>87</v>
      </c>
      <c r="H5064" s="7">
        <v>0</v>
      </c>
      <c r="I5064" s="7">
        <v>0</v>
      </c>
      <c r="J5064" s="17">
        <v>14</v>
      </c>
      <c r="K5064" s="17"/>
      <c r="L5064" s="7">
        <f>SUM(H5064:K5064)</f>
        <v>14</v>
      </c>
      <c r="M5064" s="8">
        <v>1</v>
      </c>
      <c r="N5064" s="8">
        <f>IF(L5064&gt;0,1,"")</f>
        <v>1</v>
      </c>
      <c r="O5064" s="11" t="s">
        <v>1702</v>
      </c>
      <c r="P5064" s="16" t="str">
        <f>IF(LEN(G5064)=10,CONCATENATE("0",G5064),G5064)</f>
        <v>28-Aug-1909</v>
      </c>
      <c r="Q5064" s="16"/>
      <c r="R5064" s="16" t="str">
        <f t="shared" si="2142"/>
        <v>x</v>
      </c>
      <c r="S5064" s="16" t="str">
        <f t="shared" si="2142"/>
        <v>x</v>
      </c>
      <c r="T5064" s="12"/>
      <c r="U5064" s="46" t="str">
        <f t="shared" ref="U5064:X5065" si="2143">IF($O5064=U$5,$L5064,"")</f>
        <v/>
      </c>
      <c r="V5064" s="46">
        <f t="shared" si="2143"/>
        <v>14</v>
      </c>
      <c r="W5064" s="46" t="str">
        <f t="shared" si="2143"/>
        <v/>
      </c>
      <c r="X5064" s="46" t="str">
        <f t="shared" si="2143"/>
        <v/>
      </c>
      <c r="Z5064" s="11"/>
    </row>
    <row r="5065" spans="2:26" s="18" customFormat="1" x14ac:dyDescent="0.25">
      <c r="B5065" s="11" t="str">
        <f>CONCATENATE("PTRS","-",LEFT(P5065,2),UPPER(MID(P5065,4,3)),RIGHT(P5065,4))</f>
        <v>PTRS-10OCT1909</v>
      </c>
      <c r="C5065" s="11" t="s">
        <v>846</v>
      </c>
      <c r="D5065" s="11" t="s">
        <v>847</v>
      </c>
      <c r="E5065" s="39" t="s">
        <v>3481</v>
      </c>
      <c r="F5065" s="11" t="s">
        <v>1700</v>
      </c>
      <c r="G5065" s="39" t="s">
        <v>2740</v>
      </c>
      <c r="H5065" s="7">
        <v>0</v>
      </c>
      <c r="I5065" s="7">
        <v>0</v>
      </c>
      <c r="J5065" s="17">
        <v>9</v>
      </c>
      <c r="K5065" s="17"/>
      <c r="L5065" s="7">
        <f>SUM(H5065:K5065)</f>
        <v>9</v>
      </c>
      <c r="M5065" s="8">
        <v>1</v>
      </c>
      <c r="N5065" s="8">
        <f>IF(L5065&gt;0,1,"")</f>
        <v>1</v>
      </c>
      <c r="O5065" s="11" t="s">
        <v>1702</v>
      </c>
      <c r="P5065" s="16" t="str">
        <f>IF(LEN(G5065)=10,CONCATENATE("0",G5065),G5065)</f>
        <v>10-Oct-1909</v>
      </c>
      <c r="Q5065" s="16"/>
      <c r="R5065" s="16" t="str">
        <f t="shared" si="2142"/>
        <v>x</v>
      </c>
      <c r="S5065" s="16" t="str">
        <f t="shared" si="2142"/>
        <v>x</v>
      </c>
      <c r="T5065" s="12"/>
      <c r="U5065" s="46" t="str">
        <f t="shared" si="2143"/>
        <v/>
      </c>
      <c r="V5065" s="46">
        <f t="shared" si="2143"/>
        <v>9</v>
      </c>
      <c r="W5065" s="46" t="str">
        <f t="shared" si="2143"/>
        <v/>
      </c>
      <c r="X5065" s="46" t="str">
        <f t="shared" si="2143"/>
        <v/>
      </c>
      <c r="Z5065" s="11"/>
    </row>
    <row r="5066" spans="2:26" s="18" customFormat="1" x14ac:dyDescent="0.25">
      <c r="B5066" s="11" t="str">
        <f t="shared" si="2138"/>
        <v>PTRS-17JUN1912</v>
      </c>
      <c r="C5066" s="11" t="s">
        <v>846</v>
      </c>
      <c r="D5066" s="11" t="s">
        <v>847</v>
      </c>
      <c r="E5066" s="39" t="s">
        <v>849</v>
      </c>
      <c r="F5066" s="11" t="s">
        <v>1700</v>
      </c>
      <c r="G5066" s="39" t="s">
        <v>848</v>
      </c>
      <c r="H5066" s="7">
        <v>0</v>
      </c>
      <c r="I5066" s="7">
        <v>0</v>
      </c>
      <c r="J5066" s="17">
        <v>6</v>
      </c>
      <c r="K5066" s="17"/>
      <c r="L5066" s="7">
        <f t="shared" si="2139"/>
        <v>6</v>
      </c>
      <c r="M5066" s="8">
        <v>1</v>
      </c>
      <c r="N5066" s="8">
        <f t="shared" si="2140"/>
        <v>1</v>
      </c>
      <c r="O5066" s="11" t="s">
        <v>1702</v>
      </c>
      <c r="P5066" s="16" t="str">
        <f t="shared" si="2141"/>
        <v>17-Jun-1912</v>
      </c>
      <c r="Q5066" s="16"/>
      <c r="R5066" s="16" t="str">
        <f t="shared" ref="R5066:S5073" si="2144">IF($L5066&gt;0,"x","")</f>
        <v>x</v>
      </c>
      <c r="S5066" s="16" t="str">
        <f t="shared" si="2144"/>
        <v>x</v>
      </c>
      <c r="T5066" s="12"/>
      <c r="U5066" s="46" t="str">
        <f t="shared" ref="U5066:X5067" si="2145">IF($O5066=U$5,$L5066,"")</f>
        <v/>
      </c>
      <c r="V5066" s="46">
        <f t="shared" si="2145"/>
        <v>6</v>
      </c>
      <c r="W5066" s="46" t="str">
        <f t="shared" si="2145"/>
        <v/>
      </c>
      <c r="X5066" s="46" t="str">
        <f t="shared" si="2145"/>
        <v/>
      </c>
      <c r="Z5066" s="11"/>
    </row>
    <row r="5067" spans="2:26" s="18" customFormat="1" x14ac:dyDescent="0.25">
      <c r="B5067" s="11" t="str">
        <f t="shared" si="2138"/>
        <v>PTRS-27JUL1912</v>
      </c>
      <c r="C5067" s="11" t="s">
        <v>846</v>
      </c>
      <c r="D5067" s="11" t="s">
        <v>847</v>
      </c>
      <c r="E5067" s="39" t="s">
        <v>4903</v>
      </c>
      <c r="F5067" s="11" t="s">
        <v>1700</v>
      </c>
      <c r="G5067" s="39" t="s">
        <v>1328</v>
      </c>
      <c r="H5067" s="7">
        <v>0</v>
      </c>
      <c r="I5067" s="7">
        <v>4</v>
      </c>
      <c r="J5067" s="17">
        <v>18</v>
      </c>
      <c r="K5067" s="17"/>
      <c r="L5067" s="7">
        <f t="shared" si="2139"/>
        <v>22</v>
      </c>
      <c r="M5067" s="8">
        <v>1</v>
      </c>
      <c r="N5067" s="8">
        <f t="shared" si="2140"/>
        <v>1</v>
      </c>
      <c r="O5067" s="11" t="s">
        <v>1702</v>
      </c>
      <c r="P5067" s="16" t="str">
        <f t="shared" si="2141"/>
        <v>27-Jul-1912</v>
      </c>
      <c r="Q5067" s="16"/>
      <c r="R5067" s="16" t="str">
        <f t="shared" si="2144"/>
        <v>x</v>
      </c>
      <c r="S5067" s="16" t="str">
        <f t="shared" si="2144"/>
        <v>x</v>
      </c>
      <c r="T5067" s="12"/>
      <c r="U5067" s="46" t="str">
        <f t="shared" si="2145"/>
        <v/>
      </c>
      <c r="V5067" s="46">
        <f t="shared" si="2145"/>
        <v>22</v>
      </c>
      <c r="W5067" s="46" t="str">
        <f t="shared" si="2145"/>
        <v/>
      </c>
      <c r="X5067" s="46" t="str">
        <f t="shared" si="2145"/>
        <v/>
      </c>
      <c r="Z5067" s="11"/>
    </row>
    <row r="5068" spans="2:26" s="18" customFormat="1" x14ac:dyDescent="0.25">
      <c r="B5068" s="11" t="str">
        <f t="shared" si="2138"/>
        <v>PTRS-22OCT1912</v>
      </c>
      <c r="C5068" s="11" t="s">
        <v>846</v>
      </c>
      <c r="D5068" s="11" t="s">
        <v>847</v>
      </c>
      <c r="E5068" s="39" t="s">
        <v>3369</v>
      </c>
      <c r="F5068" s="11" t="s">
        <v>1700</v>
      </c>
      <c r="G5068" s="39" t="s">
        <v>4366</v>
      </c>
      <c r="H5068" s="7">
        <v>0</v>
      </c>
      <c r="I5068" s="7">
        <v>0</v>
      </c>
      <c r="J5068" s="17">
        <v>8</v>
      </c>
      <c r="K5068" s="17"/>
      <c r="L5068" s="7">
        <f t="shared" si="2139"/>
        <v>8</v>
      </c>
      <c r="M5068" s="8">
        <v>1</v>
      </c>
      <c r="N5068" s="8">
        <f t="shared" si="2140"/>
        <v>1</v>
      </c>
      <c r="O5068" s="11" t="s">
        <v>1702</v>
      </c>
      <c r="P5068" s="16" t="str">
        <f t="shared" si="2141"/>
        <v>22-Oct-1912</v>
      </c>
      <c r="Q5068" s="16"/>
      <c r="R5068" s="16" t="str">
        <f t="shared" si="2144"/>
        <v>x</v>
      </c>
      <c r="S5068" s="16" t="str">
        <f t="shared" si="2144"/>
        <v>x</v>
      </c>
      <c r="T5068" s="12"/>
      <c r="U5068" s="46" t="str">
        <f t="shared" si="2101"/>
        <v/>
      </c>
      <c r="V5068" s="46">
        <f t="shared" si="2101"/>
        <v>8</v>
      </c>
      <c r="W5068" s="46" t="str">
        <f t="shared" si="2101"/>
        <v/>
      </c>
      <c r="X5068" s="46" t="str">
        <f t="shared" si="2101"/>
        <v/>
      </c>
      <c r="Z5068" s="11"/>
    </row>
    <row r="5069" spans="2:26" s="18" customFormat="1" x14ac:dyDescent="0.25">
      <c r="B5069" s="11" t="str">
        <f>CONCATENATE("PTRS","-",LEFT(P5069,2),UPPER(MID(P5069,4,3)),RIGHT(P5069,4))</f>
        <v>PTRS-02OCT1914</v>
      </c>
      <c r="C5069" s="11" t="s">
        <v>846</v>
      </c>
      <c r="D5069" s="11" t="s">
        <v>847</v>
      </c>
      <c r="E5069" s="39" t="s">
        <v>1941</v>
      </c>
      <c r="F5069" s="11" t="s">
        <v>1700</v>
      </c>
      <c r="G5069" s="39" t="s">
        <v>5157</v>
      </c>
      <c r="H5069" s="7">
        <v>0</v>
      </c>
      <c r="I5069" s="7">
        <v>4</v>
      </c>
      <c r="J5069" s="17">
        <v>7</v>
      </c>
      <c r="K5069" s="17"/>
      <c r="L5069" s="7">
        <f>SUM(H5069:K5069)</f>
        <v>11</v>
      </c>
      <c r="M5069" s="8">
        <v>1</v>
      </c>
      <c r="N5069" s="8">
        <f>IF(L5069&gt;0,1,"")</f>
        <v>1</v>
      </c>
      <c r="O5069" s="11" t="s">
        <v>1702</v>
      </c>
      <c r="P5069" s="16" t="str">
        <f>IF(LEN(G5069)=10,CONCATENATE("0",G5069),G5069)</f>
        <v>02-Oct-1914</v>
      </c>
      <c r="Q5069" s="16"/>
      <c r="R5069" s="16" t="str">
        <f t="shared" si="2144"/>
        <v>x</v>
      </c>
      <c r="S5069" s="16" t="str">
        <f t="shared" si="2144"/>
        <v>x</v>
      </c>
      <c r="T5069" s="12"/>
      <c r="U5069" s="46" t="str">
        <f t="shared" ref="U5069:X5072" si="2146">IF($O5069=U$5,$L5069,"")</f>
        <v/>
      </c>
      <c r="V5069" s="46">
        <f t="shared" si="2146"/>
        <v>11</v>
      </c>
      <c r="W5069" s="46" t="str">
        <f t="shared" si="2146"/>
        <v/>
      </c>
      <c r="X5069" s="46" t="str">
        <f t="shared" si="2146"/>
        <v/>
      </c>
      <c r="Z5069" s="11"/>
    </row>
    <row r="5070" spans="2:26" s="18" customFormat="1" x14ac:dyDescent="0.25">
      <c r="B5070" s="11" t="str">
        <f>CONCATENATE("PTRS","-",LEFT(P5070,2),UPPER(MID(P5070,4,3)),RIGHT(P5070,4))</f>
        <v>PTRS-07JAN1916</v>
      </c>
      <c r="C5070" s="11" t="s">
        <v>846</v>
      </c>
      <c r="D5070" s="11" t="s">
        <v>847</v>
      </c>
      <c r="E5070" s="39" t="s">
        <v>3182</v>
      </c>
      <c r="F5070" s="11" t="s">
        <v>1700</v>
      </c>
      <c r="G5070" s="39" t="s">
        <v>5639</v>
      </c>
      <c r="H5070" s="7">
        <v>0</v>
      </c>
      <c r="I5070" s="7">
        <v>0</v>
      </c>
      <c r="J5070" s="17">
        <v>8</v>
      </c>
      <c r="K5070" s="17"/>
      <c r="L5070" s="7">
        <f>SUM(H5070:K5070)</f>
        <v>8</v>
      </c>
      <c r="M5070" s="8">
        <v>1</v>
      </c>
      <c r="N5070" s="8">
        <f>IF(L5070&gt;0,1,"")</f>
        <v>1</v>
      </c>
      <c r="O5070" s="11" t="s">
        <v>1702</v>
      </c>
      <c r="P5070" s="16" t="str">
        <f>IF(LEN(G5070)=10,CONCATENATE("0",G5070),G5070)</f>
        <v>07-Jan-1916</v>
      </c>
      <c r="Q5070" s="16"/>
      <c r="R5070" s="16" t="str">
        <f t="shared" si="2144"/>
        <v>x</v>
      </c>
      <c r="S5070" s="16" t="str">
        <f t="shared" si="2144"/>
        <v>x</v>
      </c>
      <c r="T5070" s="12"/>
      <c r="U5070" s="46" t="str">
        <f t="shared" si="2146"/>
        <v/>
      </c>
      <c r="V5070" s="46">
        <f t="shared" si="2146"/>
        <v>8</v>
      </c>
      <c r="W5070" s="46" t="str">
        <f t="shared" si="2146"/>
        <v/>
      </c>
      <c r="X5070" s="46" t="str">
        <f t="shared" si="2146"/>
        <v/>
      </c>
      <c r="Z5070" s="11"/>
    </row>
    <row r="5071" spans="2:26" s="18" customFormat="1" x14ac:dyDescent="0.25">
      <c r="B5071" s="11" t="str">
        <f>CONCATENATE("PTRS","-",LEFT(P5071,2),UPPER(MID(P5071,4,3)),RIGHT(P5071,4))</f>
        <v>PTRS-08SEP1920</v>
      </c>
      <c r="C5071" s="11" t="s">
        <v>846</v>
      </c>
      <c r="D5071" s="11" t="s">
        <v>847</v>
      </c>
      <c r="E5071" s="39" t="s">
        <v>4662</v>
      </c>
      <c r="F5071" s="11" t="s">
        <v>1700</v>
      </c>
      <c r="G5071" s="39" t="s">
        <v>2572</v>
      </c>
      <c r="H5071" s="7">
        <v>0</v>
      </c>
      <c r="I5071" s="7">
        <v>0</v>
      </c>
      <c r="J5071" s="17">
        <v>52</v>
      </c>
      <c r="K5071" s="17"/>
      <c r="L5071" s="7">
        <f>SUM(H5071:K5071)</f>
        <v>52</v>
      </c>
      <c r="M5071" s="8">
        <v>1</v>
      </c>
      <c r="N5071" s="8">
        <f>IF(L5071&gt;0,1,"")</f>
        <v>1</v>
      </c>
      <c r="O5071" s="11" t="s">
        <v>1702</v>
      </c>
      <c r="P5071" s="16" t="str">
        <f>IF(LEN(G5071)=10,CONCATENATE("0",G5071),G5071)</f>
        <v>08-Sep-1920</v>
      </c>
      <c r="Q5071" s="16"/>
      <c r="R5071" s="16" t="str">
        <f t="shared" si="2144"/>
        <v>x</v>
      </c>
      <c r="S5071" s="16" t="str">
        <f t="shared" si="2144"/>
        <v>x</v>
      </c>
      <c r="T5071" s="12"/>
      <c r="U5071" s="46" t="str">
        <f t="shared" si="2146"/>
        <v/>
      </c>
      <c r="V5071" s="46">
        <f t="shared" si="2146"/>
        <v>52</v>
      </c>
      <c r="W5071" s="46" t="str">
        <f t="shared" si="2146"/>
        <v/>
      </c>
      <c r="X5071" s="46" t="str">
        <f t="shared" si="2146"/>
        <v/>
      </c>
      <c r="Z5071" s="11"/>
    </row>
    <row r="5072" spans="2:26" s="18" customFormat="1" x14ac:dyDescent="0.25">
      <c r="B5072" s="11" t="str">
        <f t="shared" si="2138"/>
        <v>PTRS-02NOV1920</v>
      </c>
      <c r="C5072" s="11" t="s">
        <v>846</v>
      </c>
      <c r="D5072" s="11" t="s">
        <v>847</v>
      </c>
      <c r="E5072" s="39" t="s">
        <v>4655</v>
      </c>
      <c r="F5072" s="11" t="s">
        <v>1700</v>
      </c>
      <c r="G5072" s="39" t="s">
        <v>2806</v>
      </c>
      <c r="H5072" s="7">
        <v>0</v>
      </c>
      <c r="I5072" s="7">
        <v>18</v>
      </c>
      <c r="J5072" s="17">
        <v>75</v>
      </c>
      <c r="K5072" s="17"/>
      <c r="L5072" s="7">
        <f t="shared" si="2139"/>
        <v>93</v>
      </c>
      <c r="M5072" s="8">
        <v>1</v>
      </c>
      <c r="N5072" s="8">
        <f t="shared" si="2140"/>
        <v>1</v>
      </c>
      <c r="O5072" s="11" t="s">
        <v>1702</v>
      </c>
      <c r="P5072" s="16" t="str">
        <f t="shared" si="2141"/>
        <v>02-Nov-1920</v>
      </c>
      <c r="Q5072" s="16"/>
      <c r="R5072" s="16" t="str">
        <f t="shared" si="2144"/>
        <v>x</v>
      </c>
      <c r="S5072" s="16" t="str">
        <f t="shared" si="2144"/>
        <v>x</v>
      </c>
      <c r="T5072" s="12"/>
      <c r="U5072" s="46" t="str">
        <f t="shared" si="2146"/>
        <v/>
      </c>
      <c r="V5072" s="46">
        <f t="shared" si="2146"/>
        <v>93</v>
      </c>
      <c r="W5072" s="46" t="str">
        <f t="shared" si="2146"/>
        <v/>
      </c>
      <c r="X5072" s="46" t="str">
        <f t="shared" si="2146"/>
        <v/>
      </c>
      <c r="Z5072" s="11"/>
    </row>
    <row r="5073" spans="2:26" s="18" customFormat="1" x14ac:dyDescent="0.25">
      <c r="B5073" s="11" t="str">
        <f t="shared" si="2138"/>
        <v>PTRS-27DEC1920</v>
      </c>
      <c r="C5073" s="11" t="s">
        <v>846</v>
      </c>
      <c r="D5073" s="11" t="s">
        <v>847</v>
      </c>
      <c r="E5073" s="39" t="s">
        <v>4164</v>
      </c>
      <c r="F5073" s="11" t="s">
        <v>1700</v>
      </c>
      <c r="G5073" s="39" t="s">
        <v>4165</v>
      </c>
      <c r="H5073" s="7">
        <v>0</v>
      </c>
      <c r="I5073" s="7">
        <v>9</v>
      </c>
      <c r="J5073" s="17">
        <f>94+4</f>
        <v>98</v>
      </c>
      <c r="K5073" s="17"/>
      <c r="L5073" s="7">
        <f t="shared" si="2139"/>
        <v>107</v>
      </c>
      <c r="M5073" s="8">
        <v>1</v>
      </c>
      <c r="N5073" s="8">
        <f t="shared" si="2140"/>
        <v>1</v>
      </c>
      <c r="O5073" s="11" t="s">
        <v>1702</v>
      </c>
      <c r="P5073" s="16" t="str">
        <f t="shared" si="2141"/>
        <v>27-Dec-1920</v>
      </c>
      <c r="Q5073" s="16"/>
      <c r="R5073" s="16" t="str">
        <f t="shared" si="2144"/>
        <v>x</v>
      </c>
      <c r="S5073" s="16" t="str">
        <f t="shared" si="2144"/>
        <v>x</v>
      </c>
      <c r="T5073" s="12"/>
      <c r="U5073" s="46" t="str">
        <f t="shared" si="2101"/>
        <v/>
      </c>
      <c r="V5073" s="46">
        <f t="shared" si="2101"/>
        <v>107</v>
      </c>
      <c r="W5073" s="46" t="str">
        <f t="shared" si="2101"/>
        <v/>
      </c>
      <c r="X5073" s="46" t="str">
        <f t="shared" si="2101"/>
        <v/>
      </c>
      <c r="Z5073" s="11"/>
    </row>
    <row r="5074" spans="2:26" s="18" customFormat="1" x14ac:dyDescent="0.25">
      <c r="B5074" s="11"/>
      <c r="C5074" s="11"/>
      <c r="D5074" s="11"/>
      <c r="E5074" s="39"/>
      <c r="F5074" s="11"/>
      <c r="G5074" s="39"/>
      <c r="H5074" s="7"/>
      <c r="I5074" s="7"/>
      <c r="J5074" s="7"/>
      <c r="K5074" s="7"/>
      <c r="L5074" s="7"/>
      <c r="M5074" s="8"/>
      <c r="N5074" s="8" t="str">
        <f>IF(R5074="x",1,"")</f>
        <v/>
      </c>
      <c r="O5074" s="11"/>
      <c r="P5074" s="16"/>
      <c r="Q5074" s="16"/>
      <c r="R5074" s="16"/>
      <c r="S5074" s="16"/>
      <c r="T5074" s="12"/>
      <c r="U5074" s="46" t="str">
        <f t="shared" si="2101"/>
        <v/>
      </c>
      <c r="V5074" s="46" t="str">
        <f t="shared" si="2101"/>
        <v/>
      </c>
      <c r="W5074" s="46" t="str">
        <f t="shared" si="2101"/>
        <v/>
      </c>
      <c r="X5074" s="46" t="str">
        <f t="shared" si="2101"/>
        <v/>
      </c>
      <c r="Z5074" s="11"/>
    </row>
    <row r="5075" spans="2:26" x14ac:dyDescent="0.25">
      <c r="B5075" s="18"/>
      <c r="C5075" s="18"/>
      <c r="D5075" s="18"/>
      <c r="E5075" s="40"/>
      <c r="F5075" s="18"/>
      <c r="G5075" s="40"/>
      <c r="H5075" s="7">
        <f t="shared" ref="H5075:N5075" si="2147">SUM(H5063:H5074)</f>
        <v>0</v>
      </c>
      <c r="I5075" s="7">
        <f t="shared" si="2147"/>
        <v>36</v>
      </c>
      <c r="J5075" s="7">
        <f>SUM(J5063:J5074)</f>
        <v>316</v>
      </c>
      <c r="K5075" s="7">
        <f t="shared" si="2147"/>
        <v>0</v>
      </c>
      <c r="L5075" s="7">
        <f t="shared" si="2147"/>
        <v>352</v>
      </c>
      <c r="M5075" s="7">
        <f t="shared" si="2147"/>
        <v>11</v>
      </c>
      <c r="N5075" s="7">
        <f t="shared" si="2147"/>
        <v>11</v>
      </c>
      <c r="O5075" s="18"/>
      <c r="P5075" s="13"/>
      <c r="Q5075" s="13"/>
      <c r="S5075" s="13"/>
      <c r="T5075" s="15"/>
      <c r="U5075" s="46" t="str">
        <f t="shared" si="2101"/>
        <v/>
      </c>
      <c r="V5075" s="46" t="str">
        <f t="shared" si="2101"/>
        <v/>
      </c>
      <c r="W5075" s="46" t="str">
        <f t="shared" si="2101"/>
        <v/>
      </c>
      <c r="X5075" s="46" t="str">
        <f t="shared" si="2101"/>
        <v/>
      </c>
    </row>
    <row r="5076" spans="2:26" x14ac:dyDescent="0.25">
      <c r="B5076" s="18"/>
      <c r="C5076" s="18"/>
      <c r="D5076" s="18"/>
      <c r="E5076" s="40"/>
      <c r="F5076" s="18"/>
      <c r="G5076" s="40"/>
      <c r="N5076" s="8" t="str">
        <f>IF(R5076="x",1,"")</f>
        <v/>
      </c>
      <c r="O5076" s="18"/>
      <c r="P5076" s="13"/>
      <c r="Q5076" s="13"/>
      <c r="R5076" s="13"/>
      <c r="S5076" s="13"/>
      <c r="T5076" s="15"/>
      <c r="U5076" s="46" t="str">
        <f t="shared" si="2101"/>
        <v/>
      </c>
      <c r="V5076" s="46" t="str">
        <f t="shared" si="2101"/>
        <v/>
      </c>
      <c r="W5076" s="46" t="str">
        <f t="shared" si="2101"/>
        <v/>
      </c>
      <c r="X5076" s="46" t="str">
        <f t="shared" si="2101"/>
        <v/>
      </c>
    </row>
    <row r="5077" spans="2:26" x14ac:dyDescent="0.25">
      <c r="B5077" s="18"/>
      <c r="C5077" s="18"/>
      <c r="D5077" s="18"/>
      <c r="E5077" s="40"/>
      <c r="F5077" s="18"/>
      <c r="G5077" s="40"/>
      <c r="N5077" s="8" t="str">
        <f>IF(R5077="x",1,"")</f>
        <v/>
      </c>
      <c r="O5077" s="18"/>
      <c r="P5077" s="13"/>
      <c r="Q5077" s="13"/>
      <c r="R5077" s="13"/>
      <c r="S5077" s="13"/>
      <c r="T5077" s="15"/>
      <c r="U5077" s="46" t="str">
        <f t="shared" si="2101"/>
        <v/>
      </c>
      <c r="V5077" s="46" t="str">
        <f t="shared" si="2101"/>
        <v/>
      </c>
      <c r="W5077" s="46" t="str">
        <f t="shared" si="2101"/>
        <v/>
      </c>
      <c r="X5077" s="46" t="str">
        <f t="shared" si="2101"/>
        <v/>
      </c>
    </row>
    <row r="5078" spans="2:26" s="18" customFormat="1" x14ac:dyDescent="0.25">
      <c r="B5078" s="11" t="str">
        <f>CONCATENATE("PENL","-",LEFT(P5078,2),UPPER(MID(P5078,4,3)),RIGHT(P5078,4))</f>
        <v>PENL-15AUG1892</v>
      </c>
      <c r="C5078" s="11" t="s">
        <v>3872</v>
      </c>
      <c r="D5078" s="11" t="s">
        <v>2814</v>
      </c>
      <c r="E5078" s="39"/>
      <c r="F5078" s="11" t="s">
        <v>1700</v>
      </c>
      <c r="G5078" s="39" t="s">
        <v>235</v>
      </c>
      <c r="H5078" s="7"/>
      <c r="I5078" s="7">
        <v>2</v>
      </c>
      <c r="J5078" s="17">
        <v>12</v>
      </c>
      <c r="K5078" s="17"/>
      <c r="L5078" s="7">
        <f>SUM(H5078:K5078)</f>
        <v>14</v>
      </c>
      <c r="M5078" s="8">
        <v>1</v>
      </c>
      <c r="N5078" s="8">
        <f>IF(L5078&gt;0,1,"")</f>
        <v>1</v>
      </c>
      <c r="O5078" s="11" t="s">
        <v>1702</v>
      </c>
      <c r="P5078" s="16" t="str">
        <f>IF(LEN(G5078)=10,CONCATENATE("0",G5078),G5078)</f>
        <v>15-Aug-1892</v>
      </c>
      <c r="Q5078" s="16"/>
      <c r="R5078" s="16" t="str">
        <f>IF($L5078&gt;0,"x","")</f>
        <v>x</v>
      </c>
      <c r="S5078" s="16" t="str">
        <f>IF($L5078&gt;0,"x","")</f>
        <v>x</v>
      </c>
      <c r="T5078" s="12"/>
      <c r="U5078" s="46" t="str">
        <f t="shared" si="2101"/>
        <v/>
      </c>
      <c r="V5078" s="46">
        <f t="shared" si="2101"/>
        <v>14</v>
      </c>
      <c r="W5078" s="46" t="str">
        <f t="shared" si="2101"/>
        <v/>
      </c>
      <c r="X5078" s="46" t="str">
        <f t="shared" si="2101"/>
        <v/>
      </c>
      <c r="Z5078" s="11"/>
    </row>
    <row r="5079" spans="2:26" s="18" customFormat="1" x14ac:dyDescent="0.25">
      <c r="B5079" s="11" t="str">
        <f>CONCATENATE("PENL","-",LEFT(P5079,2),UPPER(MID(P5079,4,3)),RIGHT(P5079,4))</f>
        <v>PENL-13SEP1896</v>
      </c>
      <c r="C5079" s="11" t="s">
        <v>3872</v>
      </c>
      <c r="D5079" s="11" t="s">
        <v>2097</v>
      </c>
      <c r="E5079" s="39" t="s">
        <v>6074</v>
      </c>
      <c r="F5079" s="11" t="s">
        <v>3039</v>
      </c>
      <c r="G5079" s="39" t="s">
        <v>6075</v>
      </c>
      <c r="H5079" s="7"/>
      <c r="I5079" s="7"/>
      <c r="J5079" s="17">
        <v>2</v>
      </c>
      <c r="K5079" s="17"/>
      <c r="L5079" s="7">
        <f>SUM(H5079:K5079)</f>
        <v>2</v>
      </c>
      <c r="M5079" s="8">
        <v>1</v>
      </c>
      <c r="N5079" s="8">
        <f>IF(L5079&gt;0,1,"")</f>
        <v>1</v>
      </c>
      <c r="O5079" s="11" t="s">
        <v>1702</v>
      </c>
      <c r="P5079" s="16" t="str">
        <f>IF(LEN(G5079)=10,CONCATENATE("0",G5079),G5079)</f>
        <v>13-Sep-1896</v>
      </c>
      <c r="Q5079" s="16"/>
      <c r="R5079" s="16" t="str">
        <f>IF($L5079&gt;0,"x","")</f>
        <v>x</v>
      </c>
      <c r="S5079" s="16" t="str">
        <f>IF($L5079&gt;0,"x","")</f>
        <v>x</v>
      </c>
      <c r="T5079" s="12"/>
      <c r="U5079" s="46" t="str">
        <f>IF($O5079=U$5,$L5079,"")</f>
        <v/>
      </c>
      <c r="V5079" s="46">
        <f>IF($O5079=V$5,$L5079,"")</f>
        <v>2</v>
      </c>
      <c r="W5079" s="46" t="str">
        <f>IF($O5079=W$5,$L5079,"")</f>
        <v/>
      </c>
      <c r="X5079" s="46" t="str">
        <f>IF($O5079=X$5,$L5079,"")</f>
        <v/>
      </c>
      <c r="Z5079" s="11"/>
    </row>
    <row r="5080" spans="2:26" s="18" customFormat="1" x14ac:dyDescent="0.25">
      <c r="B5080" s="11"/>
      <c r="C5080" s="11"/>
      <c r="D5080" s="11"/>
      <c r="E5080" s="39"/>
      <c r="F5080" s="11"/>
      <c r="G5080" s="39"/>
      <c r="H5080" s="7"/>
      <c r="I5080" s="7"/>
      <c r="J5080" s="7"/>
      <c r="K5080" s="7"/>
      <c r="L5080" s="7"/>
      <c r="M5080" s="8"/>
      <c r="N5080" s="8" t="str">
        <f>IF(R5080="x",1,"")</f>
        <v/>
      </c>
      <c r="O5080" s="11"/>
      <c r="P5080" s="16"/>
      <c r="Q5080" s="16"/>
      <c r="R5080" s="16"/>
      <c r="S5080" s="16"/>
      <c r="T5080" s="12"/>
      <c r="U5080" s="46" t="str">
        <f t="shared" si="2101"/>
        <v/>
      </c>
      <c r="V5080" s="46" t="str">
        <f t="shared" si="2101"/>
        <v/>
      </c>
      <c r="W5080" s="46" t="str">
        <f t="shared" si="2101"/>
        <v/>
      </c>
      <c r="X5080" s="46" t="str">
        <f t="shared" si="2101"/>
        <v/>
      </c>
      <c r="Z5080" s="11"/>
    </row>
    <row r="5081" spans="2:26" x14ac:dyDescent="0.25">
      <c r="B5081" s="18"/>
      <c r="C5081" s="18"/>
      <c r="D5081" s="18"/>
      <c r="E5081" s="40"/>
      <c r="F5081" s="18"/>
      <c r="G5081" s="40"/>
      <c r="H5081" s="7">
        <f t="shared" ref="H5081:N5081" si="2148">SUM(H5078:H5080)</f>
        <v>0</v>
      </c>
      <c r="I5081" s="7">
        <f t="shared" si="2148"/>
        <v>2</v>
      </c>
      <c r="J5081" s="7">
        <f>SUM(J5078:J5080)</f>
        <v>14</v>
      </c>
      <c r="K5081" s="7">
        <f t="shared" si="2148"/>
        <v>0</v>
      </c>
      <c r="L5081" s="7">
        <f t="shared" si="2148"/>
        <v>16</v>
      </c>
      <c r="M5081" s="7">
        <f t="shared" si="2148"/>
        <v>2</v>
      </c>
      <c r="N5081" s="7">
        <f t="shared" si="2148"/>
        <v>2</v>
      </c>
      <c r="O5081" s="18"/>
      <c r="P5081" s="13"/>
      <c r="Q5081" s="13"/>
      <c r="S5081" s="13"/>
      <c r="T5081" s="15"/>
      <c r="U5081" s="46" t="str">
        <f t="shared" si="2101"/>
        <v/>
      </c>
      <c r="V5081" s="46" t="str">
        <f t="shared" si="2101"/>
        <v/>
      </c>
      <c r="W5081" s="46" t="str">
        <f t="shared" si="2101"/>
        <v/>
      </c>
      <c r="X5081" s="46" t="str">
        <f t="shared" si="2101"/>
        <v/>
      </c>
    </row>
    <row r="5082" spans="2:26" x14ac:dyDescent="0.25">
      <c r="B5082" s="18"/>
      <c r="C5082" s="18"/>
      <c r="D5082" s="18"/>
      <c r="E5082" s="40"/>
      <c r="F5082" s="18"/>
      <c r="G5082" s="40"/>
      <c r="N5082" s="8" t="str">
        <f>IF(R5082="x",1,"")</f>
        <v/>
      </c>
      <c r="O5082" s="18"/>
      <c r="P5082" s="13"/>
      <c r="Q5082" s="13"/>
      <c r="R5082" s="13"/>
      <c r="S5082" s="13"/>
      <c r="T5082" s="15"/>
      <c r="U5082" s="46" t="str">
        <f t="shared" si="2101"/>
        <v/>
      </c>
      <c r="V5082" s="46" t="str">
        <f t="shared" si="2101"/>
        <v/>
      </c>
      <c r="W5082" s="46" t="str">
        <f t="shared" si="2101"/>
        <v/>
      </c>
      <c r="X5082" s="46" t="str">
        <f t="shared" si="2101"/>
        <v/>
      </c>
    </row>
    <row r="5083" spans="2:26" x14ac:dyDescent="0.25">
      <c r="B5083" s="18"/>
      <c r="C5083" s="18"/>
      <c r="D5083" s="18"/>
      <c r="E5083" s="40"/>
      <c r="F5083" s="18"/>
      <c r="G5083" s="40"/>
      <c r="N5083" s="8" t="str">
        <f>IF(R5083="x",1,"")</f>
        <v/>
      </c>
      <c r="O5083" s="18"/>
      <c r="P5083" s="13"/>
      <c r="Q5083" s="13"/>
      <c r="R5083" s="13"/>
      <c r="S5083" s="13"/>
      <c r="T5083" s="15"/>
      <c r="U5083" s="46" t="str">
        <f t="shared" si="2101"/>
        <v/>
      </c>
      <c r="V5083" s="46" t="str">
        <f t="shared" si="2101"/>
        <v/>
      </c>
      <c r="W5083" s="46" t="str">
        <f t="shared" si="2101"/>
        <v/>
      </c>
      <c r="X5083" s="46" t="str">
        <f t="shared" si="2101"/>
        <v/>
      </c>
    </row>
    <row r="5084" spans="2:26" x14ac:dyDescent="0.25">
      <c r="B5084" s="11" t="str">
        <f t="shared" ref="B5084:B5114" si="2149">CONCATENATE("PENN","-",LEFT(P5084,2),UPPER(MID(P5084,4,3)),RIGHT(P5084,4))</f>
        <v>PENN-14JUL1899</v>
      </c>
      <c r="C5084" s="11" t="s">
        <v>966</v>
      </c>
      <c r="D5084" s="11" t="s">
        <v>2103</v>
      </c>
      <c r="E5084" s="39" t="s">
        <v>5737</v>
      </c>
      <c r="F5084" s="11" t="s">
        <v>1700</v>
      </c>
      <c r="G5084" s="39" t="s">
        <v>5738</v>
      </c>
      <c r="J5084" s="17">
        <v>2</v>
      </c>
      <c r="K5084" s="17"/>
      <c r="L5084" s="7">
        <f t="shared" ref="L5084:L5114" si="2150">SUM(H5084:K5084)</f>
        <v>2</v>
      </c>
      <c r="M5084" s="8">
        <v>1</v>
      </c>
      <c r="N5084" s="8">
        <f t="shared" ref="N5084:N5114" si="2151">IF(L5084&gt;0,1,"")</f>
        <v>1</v>
      </c>
      <c r="O5084" s="11" t="s">
        <v>1702</v>
      </c>
      <c r="P5084" s="16" t="str">
        <f t="shared" ref="P5084:P5114" si="2152">IF(LEN(G5084)=10,CONCATENATE("0",G5084),G5084)</f>
        <v>14-Jul-1899</v>
      </c>
      <c r="R5084" s="16" t="str">
        <f t="shared" ref="R5084:S5087" si="2153">IF($L5084&gt;0,"x","")</f>
        <v>x</v>
      </c>
      <c r="S5084" s="16" t="str">
        <f t="shared" si="2153"/>
        <v>x</v>
      </c>
      <c r="U5084" s="46" t="str">
        <f t="shared" si="2101"/>
        <v/>
      </c>
      <c r="V5084" s="46">
        <f t="shared" si="2101"/>
        <v>2</v>
      </c>
      <c r="W5084" s="46" t="str">
        <f t="shared" si="2101"/>
        <v/>
      </c>
      <c r="X5084" s="46" t="str">
        <f t="shared" si="2101"/>
        <v/>
      </c>
    </row>
    <row r="5085" spans="2:26" x14ac:dyDescent="0.25">
      <c r="B5085" s="11" t="str">
        <f>CONCATENATE("PENN","-",LEFT(P5085,2),UPPER(MID(P5085,4,3)),RIGHT(P5085,4))</f>
        <v>PENN-13JAN1900</v>
      </c>
      <c r="C5085" s="11" t="s">
        <v>966</v>
      </c>
      <c r="D5085" s="11" t="s">
        <v>2103</v>
      </c>
      <c r="E5085" s="39" t="s">
        <v>587</v>
      </c>
      <c r="F5085" s="11" t="s">
        <v>1700</v>
      </c>
      <c r="G5085" s="39" t="s">
        <v>75</v>
      </c>
      <c r="J5085" s="17">
        <v>1</v>
      </c>
      <c r="K5085" s="17"/>
      <c r="L5085" s="7">
        <f>SUM(H5085:K5085)</f>
        <v>1</v>
      </c>
      <c r="M5085" s="8">
        <v>1</v>
      </c>
      <c r="N5085" s="8">
        <f>IF(L5085&gt;0,1,"")</f>
        <v>1</v>
      </c>
      <c r="O5085" s="11" t="s">
        <v>1702</v>
      </c>
      <c r="P5085" s="16" t="str">
        <f>IF(LEN(G5085)=10,CONCATENATE("0",G5085),G5085)</f>
        <v>13-Jan-1900</v>
      </c>
      <c r="R5085" s="16" t="str">
        <f t="shared" si="2153"/>
        <v>x</v>
      </c>
      <c r="S5085" s="16" t="str">
        <f t="shared" si="2153"/>
        <v>x</v>
      </c>
      <c r="U5085" s="46" t="str">
        <f t="shared" ref="U5085:X5086" si="2154">IF($O5085=U$5,$L5085,"")</f>
        <v/>
      </c>
      <c r="V5085" s="46">
        <f t="shared" si="2154"/>
        <v>1</v>
      </c>
      <c r="W5085" s="46" t="str">
        <f t="shared" si="2154"/>
        <v/>
      </c>
      <c r="X5085" s="46" t="str">
        <f t="shared" si="2154"/>
        <v/>
      </c>
    </row>
    <row r="5086" spans="2:26" x14ac:dyDescent="0.25">
      <c r="B5086" s="11" t="str">
        <f>CONCATENATE("PENN","-",LEFT(P5086,2),UPPER(MID(P5086,4,3)),RIGHT(P5086,4))</f>
        <v>PENN-25MAY1900</v>
      </c>
      <c r="C5086" s="11" t="s">
        <v>966</v>
      </c>
      <c r="D5086" s="11" t="s">
        <v>2103</v>
      </c>
      <c r="E5086" s="39" t="s">
        <v>490</v>
      </c>
      <c r="F5086" s="11" t="s">
        <v>1700</v>
      </c>
      <c r="G5086" s="39" t="s">
        <v>5147</v>
      </c>
      <c r="J5086" s="17">
        <v>9</v>
      </c>
      <c r="K5086" s="17"/>
      <c r="L5086" s="7">
        <f>SUM(H5086:K5086)</f>
        <v>9</v>
      </c>
      <c r="M5086" s="8">
        <v>1</v>
      </c>
      <c r="N5086" s="8">
        <f>IF(L5086&gt;0,1,"")</f>
        <v>1</v>
      </c>
      <c r="O5086" s="11" t="s">
        <v>1702</v>
      </c>
      <c r="P5086" s="16" t="str">
        <f>IF(LEN(G5086)=10,CONCATENATE("0",G5086),G5086)</f>
        <v>25-May-1900</v>
      </c>
      <c r="R5086" s="16" t="str">
        <f t="shared" si="2153"/>
        <v>x</v>
      </c>
      <c r="S5086" s="16" t="str">
        <f t="shared" si="2153"/>
        <v>x</v>
      </c>
      <c r="U5086" s="46" t="str">
        <f t="shared" si="2154"/>
        <v/>
      </c>
      <c r="V5086" s="46">
        <f t="shared" si="2154"/>
        <v>9</v>
      </c>
      <c r="W5086" s="46" t="str">
        <f t="shared" si="2154"/>
        <v/>
      </c>
      <c r="X5086" s="46" t="str">
        <f t="shared" si="2154"/>
        <v/>
      </c>
    </row>
    <row r="5087" spans="2:26" x14ac:dyDescent="0.25">
      <c r="B5087" s="11" t="str">
        <f t="shared" si="2149"/>
        <v>PENN-06JUL1900</v>
      </c>
      <c r="C5087" s="11" t="s">
        <v>966</v>
      </c>
      <c r="D5087" s="11" t="s">
        <v>2103</v>
      </c>
      <c r="E5087" s="39" t="s">
        <v>5037</v>
      </c>
      <c r="F5087" s="11" t="s">
        <v>1700</v>
      </c>
      <c r="G5087" s="39" t="s">
        <v>5038</v>
      </c>
      <c r="J5087" s="17">
        <v>17</v>
      </c>
      <c r="K5087" s="17"/>
      <c r="L5087" s="7">
        <f t="shared" si="2150"/>
        <v>17</v>
      </c>
      <c r="M5087" s="8">
        <v>1</v>
      </c>
      <c r="N5087" s="8">
        <f t="shared" si="2151"/>
        <v>1</v>
      </c>
      <c r="O5087" s="11" t="s">
        <v>1702</v>
      </c>
      <c r="P5087" s="16" t="str">
        <f t="shared" si="2152"/>
        <v>06-Jul-1900</v>
      </c>
      <c r="R5087" s="16" t="str">
        <f t="shared" si="2153"/>
        <v>x</v>
      </c>
      <c r="S5087" s="16" t="str">
        <f t="shared" si="2153"/>
        <v>x</v>
      </c>
      <c r="U5087" s="46" t="str">
        <f t="shared" ref="U5087:X5088" si="2155">IF($O5087=U$5,$L5087,"")</f>
        <v/>
      </c>
      <c r="V5087" s="46">
        <f t="shared" si="2155"/>
        <v>17</v>
      </c>
      <c r="W5087" s="46" t="str">
        <f t="shared" si="2155"/>
        <v/>
      </c>
      <c r="X5087" s="46" t="str">
        <f t="shared" si="2155"/>
        <v/>
      </c>
    </row>
    <row r="5088" spans="2:26" x14ac:dyDescent="0.25">
      <c r="B5088" s="11" t="str">
        <f t="shared" si="2149"/>
        <v>PENN-27SEP1900</v>
      </c>
      <c r="C5088" s="11" t="s">
        <v>966</v>
      </c>
      <c r="D5088" s="11" t="s">
        <v>2103</v>
      </c>
      <c r="E5088" s="39" t="s">
        <v>3351</v>
      </c>
      <c r="F5088" s="11" t="s">
        <v>1700</v>
      </c>
      <c r="G5088" s="39" t="s">
        <v>3443</v>
      </c>
      <c r="J5088" s="17">
        <v>13</v>
      </c>
      <c r="K5088" s="17"/>
      <c r="L5088" s="7">
        <f t="shared" si="2150"/>
        <v>13</v>
      </c>
      <c r="M5088" s="8">
        <v>1</v>
      </c>
      <c r="N5088" s="8">
        <f t="shared" si="2151"/>
        <v>1</v>
      </c>
      <c r="O5088" s="11" t="s">
        <v>1702</v>
      </c>
      <c r="P5088" s="16" t="str">
        <f t="shared" si="2152"/>
        <v>27-Sep-1900</v>
      </c>
      <c r="R5088" s="16" t="str">
        <f t="shared" ref="R5088:S5105" si="2156">IF($L5088&gt;0,"x","")</f>
        <v>x</v>
      </c>
      <c r="S5088" s="16" t="str">
        <f t="shared" si="2156"/>
        <v>x</v>
      </c>
      <c r="U5088" s="46" t="str">
        <f t="shared" si="2155"/>
        <v/>
      </c>
      <c r="V5088" s="46">
        <f t="shared" si="2155"/>
        <v>13</v>
      </c>
      <c r="W5088" s="46" t="str">
        <f t="shared" si="2155"/>
        <v/>
      </c>
      <c r="X5088" s="46" t="str">
        <f t="shared" si="2155"/>
        <v/>
      </c>
    </row>
    <row r="5089" spans="2:24" x14ac:dyDescent="0.25">
      <c r="B5089" s="11" t="str">
        <f t="shared" si="2149"/>
        <v>PENN-10NOV1900</v>
      </c>
      <c r="C5089" s="11" t="s">
        <v>966</v>
      </c>
      <c r="D5089" s="11" t="s">
        <v>2103</v>
      </c>
      <c r="E5089" s="39" t="s">
        <v>4079</v>
      </c>
      <c r="F5089" s="11" t="s">
        <v>1700</v>
      </c>
      <c r="G5089" s="39" t="s">
        <v>2489</v>
      </c>
      <c r="J5089" s="17">
        <v>75</v>
      </c>
      <c r="K5089" s="17"/>
      <c r="L5089" s="7">
        <f t="shared" si="2150"/>
        <v>75</v>
      </c>
      <c r="M5089" s="8">
        <v>1</v>
      </c>
      <c r="N5089" s="8">
        <f t="shared" si="2151"/>
        <v>1</v>
      </c>
      <c r="O5089" s="11" t="s">
        <v>1702</v>
      </c>
      <c r="P5089" s="16" t="str">
        <f t="shared" si="2152"/>
        <v>10-Nov-1900</v>
      </c>
      <c r="R5089" s="16" t="str">
        <f t="shared" si="2156"/>
        <v>x</v>
      </c>
      <c r="S5089" s="16" t="str">
        <f t="shared" si="2156"/>
        <v>x</v>
      </c>
      <c r="U5089" s="46" t="str">
        <f t="shared" si="2101"/>
        <v/>
      </c>
      <c r="V5089" s="46">
        <f t="shared" si="2101"/>
        <v>75</v>
      </c>
      <c r="W5089" s="46" t="str">
        <f t="shared" si="2101"/>
        <v/>
      </c>
      <c r="X5089" s="46" t="str">
        <f t="shared" si="2101"/>
        <v/>
      </c>
    </row>
    <row r="5090" spans="2:24" x14ac:dyDescent="0.25">
      <c r="B5090" s="11" t="str">
        <f>CONCATENATE("PENN","-",LEFT(P5090,2),UPPER(MID(P5090,4,3)),RIGHT(P5090,4))</f>
        <v>PENN-23DEC1900</v>
      </c>
      <c r="C5090" s="11" t="s">
        <v>966</v>
      </c>
      <c r="D5090" s="11" t="s">
        <v>2103</v>
      </c>
      <c r="E5090" s="39" t="s">
        <v>5990</v>
      </c>
      <c r="F5090" s="11" t="s">
        <v>1700</v>
      </c>
      <c r="G5090" s="39" t="s">
        <v>5991</v>
      </c>
      <c r="J5090" s="17">
        <v>36</v>
      </c>
      <c r="K5090" s="17"/>
      <c r="L5090" s="7">
        <f>SUM(H5090:K5090)</f>
        <v>36</v>
      </c>
      <c r="M5090" s="8">
        <v>1</v>
      </c>
      <c r="N5090" s="8">
        <f>IF(L5090&gt;0,1,"")</f>
        <v>1</v>
      </c>
      <c r="O5090" s="11" t="s">
        <v>1702</v>
      </c>
      <c r="P5090" s="16" t="str">
        <f>IF(LEN(G5090)=10,CONCATENATE("0",G5090),G5090)</f>
        <v>23-Dec-1900</v>
      </c>
      <c r="R5090" s="16" t="str">
        <f t="shared" si="2156"/>
        <v>x</v>
      </c>
      <c r="S5090" s="16" t="str">
        <f t="shared" si="2156"/>
        <v>x</v>
      </c>
      <c r="U5090" s="46" t="str">
        <f>IF($O5090=U$5,$L5090,"")</f>
        <v/>
      </c>
      <c r="V5090" s="46">
        <f>IF($O5090=V$5,$L5090,"")</f>
        <v>36</v>
      </c>
      <c r="W5090" s="46" t="str">
        <f>IF($O5090=W$5,$L5090,"")</f>
        <v/>
      </c>
      <c r="X5090" s="46" t="str">
        <f>IF($O5090=X$5,$L5090,"")</f>
        <v/>
      </c>
    </row>
    <row r="5091" spans="2:24" x14ac:dyDescent="0.25">
      <c r="B5091" s="11" t="str">
        <f t="shared" si="2149"/>
        <v>PENN-22MAR1901</v>
      </c>
      <c r="C5091" s="11" t="s">
        <v>966</v>
      </c>
      <c r="D5091" s="11" t="s">
        <v>2103</v>
      </c>
      <c r="E5091" s="39" t="s">
        <v>3554</v>
      </c>
      <c r="F5091" s="11" t="s">
        <v>1700</v>
      </c>
      <c r="G5091" s="39" t="s">
        <v>3555</v>
      </c>
      <c r="J5091" s="17">
        <v>5</v>
      </c>
      <c r="K5091" s="17"/>
      <c r="L5091" s="7">
        <f t="shared" si="2150"/>
        <v>5</v>
      </c>
      <c r="M5091" s="8">
        <v>1</v>
      </c>
      <c r="N5091" s="8">
        <f t="shared" si="2151"/>
        <v>1</v>
      </c>
      <c r="O5091" s="11" t="s">
        <v>1702</v>
      </c>
      <c r="P5091" s="16" t="str">
        <f t="shared" si="2152"/>
        <v>22-Mar-1901</v>
      </c>
      <c r="R5091" s="16" t="str">
        <f t="shared" si="2156"/>
        <v>x</v>
      </c>
      <c r="S5091" s="16" t="str">
        <f t="shared" si="2156"/>
        <v>x</v>
      </c>
      <c r="U5091" s="46" t="str">
        <f t="shared" si="2101"/>
        <v/>
      </c>
      <c r="V5091" s="46">
        <f t="shared" si="2101"/>
        <v>5</v>
      </c>
      <c r="W5091" s="46" t="str">
        <f t="shared" si="2101"/>
        <v/>
      </c>
      <c r="X5091" s="46" t="str">
        <f t="shared" si="2101"/>
        <v/>
      </c>
    </row>
    <row r="5092" spans="2:24" x14ac:dyDescent="0.25">
      <c r="B5092" s="11" t="str">
        <f>CONCATENATE("PENN","-",LEFT(P5092,2),UPPER(MID(P5092,4,3)),RIGHT(P5092,4))</f>
        <v>PENN-21JUN1901</v>
      </c>
      <c r="C5092" s="11" t="s">
        <v>966</v>
      </c>
      <c r="D5092" s="11" t="s">
        <v>2103</v>
      </c>
      <c r="E5092" s="39" t="s">
        <v>3339</v>
      </c>
      <c r="F5092" s="11" t="s">
        <v>1700</v>
      </c>
      <c r="G5092" s="39" t="s">
        <v>1681</v>
      </c>
      <c r="J5092" s="17">
        <v>5</v>
      </c>
      <c r="K5092" s="17"/>
      <c r="L5092" s="7">
        <f>SUM(H5092:K5092)</f>
        <v>5</v>
      </c>
      <c r="M5092" s="8">
        <v>1</v>
      </c>
      <c r="N5092" s="8">
        <f>IF(L5092&gt;0,1,"")</f>
        <v>1</v>
      </c>
      <c r="O5092" s="11" t="s">
        <v>1702</v>
      </c>
      <c r="P5092" s="16" t="str">
        <f>IF(LEN(G5092)=10,CONCATENATE("0",G5092),G5092)</f>
        <v>21-Jun-1901</v>
      </c>
      <c r="R5092" s="16" t="str">
        <f t="shared" si="2156"/>
        <v>x</v>
      </c>
      <c r="S5092" s="16" t="str">
        <f t="shared" si="2156"/>
        <v>x</v>
      </c>
      <c r="U5092" s="46" t="str">
        <f t="shared" ref="U5092:X5100" si="2157">IF($O5092=U$5,$L5092,"")</f>
        <v/>
      </c>
      <c r="V5092" s="46">
        <f t="shared" si="2157"/>
        <v>5</v>
      </c>
      <c r="W5092" s="46" t="str">
        <f t="shared" si="2157"/>
        <v/>
      </c>
      <c r="X5092" s="46" t="str">
        <f t="shared" si="2157"/>
        <v/>
      </c>
    </row>
    <row r="5093" spans="2:24" x14ac:dyDescent="0.25">
      <c r="B5093" s="11" t="str">
        <f t="shared" si="2149"/>
        <v>PENN-02AUG1901</v>
      </c>
      <c r="C5093" s="11" t="s">
        <v>966</v>
      </c>
      <c r="D5093" s="11" t="s">
        <v>2103</v>
      </c>
      <c r="E5093" s="39" t="s">
        <v>2580</v>
      </c>
      <c r="F5093" s="11" t="s">
        <v>1700</v>
      </c>
      <c r="G5093" s="39" t="s">
        <v>5064</v>
      </c>
      <c r="J5093" s="17">
        <v>4</v>
      </c>
      <c r="K5093" s="17"/>
      <c r="L5093" s="7">
        <f t="shared" si="2150"/>
        <v>4</v>
      </c>
      <c r="M5093" s="8">
        <v>1</v>
      </c>
      <c r="N5093" s="8">
        <f t="shared" si="2151"/>
        <v>1</v>
      </c>
      <c r="O5093" s="11" t="s">
        <v>1702</v>
      </c>
      <c r="P5093" s="16" t="str">
        <f t="shared" si="2152"/>
        <v>02-Aug-1901</v>
      </c>
      <c r="R5093" s="16" t="str">
        <f t="shared" ref="R5093:S5100" si="2158">IF($L5093&gt;0,"x","")</f>
        <v>x</v>
      </c>
      <c r="S5093" s="16" t="str">
        <f t="shared" si="2158"/>
        <v>x</v>
      </c>
      <c r="U5093" s="46" t="str">
        <f t="shared" si="2157"/>
        <v/>
      </c>
      <c r="V5093" s="46">
        <f t="shared" si="2157"/>
        <v>4</v>
      </c>
      <c r="W5093" s="46" t="str">
        <f t="shared" si="2157"/>
        <v/>
      </c>
      <c r="X5093" s="46" t="str">
        <f t="shared" si="2157"/>
        <v/>
      </c>
    </row>
    <row r="5094" spans="2:24" x14ac:dyDescent="0.25">
      <c r="B5094" s="11" t="str">
        <f>CONCATENATE("PENN","-",LEFT(P5094,2),UPPER(MID(P5094,4,3)),RIGHT(P5094,4))</f>
        <v>PENN-12SEP1901</v>
      </c>
      <c r="C5094" s="11" t="s">
        <v>966</v>
      </c>
      <c r="D5094" s="11" t="s">
        <v>2103</v>
      </c>
      <c r="E5094" s="39" t="s">
        <v>6052</v>
      </c>
      <c r="F5094" s="11" t="s">
        <v>1700</v>
      </c>
      <c r="G5094" s="39" t="s">
        <v>6053</v>
      </c>
      <c r="J5094" s="17">
        <v>8</v>
      </c>
      <c r="K5094" s="17"/>
      <c r="L5094" s="7">
        <f>SUM(H5094:K5094)</f>
        <v>8</v>
      </c>
      <c r="M5094" s="8">
        <v>1</v>
      </c>
      <c r="N5094" s="8">
        <f>IF(L5094&gt;0,1,"")</f>
        <v>1</v>
      </c>
      <c r="O5094" s="11" t="s">
        <v>1702</v>
      </c>
      <c r="P5094" s="16" t="str">
        <f>IF(LEN(G5094)=10,CONCATENATE("0",G5094),G5094)</f>
        <v>12-Sep-1901</v>
      </c>
      <c r="R5094" s="16" t="str">
        <f t="shared" si="2158"/>
        <v>x</v>
      </c>
      <c r="S5094" s="16" t="str">
        <f t="shared" si="2158"/>
        <v>x</v>
      </c>
      <c r="U5094" s="46" t="str">
        <f t="shared" si="2157"/>
        <v/>
      </c>
      <c r="V5094" s="46">
        <f t="shared" si="2157"/>
        <v>8</v>
      </c>
      <c r="W5094" s="46" t="str">
        <f t="shared" si="2157"/>
        <v/>
      </c>
      <c r="X5094" s="46" t="str">
        <f t="shared" si="2157"/>
        <v/>
      </c>
    </row>
    <row r="5095" spans="2:24" x14ac:dyDescent="0.25">
      <c r="B5095" s="11" t="str">
        <f t="shared" si="2149"/>
        <v>PENN-25OCT1901</v>
      </c>
      <c r="C5095" s="11" t="s">
        <v>966</v>
      </c>
      <c r="D5095" s="11" t="s">
        <v>2103</v>
      </c>
      <c r="E5095" s="39" t="s">
        <v>5696</v>
      </c>
      <c r="F5095" s="11" t="s">
        <v>1700</v>
      </c>
      <c r="G5095" s="39" t="s">
        <v>5697</v>
      </c>
      <c r="J5095" s="17">
        <v>10</v>
      </c>
      <c r="K5095" s="17"/>
      <c r="L5095" s="7">
        <f t="shared" si="2150"/>
        <v>10</v>
      </c>
      <c r="M5095" s="8">
        <v>1</v>
      </c>
      <c r="N5095" s="8">
        <f t="shared" si="2151"/>
        <v>1</v>
      </c>
      <c r="O5095" s="11" t="s">
        <v>1702</v>
      </c>
      <c r="P5095" s="16" t="str">
        <f t="shared" si="2152"/>
        <v>25-Oct-1901</v>
      </c>
      <c r="R5095" s="16" t="str">
        <f t="shared" si="2158"/>
        <v>x</v>
      </c>
      <c r="S5095" s="16" t="str">
        <f t="shared" si="2158"/>
        <v>x</v>
      </c>
      <c r="U5095" s="46" t="str">
        <f t="shared" si="2157"/>
        <v/>
      </c>
      <c r="V5095" s="46">
        <f t="shared" si="2157"/>
        <v>10</v>
      </c>
      <c r="W5095" s="46" t="str">
        <f t="shared" si="2157"/>
        <v/>
      </c>
      <c r="X5095" s="46" t="str">
        <f t="shared" si="2157"/>
        <v/>
      </c>
    </row>
    <row r="5096" spans="2:24" x14ac:dyDescent="0.25">
      <c r="B5096" s="11" t="str">
        <f>CONCATENATE("PENN","-",LEFT(P5096,2),UPPER(MID(P5096,4,3)),RIGHT(P5096,4))</f>
        <v>PENN-17JAN1902</v>
      </c>
      <c r="C5096" s="11" t="s">
        <v>966</v>
      </c>
      <c r="D5096" s="11" t="s">
        <v>2103</v>
      </c>
      <c r="E5096" s="39" t="s">
        <v>5704</v>
      </c>
      <c r="F5096" s="11" t="s">
        <v>1700</v>
      </c>
      <c r="G5096" s="39" t="s">
        <v>5705</v>
      </c>
      <c r="J5096" s="17">
        <v>6</v>
      </c>
      <c r="K5096" s="17"/>
      <c r="L5096" s="7">
        <f>SUM(H5096:K5096)</f>
        <v>6</v>
      </c>
      <c r="M5096" s="8">
        <v>1</v>
      </c>
      <c r="N5096" s="8">
        <f>IF(L5096&gt;0,1,"")</f>
        <v>1</v>
      </c>
      <c r="O5096" s="11" t="s">
        <v>1702</v>
      </c>
      <c r="P5096" s="16" t="str">
        <f>IF(LEN(G5096)=10,CONCATENATE("0",G5096),G5096)</f>
        <v>17-Jan-1902</v>
      </c>
      <c r="R5096" s="16" t="str">
        <f t="shared" si="2158"/>
        <v>x</v>
      </c>
      <c r="S5096" s="16" t="str">
        <f t="shared" si="2158"/>
        <v>x</v>
      </c>
      <c r="U5096" s="46" t="str">
        <f t="shared" si="2157"/>
        <v/>
      </c>
      <c r="V5096" s="46">
        <f t="shared" si="2157"/>
        <v>6</v>
      </c>
      <c r="W5096" s="46" t="str">
        <f t="shared" si="2157"/>
        <v/>
      </c>
      <c r="X5096" s="46" t="str">
        <f t="shared" si="2157"/>
        <v/>
      </c>
    </row>
    <row r="5097" spans="2:24" x14ac:dyDescent="0.25">
      <c r="B5097" s="11" t="str">
        <f t="shared" si="2149"/>
        <v>PENN-22MAY1902</v>
      </c>
      <c r="C5097" s="11" t="s">
        <v>966</v>
      </c>
      <c r="D5097" s="11" t="s">
        <v>2103</v>
      </c>
      <c r="E5097" s="39" t="s">
        <v>4052</v>
      </c>
      <c r="F5097" s="11" t="s">
        <v>1700</v>
      </c>
      <c r="G5097" s="39" t="s">
        <v>5541</v>
      </c>
      <c r="J5097" s="17">
        <v>27</v>
      </c>
      <c r="K5097" s="17"/>
      <c r="L5097" s="7">
        <f t="shared" si="2150"/>
        <v>27</v>
      </c>
      <c r="M5097" s="8">
        <v>1</v>
      </c>
      <c r="N5097" s="8">
        <f t="shared" si="2151"/>
        <v>1</v>
      </c>
      <c r="O5097" s="11" t="s">
        <v>1702</v>
      </c>
      <c r="P5097" s="16" t="str">
        <f t="shared" si="2152"/>
        <v>22-May-1902</v>
      </c>
      <c r="R5097" s="16" t="str">
        <f t="shared" si="2158"/>
        <v>x</v>
      </c>
      <c r="S5097" s="16" t="str">
        <f t="shared" si="2158"/>
        <v>x</v>
      </c>
      <c r="U5097" s="46" t="str">
        <f t="shared" si="2157"/>
        <v/>
      </c>
      <c r="V5097" s="46">
        <f t="shared" si="2157"/>
        <v>27</v>
      </c>
      <c r="W5097" s="46" t="str">
        <f t="shared" si="2157"/>
        <v/>
      </c>
      <c r="X5097" s="46" t="str">
        <f t="shared" si="2157"/>
        <v/>
      </c>
    </row>
    <row r="5098" spans="2:24" x14ac:dyDescent="0.25">
      <c r="B5098" s="11" t="str">
        <f>CONCATENATE("PENN","-",LEFT(P5098,2),UPPER(MID(P5098,4,3)),RIGHT(P5098,4))</f>
        <v>PENN-02JUL1902</v>
      </c>
      <c r="C5098" s="11" t="s">
        <v>966</v>
      </c>
      <c r="D5098" s="11" t="s">
        <v>2103</v>
      </c>
      <c r="E5098" s="39" t="s">
        <v>5640</v>
      </c>
      <c r="F5098" s="11" t="s">
        <v>1700</v>
      </c>
      <c r="G5098" s="39" t="s">
        <v>5641</v>
      </c>
      <c r="J5098" s="17">
        <v>16</v>
      </c>
      <c r="K5098" s="17"/>
      <c r="L5098" s="7">
        <f>SUM(H5098:K5098)</f>
        <v>16</v>
      </c>
      <c r="M5098" s="8">
        <v>1</v>
      </c>
      <c r="N5098" s="8">
        <f>IF(L5098&gt;0,1,"")</f>
        <v>1</v>
      </c>
      <c r="O5098" s="11" t="s">
        <v>1702</v>
      </c>
      <c r="P5098" s="16" t="str">
        <f>IF(LEN(G5098)=10,CONCATENATE("0",G5098),G5098)</f>
        <v>02-Jul-1902</v>
      </c>
      <c r="R5098" s="16" t="str">
        <f t="shared" si="2158"/>
        <v>x</v>
      </c>
      <c r="S5098" s="16" t="str">
        <f t="shared" si="2158"/>
        <v>x</v>
      </c>
      <c r="U5098" s="46" t="str">
        <f t="shared" si="2157"/>
        <v/>
      </c>
      <c r="V5098" s="46">
        <f t="shared" si="2157"/>
        <v>16</v>
      </c>
      <c r="W5098" s="46" t="str">
        <f t="shared" si="2157"/>
        <v/>
      </c>
      <c r="X5098" s="46" t="str">
        <f t="shared" si="2157"/>
        <v/>
      </c>
    </row>
    <row r="5099" spans="2:24" x14ac:dyDescent="0.25">
      <c r="B5099" s="11" t="str">
        <f t="shared" si="2149"/>
        <v>PENN-11SEP1902</v>
      </c>
      <c r="C5099" s="11" t="s">
        <v>966</v>
      </c>
      <c r="D5099" s="11" t="s">
        <v>2103</v>
      </c>
      <c r="E5099" s="39" t="s">
        <v>3343</v>
      </c>
      <c r="F5099" s="11" t="s">
        <v>1700</v>
      </c>
      <c r="G5099" s="39" t="s">
        <v>5224</v>
      </c>
      <c r="J5099" s="17">
        <v>21</v>
      </c>
      <c r="K5099" s="17"/>
      <c r="L5099" s="7">
        <f t="shared" si="2150"/>
        <v>21</v>
      </c>
      <c r="M5099" s="8">
        <v>1</v>
      </c>
      <c r="N5099" s="8">
        <f t="shared" si="2151"/>
        <v>1</v>
      </c>
      <c r="O5099" s="11" t="s">
        <v>1702</v>
      </c>
      <c r="P5099" s="16" t="str">
        <f t="shared" si="2152"/>
        <v>11-Sep-1902</v>
      </c>
      <c r="R5099" s="16" t="str">
        <f t="shared" si="2158"/>
        <v>x</v>
      </c>
      <c r="S5099" s="16" t="str">
        <f t="shared" si="2158"/>
        <v>x</v>
      </c>
      <c r="U5099" s="46" t="str">
        <f t="shared" si="2157"/>
        <v/>
      </c>
      <c r="V5099" s="46">
        <f t="shared" si="2157"/>
        <v>21</v>
      </c>
      <c r="W5099" s="46" t="str">
        <f t="shared" si="2157"/>
        <v/>
      </c>
      <c r="X5099" s="46" t="str">
        <f t="shared" si="2157"/>
        <v/>
      </c>
    </row>
    <row r="5100" spans="2:24" x14ac:dyDescent="0.25">
      <c r="B5100" s="11" t="str">
        <f>CONCATENATE("PENN","-",LEFT(P5100,2),UPPER(MID(P5100,4,3)),RIGHT(P5100,4))</f>
        <v>PENN-28NOV1902</v>
      </c>
      <c r="C5100" s="11" t="s">
        <v>966</v>
      </c>
      <c r="D5100" s="11" t="s">
        <v>2103</v>
      </c>
      <c r="E5100" s="39" t="s">
        <v>5956</v>
      </c>
      <c r="F5100" s="11" t="s">
        <v>1700</v>
      </c>
      <c r="G5100" s="39" t="s">
        <v>5957</v>
      </c>
      <c r="J5100" s="17">
        <v>7</v>
      </c>
      <c r="K5100" s="17"/>
      <c r="L5100" s="7">
        <f>SUM(H5100:K5100)</f>
        <v>7</v>
      </c>
      <c r="M5100" s="8">
        <v>1</v>
      </c>
      <c r="N5100" s="8">
        <f>IF(L5100&gt;0,1,"")</f>
        <v>1</v>
      </c>
      <c r="O5100" s="11" t="s">
        <v>1702</v>
      </c>
      <c r="P5100" s="16" t="str">
        <f>IF(LEN(G5100)=10,CONCATENATE("0",G5100),G5100)</f>
        <v>28-Nov-1902</v>
      </c>
      <c r="R5100" s="16" t="str">
        <f t="shared" si="2158"/>
        <v>x</v>
      </c>
      <c r="S5100" s="16" t="str">
        <f t="shared" si="2158"/>
        <v>x</v>
      </c>
      <c r="T5100" s="11"/>
      <c r="U5100" s="46" t="str">
        <f t="shared" si="2157"/>
        <v/>
      </c>
      <c r="V5100" s="46">
        <f t="shared" si="2157"/>
        <v>7</v>
      </c>
      <c r="W5100" s="46" t="str">
        <f t="shared" si="2157"/>
        <v/>
      </c>
      <c r="X5100" s="46" t="str">
        <f t="shared" si="2157"/>
        <v/>
      </c>
    </row>
    <row r="5101" spans="2:24" x14ac:dyDescent="0.25">
      <c r="B5101" s="11" t="str">
        <f t="shared" si="2149"/>
        <v>PENN-02JUL1903</v>
      </c>
      <c r="C5101" s="11" t="s">
        <v>966</v>
      </c>
      <c r="D5101" s="11" t="s">
        <v>2103</v>
      </c>
      <c r="E5101" s="39" t="s">
        <v>3537</v>
      </c>
      <c r="F5101" s="11" t="s">
        <v>1700</v>
      </c>
      <c r="G5101" s="39" t="s">
        <v>3536</v>
      </c>
      <c r="H5101" s="7">
        <v>0</v>
      </c>
      <c r="I5101" s="7">
        <v>0</v>
      </c>
      <c r="J5101" s="17">
        <v>30</v>
      </c>
      <c r="K5101" s="17"/>
      <c r="L5101" s="7">
        <f t="shared" si="2150"/>
        <v>30</v>
      </c>
      <c r="M5101" s="8">
        <v>1</v>
      </c>
      <c r="N5101" s="8">
        <f t="shared" si="2151"/>
        <v>1</v>
      </c>
      <c r="O5101" s="11" t="s">
        <v>1702</v>
      </c>
      <c r="P5101" s="16" t="str">
        <f t="shared" si="2152"/>
        <v>02-Jul-1903</v>
      </c>
      <c r="R5101" s="16" t="str">
        <f t="shared" si="2156"/>
        <v>x</v>
      </c>
      <c r="S5101" s="16" t="str">
        <f t="shared" si="2156"/>
        <v>x</v>
      </c>
      <c r="U5101" s="46" t="str">
        <f t="shared" si="2101"/>
        <v/>
      </c>
      <c r="V5101" s="46">
        <f t="shared" si="2101"/>
        <v>30</v>
      </c>
      <c r="W5101" s="46" t="str">
        <f t="shared" si="2101"/>
        <v/>
      </c>
      <c r="X5101" s="46" t="str">
        <f t="shared" si="2101"/>
        <v/>
      </c>
    </row>
    <row r="5102" spans="2:24" x14ac:dyDescent="0.25">
      <c r="B5102" s="11" t="str">
        <f>CONCATENATE("PENN","-",LEFT(P5102,2),UPPER(MID(P5102,4,3)),RIGHT(P5102,4))</f>
        <v>PENN-12NOV1903</v>
      </c>
      <c r="C5102" s="11" t="s">
        <v>966</v>
      </c>
      <c r="D5102" s="11" t="s">
        <v>2103</v>
      </c>
      <c r="E5102" s="39" t="s">
        <v>1752</v>
      </c>
      <c r="F5102" s="11" t="s">
        <v>1700</v>
      </c>
      <c r="G5102" s="39" t="s">
        <v>5820</v>
      </c>
      <c r="H5102" s="7">
        <v>0</v>
      </c>
      <c r="I5102" s="7">
        <v>0</v>
      </c>
      <c r="J5102" s="17">
        <v>12</v>
      </c>
      <c r="K5102" s="17"/>
      <c r="L5102" s="7">
        <f>SUM(H5102:K5102)</f>
        <v>12</v>
      </c>
      <c r="M5102" s="8">
        <v>1</v>
      </c>
      <c r="N5102" s="8">
        <f>IF(L5102&gt;0,1,"")</f>
        <v>1</v>
      </c>
      <c r="O5102" s="11" t="s">
        <v>1702</v>
      </c>
      <c r="P5102" s="16" t="str">
        <f>IF(LEN(G5102)=10,CONCATENATE("0",G5102),G5102)</f>
        <v>12-Nov-1903</v>
      </c>
      <c r="R5102" s="16" t="str">
        <f t="shared" si="2156"/>
        <v>x</v>
      </c>
      <c r="S5102" s="16" t="str">
        <f t="shared" si="2156"/>
        <v>x</v>
      </c>
      <c r="U5102" s="46" t="str">
        <f>IF($O5102=U$5,$L5102,"")</f>
        <v/>
      </c>
      <c r="V5102" s="46">
        <f>IF($O5102=V$5,$L5102,"")</f>
        <v>12</v>
      </c>
      <c r="W5102" s="46" t="str">
        <f>IF($O5102=W$5,$L5102,"")</f>
        <v/>
      </c>
      <c r="X5102" s="46" t="str">
        <f>IF($O5102=X$5,$L5102,"")</f>
        <v/>
      </c>
    </row>
    <row r="5103" spans="2:24" x14ac:dyDescent="0.25">
      <c r="B5103" s="11" t="str">
        <f t="shared" si="2149"/>
        <v>PENN-02JAN1904</v>
      </c>
      <c r="C5103" s="11" t="s">
        <v>966</v>
      </c>
      <c r="D5103" s="11" t="s">
        <v>2103</v>
      </c>
      <c r="E5103" s="39" t="s">
        <v>3568</v>
      </c>
      <c r="F5103" s="11" t="s">
        <v>1700</v>
      </c>
      <c r="G5103" s="39" t="s">
        <v>1403</v>
      </c>
      <c r="H5103" s="7">
        <v>0</v>
      </c>
      <c r="I5103" s="7">
        <v>0</v>
      </c>
      <c r="J5103" s="17">
        <v>7</v>
      </c>
      <c r="K5103" s="17"/>
      <c r="L5103" s="7">
        <f t="shared" si="2150"/>
        <v>7</v>
      </c>
      <c r="M5103" s="8">
        <v>1</v>
      </c>
      <c r="N5103" s="8">
        <f t="shared" si="2151"/>
        <v>1</v>
      </c>
      <c r="O5103" s="11" t="s">
        <v>1702</v>
      </c>
      <c r="P5103" s="16" t="str">
        <f t="shared" si="2152"/>
        <v>02-Jan-1904</v>
      </c>
      <c r="R5103" s="16" t="str">
        <f t="shared" si="2156"/>
        <v>x</v>
      </c>
      <c r="S5103" s="16" t="str">
        <f t="shared" si="2156"/>
        <v>x</v>
      </c>
      <c r="U5103" s="46" t="str">
        <f t="shared" si="2101"/>
        <v/>
      </c>
      <c r="V5103" s="46">
        <f t="shared" si="2101"/>
        <v>7</v>
      </c>
      <c r="W5103" s="46" t="str">
        <f t="shared" si="2101"/>
        <v/>
      </c>
      <c r="X5103" s="46" t="str">
        <f t="shared" si="2101"/>
        <v/>
      </c>
    </row>
    <row r="5104" spans="2:24" x14ac:dyDescent="0.25">
      <c r="B5104" s="11" t="str">
        <f t="shared" si="2149"/>
        <v>PENN-22JAN1905</v>
      </c>
      <c r="C5104" s="11" t="s">
        <v>966</v>
      </c>
      <c r="D5104" s="11" t="s">
        <v>2103</v>
      </c>
      <c r="E5104" s="39" t="s">
        <v>1776</v>
      </c>
      <c r="F5104" s="11" t="s">
        <v>1700</v>
      </c>
      <c r="G5104" s="39" t="s">
        <v>1413</v>
      </c>
      <c r="H5104" s="7">
        <v>0</v>
      </c>
      <c r="I5104" s="7">
        <v>0</v>
      </c>
      <c r="J5104" s="17">
        <v>4</v>
      </c>
      <c r="K5104" s="17"/>
      <c r="L5104" s="7">
        <f t="shared" si="2150"/>
        <v>4</v>
      </c>
      <c r="M5104" s="8">
        <v>1</v>
      </c>
      <c r="N5104" s="8">
        <f t="shared" si="2151"/>
        <v>1</v>
      </c>
      <c r="O5104" s="11" t="s">
        <v>1702</v>
      </c>
      <c r="P5104" s="16" t="str">
        <f t="shared" si="2152"/>
        <v>22-Jan-1905</v>
      </c>
      <c r="R5104" s="16" t="str">
        <f t="shared" si="2156"/>
        <v>x</v>
      </c>
      <c r="S5104" s="16" t="str">
        <f t="shared" si="2156"/>
        <v>x</v>
      </c>
      <c r="U5104" s="46" t="str">
        <f>IF($O5104=U$5,$L5104,"")</f>
        <v/>
      </c>
      <c r="V5104" s="46">
        <f>IF($O5104=V$5,$L5104,"")</f>
        <v>4</v>
      </c>
      <c r="W5104" s="46" t="str">
        <f>IF($O5104=W$5,$L5104,"")</f>
        <v/>
      </c>
      <c r="X5104" s="46" t="str">
        <f>IF($O5104=X$5,$L5104,"")</f>
        <v/>
      </c>
    </row>
    <row r="5105" spans="2:24" x14ac:dyDescent="0.25">
      <c r="B5105" s="11" t="str">
        <f>CONCATENATE("PENN","-",LEFT(P5105,2),UPPER(MID(P5105,4,3)),RIGHT(P5105,4))</f>
        <v>PENN-22APR1905</v>
      </c>
      <c r="C5105" s="11" t="s">
        <v>966</v>
      </c>
      <c r="D5105" s="11" t="s">
        <v>2103</v>
      </c>
      <c r="E5105" s="39" t="s">
        <v>2698</v>
      </c>
      <c r="F5105" s="11" t="s">
        <v>1700</v>
      </c>
      <c r="G5105" s="39" t="s">
        <v>990</v>
      </c>
      <c r="H5105" s="7">
        <v>0</v>
      </c>
      <c r="J5105" s="17">
        <v>12</v>
      </c>
      <c r="K5105" s="17"/>
      <c r="L5105" s="7">
        <f>SUM(H5105:K5105)</f>
        <v>12</v>
      </c>
      <c r="M5105" s="8">
        <v>1</v>
      </c>
      <c r="N5105" s="8">
        <f>IF(L5105&gt;0,1,"")</f>
        <v>1</v>
      </c>
      <c r="O5105" s="11" t="s">
        <v>1702</v>
      </c>
      <c r="P5105" s="16" t="str">
        <f>IF(LEN(G5105)=10,CONCATENATE("0",G5105),G5105)</f>
        <v>22-Apr-1905</v>
      </c>
      <c r="R5105" s="16" t="str">
        <f t="shared" si="2156"/>
        <v>x</v>
      </c>
      <c r="S5105" s="16" t="str">
        <f t="shared" si="2156"/>
        <v>x</v>
      </c>
      <c r="U5105" s="46" t="str">
        <f t="shared" ref="U5105:W5106" si="2159">IF($O5105=U$5,$L5105,"")</f>
        <v/>
      </c>
      <c r="V5105" s="46">
        <f t="shared" si="2159"/>
        <v>12</v>
      </c>
      <c r="W5105" s="46" t="str">
        <f t="shared" si="2159"/>
        <v/>
      </c>
      <c r="X5105" s="46" t="str">
        <f t="shared" ref="X5105:X5116" si="2160">IF($O5105=X$5,$L5105,"")</f>
        <v/>
      </c>
    </row>
    <row r="5106" spans="2:24" x14ac:dyDescent="0.25">
      <c r="B5106" s="11" t="str">
        <f>CONCATENATE("PENN","-",LEFT(P5106,2),UPPER(MID(P5106,4,3)),RIGHT(P5106,4))</f>
        <v>PENN-24AUG1905</v>
      </c>
      <c r="C5106" s="11" t="s">
        <v>966</v>
      </c>
      <c r="D5106" s="11" t="s">
        <v>2103</v>
      </c>
      <c r="E5106" s="39" t="s">
        <v>781</v>
      </c>
      <c r="F5106" s="11" t="s">
        <v>1700</v>
      </c>
      <c r="G5106" s="39" t="s">
        <v>6221</v>
      </c>
      <c r="H5106" s="7">
        <v>0</v>
      </c>
      <c r="I5106" s="7">
        <v>0</v>
      </c>
      <c r="J5106" s="17">
        <v>5</v>
      </c>
      <c r="K5106" s="17"/>
      <c r="L5106" s="7">
        <f>SUM(H5106:K5106)</f>
        <v>5</v>
      </c>
      <c r="M5106" s="8">
        <v>1</v>
      </c>
      <c r="N5106" s="8">
        <f>IF(L5106&gt;0,1,"")</f>
        <v>1</v>
      </c>
      <c r="O5106" s="11" t="s">
        <v>1702</v>
      </c>
      <c r="P5106" s="16" t="str">
        <f>IF(LEN(G5106)=10,CONCATENATE("0",G5106),G5106)</f>
        <v>24-Aug-1905</v>
      </c>
      <c r="R5106" s="16" t="str">
        <f>IF($L5106&gt;0,"x","")</f>
        <v>x</v>
      </c>
      <c r="S5106" s="16" t="str">
        <f>IF($L5106&gt;0,"x","")</f>
        <v>x</v>
      </c>
      <c r="U5106" s="46" t="str">
        <f t="shared" si="2159"/>
        <v/>
      </c>
      <c r="V5106" s="46">
        <f t="shared" si="2159"/>
        <v>5</v>
      </c>
      <c r="W5106" s="46" t="str">
        <f t="shared" si="2159"/>
        <v/>
      </c>
      <c r="X5106" s="46" t="str">
        <f t="shared" si="2160"/>
        <v/>
      </c>
    </row>
    <row r="5107" spans="2:24" x14ac:dyDescent="0.25">
      <c r="B5107" s="11" t="str">
        <f t="shared" si="2149"/>
        <v>PENN-05OCT1905</v>
      </c>
      <c r="C5107" s="11" t="s">
        <v>966</v>
      </c>
      <c r="D5107" s="11" t="s">
        <v>2103</v>
      </c>
      <c r="E5107" s="39" t="s">
        <v>6209</v>
      </c>
      <c r="F5107" s="11" t="s">
        <v>1700</v>
      </c>
      <c r="G5107" s="39" t="s">
        <v>6210</v>
      </c>
      <c r="H5107" s="7">
        <v>0</v>
      </c>
      <c r="I5107" s="7">
        <v>0</v>
      </c>
      <c r="J5107" s="17">
        <v>13</v>
      </c>
      <c r="K5107" s="17"/>
      <c r="L5107" s="7">
        <f t="shared" si="2150"/>
        <v>13</v>
      </c>
      <c r="M5107" s="8">
        <v>1</v>
      </c>
      <c r="N5107" s="8">
        <f t="shared" si="2151"/>
        <v>1</v>
      </c>
      <c r="O5107" s="11" t="s">
        <v>1702</v>
      </c>
      <c r="P5107" s="16" t="str">
        <f t="shared" si="2152"/>
        <v>05-Oct-1905</v>
      </c>
      <c r="R5107" s="16" t="str">
        <f>IF($L5107&gt;0,"x","")</f>
        <v>x</v>
      </c>
      <c r="S5107" s="16" t="str">
        <f>IF($L5107&gt;0,"x","")</f>
        <v>x</v>
      </c>
      <c r="U5107" s="46" t="str">
        <f t="shared" si="2101"/>
        <v/>
      </c>
      <c r="V5107" s="46">
        <f t="shared" si="2101"/>
        <v>13</v>
      </c>
      <c r="W5107" s="46" t="str">
        <f t="shared" si="2101"/>
        <v/>
      </c>
      <c r="X5107" s="46" t="str">
        <f t="shared" si="2160"/>
        <v/>
      </c>
    </row>
    <row r="5108" spans="2:24" x14ac:dyDescent="0.25">
      <c r="B5108" s="11" t="str">
        <f t="shared" si="2149"/>
        <v>PENN-05JAN1906</v>
      </c>
      <c r="C5108" s="11" t="s">
        <v>966</v>
      </c>
      <c r="D5108" s="11" t="s">
        <v>969</v>
      </c>
      <c r="E5108" s="39" t="s">
        <v>967</v>
      </c>
      <c r="F5108" s="11" t="s">
        <v>1700</v>
      </c>
      <c r="G5108" s="39" t="s">
        <v>968</v>
      </c>
      <c r="H5108" s="7">
        <v>0</v>
      </c>
      <c r="I5108" s="7">
        <v>0</v>
      </c>
      <c r="J5108" s="17">
        <v>8</v>
      </c>
      <c r="K5108" s="17"/>
      <c r="L5108" s="7">
        <f t="shared" si="2150"/>
        <v>8</v>
      </c>
      <c r="M5108" s="8">
        <v>1</v>
      </c>
      <c r="N5108" s="8">
        <f t="shared" si="2151"/>
        <v>1</v>
      </c>
      <c r="O5108" s="11" t="s">
        <v>1702</v>
      </c>
      <c r="P5108" s="16" t="str">
        <f t="shared" si="2152"/>
        <v>05-Jan-1906</v>
      </c>
      <c r="R5108" s="16" t="str">
        <f t="shared" ref="R5108:S5112" si="2161">IF($L5108&gt;0,"x","")</f>
        <v>x</v>
      </c>
      <c r="S5108" s="16" t="str">
        <f t="shared" si="2161"/>
        <v>x</v>
      </c>
      <c r="U5108" s="46" t="str">
        <f t="shared" ref="U5108:W5116" si="2162">IF($O5108=U$5,$L5108,"")</f>
        <v/>
      </c>
      <c r="V5108" s="46">
        <f t="shared" si="2162"/>
        <v>8</v>
      </c>
      <c r="W5108" s="46" t="str">
        <f t="shared" si="2162"/>
        <v/>
      </c>
      <c r="X5108" s="46" t="str">
        <f t="shared" si="2160"/>
        <v/>
      </c>
    </row>
    <row r="5109" spans="2:24" x14ac:dyDescent="0.25">
      <c r="B5109" s="11" t="str">
        <f t="shared" si="2149"/>
        <v>PENN-23MAR1907</v>
      </c>
      <c r="C5109" s="11" t="s">
        <v>966</v>
      </c>
      <c r="D5109" s="11" t="s">
        <v>969</v>
      </c>
      <c r="E5109" s="39" t="s">
        <v>3684</v>
      </c>
      <c r="F5109" s="11" t="s">
        <v>1700</v>
      </c>
      <c r="G5109" s="39" t="s">
        <v>827</v>
      </c>
      <c r="H5109" s="7">
        <v>0</v>
      </c>
      <c r="I5109" s="7">
        <v>0</v>
      </c>
      <c r="J5109" s="17">
        <v>3</v>
      </c>
      <c r="K5109" s="17"/>
      <c r="L5109" s="7">
        <f t="shared" si="2150"/>
        <v>3</v>
      </c>
      <c r="M5109" s="8">
        <v>1</v>
      </c>
      <c r="N5109" s="8">
        <f t="shared" si="2151"/>
        <v>1</v>
      </c>
      <c r="O5109" s="11" t="s">
        <v>1702</v>
      </c>
      <c r="P5109" s="16" t="str">
        <f t="shared" si="2152"/>
        <v>23-Mar-1907</v>
      </c>
      <c r="R5109" s="16" t="str">
        <f t="shared" si="2161"/>
        <v>x</v>
      </c>
      <c r="S5109" s="16" t="str">
        <f t="shared" si="2161"/>
        <v>x</v>
      </c>
      <c r="U5109" s="46" t="str">
        <f t="shared" si="2162"/>
        <v/>
      </c>
      <c r="V5109" s="46">
        <f t="shared" si="2162"/>
        <v>3</v>
      </c>
      <c r="W5109" s="46" t="str">
        <f t="shared" si="2162"/>
        <v/>
      </c>
      <c r="X5109" s="46" t="str">
        <f t="shared" si="2160"/>
        <v/>
      </c>
    </row>
    <row r="5110" spans="2:24" x14ac:dyDescent="0.25">
      <c r="B5110" s="11" t="str">
        <f t="shared" si="2149"/>
        <v>PENN-09AUG1907</v>
      </c>
      <c r="C5110" s="11" t="s">
        <v>966</v>
      </c>
      <c r="D5110" s="11" t="s">
        <v>2103</v>
      </c>
      <c r="E5110" s="39" t="s">
        <v>3449</v>
      </c>
      <c r="F5110" s="11" t="s">
        <v>1700</v>
      </c>
      <c r="G5110" s="39" t="s">
        <v>3690</v>
      </c>
      <c r="H5110" s="7">
        <v>0</v>
      </c>
      <c r="J5110" s="17">
        <v>2</v>
      </c>
      <c r="K5110" s="17"/>
      <c r="L5110" s="7">
        <f t="shared" si="2150"/>
        <v>2</v>
      </c>
      <c r="M5110" s="8">
        <v>1</v>
      </c>
      <c r="N5110" s="8">
        <f t="shared" si="2151"/>
        <v>1</v>
      </c>
      <c r="O5110" s="11" t="s">
        <v>1702</v>
      </c>
      <c r="P5110" s="16" t="str">
        <f t="shared" si="2152"/>
        <v>09-Aug-1907</v>
      </c>
      <c r="R5110" s="16" t="str">
        <f t="shared" si="2161"/>
        <v>x</v>
      </c>
      <c r="S5110" s="16" t="str">
        <f t="shared" si="2161"/>
        <v>x</v>
      </c>
      <c r="U5110" s="46" t="str">
        <f t="shared" si="2162"/>
        <v/>
      </c>
      <c r="V5110" s="46">
        <f t="shared" si="2162"/>
        <v>2</v>
      </c>
      <c r="W5110" s="46" t="str">
        <f t="shared" si="2162"/>
        <v/>
      </c>
      <c r="X5110" s="46" t="str">
        <f t="shared" si="2160"/>
        <v/>
      </c>
    </row>
    <row r="5111" spans="2:24" x14ac:dyDescent="0.25">
      <c r="B5111" s="11" t="str">
        <f t="shared" si="2149"/>
        <v>PENN-19SEP1907</v>
      </c>
      <c r="C5111" s="11" t="s">
        <v>966</v>
      </c>
      <c r="D5111" s="11" t="s">
        <v>2103</v>
      </c>
      <c r="E5111" s="39" t="s">
        <v>3322</v>
      </c>
      <c r="F5111" s="11" t="s">
        <v>1700</v>
      </c>
      <c r="G5111" s="39" t="s">
        <v>3323</v>
      </c>
      <c r="H5111" s="7">
        <v>0</v>
      </c>
      <c r="I5111" s="7">
        <v>1</v>
      </c>
      <c r="J5111" s="17">
        <v>25</v>
      </c>
      <c r="K5111" s="17"/>
      <c r="L5111" s="7">
        <f t="shared" si="2150"/>
        <v>26</v>
      </c>
      <c r="M5111" s="8">
        <v>1</v>
      </c>
      <c r="N5111" s="8">
        <f t="shared" si="2151"/>
        <v>1</v>
      </c>
      <c r="O5111" s="11" t="s">
        <v>1702</v>
      </c>
      <c r="P5111" s="16" t="str">
        <f t="shared" si="2152"/>
        <v>19-Sep-1907</v>
      </c>
      <c r="R5111" s="16" t="str">
        <f t="shared" si="2161"/>
        <v>x</v>
      </c>
      <c r="S5111" s="16" t="str">
        <f t="shared" si="2161"/>
        <v>x</v>
      </c>
      <c r="U5111" s="46" t="str">
        <f t="shared" si="2162"/>
        <v/>
      </c>
      <c r="V5111" s="46">
        <f t="shared" si="2162"/>
        <v>26</v>
      </c>
      <c r="W5111" s="46" t="str">
        <f t="shared" si="2162"/>
        <v/>
      </c>
      <c r="X5111" s="46" t="str">
        <f t="shared" si="2160"/>
        <v/>
      </c>
    </row>
    <row r="5112" spans="2:24" x14ac:dyDescent="0.25">
      <c r="B5112" s="11" t="str">
        <f t="shared" si="2149"/>
        <v>PENN-01NOV1907</v>
      </c>
      <c r="C5112" s="11" t="s">
        <v>966</v>
      </c>
      <c r="D5112" s="11" t="s">
        <v>2103</v>
      </c>
      <c r="E5112" s="39" t="s">
        <v>3656</v>
      </c>
      <c r="F5112" s="11" t="s">
        <v>1700</v>
      </c>
      <c r="G5112" s="39" t="s">
        <v>3324</v>
      </c>
      <c r="H5112" s="7">
        <v>0</v>
      </c>
      <c r="I5112" s="7">
        <v>0</v>
      </c>
      <c r="J5112" s="17">
        <v>15</v>
      </c>
      <c r="K5112" s="17"/>
      <c r="L5112" s="7">
        <f t="shared" si="2150"/>
        <v>15</v>
      </c>
      <c r="M5112" s="8">
        <v>1</v>
      </c>
      <c r="N5112" s="8">
        <f t="shared" si="2151"/>
        <v>1</v>
      </c>
      <c r="O5112" s="11" t="s">
        <v>1702</v>
      </c>
      <c r="P5112" s="16" t="str">
        <f t="shared" si="2152"/>
        <v>01-Nov-1907</v>
      </c>
      <c r="R5112" s="16" t="str">
        <f t="shared" si="2161"/>
        <v>x</v>
      </c>
      <c r="S5112" s="16" t="str">
        <f t="shared" si="2161"/>
        <v>x</v>
      </c>
      <c r="U5112" s="46" t="str">
        <f t="shared" si="2162"/>
        <v/>
      </c>
      <c r="V5112" s="46">
        <f t="shared" si="2162"/>
        <v>15</v>
      </c>
      <c r="W5112" s="46" t="str">
        <f t="shared" si="2162"/>
        <v/>
      </c>
      <c r="X5112" s="46" t="str">
        <f t="shared" si="2160"/>
        <v/>
      </c>
    </row>
    <row r="5113" spans="2:24" x14ac:dyDescent="0.25">
      <c r="B5113" s="11" t="str">
        <f>CONCATENATE("PENN","-",LEFT(P5113,2),UPPER(MID(P5113,4,3)),RIGHT(P5113,4))</f>
        <v>PENN-25NOV1911</v>
      </c>
      <c r="C5113" s="11" t="s">
        <v>966</v>
      </c>
      <c r="D5113" s="11" t="s">
        <v>3134</v>
      </c>
      <c r="E5113" s="39" t="s">
        <v>2759</v>
      </c>
      <c r="F5113" s="11" t="s">
        <v>1700</v>
      </c>
      <c r="G5113" s="39" t="s">
        <v>976</v>
      </c>
      <c r="I5113" s="7">
        <v>0</v>
      </c>
      <c r="J5113" s="17">
        <v>8</v>
      </c>
      <c r="K5113" s="17"/>
      <c r="L5113" s="7">
        <f>SUM(H5113:K5113)</f>
        <v>8</v>
      </c>
      <c r="M5113" s="8">
        <v>1</v>
      </c>
      <c r="N5113" s="8">
        <f>IF(L5113&gt;0,1,"")</f>
        <v>1</v>
      </c>
      <c r="O5113" s="11" t="s">
        <v>1702</v>
      </c>
      <c r="P5113" s="16" t="str">
        <f>IF(LEN(G5113)=10,CONCATENATE("0",G5113),G5113)</f>
        <v>25-Nov-1911</v>
      </c>
      <c r="R5113" s="16" t="str">
        <f>IF($L5113&gt;0,"x","")</f>
        <v>x</v>
      </c>
      <c r="S5113" s="16" t="str">
        <f>IF($L5113&gt;0,"x","")</f>
        <v>x</v>
      </c>
      <c r="U5113" s="46" t="str">
        <f t="shared" si="2162"/>
        <v/>
      </c>
      <c r="V5113" s="46">
        <f t="shared" si="2162"/>
        <v>8</v>
      </c>
      <c r="W5113" s="46" t="str">
        <f t="shared" si="2162"/>
        <v/>
      </c>
      <c r="X5113" s="46" t="str">
        <f t="shared" si="2160"/>
        <v/>
      </c>
    </row>
    <row r="5114" spans="2:24" x14ac:dyDescent="0.25">
      <c r="B5114" s="11" t="str">
        <f t="shared" si="2149"/>
        <v>PENN-02JAN1914</v>
      </c>
      <c r="C5114" s="11" t="s">
        <v>966</v>
      </c>
      <c r="D5114" s="11" t="s">
        <v>3134</v>
      </c>
      <c r="E5114" s="39" t="s">
        <v>3164</v>
      </c>
      <c r="F5114" s="11" t="s">
        <v>1700</v>
      </c>
      <c r="G5114" s="39" t="s">
        <v>2788</v>
      </c>
      <c r="J5114" s="17">
        <v>6</v>
      </c>
      <c r="K5114" s="17"/>
      <c r="L5114" s="7">
        <f t="shared" si="2150"/>
        <v>6</v>
      </c>
      <c r="M5114" s="8">
        <v>1</v>
      </c>
      <c r="N5114" s="8">
        <f t="shared" si="2151"/>
        <v>1</v>
      </c>
      <c r="O5114" s="11" t="s">
        <v>1702</v>
      </c>
      <c r="P5114" s="16" t="str">
        <f t="shared" si="2152"/>
        <v>02-Jan-1914</v>
      </c>
      <c r="R5114" s="16" t="str">
        <f>IF($L5114&gt;0,"x","")</f>
        <v>x</v>
      </c>
      <c r="S5114" s="16" t="str">
        <f>IF($L5114&gt;0,"x","")</f>
        <v>x</v>
      </c>
      <c r="U5114" s="46" t="str">
        <f t="shared" si="2162"/>
        <v/>
      </c>
      <c r="V5114" s="46">
        <f t="shared" si="2162"/>
        <v>6</v>
      </c>
      <c r="W5114" s="46" t="str">
        <f t="shared" si="2162"/>
        <v/>
      </c>
      <c r="X5114" s="46" t="str">
        <f t="shared" si="2160"/>
        <v/>
      </c>
    </row>
    <row r="5115" spans="2:24" x14ac:dyDescent="0.25">
      <c r="N5115" s="8" t="str">
        <f>IF(R5115="x",1,"")</f>
        <v/>
      </c>
      <c r="U5115" s="46" t="str">
        <f t="shared" si="2162"/>
        <v/>
      </c>
      <c r="V5115" s="46" t="str">
        <f t="shared" si="2162"/>
        <v/>
      </c>
      <c r="W5115" s="46" t="str">
        <f t="shared" si="2162"/>
        <v/>
      </c>
      <c r="X5115" s="46" t="str">
        <f t="shared" si="2160"/>
        <v/>
      </c>
    </row>
    <row r="5116" spans="2:24" x14ac:dyDescent="0.25">
      <c r="B5116" s="18"/>
      <c r="C5116" s="18"/>
      <c r="D5116" s="18"/>
      <c r="E5116" s="40"/>
      <c r="F5116" s="18"/>
      <c r="G5116" s="40"/>
      <c r="H5116" s="7">
        <f t="shared" ref="H5116:N5116" si="2163">SUM(H5084:H5115)</f>
        <v>0</v>
      </c>
      <c r="I5116" s="7">
        <f t="shared" si="2163"/>
        <v>1</v>
      </c>
      <c r="J5116" s="7">
        <f>SUM(J5084:J5115)</f>
        <v>412</v>
      </c>
      <c r="K5116" s="7">
        <f t="shared" si="2163"/>
        <v>0</v>
      </c>
      <c r="L5116" s="7">
        <f t="shared" si="2163"/>
        <v>413</v>
      </c>
      <c r="M5116" s="7">
        <f t="shared" si="2163"/>
        <v>31</v>
      </c>
      <c r="N5116" s="7">
        <f t="shared" si="2163"/>
        <v>31</v>
      </c>
      <c r="O5116" s="18"/>
      <c r="P5116" s="13"/>
      <c r="Q5116" s="13"/>
      <c r="S5116" s="13"/>
      <c r="T5116" s="15"/>
      <c r="U5116" s="46" t="str">
        <f t="shared" si="2162"/>
        <v/>
      </c>
      <c r="V5116" s="46" t="str">
        <f t="shared" si="2162"/>
        <v/>
      </c>
      <c r="W5116" s="46" t="str">
        <f t="shared" si="2162"/>
        <v/>
      </c>
      <c r="X5116" s="46" t="str">
        <f t="shared" si="2160"/>
        <v/>
      </c>
    </row>
    <row r="5117" spans="2:24" x14ac:dyDescent="0.25">
      <c r="B5117" s="18"/>
      <c r="C5117" s="18"/>
      <c r="D5117" s="18"/>
      <c r="E5117" s="40"/>
      <c r="F5117" s="18"/>
      <c r="G5117" s="40"/>
      <c r="N5117" s="8" t="str">
        <f>IF(R5117="x",1,"")</f>
        <v/>
      </c>
      <c r="O5117" s="18"/>
      <c r="P5117" s="13"/>
      <c r="Q5117" s="13"/>
      <c r="R5117" s="13"/>
      <c r="S5117" s="13"/>
      <c r="T5117" s="15"/>
      <c r="U5117" s="46" t="str">
        <f t="shared" ref="U5117:X5130" si="2164">IF($O5117=U$5,$L5117,"")</f>
        <v/>
      </c>
      <c r="V5117" s="46" t="str">
        <f t="shared" si="2164"/>
        <v/>
      </c>
      <c r="W5117" s="46" t="str">
        <f t="shared" si="2164"/>
        <v/>
      </c>
      <c r="X5117" s="46" t="str">
        <f t="shared" si="2164"/>
        <v/>
      </c>
    </row>
    <row r="5118" spans="2:24" x14ac:dyDescent="0.25">
      <c r="B5118" s="18"/>
      <c r="C5118" s="18"/>
      <c r="D5118" s="18"/>
      <c r="E5118" s="40"/>
      <c r="F5118" s="18"/>
      <c r="G5118" s="40"/>
      <c r="N5118" s="8" t="str">
        <f>IF(R5118="x",1,"")</f>
        <v/>
      </c>
      <c r="O5118" s="18"/>
      <c r="P5118" s="13"/>
      <c r="Q5118" s="13"/>
      <c r="R5118" s="13"/>
      <c r="S5118" s="13"/>
      <c r="T5118" s="15"/>
      <c r="U5118" s="46" t="str">
        <f t="shared" si="2164"/>
        <v/>
      </c>
      <c r="V5118" s="46" t="str">
        <f t="shared" si="2164"/>
        <v/>
      </c>
      <c r="W5118" s="46" t="str">
        <f t="shared" si="2164"/>
        <v/>
      </c>
      <c r="X5118" s="46" t="str">
        <f t="shared" si="2164"/>
        <v/>
      </c>
    </row>
    <row r="5119" spans="2:24" x14ac:dyDescent="0.25">
      <c r="B5119" s="11" t="str">
        <f>CONCATENATE("PEMR","-",LEFT(P5119,2),UPPER(MID(P5119,4,3)),RIGHT(P5119,4))</f>
        <v>PEMR-04JAN1918</v>
      </c>
      <c r="C5119" s="11" t="s">
        <v>3753</v>
      </c>
      <c r="D5119" s="11" t="s">
        <v>2440</v>
      </c>
      <c r="E5119" s="39" t="s">
        <v>3085</v>
      </c>
      <c r="F5119" s="11" t="s">
        <v>2441</v>
      </c>
      <c r="G5119" s="39" t="s">
        <v>3754</v>
      </c>
      <c r="H5119" s="7">
        <v>0</v>
      </c>
      <c r="J5119" s="17">
        <v>4</v>
      </c>
      <c r="K5119" s="17"/>
      <c r="L5119" s="7">
        <f>SUM(H5119:K5119)</f>
        <v>4</v>
      </c>
      <c r="M5119" s="8">
        <v>1</v>
      </c>
      <c r="N5119" s="8">
        <f>IF(L5119&gt;0,1,"")</f>
        <v>1</v>
      </c>
      <c r="O5119" s="11" t="s">
        <v>1702</v>
      </c>
      <c r="P5119" s="16" t="str">
        <f>IF(LEN(G5119)=10,CONCATENATE("0",G5119),G5119)</f>
        <v>04-Jan-1918</v>
      </c>
      <c r="R5119" s="16" t="str">
        <f t="shared" ref="R5119:S5122" si="2165">IF($L5119&gt;0,"x","")</f>
        <v>x</v>
      </c>
      <c r="S5119" s="16" t="str">
        <f t="shared" si="2165"/>
        <v>x</v>
      </c>
      <c r="U5119" s="46" t="str">
        <f t="shared" si="2164"/>
        <v/>
      </c>
      <c r="V5119" s="46">
        <f t="shared" si="2164"/>
        <v>4</v>
      </c>
      <c r="W5119" s="46" t="str">
        <f t="shared" si="2164"/>
        <v/>
      </c>
      <c r="X5119" s="46" t="str">
        <f t="shared" si="2164"/>
        <v/>
      </c>
    </row>
    <row r="5120" spans="2:24" x14ac:dyDescent="0.25">
      <c r="B5120" s="11" t="str">
        <f>CONCATENATE("PEMR","-",LEFT(P5120,2),UPPER(MID(P5120,4,3)),RIGHT(P5120,4))</f>
        <v>PEMR-08MAY1919</v>
      </c>
      <c r="C5120" s="11" t="s">
        <v>3753</v>
      </c>
      <c r="D5120" s="11" t="s">
        <v>2440</v>
      </c>
      <c r="E5120" s="39" t="s">
        <v>2404</v>
      </c>
      <c r="F5120" s="11" t="s">
        <v>2441</v>
      </c>
      <c r="G5120" s="39" t="s">
        <v>6005</v>
      </c>
      <c r="H5120" s="7">
        <v>0</v>
      </c>
      <c r="J5120" s="17">
        <v>6</v>
      </c>
      <c r="K5120" s="17"/>
      <c r="L5120" s="7">
        <f>SUM(H5120:K5120)</f>
        <v>6</v>
      </c>
      <c r="M5120" s="8">
        <v>1</v>
      </c>
      <c r="N5120" s="8">
        <f>IF(L5120&gt;0,1,"")</f>
        <v>1</v>
      </c>
      <c r="O5120" s="11" t="s">
        <v>1702</v>
      </c>
      <c r="P5120" s="16" t="str">
        <f>IF(LEN(G5120)=10,CONCATENATE("0",G5120),G5120)</f>
        <v>08-May-1919</v>
      </c>
      <c r="R5120" s="16" t="str">
        <f t="shared" si="2165"/>
        <v>x</v>
      </c>
      <c r="S5120" s="16" t="str">
        <f t="shared" si="2165"/>
        <v>x</v>
      </c>
      <c r="U5120" s="46" t="str">
        <f t="shared" ref="U5120:X5122" si="2166">IF($O5120=U$5,$L5120,"")</f>
        <v/>
      </c>
      <c r="V5120" s="46">
        <f t="shared" si="2166"/>
        <v>6</v>
      </c>
      <c r="W5120" s="46" t="str">
        <f t="shared" si="2166"/>
        <v/>
      </c>
      <c r="X5120" s="46" t="str">
        <f t="shared" si="2166"/>
        <v/>
      </c>
    </row>
    <row r="5121" spans="2:24" x14ac:dyDescent="0.25">
      <c r="B5121" s="11" t="str">
        <f>CONCATENATE("PEMR","-",LEFT(P5121,2),UPPER(MID(P5121,4,3)),RIGHT(P5121,4))</f>
        <v>PEMR-16JUL1919</v>
      </c>
      <c r="C5121" s="11" t="s">
        <v>3753</v>
      </c>
      <c r="D5121" s="11" t="s">
        <v>2440</v>
      </c>
      <c r="E5121" s="39" t="s">
        <v>5210</v>
      </c>
      <c r="F5121" s="11" t="s">
        <v>2441</v>
      </c>
      <c r="G5121" s="39" t="s">
        <v>5211</v>
      </c>
      <c r="H5121" s="7">
        <v>0</v>
      </c>
      <c r="J5121" s="17">
        <v>6</v>
      </c>
      <c r="K5121" s="17"/>
      <c r="L5121" s="7">
        <f>SUM(H5121:K5121)</f>
        <v>6</v>
      </c>
      <c r="M5121" s="8">
        <v>1</v>
      </c>
      <c r="N5121" s="8">
        <f>IF(L5121&gt;0,1,"")</f>
        <v>1</v>
      </c>
      <c r="O5121" s="11" t="s">
        <v>1702</v>
      </c>
      <c r="P5121" s="16" t="str">
        <f>IF(LEN(G5121)=10,CONCATENATE("0",G5121),G5121)</f>
        <v>16-Jul-1919</v>
      </c>
      <c r="R5121" s="16" t="str">
        <f t="shared" si="2165"/>
        <v>x</v>
      </c>
      <c r="S5121" s="16" t="str">
        <f t="shared" si="2165"/>
        <v>x</v>
      </c>
      <c r="U5121" s="46" t="str">
        <f t="shared" si="2166"/>
        <v/>
      </c>
      <c r="V5121" s="46">
        <f t="shared" si="2166"/>
        <v>6</v>
      </c>
      <c r="W5121" s="46" t="str">
        <f t="shared" si="2166"/>
        <v/>
      </c>
      <c r="X5121" s="46" t="str">
        <f t="shared" si="2166"/>
        <v/>
      </c>
    </row>
    <row r="5122" spans="2:24" x14ac:dyDescent="0.25">
      <c r="B5122" s="11" t="str">
        <f>CONCATENATE("PEMR","-",LEFT(P5122,2),UPPER(MID(P5122,4,3)),RIGHT(P5122,4))</f>
        <v>PEMR-30MAR1921</v>
      </c>
      <c r="C5122" s="11" t="s">
        <v>3753</v>
      </c>
      <c r="D5122" s="11" t="s">
        <v>2440</v>
      </c>
      <c r="E5122" s="39" t="s">
        <v>4784</v>
      </c>
      <c r="F5122" s="11" t="s">
        <v>2441</v>
      </c>
      <c r="G5122" s="39" t="s">
        <v>4225</v>
      </c>
      <c r="H5122" s="7">
        <v>0</v>
      </c>
      <c r="J5122" s="17">
        <v>5</v>
      </c>
      <c r="K5122" s="17"/>
      <c r="L5122" s="7">
        <f>SUM(H5122:K5122)</f>
        <v>5</v>
      </c>
      <c r="M5122" s="8">
        <v>1</v>
      </c>
      <c r="N5122" s="8">
        <f>IF(L5122&gt;0,1,"")</f>
        <v>1</v>
      </c>
      <c r="O5122" s="11" t="s">
        <v>1702</v>
      </c>
      <c r="P5122" s="16" t="str">
        <f>IF(LEN(G5122)=10,CONCATENATE("0",G5122),G5122)</f>
        <v>30-Mar-1921</v>
      </c>
      <c r="R5122" s="16" t="str">
        <f t="shared" si="2165"/>
        <v>x</v>
      </c>
      <c r="S5122" s="16" t="str">
        <f t="shared" si="2165"/>
        <v>x</v>
      </c>
      <c r="U5122" s="46" t="str">
        <f t="shared" si="2166"/>
        <v/>
      </c>
      <c r="V5122" s="46">
        <f t="shared" si="2166"/>
        <v>5</v>
      </c>
      <c r="W5122" s="46" t="str">
        <f t="shared" si="2166"/>
        <v/>
      </c>
      <c r="X5122" s="46" t="str">
        <f t="shared" si="2166"/>
        <v/>
      </c>
    </row>
    <row r="5123" spans="2:24" x14ac:dyDescent="0.25">
      <c r="N5123" s="8" t="str">
        <f>IF(R5123="x",1,"")</f>
        <v/>
      </c>
      <c r="U5123" s="46" t="str">
        <f t="shared" si="2164"/>
        <v/>
      </c>
      <c r="V5123" s="46" t="str">
        <f t="shared" si="2164"/>
        <v/>
      </c>
      <c r="W5123" s="46" t="str">
        <f t="shared" si="2164"/>
        <v/>
      </c>
      <c r="X5123" s="46" t="str">
        <f t="shared" si="2164"/>
        <v/>
      </c>
    </row>
    <row r="5124" spans="2:24" x14ac:dyDescent="0.25">
      <c r="B5124" s="18"/>
      <c r="C5124" s="18"/>
      <c r="D5124" s="18"/>
      <c r="E5124" s="40"/>
      <c r="F5124" s="18"/>
      <c r="G5124" s="40"/>
      <c r="H5124" s="7">
        <f t="shared" ref="H5124:N5124" si="2167">SUM(H5119:H5123)</f>
        <v>0</v>
      </c>
      <c r="I5124" s="7">
        <f t="shared" si="2167"/>
        <v>0</v>
      </c>
      <c r="J5124" s="7">
        <f>SUM(J5119:J5123)</f>
        <v>21</v>
      </c>
      <c r="K5124" s="7">
        <f t="shared" si="2167"/>
        <v>0</v>
      </c>
      <c r="L5124" s="7">
        <f t="shared" si="2167"/>
        <v>21</v>
      </c>
      <c r="M5124" s="7">
        <f t="shared" si="2167"/>
        <v>4</v>
      </c>
      <c r="N5124" s="7">
        <f t="shared" si="2167"/>
        <v>4</v>
      </c>
      <c r="O5124" s="18"/>
      <c r="P5124" s="13"/>
      <c r="Q5124" s="13"/>
      <c r="S5124" s="13"/>
      <c r="T5124" s="15"/>
      <c r="U5124" s="46" t="str">
        <f t="shared" si="2164"/>
        <v/>
      </c>
      <c r="V5124" s="46" t="str">
        <f t="shared" si="2164"/>
        <v/>
      </c>
      <c r="W5124" s="46" t="str">
        <f t="shared" si="2164"/>
        <v/>
      </c>
      <c r="X5124" s="46" t="str">
        <f t="shared" si="2164"/>
        <v/>
      </c>
    </row>
    <row r="5125" spans="2:24" x14ac:dyDescent="0.25">
      <c r="B5125" s="18"/>
      <c r="C5125" s="18"/>
      <c r="D5125" s="18"/>
      <c r="E5125" s="40"/>
      <c r="F5125" s="18"/>
      <c r="G5125" s="40"/>
      <c r="N5125" s="8" t="str">
        <f>IF(R5125="x",1,"")</f>
        <v/>
      </c>
      <c r="O5125" s="18"/>
      <c r="P5125" s="13"/>
      <c r="Q5125" s="13"/>
      <c r="R5125" s="13"/>
      <c r="S5125" s="13"/>
      <c r="T5125" s="15"/>
      <c r="U5125" s="46" t="str">
        <f t="shared" si="2164"/>
        <v/>
      </c>
      <c r="V5125" s="46" t="str">
        <f t="shared" si="2164"/>
        <v/>
      </c>
      <c r="W5125" s="46" t="str">
        <f t="shared" si="2164"/>
        <v/>
      </c>
      <c r="X5125" s="46" t="str">
        <f t="shared" si="2164"/>
        <v/>
      </c>
    </row>
    <row r="5126" spans="2:24" x14ac:dyDescent="0.25">
      <c r="B5126" s="18"/>
      <c r="C5126" s="18"/>
      <c r="D5126" s="18"/>
      <c r="E5126" s="40"/>
      <c r="F5126" s="18"/>
      <c r="G5126" s="40"/>
      <c r="N5126" s="8" t="str">
        <f>IF(R5126="x",1,"")</f>
        <v/>
      </c>
      <c r="O5126" s="18"/>
      <c r="P5126" s="13"/>
      <c r="Q5126" s="13"/>
      <c r="R5126" s="13"/>
      <c r="S5126" s="13"/>
      <c r="T5126" s="15"/>
      <c r="U5126" s="46" t="str">
        <f t="shared" si="2164"/>
        <v/>
      </c>
      <c r="V5126" s="46" t="str">
        <f t="shared" si="2164"/>
        <v/>
      </c>
      <c r="W5126" s="46" t="str">
        <f t="shared" si="2164"/>
        <v/>
      </c>
      <c r="X5126" s="46" t="str">
        <f t="shared" si="2164"/>
        <v/>
      </c>
    </row>
    <row r="5127" spans="2:24" x14ac:dyDescent="0.25">
      <c r="B5127" s="11" t="str">
        <f>CONCATENATE("PMON","-",LEFT(P5127,2),UPPER(MID(P5127,4,3)),RIGHT(P5127,4))</f>
        <v>PMON-18OCT1883</v>
      </c>
      <c r="C5127" s="11" t="s">
        <v>6186</v>
      </c>
      <c r="D5127" s="11" t="s">
        <v>3225</v>
      </c>
      <c r="F5127" s="11" t="s">
        <v>1700</v>
      </c>
      <c r="G5127" s="39" t="s">
        <v>6187</v>
      </c>
      <c r="H5127" s="7">
        <v>0</v>
      </c>
      <c r="I5127" s="7">
        <v>0</v>
      </c>
      <c r="J5127" s="17">
        <v>6</v>
      </c>
      <c r="K5127" s="17"/>
      <c r="L5127" s="7">
        <f>SUM(H5127:K5127)</f>
        <v>6</v>
      </c>
      <c r="M5127" s="8">
        <v>1</v>
      </c>
      <c r="N5127" s="8">
        <f>IF(L5127&gt;0,1,"")</f>
        <v>1</v>
      </c>
      <c r="O5127" s="11" t="s">
        <v>1702</v>
      </c>
      <c r="P5127" s="16" t="str">
        <f>IF(LEN(G5127)=10,CONCATENATE("0",G5127),G5127)</f>
        <v>18-Oct-1883</v>
      </c>
      <c r="R5127" s="16" t="str">
        <f>IF($L5127&gt;0,"x","")</f>
        <v>x</v>
      </c>
      <c r="S5127" s="16" t="str">
        <f>IF($L5127&gt;0,"x","")</f>
        <v>x</v>
      </c>
      <c r="U5127" s="46" t="str">
        <f t="shared" si="2164"/>
        <v/>
      </c>
      <c r="V5127" s="46">
        <f t="shared" si="2164"/>
        <v>6</v>
      </c>
      <c r="W5127" s="46" t="str">
        <f t="shared" si="2164"/>
        <v/>
      </c>
      <c r="X5127" s="46" t="str">
        <f t="shared" si="2164"/>
        <v/>
      </c>
    </row>
    <row r="5128" spans="2:24" x14ac:dyDescent="0.25">
      <c r="B5128" s="11" t="str">
        <f>CONCATENATE("PMON","-",LEFT(P5128,2),UPPER(MID(P5128,4,3)),RIGHT(P5128,4))</f>
        <v>PMON-12JUL1886</v>
      </c>
      <c r="C5128" s="11" t="s">
        <v>6186</v>
      </c>
      <c r="D5128" s="11" t="s">
        <v>11177</v>
      </c>
      <c r="F5128" s="11" t="s">
        <v>1700</v>
      </c>
      <c r="G5128" s="39" t="s">
        <v>11178</v>
      </c>
      <c r="H5128" s="7">
        <v>0</v>
      </c>
      <c r="J5128" s="17">
        <v>2</v>
      </c>
      <c r="K5128" s="17"/>
      <c r="L5128" s="7">
        <f>SUM(H5128:K5128)</f>
        <v>2</v>
      </c>
      <c r="M5128" s="8">
        <v>1</v>
      </c>
      <c r="N5128" s="8">
        <f>IF(L5128&gt;0,1,"")</f>
        <v>1</v>
      </c>
      <c r="O5128" s="11" t="s">
        <v>1702</v>
      </c>
      <c r="P5128" s="16" t="str">
        <f>IF(LEN(G5128)=10,CONCATENATE("0",G5128),G5128)</f>
        <v>12-Jul-1886</v>
      </c>
      <c r="R5128" s="16" t="str">
        <f>IF($L5128&gt;0,"x","")</f>
        <v>x</v>
      </c>
      <c r="S5128" s="16" t="str">
        <f>IF($L5128&gt;0,"x","")</f>
        <v>x</v>
      </c>
      <c r="U5128" s="46" t="str">
        <f t="shared" si="2164"/>
        <v/>
      </c>
      <c r="V5128" s="46">
        <f t="shared" si="2164"/>
        <v>2</v>
      </c>
      <c r="W5128" s="46" t="str">
        <f t="shared" si="2164"/>
        <v/>
      </c>
      <c r="X5128" s="46" t="str">
        <f t="shared" si="2164"/>
        <v/>
      </c>
    </row>
    <row r="5129" spans="2:24" x14ac:dyDescent="0.25">
      <c r="N5129" s="8" t="str">
        <f>IF(R5129="x",1,"")</f>
        <v/>
      </c>
      <c r="U5129" s="46" t="str">
        <f t="shared" si="2164"/>
        <v/>
      </c>
      <c r="V5129" s="46" t="str">
        <f t="shared" si="2164"/>
        <v/>
      </c>
      <c r="W5129" s="46" t="str">
        <f t="shared" si="2164"/>
        <v/>
      </c>
      <c r="X5129" s="46" t="str">
        <f t="shared" si="2164"/>
        <v/>
      </c>
    </row>
    <row r="5130" spans="2:24" x14ac:dyDescent="0.25">
      <c r="B5130" s="18"/>
      <c r="C5130" s="18"/>
      <c r="D5130" s="18"/>
      <c r="E5130" s="40"/>
      <c r="F5130" s="18"/>
      <c r="G5130" s="40"/>
      <c r="H5130" s="7">
        <f t="shared" ref="H5130:N5130" si="2168">SUM(H5127:H5129)</f>
        <v>0</v>
      </c>
      <c r="I5130" s="7">
        <f t="shared" si="2168"/>
        <v>0</v>
      </c>
      <c r="J5130" s="7">
        <f>SUM(J5127:J5129)</f>
        <v>8</v>
      </c>
      <c r="K5130" s="7">
        <f t="shared" si="2168"/>
        <v>0</v>
      </c>
      <c r="L5130" s="7">
        <f t="shared" si="2168"/>
        <v>8</v>
      </c>
      <c r="M5130" s="7">
        <f t="shared" si="2168"/>
        <v>2</v>
      </c>
      <c r="N5130" s="7">
        <f t="shared" si="2168"/>
        <v>2</v>
      </c>
      <c r="O5130" s="18"/>
      <c r="P5130" s="13"/>
      <c r="Q5130" s="13"/>
      <c r="S5130" s="13"/>
      <c r="T5130" s="15"/>
      <c r="U5130" s="46" t="str">
        <f t="shared" si="2164"/>
        <v/>
      </c>
      <c r="V5130" s="46" t="str">
        <f t="shared" si="2164"/>
        <v/>
      </c>
      <c r="W5130" s="46" t="str">
        <f t="shared" si="2164"/>
        <v/>
      </c>
      <c r="X5130" s="46" t="str">
        <f t="shared" si="2164"/>
        <v/>
      </c>
    </row>
    <row r="5131" spans="2:24" x14ac:dyDescent="0.25">
      <c r="B5131" s="18"/>
      <c r="C5131" s="18"/>
      <c r="D5131" s="18"/>
      <c r="E5131" s="40"/>
      <c r="F5131" s="18"/>
      <c r="G5131" s="40"/>
      <c r="N5131" s="8" t="str">
        <f>IF(R5131="x",1,"")</f>
        <v/>
      </c>
      <c r="O5131" s="18"/>
      <c r="P5131" s="13"/>
      <c r="Q5131" s="13"/>
      <c r="R5131" s="13"/>
      <c r="S5131" s="13"/>
      <c r="T5131" s="15"/>
      <c r="U5131" s="46" t="str">
        <f t="shared" ref="U5131:X5143" si="2169">IF($O5131=U$5,$L5131,"")</f>
        <v/>
      </c>
      <c r="V5131" s="46" t="str">
        <f t="shared" si="2169"/>
        <v/>
      </c>
      <c r="W5131" s="46" t="str">
        <f t="shared" si="2169"/>
        <v/>
      </c>
      <c r="X5131" s="46" t="str">
        <f t="shared" si="2169"/>
        <v/>
      </c>
    </row>
    <row r="5132" spans="2:24" x14ac:dyDescent="0.25">
      <c r="B5132" s="18"/>
      <c r="C5132" s="18"/>
      <c r="D5132" s="18"/>
      <c r="E5132" s="40"/>
      <c r="F5132" s="18"/>
      <c r="G5132" s="40"/>
      <c r="N5132" s="8" t="str">
        <f>IF(R5132="x",1,"")</f>
        <v/>
      </c>
      <c r="O5132" s="18"/>
      <c r="P5132" s="13"/>
      <c r="Q5132" s="13"/>
      <c r="R5132" s="13"/>
      <c r="S5132" s="13"/>
      <c r="T5132" s="15"/>
      <c r="U5132" s="46" t="str">
        <f t="shared" si="2169"/>
        <v/>
      </c>
      <c r="V5132" s="46" t="str">
        <f t="shared" si="2169"/>
        <v/>
      </c>
      <c r="W5132" s="46" t="str">
        <f t="shared" si="2169"/>
        <v/>
      </c>
      <c r="X5132" s="46" t="str">
        <f t="shared" si="2169"/>
        <v/>
      </c>
    </row>
    <row r="5133" spans="2:24" x14ac:dyDescent="0.25">
      <c r="B5133" s="11" t="str">
        <f>CONCATENATE("PERU","-",LEFT(P5133,2),UPPER(MID(P5133,4,3)),RIGHT(P5133,4))</f>
        <v>PERU-21NOV1905</v>
      </c>
      <c r="C5133" s="11" t="s">
        <v>5142</v>
      </c>
      <c r="D5133" s="11" t="s">
        <v>3007</v>
      </c>
      <c r="E5133" s="39" t="s">
        <v>1424</v>
      </c>
      <c r="F5133" s="11" t="s">
        <v>1700</v>
      </c>
      <c r="G5133" s="39" t="s">
        <v>5595</v>
      </c>
      <c r="H5133" s="7">
        <v>0</v>
      </c>
      <c r="J5133" s="17">
        <v>4</v>
      </c>
      <c r="K5133" s="17"/>
      <c r="L5133" s="7">
        <f>SUM(H5133:K5133)</f>
        <v>4</v>
      </c>
      <c r="M5133" s="8">
        <v>1</v>
      </c>
      <c r="N5133" s="8">
        <f>IF(L5133&gt;0,1,"")</f>
        <v>1</v>
      </c>
      <c r="O5133" s="11" t="s">
        <v>1702</v>
      </c>
      <c r="P5133" s="16" t="str">
        <f>IF(LEN(G5133)=10,CONCATENATE("0",G5133),G5133)</f>
        <v>21-Nov-1905</v>
      </c>
      <c r="R5133" s="16" t="str">
        <f>IF($L5133&gt;0,"x","")</f>
        <v>x</v>
      </c>
      <c r="S5133" s="16" t="str">
        <f>IF($L5133&gt;0,"x","")</f>
        <v>x</v>
      </c>
      <c r="U5133" s="46" t="str">
        <f t="shared" si="2169"/>
        <v/>
      </c>
      <c r="V5133" s="46">
        <f t="shared" si="2169"/>
        <v>4</v>
      </c>
      <c r="W5133" s="46" t="str">
        <f t="shared" si="2169"/>
        <v/>
      </c>
      <c r="X5133" s="46" t="str">
        <f t="shared" si="2169"/>
        <v/>
      </c>
    </row>
    <row r="5134" spans="2:24" x14ac:dyDescent="0.25">
      <c r="B5134" s="11" t="str">
        <f>CONCATENATE("PERU","-",LEFT(P5134,2),UPPER(MID(P5134,4,3)),RIGHT(P5134,4))</f>
        <v>PERU-25JUL1911</v>
      </c>
      <c r="C5134" s="11" t="s">
        <v>5142</v>
      </c>
      <c r="D5134" s="11" t="s">
        <v>3007</v>
      </c>
      <c r="E5134" s="39" t="s">
        <v>5143</v>
      </c>
      <c r="F5134" s="11" t="s">
        <v>1700</v>
      </c>
      <c r="G5134" s="39" t="s">
        <v>5144</v>
      </c>
      <c r="H5134" s="7">
        <v>1</v>
      </c>
      <c r="J5134" s="17">
        <v>15</v>
      </c>
      <c r="K5134" s="17"/>
      <c r="L5134" s="7">
        <f>SUM(H5134:K5134)</f>
        <v>16</v>
      </c>
      <c r="M5134" s="8">
        <v>1</v>
      </c>
      <c r="N5134" s="8">
        <f>IF(L5134&gt;0,1,"")</f>
        <v>1</v>
      </c>
      <c r="O5134" s="11" t="s">
        <v>1702</v>
      </c>
      <c r="P5134" s="16" t="str">
        <f>IF(LEN(G5134)=10,CONCATENATE("0",G5134),G5134)</f>
        <v>25-Jul-1911</v>
      </c>
      <c r="R5134" s="16" t="str">
        <f>IF($L5134&gt;0,"x","")</f>
        <v>x</v>
      </c>
      <c r="S5134" s="16" t="str">
        <f>IF($L5134&gt;0,"x","")</f>
        <v>x</v>
      </c>
      <c r="U5134" s="46" t="str">
        <f t="shared" si="2169"/>
        <v/>
      </c>
      <c r="V5134" s="46">
        <f t="shared" si="2169"/>
        <v>16</v>
      </c>
      <c r="W5134" s="46" t="str">
        <f t="shared" si="2169"/>
        <v/>
      </c>
      <c r="X5134" s="46" t="str">
        <f t="shared" si="2169"/>
        <v/>
      </c>
    </row>
    <row r="5135" spans="2:24" x14ac:dyDescent="0.25">
      <c r="N5135" s="8" t="str">
        <f>IF(R5135="x",1,"")</f>
        <v/>
      </c>
      <c r="U5135" s="46" t="str">
        <f t="shared" si="2169"/>
        <v/>
      </c>
      <c r="V5135" s="46" t="str">
        <f t="shared" si="2169"/>
        <v/>
      </c>
      <c r="W5135" s="46" t="str">
        <f t="shared" si="2169"/>
        <v/>
      </c>
      <c r="X5135" s="46" t="str">
        <f t="shared" si="2169"/>
        <v/>
      </c>
    </row>
    <row r="5136" spans="2:24" x14ac:dyDescent="0.25">
      <c r="B5136" s="18"/>
      <c r="C5136" s="18"/>
      <c r="D5136" s="18"/>
      <c r="E5136" s="40"/>
      <c r="F5136" s="18"/>
      <c r="G5136" s="40"/>
      <c r="H5136" s="7">
        <f t="shared" ref="H5136:N5136" si="2170">SUM(H5133:H5135)</f>
        <v>1</v>
      </c>
      <c r="I5136" s="7">
        <f t="shared" si="2170"/>
        <v>0</v>
      </c>
      <c r="J5136" s="7">
        <f>SUM(J5133:J5135)</f>
        <v>19</v>
      </c>
      <c r="K5136" s="7">
        <f t="shared" si="2170"/>
        <v>0</v>
      </c>
      <c r="L5136" s="7">
        <f t="shared" si="2170"/>
        <v>20</v>
      </c>
      <c r="M5136" s="7">
        <f t="shared" si="2170"/>
        <v>2</v>
      </c>
      <c r="N5136" s="7">
        <f t="shared" si="2170"/>
        <v>2</v>
      </c>
      <c r="O5136" s="18"/>
      <c r="P5136" s="13"/>
      <c r="Q5136" s="13"/>
      <c r="S5136" s="13"/>
      <c r="T5136" s="15"/>
      <c r="U5136" s="46" t="str">
        <f t="shared" si="2169"/>
        <v/>
      </c>
      <c r="V5136" s="46" t="str">
        <f t="shared" si="2169"/>
        <v/>
      </c>
      <c r="W5136" s="46" t="str">
        <f t="shared" si="2169"/>
        <v/>
      </c>
      <c r="X5136" s="46" t="str">
        <f t="shared" si="2169"/>
        <v/>
      </c>
    </row>
    <row r="5137" spans="2:24" x14ac:dyDescent="0.25">
      <c r="B5137" s="18"/>
      <c r="C5137" s="18"/>
      <c r="D5137" s="18"/>
      <c r="E5137" s="40"/>
      <c r="F5137" s="18"/>
      <c r="G5137" s="40"/>
      <c r="N5137" s="8" t="str">
        <f>IF(R5137="x",1,"")</f>
        <v/>
      </c>
      <c r="O5137" s="18"/>
      <c r="P5137" s="13"/>
      <c r="Q5137" s="13"/>
      <c r="R5137" s="13"/>
      <c r="S5137" s="13"/>
      <c r="T5137" s="15"/>
      <c r="U5137" s="46" t="str">
        <f t="shared" si="2169"/>
        <v/>
      </c>
      <c r="V5137" s="46" t="str">
        <f t="shared" si="2169"/>
        <v/>
      </c>
      <c r="W5137" s="46" t="str">
        <f t="shared" si="2169"/>
        <v/>
      </c>
      <c r="X5137" s="46" t="str">
        <f t="shared" si="2169"/>
        <v/>
      </c>
    </row>
    <row r="5138" spans="2:24" x14ac:dyDescent="0.25">
      <c r="B5138" s="18"/>
      <c r="C5138" s="18"/>
      <c r="D5138" s="18"/>
      <c r="E5138" s="40"/>
      <c r="F5138" s="18"/>
      <c r="G5138" s="40"/>
      <c r="N5138" s="8" t="str">
        <f>IF(R5138="x",1,"")</f>
        <v/>
      </c>
      <c r="O5138" s="18"/>
      <c r="P5138" s="13"/>
      <c r="Q5138" s="13"/>
      <c r="R5138" s="13"/>
      <c r="S5138" s="13"/>
      <c r="T5138" s="15"/>
      <c r="U5138" s="46" t="str">
        <f t="shared" si="2169"/>
        <v/>
      </c>
      <c r="V5138" s="46" t="str">
        <f t="shared" si="2169"/>
        <v/>
      </c>
      <c r="W5138" s="46" t="str">
        <f t="shared" si="2169"/>
        <v/>
      </c>
      <c r="X5138" s="46" t="str">
        <f t="shared" si="2169"/>
        <v/>
      </c>
    </row>
    <row r="5139" spans="2:24" x14ac:dyDescent="0.25">
      <c r="B5139" s="11" t="str">
        <f>CONCATENATE("PHIL","-",LEFT(P5139,2),UPPER(MID(P5139,4,3)),RIGHT(P5139,4))</f>
        <v>PHIL-18JAN1903</v>
      </c>
      <c r="C5139" s="11" t="s">
        <v>3039</v>
      </c>
      <c r="D5139" s="11" t="s">
        <v>3619</v>
      </c>
      <c r="E5139" s="39" t="s">
        <v>1388</v>
      </c>
      <c r="F5139" s="11" t="s">
        <v>1700</v>
      </c>
      <c r="G5139" s="39" t="s">
        <v>1382</v>
      </c>
      <c r="H5139" s="7">
        <v>0</v>
      </c>
      <c r="I5139" s="7">
        <v>0</v>
      </c>
      <c r="J5139" s="17">
        <v>11</v>
      </c>
      <c r="K5139" s="17"/>
      <c r="L5139" s="7">
        <f>SUM(H5139:K5139)</f>
        <v>11</v>
      </c>
      <c r="M5139" s="8">
        <v>1</v>
      </c>
      <c r="N5139" s="8">
        <f>IF(L5139&gt;0,1,"")</f>
        <v>1</v>
      </c>
      <c r="O5139" s="11" t="s">
        <v>1702</v>
      </c>
      <c r="P5139" s="16" t="str">
        <f>IF(LEN(G5139)=10,CONCATENATE("0",G5139),G5139)</f>
        <v>18-Jan-1903</v>
      </c>
      <c r="R5139" s="16" t="str">
        <f>IF($L5139&gt;0,"x","")</f>
        <v>x</v>
      </c>
      <c r="S5139" s="16" t="str">
        <f>IF($L5139&gt;0,"x","")</f>
        <v>x</v>
      </c>
      <c r="U5139" s="46" t="str">
        <f t="shared" si="2169"/>
        <v/>
      </c>
      <c r="V5139" s="46">
        <f t="shared" si="2169"/>
        <v>11</v>
      </c>
      <c r="W5139" s="46" t="str">
        <f t="shared" si="2169"/>
        <v/>
      </c>
      <c r="X5139" s="46" t="str">
        <f t="shared" si="2169"/>
        <v/>
      </c>
    </row>
    <row r="5140" spans="2:24" x14ac:dyDescent="0.25">
      <c r="B5140" s="11" t="str">
        <f>CONCATENATE("PHIL","-",LEFT(P5140,2),UPPER(MID(P5140,4,3)),RIGHT(P5140,4))</f>
        <v>PHIL-09MAR1903</v>
      </c>
      <c r="C5140" s="11" t="s">
        <v>3039</v>
      </c>
      <c r="D5140" s="11" t="s">
        <v>3619</v>
      </c>
      <c r="E5140" s="39" t="s">
        <v>746</v>
      </c>
      <c r="F5140" s="11" t="s">
        <v>1700</v>
      </c>
      <c r="G5140" s="39" t="s">
        <v>2105</v>
      </c>
      <c r="H5140" s="7">
        <v>0</v>
      </c>
      <c r="I5140" s="7">
        <v>0</v>
      </c>
      <c r="J5140" s="17">
        <v>5</v>
      </c>
      <c r="K5140" s="17"/>
      <c r="L5140" s="7">
        <f>SUM(H5140:K5140)</f>
        <v>5</v>
      </c>
      <c r="M5140" s="8">
        <v>1</v>
      </c>
      <c r="N5140" s="8">
        <f>IF(L5140&gt;0,1,"")</f>
        <v>1</v>
      </c>
      <c r="O5140" s="11" t="s">
        <v>1702</v>
      </c>
      <c r="P5140" s="16" t="str">
        <f>IF(LEN(G5140)=10,CONCATENATE("0",G5140),G5140)</f>
        <v>09-Mar-1903</v>
      </c>
      <c r="R5140" s="16" t="str">
        <f>IF($L5140&gt;0,"x","")</f>
        <v>x</v>
      </c>
      <c r="S5140" s="16" t="str">
        <f>IF($L5140&gt;0,"x","")</f>
        <v>x</v>
      </c>
      <c r="U5140" s="46" t="str">
        <f t="shared" si="2169"/>
        <v/>
      </c>
      <c r="V5140" s="46">
        <f t="shared" si="2169"/>
        <v>5</v>
      </c>
      <c r="W5140" s="46" t="str">
        <f t="shared" si="2169"/>
        <v/>
      </c>
      <c r="X5140" s="46" t="str">
        <f t="shared" si="2169"/>
        <v/>
      </c>
    </row>
    <row r="5141" spans="2:24" x14ac:dyDescent="0.25">
      <c r="B5141" s="11" t="str">
        <f t="shared" ref="B5141:B5146" si="2171">CONCATENATE("PHIL","-",LEFT(P5141,2),UPPER(MID(P5141,4,3)),RIGHT(P5141,4))</f>
        <v>PHIL-24JAN1904</v>
      </c>
      <c r="C5141" s="11" t="s">
        <v>3039</v>
      </c>
      <c r="D5141" s="11" t="s">
        <v>2224</v>
      </c>
      <c r="E5141" s="39" t="s">
        <v>1755</v>
      </c>
      <c r="F5141" s="11" t="s">
        <v>1700</v>
      </c>
      <c r="G5141" s="39" t="s">
        <v>5670</v>
      </c>
      <c r="H5141" s="7">
        <v>0</v>
      </c>
      <c r="I5141" s="7">
        <v>1</v>
      </c>
      <c r="J5141" s="17">
        <v>11</v>
      </c>
      <c r="K5141" s="17"/>
      <c r="L5141" s="7">
        <f t="shared" ref="L5141:L5146" si="2172">SUM(H5141:K5141)</f>
        <v>12</v>
      </c>
      <c r="M5141" s="8">
        <v>1</v>
      </c>
      <c r="N5141" s="8">
        <f t="shared" ref="N5141:N5146" si="2173">IF(L5141&gt;0,1,"")</f>
        <v>1</v>
      </c>
      <c r="O5141" s="11" t="s">
        <v>1702</v>
      </c>
      <c r="P5141" s="16" t="str">
        <f t="shared" ref="P5141:P5146" si="2174">IF(LEN(G5141)=10,CONCATENATE("0",G5141),G5141)</f>
        <v>24-Jan-1904</v>
      </c>
      <c r="R5141" s="16" t="str">
        <f t="shared" ref="R5141:S5144" si="2175">IF($L5141&gt;0,"x","")</f>
        <v>x</v>
      </c>
      <c r="S5141" s="16" t="str">
        <f t="shared" si="2175"/>
        <v>x</v>
      </c>
      <c r="U5141" s="46" t="str">
        <f t="shared" si="2169"/>
        <v/>
      </c>
      <c r="V5141" s="46">
        <f t="shared" si="2169"/>
        <v>12</v>
      </c>
      <c r="W5141" s="46" t="str">
        <f t="shared" si="2169"/>
        <v/>
      </c>
      <c r="X5141" s="46" t="str">
        <f t="shared" si="2169"/>
        <v/>
      </c>
    </row>
    <row r="5142" spans="2:24" x14ac:dyDescent="0.25">
      <c r="B5142" s="11" t="str">
        <f t="shared" si="2171"/>
        <v>PHIL-11JUN1904</v>
      </c>
      <c r="C5142" s="11" t="s">
        <v>3039</v>
      </c>
      <c r="D5142" s="11" t="s">
        <v>3619</v>
      </c>
      <c r="E5142" s="39" t="s">
        <v>1658</v>
      </c>
      <c r="F5142" s="11" t="s">
        <v>1700</v>
      </c>
      <c r="G5142" s="39" t="s">
        <v>1407</v>
      </c>
      <c r="H5142" s="7">
        <v>0</v>
      </c>
      <c r="I5142" s="7">
        <v>0</v>
      </c>
      <c r="J5142" s="17">
        <v>3</v>
      </c>
      <c r="K5142" s="17"/>
      <c r="L5142" s="7">
        <f t="shared" si="2172"/>
        <v>3</v>
      </c>
      <c r="M5142" s="8">
        <v>1</v>
      </c>
      <c r="N5142" s="8">
        <f t="shared" si="2173"/>
        <v>1</v>
      </c>
      <c r="O5142" s="11" t="s">
        <v>1702</v>
      </c>
      <c r="P5142" s="16" t="str">
        <f t="shared" si="2174"/>
        <v>11-Jun-1904</v>
      </c>
      <c r="R5142" s="16" t="str">
        <f t="shared" si="2175"/>
        <v>x</v>
      </c>
      <c r="S5142" s="16" t="str">
        <f t="shared" si="2175"/>
        <v>x</v>
      </c>
      <c r="U5142" s="46" t="str">
        <f t="shared" si="2169"/>
        <v/>
      </c>
      <c r="V5142" s="46">
        <f t="shared" si="2169"/>
        <v>3</v>
      </c>
      <c r="W5142" s="46" t="str">
        <f t="shared" si="2169"/>
        <v/>
      </c>
      <c r="X5142" s="46" t="str">
        <f t="shared" si="2169"/>
        <v/>
      </c>
    </row>
    <row r="5143" spans="2:24" x14ac:dyDescent="0.25">
      <c r="B5143" s="11" t="str">
        <f t="shared" si="2171"/>
        <v>PHIL-19AUG1905</v>
      </c>
      <c r="C5143" s="11" t="s">
        <v>3039</v>
      </c>
      <c r="D5143" s="11" t="s">
        <v>2224</v>
      </c>
      <c r="E5143" s="39" t="s">
        <v>1422</v>
      </c>
      <c r="F5143" s="11" t="s">
        <v>1700</v>
      </c>
      <c r="G5143" s="39" t="s">
        <v>1781</v>
      </c>
      <c r="H5143" s="7">
        <v>0</v>
      </c>
      <c r="I5143" s="7">
        <v>0</v>
      </c>
      <c r="J5143" s="17">
        <v>11</v>
      </c>
      <c r="K5143" s="17"/>
      <c r="L5143" s="7">
        <f t="shared" si="2172"/>
        <v>11</v>
      </c>
      <c r="M5143" s="8">
        <v>1</v>
      </c>
      <c r="N5143" s="8">
        <f t="shared" si="2173"/>
        <v>1</v>
      </c>
      <c r="O5143" s="11" t="s">
        <v>1702</v>
      </c>
      <c r="P5143" s="16" t="str">
        <f t="shared" si="2174"/>
        <v>19-Aug-1905</v>
      </c>
      <c r="R5143" s="16" t="str">
        <f t="shared" si="2175"/>
        <v>x</v>
      </c>
      <c r="S5143" s="16" t="str">
        <f t="shared" si="2175"/>
        <v>x</v>
      </c>
      <c r="U5143" s="46" t="str">
        <f t="shared" si="2169"/>
        <v/>
      </c>
      <c r="V5143" s="46">
        <f t="shared" si="2169"/>
        <v>11</v>
      </c>
      <c r="W5143" s="46" t="str">
        <f t="shared" si="2169"/>
        <v/>
      </c>
      <c r="X5143" s="46" t="str">
        <f t="shared" si="2169"/>
        <v/>
      </c>
    </row>
    <row r="5144" spans="2:24" x14ac:dyDescent="0.25">
      <c r="B5144" s="11" t="str">
        <f t="shared" si="2171"/>
        <v>PHIL-16SEP1905</v>
      </c>
      <c r="C5144" s="11" t="s">
        <v>3039</v>
      </c>
      <c r="D5144" s="11" t="s">
        <v>3619</v>
      </c>
      <c r="E5144" s="39" t="s">
        <v>5842</v>
      </c>
      <c r="F5144" s="11" t="s">
        <v>1700</v>
      </c>
      <c r="G5144" s="39" t="s">
        <v>2639</v>
      </c>
      <c r="H5144" s="7">
        <v>0</v>
      </c>
      <c r="I5144" s="7">
        <v>0</v>
      </c>
      <c r="J5144" s="17">
        <v>5</v>
      </c>
      <c r="K5144" s="17"/>
      <c r="L5144" s="7">
        <f t="shared" si="2172"/>
        <v>5</v>
      </c>
      <c r="M5144" s="8">
        <v>1</v>
      </c>
      <c r="N5144" s="8">
        <f t="shared" si="2173"/>
        <v>1</v>
      </c>
      <c r="O5144" s="11" t="s">
        <v>1702</v>
      </c>
      <c r="P5144" s="16" t="str">
        <f t="shared" si="2174"/>
        <v>16-Sep-1905</v>
      </c>
      <c r="R5144" s="16" t="str">
        <f t="shared" si="2175"/>
        <v>x</v>
      </c>
      <c r="S5144" s="16" t="str">
        <f t="shared" si="2175"/>
        <v>x</v>
      </c>
      <c r="U5144" s="46" t="str">
        <f t="shared" ref="U5144:X5146" si="2176">IF($O5144=U$5,$L5144,"")</f>
        <v/>
      </c>
      <c r="V5144" s="46">
        <f t="shared" si="2176"/>
        <v>5</v>
      </c>
      <c r="W5144" s="46" t="str">
        <f t="shared" si="2176"/>
        <v/>
      </c>
      <c r="X5144" s="46" t="str">
        <f t="shared" si="2176"/>
        <v/>
      </c>
    </row>
    <row r="5145" spans="2:24" x14ac:dyDescent="0.25">
      <c r="B5145" s="11" t="str">
        <f t="shared" si="2171"/>
        <v>PHIL-11NOV1905</v>
      </c>
      <c r="C5145" s="11" t="s">
        <v>3039</v>
      </c>
      <c r="D5145" s="11" t="s">
        <v>2224</v>
      </c>
      <c r="E5145" s="39" t="s">
        <v>1424</v>
      </c>
      <c r="F5145" s="11" t="s">
        <v>1700</v>
      </c>
      <c r="G5145" s="39" t="s">
        <v>1783</v>
      </c>
      <c r="H5145" s="7">
        <v>0</v>
      </c>
      <c r="I5145" s="7">
        <v>0</v>
      </c>
      <c r="J5145" s="17">
        <v>14</v>
      </c>
      <c r="K5145" s="17"/>
      <c r="L5145" s="7">
        <f t="shared" si="2172"/>
        <v>14</v>
      </c>
      <c r="M5145" s="8">
        <v>1</v>
      </c>
      <c r="N5145" s="8">
        <f t="shared" si="2173"/>
        <v>1</v>
      </c>
      <c r="O5145" s="11" t="s">
        <v>1702</v>
      </c>
      <c r="P5145" s="16" t="str">
        <f t="shared" si="2174"/>
        <v>11-Nov-1905</v>
      </c>
      <c r="R5145" s="16" t="str">
        <f t="shared" ref="R5145:S5186" si="2177">IF($L5145&gt;0,"x","")</f>
        <v>x</v>
      </c>
      <c r="S5145" s="16" t="str">
        <f t="shared" si="2177"/>
        <v>x</v>
      </c>
      <c r="U5145" s="46" t="str">
        <f t="shared" si="2176"/>
        <v/>
      </c>
      <c r="V5145" s="46">
        <f t="shared" si="2176"/>
        <v>14</v>
      </c>
      <c r="W5145" s="46" t="str">
        <f t="shared" si="2176"/>
        <v/>
      </c>
      <c r="X5145" s="46" t="str">
        <f t="shared" si="2176"/>
        <v/>
      </c>
    </row>
    <row r="5146" spans="2:24" x14ac:dyDescent="0.25">
      <c r="B5146" s="11" t="str">
        <f t="shared" si="2171"/>
        <v>PHIL-09DEC1905</v>
      </c>
      <c r="C5146" s="11" t="s">
        <v>3039</v>
      </c>
      <c r="D5146" s="11" t="s">
        <v>3619</v>
      </c>
      <c r="E5146" s="39" t="s">
        <v>1426</v>
      </c>
      <c r="F5146" s="11" t="s">
        <v>1700</v>
      </c>
      <c r="G5146" s="39" t="s">
        <v>796</v>
      </c>
      <c r="H5146" s="7">
        <v>0</v>
      </c>
      <c r="I5146" s="7">
        <v>2</v>
      </c>
      <c r="J5146" s="17">
        <v>3</v>
      </c>
      <c r="K5146" s="17"/>
      <c r="L5146" s="7">
        <f t="shared" si="2172"/>
        <v>5</v>
      </c>
      <c r="M5146" s="8">
        <v>1</v>
      </c>
      <c r="N5146" s="8">
        <f t="shared" si="2173"/>
        <v>1</v>
      </c>
      <c r="O5146" s="11" t="s">
        <v>1702</v>
      </c>
      <c r="P5146" s="16" t="str">
        <f t="shared" si="2174"/>
        <v>09-Dec-1905</v>
      </c>
      <c r="R5146" s="16" t="str">
        <f t="shared" si="2177"/>
        <v>x</v>
      </c>
      <c r="S5146" s="16" t="str">
        <f t="shared" si="2177"/>
        <v>x</v>
      </c>
      <c r="U5146" s="46" t="str">
        <f t="shared" si="2176"/>
        <v/>
      </c>
      <c r="V5146" s="46">
        <f t="shared" si="2176"/>
        <v>5</v>
      </c>
      <c r="W5146" s="46" t="str">
        <f t="shared" si="2176"/>
        <v/>
      </c>
      <c r="X5146" s="46" t="str">
        <f t="shared" si="2176"/>
        <v/>
      </c>
    </row>
    <row r="5147" spans="2:24" x14ac:dyDescent="0.25">
      <c r="B5147" s="11" t="str">
        <f t="shared" ref="B5147:B5186" si="2178">CONCATENATE("PHIL","-",LEFT(P5147,2),UPPER(MID(P5147,4,3)),RIGHT(P5147,4))</f>
        <v>PHIL-22DEC1906</v>
      </c>
      <c r="C5147" s="11" t="s">
        <v>3039</v>
      </c>
      <c r="D5147" s="11" t="s">
        <v>2224</v>
      </c>
      <c r="E5147" s="39" t="s">
        <v>1195</v>
      </c>
      <c r="F5147" s="11" t="s">
        <v>1700</v>
      </c>
      <c r="G5147" s="39" t="s">
        <v>212</v>
      </c>
      <c r="H5147" s="7">
        <v>0</v>
      </c>
      <c r="I5147" s="7">
        <v>0</v>
      </c>
      <c r="J5147" s="17">
        <v>2</v>
      </c>
      <c r="K5147" s="17"/>
      <c r="L5147" s="7">
        <f t="shared" ref="L5147:L5186" si="2179">SUM(H5147:K5147)</f>
        <v>2</v>
      </c>
      <c r="M5147" s="8">
        <v>1</v>
      </c>
      <c r="N5147" s="8">
        <f t="shared" ref="N5147:N5186" si="2180">IF(L5147&gt;0,1,"")</f>
        <v>1</v>
      </c>
      <c r="O5147" s="11" t="s">
        <v>1702</v>
      </c>
      <c r="P5147" s="16" t="str">
        <f t="shared" ref="P5147:P5186" si="2181">IF(LEN(G5147)=10,CONCATENATE("0",G5147),G5147)</f>
        <v>22-Dec-1906</v>
      </c>
      <c r="R5147" s="16" t="str">
        <f t="shared" si="2177"/>
        <v>x</v>
      </c>
      <c r="S5147" s="16" t="str">
        <f t="shared" si="2177"/>
        <v>x</v>
      </c>
      <c r="U5147" s="46" t="str">
        <f t="shared" ref="U5147:X5149" si="2182">IF($O5147=U$5,$L5147,"")</f>
        <v/>
      </c>
      <c r="V5147" s="46">
        <f t="shared" si="2182"/>
        <v>2</v>
      </c>
      <c r="W5147" s="46" t="str">
        <f t="shared" si="2182"/>
        <v/>
      </c>
      <c r="X5147" s="46" t="str">
        <f t="shared" si="2182"/>
        <v/>
      </c>
    </row>
    <row r="5148" spans="2:24" x14ac:dyDescent="0.25">
      <c r="B5148" s="11" t="str">
        <f t="shared" si="2178"/>
        <v>PHIL-17AUG1907</v>
      </c>
      <c r="C5148" s="11" t="s">
        <v>3039</v>
      </c>
      <c r="D5148" s="11" t="s">
        <v>2224</v>
      </c>
      <c r="E5148" s="39" t="s">
        <v>1205</v>
      </c>
      <c r="F5148" s="11" t="s">
        <v>1700</v>
      </c>
      <c r="G5148" s="39" t="s">
        <v>1805</v>
      </c>
      <c r="H5148" s="7">
        <v>0</v>
      </c>
      <c r="I5148" s="7">
        <v>0</v>
      </c>
      <c r="J5148" s="17">
        <v>3</v>
      </c>
      <c r="K5148" s="17"/>
      <c r="L5148" s="7">
        <f t="shared" si="2179"/>
        <v>3</v>
      </c>
      <c r="M5148" s="8">
        <v>1</v>
      </c>
      <c r="N5148" s="8">
        <f t="shared" si="2180"/>
        <v>1</v>
      </c>
      <c r="O5148" s="11" t="s">
        <v>1702</v>
      </c>
      <c r="P5148" s="16" t="str">
        <f t="shared" si="2181"/>
        <v>17-Aug-1907</v>
      </c>
      <c r="R5148" s="16" t="str">
        <f t="shared" si="2177"/>
        <v>x</v>
      </c>
      <c r="S5148" s="16" t="str">
        <f t="shared" si="2177"/>
        <v>x</v>
      </c>
      <c r="U5148" s="46" t="str">
        <f t="shared" si="2182"/>
        <v/>
      </c>
      <c r="V5148" s="46">
        <f t="shared" si="2182"/>
        <v>3</v>
      </c>
      <c r="W5148" s="46" t="str">
        <f t="shared" si="2182"/>
        <v/>
      </c>
      <c r="X5148" s="46" t="str">
        <f t="shared" si="2182"/>
        <v/>
      </c>
    </row>
    <row r="5149" spans="2:24" x14ac:dyDescent="0.25">
      <c r="B5149" s="11" t="str">
        <f t="shared" si="2178"/>
        <v>PHIL-10NOV1907</v>
      </c>
      <c r="C5149" s="11" t="s">
        <v>3039</v>
      </c>
      <c r="D5149" s="11" t="s">
        <v>2224</v>
      </c>
      <c r="E5149" s="39" t="s">
        <v>1809</v>
      </c>
      <c r="F5149" s="11" t="s">
        <v>1700</v>
      </c>
      <c r="G5149" s="39" t="s">
        <v>1810</v>
      </c>
      <c r="H5149" s="7">
        <v>0</v>
      </c>
      <c r="I5149" s="7">
        <v>3</v>
      </c>
      <c r="J5149" s="17">
        <v>9</v>
      </c>
      <c r="K5149" s="17"/>
      <c r="L5149" s="7">
        <f t="shared" si="2179"/>
        <v>12</v>
      </c>
      <c r="M5149" s="8">
        <v>1</v>
      </c>
      <c r="N5149" s="8">
        <f t="shared" si="2180"/>
        <v>1</v>
      </c>
      <c r="O5149" s="11" t="s">
        <v>1702</v>
      </c>
      <c r="P5149" s="16" t="str">
        <f t="shared" si="2181"/>
        <v>10-Nov-1907</v>
      </c>
      <c r="R5149" s="16" t="str">
        <f t="shared" si="2177"/>
        <v>x</v>
      </c>
      <c r="S5149" s="16" t="str">
        <f t="shared" si="2177"/>
        <v>x</v>
      </c>
      <c r="U5149" s="46" t="str">
        <f t="shared" si="2182"/>
        <v/>
      </c>
      <c r="V5149" s="46">
        <f t="shared" si="2182"/>
        <v>12</v>
      </c>
      <c r="W5149" s="46" t="str">
        <f t="shared" si="2182"/>
        <v/>
      </c>
      <c r="X5149" s="46" t="str">
        <f t="shared" si="2182"/>
        <v/>
      </c>
    </row>
    <row r="5150" spans="2:24" x14ac:dyDescent="0.25">
      <c r="B5150" s="11" t="str">
        <f t="shared" si="2178"/>
        <v>PHIL-02FEB1908</v>
      </c>
      <c r="C5150" s="11" t="s">
        <v>3039</v>
      </c>
      <c r="D5150" s="11" t="s">
        <v>2224</v>
      </c>
      <c r="E5150" s="39" t="s">
        <v>1467</v>
      </c>
      <c r="F5150" s="11" t="s">
        <v>1700</v>
      </c>
      <c r="G5150" s="39" t="s">
        <v>1463</v>
      </c>
      <c r="H5150" s="7">
        <v>0</v>
      </c>
      <c r="I5150" s="7">
        <v>0</v>
      </c>
      <c r="J5150" s="17">
        <v>4</v>
      </c>
      <c r="K5150" s="17"/>
      <c r="L5150" s="7">
        <f t="shared" si="2179"/>
        <v>4</v>
      </c>
      <c r="M5150" s="8">
        <v>1</v>
      </c>
      <c r="N5150" s="8">
        <f t="shared" si="2180"/>
        <v>1</v>
      </c>
      <c r="O5150" s="11" t="s">
        <v>1702</v>
      </c>
      <c r="P5150" s="16" t="str">
        <f t="shared" si="2181"/>
        <v>02-Feb-1908</v>
      </c>
      <c r="R5150" s="16" t="str">
        <f>IF($L5150&gt;0,"x","")</f>
        <v>x</v>
      </c>
      <c r="S5150" s="16" t="str">
        <f>IF($L5150&gt;0,"x","")</f>
        <v>x</v>
      </c>
      <c r="U5150" s="46" t="str">
        <f t="shared" ref="U5150:X5154" si="2183">IF($O5150=U$5,$L5150,"")</f>
        <v/>
      </c>
      <c r="V5150" s="46">
        <f t="shared" si="2183"/>
        <v>4</v>
      </c>
      <c r="W5150" s="46" t="str">
        <f t="shared" si="2183"/>
        <v/>
      </c>
      <c r="X5150" s="46" t="str">
        <f t="shared" si="2183"/>
        <v/>
      </c>
    </row>
    <row r="5151" spans="2:24" x14ac:dyDescent="0.25">
      <c r="B5151" s="11" t="str">
        <f t="shared" si="2178"/>
        <v>PHIL-30MAR1908</v>
      </c>
      <c r="C5151" s="11" t="s">
        <v>3039</v>
      </c>
      <c r="D5151" s="11" t="s">
        <v>2224</v>
      </c>
      <c r="E5151" s="39" t="s">
        <v>2673</v>
      </c>
      <c r="F5151" s="11" t="s">
        <v>1700</v>
      </c>
      <c r="G5151" s="39" t="s">
        <v>2665</v>
      </c>
      <c r="H5151" s="7">
        <v>0</v>
      </c>
      <c r="I5151" s="7">
        <v>0</v>
      </c>
      <c r="J5151" s="17">
        <v>6</v>
      </c>
      <c r="K5151" s="17"/>
      <c r="L5151" s="7">
        <f t="shared" si="2179"/>
        <v>6</v>
      </c>
      <c r="M5151" s="8">
        <v>1</v>
      </c>
      <c r="N5151" s="8">
        <f t="shared" si="2180"/>
        <v>1</v>
      </c>
      <c r="O5151" s="11" t="s">
        <v>1702</v>
      </c>
      <c r="P5151" s="16" t="str">
        <f t="shared" si="2181"/>
        <v>30-Mar-1908</v>
      </c>
      <c r="R5151" s="16" t="str">
        <f t="shared" si="2177"/>
        <v>x</v>
      </c>
      <c r="S5151" s="16" t="str">
        <f t="shared" si="2177"/>
        <v>x</v>
      </c>
      <c r="U5151" s="46" t="str">
        <f t="shared" si="2183"/>
        <v/>
      </c>
      <c r="V5151" s="46">
        <f t="shared" si="2183"/>
        <v>6</v>
      </c>
      <c r="W5151" s="46" t="str">
        <f t="shared" si="2183"/>
        <v/>
      </c>
      <c r="X5151" s="46" t="str">
        <f t="shared" si="2183"/>
        <v/>
      </c>
    </row>
    <row r="5152" spans="2:24" x14ac:dyDescent="0.25">
      <c r="B5152" s="11" t="str">
        <f t="shared" si="2178"/>
        <v>PHIL-25APR1908</v>
      </c>
      <c r="C5152" s="11" t="s">
        <v>3039</v>
      </c>
      <c r="D5152" s="11" t="s">
        <v>2224</v>
      </c>
      <c r="E5152" s="39" t="s">
        <v>1469</v>
      </c>
      <c r="F5152" s="11" t="s">
        <v>1700</v>
      </c>
      <c r="G5152" s="39" t="s">
        <v>1222</v>
      </c>
      <c r="H5152" s="7">
        <v>0</v>
      </c>
      <c r="I5152" s="7">
        <v>5</v>
      </c>
      <c r="J5152" s="17">
        <v>7</v>
      </c>
      <c r="K5152" s="17"/>
      <c r="L5152" s="7">
        <f t="shared" si="2179"/>
        <v>12</v>
      </c>
      <c r="M5152" s="8">
        <v>1</v>
      </c>
      <c r="N5152" s="8">
        <f t="shared" si="2180"/>
        <v>1</v>
      </c>
      <c r="O5152" s="11" t="s">
        <v>1702</v>
      </c>
      <c r="P5152" s="16" t="str">
        <f t="shared" si="2181"/>
        <v>25-Apr-1908</v>
      </c>
      <c r="R5152" s="16" t="str">
        <f t="shared" si="2177"/>
        <v>x</v>
      </c>
      <c r="S5152" s="16" t="str">
        <f t="shared" si="2177"/>
        <v>x</v>
      </c>
      <c r="T5152" s="11"/>
      <c r="U5152" s="46" t="str">
        <f t="shared" si="2183"/>
        <v/>
      </c>
      <c r="V5152" s="46">
        <f t="shared" si="2183"/>
        <v>12</v>
      </c>
      <c r="W5152" s="46" t="str">
        <f t="shared" si="2183"/>
        <v/>
      </c>
      <c r="X5152" s="46" t="str">
        <f t="shared" si="2183"/>
        <v/>
      </c>
    </row>
    <row r="5153" spans="2:24" x14ac:dyDescent="0.25">
      <c r="B5153" s="11" t="str">
        <f t="shared" si="2178"/>
        <v>PHIL-22AUG1908</v>
      </c>
      <c r="C5153" s="11" t="s">
        <v>3039</v>
      </c>
      <c r="D5153" s="11" t="s">
        <v>2224</v>
      </c>
      <c r="E5153" s="39" t="s">
        <v>1825</v>
      </c>
      <c r="F5153" s="11" t="s">
        <v>1700</v>
      </c>
      <c r="G5153" s="39" t="s">
        <v>1826</v>
      </c>
      <c r="H5153" s="7">
        <v>0</v>
      </c>
      <c r="I5153" s="7">
        <v>0</v>
      </c>
      <c r="J5153" s="17">
        <v>5</v>
      </c>
      <c r="K5153" s="17"/>
      <c r="L5153" s="7">
        <f t="shared" si="2179"/>
        <v>5</v>
      </c>
      <c r="M5153" s="8">
        <v>1</v>
      </c>
      <c r="N5153" s="8">
        <f t="shared" si="2180"/>
        <v>1</v>
      </c>
      <c r="O5153" s="11" t="s">
        <v>1702</v>
      </c>
      <c r="P5153" s="16" t="str">
        <f t="shared" si="2181"/>
        <v>22-Aug-1908</v>
      </c>
      <c r="R5153" s="16" t="str">
        <f t="shared" si="2177"/>
        <v>x</v>
      </c>
      <c r="S5153" s="16" t="str">
        <f t="shared" si="2177"/>
        <v>x</v>
      </c>
      <c r="U5153" s="46" t="str">
        <f t="shared" si="2183"/>
        <v/>
      </c>
      <c r="V5153" s="46">
        <f t="shared" si="2183"/>
        <v>5</v>
      </c>
      <c r="W5153" s="46" t="str">
        <f t="shared" si="2183"/>
        <v/>
      </c>
      <c r="X5153" s="46" t="str">
        <f t="shared" si="2183"/>
        <v/>
      </c>
    </row>
    <row r="5154" spans="2:24" x14ac:dyDescent="0.25">
      <c r="B5154" s="11" t="str">
        <f t="shared" si="2178"/>
        <v>PHIL-17OCT1908</v>
      </c>
      <c r="C5154" s="11" t="s">
        <v>3039</v>
      </c>
      <c r="D5154" s="11" t="s">
        <v>2224</v>
      </c>
      <c r="E5154" s="39" t="s">
        <v>1474</v>
      </c>
      <c r="F5154" s="11" t="s">
        <v>1700</v>
      </c>
      <c r="G5154" s="39" t="s">
        <v>924</v>
      </c>
      <c r="H5154" s="7">
        <v>0</v>
      </c>
      <c r="I5154" s="7">
        <v>0</v>
      </c>
      <c r="J5154" s="17">
        <v>9</v>
      </c>
      <c r="K5154" s="17"/>
      <c r="L5154" s="7">
        <f t="shared" si="2179"/>
        <v>9</v>
      </c>
      <c r="M5154" s="8">
        <v>1</v>
      </c>
      <c r="N5154" s="8">
        <f t="shared" si="2180"/>
        <v>1</v>
      </c>
      <c r="O5154" s="11" t="s">
        <v>1702</v>
      </c>
      <c r="P5154" s="16" t="str">
        <f t="shared" si="2181"/>
        <v>17-Oct-1908</v>
      </c>
      <c r="R5154" s="16" t="str">
        <f>IF($L5154&gt;0,"x","")</f>
        <v>x</v>
      </c>
      <c r="S5154" s="16" t="str">
        <f>IF($L5154&gt;0,"x","")</f>
        <v>x</v>
      </c>
      <c r="U5154" s="46" t="str">
        <f t="shared" si="2183"/>
        <v/>
      </c>
      <c r="V5154" s="46">
        <f t="shared" si="2183"/>
        <v>9</v>
      </c>
      <c r="W5154" s="46" t="str">
        <f t="shared" si="2183"/>
        <v/>
      </c>
      <c r="X5154" s="46" t="str">
        <f t="shared" si="2183"/>
        <v/>
      </c>
    </row>
    <row r="5155" spans="2:24" x14ac:dyDescent="0.25">
      <c r="B5155" s="11" t="str">
        <f t="shared" si="2178"/>
        <v>PHIL-06MAR1909</v>
      </c>
      <c r="C5155" s="11" t="s">
        <v>3039</v>
      </c>
      <c r="D5155" s="11" t="s">
        <v>2224</v>
      </c>
      <c r="E5155" s="39" t="s">
        <v>860</v>
      </c>
      <c r="F5155" s="11" t="s">
        <v>1700</v>
      </c>
      <c r="G5155" s="39" t="s">
        <v>1236</v>
      </c>
      <c r="H5155" s="7">
        <v>0</v>
      </c>
      <c r="I5155" s="7">
        <v>0</v>
      </c>
      <c r="J5155" s="17">
        <v>1</v>
      </c>
      <c r="K5155" s="17"/>
      <c r="L5155" s="7">
        <f t="shared" si="2179"/>
        <v>1</v>
      </c>
      <c r="M5155" s="8">
        <v>1</v>
      </c>
      <c r="N5155" s="8">
        <f t="shared" si="2180"/>
        <v>1</v>
      </c>
      <c r="O5155" s="11" t="s">
        <v>1702</v>
      </c>
      <c r="P5155" s="16" t="str">
        <f t="shared" si="2181"/>
        <v>06-Mar-1909</v>
      </c>
      <c r="R5155" s="16" t="str">
        <f t="shared" si="2177"/>
        <v>x</v>
      </c>
      <c r="S5155" s="16" t="str">
        <f t="shared" si="2177"/>
        <v>x</v>
      </c>
      <c r="U5155" s="46" t="str">
        <f t="shared" ref="U5155:X5159" si="2184">IF($O5155=U$5,$L5155,"")</f>
        <v/>
      </c>
      <c r="V5155" s="46">
        <f t="shared" si="2184"/>
        <v>1</v>
      </c>
      <c r="W5155" s="46" t="str">
        <f t="shared" si="2184"/>
        <v/>
      </c>
      <c r="X5155" s="46" t="str">
        <f t="shared" si="2184"/>
        <v/>
      </c>
    </row>
    <row r="5156" spans="2:24" x14ac:dyDescent="0.25">
      <c r="B5156" s="11" t="str">
        <f t="shared" si="2178"/>
        <v>PHIL-31JUL1909</v>
      </c>
      <c r="C5156" s="11" t="s">
        <v>3039</v>
      </c>
      <c r="D5156" s="11" t="s">
        <v>2224</v>
      </c>
      <c r="E5156" s="39" t="s">
        <v>1483</v>
      </c>
      <c r="F5156" s="11" t="s">
        <v>1700</v>
      </c>
      <c r="G5156" s="39" t="s">
        <v>1841</v>
      </c>
      <c r="H5156" s="7">
        <v>0</v>
      </c>
      <c r="I5156" s="7">
        <v>0</v>
      </c>
      <c r="J5156" s="17">
        <v>4</v>
      </c>
      <c r="K5156" s="17"/>
      <c r="L5156" s="7">
        <f t="shared" si="2179"/>
        <v>4</v>
      </c>
      <c r="M5156" s="8">
        <v>1</v>
      </c>
      <c r="N5156" s="8">
        <f t="shared" si="2180"/>
        <v>1</v>
      </c>
      <c r="O5156" s="11" t="s">
        <v>1702</v>
      </c>
      <c r="P5156" s="16" t="str">
        <f t="shared" si="2181"/>
        <v>31-Jul-1909</v>
      </c>
      <c r="R5156" s="16" t="str">
        <f t="shared" si="2177"/>
        <v>x</v>
      </c>
      <c r="S5156" s="16" t="str">
        <f t="shared" si="2177"/>
        <v>x</v>
      </c>
      <c r="U5156" s="46" t="str">
        <f t="shared" si="2184"/>
        <v/>
      </c>
      <c r="V5156" s="46">
        <f t="shared" si="2184"/>
        <v>4</v>
      </c>
      <c r="W5156" s="46" t="str">
        <f t="shared" si="2184"/>
        <v/>
      </c>
      <c r="X5156" s="46" t="str">
        <f t="shared" si="2184"/>
        <v/>
      </c>
    </row>
    <row r="5157" spans="2:24" x14ac:dyDescent="0.25">
      <c r="B5157" s="11" t="str">
        <f t="shared" si="2178"/>
        <v>PHIL-28AUG1909</v>
      </c>
      <c r="C5157" s="11" t="s">
        <v>3039</v>
      </c>
      <c r="D5157" s="11" t="s">
        <v>2224</v>
      </c>
      <c r="E5157" s="39" t="s">
        <v>1843</v>
      </c>
      <c r="F5157" s="11" t="s">
        <v>1700</v>
      </c>
      <c r="G5157" s="39" t="s">
        <v>87</v>
      </c>
      <c r="H5157" s="7">
        <v>0</v>
      </c>
      <c r="I5157" s="7">
        <v>2</v>
      </c>
      <c r="J5157" s="17">
        <v>5</v>
      </c>
      <c r="K5157" s="17"/>
      <c r="L5157" s="7">
        <f t="shared" si="2179"/>
        <v>7</v>
      </c>
      <c r="M5157" s="8">
        <v>1</v>
      </c>
      <c r="N5157" s="8">
        <f t="shared" si="2180"/>
        <v>1</v>
      </c>
      <c r="O5157" s="11" t="s">
        <v>1702</v>
      </c>
      <c r="P5157" s="16" t="str">
        <f t="shared" si="2181"/>
        <v>28-Aug-1909</v>
      </c>
      <c r="R5157" s="16" t="str">
        <f>IF($L5157&gt;0,"x","")</f>
        <v>x</v>
      </c>
      <c r="S5157" s="16" t="str">
        <f>IF($L5157&gt;0,"x","")</f>
        <v>x</v>
      </c>
      <c r="U5157" s="46" t="str">
        <f t="shared" si="2184"/>
        <v/>
      </c>
      <c r="V5157" s="46">
        <f t="shared" si="2184"/>
        <v>7</v>
      </c>
      <c r="W5157" s="46" t="str">
        <f t="shared" si="2184"/>
        <v/>
      </c>
      <c r="X5157" s="46" t="str">
        <f t="shared" si="2184"/>
        <v/>
      </c>
    </row>
    <row r="5158" spans="2:24" x14ac:dyDescent="0.25">
      <c r="B5158" s="11" t="str">
        <f>CONCATENATE("PHIL","-",LEFT(P5158,2),UPPER(MID(P5158,4,3)),RIGHT(P5158,4))</f>
        <v>PHIL-26SEP1909</v>
      </c>
      <c r="C5158" s="11" t="s">
        <v>3039</v>
      </c>
      <c r="D5158" s="11" t="s">
        <v>2224</v>
      </c>
      <c r="E5158" s="39" t="s">
        <v>936</v>
      </c>
      <c r="F5158" s="11" t="s">
        <v>1700</v>
      </c>
      <c r="G5158" s="39" t="s">
        <v>1234</v>
      </c>
      <c r="H5158" s="7">
        <v>0</v>
      </c>
      <c r="I5158" s="7">
        <v>1</v>
      </c>
      <c r="J5158" s="17">
        <v>17</v>
      </c>
      <c r="K5158" s="17"/>
      <c r="L5158" s="7">
        <f>SUM(H5158:K5158)</f>
        <v>18</v>
      </c>
      <c r="M5158" s="8">
        <v>1</v>
      </c>
      <c r="N5158" s="8">
        <f>IF(L5158&gt;0,1,"")</f>
        <v>1</v>
      </c>
      <c r="O5158" s="11" t="s">
        <v>1702</v>
      </c>
      <c r="P5158" s="16" t="str">
        <f>IF(LEN(G5158)=10,CONCATENATE("0",G5158),G5158)</f>
        <v>26-Sep-1909</v>
      </c>
      <c r="R5158" s="16" t="str">
        <f t="shared" si="2177"/>
        <v>x</v>
      </c>
      <c r="S5158" s="80"/>
      <c r="U5158" s="46" t="str">
        <f t="shared" si="2184"/>
        <v/>
      </c>
      <c r="V5158" s="46">
        <f t="shared" si="2184"/>
        <v>18</v>
      </c>
      <c r="W5158" s="46" t="str">
        <f t="shared" si="2184"/>
        <v/>
      </c>
      <c r="X5158" s="46" t="str">
        <f t="shared" si="2184"/>
        <v/>
      </c>
    </row>
    <row r="5159" spans="2:24" x14ac:dyDescent="0.25">
      <c r="B5159" s="11" t="str">
        <f t="shared" si="2178"/>
        <v>PHIL-23OCT1909</v>
      </c>
      <c r="C5159" s="11" t="s">
        <v>3039</v>
      </c>
      <c r="D5159" s="11" t="s">
        <v>2224</v>
      </c>
      <c r="E5159" s="39" t="s">
        <v>1240</v>
      </c>
      <c r="F5159" s="11" t="s">
        <v>1700</v>
      </c>
      <c r="G5159" s="39" t="s">
        <v>1847</v>
      </c>
      <c r="H5159" s="7">
        <v>0</v>
      </c>
      <c r="I5159" s="7">
        <v>0</v>
      </c>
      <c r="J5159" s="17">
        <v>34</v>
      </c>
      <c r="K5159" s="17"/>
      <c r="L5159" s="7">
        <f t="shared" si="2179"/>
        <v>34</v>
      </c>
      <c r="M5159" s="8">
        <v>1</v>
      </c>
      <c r="N5159" s="8">
        <f t="shared" si="2180"/>
        <v>1</v>
      </c>
      <c r="O5159" s="11" t="s">
        <v>1702</v>
      </c>
      <c r="P5159" s="16" t="str">
        <f t="shared" si="2181"/>
        <v>23-Oct-1909</v>
      </c>
      <c r="R5159" s="16" t="str">
        <f t="shared" si="2177"/>
        <v>x</v>
      </c>
      <c r="S5159" s="16" t="str">
        <f t="shared" si="2177"/>
        <v>x</v>
      </c>
      <c r="U5159" s="46" t="str">
        <f t="shared" si="2184"/>
        <v/>
      </c>
      <c r="V5159" s="46">
        <f t="shared" si="2184"/>
        <v>34</v>
      </c>
      <c r="W5159" s="46" t="str">
        <f t="shared" si="2184"/>
        <v/>
      </c>
      <c r="X5159" s="46" t="str">
        <f t="shared" si="2184"/>
        <v/>
      </c>
    </row>
    <row r="5160" spans="2:24" x14ac:dyDescent="0.25">
      <c r="B5160" s="11" t="str">
        <f t="shared" si="2178"/>
        <v>PHIL-20NOV1909</v>
      </c>
      <c r="C5160" s="11" t="s">
        <v>3039</v>
      </c>
      <c r="D5160" s="11" t="s">
        <v>2224</v>
      </c>
      <c r="E5160" s="39" t="s">
        <v>1241</v>
      </c>
      <c r="F5160" s="11" t="s">
        <v>1700</v>
      </c>
      <c r="G5160" s="39" t="s">
        <v>1849</v>
      </c>
      <c r="J5160" s="17">
        <v>13</v>
      </c>
      <c r="K5160" s="17"/>
      <c r="L5160" s="7">
        <f t="shared" si="2179"/>
        <v>13</v>
      </c>
      <c r="M5160" s="8">
        <v>1</v>
      </c>
      <c r="N5160" s="8">
        <f t="shared" si="2180"/>
        <v>1</v>
      </c>
      <c r="O5160" s="11" t="s">
        <v>1702</v>
      </c>
      <c r="P5160" s="16" t="str">
        <f t="shared" si="2181"/>
        <v>20-Nov-1909</v>
      </c>
      <c r="R5160" s="16" t="str">
        <f t="shared" si="2177"/>
        <v>x</v>
      </c>
      <c r="S5160" s="16" t="str">
        <f t="shared" si="2177"/>
        <v>x</v>
      </c>
      <c r="U5160" s="46" t="str">
        <f t="shared" ref="U5160:X5163" si="2185">IF($O5160=U$5,$L5160,"")</f>
        <v/>
      </c>
      <c r="V5160" s="46">
        <f t="shared" si="2185"/>
        <v>13</v>
      </c>
      <c r="W5160" s="46" t="str">
        <f t="shared" si="2185"/>
        <v/>
      </c>
      <c r="X5160" s="46" t="str">
        <f t="shared" si="2185"/>
        <v/>
      </c>
    </row>
    <row r="5161" spans="2:24" x14ac:dyDescent="0.25">
      <c r="B5161" s="11" t="str">
        <f t="shared" si="2178"/>
        <v>PHIL-17JAN1910</v>
      </c>
      <c r="C5161" s="11" t="s">
        <v>3039</v>
      </c>
      <c r="D5161" s="11" t="s">
        <v>2224</v>
      </c>
      <c r="E5161" s="39" t="s">
        <v>2326</v>
      </c>
      <c r="F5161" s="11" t="s">
        <v>1700</v>
      </c>
      <c r="G5161" s="39" t="s">
        <v>2320</v>
      </c>
      <c r="H5161" s="7">
        <v>0</v>
      </c>
      <c r="J5161" s="17">
        <v>6</v>
      </c>
      <c r="K5161" s="17"/>
      <c r="L5161" s="7">
        <f t="shared" si="2179"/>
        <v>6</v>
      </c>
      <c r="M5161" s="8">
        <v>1</v>
      </c>
      <c r="N5161" s="8">
        <f t="shared" si="2180"/>
        <v>1</v>
      </c>
      <c r="O5161" s="11" t="s">
        <v>1702</v>
      </c>
      <c r="P5161" s="16" t="str">
        <f t="shared" si="2181"/>
        <v>17-Jan-1910</v>
      </c>
      <c r="R5161" s="16" t="str">
        <f t="shared" si="2177"/>
        <v>x</v>
      </c>
      <c r="S5161" s="16" t="str">
        <f t="shared" si="2177"/>
        <v>x</v>
      </c>
      <c r="U5161" s="46" t="str">
        <f t="shared" si="2185"/>
        <v/>
      </c>
      <c r="V5161" s="46">
        <f t="shared" si="2185"/>
        <v>6</v>
      </c>
      <c r="W5161" s="46" t="str">
        <f t="shared" si="2185"/>
        <v/>
      </c>
      <c r="X5161" s="46" t="str">
        <f t="shared" si="2185"/>
        <v/>
      </c>
    </row>
    <row r="5162" spans="2:24" x14ac:dyDescent="0.25">
      <c r="B5162" s="11" t="str">
        <f t="shared" si="2178"/>
        <v>PHIL-25FEB1910</v>
      </c>
      <c r="C5162" s="11" t="s">
        <v>3039</v>
      </c>
      <c r="D5162" s="11" t="s">
        <v>2224</v>
      </c>
      <c r="E5162" s="39" t="s">
        <v>2676</v>
      </c>
      <c r="F5162" s="11" t="s">
        <v>1700</v>
      </c>
      <c r="G5162" s="39" t="s">
        <v>874</v>
      </c>
      <c r="H5162" s="7">
        <v>0</v>
      </c>
      <c r="I5162" s="7">
        <v>2</v>
      </c>
      <c r="J5162" s="17">
        <v>5</v>
      </c>
      <c r="K5162" s="17"/>
      <c r="L5162" s="7">
        <f t="shared" si="2179"/>
        <v>7</v>
      </c>
      <c r="M5162" s="8">
        <v>1</v>
      </c>
      <c r="N5162" s="8">
        <f t="shared" si="2180"/>
        <v>1</v>
      </c>
      <c r="O5162" s="11" t="s">
        <v>1702</v>
      </c>
      <c r="P5162" s="16" t="str">
        <f t="shared" si="2181"/>
        <v>25-Feb-1910</v>
      </c>
      <c r="R5162" s="16" t="str">
        <f t="shared" si="2177"/>
        <v>x</v>
      </c>
      <c r="S5162" s="16" t="str">
        <f t="shared" si="2177"/>
        <v>x</v>
      </c>
      <c r="U5162" s="46" t="str">
        <f t="shared" si="2185"/>
        <v/>
      </c>
      <c r="V5162" s="46">
        <f t="shared" si="2185"/>
        <v>7</v>
      </c>
      <c r="W5162" s="46" t="str">
        <f t="shared" si="2185"/>
        <v/>
      </c>
      <c r="X5162" s="46" t="str">
        <f t="shared" si="2185"/>
        <v/>
      </c>
    </row>
    <row r="5163" spans="2:24" x14ac:dyDescent="0.25">
      <c r="B5163" s="11" t="str">
        <f t="shared" si="2178"/>
        <v>PHIL-28MAY1910</v>
      </c>
      <c r="C5163" s="11" t="s">
        <v>3039</v>
      </c>
      <c r="D5163" s="11" t="s">
        <v>2224</v>
      </c>
      <c r="E5163" s="39" t="s">
        <v>2329</v>
      </c>
      <c r="F5163" s="11" t="s">
        <v>1700</v>
      </c>
      <c r="G5163" s="39" t="s">
        <v>1499</v>
      </c>
      <c r="H5163" s="7">
        <v>0</v>
      </c>
      <c r="J5163" s="17">
        <v>2</v>
      </c>
      <c r="K5163" s="17"/>
      <c r="L5163" s="7">
        <f t="shared" si="2179"/>
        <v>2</v>
      </c>
      <c r="M5163" s="8">
        <v>1</v>
      </c>
      <c r="N5163" s="8">
        <f t="shared" si="2180"/>
        <v>1</v>
      </c>
      <c r="O5163" s="11" t="s">
        <v>1702</v>
      </c>
      <c r="P5163" s="16" t="str">
        <f t="shared" si="2181"/>
        <v>28-May-1910</v>
      </c>
      <c r="R5163" s="16" t="str">
        <f t="shared" si="2177"/>
        <v>x</v>
      </c>
      <c r="S5163" s="16" t="str">
        <f t="shared" si="2177"/>
        <v>x</v>
      </c>
      <c r="U5163" s="46" t="str">
        <f t="shared" si="2185"/>
        <v/>
      </c>
      <c r="V5163" s="46">
        <f t="shared" si="2185"/>
        <v>2</v>
      </c>
      <c r="W5163" s="46" t="str">
        <f t="shared" si="2185"/>
        <v/>
      </c>
      <c r="X5163" s="46" t="str">
        <f t="shared" si="2185"/>
        <v/>
      </c>
    </row>
    <row r="5164" spans="2:24" x14ac:dyDescent="0.25">
      <c r="B5164" s="11" t="str">
        <f t="shared" si="2178"/>
        <v>PHIL-24JUL1910</v>
      </c>
      <c r="C5164" s="11" t="s">
        <v>3039</v>
      </c>
      <c r="D5164" s="11" t="s">
        <v>2224</v>
      </c>
      <c r="E5164" s="39" t="s">
        <v>1501</v>
      </c>
      <c r="F5164" s="11" t="s">
        <v>1700</v>
      </c>
      <c r="G5164" s="39" t="s">
        <v>3040</v>
      </c>
      <c r="H5164" s="7">
        <v>0</v>
      </c>
      <c r="I5164" s="7">
        <v>0</v>
      </c>
      <c r="J5164" s="17">
        <v>5</v>
      </c>
      <c r="K5164" s="17"/>
      <c r="L5164" s="7">
        <f t="shared" si="2179"/>
        <v>5</v>
      </c>
      <c r="M5164" s="8">
        <v>1</v>
      </c>
      <c r="N5164" s="8">
        <f t="shared" si="2180"/>
        <v>1</v>
      </c>
      <c r="O5164" s="11" t="s">
        <v>1702</v>
      </c>
      <c r="P5164" s="16" t="str">
        <f t="shared" si="2181"/>
        <v>24-Jul-1910</v>
      </c>
      <c r="R5164" s="16" t="str">
        <f t="shared" si="2177"/>
        <v>x</v>
      </c>
      <c r="S5164" s="16" t="str">
        <f t="shared" si="2177"/>
        <v>x</v>
      </c>
      <c r="U5164" s="46" t="str">
        <f t="shared" ref="U5164:X5165" si="2186">IF($O5164=U$5,$L5164,"")</f>
        <v/>
      </c>
      <c r="V5164" s="46">
        <f t="shared" si="2186"/>
        <v>5</v>
      </c>
      <c r="W5164" s="46" t="str">
        <f t="shared" si="2186"/>
        <v/>
      </c>
      <c r="X5164" s="46" t="str">
        <f t="shared" si="2186"/>
        <v/>
      </c>
    </row>
    <row r="5165" spans="2:24" x14ac:dyDescent="0.25">
      <c r="B5165" s="11" t="str">
        <f t="shared" si="2178"/>
        <v>PHIL-20AUG1910</v>
      </c>
      <c r="C5165" s="11" t="s">
        <v>3039</v>
      </c>
      <c r="D5165" s="11" t="s">
        <v>2224</v>
      </c>
      <c r="E5165" s="39" t="s">
        <v>1863</v>
      </c>
      <c r="F5165" s="11" t="s">
        <v>1700</v>
      </c>
      <c r="G5165" s="39" t="s">
        <v>950</v>
      </c>
      <c r="H5165" s="7">
        <v>0</v>
      </c>
      <c r="I5165" s="7">
        <v>2</v>
      </c>
      <c r="J5165" s="17">
        <v>5</v>
      </c>
      <c r="K5165" s="17"/>
      <c r="L5165" s="7">
        <f t="shared" si="2179"/>
        <v>7</v>
      </c>
      <c r="M5165" s="8">
        <v>1</v>
      </c>
      <c r="N5165" s="8">
        <f t="shared" si="2180"/>
        <v>1</v>
      </c>
      <c r="O5165" s="11" t="s">
        <v>1702</v>
      </c>
      <c r="P5165" s="16" t="str">
        <f t="shared" si="2181"/>
        <v>20-Aug-1910</v>
      </c>
      <c r="R5165" s="16" t="str">
        <f t="shared" si="2177"/>
        <v>x</v>
      </c>
      <c r="S5165" s="16" t="str">
        <f t="shared" si="2177"/>
        <v>x</v>
      </c>
      <c r="U5165" s="46" t="str">
        <f t="shared" si="2186"/>
        <v/>
      </c>
      <c r="V5165" s="46">
        <f t="shared" si="2186"/>
        <v>7</v>
      </c>
      <c r="W5165" s="46" t="str">
        <f t="shared" si="2186"/>
        <v/>
      </c>
      <c r="X5165" s="46" t="str">
        <f t="shared" si="2186"/>
        <v/>
      </c>
    </row>
    <row r="5166" spans="2:24" x14ac:dyDescent="0.25">
      <c r="B5166" s="11" t="str">
        <f t="shared" si="2178"/>
        <v>PHIL-02JUL1911</v>
      </c>
      <c r="C5166" s="11" t="s">
        <v>3039</v>
      </c>
      <c r="D5166" s="11" t="s">
        <v>2224</v>
      </c>
      <c r="E5166" s="39" t="s">
        <v>1883</v>
      </c>
      <c r="F5166" s="11" t="s">
        <v>1700</v>
      </c>
      <c r="G5166" s="39" t="s">
        <v>1884</v>
      </c>
      <c r="H5166" s="7">
        <v>0</v>
      </c>
      <c r="I5166" s="7">
        <v>0</v>
      </c>
      <c r="J5166" s="17">
        <v>5</v>
      </c>
      <c r="K5166" s="17"/>
      <c r="L5166" s="7">
        <f t="shared" si="2179"/>
        <v>5</v>
      </c>
      <c r="M5166" s="8">
        <v>1</v>
      </c>
      <c r="N5166" s="8">
        <f t="shared" si="2180"/>
        <v>1</v>
      </c>
      <c r="O5166" s="11" t="s">
        <v>1702</v>
      </c>
      <c r="P5166" s="16" t="str">
        <f t="shared" si="2181"/>
        <v>02-Jul-1911</v>
      </c>
      <c r="R5166" s="16" t="str">
        <f t="shared" si="2177"/>
        <v>x</v>
      </c>
      <c r="S5166" s="16" t="str">
        <f t="shared" si="2177"/>
        <v>x</v>
      </c>
      <c r="U5166" s="46" t="str">
        <f t="shared" ref="U5166:X5169" si="2187">IF($O5166=U$5,$L5166,"")</f>
        <v/>
      </c>
      <c r="V5166" s="46">
        <f t="shared" si="2187"/>
        <v>5</v>
      </c>
      <c r="W5166" s="46" t="str">
        <f t="shared" si="2187"/>
        <v/>
      </c>
      <c r="X5166" s="46" t="str">
        <f t="shared" si="2187"/>
        <v/>
      </c>
    </row>
    <row r="5167" spans="2:24" x14ac:dyDescent="0.25">
      <c r="B5167" s="11" t="str">
        <f t="shared" si="2178"/>
        <v>PHIL-29JUL1911</v>
      </c>
      <c r="C5167" s="11" t="s">
        <v>3039</v>
      </c>
      <c r="D5167" s="11" t="s">
        <v>2224</v>
      </c>
      <c r="E5167" s="39" t="s">
        <v>5343</v>
      </c>
      <c r="F5167" s="11" t="s">
        <v>1700</v>
      </c>
      <c r="G5167" s="39" t="s">
        <v>1269</v>
      </c>
      <c r="H5167" s="7">
        <v>0</v>
      </c>
      <c r="I5167" s="7">
        <v>0</v>
      </c>
      <c r="J5167" s="17">
        <v>6</v>
      </c>
      <c r="K5167" s="17"/>
      <c r="L5167" s="7">
        <f t="shared" si="2179"/>
        <v>6</v>
      </c>
      <c r="M5167" s="8">
        <v>1</v>
      </c>
      <c r="N5167" s="8">
        <f t="shared" si="2180"/>
        <v>1</v>
      </c>
      <c r="O5167" s="11" t="s">
        <v>1702</v>
      </c>
      <c r="P5167" s="16" t="str">
        <f t="shared" si="2181"/>
        <v>29-Jul-1911</v>
      </c>
      <c r="R5167" s="16" t="str">
        <f t="shared" si="2177"/>
        <v>x</v>
      </c>
      <c r="S5167" s="16" t="str">
        <f t="shared" si="2177"/>
        <v>x</v>
      </c>
      <c r="U5167" s="46" t="str">
        <f t="shared" si="2187"/>
        <v/>
      </c>
      <c r="V5167" s="46">
        <f t="shared" si="2187"/>
        <v>6</v>
      </c>
      <c r="W5167" s="46" t="str">
        <f t="shared" si="2187"/>
        <v/>
      </c>
      <c r="X5167" s="46" t="str">
        <f t="shared" si="2187"/>
        <v/>
      </c>
    </row>
    <row r="5168" spans="2:24" x14ac:dyDescent="0.25">
      <c r="B5168" s="11" t="str">
        <f t="shared" si="2178"/>
        <v>PHIL-26AUG1911</v>
      </c>
      <c r="C5168" s="11" t="s">
        <v>3039</v>
      </c>
      <c r="D5168" s="11" t="s">
        <v>2224</v>
      </c>
      <c r="E5168" s="39" t="s">
        <v>973</v>
      </c>
      <c r="F5168" s="11" t="s">
        <v>1700</v>
      </c>
      <c r="G5168" s="39" t="s">
        <v>1270</v>
      </c>
      <c r="H5168" s="7">
        <v>0</v>
      </c>
      <c r="I5168" s="7">
        <v>0</v>
      </c>
      <c r="J5168" s="17">
        <v>3</v>
      </c>
      <c r="K5168" s="17"/>
      <c r="L5168" s="7">
        <f t="shared" si="2179"/>
        <v>3</v>
      </c>
      <c r="M5168" s="8">
        <v>1</v>
      </c>
      <c r="N5168" s="8">
        <f t="shared" si="2180"/>
        <v>1</v>
      </c>
      <c r="O5168" s="11" t="s">
        <v>1702</v>
      </c>
      <c r="P5168" s="16" t="str">
        <f t="shared" si="2181"/>
        <v>26-Aug-1911</v>
      </c>
      <c r="R5168" s="16" t="str">
        <f t="shared" si="2177"/>
        <v>x</v>
      </c>
      <c r="S5168" s="16" t="str">
        <f t="shared" si="2177"/>
        <v>x</v>
      </c>
      <c r="U5168" s="46" t="str">
        <f t="shared" si="2187"/>
        <v/>
      </c>
      <c r="V5168" s="46">
        <f t="shared" si="2187"/>
        <v>3</v>
      </c>
      <c r="W5168" s="46" t="str">
        <f t="shared" si="2187"/>
        <v/>
      </c>
      <c r="X5168" s="46" t="str">
        <f t="shared" si="2187"/>
        <v/>
      </c>
    </row>
    <row r="5169" spans="2:24" x14ac:dyDescent="0.25">
      <c r="B5169" s="11" t="str">
        <f t="shared" si="2178"/>
        <v>PHIL-30JUN1912</v>
      </c>
      <c r="C5169" s="11" t="s">
        <v>3039</v>
      </c>
      <c r="D5169" s="11" t="s">
        <v>2224</v>
      </c>
      <c r="E5169" s="39" t="s">
        <v>3917</v>
      </c>
      <c r="F5169" s="11" t="s">
        <v>1700</v>
      </c>
      <c r="G5169" s="39" t="s">
        <v>5374</v>
      </c>
      <c r="H5169" s="7">
        <v>0</v>
      </c>
      <c r="I5169" s="7">
        <v>0</v>
      </c>
      <c r="J5169" s="17">
        <f>16+1</f>
        <v>17</v>
      </c>
      <c r="K5169" s="17"/>
      <c r="L5169" s="7">
        <f t="shared" si="2179"/>
        <v>17</v>
      </c>
      <c r="M5169" s="8">
        <v>1</v>
      </c>
      <c r="N5169" s="8">
        <f t="shared" si="2180"/>
        <v>1</v>
      </c>
      <c r="O5169" s="11" t="s">
        <v>1702</v>
      </c>
      <c r="P5169" s="16" t="str">
        <f t="shared" si="2181"/>
        <v>30-Jun-1912</v>
      </c>
      <c r="R5169" s="16" t="str">
        <f>IF($L5169&gt;0,"x","")</f>
        <v>x</v>
      </c>
      <c r="S5169" s="16" t="str">
        <f>IF($L5169&gt;0,"x","")</f>
        <v>x</v>
      </c>
      <c r="U5169" s="46" t="str">
        <f t="shared" si="2187"/>
        <v/>
      </c>
      <c r="V5169" s="46">
        <f t="shared" si="2187"/>
        <v>17</v>
      </c>
      <c r="W5169" s="46" t="str">
        <f t="shared" si="2187"/>
        <v/>
      </c>
      <c r="X5169" s="46" t="str">
        <f t="shared" si="2187"/>
        <v/>
      </c>
    </row>
    <row r="5170" spans="2:24" x14ac:dyDescent="0.25">
      <c r="B5170" s="11" t="str">
        <f t="shared" si="2178"/>
        <v>PHIL-28JUL1912</v>
      </c>
      <c r="C5170" s="11" t="s">
        <v>3039</v>
      </c>
      <c r="D5170" s="11" t="s">
        <v>2224</v>
      </c>
      <c r="E5170" s="39" t="s">
        <v>3862</v>
      </c>
      <c r="F5170" s="11" t="s">
        <v>1700</v>
      </c>
      <c r="G5170" s="39" t="s">
        <v>3863</v>
      </c>
      <c r="H5170" s="7">
        <v>0</v>
      </c>
      <c r="I5170" s="7">
        <v>1</v>
      </c>
      <c r="J5170" s="17">
        <v>15</v>
      </c>
      <c r="K5170" s="17"/>
      <c r="L5170" s="7">
        <f t="shared" si="2179"/>
        <v>16</v>
      </c>
      <c r="M5170" s="8">
        <v>1</v>
      </c>
      <c r="N5170" s="8">
        <f t="shared" si="2180"/>
        <v>1</v>
      </c>
      <c r="O5170" s="11" t="s">
        <v>1702</v>
      </c>
      <c r="P5170" s="16" t="str">
        <f t="shared" si="2181"/>
        <v>28-Jul-1912</v>
      </c>
      <c r="R5170" s="16" t="str">
        <f t="shared" si="2177"/>
        <v>x</v>
      </c>
      <c r="S5170" s="16" t="str">
        <f t="shared" si="2177"/>
        <v>x</v>
      </c>
      <c r="U5170" s="46" t="str">
        <f t="shared" ref="U5170:X5172" si="2188">IF($O5170=U$5,$L5170,"")</f>
        <v/>
      </c>
      <c r="V5170" s="46">
        <f t="shared" si="2188"/>
        <v>16</v>
      </c>
      <c r="W5170" s="46" t="str">
        <f t="shared" si="2188"/>
        <v/>
      </c>
      <c r="X5170" s="46" t="str">
        <f t="shared" si="2188"/>
        <v/>
      </c>
    </row>
    <row r="5171" spans="2:24" x14ac:dyDescent="0.25">
      <c r="B5171" s="11" t="str">
        <f t="shared" si="2178"/>
        <v>PHIL-25AUG1912</v>
      </c>
      <c r="C5171" s="11" t="s">
        <v>3039</v>
      </c>
      <c r="D5171" s="11" t="s">
        <v>2224</v>
      </c>
      <c r="E5171" s="39" t="s">
        <v>1901</v>
      </c>
      <c r="F5171" s="11" t="s">
        <v>1700</v>
      </c>
      <c r="G5171" s="39" t="s">
        <v>2346</v>
      </c>
      <c r="H5171" s="7">
        <v>0</v>
      </c>
      <c r="I5171" s="7">
        <v>0</v>
      </c>
      <c r="J5171" s="17">
        <v>3</v>
      </c>
      <c r="K5171" s="17"/>
      <c r="L5171" s="7">
        <f t="shared" si="2179"/>
        <v>3</v>
      </c>
      <c r="M5171" s="8">
        <v>1</v>
      </c>
      <c r="N5171" s="8">
        <f t="shared" si="2180"/>
        <v>1</v>
      </c>
      <c r="O5171" s="11" t="s">
        <v>1702</v>
      </c>
      <c r="P5171" s="16" t="str">
        <f t="shared" si="2181"/>
        <v>25-Aug-1912</v>
      </c>
      <c r="R5171" s="16" t="str">
        <f t="shared" si="2177"/>
        <v>x</v>
      </c>
      <c r="S5171" s="16" t="str">
        <f t="shared" si="2177"/>
        <v>x</v>
      </c>
      <c r="U5171" s="46" t="str">
        <f t="shared" si="2188"/>
        <v/>
      </c>
      <c r="V5171" s="46">
        <f t="shared" si="2188"/>
        <v>3</v>
      </c>
      <c r="W5171" s="46" t="str">
        <f t="shared" si="2188"/>
        <v/>
      </c>
      <c r="X5171" s="46" t="str">
        <f t="shared" si="2188"/>
        <v/>
      </c>
    </row>
    <row r="5172" spans="2:24" x14ac:dyDescent="0.25">
      <c r="B5172" s="11" t="str">
        <f t="shared" si="2178"/>
        <v>PHIL-21SEP1912</v>
      </c>
      <c r="C5172" s="11" t="s">
        <v>3039</v>
      </c>
      <c r="D5172" s="11" t="s">
        <v>2224</v>
      </c>
      <c r="E5172" s="39" t="s">
        <v>1903</v>
      </c>
      <c r="F5172" s="11" t="s">
        <v>1700</v>
      </c>
      <c r="G5172" s="39" t="s">
        <v>1528</v>
      </c>
      <c r="H5172" s="7">
        <v>0</v>
      </c>
      <c r="I5172" s="7">
        <v>0</v>
      </c>
      <c r="J5172" s="17">
        <v>9</v>
      </c>
      <c r="K5172" s="17"/>
      <c r="L5172" s="7">
        <f t="shared" si="2179"/>
        <v>9</v>
      </c>
      <c r="M5172" s="8">
        <v>1</v>
      </c>
      <c r="N5172" s="8">
        <f t="shared" si="2180"/>
        <v>1</v>
      </c>
      <c r="O5172" s="11" t="s">
        <v>1702</v>
      </c>
      <c r="P5172" s="16" t="str">
        <f t="shared" si="2181"/>
        <v>21-Sep-1912</v>
      </c>
      <c r="R5172" s="16" t="str">
        <f t="shared" si="2177"/>
        <v>x</v>
      </c>
      <c r="S5172" s="16" t="str">
        <f t="shared" si="2177"/>
        <v>x</v>
      </c>
      <c r="U5172" s="46" t="str">
        <f t="shared" si="2188"/>
        <v/>
      </c>
      <c r="V5172" s="46">
        <f t="shared" si="2188"/>
        <v>9</v>
      </c>
      <c r="W5172" s="46" t="str">
        <f t="shared" si="2188"/>
        <v/>
      </c>
      <c r="X5172" s="46" t="str">
        <f t="shared" si="2188"/>
        <v/>
      </c>
    </row>
    <row r="5173" spans="2:24" x14ac:dyDescent="0.25">
      <c r="B5173" s="11" t="str">
        <f t="shared" si="2178"/>
        <v>PHIL-16NOV1912</v>
      </c>
      <c r="C5173" s="11" t="s">
        <v>3039</v>
      </c>
      <c r="D5173" s="11" t="s">
        <v>2224</v>
      </c>
      <c r="E5173" s="39" t="s">
        <v>3995</v>
      </c>
      <c r="F5173" s="11" t="s">
        <v>1700</v>
      </c>
      <c r="G5173" s="39" t="s">
        <v>1912</v>
      </c>
      <c r="H5173" s="7">
        <v>0</v>
      </c>
      <c r="I5173" s="7">
        <v>0</v>
      </c>
      <c r="J5173" s="17">
        <v>4</v>
      </c>
      <c r="K5173" s="17"/>
      <c r="L5173" s="7">
        <f t="shared" si="2179"/>
        <v>4</v>
      </c>
      <c r="M5173" s="8">
        <v>1</v>
      </c>
      <c r="N5173" s="8">
        <f t="shared" si="2180"/>
        <v>1</v>
      </c>
      <c r="O5173" s="11" t="s">
        <v>1702</v>
      </c>
      <c r="P5173" s="16" t="str">
        <f t="shared" si="2181"/>
        <v>16-Nov-1912</v>
      </c>
      <c r="R5173" s="16" t="str">
        <f t="shared" si="2177"/>
        <v>x</v>
      </c>
      <c r="S5173" s="16" t="str">
        <f t="shared" si="2177"/>
        <v>x</v>
      </c>
      <c r="U5173" s="46" t="str">
        <f t="shared" ref="U5173:X5175" si="2189">IF($O5173=U$5,$L5173,"")</f>
        <v/>
      </c>
      <c r="V5173" s="46">
        <f t="shared" si="2189"/>
        <v>4</v>
      </c>
      <c r="W5173" s="46" t="str">
        <f t="shared" si="2189"/>
        <v/>
      </c>
      <c r="X5173" s="46" t="str">
        <f t="shared" si="2189"/>
        <v/>
      </c>
    </row>
    <row r="5174" spans="2:24" x14ac:dyDescent="0.25">
      <c r="B5174" s="11" t="str">
        <f t="shared" si="2178"/>
        <v>PHIL-04MAY1913</v>
      </c>
      <c r="C5174" s="11" t="s">
        <v>3039</v>
      </c>
      <c r="D5174" s="11" t="s">
        <v>2224</v>
      </c>
      <c r="E5174" s="39" t="s">
        <v>2361</v>
      </c>
      <c r="F5174" s="11" t="s">
        <v>1700</v>
      </c>
      <c r="G5174" s="39" t="s">
        <v>2351</v>
      </c>
      <c r="H5174" s="7">
        <v>0</v>
      </c>
      <c r="I5174" s="7">
        <v>2</v>
      </c>
      <c r="J5174" s="17">
        <v>5</v>
      </c>
      <c r="K5174" s="17"/>
      <c r="L5174" s="7">
        <f t="shared" si="2179"/>
        <v>7</v>
      </c>
      <c r="M5174" s="8">
        <v>1</v>
      </c>
      <c r="N5174" s="8">
        <f t="shared" si="2180"/>
        <v>1</v>
      </c>
      <c r="O5174" s="11" t="s">
        <v>1702</v>
      </c>
      <c r="P5174" s="16" t="str">
        <f t="shared" si="2181"/>
        <v>04-May-1913</v>
      </c>
      <c r="R5174" s="16" t="str">
        <f t="shared" si="2177"/>
        <v>x</v>
      </c>
      <c r="S5174" s="16" t="str">
        <f t="shared" si="2177"/>
        <v>x</v>
      </c>
      <c r="U5174" s="46" t="str">
        <f t="shared" si="2189"/>
        <v/>
      </c>
      <c r="V5174" s="46">
        <f t="shared" si="2189"/>
        <v>7</v>
      </c>
      <c r="W5174" s="46" t="str">
        <f t="shared" si="2189"/>
        <v/>
      </c>
      <c r="X5174" s="46" t="str">
        <f t="shared" si="2189"/>
        <v/>
      </c>
    </row>
    <row r="5175" spans="2:24" x14ac:dyDescent="0.25">
      <c r="B5175" s="11" t="str">
        <f t="shared" si="2178"/>
        <v>PHIL-08JUN1913</v>
      </c>
      <c r="C5175" s="11" t="s">
        <v>3039</v>
      </c>
      <c r="D5175" s="11" t="s">
        <v>2224</v>
      </c>
      <c r="E5175" s="39" t="s">
        <v>1298</v>
      </c>
      <c r="F5175" s="11" t="s">
        <v>1700</v>
      </c>
      <c r="G5175" s="39" t="s">
        <v>1287</v>
      </c>
      <c r="H5175" s="7">
        <v>0</v>
      </c>
      <c r="I5175" s="7">
        <v>0</v>
      </c>
      <c r="J5175" s="17">
        <v>20</v>
      </c>
      <c r="K5175" s="17"/>
      <c r="L5175" s="7">
        <f t="shared" si="2179"/>
        <v>20</v>
      </c>
      <c r="M5175" s="8">
        <v>1</v>
      </c>
      <c r="N5175" s="8">
        <f t="shared" si="2180"/>
        <v>1</v>
      </c>
      <c r="O5175" s="11" t="s">
        <v>1702</v>
      </c>
      <c r="P5175" s="16" t="str">
        <f t="shared" si="2181"/>
        <v>08-Jun-1913</v>
      </c>
      <c r="R5175" s="16" t="str">
        <f t="shared" si="2177"/>
        <v>x</v>
      </c>
      <c r="S5175" s="16" t="str">
        <f t="shared" si="2177"/>
        <v>x</v>
      </c>
      <c r="U5175" s="46" t="str">
        <f t="shared" si="2189"/>
        <v/>
      </c>
      <c r="V5175" s="46">
        <f t="shared" si="2189"/>
        <v>20</v>
      </c>
      <c r="W5175" s="46" t="str">
        <f t="shared" si="2189"/>
        <v/>
      </c>
      <c r="X5175" s="46" t="str">
        <f t="shared" si="2189"/>
        <v/>
      </c>
    </row>
    <row r="5176" spans="2:24" x14ac:dyDescent="0.25">
      <c r="B5176" s="11" t="str">
        <f t="shared" si="2178"/>
        <v>PHIL-06JUL1913</v>
      </c>
      <c r="C5176" s="11" t="s">
        <v>3039</v>
      </c>
      <c r="D5176" s="11" t="s">
        <v>2224</v>
      </c>
      <c r="E5176" s="39" t="s">
        <v>1297</v>
      </c>
      <c r="F5176" s="11" t="s">
        <v>1700</v>
      </c>
      <c r="G5176" s="39" t="s">
        <v>3896</v>
      </c>
      <c r="H5176" s="7">
        <v>0</v>
      </c>
      <c r="I5176" s="7">
        <v>0</v>
      </c>
      <c r="J5176" s="17">
        <v>43</v>
      </c>
      <c r="K5176" s="17"/>
      <c r="L5176" s="7">
        <f t="shared" si="2179"/>
        <v>43</v>
      </c>
      <c r="M5176" s="8">
        <v>1</v>
      </c>
      <c r="N5176" s="8">
        <f t="shared" si="2180"/>
        <v>1</v>
      </c>
      <c r="O5176" s="11" t="s">
        <v>1702</v>
      </c>
      <c r="P5176" s="16" t="str">
        <f t="shared" si="2181"/>
        <v>06-Jul-1913</v>
      </c>
      <c r="R5176" s="16" t="str">
        <f t="shared" si="2177"/>
        <v>x</v>
      </c>
      <c r="S5176" s="16" t="str">
        <f t="shared" si="2177"/>
        <v>x</v>
      </c>
      <c r="U5176" s="46" t="str">
        <f>IF($O5176=U$5,$L5176,"")</f>
        <v/>
      </c>
      <c r="V5176" s="46">
        <f>IF($O5176=V$5,$L5176,"")</f>
        <v>43</v>
      </c>
      <c r="W5176" s="46" t="str">
        <f>IF($O5176=W$5,$L5176,"")</f>
        <v/>
      </c>
      <c r="X5176" s="46" t="str">
        <f>IF($O5176=X$5,$L5176,"")</f>
        <v/>
      </c>
    </row>
    <row r="5177" spans="2:24" x14ac:dyDescent="0.25">
      <c r="B5177" s="11" t="str">
        <f>CONCATENATE("PHIL","-",LEFT(P5177,2),UPPER(MID(P5177,4,3)),RIGHT(P5177,4))</f>
        <v>PHIL-21SEP1913</v>
      </c>
      <c r="C5177" s="11" t="s">
        <v>3039</v>
      </c>
      <c r="D5177" s="11" t="s">
        <v>2097</v>
      </c>
      <c r="E5177" s="39" t="s">
        <v>2527</v>
      </c>
      <c r="F5177" s="11" t="s">
        <v>1700</v>
      </c>
      <c r="G5177" s="39" t="s">
        <v>1290</v>
      </c>
      <c r="J5177" s="17"/>
      <c r="K5177" s="17"/>
      <c r="L5177" s="7">
        <f>SUM(H5177:K5177)</f>
        <v>0</v>
      </c>
      <c r="M5177" s="8">
        <v>1</v>
      </c>
      <c r="N5177" s="8" t="str">
        <f>IF(L5177&gt;0,1,"")</f>
        <v/>
      </c>
      <c r="O5177" s="11" t="s">
        <v>1702</v>
      </c>
      <c r="P5177" s="16" t="str">
        <f>IF(LEN(G5177)=10,CONCATENATE("0",G5177),G5177)</f>
        <v>21-Sep-1913</v>
      </c>
      <c r="Q5177" s="79"/>
      <c r="T5177" s="12" t="s">
        <v>6632</v>
      </c>
      <c r="U5177" s="46" t="str">
        <f t="shared" ref="U5177:X5179" si="2190">IF($O5177=U$5,$L5177,"")</f>
        <v/>
      </c>
      <c r="V5177" s="46">
        <f t="shared" si="2190"/>
        <v>0</v>
      </c>
      <c r="W5177" s="46" t="str">
        <f t="shared" si="2190"/>
        <v/>
      </c>
      <c r="X5177" s="46" t="str">
        <f t="shared" si="2190"/>
        <v/>
      </c>
    </row>
    <row r="5178" spans="2:24" x14ac:dyDescent="0.25">
      <c r="B5178" s="11" t="str">
        <f t="shared" si="2178"/>
        <v>PHIL-26OCT1913</v>
      </c>
      <c r="C5178" s="11" t="s">
        <v>3039</v>
      </c>
      <c r="D5178" s="11" t="s">
        <v>2224</v>
      </c>
      <c r="E5178" s="39" t="s">
        <v>1932</v>
      </c>
      <c r="F5178" s="11" t="s">
        <v>1700</v>
      </c>
      <c r="G5178" s="39" t="s">
        <v>5042</v>
      </c>
      <c r="H5178" s="7">
        <v>0</v>
      </c>
      <c r="I5178" s="7">
        <v>0</v>
      </c>
      <c r="J5178" s="17">
        <v>6</v>
      </c>
      <c r="K5178" s="17"/>
      <c r="L5178" s="7">
        <f t="shared" si="2179"/>
        <v>6</v>
      </c>
      <c r="M5178" s="8">
        <v>1</v>
      </c>
      <c r="N5178" s="8">
        <f t="shared" si="2180"/>
        <v>1</v>
      </c>
      <c r="O5178" s="11" t="s">
        <v>1702</v>
      </c>
      <c r="P5178" s="16" t="str">
        <f t="shared" si="2181"/>
        <v>26-Oct-1913</v>
      </c>
      <c r="R5178" s="16" t="str">
        <f t="shared" si="2177"/>
        <v>x</v>
      </c>
      <c r="S5178" s="16" t="str">
        <f t="shared" si="2177"/>
        <v>x</v>
      </c>
      <c r="U5178" s="46" t="str">
        <f t="shared" si="2190"/>
        <v/>
      </c>
      <c r="V5178" s="46">
        <f t="shared" si="2190"/>
        <v>6</v>
      </c>
      <c r="W5178" s="46" t="str">
        <f t="shared" si="2190"/>
        <v/>
      </c>
      <c r="X5178" s="46" t="str">
        <f t="shared" si="2190"/>
        <v/>
      </c>
    </row>
    <row r="5179" spans="2:24" x14ac:dyDescent="0.25">
      <c r="B5179" s="11" t="str">
        <f t="shared" si="2178"/>
        <v>PHIL-27DEC1913</v>
      </c>
      <c r="C5179" s="11" t="s">
        <v>3039</v>
      </c>
      <c r="D5179" s="11" t="s">
        <v>2224</v>
      </c>
      <c r="E5179" s="39" t="s">
        <v>1542</v>
      </c>
      <c r="F5179" s="11" t="s">
        <v>1700</v>
      </c>
      <c r="G5179" s="39" t="s">
        <v>1539</v>
      </c>
      <c r="I5179" s="7">
        <v>0</v>
      </c>
      <c r="J5179" s="17">
        <v>6</v>
      </c>
      <c r="K5179" s="17"/>
      <c r="L5179" s="7">
        <f t="shared" si="2179"/>
        <v>6</v>
      </c>
      <c r="M5179" s="8">
        <v>1</v>
      </c>
      <c r="N5179" s="8">
        <f t="shared" si="2180"/>
        <v>1</v>
      </c>
      <c r="O5179" s="11" t="s">
        <v>1702</v>
      </c>
      <c r="P5179" s="16" t="str">
        <f t="shared" si="2181"/>
        <v>27-Dec-1913</v>
      </c>
      <c r="R5179" s="16" t="str">
        <f t="shared" si="2177"/>
        <v>x</v>
      </c>
      <c r="S5179" s="16" t="str">
        <f t="shared" si="2177"/>
        <v>x</v>
      </c>
      <c r="U5179" s="46" t="str">
        <f t="shared" si="2190"/>
        <v/>
      </c>
      <c r="V5179" s="46">
        <f t="shared" si="2190"/>
        <v>6</v>
      </c>
      <c r="W5179" s="46" t="str">
        <f t="shared" si="2190"/>
        <v/>
      </c>
      <c r="X5179" s="46" t="str">
        <f t="shared" si="2190"/>
        <v/>
      </c>
    </row>
    <row r="5180" spans="2:24" x14ac:dyDescent="0.25">
      <c r="B5180" s="11" t="str">
        <f t="shared" si="2178"/>
        <v>PHIL-31JAN1914</v>
      </c>
      <c r="C5180" s="11" t="s">
        <v>3039</v>
      </c>
      <c r="D5180" s="11" t="s">
        <v>2224</v>
      </c>
      <c r="E5180" s="39" t="s">
        <v>3371</v>
      </c>
      <c r="F5180" s="11" t="s">
        <v>1700</v>
      </c>
      <c r="G5180" s="39" t="s">
        <v>1038</v>
      </c>
      <c r="I5180" s="7">
        <v>0</v>
      </c>
      <c r="J5180" s="17">
        <f>1+4</f>
        <v>5</v>
      </c>
      <c r="K5180" s="17"/>
      <c r="L5180" s="7">
        <f t="shared" si="2179"/>
        <v>5</v>
      </c>
      <c r="M5180" s="8">
        <v>1</v>
      </c>
      <c r="N5180" s="8">
        <f t="shared" si="2180"/>
        <v>1</v>
      </c>
      <c r="O5180" s="11" t="s">
        <v>1702</v>
      </c>
      <c r="P5180" s="16" t="str">
        <f t="shared" si="2181"/>
        <v>31-Jan-1914</v>
      </c>
      <c r="R5180" s="16" t="str">
        <f t="shared" si="2177"/>
        <v>x</v>
      </c>
      <c r="S5180" s="16" t="str">
        <f t="shared" si="2177"/>
        <v>x</v>
      </c>
      <c r="U5180" s="46" t="str">
        <f t="shared" ref="U5180:X5192" si="2191">IF($O5180=U$5,$L5180,"")</f>
        <v/>
      </c>
      <c r="V5180" s="46">
        <f t="shared" si="2191"/>
        <v>5</v>
      </c>
      <c r="W5180" s="46" t="str">
        <f t="shared" si="2191"/>
        <v/>
      </c>
      <c r="X5180" s="46" t="str">
        <f t="shared" si="2191"/>
        <v/>
      </c>
    </row>
    <row r="5181" spans="2:24" x14ac:dyDescent="0.25">
      <c r="B5181" s="11" t="str">
        <f t="shared" si="2178"/>
        <v>PHIL-03MAR1914</v>
      </c>
      <c r="C5181" s="11" t="s">
        <v>3039</v>
      </c>
      <c r="D5181" s="11" t="s">
        <v>2224</v>
      </c>
      <c r="E5181" s="39" t="s">
        <v>1312</v>
      </c>
      <c r="F5181" s="11" t="s">
        <v>1700</v>
      </c>
      <c r="G5181" s="39" t="s">
        <v>1039</v>
      </c>
      <c r="I5181" s="7">
        <v>0</v>
      </c>
      <c r="J5181" s="17">
        <v>1</v>
      </c>
      <c r="K5181" s="17"/>
      <c r="L5181" s="7">
        <f t="shared" si="2179"/>
        <v>1</v>
      </c>
      <c r="M5181" s="8">
        <v>1</v>
      </c>
      <c r="N5181" s="8">
        <f t="shared" si="2180"/>
        <v>1</v>
      </c>
      <c r="O5181" s="11" t="s">
        <v>1702</v>
      </c>
      <c r="P5181" s="16" t="str">
        <f t="shared" si="2181"/>
        <v>03-Mar-1914</v>
      </c>
      <c r="R5181" s="16" t="str">
        <f t="shared" si="2177"/>
        <v>x</v>
      </c>
      <c r="S5181" s="16" t="str">
        <f t="shared" si="2177"/>
        <v>x</v>
      </c>
      <c r="U5181" s="46" t="str">
        <f t="shared" si="2191"/>
        <v/>
      </c>
      <c r="V5181" s="46">
        <f t="shared" si="2191"/>
        <v>1</v>
      </c>
      <c r="W5181" s="46" t="str">
        <f t="shared" si="2191"/>
        <v/>
      </c>
      <c r="X5181" s="46" t="str">
        <f t="shared" si="2191"/>
        <v/>
      </c>
    </row>
    <row r="5182" spans="2:24" x14ac:dyDescent="0.25">
      <c r="B5182" s="11" t="str">
        <f t="shared" si="2178"/>
        <v>PHIL-12JAN1916</v>
      </c>
      <c r="C5182" s="11" t="s">
        <v>3039</v>
      </c>
      <c r="D5182" s="11" t="s">
        <v>2097</v>
      </c>
      <c r="E5182" s="39" t="s">
        <v>4414</v>
      </c>
      <c r="F5182" s="11" t="s">
        <v>1700</v>
      </c>
      <c r="G5182" s="39" t="s">
        <v>5286</v>
      </c>
      <c r="H5182" s="7">
        <v>0</v>
      </c>
      <c r="I5182" s="7">
        <v>1</v>
      </c>
      <c r="J5182" s="17">
        <v>2</v>
      </c>
      <c r="K5182" s="17"/>
      <c r="L5182" s="7">
        <f t="shared" si="2179"/>
        <v>3</v>
      </c>
      <c r="M5182" s="8">
        <v>1</v>
      </c>
      <c r="N5182" s="8">
        <f t="shared" si="2180"/>
        <v>1</v>
      </c>
      <c r="O5182" s="11" t="s">
        <v>1702</v>
      </c>
      <c r="P5182" s="16" t="str">
        <f t="shared" si="2181"/>
        <v>12-Jan-1916</v>
      </c>
      <c r="R5182" s="16" t="str">
        <f>IF($L5182&gt;0,"x","")</f>
        <v>x</v>
      </c>
      <c r="S5182" s="16" t="str">
        <f>IF($L5182&gt;0,"x","")</f>
        <v>x</v>
      </c>
      <c r="U5182" s="46" t="str">
        <f t="shared" si="2191"/>
        <v/>
      </c>
      <c r="V5182" s="46">
        <f t="shared" si="2191"/>
        <v>3</v>
      </c>
      <c r="W5182" s="46" t="str">
        <f t="shared" si="2191"/>
        <v/>
      </c>
      <c r="X5182" s="46" t="str">
        <f t="shared" si="2191"/>
        <v/>
      </c>
    </row>
    <row r="5183" spans="2:24" x14ac:dyDescent="0.25">
      <c r="B5183" s="11" t="str">
        <f t="shared" si="2178"/>
        <v>PHIL-29MAR1918</v>
      </c>
      <c r="C5183" s="11" t="s">
        <v>3039</v>
      </c>
      <c r="D5183" s="11" t="s">
        <v>2097</v>
      </c>
      <c r="E5183" s="39" t="s">
        <v>5763</v>
      </c>
      <c r="F5183" s="11" t="s">
        <v>1700</v>
      </c>
      <c r="G5183" s="39" t="s">
        <v>5764</v>
      </c>
      <c r="H5183" s="7">
        <f>1+3</f>
        <v>4</v>
      </c>
      <c r="I5183" s="7">
        <v>0</v>
      </c>
      <c r="J5183" s="17"/>
      <c r="K5183" s="17"/>
      <c r="L5183" s="7">
        <f t="shared" si="2179"/>
        <v>4</v>
      </c>
      <c r="M5183" s="8">
        <v>1</v>
      </c>
      <c r="N5183" s="8">
        <f t="shared" si="2180"/>
        <v>1</v>
      </c>
      <c r="O5183" s="11" t="s">
        <v>1702</v>
      </c>
      <c r="P5183" s="16" t="str">
        <f t="shared" si="2181"/>
        <v>29-Mar-1918</v>
      </c>
      <c r="R5183" s="16" t="str">
        <f>IF($L5183&gt;0,"x","")</f>
        <v>x</v>
      </c>
      <c r="S5183" s="16" t="str">
        <f>IF($L5183&gt;0,"x","")</f>
        <v>x</v>
      </c>
      <c r="U5183" s="46" t="str">
        <f t="shared" si="2191"/>
        <v/>
      </c>
      <c r="V5183" s="46">
        <f t="shared" si="2191"/>
        <v>4</v>
      </c>
      <c r="W5183" s="46" t="str">
        <f t="shared" si="2191"/>
        <v/>
      </c>
      <c r="X5183" s="46" t="str">
        <f t="shared" si="2191"/>
        <v/>
      </c>
    </row>
    <row r="5184" spans="2:24" x14ac:dyDescent="0.25">
      <c r="B5184" s="11" t="str">
        <f t="shared" si="2178"/>
        <v>PHIL-08JUN1920</v>
      </c>
      <c r="C5184" s="11" t="s">
        <v>3039</v>
      </c>
      <c r="D5184" s="11" t="s">
        <v>3619</v>
      </c>
      <c r="E5184" s="39" t="s">
        <v>2033</v>
      </c>
      <c r="F5184" s="11" t="s">
        <v>1700</v>
      </c>
      <c r="G5184" s="39" t="s">
        <v>2034</v>
      </c>
      <c r="I5184" s="7">
        <v>0</v>
      </c>
      <c r="J5184" s="17">
        <f>28+7+3</f>
        <v>38</v>
      </c>
      <c r="K5184" s="17"/>
      <c r="L5184" s="7">
        <f t="shared" si="2179"/>
        <v>38</v>
      </c>
      <c r="M5184" s="8">
        <v>1</v>
      </c>
      <c r="N5184" s="8">
        <f t="shared" si="2180"/>
        <v>1</v>
      </c>
      <c r="O5184" s="11" t="s">
        <v>1702</v>
      </c>
      <c r="P5184" s="16" t="str">
        <f t="shared" si="2181"/>
        <v>08-Jun-1920</v>
      </c>
      <c r="R5184" s="16" t="str">
        <f t="shared" si="2177"/>
        <v>x</v>
      </c>
      <c r="S5184" s="16" t="str">
        <f t="shared" si="2177"/>
        <v>x</v>
      </c>
      <c r="U5184" s="46" t="str">
        <f t="shared" si="2191"/>
        <v/>
      </c>
      <c r="V5184" s="46">
        <f t="shared" si="2191"/>
        <v>38</v>
      </c>
      <c r="W5184" s="46" t="str">
        <f t="shared" si="2191"/>
        <v/>
      </c>
      <c r="X5184" s="46" t="str">
        <f t="shared" si="2191"/>
        <v/>
      </c>
    </row>
    <row r="5185" spans="2:24" x14ac:dyDescent="0.25">
      <c r="B5185" s="11" t="str">
        <f t="shared" si="2178"/>
        <v>PHIL-05JUL1920</v>
      </c>
      <c r="C5185" s="11" t="s">
        <v>3039</v>
      </c>
      <c r="D5185" s="11" t="s">
        <v>3619</v>
      </c>
      <c r="E5185" s="39" t="s">
        <v>2423</v>
      </c>
      <c r="F5185" s="11" t="s">
        <v>1700</v>
      </c>
      <c r="G5185" s="39" t="s">
        <v>2416</v>
      </c>
      <c r="I5185" s="7">
        <v>3</v>
      </c>
      <c r="J5185" s="17">
        <f>3+34+2</f>
        <v>39</v>
      </c>
      <c r="K5185" s="17"/>
      <c r="L5185" s="7">
        <f t="shared" si="2179"/>
        <v>42</v>
      </c>
      <c r="M5185" s="8">
        <v>1</v>
      </c>
      <c r="N5185" s="8">
        <f t="shared" si="2180"/>
        <v>1</v>
      </c>
      <c r="O5185" s="11" t="s">
        <v>1702</v>
      </c>
      <c r="P5185" s="16" t="str">
        <f t="shared" si="2181"/>
        <v>05-Jul-1920</v>
      </c>
      <c r="R5185" s="16" t="str">
        <f t="shared" si="2177"/>
        <v>x</v>
      </c>
      <c r="S5185" s="16" t="str">
        <f t="shared" si="2177"/>
        <v>x</v>
      </c>
      <c r="U5185" s="46" t="str">
        <f t="shared" si="2191"/>
        <v/>
      </c>
      <c r="V5185" s="46">
        <f t="shared" si="2191"/>
        <v>42</v>
      </c>
      <c r="W5185" s="46" t="str">
        <f t="shared" si="2191"/>
        <v/>
      </c>
      <c r="X5185" s="46" t="str">
        <f t="shared" si="2191"/>
        <v/>
      </c>
    </row>
    <row r="5186" spans="2:24" x14ac:dyDescent="0.25">
      <c r="B5186" s="11" t="str">
        <f t="shared" si="2178"/>
        <v>PHIL-25OCT1920</v>
      </c>
      <c r="C5186" s="11" t="s">
        <v>3039</v>
      </c>
      <c r="D5186" s="11" t="s">
        <v>2224</v>
      </c>
      <c r="E5186" s="39" t="s">
        <v>3265</v>
      </c>
      <c r="F5186" s="11" t="s">
        <v>1700</v>
      </c>
      <c r="G5186" s="39" t="s">
        <v>4001</v>
      </c>
      <c r="I5186" s="7">
        <v>15</v>
      </c>
      <c r="J5186" s="17">
        <v>0</v>
      </c>
      <c r="K5186" s="17"/>
      <c r="L5186" s="7">
        <f t="shared" si="2179"/>
        <v>15</v>
      </c>
      <c r="M5186" s="8">
        <v>1</v>
      </c>
      <c r="N5186" s="8">
        <f t="shared" si="2180"/>
        <v>1</v>
      </c>
      <c r="O5186" s="11" t="s">
        <v>1702</v>
      </c>
      <c r="P5186" s="16" t="str">
        <f t="shared" si="2181"/>
        <v>25-Oct-1920</v>
      </c>
      <c r="R5186" s="16" t="str">
        <f t="shared" si="2177"/>
        <v>x</v>
      </c>
      <c r="S5186" s="16" t="str">
        <f t="shared" si="2177"/>
        <v>x</v>
      </c>
      <c r="U5186" s="46" t="str">
        <f t="shared" si="2191"/>
        <v/>
      </c>
      <c r="V5186" s="46">
        <f t="shared" si="2191"/>
        <v>15</v>
      </c>
      <c r="W5186" s="46" t="str">
        <f t="shared" si="2191"/>
        <v/>
      </c>
      <c r="X5186" s="46" t="str">
        <f t="shared" si="2191"/>
        <v/>
      </c>
    </row>
    <row r="5187" spans="2:24" x14ac:dyDescent="0.25">
      <c r="N5187" s="8" t="str">
        <f>IF(R5187="x",1,"")</f>
        <v/>
      </c>
      <c r="U5187" s="46" t="str">
        <f t="shared" si="2191"/>
        <v/>
      </c>
      <c r="V5187" s="46" t="str">
        <f t="shared" si="2191"/>
        <v/>
      </c>
      <c r="W5187" s="46" t="str">
        <f t="shared" si="2191"/>
        <v/>
      </c>
      <c r="X5187" s="46" t="str">
        <f t="shared" si="2191"/>
        <v/>
      </c>
    </row>
    <row r="5188" spans="2:24" x14ac:dyDescent="0.25">
      <c r="B5188" s="18"/>
      <c r="C5188" s="18"/>
      <c r="D5188" s="18"/>
      <c r="E5188" s="40"/>
      <c r="F5188" s="18"/>
      <c r="G5188" s="40"/>
      <c r="H5188" s="7">
        <f t="shared" ref="H5188:N5188" si="2192">SUM(H5139:H5187)</f>
        <v>4</v>
      </c>
      <c r="I5188" s="7">
        <f t="shared" si="2192"/>
        <v>40</v>
      </c>
      <c r="J5188" s="7">
        <f>SUM(J5139:J5187)</f>
        <v>432</v>
      </c>
      <c r="K5188" s="7">
        <f t="shared" si="2192"/>
        <v>0</v>
      </c>
      <c r="L5188" s="7">
        <f t="shared" si="2192"/>
        <v>476</v>
      </c>
      <c r="M5188" s="7">
        <f t="shared" si="2192"/>
        <v>48</v>
      </c>
      <c r="N5188" s="7">
        <f t="shared" si="2192"/>
        <v>47</v>
      </c>
      <c r="O5188" s="18"/>
      <c r="P5188" s="13"/>
      <c r="Q5188" s="13"/>
      <c r="S5188" s="13"/>
      <c r="T5188" s="15"/>
      <c r="U5188" s="46" t="str">
        <f t="shared" si="2191"/>
        <v/>
      </c>
      <c r="V5188" s="46" t="str">
        <f t="shared" si="2191"/>
        <v/>
      </c>
      <c r="W5188" s="46" t="str">
        <f t="shared" si="2191"/>
        <v/>
      </c>
      <c r="X5188" s="46" t="str">
        <f t="shared" si="2191"/>
        <v/>
      </c>
    </row>
    <row r="5189" spans="2:24" x14ac:dyDescent="0.25">
      <c r="B5189" s="18"/>
      <c r="C5189" s="18"/>
      <c r="D5189" s="18"/>
      <c r="E5189" s="40"/>
      <c r="F5189" s="18"/>
      <c r="G5189" s="40"/>
      <c r="N5189" s="8" t="str">
        <f>IF(R5189="x",1,"")</f>
        <v/>
      </c>
      <c r="O5189" s="18"/>
      <c r="P5189" s="13"/>
      <c r="Q5189" s="13"/>
      <c r="R5189" s="13"/>
      <c r="S5189" s="13"/>
      <c r="T5189" s="15"/>
      <c r="U5189" s="46" t="str">
        <f t="shared" si="2191"/>
        <v/>
      </c>
      <c r="V5189" s="46" t="str">
        <f t="shared" si="2191"/>
        <v/>
      </c>
      <c r="W5189" s="46" t="str">
        <f t="shared" si="2191"/>
        <v/>
      </c>
      <c r="X5189" s="46" t="str">
        <f t="shared" si="2191"/>
        <v/>
      </c>
    </row>
    <row r="5190" spans="2:24" x14ac:dyDescent="0.25">
      <c r="B5190" s="18"/>
      <c r="C5190" s="18"/>
      <c r="D5190" s="18"/>
      <c r="E5190" s="40"/>
      <c r="F5190" s="18"/>
      <c r="G5190" s="40"/>
      <c r="N5190" s="8" t="str">
        <f>IF(R5190="x",1,"")</f>
        <v/>
      </c>
      <c r="O5190" s="18"/>
      <c r="P5190" s="13"/>
      <c r="Q5190" s="13"/>
      <c r="R5190" s="13"/>
      <c r="S5190" s="13"/>
      <c r="T5190" s="15"/>
      <c r="U5190" s="46" t="str">
        <f t="shared" si="2191"/>
        <v/>
      </c>
      <c r="V5190" s="46" t="str">
        <f t="shared" si="2191"/>
        <v/>
      </c>
      <c r="W5190" s="46" t="str">
        <f t="shared" si="2191"/>
        <v/>
      </c>
      <c r="X5190" s="46" t="str">
        <f t="shared" si="2191"/>
        <v/>
      </c>
    </row>
    <row r="5191" spans="2:24" x14ac:dyDescent="0.25">
      <c r="B5191" s="11" t="str">
        <f t="shared" ref="B5191:B5201" si="2193">CONCATENATE("PHOE","-",LEFT(P5191,2),UPPER(MID(P5191,4,3)),RIGHT(P5191,4))</f>
        <v>PHOE-09APR1899</v>
      </c>
      <c r="C5191" s="11" t="s">
        <v>126</v>
      </c>
      <c r="D5191" s="11" t="s">
        <v>2103</v>
      </c>
      <c r="E5191" s="39" t="s">
        <v>570</v>
      </c>
      <c r="F5191" s="11" t="s">
        <v>1700</v>
      </c>
      <c r="G5191" s="39" t="s">
        <v>11266</v>
      </c>
      <c r="J5191" s="17">
        <v>2</v>
      </c>
      <c r="K5191" s="17"/>
      <c r="L5191" s="7">
        <f t="shared" ref="L5191:L5201" si="2194">SUM(H5191:K5191)</f>
        <v>2</v>
      </c>
      <c r="M5191" s="8">
        <v>1</v>
      </c>
      <c r="N5191" s="8">
        <f t="shared" ref="N5191:N5201" si="2195">IF(L5191&gt;0,1,"")</f>
        <v>1</v>
      </c>
      <c r="O5191" s="11" t="s">
        <v>1702</v>
      </c>
      <c r="P5191" s="16" t="str">
        <f t="shared" ref="P5191:P5201" si="2196">IF(LEN(G5191)=10,CONCATENATE("0",G5191),G5191)</f>
        <v>09-Apr-1899</v>
      </c>
      <c r="R5191" s="16" t="str">
        <f t="shared" ref="R5191:S5193" si="2197">IF($L5191&gt;0,"x","")</f>
        <v>x</v>
      </c>
      <c r="S5191" s="16" t="str">
        <f t="shared" si="2197"/>
        <v>x</v>
      </c>
      <c r="U5191" s="46" t="str">
        <f t="shared" si="2191"/>
        <v/>
      </c>
      <c r="V5191" s="46">
        <f t="shared" si="2191"/>
        <v>2</v>
      </c>
      <c r="W5191" s="46" t="str">
        <f t="shared" si="2191"/>
        <v/>
      </c>
      <c r="X5191" s="46" t="str">
        <f t="shared" si="2191"/>
        <v/>
      </c>
    </row>
    <row r="5192" spans="2:24" x14ac:dyDescent="0.25">
      <c r="B5192" s="11" t="str">
        <f>CONCATENATE("PHOE","-",LEFT(P5192,2),UPPER(MID(P5192,4,3)),RIGHT(P5192,4))</f>
        <v>PHOE-25FEB1901</v>
      </c>
      <c r="C5192" s="11" t="s">
        <v>126</v>
      </c>
      <c r="D5192" s="11" t="s">
        <v>2103</v>
      </c>
      <c r="E5192" s="39" t="s">
        <v>4531</v>
      </c>
      <c r="F5192" s="11" t="s">
        <v>1700</v>
      </c>
      <c r="G5192" s="39" t="s">
        <v>4532</v>
      </c>
      <c r="J5192" s="17">
        <v>20</v>
      </c>
      <c r="K5192" s="17"/>
      <c r="L5192" s="7">
        <f>SUM(H5192:K5192)</f>
        <v>20</v>
      </c>
      <c r="M5192" s="8">
        <v>1</v>
      </c>
      <c r="N5192" s="8">
        <f>IF(L5192&gt;0,1,"")</f>
        <v>1</v>
      </c>
      <c r="O5192" s="11" t="s">
        <v>1702</v>
      </c>
      <c r="P5192" s="16" t="str">
        <f>IF(LEN(G5192)=10,CONCATENATE("0",G5192),G5192)</f>
        <v>25-Feb-1901</v>
      </c>
      <c r="R5192" s="16" t="str">
        <f t="shared" si="2197"/>
        <v>x</v>
      </c>
      <c r="S5192" s="16" t="str">
        <f t="shared" si="2197"/>
        <v>x</v>
      </c>
      <c r="U5192" s="46" t="str">
        <f t="shared" si="2191"/>
        <v/>
      </c>
      <c r="V5192" s="46">
        <f t="shared" si="2191"/>
        <v>20</v>
      </c>
      <c r="W5192" s="46" t="str">
        <f t="shared" si="2191"/>
        <v/>
      </c>
      <c r="X5192" s="46" t="str">
        <f t="shared" si="2191"/>
        <v/>
      </c>
    </row>
    <row r="5193" spans="2:24" x14ac:dyDescent="0.25">
      <c r="B5193" s="11" t="str">
        <f t="shared" si="2193"/>
        <v>PHOE-13APR1901</v>
      </c>
      <c r="C5193" s="11" t="s">
        <v>126</v>
      </c>
      <c r="D5193" s="11" t="s">
        <v>2103</v>
      </c>
      <c r="E5193" s="39" t="s">
        <v>3483</v>
      </c>
      <c r="F5193" s="11" t="s">
        <v>1700</v>
      </c>
      <c r="G5193" s="39" t="s">
        <v>2587</v>
      </c>
      <c r="J5193" s="17">
        <f>4+7</f>
        <v>11</v>
      </c>
      <c r="K5193" s="17"/>
      <c r="L5193" s="7">
        <f t="shared" si="2194"/>
        <v>11</v>
      </c>
      <c r="M5193" s="8">
        <v>1</v>
      </c>
      <c r="N5193" s="8">
        <f t="shared" si="2195"/>
        <v>1</v>
      </c>
      <c r="O5193" s="11" t="s">
        <v>1702</v>
      </c>
      <c r="P5193" s="16" t="str">
        <f t="shared" si="2196"/>
        <v>13-Apr-1901</v>
      </c>
      <c r="R5193" s="16" t="str">
        <f t="shared" si="2197"/>
        <v>x</v>
      </c>
      <c r="S5193" s="16" t="str">
        <f t="shared" si="2197"/>
        <v>x</v>
      </c>
      <c r="U5193" s="46" t="str">
        <f t="shared" ref="U5193:X5199" si="2198">IF($O5193=U$5,$L5193,"")</f>
        <v/>
      </c>
      <c r="V5193" s="46">
        <f t="shared" si="2198"/>
        <v>11</v>
      </c>
      <c r="W5193" s="46" t="str">
        <f t="shared" si="2198"/>
        <v/>
      </c>
      <c r="X5193" s="46" t="str">
        <f t="shared" si="2198"/>
        <v/>
      </c>
    </row>
    <row r="5194" spans="2:24" x14ac:dyDescent="0.25">
      <c r="B5194" s="11" t="str">
        <f>CONCATENATE("PHOE","-",LEFT(P5194,2),UPPER(MID(P5194,4,3)),RIGHT(P5194,4))</f>
        <v>PHOE-25MAY1901</v>
      </c>
      <c r="C5194" s="11" t="s">
        <v>126</v>
      </c>
      <c r="D5194" s="11" t="s">
        <v>2103</v>
      </c>
      <c r="E5194" s="39" t="s">
        <v>1624</v>
      </c>
      <c r="F5194" s="11" t="s">
        <v>1700</v>
      </c>
      <c r="G5194" s="39" t="s">
        <v>4556</v>
      </c>
      <c r="J5194" s="17">
        <v>2</v>
      </c>
      <c r="K5194" s="17"/>
      <c r="L5194" s="7">
        <f>SUM(H5194:K5194)</f>
        <v>2</v>
      </c>
      <c r="M5194" s="8">
        <v>1</v>
      </c>
      <c r="N5194" s="8">
        <f>IF(L5194&gt;0,1,"")</f>
        <v>1</v>
      </c>
      <c r="O5194" s="11" t="s">
        <v>1702</v>
      </c>
      <c r="P5194" s="16" t="str">
        <f>IF(LEN(G5194)=10,CONCATENATE("0",G5194),G5194)</f>
        <v>25-May-1901</v>
      </c>
      <c r="R5194" s="16" t="str">
        <f t="shared" ref="R5194:S5200" si="2199">IF($L5194&gt;0,"x","")</f>
        <v>x</v>
      </c>
      <c r="S5194" s="16" t="str">
        <f t="shared" si="2199"/>
        <v>x</v>
      </c>
      <c r="U5194" s="46" t="str">
        <f t="shared" si="2198"/>
        <v/>
      </c>
      <c r="V5194" s="46">
        <f t="shared" si="2198"/>
        <v>2</v>
      </c>
      <c r="W5194" s="46" t="str">
        <f t="shared" si="2198"/>
        <v/>
      </c>
      <c r="X5194" s="46" t="str">
        <f t="shared" si="2198"/>
        <v/>
      </c>
    </row>
    <row r="5195" spans="2:24" x14ac:dyDescent="0.25">
      <c r="B5195" s="11" t="str">
        <f t="shared" si="2193"/>
        <v>PHOE-06JUL1901</v>
      </c>
      <c r="C5195" s="11" t="s">
        <v>126</v>
      </c>
      <c r="D5195" s="11" t="s">
        <v>2103</v>
      </c>
      <c r="E5195" s="39" t="s">
        <v>4850</v>
      </c>
      <c r="F5195" s="11" t="s">
        <v>1700</v>
      </c>
      <c r="G5195" s="39" t="s">
        <v>4764</v>
      </c>
      <c r="J5195" s="17">
        <v>13</v>
      </c>
      <c r="K5195" s="17"/>
      <c r="L5195" s="7">
        <f t="shared" si="2194"/>
        <v>13</v>
      </c>
      <c r="M5195" s="8">
        <v>1</v>
      </c>
      <c r="N5195" s="8">
        <f t="shared" si="2195"/>
        <v>1</v>
      </c>
      <c r="O5195" s="11" t="s">
        <v>1702</v>
      </c>
      <c r="P5195" s="16" t="str">
        <f t="shared" si="2196"/>
        <v>06-Jul-1901</v>
      </c>
      <c r="R5195" s="16" t="str">
        <f t="shared" si="2199"/>
        <v>x</v>
      </c>
      <c r="S5195" s="16" t="str">
        <f t="shared" si="2199"/>
        <v>x</v>
      </c>
      <c r="U5195" s="46" t="str">
        <f t="shared" si="2198"/>
        <v/>
      </c>
      <c r="V5195" s="46">
        <f t="shared" si="2198"/>
        <v>13</v>
      </c>
      <c r="W5195" s="46" t="str">
        <f t="shared" si="2198"/>
        <v/>
      </c>
      <c r="X5195" s="46" t="str">
        <f t="shared" si="2198"/>
        <v/>
      </c>
    </row>
    <row r="5196" spans="2:24" x14ac:dyDescent="0.25">
      <c r="B5196" s="11" t="str">
        <f>CONCATENATE("PHOE","-",LEFT(P5196,2),UPPER(MID(P5196,4,3)),RIGHT(P5196,4))</f>
        <v>PHOE-17AUG1901</v>
      </c>
      <c r="C5196" s="11" t="s">
        <v>126</v>
      </c>
      <c r="D5196" s="11" t="s">
        <v>2103</v>
      </c>
      <c r="E5196" s="39" t="s">
        <v>578</v>
      </c>
      <c r="F5196" s="11" t="s">
        <v>1700</v>
      </c>
      <c r="G5196" s="39" t="s">
        <v>5430</v>
      </c>
      <c r="J5196" s="17">
        <v>6</v>
      </c>
      <c r="K5196" s="17"/>
      <c r="L5196" s="7">
        <f>SUM(H5196:K5196)</f>
        <v>6</v>
      </c>
      <c r="M5196" s="8">
        <v>1</v>
      </c>
      <c r="N5196" s="8">
        <f>IF(L5196&gt;0,1,"")</f>
        <v>1</v>
      </c>
      <c r="O5196" s="11" t="s">
        <v>1702</v>
      </c>
      <c r="P5196" s="16" t="str">
        <f>IF(LEN(G5196)=10,CONCATENATE("0",G5196),G5196)</f>
        <v>17-Aug-1901</v>
      </c>
      <c r="R5196" s="16" t="str">
        <f t="shared" si="2199"/>
        <v>x</v>
      </c>
      <c r="S5196" s="16" t="str">
        <f t="shared" si="2199"/>
        <v>x</v>
      </c>
      <c r="U5196" s="46" t="str">
        <f t="shared" si="2198"/>
        <v/>
      </c>
      <c r="V5196" s="46">
        <f t="shared" si="2198"/>
        <v>6</v>
      </c>
      <c r="W5196" s="46" t="str">
        <f t="shared" si="2198"/>
        <v/>
      </c>
      <c r="X5196" s="46" t="str">
        <f t="shared" si="2198"/>
        <v/>
      </c>
    </row>
    <row r="5197" spans="2:24" x14ac:dyDescent="0.25">
      <c r="B5197" s="11" t="str">
        <f>CONCATENATE("PHOE","-",LEFT(P5197,2),UPPER(MID(P5197,4,3)),RIGHT(P5197,4))</f>
        <v>PHOE-30SEP1901</v>
      </c>
      <c r="C5197" s="11" t="s">
        <v>126</v>
      </c>
      <c r="D5197" s="11" t="s">
        <v>2103</v>
      </c>
      <c r="E5197" s="39" t="s">
        <v>702</v>
      </c>
      <c r="F5197" s="11" t="s">
        <v>1700</v>
      </c>
      <c r="G5197" s="39" t="s">
        <v>4039</v>
      </c>
      <c r="J5197" s="17">
        <v>8</v>
      </c>
      <c r="K5197" s="17"/>
      <c r="L5197" s="7">
        <f>SUM(H5197:K5197)</f>
        <v>8</v>
      </c>
      <c r="M5197" s="8">
        <v>1</v>
      </c>
      <c r="N5197" s="8">
        <f>IF(L5197&gt;0,1,"")</f>
        <v>1</v>
      </c>
      <c r="O5197" s="11" t="s">
        <v>1702</v>
      </c>
      <c r="P5197" s="16" t="str">
        <f>IF(LEN(G5197)=10,CONCATENATE("0",G5197),G5197)</f>
        <v>30-Sep-1901</v>
      </c>
      <c r="R5197" s="16" t="str">
        <f>IF($L5197&gt;0,"x","")</f>
        <v>x</v>
      </c>
      <c r="S5197" s="16" t="str">
        <f>IF($L5197&gt;0,"x","")</f>
        <v>x</v>
      </c>
      <c r="U5197" s="46" t="str">
        <f t="shared" si="2198"/>
        <v/>
      </c>
      <c r="V5197" s="46">
        <f t="shared" si="2198"/>
        <v>8</v>
      </c>
      <c r="W5197" s="46" t="str">
        <f t="shared" si="2198"/>
        <v/>
      </c>
      <c r="X5197" s="46" t="str">
        <f t="shared" si="2198"/>
        <v/>
      </c>
    </row>
    <row r="5198" spans="2:24" x14ac:dyDescent="0.25">
      <c r="B5198" s="11" t="str">
        <f t="shared" si="2193"/>
        <v>PHOE-10NOV1901</v>
      </c>
      <c r="C5198" s="11" t="s">
        <v>126</v>
      </c>
      <c r="D5198" s="11" t="s">
        <v>2103</v>
      </c>
      <c r="E5198" s="39" t="s">
        <v>4652</v>
      </c>
      <c r="F5198" s="11" t="s">
        <v>1700</v>
      </c>
      <c r="G5198" s="39" t="s">
        <v>4653</v>
      </c>
      <c r="J5198" s="17">
        <v>14</v>
      </c>
      <c r="K5198" s="17"/>
      <c r="L5198" s="7">
        <f t="shared" si="2194"/>
        <v>14</v>
      </c>
      <c r="M5198" s="8">
        <v>1</v>
      </c>
      <c r="N5198" s="8">
        <f t="shared" si="2195"/>
        <v>1</v>
      </c>
      <c r="O5198" s="11" t="s">
        <v>1702</v>
      </c>
      <c r="P5198" s="16" t="str">
        <f t="shared" si="2196"/>
        <v>10-Nov-1901</v>
      </c>
      <c r="R5198" s="16" t="str">
        <f t="shared" si="2199"/>
        <v>x</v>
      </c>
      <c r="S5198" s="16" t="str">
        <f t="shared" si="2199"/>
        <v>x</v>
      </c>
      <c r="U5198" s="46" t="str">
        <f t="shared" si="2198"/>
        <v/>
      </c>
      <c r="V5198" s="46">
        <f t="shared" si="2198"/>
        <v>14</v>
      </c>
      <c r="W5198" s="46" t="str">
        <f t="shared" si="2198"/>
        <v/>
      </c>
      <c r="X5198" s="46" t="str">
        <f t="shared" si="2198"/>
        <v/>
      </c>
    </row>
    <row r="5199" spans="2:24" x14ac:dyDescent="0.25">
      <c r="B5199" s="11" t="str">
        <f>CONCATENATE("PHOE","-",LEFT(P5199,2),UPPER(MID(P5199,4,3)),RIGHT(P5199,4))</f>
        <v>PHOE-22DEC1901</v>
      </c>
      <c r="C5199" s="11" t="s">
        <v>126</v>
      </c>
      <c r="D5199" s="11" t="s">
        <v>2103</v>
      </c>
      <c r="E5199" s="39" t="s">
        <v>6256</v>
      </c>
      <c r="F5199" s="11" t="s">
        <v>1700</v>
      </c>
      <c r="G5199" s="39" t="s">
        <v>6257</v>
      </c>
      <c r="J5199" s="17">
        <v>9</v>
      </c>
      <c r="K5199" s="17"/>
      <c r="L5199" s="7">
        <f>SUM(H5199:K5199)</f>
        <v>9</v>
      </c>
      <c r="M5199" s="8">
        <v>1</v>
      </c>
      <c r="N5199" s="8">
        <f>IF(L5199&gt;0,1,"")</f>
        <v>1</v>
      </c>
      <c r="O5199" s="11" t="s">
        <v>1702</v>
      </c>
      <c r="P5199" s="16" t="str">
        <f>IF(LEN(G5199)=10,CONCATENATE("0",G5199),G5199)</f>
        <v>22-Dec-1901</v>
      </c>
      <c r="R5199" s="16" t="str">
        <f t="shared" si="2199"/>
        <v>x</v>
      </c>
      <c r="S5199" s="16" t="str">
        <f t="shared" si="2199"/>
        <v>x</v>
      </c>
      <c r="U5199" s="46" t="str">
        <f t="shared" si="2198"/>
        <v/>
      </c>
      <c r="V5199" s="46">
        <f t="shared" si="2198"/>
        <v>9</v>
      </c>
      <c r="W5199" s="46" t="str">
        <f t="shared" si="2198"/>
        <v/>
      </c>
      <c r="X5199" s="46" t="str">
        <f t="shared" si="2198"/>
        <v/>
      </c>
    </row>
    <row r="5200" spans="2:24" x14ac:dyDescent="0.25">
      <c r="B5200" s="11" t="str">
        <f t="shared" si="2193"/>
        <v>PHOE-03FEB1902</v>
      </c>
      <c r="C5200" s="11" t="s">
        <v>126</v>
      </c>
      <c r="D5200" s="11" t="s">
        <v>2103</v>
      </c>
      <c r="E5200" s="39" t="s">
        <v>3616</v>
      </c>
      <c r="F5200" s="11" t="s">
        <v>1700</v>
      </c>
      <c r="G5200" s="39" t="s">
        <v>3615</v>
      </c>
      <c r="J5200" s="17">
        <v>3</v>
      </c>
      <c r="K5200" s="17"/>
      <c r="L5200" s="7">
        <f t="shared" si="2194"/>
        <v>3</v>
      </c>
      <c r="M5200" s="8">
        <v>1</v>
      </c>
      <c r="N5200" s="8">
        <f t="shared" si="2195"/>
        <v>1</v>
      </c>
      <c r="O5200" s="11" t="s">
        <v>1702</v>
      </c>
      <c r="P5200" s="16" t="str">
        <f t="shared" si="2196"/>
        <v>03-Feb-1902</v>
      </c>
      <c r="R5200" s="16" t="str">
        <f t="shared" si="2199"/>
        <v>x</v>
      </c>
      <c r="S5200" s="16" t="str">
        <f t="shared" si="2199"/>
        <v>x</v>
      </c>
      <c r="U5200" s="46" t="str">
        <f t="shared" ref="U5200:X5208" si="2200">IF($O5200=U$5,$L5200,"")</f>
        <v/>
      </c>
      <c r="V5200" s="46">
        <f t="shared" si="2200"/>
        <v>3</v>
      </c>
      <c r="W5200" s="46" t="str">
        <f t="shared" si="2200"/>
        <v/>
      </c>
      <c r="X5200" s="46" t="str">
        <f t="shared" si="2200"/>
        <v/>
      </c>
    </row>
    <row r="5201" spans="2:24" x14ac:dyDescent="0.25">
      <c r="B5201" s="11" t="str">
        <f t="shared" si="2193"/>
        <v>PHOE-17MAR1902</v>
      </c>
      <c r="C5201" s="11" t="s">
        <v>126</v>
      </c>
      <c r="D5201" s="11" t="s">
        <v>2103</v>
      </c>
      <c r="E5201" s="39" t="s">
        <v>3327</v>
      </c>
      <c r="F5201" s="11" t="s">
        <v>1700</v>
      </c>
      <c r="G5201" s="39" t="s">
        <v>2595</v>
      </c>
      <c r="J5201" s="17">
        <v>9</v>
      </c>
      <c r="K5201" s="17"/>
      <c r="L5201" s="7">
        <f t="shared" si="2194"/>
        <v>9</v>
      </c>
      <c r="M5201" s="8">
        <v>1</v>
      </c>
      <c r="N5201" s="8">
        <f t="shared" si="2195"/>
        <v>1</v>
      </c>
      <c r="O5201" s="11" t="s">
        <v>1702</v>
      </c>
      <c r="P5201" s="16" t="str">
        <f t="shared" si="2196"/>
        <v>17-Mar-1902</v>
      </c>
      <c r="R5201" s="16" t="str">
        <f>IF($L5201&gt;0,"x","")</f>
        <v>x</v>
      </c>
      <c r="S5201" s="16" t="str">
        <f>IF($L5201&gt;0,"x","")</f>
        <v>x</v>
      </c>
      <c r="U5201" s="46" t="str">
        <f t="shared" si="2200"/>
        <v/>
      </c>
      <c r="V5201" s="46">
        <f t="shared" si="2200"/>
        <v>9</v>
      </c>
      <c r="W5201" s="46" t="str">
        <f t="shared" si="2200"/>
        <v/>
      </c>
      <c r="X5201" s="46" t="str">
        <f t="shared" si="2200"/>
        <v/>
      </c>
    </row>
    <row r="5202" spans="2:24" x14ac:dyDescent="0.25">
      <c r="N5202" s="8" t="str">
        <f>IF(R5202="x",1,"")</f>
        <v/>
      </c>
      <c r="U5202" s="46" t="str">
        <f t="shared" si="2200"/>
        <v/>
      </c>
      <c r="V5202" s="46" t="str">
        <f t="shared" si="2200"/>
        <v/>
      </c>
      <c r="W5202" s="46" t="str">
        <f t="shared" si="2200"/>
        <v/>
      </c>
      <c r="X5202" s="46" t="str">
        <f t="shared" si="2200"/>
        <v/>
      </c>
    </row>
    <row r="5203" spans="2:24" x14ac:dyDescent="0.25">
      <c r="B5203" s="18"/>
      <c r="C5203" s="18"/>
      <c r="D5203" s="18"/>
      <c r="E5203" s="40"/>
      <c r="F5203" s="18"/>
      <c r="G5203" s="40"/>
      <c r="H5203" s="7">
        <f t="shared" ref="H5203:N5203" si="2201">SUM(H5191:H5202)</f>
        <v>0</v>
      </c>
      <c r="I5203" s="7">
        <f t="shared" si="2201"/>
        <v>0</v>
      </c>
      <c r="J5203" s="7">
        <f>SUM(J5191:J5202)</f>
        <v>97</v>
      </c>
      <c r="K5203" s="7">
        <f t="shared" si="2201"/>
        <v>0</v>
      </c>
      <c r="L5203" s="7">
        <f t="shared" si="2201"/>
        <v>97</v>
      </c>
      <c r="M5203" s="7">
        <f t="shared" si="2201"/>
        <v>11</v>
      </c>
      <c r="N5203" s="7">
        <f t="shared" si="2201"/>
        <v>11</v>
      </c>
      <c r="O5203" s="18"/>
      <c r="P5203" s="13"/>
      <c r="Q5203" s="13"/>
      <c r="S5203" s="13"/>
      <c r="T5203" s="15"/>
      <c r="U5203" s="46" t="str">
        <f t="shared" si="2200"/>
        <v/>
      </c>
      <c r="V5203" s="46" t="str">
        <f t="shared" si="2200"/>
        <v/>
      </c>
      <c r="W5203" s="46" t="str">
        <f t="shared" si="2200"/>
        <v/>
      </c>
      <c r="X5203" s="46" t="str">
        <f t="shared" si="2200"/>
        <v/>
      </c>
    </row>
    <row r="5204" spans="2:24" x14ac:dyDescent="0.25">
      <c r="B5204" s="18"/>
      <c r="C5204" s="18"/>
      <c r="D5204" s="18"/>
      <c r="E5204" s="40"/>
      <c r="F5204" s="18"/>
      <c r="G5204" s="40"/>
      <c r="N5204" s="8" t="str">
        <f>IF(R5204="x",1,"")</f>
        <v/>
      </c>
      <c r="O5204" s="18"/>
      <c r="P5204" s="13"/>
      <c r="Q5204" s="13"/>
      <c r="R5204" s="13"/>
      <c r="S5204" s="13"/>
      <c r="T5204" s="15"/>
      <c r="U5204" s="46" t="str">
        <f t="shared" si="2200"/>
        <v/>
      </c>
      <c r="V5204" s="46" t="str">
        <f t="shared" si="2200"/>
        <v/>
      </c>
      <c r="W5204" s="46" t="str">
        <f t="shared" si="2200"/>
        <v/>
      </c>
      <c r="X5204" s="46" t="str">
        <f t="shared" si="2200"/>
        <v/>
      </c>
    </row>
    <row r="5205" spans="2:24" x14ac:dyDescent="0.25">
      <c r="B5205" s="18"/>
      <c r="C5205" s="18"/>
      <c r="D5205" s="18"/>
      <c r="E5205" s="40"/>
      <c r="F5205" s="18"/>
      <c r="G5205" s="40"/>
      <c r="N5205" s="8" t="str">
        <f>IF(R5205="x",1,"")</f>
        <v/>
      </c>
      <c r="O5205" s="18"/>
      <c r="P5205" s="13"/>
      <c r="Q5205" s="13"/>
      <c r="R5205" s="13"/>
      <c r="S5205" s="13"/>
      <c r="T5205" s="15"/>
      <c r="U5205" s="46" t="str">
        <f t="shared" si="2200"/>
        <v/>
      </c>
      <c r="V5205" s="46" t="str">
        <f t="shared" si="2200"/>
        <v/>
      </c>
      <c r="W5205" s="46" t="str">
        <f t="shared" si="2200"/>
        <v/>
      </c>
      <c r="X5205" s="46" t="str">
        <f t="shared" si="2200"/>
        <v/>
      </c>
    </row>
    <row r="5206" spans="2:24" x14ac:dyDescent="0.25">
      <c r="B5206" s="11" t="str">
        <f>CONCATENATE("PISA","-",LEFT(P5206,2),UPPER(MID(P5206,4,3)),RIGHT(P5206,4))</f>
        <v>PISA-05MAR1904</v>
      </c>
      <c r="C5206" s="11" t="s">
        <v>6001</v>
      </c>
      <c r="D5206" s="11" t="s">
        <v>847</v>
      </c>
      <c r="E5206" s="39" t="s">
        <v>6002</v>
      </c>
      <c r="F5206" s="11" t="s">
        <v>1700</v>
      </c>
      <c r="G5206" s="39" t="s">
        <v>767</v>
      </c>
      <c r="J5206" s="17">
        <v>7</v>
      </c>
      <c r="K5206" s="17"/>
      <c r="L5206" s="7">
        <f>SUM(H5206:K5206)</f>
        <v>7</v>
      </c>
      <c r="M5206" s="8">
        <v>1</v>
      </c>
      <c r="N5206" s="8">
        <f>IF(L5206&gt;0,1,"")</f>
        <v>1</v>
      </c>
      <c r="O5206" s="11" t="s">
        <v>1702</v>
      </c>
      <c r="P5206" s="16" t="str">
        <f>IF(LEN(G5206)=10,CONCATENATE("0",G5206),G5206)</f>
        <v>05-Mar-1904</v>
      </c>
      <c r="R5206" s="16" t="str">
        <f>IF($L5206&gt;0,"x","")</f>
        <v>x</v>
      </c>
      <c r="S5206" s="16" t="str">
        <f>IF($L5206&gt;0,"x","")</f>
        <v>x</v>
      </c>
      <c r="U5206" s="46" t="str">
        <f t="shared" si="2200"/>
        <v/>
      </c>
      <c r="V5206" s="46">
        <f t="shared" si="2200"/>
        <v>7</v>
      </c>
      <c r="W5206" s="46" t="str">
        <f t="shared" si="2200"/>
        <v/>
      </c>
      <c r="X5206" s="46" t="str">
        <f t="shared" si="2200"/>
        <v/>
      </c>
    </row>
    <row r="5207" spans="2:24" x14ac:dyDescent="0.25">
      <c r="N5207" s="8" t="str">
        <f>IF(R5207="x",1,"")</f>
        <v/>
      </c>
      <c r="U5207" s="46" t="str">
        <f t="shared" si="2200"/>
        <v/>
      </c>
      <c r="V5207" s="46" t="str">
        <f t="shared" si="2200"/>
        <v/>
      </c>
      <c r="W5207" s="46" t="str">
        <f t="shared" si="2200"/>
        <v/>
      </c>
      <c r="X5207" s="46" t="str">
        <f t="shared" si="2200"/>
        <v/>
      </c>
    </row>
    <row r="5208" spans="2:24" x14ac:dyDescent="0.25">
      <c r="B5208" s="18"/>
      <c r="C5208" s="18"/>
      <c r="D5208" s="18"/>
      <c r="E5208" s="40"/>
      <c r="F5208" s="18"/>
      <c r="G5208" s="40"/>
      <c r="H5208" s="7">
        <f t="shared" ref="H5208:N5208" si="2202">SUM(H5206:H5207)</f>
        <v>0</v>
      </c>
      <c r="I5208" s="7">
        <f t="shared" si="2202"/>
        <v>0</v>
      </c>
      <c r="J5208" s="7">
        <f>SUM(J5206:J5207)</f>
        <v>7</v>
      </c>
      <c r="K5208" s="7">
        <f t="shared" si="2202"/>
        <v>0</v>
      </c>
      <c r="L5208" s="7">
        <f t="shared" si="2202"/>
        <v>7</v>
      </c>
      <c r="M5208" s="7">
        <f t="shared" si="2202"/>
        <v>1</v>
      </c>
      <c r="N5208" s="7">
        <f t="shared" si="2202"/>
        <v>1</v>
      </c>
      <c r="O5208" s="18"/>
      <c r="P5208" s="13"/>
      <c r="Q5208" s="13"/>
      <c r="S5208" s="13"/>
      <c r="T5208" s="15"/>
      <c r="U5208" s="46" t="str">
        <f t="shared" si="2200"/>
        <v/>
      </c>
      <c r="V5208" s="46" t="str">
        <f t="shared" si="2200"/>
        <v/>
      </c>
      <c r="W5208" s="46" t="str">
        <f t="shared" si="2200"/>
        <v/>
      </c>
      <c r="X5208" s="46" t="str">
        <f t="shared" si="2200"/>
        <v/>
      </c>
    </row>
    <row r="5209" spans="2:24" x14ac:dyDescent="0.25">
      <c r="B5209" s="18"/>
      <c r="C5209" s="18"/>
      <c r="D5209" s="18"/>
      <c r="E5209" s="40"/>
      <c r="F5209" s="18"/>
      <c r="G5209" s="40"/>
      <c r="N5209" s="8" t="str">
        <f>IF(R5209="x",1,"")</f>
        <v/>
      </c>
      <c r="O5209" s="18"/>
      <c r="P5209" s="13"/>
      <c r="Q5209" s="13"/>
      <c r="R5209" s="13"/>
      <c r="S5209" s="13"/>
      <c r="T5209" s="15"/>
      <c r="U5209" s="46" t="str">
        <f t="shared" ref="U5209:X5214" si="2203">IF($O5209=U$5,$L5209,"")</f>
        <v/>
      </c>
      <c r="V5209" s="46" t="str">
        <f t="shared" si="2203"/>
        <v/>
      </c>
      <c r="W5209" s="46" t="str">
        <f t="shared" si="2203"/>
        <v/>
      </c>
      <c r="X5209" s="46" t="str">
        <f t="shared" si="2203"/>
        <v/>
      </c>
    </row>
    <row r="5210" spans="2:24" x14ac:dyDescent="0.25">
      <c r="B5210" s="18"/>
      <c r="C5210" s="18"/>
      <c r="D5210" s="18"/>
      <c r="E5210" s="40"/>
      <c r="F5210" s="18"/>
      <c r="G5210" s="40"/>
      <c r="N5210" s="8" t="str">
        <f>IF(R5210="x",1,"")</f>
        <v/>
      </c>
      <c r="O5210" s="18"/>
      <c r="P5210" s="13"/>
      <c r="Q5210" s="13"/>
      <c r="R5210" s="13"/>
      <c r="S5210" s="13"/>
      <c r="T5210" s="15"/>
      <c r="U5210" s="46" t="str">
        <f t="shared" si="2203"/>
        <v/>
      </c>
      <c r="V5210" s="46" t="str">
        <f t="shared" si="2203"/>
        <v/>
      </c>
      <c r="W5210" s="46" t="str">
        <f t="shared" si="2203"/>
        <v/>
      </c>
      <c r="X5210" s="46" t="str">
        <f t="shared" si="2203"/>
        <v/>
      </c>
    </row>
    <row r="5211" spans="2:24" x14ac:dyDescent="0.25">
      <c r="B5211" s="11" t="str">
        <f>CONCATENATE("PITT","-",LEFT(P5211,2),UPPER(MID(P5211,4,3)),RIGHT(P5211,4))</f>
        <v>PITT-24FEB1923</v>
      </c>
      <c r="C5211" s="11" t="s">
        <v>4817</v>
      </c>
      <c r="D5211" s="11" t="s">
        <v>2224</v>
      </c>
      <c r="E5211" s="39" t="s">
        <v>5456</v>
      </c>
      <c r="F5211" s="11" t="s">
        <v>2904</v>
      </c>
      <c r="G5211" s="39" t="s">
        <v>4297</v>
      </c>
      <c r="J5211" s="17">
        <v>5</v>
      </c>
      <c r="K5211" s="17"/>
      <c r="L5211" s="7">
        <f>SUM(H5211:K5211)</f>
        <v>5</v>
      </c>
      <c r="M5211" s="8">
        <v>1</v>
      </c>
      <c r="N5211" s="8">
        <f>IF(L5211&gt;0,1,"")</f>
        <v>1</v>
      </c>
      <c r="O5211" s="11" t="s">
        <v>1702</v>
      </c>
      <c r="P5211" s="16" t="str">
        <f>IF(LEN(G5211)=10,CONCATENATE("0",G5211),G5211)</f>
        <v>24-Feb-1923</v>
      </c>
      <c r="R5211" s="16" t="str">
        <f>IF($L5211&gt;0,"x","")</f>
        <v>x</v>
      </c>
      <c r="S5211" s="16" t="str">
        <f>IF($L5211&gt;0,"x","")</f>
        <v>x</v>
      </c>
      <c r="U5211" s="46" t="str">
        <f t="shared" si="2203"/>
        <v/>
      </c>
      <c r="V5211" s="46">
        <f t="shared" si="2203"/>
        <v>5</v>
      </c>
      <c r="W5211" s="46" t="str">
        <f t="shared" si="2203"/>
        <v/>
      </c>
      <c r="X5211" s="46" t="str">
        <f t="shared" si="2203"/>
        <v/>
      </c>
    </row>
    <row r="5212" spans="2:24" x14ac:dyDescent="0.25">
      <c r="B5212" s="11" t="str">
        <f>CONCATENATE("PITT","-",LEFT(P5212,2),UPPER(MID(P5212,4,3)),RIGHT(P5212,4))</f>
        <v>PITT-31JAN1925</v>
      </c>
      <c r="C5212" s="11" t="s">
        <v>4817</v>
      </c>
      <c r="D5212" s="11" t="s">
        <v>2224</v>
      </c>
      <c r="E5212" s="39" t="s">
        <v>4608</v>
      </c>
      <c r="F5212" s="11" t="s">
        <v>1700</v>
      </c>
      <c r="G5212" s="39" t="s">
        <v>4609</v>
      </c>
      <c r="I5212" s="7">
        <v>0</v>
      </c>
      <c r="J5212" s="17">
        <f>4+1</f>
        <v>5</v>
      </c>
      <c r="K5212" s="17"/>
      <c r="L5212" s="7">
        <f>SUM(H5212:K5212)</f>
        <v>5</v>
      </c>
      <c r="M5212" s="8">
        <v>1</v>
      </c>
      <c r="N5212" s="8">
        <f>IF(L5212&gt;0,1,"")</f>
        <v>1</v>
      </c>
      <c r="O5212" s="11" t="s">
        <v>1702</v>
      </c>
      <c r="P5212" s="16" t="str">
        <f>IF(LEN(G5212)=10,CONCATENATE("0",G5212),G5212)</f>
        <v>31-Jan-1925</v>
      </c>
      <c r="R5212" s="16" t="str">
        <f>IF($L5212&gt;0,"x","")</f>
        <v>x</v>
      </c>
      <c r="S5212" s="16" t="str">
        <f>IF($L5212&gt;0,"x","")</f>
        <v>x</v>
      </c>
      <c r="U5212" s="46" t="str">
        <f t="shared" si="2203"/>
        <v/>
      </c>
      <c r="V5212" s="46">
        <f t="shared" si="2203"/>
        <v>5</v>
      </c>
      <c r="W5212" s="46" t="str">
        <f t="shared" si="2203"/>
        <v/>
      </c>
      <c r="X5212" s="46" t="str">
        <f t="shared" si="2203"/>
        <v/>
      </c>
    </row>
    <row r="5213" spans="2:24" x14ac:dyDescent="0.25">
      <c r="N5213" s="8" t="str">
        <f>IF(R5213="x",1,"")</f>
        <v/>
      </c>
      <c r="U5213" s="46" t="str">
        <f t="shared" si="2203"/>
        <v/>
      </c>
      <c r="V5213" s="46" t="str">
        <f t="shared" si="2203"/>
        <v/>
      </c>
      <c r="W5213" s="46" t="str">
        <f t="shared" si="2203"/>
        <v/>
      </c>
      <c r="X5213" s="46" t="str">
        <f t="shared" si="2203"/>
        <v/>
      </c>
    </row>
    <row r="5214" spans="2:24" x14ac:dyDescent="0.25">
      <c r="B5214" s="18"/>
      <c r="C5214" s="18"/>
      <c r="D5214" s="18"/>
      <c r="E5214" s="40"/>
      <c r="F5214" s="18"/>
      <c r="G5214" s="40"/>
      <c r="H5214" s="7">
        <f t="shared" ref="H5214:N5214" si="2204">SUM(H5211:H5213)</f>
        <v>0</v>
      </c>
      <c r="I5214" s="7">
        <f t="shared" si="2204"/>
        <v>0</v>
      </c>
      <c r="J5214" s="7">
        <f>SUM(J5211:J5213)</f>
        <v>10</v>
      </c>
      <c r="K5214" s="7">
        <f t="shared" si="2204"/>
        <v>0</v>
      </c>
      <c r="L5214" s="7">
        <f t="shared" si="2204"/>
        <v>10</v>
      </c>
      <c r="M5214" s="7">
        <f t="shared" si="2204"/>
        <v>2</v>
      </c>
      <c r="N5214" s="7">
        <f t="shared" si="2204"/>
        <v>2</v>
      </c>
      <c r="O5214" s="18"/>
      <c r="P5214" s="13"/>
      <c r="Q5214" s="13"/>
      <c r="S5214" s="13"/>
      <c r="T5214" s="15"/>
      <c r="U5214" s="46" t="str">
        <f t="shared" si="2203"/>
        <v/>
      </c>
      <c r="V5214" s="46" t="str">
        <f t="shared" si="2203"/>
        <v/>
      </c>
      <c r="W5214" s="46" t="str">
        <f t="shared" si="2203"/>
        <v/>
      </c>
      <c r="X5214" s="46" t="str">
        <f t="shared" si="2203"/>
        <v/>
      </c>
    </row>
    <row r="5215" spans="2:24" x14ac:dyDescent="0.25">
      <c r="B5215" s="18"/>
      <c r="C5215" s="18"/>
      <c r="D5215" s="18"/>
      <c r="E5215" s="40"/>
      <c r="F5215" s="18"/>
      <c r="G5215" s="40"/>
      <c r="N5215" s="8" t="str">
        <f>IF(R5215="x",1,"")</f>
        <v/>
      </c>
      <c r="O5215" s="18"/>
      <c r="P5215" s="13"/>
      <c r="Q5215" s="13"/>
      <c r="R5215" s="13"/>
      <c r="S5215" s="13"/>
      <c r="T5215" s="15"/>
      <c r="U5215" s="46" t="str">
        <f t="shared" ref="U5215:X5225" si="2205">IF($O5215=U$5,$L5215,"")</f>
        <v/>
      </c>
      <c r="V5215" s="46" t="str">
        <f t="shared" si="2205"/>
        <v/>
      </c>
      <c r="W5215" s="46" t="str">
        <f t="shared" si="2205"/>
        <v/>
      </c>
      <c r="X5215" s="46" t="str">
        <f t="shared" si="2205"/>
        <v/>
      </c>
    </row>
    <row r="5216" spans="2:24" x14ac:dyDescent="0.25">
      <c r="B5216" s="18"/>
      <c r="C5216" s="18"/>
      <c r="D5216" s="18"/>
      <c r="E5216" s="40"/>
      <c r="F5216" s="18"/>
      <c r="G5216" s="40"/>
      <c r="N5216" s="8" t="str">
        <f>IF(R5216="x",1,"")</f>
        <v/>
      </c>
      <c r="O5216" s="18"/>
      <c r="P5216" s="13"/>
      <c r="Q5216" s="13"/>
      <c r="R5216" s="13"/>
      <c r="S5216" s="13"/>
      <c r="T5216" s="15"/>
      <c r="U5216" s="46" t="str">
        <f t="shared" si="2205"/>
        <v/>
      </c>
      <c r="V5216" s="46" t="str">
        <f t="shared" si="2205"/>
        <v/>
      </c>
      <c r="W5216" s="46" t="str">
        <f t="shared" si="2205"/>
        <v/>
      </c>
      <c r="X5216" s="46" t="str">
        <f t="shared" si="2205"/>
        <v/>
      </c>
    </row>
    <row r="5217" spans="2:26" x14ac:dyDescent="0.25">
      <c r="B5217" s="11" t="str">
        <f>CONCATENATE("POLO","-",LEFT(P5217,2),UPPER(MID(P5217,4,3)),RIGHT(P5217,4))</f>
        <v>POLO-16APR1913</v>
      </c>
      <c r="C5217" s="11" t="s">
        <v>4315</v>
      </c>
      <c r="D5217" s="11" t="s">
        <v>1906</v>
      </c>
      <c r="E5217" s="39" t="s">
        <v>4240</v>
      </c>
      <c r="F5217" s="11" t="s">
        <v>1700</v>
      </c>
      <c r="G5217" s="39" t="s">
        <v>4316</v>
      </c>
      <c r="J5217" s="17">
        <v>71</v>
      </c>
      <c r="K5217" s="17"/>
      <c r="L5217" s="7">
        <f>SUM(H5217:K5217)</f>
        <v>71</v>
      </c>
      <c r="M5217" s="8">
        <v>1</v>
      </c>
      <c r="N5217" s="8">
        <f>IF(L5217&gt;0,1,"")</f>
        <v>1</v>
      </c>
      <c r="O5217" s="11" t="s">
        <v>1702</v>
      </c>
      <c r="P5217" s="16" t="str">
        <f>IF(LEN(G5217)=10,CONCATENATE("0",G5217),G5217)</f>
        <v>16-Apr-1913</v>
      </c>
      <c r="R5217" s="16" t="str">
        <f>IF($L5217&gt;0,"x","")</f>
        <v>x</v>
      </c>
      <c r="S5217" s="16" t="str">
        <f>IF($L5217&gt;0,"x","")</f>
        <v>x</v>
      </c>
      <c r="U5217" s="46" t="str">
        <f t="shared" si="2205"/>
        <v/>
      </c>
      <c r="V5217" s="46">
        <f t="shared" si="2205"/>
        <v>71</v>
      </c>
      <c r="W5217" s="46" t="str">
        <f t="shared" si="2205"/>
        <v/>
      </c>
      <c r="X5217" s="46" t="str">
        <f t="shared" si="2205"/>
        <v/>
      </c>
    </row>
    <row r="5218" spans="2:26" x14ac:dyDescent="0.25">
      <c r="B5218" s="11" t="str">
        <f>CONCATENATE("POLO","-",LEFT(P5218,2),UPPER(MID(P5218,4,3)),RIGHT(P5218,4))</f>
        <v>POLO-29JUN1913</v>
      </c>
      <c r="C5218" s="11" t="s">
        <v>4315</v>
      </c>
      <c r="D5218" s="11" t="s">
        <v>1906</v>
      </c>
      <c r="E5218" s="39" t="s">
        <v>4558</v>
      </c>
      <c r="F5218" s="11" t="s">
        <v>2813</v>
      </c>
      <c r="G5218" s="39" t="s">
        <v>4559</v>
      </c>
      <c r="I5218" s="7">
        <v>2</v>
      </c>
      <c r="J5218" s="17">
        <f>62</f>
        <v>62</v>
      </c>
      <c r="K5218" s="17"/>
      <c r="L5218" s="7">
        <f>SUM(H5218:K5218)</f>
        <v>64</v>
      </c>
      <c r="M5218" s="8">
        <v>1</v>
      </c>
      <c r="N5218" s="8">
        <f>IF(L5218&gt;0,1,"")</f>
        <v>1</v>
      </c>
      <c r="O5218" s="11" t="s">
        <v>1702</v>
      </c>
      <c r="P5218" s="16" t="str">
        <f>IF(LEN(G5218)=10,CONCATENATE("0",G5218),G5218)</f>
        <v>29-Jun-1913</v>
      </c>
      <c r="R5218" s="16" t="str">
        <f>IF($L5218&gt;0,"x","")</f>
        <v>x</v>
      </c>
      <c r="S5218" s="16" t="str">
        <f>IF($L5218&gt;0,"x","")</f>
        <v>x</v>
      </c>
      <c r="U5218" s="46" t="str">
        <f t="shared" si="2205"/>
        <v/>
      </c>
      <c r="V5218" s="46">
        <f t="shared" si="2205"/>
        <v>64</v>
      </c>
      <c r="W5218" s="46" t="str">
        <f t="shared" si="2205"/>
        <v/>
      </c>
      <c r="X5218" s="46" t="str">
        <f t="shared" si="2205"/>
        <v/>
      </c>
    </row>
    <row r="5219" spans="2:26" x14ac:dyDescent="0.25">
      <c r="N5219" s="8" t="str">
        <f>IF(R5219="x",1,"")</f>
        <v/>
      </c>
      <c r="U5219" s="46" t="str">
        <f t="shared" si="2205"/>
        <v/>
      </c>
      <c r="V5219" s="46" t="str">
        <f t="shared" si="2205"/>
        <v/>
      </c>
      <c r="W5219" s="46" t="str">
        <f t="shared" si="2205"/>
        <v/>
      </c>
      <c r="X5219" s="46" t="str">
        <f t="shared" si="2205"/>
        <v/>
      </c>
    </row>
    <row r="5220" spans="2:26" x14ac:dyDescent="0.25">
      <c r="B5220" s="18"/>
      <c r="C5220" s="18"/>
      <c r="D5220" s="18"/>
      <c r="E5220" s="40"/>
      <c r="F5220" s="18"/>
      <c r="G5220" s="40"/>
      <c r="H5220" s="7">
        <f t="shared" ref="H5220:N5220" si="2206">SUM(H5217:H5219)</f>
        <v>0</v>
      </c>
      <c r="I5220" s="7">
        <f t="shared" si="2206"/>
        <v>2</v>
      </c>
      <c r="J5220" s="7">
        <f>SUM(J5217:J5219)</f>
        <v>133</v>
      </c>
      <c r="K5220" s="7">
        <f t="shared" si="2206"/>
        <v>0</v>
      </c>
      <c r="L5220" s="7">
        <f t="shared" si="2206"/>
        <v>135</v>
      </c>
      <c r="M5220" s="7">
        <f t="shared" si="2206"/>
        <v>2</v>
      </c>
      <c r="N5220" s="7">
        <f t="shared" si="2206"/>
        <v>2</v>
      </c>
      <c r="O5220" s="18"/>
      <c r="P5220" s="13"/>
      <c r="Q5220" s="13"/>
      <c r="S5220" s="13"/>
      <c r="T5220" s="15"/>
      <c r="U5220" s="46" t="str">
        <f t="shared" si="2205"/>
        <v/>
      </c>
      <c r="V5220" s="46" t="str">
        <f t="shared" si="2205"/>
        <v/>
      </c>
      <c r="W5220" s="46" t="str">
        <f t="shared" si="2205"/>
        <v/>
      </c>
      <c r="X5220" s="46" t="str">
        <f t="shared" si="2205"/>
        <v/>
      </c>
    </row>
    <row r="5221" spans="2:26" x14ac:dyDescent="0.25">
      <c r="B5221" s="18"/>
      <c r="C5221" s="18"/>
      <c r="D5221" s="18"/>
      <c r="E5221" s="40"/>
      <c r="F5221" s="18"/>
      <c r="G5221" s="40"/>
      <c r="N5221" s="8" t="str">
        <f>IF(R5221="x",1,"")</f>
        <v/>
      </c>
      <c r="O5221" s="18"/>
      <c r="P5221" s="13"/>
      <c r="Q5221" s="13"/>
      <c r="R5221" s="13"/>
      <c r="S5221" s="13"/>
      <c r="T5221" s="15"/>
      <c r="U5221" s="46" t="str">
        <f t="shared" si="2205"/>
        <v/>
      </c>
      <c r="V5221" s="46" t="str">
        <f t="shared" si="2205"/>
        <v/>
      </c>
      <c r="W5221" s="46" t="str">
        <f t="shared" si="2205"/>
        <v/>
      </c>
      <c r="X5221" s="46" t="str">
        <f t="shared" si="2205"/>
        <v/>
      </c>
    </row>
    <row r="5222" spans="2:26" x14ac:dyDescent="0.25">
      <c r="B5222" s="18"/>
      <c r="C5222" s="18"/>
      <c r="D5222" s="18"/>
      <c r="E5222" s="40"/>
      <c r="F5222" s="18"/>
      <c r="G5222" s="40"/>
      <c r="N5222" s="8" t="str">
        <f>IF(R5222="x",1,"")</f>
        <v/>
      </c>
      <c r="O5222" s="18"/>
      <c r="P5222" s="13"/>
      <c r="Q5222" s="13"/>
      <c r="R5222" s="13"/>
      <c r="S5222" s="13"/>
      <c r="T5222" s="15"/>
      <c r="U5222" s="46" t="str">
        <f t="shared" si="2205"/>
        <v/>
      </c>
      <c r="V5222" s="46" t="str">
        <f t="shared" si="2205"/>
        <v/>
      </c>
      <c r="W5222" s="46" t="str">
        <f t="shared" si="2205"/>
        <v/>
      </c>
      <c r="X5222" s="46" t="str">
        <f t="shared" si="2205"/>
        <v/>
      </c>
    </row>
    <row r="5223" spans="2:26" x14ac:dyDescent="0.25">
      <c r="B5223" s="11" t="str">
        <f t="shared" ref="B5223:B5230" si="2207">CONCATENATE("POME","-",LEFT(P5223,2),UPPER(MID(P5223,4,3)),RIGHT(P5223,4))</f>
        <v>POME-07JUL1907</v>
      </c>
      <c r="C5223" s="11" t="s">
        <v>3600</v>
      </c>
      <c r="D5223" s="11" t="s">
        <v>1699</v>
      </c>
      <c r="E5223" s="39" t="s">
        <v>3621</v>
      </c>
      <c r="F5223" s="11" t="s">
        <v>2813</v>
      </c>
      <c r="G5223" s="39" t="s">
        <v>3441</v>
      </c>
      <c r="I5223" s="7">
        <v>0</v>
      </c>
      <c r="J5223" s="17">
        <v>4</v>
      </c>
      <c r="K5223" s="17"/>
      <c r="L5223" s="7">
        <f t="shared" ref="L5223:L5230" si="2208">SUM(H5223:K5223)</f>
        <v>4</v>
      </c>
      <c r="M5223" s="8">
        <v>1</v>
      </c>
      <c r="N5223" s="8">
        <f t="shared" ref="N5223:N5230" si="2209">IF(L5223&gt;0,1,"")</f>
        <v>1</v>
      </c>
      <c r="O5223" s="11" t="s">
        <v>1702</v>
      </c>
      <c r="P5223" s="16" t="str">
        <f t="shared" ref="P5223:P5230" si="2210">IF(LEN(G5223)=10,CONCATENATE("0",G5223),G5223)</f>
        <v>07-Jul-1907</v>
      </c>
      <c r="R5223" s="16" t="str">
        <f t="shared" ref="R5223:S5230" si="2211">IF($L5223&gt;0,"x","")</f>
        <v>x</v>
      </c>
      <c r="S5223" s="16" t="str">
        <f t="shared" si="2211"/>
        <v>x</v>
      </c>
      <c r="U5223" s="46" t="str">
        <f t="shared" si="2205"/>
        <v/>
      </c>
      <c r="V5223" s="46">
        <f t="shared" si="2205"/>
        <v>4</v>
      </c>
      <c r="W5223" s="46" t="str">
        <f t="shared" si="2205"/>
        <v/>
      </c>
      <c r="X5223" s="46" t="str">
        <f t="shared" si="2205"/>
        <v/>
      </c>
    </row>
    <row r="5224" spans="2:26" x14ac:dyDescent="0.25">
      <c r="B5224" s="11" t="str">
        <f t="shared" si="2207"/>
        <v>POME-07JAN1908</v>
      </c>
      <c r="C5224" s="11" t="s">
        <v>3600</v>
      </c>
      <c r="D5224" s="11" t="s">
        <v>1699</v>
      </c>
      <c r="E5224" s="39" t="s">
        <v>1210</v>
      </c>
      <c r="F5224" s="11" t="s">
        <v>211</v>
      </c>
      <c r="G5224" s="39" t="s">
        <v>3601</v>
      </c>
      <c r="I5224" s="7">
        <v>0</v>
      </c>
      <c r="J5224" s="17">
        <v>1</v>
      </c>
      <c r="K5224" s="17"/>
      <c r="L5224" s="7">
        <f t="shared" si="2208"/>
        <v>1</v>
      </c>
      <c r="M5224" s="8">
        <v>1</v>
      </c>
      <c r="N5224" s="8">
        <f t="shared" si="2209"/>
        <v>1</v>
      </c>
      <c r="O5224" s="11" t="s">
        <v>1702</v>
      </c>
      <c r="P5224" s="16" t="str">
        <f t="shared" si="2210"/>
        <v>07-Jan-1908</v>
      </c>
      <c r="R5224" s="16" t="str">
        <f t="shared" si="2211"/>
        <v>x</v>
      </c>
      <c r="S5224" s="16" t="str">
        <f t="shared" si="2211"/>
        <v>x</v>
      </c>
      <c r="U5224" s="46" t="str">
        <f t="shared" si="2205"/>
        <v/>
      </c>
      <c r="V5224" s="46">
        <f t="shared" si="2205"/>
        <v>1</v>
      </c>
      <c r="W5224" s="46" t="str">
        <f t="shared" si="2205"/>
        <v/>
      </c>
      <c r="X5224" s="46" t="str">
        <f t="shared" si="2205"/>
        <v/>
      </c>
    </row>
    <row r="5225" spans="2:26" x14ac:dyDescent="0.25">
      <c r="B5225" s="11" t="str">
        <f t="shared" si="2207"/>
        <v>POME-29MAY1909</v>
      </c>
      <c r="C5225" s="11" t="s">
        <v>3600</v>
      </c>
      <c r="D5225" s="11" t="s">
        <v>1699</v>
      </c>
      <c r="E5225" s="39" t="s">
        <v>3606</v>
      </c>
      <c r="F5225" s="11" t="s">
        <v>2813</v>
      </c>
      <c r="G5225" s="39" t="s">
        <v>1239</v>
      </c>
      <c r="I5225" s="7">
        <v>0</v>
      </c>
      <c r="J5225" s="17">
        <v>2</v>
      </c>
      <c r="K5225" s="17"/>
      <c r="L5225" s="7">
        <f t="shared" si="2208"/>
        <v>2</v>
      </c>
      <c r="M5225" s="8">
        <v>1</v>
      </c>
      <c r="N5225" s="8">
        <f t="shared" si="2209"/>
        <v>1</v>
      </c>
      <c r="O5225" s="11" t="s">
        <v>1702</v>
      </c>
      <c r="P5225" s="16" t="str">
        <f t="shared" si="2210"/>
        <v>29-May-1909</v>
      </c>
      <c r="R5225" s="16" t="str">
        <f t="shared" si="2211"/>
        <v>x</v>
      </c>
      <c r="S5225" s="16" t="str">
        <f t="shared" si="2211"/>
        <v>x</v>
      </c>
      <c r="U5225" s="46" t="str">
        <f t="shared" si="2205"/>
        <v/>
      </c>
      <c r="V5225" s="46">
        <f t="shared" si="2205"/>
        <v>2</v>
      </c>
      <c r="W5225" s="46" t="str">
        <f t="shared" si="2205"/>
        <v/>
      </c>
      <c r="X5225" s="46" t="str">
        <f t="shared" si="2205"/>
        <v/>
      </c>
    </row>
    <row r="5226" spans="2:26" x14ac:dyDescent="0.25">
      <c r="B5226" s="11" t="str">
        <f>CONCATENATE("POME","-",LEFT(P5226,2),UPPER(MID(P5226,4,3)),RIGHT(P5226,4))</f>
        <v>POME-30SEP1909</v>
      </c>
      <c r="C5226" s="11" t="s">
        <v>3600</v>
      </c>
      <c r="D5226" s="11" t="s">
        <v>1699</v>
      </c>
      <c r="E5226" s="39" t="s">
        <v>3306</v>
      </c>
      <c r="F5226" s="11" t="s">
        <v>2813</v>
      </c>
      <c r="G5226" s="39" t="s">
        <v>2947</v>
      </c>
      <c r="I5226" s="7">
        <v>0</v>
      </c>
      <c r="J5226" s="17">
        <v>3</v>
      </c>
      <c r="K5226" s="17"/>
      <c r="L5226" s="7">
        <f>SUM(H5226:K5226)</f>
        <v>3</v>
      </c>
      <c r="M5226" s="8">
        <v>1</v>
      </c>
      <c r="N5226" s="8">
        <f>IF(L5226&gt;0,1,"")</f>
        <v>1</v>
      </c>
      <c r="O5226" s="11" t="s">
        <v>1702</v>
      </c>
      <c r="P5226" s="16" t="str">
        <f>IF(LEN(G5226)=10,CONCATENATE("0",G5226),G5226)</f>
        <v>30-Sep-1909</v>
      </c>
      <c r="R5226" s="16" t="str">
        <f t="shared" si="2211"/>
        <v>x</v>
      </c>
      <c r="S5226" s="16" t="str">
        <f t="shared" si="2211"/>
        <v>x</v>
      </c>
      <c r="U5226" s="46" t="str">
        <f t="shared" ref="U5226:X5227" si="2212">IF($O5226=U$5,$L5226,"")</f>
        <v/>
      </c>
      <c r="V5226" s="46">
        <f t="shared" si="2212"/>
        <v>3</v>
      </c>
      <c r="W5226" s="46" t="str">
        <f t="shared" si="2212"/>
        <v/>
      </c>
      <c r="X5226" s="46" t="str">
        <f t="shared" si="2212"/>
        <v/>
      </c>
    </row>
    <row r="5227" spans="2:26" x14ac:dyDescent="0.25">
      <c r="B5227" s="11" t="str">
        <f t="shared" si="2207"/>
        <v>POME-04JAN1913</v>
      </c>
      <c r="C5227" s="11" t="s">
        <v>3600</v>
      </c>
      <c r="D5227" s="11" t="s">
        <v>1699</v>
      </c>
      <c r="E5227" s="39" t="s">
        <v>1915</v>
      </c>
      <c r="F5227" s="11" t="s">
        <v>211</v>
      </c>
      <c r="G5227" s="39" t="s">
        <v>1018</v>
      </c>
      <c r="J5227" s="17">
        <v>9</v>
      </c>
      <c r="K5227" s="17"/>
      <c r="L5227" s="7">
        <f t="shared" si="2208"/>
        <v>9</v>
      </c>
      <c r="M5227" s="8">
        <v>1</v>
      </c>
      <c r="N5227" s="8">
        <f t="shared" si="2209"/>
        <v>1</v>
      </c>
      <c r="O5227" s="11" t="s">
        <v>1702</v>
      </c>
      <c r="P5227" s="16" t="str">
        <f t="shared" si="2210"/>
        <v>04-Jan-1913</v>
      </c>
      <c r="R5227" s="16" t="str">
        <f t="shared" si="2211"/>
        <v>x</v>
      </c>
      <c r="S5227" s="16" t="str">
        <f t="shared" si="2211"/>
        <v>x</v>
      </c>
      <c r="U5227" s="46" t="str">
        <f t="shared" si="2212"/>
        <v/>
      </c>
      <c r="V5227" s="46">
        <f t="shared" si="2212"/>
        <v>9</v>
      </c>
      <c r="W5227" s="46" t="str">
        <f t="shared" si="2212"/>
        <v/>
      </c>
      <c r="X5227" s="46" t="str">
        <f t="shared" si="2212"/>
        <v/>
      </c>
    </row>
    <row r="5228" spans="2:26" x14ac:dyDescent="0.25">
      <c r="B5228" s="11" t="str">
        <f>CONCATENATE("POME","-",LEFT(P5228,2),UPPER(MID(P5228,4,3)),RIGHT(P5228,4))</f>
        <v>POME-17JUL1913</v>
      </c>
      <c r="C5228" s="11" t="s">
        <v>3600</v>
      </c>
      <c r="D5228" s="11" t="s">
        <v>1699</v>
      </c>
      <c r="E5228" s="39" t="s">
        <v>4683</v>
      </c>
      <c r="F5228" s="11" t="s">
        <v>2813</v>
      </c>
      <c r="G5228" s="39" t="s">
        <v>4684</v>
      </c>
      <c r="I5228" s="7">
        <v>0</v>
      </c>
      <c r="J5228" s="17">
        <v>12</v>
      </c>
      <c r="K5228" s="17"/>
      <c r="L5228" s="7">
        <f>SUM(H5228:K5228)</f>
        <v>12</v>
      </c>
      <c r="M5228" s="8">
        <v>1</v>
      </c>
      <c r="N5228" s="8">
        <f>IF(L5228&gt;0,1,"")</f>
        <v>1</v>
      </c>
      <c r="O5228" s="11" t="s">
        <v>1702</v>
      </c>
      <c r="P5228" s="16" t="str">
        <f>IF(LEN(G5228)=10,CONCATENATE("0",G5228),G5228)</f>
        <v>17-Jul-1913</v>
      </c>
      <c r="R5228" s="16" t="str">
        <f t="shared" si="2211"/>
        <v>x</v>
      </c>
      <c r="S5228" s="16" t="str">
        <f t="shared" si="2211"/>
        <v>x</v>
      </c>
      <c r="U5228" s="46" t="str">
        <f t="shared" ref="U5228:X5229" si="2213">IF($O5228=U$5,$L5228,"")</f>
        <v/>
      </c>
      <c r="V5228" s="46">
        <f t="shared" si="2213"/>
        <v>12</v>
      </c>
      <c r="W5228" s="46" t="str">
        <f t="shared" si="2213"/>
        <v/>
      </c>
      <c r="X5228" s="46" t="str">
        <f t="shared" si="2213"/>
        <v/>
      </c>
    </row>
    <row r="5229" spans="2:26" x14ac:dyDescent="0.25">
      <c r="B5229" s="11" t="str">
        <f t="shared" si="2207"/>
        <v>POME-31OCT1913</v>
      </c>
      <c r="C5229" s="11" t="s">
        <v>3600</v>
      </c>
      <c r="D5229" s="11" t="s">
        <v>1699</v>
      </c>
      <c r="E5229" s="39" t="s">
        <v>1932</v>
      </c>
      <c r="F5229" s="11" t="s">
        <v>2813</v>
      </c>
      <c r="G5229" s="39" t="s">
        <v>4831</v>
      </c>
      <c r="I5229" s="7">
        <v>0</v>
      </c>
      <c r="J5229" s="17">
        <v>2</v>
      </c>
      <c r="K5229" s="17"/>
      <c r="L5229" s="7">
        <f t="shared" si="2208"/>
        <v>2</v>
      </c>
      <c r="M5229" s="8">
        <v>1</v>
      </c>
      <c r="N5229" s="8">
        <f t="shared" si="2209"/>
        <v>1</v>
      </c>
      <c r="O5229" s="11" t="s">
        <v>1702</v>
      </c>
      <c r="P5229" s="16" t="str">
        <f t="shared" si="2210"/>
        <v>31-Oct-1913</v>
      </c>
      <c r="R5229" s="16" t="str">
        <f t="shared" si="2211"/>
        <v>x</v>
      </c>
      <c r="S5229" s="16" t="str">
        <f t="shared" si="2211"/>
        <v>x</v>
      </c>
      <c r="U5229" s="46" t="str">
        <f t="shared" si="2213"/>
        <v/>
      </c>
      <c r="V5229" s="46">
        <f t="shared" si="2213"/>
        <v>2</v>
      </c>
      <c r="W5229" s="46" t="str">
        <f t="shared" si="2213"/>
        <v/>
      </c>
      <c r="X5229" s="46" t="str">
        <f t="shared" si="2213"/>
        <v/>
      </c>
    </row>
    <row r="5230" spans="2:26" x14ac:dyDescent="0.25">
      <c r="B5230" s="11" t="str">
        <f t="shared" si="2207"/>
        <v>POME-05DEC1913</v>
      </c>
      <c r="C5230" s="11" t="s">
        <v>3600</v>
      </c>
      <c r="D5230" s="11" t="s">
        <v>1699</v>
      </c>
      <c r="E5230" s="39" t="s">
        <v>2364</v>
      </c>
      <c r="F5230" s="11" t="s">
        <v>211</v>
      </c>
      <c r="G5230" s="39" t="s">
        <v>3163</v>
      </c>
      <c r="I5230" s="7">
        <v>0</v>
      </c>
      <c r="J5230" s="17">
        <v>10</v>
      </c>
      <c r="K5230" s="17"/>
      <c r="L5230" s="7">
        <f t="shared" si="2208"/>
        <v>10</v>
      </c>
      <c r="M5230" s="8">
        <v>1</v>
      </c>
      <c r="N5230" s="8">
        <f t="shared" si="2209"/>
        <v>1</v>
      </c>
      <c r="O5230" s="11" t="s">
        <v>1702</v>
      </c>
      <c r="P5230" s="16" t="str">
        <f t="shared" si="2210"/>
        <v>05-Dec-1913</v>
      </c>
      <c r="R5230" s="16" t="str">
        <f t="shared" si="2211"/>
        <v>x</v>
      </c>
      <c r="S5230" s="16" t="str">
        <f t="shared" si="2211"/>
        <v>x</v>
      </c>
      <c r="U5230" s="46" t="str">
        <f t="shared" ref="U5230:X5247" si="2214">IF($O5230=U$5,$L5230,"")</f>
        <v/>
      </c>
      <c r="V5230" s="46">
        <f t="shared" si="2214"/>
        <v>10</v>
      </c>
      <c r="W5230" s="46" t="str">
        <f t="shared" si="2214"/>
        <v/>
      </c>
      <c r="X5230" s="46" t="str">
        <f t="shared" si="2214"/>
        <v/>
      </c>
      <c r="Z5230" s="11" t="s">
        <v>3796</v>
      </c>
    </row>
    <row r="5231" spans="2:26" x14ac:dyDescent="0.25">
      <c r="N5231" s="8" t="str">
        <f>IF(R5231="x",1,"")</f>
        <v/>
      </c>
      <c r="U5231" s="46" t="str">
        <f t="shared" si="2214"/>
        <v/>
      </c>
      <c r="V5231" s="46" t="str">
        <f t="shared" si="2214"/>
        <v/>
      </c>
      <c r="W5231" s="46" t="str">
        <f t="shared" si="2214"/>
        <v/>
      </c>
      <c r="X5231" s="46" t="str">
        <f t="shared" si="2214"/>
        <v/>
      </c>
    </row>
    <row r="5232" spans="2:26" x14ac:dyDescent="0.25">
      <c r="B5232" s="18"/>
      <c r="C5232" s="18"/>
      <c r="D5232" s="18"/>
      <c r="E5232" s="40"/>
      <c r="F5232" s="18"/>
      <c r="G5232" s="40"/>
      <c r="H5232" s="7">
        <f t="shared" ref="H5232:N5232" si="2215">SUM(H5223:H5231)</f>
        <v>0</v>
      </c>
      <c r="I5232" s="7">
        <f t="shared" si="2215"/>
        <v>0</v>
      </c>
      <c r="J5232" s="7">
        <f>SUM(J5223:J5231)</f>
        <v>43</v>
      </c>
      <c r="K5232" s="7">
        <f t="shared" si="2215"/>
        <v>0</v>
      </c>
      <c r="L5232" s="7">
        <f t="shared" si="2215"/>
        <v>43</v>
      </c>
      <c r="M5232" s="7">
        <f t="shared" si="2215"/>
        <v>8</v>
      </c>
      <c r="N5232" s="7">
        <f t="shared" si="2215"/>
        <v>8</v>
      </c>
      <c r="O5232" s="18"/>
      <c r="P5232" s="13"/>
      <c r="Q5232" s="13"/>
      <c r="S5232" s="13"/>
      <c r="T5232" s="15"/>
      <c r="U5232" s="46" t="str">
        <f t="shared" si="2214"/>
        <v/>
      </c>
      <c r="V5232" s="46" t="str">
        <f t="shared" si="2214"/>
        <v/>
      </c>
      <c r="W5232" s="46" t="str">
        <f t="shared" si="2214"/>
        <v/>
      </c>
      <c r="X5232" s="46" t="str">
        <f t="shared" si="2214"/>
        <v/>
      </c>
    </row>
    <row r="5233" spans="2:24" x14ac:dyDescent="0.25">
      <c r="B5233" s="18"/>
      <c r="C5233" s="18"/>
      <c r="D5233" s="18"/>
      <c r="E5233" s="40"/>
      <c r="F5233" s="18"/>
      <c r="G5233" s="40"/>
      <c r="N5233" s="8" t="str">
        <f>IF(R5233="x",1,"")</f>
        <v/>
      </c>
      <c r="O5233" s="18"/>
      <c r="P5233" s="13"/>
      <c r="Q5233" s="13"/>
      <c r="R5233" s="13"/>
      <c r="S5233" s="13"/>
      <c r="T5233" s="15"/>
      <c r="U5233" s="46" t="str">
        <f t="shared" si="2214"/>
        <v/>
      </c>
      <c r="V5233" s="46" t="str">
        <f t="shared" si="2214"/>
        <v/>
      </c>
      <c r="W5233" s="46" t="str">
        <f t="shared" si="2214"/>
        <v/>
      </c>
      <c r="X5233" s="46" t="str">
        <f t="shared" si="2214"/>
        <v/>
      </c>
    </row>
    <row r="5234" spans="2:24" x14ac:dyDescent="0.25">
      <c r="B5234" s="18"/>
      <c r="C5234" s="18"/>
      <c r="D5234" s="18"/>
      <c r="E5234" s="40"/>
      <c r="F5234" s="18"/>
      <c r="G5234" s="40"/>
      <c r="N5234" s="8" t="str">
        <f>IF(R5234="x",1,"")</f>
        <v/>
      </c>
      <c r="O5234" s="18"/>
      <c r="P5234" s="13"/>
      <c r="Q5234" s="13"/>
      <c r="R5234" s="13"/>
      <c r="S5234" s="13"/>
      <c r="T5234" s="15"/>
      <c r="U5234" s="46" t="str">
        <f t="shared" si="2214"/>
        <v/>
      </c>
      <c r="V5234" s="46" t="str">
        <f t="shared" si="2214"/>
        <v/>
      </c>
      <c r="W5234" s="46" t="str">
        <f t="shared" si="2214"/>
        <v/>
      </c>
      <c r="X5234" s="46" t="str">
        <f t="shared" si="2214"/>
        <v/>
      </c>
    </row>
    <row r="5235" spans="2:24" x14ac:dyDescent="0.25">
      <c r="B5235" s="11" t="str">
        <f t="shared" ref="B5235:B5245" si="2216">CONCATENATE("POTS","-",LEFT(P5235,2),UPPER(MID(P5235,4,3)),RIGHT(P5235,4))</f>
        <v>POTS-29MAY1900</v>
      </c>
      <c r="C5235" s="11" t="s">
        <v>3298</v>
      </c>
      <c r="D5235" s="11" t="s">
        <v>2103</v>
      </c>
      <c r="E5235" s="39" t="s">
        <v>5978</v>
      </c>
      <c r="F5235" s="11" t="s">
        <v>1700</v>
      </c>
      <c r="G5235" s="39" t="s">
        <v>5979</v>
      </c>
      <c r="J5235" s="17">
        <v>7</v>
      </c>
      <c r="K5235" s="17"/>
      <c r="L5235" s="7">
        <f t="shared" ref="L5235:L5245" si="2217">SUM(H5235:K5235)</f>
        <v>7</v>
      </c>
      <c r="M5235" s="8">
        <v>1</v>
      </c>
      <c r="N5235" s="8">
        <f t="shared" ref="N5235:N5245" si="2218">IF(L5235&gt;0,1,"")</f>
        <v>1</v>
      </c>
      <c r="O5235" s="11" t="s">
        <v>1702</v>
      </c>
      <c r="P5235" s="16" t="str">
        <f t="shared" ref="P5235:P5245" si="2219">IF(LEN(G5235)=10,CONCATENATE("0",G5235),G5235)</f>
        <v>29-May-1900</v>
      </c>
      <c r="R5235" s="16" t="str">
        <f t="shared" ref="R5235:S5238" si="2220">IF($L5235&gt;0,"x","")</f>
        <v>x</v>
      </c>
      <c r="S5235" s="16" t="str">
        <f t="shared" si="2220"/>
        <v>x</v>
      </c>
      <c r="U5235" s="46" t="str">
        <f t="shared" si="2214"/>
        <v/>
      </c>
      <c r="V5235" s="46">
        <f t="shared" si="2214"/>
        <v>7</v>
      </c>
      <c r="W5235" s="46" t="str">
        <f t="shared" si="2214"/>
        <v/>
      </c>
      <c r="X5235" s="46" t="str">
        <f t="shared" si="2214"/>
        <v/>
      </c>
    </row>
    <row r="5236" spans="2:24" x14ac:dyDescent="0.25">
      <c r="B5236" s="11" t="str">
        <f>CONCATENATE("POTS","-",LEFT(P5236,2),UPPER(MID(P5236,4,3)),RIGHT(P5236,4))</f>
        <v>POTS-03DEC1900</v>
      </c>
      <c r="C5236" s="11" t="s">
        <v>3298</v>
      </c>
      <c r="D5236" s="11" t="s">
        <v>2103</v>
      </c>
      <c r="E5236" s="39" t="s">
        <v>2206</v>
      </c>
      <c r="F5236" s="11" t="s">
        <v>1700</v>
      </c>
      <c r="G5236" s="39" t="s">
        <v>492</v>
      </c>
      <c r="J5236" s="17">
        <v>8</v>
      </c>
      <c r="K5236" s="17"/>
      <c r="L5236" s="7">
        <f>SUM(H5236:K5236)</f>
        <v>8</v>
      </c>
      <c r="M5236" s="8">
        <v>1</v>
      </c>
      <c r="N5236" s="8">
        <f>IF(L5236&gt;0,1,"")</f>
        <v>1</v>
      </c>
      <c r="O5236" s="11" t="s">
        <v>1702</v>
      </c>
      <c r="P5236" s="16" t="str">
        <f>IF(LEN(G5236)=10,CONCATENATE("0",G5236),G5236)</f>
        <v>03-Dec-1900</v>
      </c>
      <c r="R5236" s="16" t="str">
        <f t="shared" si="2220"/>
        <v>x</v>
      </c>
      <c r="S5236" s="16" t="str">
        <f t="shared" si="2220"/>
        <v>x</v>
      </c>
      <c r="U5236" s="46" t="str">
        <f t="shared" si="2214"/>
        <v/>
      </c>
      <c r="V5236" s="46">
        <f t="shared" si="2214"/>
        <v>8</v>
      </c>
      <c r="W5236" s="46" t="str">
        <f t="shared" si="2214"/>
        <v/>
      </c>
      <c r="X5236" s="46" t="str">
        <f t="shared" si="2214"/>
        <v/>
      </c>
    </row>
    <row r="5237" spans="2:24" x14ac:dyDescent="0.25">
      <c r="B5237" s="11" t="str">
        <f>CONCATENATE("POTS","-",LEFT(P5237,2),UPPER(MID(P5237,4,3)),RIGHT(P5237,4))</f>
        <v>POTS-11FEB1901</v>
      </c>
      <c r="C5237" s="11" t="s">
        <v>3298</v>
      </c>
      <c r="D5237" s="11" t="s">
        <v>2103</v>
      </c>
      <c r="E5237" s="39" t="s">
        <v>4690</v>
      </c>
      <c r="F5237" s="11" t="s">
        <v>1700</v>
      </c>
      <c r="G5237" s="39" t="s">
        <v>4691</v>
      </c>
      <c r="J5237" s="17">
        <v>2</v>
      </c>
      <c r="K5237" s="17"/>
      <c r="L5237" s="7">
        <f>SUM(H5237:K5237)</f>
        <v>2</v>
      </c>
      <c r="M5237" s="8">
        <v>1</v>
      </c>
      <c r="N5237" s="8">
        <f>IF(L5237&gt;0,1,"")</f>
        <v>1</v>
      </c>
      <c r="O5237" s="11" t="s">
        <v>1702</v>
      </c>
      <c r="P5237" s="16" t="str">
        <f>IF(LEN(G5237)=10,CONCATENATE("0",G5237),G5237)</f>
        <v>11-Feb-1901</v>
      </c>
      <c r="R5237" s="16" t="str">
        <f t="shared" si="2220"/>
        <v>x</v>
      </c>
      <c r="S5237" s="16" t="str">
        <f t="shared" si="2220"/>
        <v>x</v>
      </c>
      <c r="U5237" s="46" t="str">
        <f t="shared" si="2214"/>
        <v/>
      </c>
      <c r="V5237" s="46">
        <f t="shared" si="2214"/>
        <v>2</v>
      </c>
      <c r="W5237" s="46" t="str">
        <f t="shared" si="2214"/>
        <v/>
      </c>
      <c r="X5237" s="46" t="str">
        <f t="shared" si="2214"/>
        <v/>
      </c>
    </row>
    <row r="5238" spans="2:24" x14ac:dyDescent="0.25">
      <c r="B5238" s="11" t="str">
        <f>CONCATENATE("POTS","-",LEFT(P5238,2),UPPER(MID(P5238,4,3)),RIGHT(P5238,4))</f>
        <v>POTS-07JUL1901</v>
      </c>
      <c r="C5238" s="11" t="s">
        <v>3298</v>
      </c>
      <c r="D5238" s="11" t="s">
        <v>2103</v>
      </c>
      <c r="E5238" s="39" t="s">
        <v>5938</v>
      </c>
      <c r="F5238" s="11" t="s">
        <v>1700</v>
      </c>
      <c r="G5238" s="39" t="s">
        <v>5939</v>
      </c>
      <c r="J5238" s="17">
        <v>3</v>
      </c>
      <c r="K5238" s="17"/>
      <c r="L5238" s="7">
        <f>SUM(H5238:K5238)</f>
        <v>3</v>
      </c>
      <c r="M5238" s="8">
        <v>1</v>
      </c>
      <c r="N5238" s="8">
        <f>IF(L5238&gt;0,1,"")</f>
        <v>1</v>
      </c>
      <c r="O5238" s="11" t="s">
        <v>1702</v>
      </c>
      <c r="P5238" s="16" t="str">
        <f>IF(LEN(G5238)=10,CONCATENATE("0",G5238),G5238)</f>
        <v>07-Jul-1901</v>
      </c>
      <c r="R5238" s="16" t="str">
        <f t="shared" si="2220"/>
        <v>x</v>
      </c>
      <c r="S5238" s="16" t="str">
        <f t="shared" si="2220"/>
        <v>x</v>
      </c>
      <c r="T5238" s="11"/>
      <c r="U5238" s="46" t="str">
        <f t="shared" si="2214"/>
        <v/>
      </c>
      <c r="V5238" s="46">
        <f t="shared" si="2214"/>
        <v>3</v>
      </c>
      <c r="W5238" s="46" t="str">
        <f t="shared" si="2214"/>
        <v/>
      </c>
      <c r="X5238" s="46" t="str">
        <f t="shared" si="2214"/>
        <v/>
      </c>
    </row>
    <row r="5239" spans="2:24" x14ac:dyDescent="0.25">
      <c r="B5239" s="11" t="str">
        <f t="shared" si="2216"/>
        <v>POTS-15SEP1901</v>
      </c>
      <c r="C5239" s="11" t="s">
        <v>3298</v>
      </c>
      <c r="D5239" s="11" t="s">
        <v>2103</v>
      </c>
      <c r="E5239" s="39" t="s">
        <v>3595</v>
      </c>
      <c r="F5239" s="11" t="s">
        <v>1700</v>
      </c>
      <c r="G5239" s="39" t="s">
        <v>3596</v>
      </c>
      <c r="J5239" s="17">
        <v>1</v>
      </c>
      <c r="K5239" s="17"/>
      <c r="L5239" s="7">
        <f t="shared" si="2217"/>
        <v>1</v>
      </c>
      <c r="M5239" s="8">
        <v>1</v>
      </c>
      <c r="N5239" s="8">
        <f t="shared" si="2218"/>
        <v>1</v>
      </c>
      <c r="O5239" s="11" t="s">
        <v>1702</v>
      </c>
      <c r="P5239" s="16" t="str">
        <f t="shared" si="2219"/>
        <v>15-Sep-1901</v>
      </c>
      <c r="R5239" s="16" t="str">
        <f t="shared" ref="R5239:S5242" si="2221">IF($L5239&gt;0,"x","")</f>
        <v>x</v>
      </c>
      <c r="S5239" s="16" t="str">
        <f t="shared" si="2221"/>
        <v>x</v>
      </c>
      <c r="U5239" s="46" t="str">
        <f t="shared" si="2214"/>
        <v/>
      </c>
      <c r="V5239" s="46">
        <f t="shared" si="2214"/>
        <v>1</v>
      </c>
      <c r="W5239" s="46" t="str">
        <f t="shared" si="2214"/>
        <v/>
      </c>
      <c r="X5239" s="46" t="str">
        <f t="shared" si="2214"/>
        <v/>
      </c>
    </row>
    <row r="5240" spans="2:24" x14ac:dyDescent="0.25">
      <c r="B5240" s="11" t="str">
        <f>CONCATENATE("POTS","-",LEFT(P5240,2),UPPER(MID(P5240,4,3)),RIGHT(P5240,4))</f>
        <v>POTS-07SEP1902</v>
      </c>
      <c r="C5240" s="11" t="s">
        <v>3298</v>
      </c>
      <c r="D5240" s="11" t="s">
        <v>2103</v>
      </c>
      <c r="E5240" s="39" t="s">
        <v>4669</v>
      </c>
      <c r="F5240" s="11" t="s">
        <v>1700</v>
      </c>
      <c r="G5240" s="39" t="s">
        <v>723</v>
      </c>
      <c r="J5240" s="17">
        <v>7</v>
      </c>
      <c r="K5240" s="17"/>
      <c r="L5240" s="7">
        <f>SUM(H5240:K5240)</f>
        <v>7</v>
      </c>
      <c r="M5240" s="8">
        <v>1</v>
      </c>
      <c r="N5240" s="8">
        <f>IF(L5240&gt;0,1,"")</f>
        <v>1</v>
      </c>
      <c r="O5240" s="11" t="s">
        <v>1702</v>
      </c>
      <c r="P5240" s="16" t="str">
        <f>IF(LEN(G5240)=10,CONCATENATE("0",G5240),G5240)</f>
        <v>07-Sep-1902</v>
      </c>
      <c r="R5240" s="16" t="str">
        <f t="shared" si="2221"/>
        <v>x</v>
      </c>
      <c r="S5240" s="16" t="str">
        <f t="shared" si="2221"/>
        <v>x</v>
      </c>
      <c r="U5240" s="46" t="str">
        <f t="shared" si="2214"/>
        <v/>
      </c>
      <c r="V5240" s="46">
        <f t="shared" si="2214"/>
        <v>7</v>
      </c>
      <c r="W5240" s="46" t="str">
        <f t="shared" si="2214"/>
        <v/>
      </c>
      <c r="X5240" s="46" t="str">
        <f t="shared" si="2214"/>
        <v/>
      </c>
    </row>
    <row r="5241" spans="2:24" x14ac:dyDescent="0.25">
      <c r="B5241" s="11" t="str">
        <f>CONCATENATE("POTS","-",LEFT(P5241,2),UPPER(MID(P5241,4,3)),RIGHT(P5241,4))</f>
        <v>POTS-13OCT1902</v>
      </c>
      <c r="C5241" s="11" t="s">
        <v>3298</v>
      </c>
      <c r="D5241" s="11" t="s">
        <v>2103</v>
      </c>
      <c r="E5241" s="39" t="s">
        <v>5685</v>
      </c>
      <c r="F5241" s="11" t="s">
        <v>1700</v>
      </c>
      <c r="G5241" s="39" t="s">
        <v>5686</v>
      </c>
      <c r="J5241" s="17">
        <v>11</v>
      </c>
      <c r="K5241" s="17"/>
      <c r="L5241" s="7">
        <f>SUM(H5241:K5241)</f>
        <v>11</v>
      </c>
      <c r="M5241" s="8">
        <v>1</v>
      </c>
      <c r="N5241" s="8">
        <f>IF(L5241&gt;0,1,"")</f>
        <v>1</v>
      </c>
      <c r="O5241" s="11" t="s">
        <v>1702</v>
      </c>
      <c r="P5241" s="16" t="str">
        <f>IF(LEN(G5241)=10,CONCATENATE("0",G5241),G5241)</f>
        <v>13-Oct-1902</v>
      </c>
      <c r="R5241" s="16" t="str">
        <f>IF($L5241&gt;0,"x","")</f>
        <v>x</v>
      </c>
      <c r="S5241" s="16" t="str">
        <f>IF($L5241&gt;0,"x","")</f>
        <v>x</v>
      </c>
      <c r="U5241" s="46" t="str">
        <f t="shared" si="2214"/>
        <v/>
      </c>
      <c r="V5241" s="46">
        <f t="shared" si="2214"/>
        <v>11</v>
      </c>
      <c r="W5241" s="46" t="str">
        <f t="shared" si="2214"/>
        <v/>
      </c>
      <c r="X5241" s="46" t="str">
        <f t="shared" si="2214"/>
        <v/>
      </c>
    </row>
    <row r="5242" spans="2:24" x14ac:dyDescent="0.25">
      <c r="B5242" s="11" t="str">
        <f t="shared" si="2216"/>
        <v>POTS-23NOV1902</v>
      </c>
      <c r="C5242" s="11" t="s">
        <v>3298</v>
      </c>
      <c r="D5242" s="11" t="s">
        <v>2103</v>
      </c>
      <c r="E5242" s="39" t="s">
        <v>3661</v>
      </c>
      <c r="F5242" s="11" t="s">
        <v>1700</v>
      </c>
      <c r="G5242" s="39" t="s">
        <v>3519</v>
      </c>
      <c r="J5242" s="17">
        <v>7</v>
      </c>
      <c r="K5242" s="17"/>
      <c r="L5242" s="7">
        <f t="shared" si="2217"/>
        <v>7</v>
      </c>
      <c r="M5242" s="8">
        <v>1</v>
      </c>
      <c r="N5242" s="8">
        <f t="shared" si="2218"/>
        <v>1</v>
      </c>
      <c r="O5242" s="11" t="s">
        <v>1702</v>
      </c>
      <c r="P5242" s="16" t="str">
        <f t="shared" si="2219"/>
        <v>23-Nov-1902</v>
      </c>
      <c r="R5242" s="16" t="str">
        <f t="shared" si="2221"/>
        <v>x</v>
      </c>
      <c r="S5242" s="16" t="str">
        <f t="shared" si="2221"/>
        <v>x</v>
      </c>
      <c r="U5242" s="46" t="str">
        <f t="shared" si="2214"/>
        <v/>
      </c>
      <c r="V5242" s="46">
        <f t="shared" si="2214"/>
        <v>7</v>
      </c>
      <c r="W5242" s="46" t="str">
        <f t="shared" si="2214"/>
        <v/>
      </c>
      <c r="X5242" s="46" t="str">
        <f t="shared" si="2214"/>
        <v/>
      </c>
    </row>
    <row r="5243" spans="2:24" x14ac:dyDescent="0.25">
      <c r="B5243" s="11" t="str">
        <f t="shared" si="2216"/>
        <v>POTS-02OCT1906</v>
      </c>
      <c r="C5243" s="11" t="s">
        <v>3298</v>
      </c>
      <c r="D5243" s="11" t="s">
        <v>2103</v>
      </c>
      <c r="E5243" s="39" t="s">
        <v>3494</v>
      </c>
      <c r="F5243" s="11" t="s">
        <v>1700</v>
      </c>
      <c r="G5243" s="39" t="s">
        <v>3495</v>
      </c>
      <c r="H5243" s="7">
        <v>0</v>
      </c>
      <c r="I5243" s="7">
        <v>0</v>
      </c>
      <c r="J5243" s="17">
        <v>6</v>
      </c>
      <c r="K5243" s="17"/>
      <c r="L5243" s="7">
        <f t="shared" si="2217"/>
        <v>6</v>
      </c>
      <c r="M5243" s="8">
        <v>1</v>
      </c>
      <c r="N5243" s="8">
        <f t="shared" si="2218"/>
        <v>1</v>
      </c>
      <c r="O5243" s="11" t="s">
        <v>1702</v>
      </c>
      <c r="P5243" s="16" t="str">
        <f t="shared" si="2219"/>
        <v>02-Oct-1906</v>
      </c>
      <c r="R5243" s="16" t="str">
        <f t="shared" ref="R5243:S5245" si="2222">IF($L5243&gt;0,"x","")</f>
        <v>x</v>
      </c>
      <c r="S5243" s="16" t="str">
        <f t="shared" si="2222"/>
        <v>x</v>
      </c>
      <c r="U5243" s="46" t="str">
        <f t="shared" si="2214"/>
        <v/>
      </c>
      <c r="V5243" s="46">
        <f t="shared" si="2214"/>
        <v>6</v>
      </c>
      <c r="W5243" s="46" t="str">
        <f t="shared" si="2214"/>
        <v/>
      </c>
      <c r="X5243" s="46" t="str">
        <f t="shared" si="2214"/>
        <v/>
      </c>
    </row>
    <row r="5244" spans="2:24" x14ac:dyDescent="0.25">
      <c r="B5244" s="11" t="str">
        <f t="shared" si="2216"/>
        <v>POTS-26DEC1906</v>
      </c>
      <c r="C5244" s="11" t="s">
        <v>3298</v>
      </c>
      <c r="D5244" s="11" t="s">
        <v>2103</v>
      </c>
      <c r="E5244" s="39" t="s">
        <v>1195</v>
      </c>
      <c r="F5244" s="11" t="s">
        <v>1700</v>
      </c>
      <c r="G5244" s="39" t="s">
        <v>3299</v>
      </c>
      <c r="H5244" s="7">
        <v>0</v>
      </c>
      <c r="I5244" s="7">
        <v>0</v>
      </c>
      <c r="J5244" s="17">
        <v>3</v>
      </c>
      <c r="K5244" s="17"/>
      <c r="L5244" s="7">
        <f t="shared" si="2217"/>
        <v>3</v>
      </c>
      <c r="M5244" s="8">
        <v>1</v>
      </c>
      <c r="N5244" s="8">
        <f t="shared" si="2218"/>
        <v>1</v>
      </c>
      <c r="O5244" s="11" t="s">
        <v>1702</v>
      </c>
      <c r="P5244" s="16" t="str">
        <f t="shared" si="2219"/>
        <v>26-Dec-1906</v>
      </c>
      <c r="R5244" s="16" t="str">
        <f t="shared" si="2222"/>
        <v>x</v>
      </c>
      <c r="S5244" s="16" t="str">
        <f t="shared" si="2222"/>
        <v>x</v>
      </c>
      <c r="U5244" s="46" t="str">
        <f t="shared" si="2214"/>
        <v/>
      </c>
      <c r="V5244" s="46">
        <f t="shared" si="2214"/>
        <v>3</v>
      </c>
      <c r="W5244" s="46" t="str">
        <f t="shared" si="2214"/>
        <v/>
      </c>
      <c r="X5244" s="46" t="str">
        <f t="shared" si="2214"/>
        <v/>
      </c>
    </row>
    <row r="5245" spans="2:24" x14ac:dyDescent="0.25">
      <c r="B5245" s="11" t="str">
        <f t="shared" si="2216"/>
        <v>POTS-03JUL1912</v>
      </c>
      <c r="C5245" s="11" t="s">
        <v>3298</v>
      </c>
      <c r="D5245" s="11" t="s">
        <v>2103</v>
      </c>
      <c r="E5245" s="39" t="s">
        <v>3917</v>
      </c>
      <c r="F5245" s="11" t="s">
        <v>1700</v>
      </c>
      <c r="G5245" s="39" t="s">
        <v>2507</v>
      </c>
      <c r="H5245" s="7">
        <v>0</v>
      </c>
      <c r="I5245" s="7">
        <v>0</v>
      </c>
      <c r="J5245" s="17">
        <v>27</v>
      </c>
      <c r="K5245" s="17"/>
      <c r="L5245" s="7">
        <f t="shared" si="2217"/>
        <v>27</v>
      </c>
      <c r="M5245" s="8">
        <v>1</v>
      </c>
      <c r="N5245" s="8">
        <f t="shared" si="2218"/>
        <v>1</v>
      </c>
      <c r="O5245" s="11" t="s">
        <v>1702</v>
      </c>
      <c r="P5245" s="16" t="str">
        <f t="shared" si="2219"/>
        <v>03-Jul-1912</v>
      </c>
      <c r="R5245" s="16" t="str">
        <f t="shared" si="2222"/>
        <v>x</v>
      </c>
      <c r="S5245" s="16" t="str">
        <f t="shared" si="2222"/>
        <v>x</v>
      </c>
      <c r="U5245" s="46" t="str">
        <f t="shared" si="2214"/>
        <v/>
      </c>
      <c r="V5245" s="46">
        <f t="shared" si="2214"/>
        <v>27</v>
      </c>
      <c r="W5245" s="46" t="str">
        <f t="shared" si="2214"/>
        <v/>
      </c>
      <c r="X5245" s="46" t="str">
        <f t="shared" si="2214"/>
        <v/>
      </c>
    </row>
    <row r="5246" spans="2:24" x14ac:dyDescent="0.25">
      <c r="N5246" s="8" t="str">
        <f>IF(R5246="x",1,"")</f>
        <v/>
      </c>
      <c r="U5246" s="46" t="str">
        <f t="shared" si="2214"/>
        <v/>
      </c>
      <c r="V5246" s="46" t="str">
        <f t="shared" si="2214"/>
        <v/>
      </c>
      <c r="W5246" s="46" t="str">
        <f t="shared" si="2214"/>
        <v/>
      </c>
      <c r="X5246" s="46" t="str">
        <f t="shared" si="2214"/>
        <v/>
      </c>
    </row>
    <row r="5247" spans="2:24" x14ac:dyDescent="0.25">
      <c r="B5247" s="18"/>
      <c r="C5247" s="18"/>
      <c r="D5247" s="18"/>
      <c r="E5247" s="40"/>
      <c r="F5247" s="18"/>
      <c r="G5247" s="40"/>
      <c r="H5247" s="7">
        <f t="shared" ref="H5247:N5247" si="2223">SUM(H5235:H5246)</f>
        <v>0</v>
      </c>
      <c r="I5247" s="7">
        <f t="shared" si="2223"/>
        <v>0</v>
      </c>
      <c r="J5247" s="7">
        <f>SUM(J5235:J5246)</f>
        <v>82</v>
      </c>
      <c r="K5247" s="7">
        <f t="shared" si="2223"/>
        <v>0</v>
      </c>
      <c r="L5247" s="7">
        <f t="shared" si="2223"/>
        <v>82</v>
      </c>
      <c r="M5247" s="7">
        <f t="shared" si="2223"/>
        <v>11</v>
      </c>
      <c r="N5247" s="7">
        <f t="shared" si="2223"/>
        <v>11</v>
      </c>
      <c r="O5247" s="18"/>
      <c r="P5247" s="13"/>
      <c r="Q5247" s="13"/>
      <c r="S5247" s="13"/>
      <c r="T5247" s="15"/>
      <c r="U5247" s="46" t="str">
        <f t="shared" si="2214"/>
        <v/>
      </c>
      <c r="V5247" s="46" t="str">
        <f t="shared" si="2214"/>
        <v/>
      </c>
      <c r="W5247" s="46" t="str">
        <f t="shared" si="2214"/>
        <v/>
      </c>
      <c r="X5247" s="46" t="str">
        <f t="shared" si="2214"/>
        <v/>
      </c>
    </row>
    <row r="5248" spans="2:24" x14ac:dyDescent="0.25">
      <c r="B5248" s="18"/>
      <c r="C5248" s="18"/>
      <c r="D5248" s="18"/>
      <c r="E5248" s="40"/>
      <c r="F5248" s="18"/>
      <c r="G5248" s="40"/>
      <c r="N5248" s="8" t="str">
        <f>IF(R5248="x",1,"")</f>
        <v/>
      </c>
      <c r="O5248" s="18"/>
      <c r="P5248" s="13"/>
      <c r="Q5248" s="13"/>
      <c r="R5248" s="13"/>
      <c r="S5248" s="13"/>
      <c r="T5248" s="15"/>
      <c r="U5248" s="46" t="str">
        <f t="shared" ref="U5248:X5252" si="2224">IF($O5248=U$5,$L5248,"")</f>
        <v/>
      </c>
      <c r="V5248" s="46" t="str">
        <f t="shared" si="2224"/>
        <v/>
      </c>
      <c r="W5248" s="46" t="str">
        <f t="shared" si="2224"/>
        <v/>
      </c>
      <c r="X5248" s="46" t="str">
        <f t="shared" si="2224"/>
        <v/>
      </c>
    </row>
    <row r="5249" spans="2:24" x14ac:dyDescent="0.25">
      <c r="B5249" s="18"/>
      <c r="C5249" s="18"/>
      <c r="D5249" s="18"/>
      <c r="E5249" s="40"/>
      <c r="F5249" s="18"/>
      <c r="G5249" s="40"/>
      <c r="N5249" s="8" t="str">
        <f>IF(R5249="x",1,"")</f>
        <v/>
      </c>
      <c r="O5249" s="18"/>
      <c r="P5249" s="13"/>
      <c r="Q5249" s="13"/>
      <c r="R5249" s="13"/>
      <c r="S5249" s="13"/>
      <c r="T5249" s="15"/>
      <c r="U5249" s="46" t="str">
        <f t="shared" si="2224"/>
        <v/>
      </c>
      <c r="V5249" s="46" t="str">
        <f t="shared" si="2224"/>
        <v/>
      </c>
      <c r="W5249" s="46" t="str">
        <f t="shared" si="2224"/>
        <v/>
      </c>
      <c r="X5249" s="46" t="str">
        <f t="shared" si="2224"/>
        <v/>
      </c>
    </row>
    <row r="5250" spans="2:24" x14ac:dyDescent="0.25">
      <c r="B5250" s="11" t="str">
        <f>CONCATENATE("PADA","-",LEFT(P5250,2),UPPER(MID(P5250,4,3)),RIGHT(P5250,4))</f>
        <v>PADA-03NOV1926</v>
      </c>
      <c r="C5250" s="11" t="s">
        <v>11445</v>
      </c>
      <c r="D5250" s="11" t="s">
        <v>870</v>
      </c>
      <c r="E5250" s="39" t="s">
        <v>11446</v>
      </c>
      <c r="F5250" s="11" t="s">
        <v>3050</v>
      </c>
      <c r="G5250" s="39" t="s">
        <v>11248</v>
      </c>
      <c r="H5250" s="7">
        <f>6+1</f>
        <v>7</v>
      </c>
      <c r="J5250" s="17"/>
      <c r="K5250" s="17"/>
      <c r="L5250" s="7">
        <f>SUM(H5250:K5250)</f>
        <v>7</v>
      </c>
      <c r="M5250" s="8">
        <v>1</v>
      </c>
      <c r="N5250" s="8">
        <f>IF(L5250&gt;0,1,"")</f>
        <v>1</v>
      </c>
      <c r="O5250" s="11" t="s">
        <v>1702</v>
      </c>
      <c r="P5250" s="16" t="str">
        <f>IF(LEN(G5250)=10,CONCATENATE("0",G5250),G5250)</f>
        <v>03-Nov-1926</v>
      </c>
      <c r="R5250" s="16" t="str">
        <f>IF($L5250&gt;0,"x","")</f>
        <v>x</v>
      </c>
      <c r="S5250" s="16" t="str">
        <f>IF($L5250&gt;0,"x","")</f>
        <v>x</v>
      </c>
      <c r="U5250" s="46" t="str">
        <f t="shared" si="2224"/>
        <v/>
      </c>
      <c r="V5250" s="46">
        <f t="shared" si="2224"/>
        <v>7</v>
      </c>
      <c r="W5250" s="46" t="str">
        <f t="shared" si="2224"/>
        <v/>
      </c>
      <c r="X5250" s="46" t="str">
        <f t="shared" si="2224"/>
        <v/>
      </c>
    </row>
    <row r="5251" spans="2:24" x14ac:dyDescent="0.25">
      <c r="N5251" s="8" t="str">
        <f>IF(R5251="x",1,"")</f>
        <v/>
      </c>
      <c r="U5251" s="46" t="str">
        <f t="shared" si="2224"/>
        <v/>
      </c>
      <c r="V5251" s="46" t="str">
        <f t="shared" si="2224"/>
        <v/>
      </c>
      <c r="W5251" s="46" t="str">
        <f t="shared" si="2224"/>
        <v/>
      </c>
      <c r="X5251" s="46" t="str">
        <f>IF($O5251=X$5,$L5251,"")</f>
        <v/>
      </c>
    </row>
    <row r="5252" spans="2:24" x14ac:dyDescent="0.25">
      <c r="B5252" s="18"/>
      <c r="C5252" s="18"/>
      <c r="D5252" s="18"/>
      <c r="E5252" s="40"/>
      <c r="F5252" s="18"/>
      <c r="G5252" s="40"/>
      <c r="H5252" s="7">
        <f t="shared" ref="H5252:N5252" si="2225">SUM(H5250:H5251)</f>
        <v>7</v>
      </c>
      <c r="I5252" s="7">
        <f t="shared" si="2225"/>
        <v>0</v>
      </c>
      <c r="J5252" s="7">
        <f t="shared" si="2225"/>
        <v>0</v>
      </c>
      <c r="K5252" s="7">
        <f t="shared" si="2225"/>
        <v>0</v>
      </c>
      <c r="L5252" s="7">
        <f t="shared" si="2225"/>
        <v>7</v>
      </c>
      <c r="M5252" s="7">
        <f t="shared" si="2225"/>
        <v>1</v>
      </c>
      <c r="N5252" s="7">
        <f t="shared" si="2225"/>
        <v>1</v>
      </c>
      <c r="O5252" s="18"/>
      <c r="P5252" s="13"/>
      <c r="Q5252" s="13"/>
      <c r="S5252" s="13"/>
      <c r="T5252" s="15"/>
      <c r="U5252" s="46" t="str">
        <f t="shared" si="2224"/>
        <v/>
      </c>
      <c r="V5252" s="46" t="str">
        <f t="shared" si="2224"/>
        <v/>
      </c>
      <c r="W5252" s="46" t="str">
        <f t="shared" si="2224"/>
        <v/>
      </c>
      <c r="X5252" s="46" t="str">
        <f t="shared" si="2224"/>
        <v/>
      </c>
    </row>
    <row r="5253" spans="2:24" x14ac:dyDescent="0.25">
      <c r="B5253" s="18"/>
      <c r="C5253" s="18"/>
      <c r="D5253" s="18"/>
      <c r="E5253" s="40"/>
      <c r="F5253" s="18"/>
      <c r="G5253" s="40"/>
      <c r="N5253" s="8" t="str">
        <f>IF(R5253="x",1,"")</f>
        <v/>
      </c>
      <c r="O5253" s="18"/>
      <c r="P5253" s="13"/>
      <c r="Q5253" s="13"/>
      <c r="R5253" s="13"/>
      <c r="S5253" s="13"/>
      <c r="T5253" s="15"/>
      <c r="U5253" s="46" t="str">
        <f t="shared" ref="U5253:X5257" si="2226">IF($O5253=U$5,$L5253,"")</f>
        <v/>
      </c>
      <c r="V5253" s="46" t="str">
        <f t="shared" si="2226"/>
        <v/>
      </c>
      <c r="W5253" s="46" t="str">
        <f t="shared" si="2226"/>
        <v/>
      </c>
      <c r="X5253" s="46" t="str">
        <f t="shared" si="2226"/>
        <v/>
      </c>
    </row>
    <row r="5254" spans="2:24" x14ac:dyDescent="0.25">
      <c r="B5254" s="18"/>
      <c r="C5254" s="18"/>
      <c r="D5254" s="18"/>
      <c r="E5254" s="40"/>
      <c r="F5254" s="18"/>
      <c r="G5254" s="40"/>
      <c r="N5254" s="8" t="str">
        <f>IF(R5254="x",1,"")</f>
        <v/>
      </c>
      <c r="O5254" s="18"/>
      <c r="P5254" s="13"/>
      <c r="Q5254" s="13"/>
      <c r="R5254" s="13"/>
      <c r="S5254" s="13"/>
      <c r="T5254" s="15"/>
      <c r="U5254" s="46" t="str">
        <f t="shared" si="2226"/>
        <v/>
      </c>
      <c r="V5254" s="46" t="str">
        <f t="shared" si="2226"/>
        <v/>
      </c>
      <c r="W5254" s="46" t="str">
        <f t="shared" si="2226"/>
        <v/>
      </c>
      <c r="X5254" s="46" t="str">
        <f t="shared" si="2226"/>
        <v/>
      </c>
    </row>
    <row r="5255" spans="2:24" x14ac:dyDescent="0.25">
      <c r="B5255" s="11" t="str">
        <f>CONCATENATE("PART","-",LEFT(P5255,2),UPPER(MID(P5255,4,3)),RIGHT(P5255,4))</f>
        <v>PART-22SEP1923</v>
      </c>
      <c r="C5255" s="11" t="s">
        <v>5408</v>
      </c>
      <c r="D5255" s="11" t="s">
        <v>2224</v>
      </c>
      <c r="E5255" s="39" t="s">
        <v>3912</v>
      </c>
      <c r="F5255" s="11" t="s">
        <v>1700</v>
      </c>
      <c r="G5255" s="39" t="s">
        <v>5409</v>
      </c>
      <c r="I5255" s="7">
        <v>0</v>
      </c>
      <c r="J5255" s="17">
        <v>3</v>
      </c>
      <c r="K5255" s="17"/>
      <c r="L5255" s="7">
        <f>SUM(H5255:K5255)</f>
        <v>3</v>
      </c>
      <c r="M5255" s="8">
        <v>1</v>
      </c>
      <c r="N5255" s="8">
        <f>IF(L5255&gt;0,1,"")</f>
        <v>1</v>
      </c>
      <c r="O5255" s="11" t="s">
        <v>1702</v>
      </c>
      <c r="P5255" s="16" t="str">
        <f>IF(LEN(G5255)=10,CONCATENATE("0",G5255),G5255)</f>
        <v>22-Sep-1923</v>
      </c>
      <c r="R5255" s="16" t="str">
        <f>IF($L5255&gt;0,"x","")</f>
        <v>x</v>
      </c>
      <c r="S5255" s="16" t="str">
        <f>IF($L5255&gt;0,"x","")</f>
        <v>x</v>
      </c>
      <c r="U5255" s="46" t="str">
        <f t="shared" si="2226"/>
        <v/>
      </c>
      <c r="V5255" s="46">
        <f t="shared" si="2226"/>
        <v>3</v>
      </c>
      <c r="W5255" s="46" t="str">
        <f t="shared" si="2226"/>
        <v/>
      </c>
      <c r="X5255" s="46" t="str">
        <f t="shared" si="2226"/>
        <v/>
      </c>
    </row>
    <row r="5256" spans="2:24" x14ac:dyDescent="0.25">
      <c r="N5256" s="8" t="str">
        <f>IF(R5256="x",1,"")</f>
        <v/>
      </c>
      <c r="U5256" s="46" t="str">
        <f t="shared" si="2226"/>
        <v/>
      </c>
      <c r="V5256" s="46" t="str">
        <f t="shared" si="2226"/>
        <v/>
      </c>
      <c r="W5256" s="46" t="str">
        <f t="shared" si="2226"/>
        <v/>
      </c>
      <c r="X5256" s="46" t="str">
        <f>IF($O5256=X$5,$L5256,"")</f>
        <v/>
      </c>
    </row>
    <row r="5257" spans="2:24" x14ac:dyDescent="0.25">
      <c r="B5257" s="18"/>
      <c r="C5257" s="18"/>
      <c r="D5257" s="18"/>
      <c r="E5257" s="40"/>
      <c r="F5257" s="18"/>
      <c r="G5257" s="40"/>
      <c r="H5257" s="7">
        <f t="shared" ref="H5257:N5257" si="2227">SUM(H5255:H5256)</f>
        <v>0</v>
      </c>
      <c r="I5257" s="7">
        <f t="shared" si="2227"/>
        <v>0</v>
      </c>
      <c r="J5257" s="7">
        <f>SUM(J5255:J5256)</f>
        <v>3</v>
      </c>
      <c r="K5257" s="7">
        <f t="shared" si="2227"/>
        <v>0</v>
      </c>
      <c r="L5257" s="7">
        <f t="shared" si="2227"/>
        <v>3</v>
      </c>
      <c r="M5257" s="7">
        <f t="shared" si="2227"/>
        <v>1</v>
      </c>
      <c r="N5257" s="7">
        <f t="shared" si="2227"/>
        <v>1</v>
      </c>
      <c r="O5257" s="18"/>
      <c r="P5257" s="13"/>
      <c r="Q5257" s="13"/>
      <c r="S5257" s="13"/>
      <c r="T5257" s="15"/>
      <c r="U5257" s="46" t="str">
        <f t="shared" si="2226"/>
        <v/>
      </c>
      <c r="V5257" s="46" t="str">
        <f t="shared" si="2226"/>
        <v/>
      </c>
      <c r="W5257" s="46" t="str">
        <f t="shared" si="2226"/>
        <v/>
      </c>
      <c r="X5257" s="46" t="str">
        <f t="shared" si="2226"/>
        <v/>
      </c>
    </row>
    <row r="5258" spans="2:24" x14ac:dyDescent="0.25">
      <c r="B5258" s="18"/>
      <c r="C5258" s="18"/>
      <c r="D5258" s="18"/>
      <c r="E5258" s="40"/>
      <c r="F5258" s="18"/>
      <c r="G5258" s="40"/>
      <c r="N5258" s="8" t="str">
        <f>IF(R5258="x",1,"")</f>
        <v/>
      </c>
      <c r="O5258" s="18"/>
      <c r="P5258" s="13"/>
      <c r="Q5258" s="13"/>
      <c r="R5258" s="13"/>
      <c r="S5258" s="13"/>
      <c r="T5258" s="15"/>
      <c r="U5258" s="46" t="str">
        <f t="shared" ref="U5258:X5276" si="2228">IF($O5258=U$5,$L5258,"")</f>
        <v/>
      </c>
      <c r="V5258" s="46" t="str">
        <f t="shared" si="2228"/>
        <v/>
      </c>
      <c r="W5258" s="46" t="str">
        <f t="shared" si="2228"/>
        <v/>
      </c>
      <c r="X5258" s="46" t="str">
        <f t="shared" si="2228"/>
        <v/>
      </c>
    </row>
    <row r="5259" spans="2:24" x14ac:dyDescent="0.25">
      <c r="B5259" s="18"/>
      <c r="C5259" s="18"/>
      <c r="D5259" s="18"/>
      <c r="E5259" s="40"/>
      <c r="F5259" s="18"/>
      <c r="G5259" s="40"/>
      <c r="N5259" s="8" t="str">
        <f>IF(R5259="x",1,"")</f>
        <v/>
      </c>
      <c r="O5259" s="18"/>
      <c r="P5259" s="13"/>
      <c r="Q5259" s="13"/>
      <c r="R5259" s="13"/>
      <c r="S5259" s="13"/>
      <c r="T5259" s="15"/>
      <c r="U5259" s="46" t="str">
        <f t="shared" si="2228"/>
        <v/>
      </c>
      <c r="V5259" s="46" t="str">
        <f t="shared" si="2228"/>
        <v/>
      </c>
      <c r="W5259" s="46" t="str">
        <f t="shared" si="2228"/>
        <v/>
      </c>
      <c r="X5259" s="46" t="str">
        <f t="shared" si="2228"/>
        <v/>
      </c>
    </row>
    <row r="5260" spans="2:24" x14ac:dyDescent="0.25">
      <c r="B5260" s="11" t="str">
        <f>CONCATENATE("PGRA","-",LEFT(P5260,2),UPPER(MID(P5260,4,3)),RIGHT(P5260,4))</f>
        <v>PGRA-06NOV1907</v>
      </c>
      <c r="C5260" s="11" t="s">
        <v>5197</v>
      </c>
      <c r="D5260" s="11" t="s">
        <v>2103</v>
      </c>
      <c r="E5260" s="39" t="s">
        <v>2723</v>
      </c>
      <c r="F5260" s="11" t="s">
        <v>1700</v>
      </c>
      <c r="G5260" s="39" t="s">
        <v>3473</v>
      </c>
      <c r="H5260" s="7">
        <v>0</v>
      </c>
      <c r="I5260" s="7">
        <v>0</v>
      </c>
      <c r="J5260" s="17">
        <v>18</v>
      </c>
      <c r="K5260" s="17"/>
      <c r="L5260" s="7">
        <f>SUM(H5260:K5260)</f>
        <v>18</v>
      </c>
      <c r="M5260" s="8">
        <v>1</v>
      </c>
      <c r="N5260" s="8">
        <f>IF(L5260&gt;0,1,"")</f>
        <v>1</v>
      </c>
      <c r="O5260" s="11" t="s">
        <v>1702</v>
      </c>
      <c r="P5260" s="16" t="str">
        <f>IF(LEN(G5260)=10,CONCATENATE("0",G5260),G5260)</f>
        <v>06-Nov-1907</v>
      </c>
      <c r="R5260" s="16" t="str">
        <f t="shared" ref="R5260:S5262" si="2229">IF($L5260&gt;0,"x","")</f>
        <v>x</v>
      </c>
      <c r="S5260" s="16" t="str">
        <f t="shared" si="2229"/>
        <v>x</v>
      </c>
      <c r="U5260" s="46" t="str">
        <f t="shared" si="2228"/>
        <v/>
      </c>
      <c r="V5260" s="46">
        <f t="shared" si="2228"/>
        <v>18</v>
      </c>
      <c r="W5260" s="46" t="str">
        <f t="shared" si="2228"/>
        <v/>
      </c>
      <c r="X5260" s="46" t="str">
        <f t="shared" si="2228"/>
        <v/>
      </c>
    </row>
    <row r="5261" spans="2:24" x14ac:dyDescent="0.25">
      <c r="B5261" s="11" t="str">
        <f>CONCATENATE("PGRA","-",LEFT(P5261,2),UPPER(MID(P5261,4,3)),RIGHT(P5261,4))</f>
        <v>PGRA-07DEC1910</v>
      </c>
      <c r="C5261" s="11" t="s">
        <v>5197</v>
      </c>
      <c r="D5261" s="11" t="s">
        <v>3134</v>
      </c>
      <c r="E5261" s="39" t="s">
        <v>5198</v>
      </c>
      <c r="F5261" s="11" t="s">
        <v>1700</v>
      </c>
      <c r="G5261" s="39" t="s">
        <v>2684</v>
      </c>
      <c r="H5261" s="7">
        <v>0</v>
      </c>
      <c r="I5261" s="7">
        <v>0</v>
      </c>
      <c r="J5261" s="17">
        <v>2</v>
      </c>
      <c r="K5261" s="17"/>
      <c r="L5261" s="7">
        <f>SUM(H5261:K5261)</f>
        <v>2</v>
      </c>
      <c r="M5261" s="8">
        <v>1</v>
      </c>
      <c r="N5261" s="8">
        <f>IF(L5261&gt;0,1,"")</f>
        <v>1</v>
      </c>
      <c r="O5261" s="11" t="s">
        <v>1702</v>
      </c>
      <c r="P5261" s="16" t="str">
        <f>IF(LEN(G5261)=10,CONCATENATE("0",G5261),G5261)</f>
        <v>07-Dec-1910</v>
      </c>
      <c r="R5261" s="16" t="str">
        <f t="shared" si="2229"/>
        <v>x</v>
      </c>
      <c r="S5261" s="16" t="str">
        <f t="shared" si="2229"/>
        <v>x</v>
      </c>
      <c r="U5261" s="46" t="str">
        <f t="shared" si="2228"/>
        <v/>
      </c>
      <c r="V5261" s="46">
        <f t="shared" si="2228"/>
        <v>2</v>
      </c>
      <c r="W5261" s="46" t="str">
        <f t="shared" si="2228"/>
        <v/>
      </c>
      <c r="X5261" s="46" t="str">
        <f t="shared" si="2228"/>
        <v/>
      </c>
    </row>
    <row r="5262" spans="2:24" x14ac:dyDescent="0.25">
      <c r="B5262" s="11" t="str">
        <f>CONCATENATE("PGRA","-",LEFT(P5262,2),UPPER(MID(P5262,4,3)),RIGHT(P5262,4))</f>
        <v>PGRA-07DEC1910</v>
      </c>
      <c r="C5262" s="11" t="s">
        <v>5197</v>
      </c>
      <c r="D5262" s="11" t="s">
        <v>2103</v>
      </c>
      <c r="E5262" s="39" t="s">
        <v>2750</v>
      </c>
      <c r="F5262" s="11" t="s">
        <v>1700</v>
      </c>
      <c r="G5262" s="39" t="s">
        <v>2684</v>
      </c>
      <c r="H5262" s="7">
        <v>0</v>
      </c>
      <c r="I5262" s="7">
        <v>0</v>
      </c>
      <c r="J5262" s="17">
        <v>0</v>
      </c>
      <c r="K5262" s="17"/>
      <c r="L5262" s="7">
        <f>SUM(H5262:K5262)</f>
        <v>0</v>
      </c>
      <c r="M5262" s="8">
        <v>1</v>
      </c>
      <c r="N5262" s="8" t="str">
        <f>IF(L5262&gt;0,1,"")</f>
        <v/>
      </c>
      <c r="O5262" s="11" t="s">
        <v>1702</v>
      </c>
      <c r="P5262" s="16" t="str">
        <f>IF(LEN(G5262)=10,CONCATENATE("0",G5262),G5262)</f>
        <v>07-Dec-1910</v>
      </c>
      <c r="R5262" s="16" t="str">
        <f t="shared" si="2229"/>
        <v/>
      </c>
      <c r="S5262" s="16" t="str">
        <f t="shared" si="2229"/>
        <v/>
      </c>
      <c r="U5262" s="46" t="str">
        <f t="shared" si="2228"/>
        <v/>
      </c>
      <c r="V5262" s="46">
        <f t="shared" si="2228"/>
        <v>0</v>
      </c>
      <c r="W5262" s="46" t="str">
        <f t="shared" si="2228"/>
        <v/>
      </c>
      <c r="X5262" s="46" t="str">
        <f t="shared" si="2228"/>
        <v/>
      </c>
    </row>
    <row r="5263" spans="2:24" x14ac:dyDescent="0.25">
      <c r="N5263" s="8" t="str">
        <f>IF(R5263="x",1,"")</f>
        <v/>
      </c>
      <c r="U5263" s="46" t="str">
        <f t="shared" si="2228"/>
        <v/>
      </c>
      <c r="V5263" s="46" t="str">
        <f t="shared" si="2228"/>
        <v/>
      </c>
      <c r="W5263" s="46" t="str">
        <f t="shared" si="2228"/>
        <v/>
      </c>
      <c r="X5263" s="46" t="str">
        <f>IF($O5263=X$5,$L5263,"")</f>
        <v/>
      </c>
    </row>
    <row r="5264" spans="2:24" x14ac:dyDescent="0.25">
      <c r="B5264" s="18"/>
      <c r="C5264" s="18"/>
      <c r="D5264" s="18"/>
      <c r="E5264" s="40"/>
      <c r="F5264" s="18"/>
      <c r="G5264" s="40"/>
      <c r="H5264" s="7">
        <f t="shared" ref="H5264:N5264" si="2230">SUM(H5260:H5263)</f>
        <v>0</v>
      </c>
      <c r="I5264" s="7">
        <f t="shared" si="2230"/>
        <v>0</v>
      </c>
      <c r="J5264" s="7">
        <f>SUM(J5260:J5263)</f>
        <v>20</v>
      </c>
      <c r="K5264" s="7">
        <f t="shared" si="2230"/>
        <v>0</v>
      </c>
      <c r="L5264" s="7">
        <f t="shared" si="2230"/>
        <v>20</v>
      </c>
      <c r="M5264" s="7">
        <f t="shared" si="2230"/>
        <v>3</v>
      </c>
      <c r="N5264" s="7">
        <f t="shared" si="2230"/>
        <v>2</v>
      </c>
      <c r="O5264" s="18"/>
      <c r="P5264" s="13"/>
      <c r="Q5264" s="13"/>
      <c r="S5264" s="13"/>
      <c r="T5264" s="15"/>
      <c r="U5264" s="46" t="str">
        <f t="shared" si="2228"/>
        <v/>
      </c>
      <c r="V5264" s="46" t="str">
        <f t="shared" si="2228"/>
        <v/>
      </c>
      <c r="W5264" s="46" t="str">
        <f t="shared" si="2228"/>
        <v/>
      </c>
      <c r="X5264" s="46" t="str">
        <f t="shared" si="2228"/>
        <v/>
      </c>
    </row>
    <row r="5265" spans="2:24" x14ac:dyDescent="0.25">
      <c r="B5265" s="18"/>
      <c r="C5265" s="18"/>
      <c r="D5265" s="18"/>
      <c r="E5265" s="40"/>
      <c r="F5265" s="18"/>
      <c r="G5265" s="40"/>
      <c r="N5265" s="8" t="str">
        <f>IF(R5265="x",1,"")</f>
        <v/>
      </c>
      <c r="O5265" s="18"/>
      <c r="P5265" s="13"/>
      <c r="Q5265" s="13"/>
      <c r="R5265" s="13"/>
      <c r="S5265" s="13"/>
      <c r="T5265" s="15"/>
      <c r="U5265" s="46" t="str">
        <f t="shared" si="2228"/>
        <v/>
      </c>
      <c r="V5265" s="46" t="str">
        <f t="shared" si="2228"/>
        <v/>
      </c>
      <c r="W5265" s="46" t="str">
        <f t="shared" si="2228"/>
        <v/>
      </c>
      <c r="X5265" s="46" t="str">
        <f t="shared" si="2228"/>
        <v/>
      </c>
    </row>
    <row r="5266" spans="2:24" x14ac:dyDescent="0.25">
      <c r="B5266" s="18"/>
      <c r="C5266" s="18"/>
      <c r="D5266" s="18"/>
      <c r="E5266" s="40"/>
      <c r="F5266" s="18"/>
      <c r="G5266" s="40"/>
      <c r="N5266" s="8" t="str">
        <f>IF(R5266="x",1,"")</f>
        <v/>
      </c>
      <c r="O5266" s="18"/>
      <c r="P5266" s="13"/>
      <c r="Q5266" s="13"/>
      <c r="R5266" s="13"/>
      <c r="S5266" s="13"/>
      <c r="T5266" s="15"/>
      <c r="U5266" s="46" t="str">
        <f t="shared" si="2228"/>
        <v/>
      </c>
      <c r="V5266" s="46" t="str">
        <f t="shared" si="2228"/>
        <v/>
      </c>
      <c r="W5266" s="46" t="str">
        <f t="shared" si="2228"/>
        <v/>
      </c>
      <c r="X5266" s="46" t="str">
        <f t="shared" si="2228"/>
        <v/>
      </c>
    </row>
    <row r="5267" spans="2:24" x14ac:dyDescent="0.25">
      <c r="B5267" s="11" t="str">
        <f>CONCATENATE("PHAR","-",LEFT(P5267,2),UPPER(MID(P5267,4,3)),RIGHT(P5267,4))</f>
        <v>PHAR-21NOV1924</v>
      </c>
      <c r="C5267" s="11" t="s">
        <v>5719</v>
      </c>
      <c r="D5267" s="11" t="s">
        <v>2224</v>
      </c>
      <c r="E5267" s="39" t="s">
        <v>5720</v>
      </c>
      <c r="F5267" s="11" t="s">
        <v>1700</v>
      </c>
      <c r="G5267" s="39" t="s">
        <v>5721</v>
      </c>
      <c r="H5267" s="7">
        <v>0</v>
      </c>
      <c r="J5267" s="17">
        <v>1</v>
      </c>
      <c r="K5267" s="17"/>
      <c r="L5267" s="7">
        <f>SUM(H5267:K5267)</f>
        <v>1</v>
      </c>
      <c r="M5267" s="8">
        <v>1</v>
      </c>
      <c r="N5267" s="8">
        <f>IF(L5267&gt;0,1,"")</f>
        <v>1</v>
      </c>
      <c r="O5267" s="11" t="s">
        <v>1702</v>
      </c>
      <c r="P5267" s="16" t="str">
        <f>IF(LEN(G5267)=10,CONCATENATE("0",G5267),G5267)</f>
        <v>21-Nov-1924</v>
      </c>
      <c r="R5267" s="16" t="str">
        <f>IF($L5267&gt;0,"x","")</f>
        <v>x</v>
      </c>
      <c r="S5267" s="16" t="str">
        <f>IF($L5267&gt;0,"x","")</f>
        <v>x</v>
      </c>
      <c r="U5267" s="46" t="str">
        <f t="shared" si="2228"/>
        <v/>
      </c>
      <c r="V5267" s="46">
        <f t="shared" si="2228"/>
        <v>1</v>
      </c>
      <c r="W5267" s="46" t="str">
        <f t="shared" si="2228"/>
        <v/>
      </c>
      <c r="X5267" s="46" t="str">
        <f t="shared" si="2228"/>
        <v/>
      </c>
    </row>
    <row r="5268" spans="2:24" x14ac:dyDescent="0.25">
      <c r="B5268" s="11" t="str">
        <f>CONCATENATE("PHAR","-",LEFT(P5268,2),UPPER(MID(P5268,4,3)),RIGHT(P5268,4))</f>
        <v>PHAR-22OCT1938</v>
      </c>
      <c r="C5268" s="11" t="s">
        <v>5719</v>
      </c>
      <c r="D5268" s="11" t="s">
        <v>1699</v>
      </c>
      <c r="E5268" s="39" t="s">
        <v>11219</v>
      </c>
      <c r="F5268" s="11" t="s">
        <v>1700</v>
      </c>
      <c r="G5268" s="39" t="s">
        <v>11218</v>
      </c>
      <c r="H5268" s="7">
        <v>0</v>
      </c>
      <c r="J5268" s="17">
        <v>9</v>
      </c>
      <c r="K5268" s="17"/>
      <c r="L5268" s="7">
        <f>SUM(H5268:K5268)</f>
        <v>9</v>
      </c>
      <c r="M5268" s="8">
        <v>1</v>
      </c>
      <c r="N5268" s="8">
        <f>IF(L5268&gt;0,1,"")</f>
        <v>1</v>
      </c>
      <c r="O5268" s="11" t="s">
        <v>1702</v>
      </c>
      <c r="P5268" s="16" t="str">
        <f>IF(LEN(G5268)=10,CONCATENATE("0",G5268),G5268)</f>
        <v>22-Oct-1938</v>
      </c>
      <c r="R5268" s="16" t="str">
        <f>IF($L5268&gt;0,"x","")</f>
        <v>x</v>
      </c>
      <c r="S5268" s="16" t="str">
        <f>IF($L5268&gt;0,"x","")</f>
        <v>x</v>
      </c>
      <c r="U5268" s="46" t="str">
        <f t="shared" si="2228"/>
        <v/>
      </c>
      <c r="V5268" s="46">
        <f t="shared" si="2228"/>
        <v>9</v>
      </c>
      <c r="W5268" s="46" t="str">
        <f t="shared" si="2228"/>
        <v/>
      </c>
      <c r="X5268" s="46" t="str">
        <f t="shared" si="2228"/>
        <v/>
      </c>
    </row>
    <row r="5269" spans="2:24" x14ac:dyDescent="0.25">
      <c r="N5269" s="8" t="str">
        <f>IF(R5269="x",1,"")</f>
        <v/>
      </c>
      <c r="U5269" s="46" t="str">
        <f t="shared" si="2228"/>
        <v/>
      </c>
      <c r="V5269" s="46" t="str">
        <f t="shared" si="2228"/>
        <v/>
      </c>
      <c r="W5269" s="46" t="str">
        <f t="shared" si="2228"/>
        <v/>
      </c>
      <c r="X5269" s="46" t="str">
        <f>IF($O5269=X$5,$L5269,"")</f>
        <v/>
      </c>
    </row>
    <row r="5270" spans="2:24" x14ac:dyDescent="0.25">
      <c r="B5270" s="18"/>
      <c r="C5270" s="18"/>
      <c r="D5270" s="18"/>
      <c r="E5270" s="40"/>
      <c r="F5270" s="18"/>
      <c r="G5270" s="40"/>
      <c r="H5270" s="7">
        <f t="shared" ref="H5270:N5270" si="2231">SUM(H5267:H5269)</f>
        <v>0</v>
      </c>
      <c r="I5270" s="7">
        <f t="shared" si="2231"/>
        <v>0</v>
      </c>
      <c r="J5270" s="7">
        <f>SUM(J5267:J5269)</f>
        <v>10</v>
      </c>
      <c r="K5270" s="7">
        <f t="shared" si="2231"/>
        <v>0</v>
      </c>
      <c r="L5270" s="7">
        <f t="shared" si="2231"/>
        <v>10</v>
      </c>
      <c r="M5270" s="7">
        <f t="shared" si="2231"/>
        <v>2</v>
      </c>
      <c r="N5270" s="7">
        <f t="shared" si="2231"/>
        <v>2</v>
      </c>
      <c r="O5270" s="18"/>
      <c r="P5270" s="13"/>
      <c r="Q5270" s="13"/>
      <c r="S5270" s="13"/>
      <c r="T5270" s="15"/>
      <c r="U5270" s="46" t="str">
        <f t="shared" si="2228"/>
        <v/>
      </c>
      <c r="V5270" s="46" t="str">
        <f t="shared" si="2228"/>
        <v/>
      </c>
      <c r="W5270" s="46" t="str">
        <f t="shared" si="2228"/>
        <v/>
      </c>
      <c r="X5270" s="46" t="str">
        <f t="shared" si="2228"/>
        <v/>
      </c>
    </row>
    <row r="5271" spans="2:24" x14ac:dyDescent="0.25">
      <c r="B5271" s="18"/>
      <c r="C5271" s="18"/>
      <c r="D5271" s="18"/>
      <c r="E5271" s="40"/>
      <c r="F5271" s="18"/>
      <c r="G5271" s="40"/>
      <c r="N5271" s="8" t="str">
        <f>IF(R5271="x",1,"")</f>
        <v/>
      </c>
      <c r="O5271" s="18"/>
      <c r="P5271" s="13"/>
      <c r="Q5271" s="13"/>
      <c r="R5271" s="13"/>
      <c r="S5271" s="13"/>
      <c r="T5271" s="15"/>
      <c r="U5271" s="46" t="str">
        <f t="shared" si="2228"/>
        <v/>
      </c>
      <c r="V5271" s="46" t="str">
        <f t="shared" si="2228"/>
        <v/>
      </c>
      <c r="W5271" s="46" t="str">
        <f t="shared" si="2228"/>
        <v/>
      </c>
      <c r="X5271" s="46" t="str">
        <f t="shared" si="2228"/>
        <v/>
      </c>
    </row>
    <row r="5272" spans="2:24" x14ac:dyDescent="0.25">
      <c r="B5272" s="18"/>
      <c r="C5272" s="18"/>
      <c r="D5272" s="18"/>
      <c r="E5272" s="40"/>
      <c r="F5272" s="18"/>
      <c r="G5272" s="40"/>
      <c r="N5272" s="8" t="str">
        <f>IF(R5272="x",1,"")</f>
        <v/>
      </c>
      <c r="O5272" s="18"/>
      <c r="P5272" s="13"/>
      <c r="Q5272" s="13"/>
      <c r="R5272" s="13"/>
      <c r="S5272" s="13"/>
      <c r="T5272" s="15"/>
      <c r="U5272" s="46" t="str">
        <f t="shared" si="2228"/>
        <v/>
      </c>
      <c r="V5272" s="46" t="str">
        <f t="shared" si="2228"/>
        <v/>
      </c>
      <c r="W5272" s="46" t="str">
        <f t="shared" si="2228"/>
        <v/>
      </c>
      <c r="X5272" s="46" t="str">
        <f t="shared" si="2228"/>
        <v/>
      </c>
    </row>
    <row r="5273" spans="2:24" x14ac:dyDescent="0.25">
      <c r="B5273" s="11" t="str">
        <f>CONCATENATE("PJAC","-",LEFT(P5273,2),UPPER(MID(P5273,4,3)),RIGHT(P5273,4))</f>
        <v>PJAC-04JUL1925</v>
      </c>
      <c r="C5273" s="11" t="s">
        <v>6170</v>
      </c>
      <c r="D5273" s="11" t="s">
        <v>3439</v>
      </c>
      <c r="E5273" s="39" t="s">
        <v>6171</v>
      </c>
      <c r="F5273" s="11" t="s">
        <v>3366</v>
      </c>
      <c r="G5273" s="39" t="s">
        <v>6172</v>
      </c>
      <c r="H5273" s="7">
        <v>2</v>
      </c>
      <c r="J5273" s="17">
        <v>0</v>
      </c>
      <c r="K5273" s="17"/>
      <c r="L5273" s="7">
        <f>SUM(H5273:K5273)</f>
        <v>2</v>
      </c>
      <c r="M5273" s="8">
        <v>1</v>
      </c>
      <c r="N5273" s="8">
        <f>IF(L5273&gt;0,1,"")</f>
        <v>1</v>
      </c>
      <c r="O5273" s="11" t="s">
        <v>1702</v>
      </c>
      <c r="P5273" s="16" t="str">
        <f>IF(LEN(G5273)=10,CONCATENATE("0",G5273),G5273)</f>
        <v>04-Jul-1925</v>
      </c>
      <c r="R5273" s="16" t="str">
        <f>IF($L5273&gt;0,"x","")</f>
        <v>x</v>
      </c>
      <c r="S5273" s="16" t="str">
        <f>IF($L5273&gt;0,"x","")</f>
        <v>x</v>
      </c>
      <c r="U5273" s="46" t="str">
        <f t="shared" si="2228"/>
        <v/>
      </c>
      <c r="V5273" s="46">
        <f t="shared" si="2228"/>
        <v>2</v>
      </c>
      <c r="W5273" s="46" t="str">
        <f t="shared" si="2228"/>
        <v/>
      </c>
      <c r="X5273" s="46" t="str">
        <f t="shared" si="2228"/>
        <v/>
      </c>
    </row>
    <row r="5274" spans="2:24" x14ac:dyDescent="0.25">
      <c r="B5274" s="11" t="str">
        <f>CONCATENATE("PJAC","-",LEFT(P5274,2),UPPER(MID(P5274,4,3)),RIGHT(P5274,4))</f>
        <v>PJAC-04JUL1925</v>
      </c>
      <c r="C5274" s="11" t="s">
        <v>6170</v>
      </c>
      <c r="D5274" s="11" t="s">
        <v>2440</v>
      </c>
      <c r="E5274" s="39" t="s">
        <v>6173</v>
      </c>
      <c r="F5274" s="11" t="s">
        <v>3366</v>
      </c>
      <c r="G5274" s="39" t="s">
        <v>6172</v>
      </c>
      <c r="H5274" s="7">
        <v>0</v>
      </c>
      <c r="J5274" s="17">
        <v>0</v>
      </c>
      <c r="K5274" s="17"/>
      <c r="L5274" s="7">
        <f>SUM(H5274:K5274)</f>
        <v>0</v>
      </c>
      <c r="M5274" s="8">
        <v>1</v>
      </c>
      <c r="N5274" s="8" t="str">
        <f>IF(L5274&gt;0,1,"")</f>
        <v/>
      </c>
      <c r="O5274" s="11" t="s">
        <v>1702</v>
      </c>
      <c r="P5274" s="16" t="str">
        <f>IF(LEN(G5274)=10,CONCATENATE("0",G5274),G5274)</f>
        <v>04-Jul-1925</v>
      </c>
      <c r="R5274" s="16" t="str">
        <f>IF($L5274&gt;0,"x","")</f>
        <v/>
      </c>
      <c r="S5274" s="16" t="str">
        <f>IF($L5274&gt;0,"x","")</f>
        <v/>
      </c>
      <c r="U5274" s="46" t="str">
        <f t="shared" si="2228"/>
        <v/>
      </c>
      <c r="V5274" s="46">
        <f t="shared" si="2228"/>
        <v>0</v>
      </c>
      <c r="W5274" s="46" t="str">
        <f t="shared" si="2228"/>
        <v/>
      </c>
      <c r="X5274" s="46" t="str">
        <f t="shared" si="2228"/>
        <v/>
      </c>
    </row>
    <row r="5275" spans="2:24" x14ac:dyDescent="0.25">
      <c r="N5275" s="8" t="str">
        <f>IF(R5275="x",1,"")</f>
        <v/>
      </c>
      <c r="U5275" s="46" t="str">
        <f t="shared" si="2228"/>
        <v/>
      </c>
      <c r="V5275" s="46" t="str">
        <f t="shared" si="2228"/>
        <v/>
      </c>
      <c r="W5275" s="46" t="str">
        <f t="shared" si="2228"/>
        <v/>
      </c>
      <c r="X5275" s="46" t="str">
        <f>IF($O5275=X$5,$L5275,"")</f>
        <v/>
      </c>
    </row>
    <row r="5276" spans="2:24" x14ac:dyDescent="0.25">
      <c r="B5276" s="18"/>
      <c r="C5276" s="18"/>
      <c r="D5276" s="18"/>
      <c r="E5276" s="40"/>
      <c r="F5276" s="18"/>
      <c r="G5276" s="40"/>
      <c r="H5276" s="7">
        <f t="shared" ref="H5276:N5276" si="2232">SUM(H5273:H5275)</f>
        <v>2</v>
      </c>
      <c r="I5276" s="7">
        <f t="shared" si="2232"/>
        <v>0</v>
      </c>
      <c r="J5276" s="7">
        <f>SUM(J5273:J5275)</f>
        <v>0</v>
      </c>
      <c r="K5276" s="7">
        <f t="shared" si="2232"/>
        <v>0</v>
      </c>
      <c r="L5276" s="7">
        <f t="shared" si="2232"/>
        <v>2</v>
      </c>
      <c r="M5276" s="7">
        <f t="shared" si="2232"/>
        <v>2</v>
      </c>
      <c r="N5276" s="7">
        <f t="shared" si="2232"/>
        <v>1</v>
      </c>
      <c r="O5276" s="18"/>
      <c r="P5276" s="13"/>
      <c r="Q5276" s="13"/>
      <c r="S5276" s="13"/>
      <c r="T5276" s="15"/>
      <c r="U5276" s="46" t="str">
        <f t="shared" si="2228"/>
        <v/>
      </c>
      <c r="V5276" s="46" t="str">
        <f t="shared" si="2228"/>
        <v/>
      </c>
      <c r="W5276" s="46" t="str">
        <f t="shared" si="2228"/>
        <v/>
      </c>
      <c r="X5276" s="46" t="str">
        <f t="shared" si="2228"/>
        <v/>
      </c>
    </row>
    <row r="5277" spans="2:24" x14ac:dyDescent="0.25">
      <c r="B5277" s="18"/>
      <c r="C5277" s="18"/>
      <c r="D5277" s="18"/>
      <c r="E5277" s="40"/>
      <c r="F5277" s="18"/>
      <c r="G5277" s="40"/>
      <c r="N5277" s="8" t="str">
        <f>IF(R5277="x",1,"")</f>
        <v/>
      </c>
      <c r="O5277" s="18"/>
      <c r="P5277" s="13"/>
      <c r="Q5277" s="13"/>
      <c r="R5277" s="13"/>
      <c r="S5277" s="13"/>
      <c r="T5277" s="15"/>
      <c r="U5277" s="46" t="str">
        <f t="shared" ref="U5277:X5281" si="2233">IF($O5277=U$5,$L5277,"")</f>
        <v/>
      </c>
      <c r="V5277" s="46" t="str">
        <f t="shared" si="2233"/>
        <v/>
      </c>
      <c r="W5277" s="46" t="str">
        <f t="shared" si="2233"/>
        <v/>
      </c>
      <c r="X5277" s="46" t="str">
        <f t="shared" si="2233"/>
        <v/>
      </c>
    </row>
    <row r="5278" spans="2:24" x14ac:dyDescent="0.25">
      <c r="B5278" s="18"/>
      <c r="C5278" s="18"/>
      <c r="D5278" s="18"/>
      <c r="E5278" s="40"/>
      <c r="F5278" s="18"/>
      <c r="G5278" s="40"/>
      <c r="N5278" s="8" t="str">
        <f>IF(R5278="x",1,"")</f>
        <v/>
      </c>
      <c r="O5278" s="18"/>
      <c r="P5278" s="13"/>
      <c r="Q5278" s="13"/>
      <c r="R5278" s="13"/>
      <c r="S5278" s="13"/>
      <c r="T5278" s="15"/>
      <c r="U5278" s="46" t="str">
        <f t="shared" si="2233"/>
        <v/>
      </c>
      <c r="V5278" s="46" t="str">
        <f t="shared" si="2233"/>
        <v/>
      </c>
      <c r="W5278" s="46" t="str">
        <f t="shared" si="2233"/>
        <v/>
      </c>
      <c r="X5278" s="46" t="str">
        <f t="shared" si="2233"/>
        <v/>
      </c>
    </row>
    <row r="5279" spans="2:24" x14ac:dyDescent="0.25">
      <c r="B5279" s="11" t="str">
        <f>CONCATENATE("PJEF","-",LEFT(P5279,2),UPPER(MID(P5279,4,3)),RIGHT(P5279,4))</f>
        <v>PJEF-05APR1928</v>
      </c>
      <c r="C5279" s="11" t="s">
        <v>6321</v>
      </c>
      <c r="D5279" s="11" t="s">
        <v>3439</v>
      </c>
      <c r="E5279" s="39" t="s">
        <v>5014</v>
      </c>
      <c r="F5279" s="11" t="s">
        <v>2441</v>
      </c>
      <c r="G5279" s="39" t="s">
        <v>6322</v>
      </c>
      <c r="H5279" s="7">
        <v>0</v>
      </c>
      <c r="I5279" s="7">
        <v>0</v>
      </c>
      <c r="J5279" s="17">
        <f>0+1</f>
        <v>1</v>
      </c>
      <c r="K5279" s="17"/>
      <c r="L5279" s="7">
        <f>SUM(H5279:K5279)</f>
        <v>1</v>
      </c>
      <c r="M5279" s="8">
        <v>1</v>
      </c>
      <c r="N5279" s="8">
        <f>IF(L5279&gt;0,1,"")</f>
        <v>1</v>
      </c>
      <c r="O5279" s="11" t="s">
        <v>1702</v>
      </c>
      <c r="P5279" s="16" t="str">
        <f>IF(LEN(G5279)=10,CONCATENATE("0",G5279),G5279)</f>
        <v>05-Apr-1928</v>
      </c>
      <c r="R5279" s="16" t="str">
        <f>IF($L5279&gt;0,"x","")</f>
        <v>x</v>
      </c>
      <c r="S5279" s="16" t="str">
        <f>IF($L5279&gt;0,"x","")</f>
        <v>x</v>
      </c>
      <c r="U5279" s="46" t="str">
        <f t="shared" si="2233"/>
        <v/>
      </c>
      <c r="V5279" s="46">
        <f t="shared" si="2233"/>
        <v>1</v>
      </c>
      <c r="W5279" s="46" t="str">
        <f t="shared" si="2233"/>
        <v/>
      </c>
      <c r="X5279" s="46" t="str">
        <f t="shared" si="2233"/>
        <v/>
      </c>
    </row>
    <row r="5280" spans="2:24" x14ac:dyDescent="0.25">
      <c r="N5280" s="8" t="str">
        <f>IF(R5280="x",1,"")</f>
        <v/>
      </c>
      <c r="U5280" s="46" t="str">
        <f t="shared" si="2233"/>
        <v/>
      </c>
      <c r="V5280" s="46" t="str">
        <f t="shared" si="2233"/>
        <v/>
      </c>
      <c r="W5280" s="46" t="str">
        <f t="shared" si="2233"/>
        <v/>
      </c>
      <c r="X5280" s="46" t="str">
        <f t="shared" si="2233"/>
        <v/>
      </c>
    </row>
    <row r="5281" spans="2:24" x14ac:dyDescent="0.25">
      <c r="B5281" s="18"/>
      <c r="C5281" s="18"/>
      <c r="D5281" s="18"/>
      <c r="E5281" s="40"/>
      <c r="F5281" s="18"/>
      <c r="G5281" s="40"/>
      <c r="H5281" s="7">
        <f t="shared" ref="H5281:N5281" si="2234">SUM(H5279:H5280)</f>
        <v>0</v>
      </c>
      <c r="I5281" s="7">
        <f t="shared" si="2234"/>
        <v>0</v>
      </c>
      <c r="J5281" s="7">
        <f>SUM(J5279:J5280)</f>
        <v>1</v>
      </c>
      <c r="K5281" s="7">
        <f t="shared" si="2234"/>
        <v>0</v>
      </c>
      <c r="L5281" s="7">
        <f t="shared" si="2234"/>
        <v>1</v>
      </c>
      <c r="M5281" s="7">
        <f t="shared" si="2234"/>
        <v>1</v>
      </c>
      <c r="N5281" s="7">
        <f t="shared" si="2234"/>
        <v>1</v>
      </c>
      <c r="O5281" s="18"/>
      <c r="P5281" s="13"/>
      <c r="Q5281" s="13"/>
      <c r="S5281" s="13"/>
      <c r="T5281" s="15"/>
      <c r="U5281" s="46" t="str">
        <f t="shared" si="2233"/>
        <v/>
      </c>
      <c r="V5281" s="46" t="str">
        <f t="shared" si="2233"/>
        <v/>
      </c>
      <c r="W5281" s="46" t="str">
        <f t="shared" si="2233"/>
        <v/>
      </c>
      <c r="X5281" s="46" t="str">
        <f t="shared" si="2233"/>
        <v/>
      </c>
    </row>
    <row r="5282" spans="2:24" x14ac:dyDescent="0.25">
      <c r="B5282" s="18"/>
      <c r="C5282" s="18"/>
      <c r="D5282" s="18"/>
      <c r="E5282" s="40"/>
      <c r="F5282" s="18"/>
      <c r="G5282" s="40"/>
      <c r="N5282" s="8" t="str">
        <f>IF(R5282="x",1,"")</f>
        <v/>
      </c>
      <c r="O5282" s="18"/>
      <c r="P5282" s="13"/>
      <c r="Q5282" s="13"/>
      <c r="R5282" s="13"/>
      <c r="S5282" s="13"/>
      <c r="T5282" s="15"/>
      <c r="U5282" s="46" t="str">
        <f t="shared" ref="U5282:X5289" si="2235">IF($O5282=U$5,$L5282,"")</f>
        <v/>
      </c>
      <c r="V5282" s="46" t="str">
        <f t="shared" si="2235"/>
        <v/>
      </c>
      <c r="W5282" s="46" t="str">
        <f t="shared" si="2235"/>
        <v/>
      </c>
      <c r="X5282" s="46" t="str">
        <f t="shared" si="2235"/>
        <v/>
      </c>
    </row>
    <row r="5283" spans="2:24" x14ac:dyDescent="0.25">
      <c r="B5283" s="18"/>
      <c r="C5283" s="18"/>
      <c r="D5283" s="18"/>
      <c r="E5283" s="40"/>
      <c r="F5283" s="18"/>
      <c r="G5283" s="40"/>
      <c r="N5283" s="8" t="str">
        <f>IF(R5283="x",1,"")</f>
        <v/>
      </c>
      <c r="O5283" s="18"/>
      <c r="P5283" s="13"/>
      <c r="Q5283" s="13"/>
      <c r="R5283" s="13"/>
      <c r="S5283" s="13"/>
      <c r="T5283" s="15"/>
      <c r="U5283" s="46" t="str">
        <f t="shared" si="2235"/>
        <v/>
      </c>
      <c r="V5283" s="46" t="str">
        <f t="shared" si="2235"/>
        <v/>
      </c>
      <c r="W5283" s="46" t="str">
        <f t="shared" si="2235"/>
        <v/>
      </c>
      <c r="X5283" s="46" t="str">
        <f t="shared" si="2235"/>
        <v/>
      </c>
    </row>
    <row r="5284" spans="2:24" x14ac:dyDescent="0.25">
      <c r="B5284" s="11" t="str">
        <f>CONCATENATE("PLIN","-",LEFT(P5284,2),UPPER(MID(P5284,4,3)),RIGHT(P5284,4))</f>
        <v>PLIN-05SEP1907</v>
      </c>
      <c r="C5284" s="11" t="s">
        <v>3463</v>
      </c>
      <c r="D5284" s="11" t="s">
        <v>2103</v>
      </c>
      <c r="E5284" s="39" t="s">
        <v>6207</v>
      </c>
      <c r="F5284" s="11" t="s">
        <v>1700</v>
      </c>
      <c r="G5284" s="39" t="s">
        <v>6208</v>
      </c>
      <c r="H5284" s="7">
        <v>0</v>
      </c>
      <c r="I5284" s="7">
        <v>0</v>
      </c>
      <c r="J5284" s="17">
        <v>11</v>
      </c>
      <c r="K5284" s="17"/>
      <c r="L5284" s="7">
        <f>SUM(H5284:K5284)</f>
        <v>11</v>
      </c>
      <c r="M5284" s="8">
        <v>1</v>
      </c>
      <c r="N5284" s="8">
        <f>IF(L5284&gt;0,1,"")</f>
        <v>1</v>
      </c>
      <c r="O5284" s="11" t="s">
        <v>1702</v>
      </c>
      <c r="P5284" s="16" t="str">
        <f>IF(LEN(G5284)=10,CONCATENATE("0",G5284),G5284)</f>
        <v>05-Sep-1907</v>
      </c>
      <c r="R5284" s="16" t="str">
        <f t="shared" ref="R5284:S5288" si="2236">IF($L5284&gt;0,"x","")</f>
        <v>x</v>
      </c>
      <c r="S5284" s="16" t="str">
        <f t="shared" si="2236"/>
        <v>x</v>
      </c>
      <c r="U5284" s="46" t="str">
        <f t="shared" si="2235"/>
        <v/>
      </c>
      <c r="V5284" s="46">
        <f t="shared" si="2235"/>
        <v>11</v>
      </c>
      <c r="W5284" s="46" t="str">
        <f t="shared" si="2235"/>
        <v/>
      </c>
      <c r="X5284" s="46" t="str">
        <f t="shared" si="2235"/>
        <v/>
      </c>
    </row>
    <row r="5285" spans="2:24" x14ac:dyDescent="0.25">
      <c r="B5285" s="11" t="str">
        <f>CONCATENATE("PLIN","-",LEFT(P5285,2),UPPER(MID(P5285,4,3)),RIGHT(P5285,4))</f>
        <v>PLIN-17OCT1907</v>
      </c>
      <c r="C5285" s="11" t="s">
        <v>3463</v>
      </c>
      <c r="D5285" s="11" t="s">
        <v>2103</v>
      </c>
      <c r="E5285" s="39" t="s">
        <v>3464</v>
      </c>
      <c r="F5285" s="11" t="s">
        <v>1700</v>
      </c>
      <c r="G5285" s="39" t="s">
        <v>3029</v>
      </c>
      <c r="H5285" s="7">
        <v>0</v>
      </c>
      <c r="I5285" s="7">
        <v>0</v>
      </c>
      <c r="J5285" s="17">
        <f>24+9</f>
        <v>33</v>
      </c>
      <c r="K5285" s="17"/>
      <c r="L5285" s="7">
        <f>SUM(H5285:K5285)</f>
        <v>33</v>
      </c>
      <c r="M5285" s="8">
        <v>1</v>
      </c>
      <c r="N5285" s="8">
        <f>IF(L5285&gt;0,1,"")</f>
        <v>1</v>
      </c>
      <c r="O5285" s="11" t="s">
        <v>1702</v>
      </c>
      <c r="P5285" s="16" t="str">
        <f>IF(LEN(G5285)=10,CONCATENATE("0",G5285),G5285)</f>
        <v>17-Oct-1907</v>
      </c>
      <c r="R5285" s="16" t="str">
        <f t="shared" si="2236"/>
        <v>x</v>
      </c>
      <c r="S5285" s="16" t="str">
        <f t="shared" si="2236"/>
        <v>x</v>
      </c>
      <c r="U5285" s="46" t="str">
        <f t="shared" si="2235"/>
        <v/>
      </c>
      <c r="V5285" s="46">
        <f t="shared" si="2235"/>
        <v>33</v>
      </c>
      <c r="W5285" s="46" t="str">
        <f t="shared" si="2235"/>
        <v/>
      </c>
      <c r="X5285" s="46" t="str">
        <f t="shared" si="2235"/>
        <v/>
      </c>
    </row>
    <row r="5286" spans="2:24" x14ac:dyDescent="0.25">
      <c r="B5286" s="11" t="str">
        <f>CONCATENATE("PLIN","-",LEFT(P5286,2),UPPER(MID(P5286,4,3)),RIGHT(P5286,4))</f>
        <v>PLIN-29NOV1907</v>
      </c>
      <c r="C5286" s="11" t="s">
        <v>3463</v>
      </c>
      <c r="D5286" s="11" t="s">
        <v>2103</v>
      </c>
      <c r="E5286" s="39" t="s">
        <v>3702</v>
      </c>
      <c r="F5286" s="11" t="s">
        <v>1700</v>
      </c>
      <c r="G5286" s="39" t="s">
        <v>3703</v>
      </c>
      <c r="H5286" s="7">
        <v>0</v>
      </c>
      <c r="I5286" s="7">
        <v>0</v>
      </c>
      <c r="J5286" s="17">
        <v>9</v>
      </c>
      <c r="K5286" s="17"/>
      <c r="L5286" s="7">
        <f>SUM(H5286:K5286)</f>
        <v>9</v>
      </c>
      <c r="M5286" s="8">
        <v>1</v>
      </c>
      <c r="N5286" s="8">
        <f>IF(L5286&gt;0,1,"")</f>
        <v>1</v>
      </c>
      <c r="O5286" s="11" t="s">
        <v>1702</v>
      </c>
      <c r="P5286" s="16" t="str">
        <f>IF(LEN(G5286)=10,CONCATENATE("0",G5286),G5286)</f>
        <v>29-Nov-1907</v>
      </c>
      <c r="R5286" s="16" t="str">
        <f t="shared" si="2236"/>
        <v>x</v>
      </c>
      <c r="S5286" s="16" t="str">
        <f t="shared" si="2236"/>
        <v>x</v>
      </c>
      <c r="U5286" s="46" t="str">
        <f t="shared" si="2235"/>
        <v/>
      </c>
      <c r="V5286" s="46">
        <f t="shared" si="2235"/>
        <v>9</v>
      </c>
      <c r="W5286" s="46" t="str">
        <f t="shared" si="2235"/>
        <v/>
      </c>
      <c r="X5286" s="46" t="str">
        <f t="shared" si="2235"/>
        <v/>
      </c>
    </row>
    <row r="5287" spans="2:24" x14ac:dyDescent="0.25">
      <c r="B5287" s="11" t="str">
        <f>CONCATENATE("PLIN","-",LEFT(P5287,2),UPPER(MID(P5287,4,3)),RIGHT(P5287,4))</f>
        <v>PLIN-17APR1908</v>
      </c>
      <c r="C5287" s="11" t="s">
        <v>3463</v>
      </c>
      <c r="D5287" s="11" t="s">
        <v>3134</v>
      </c>
      <c r="E5287" s="39" t="s">
        <v>6243</v>
      </c>
      <c r="F5287" s="11" t="s">
        <v>1700</v>
      </c>
      <c r="G5287" s="39" t="s">
        <v>3410</v>
      </c>
      <c r="H5287" s="7">
        <v>0</v>
      </c>
      <c r="I5287" s="7">
        <v>0</v>
      </c>
      <c r="J5287" s="17">
        <v>2</v>
      </c>
      <c r="K5287" s="17"/>
      <c r="L5287" s="7">
        <f>SUM(H5287:K5287)</f>
        <v>2</v>
      </c>
      <c r="M5287" s="8">
        <v>1</v>
      </c>
      <c r="N5287" s="8">
        <f>IF(L5287&gt;0,1,"")</f>
        <v>1</v>
      </c>
      <c r="O5287" s="11" t="s">
        <v>1702</v>
      </c>
      <c r="P5287" s="16" t="str">
        <f>IF(LEN(G5287)=10,CONCATENATE("0",G5287),G5287)</f>
        <v>17-Apr-1908</v>
      </c>
      <c r="R5287" s="16" t="str">
        <f t="shared" si="2236"/>
        <v>x</v>
      </c>
      <c r="S5287" s="16" t="str">
        <f t="shared" si="2236"/>
        <v>x</v>
      </c>
      <c r="U5287" s="46" t="str">
        <f t="shared" si="2235"/>
        <v/>
      </c>
      <c r="V5287" s="46">
        <f t="shared" si="2235"/>
        <v>2</v>
      </c>
      <c r="W5287" s="46" t="str">
        <f t="shared" si="2235"/>
        <v/>
      </c>
      <c r="X5287" s="46" t="str">
        <f t="shared" si="2235"/>
        <v/>
      </c>
    </row>
    <row r="5288" spans="2:24" x14ac:dyDescent="0.25">
      <c r="B5288" s="11" t="str">
        <f>CONCATENATE("PLIN","-",LEFT(P5288,2),UPPER(MID(P5288,4,3)),RIGHT(P5288,4))</f>
        <v>PLIN-17APR1908</v>
      </c>
      <c r="C5288" s="11" t="s">
        <v>3463</v>
      </c>
      <c r="D5288" s="11" t="s">
        <v>2103</v>
      </c>
      <c r="E5288" s="39" t="s">
        <v>4374</v>
      </c>
      <c r="F5288" s="11" t="s">
        <v>1700</v>
      </c>
      <c r="G5288" s="39" t="s">
        <v>3410</v>
      </c>
      <c r="H5288" s="7">
        <v>0</v>
      </c>
      <c r="I5288" s="7">
        <v>0</v>
      </c>
      <c r="J5288" s="17">
        <v>0</v>
      </c>
      <c r="K5288" s="17"/>
      <c r="L5288" s="7">
        <f>SUM(H5288:K5288)</f>
        <v>0</v>
      </c>
      <c r="M5288" s="8">
        <v>1</v>
      </c>
      <c r="N5288" s="8" t="str">
        <f>IF(L5288&gt;0,1,"")</f>
        <v/>
      </c>
      <c r="O5288" s="11" t="s">
        <v>1702</v>
      </c>
      <c r="P5288" s="16" t="str">
        <f>IF(LEN(G5288)=10,CONCATENATE("0",G5288),G5288)</f>
        <v>17-Apr-1908</v>
      </c>
      <c r="R5288" s="16" t="str">
        <f t="shared" si="2236"/>
        <v/>
      </c>
      <c r="S5288" s="16" t="str">
        <f t="shared" si="2236"/>
        <v/>
      </c>
      <c r="U5288" s="46" t="str">
        <f t="shared" si="2235"/>
        <v/>
      </c>
      <c r="V5288" s="46">
        <f t="shared" si="2235"/>
        <v>0</v>
      </c>
      <c r="W5288" s="46" t="str">
        <f t="shared" si="2235"/>
        <v/>
      </c>
      <c r="X5288" s="46" t="str">
        <f t="shared" si="2235"/>
        <v/>
      </c>
    </row>
    <row r="5289" spans="2:24" x14ac:dyDescent="0.25">
      <c r="N5289" s="8" t="str">
        <f>IF(R5289="x",1,"")</f>
        <v/>
      </c>
      <c r="U5289" s="46" t="str">
        <f t="shared" si="2235"/>
        <v/>
      </c>
      <c r="V5289" s="46" t="str">
        <f t="shared" si="2235"/>
        <v/>
      </c>
      <c r="W5289" s="46" t="str">
        <f t="shared" si="2235"/>
        <v/>
      </c>
      <c r="X5289" s="46" t="str">
        <f t="shared" si="2235"/>
        <v/>
      </c>
    </row>
    <row r="5290" spans="2:24" x14ac:dyDescent="0.25">
      <c r="B5290" s="18"/>
      <c r="C5290" s="18"/>
      <c r="D5290" s="18"/>
      <c r="E5290" s="40"/>
      <c r="F5290" s="18"/>
      <c r="G5290" s="40"/>
      <c r="H5290" s="7">
        <f t="shared" ref="H5290:N5290" si="2237">SUM(H5284:H5289)</f>
        <v>0</v>
      </c>
      <c r="I5290" s="7">
        <f t="shared" si="2237"/>
        <v>0</v>
      </c>
      <c r="J5290" s="7">
        <f>SUM(J5284:J5289)</f>
        <v>55</v>
      </c>
      <c r="K5290" s="7">
        <f t="shared" si="2237"/>
        <v>0</v>
      </c>
      <c r="L5290" s="7">
        <f t="shared" si="2237"/>
        <v>55</v>
      </c>
      <c r="M5290" s="7">
        <f t="shared" si="2237"/>
        <v>5</v>
      </c>
      <c r="N5290" s="7">
        <f t="shared" si="2237"/>
        <v>4</v>
      </c>
      <c r="O5290" s="18"/>
      <c r="P5290" s="13"/>
      <c r="Q5290" s="13"/>
      <c r="S5290" s="13"/>
      <c r="T5290" s="15"/>
      <c r="U5290" s="46" t="str">
        <f t="shared" ref="U5290:X5317" si="2238">IF($O5290=U$5,$L5290,"")</f>
        <v/>
      </c>
      <c r="V5290" s="46" t="str">
        <f t="shared" si="2238"/>
        <v/>
      </c>
      <c r="W5290" s="46" t="str">
        <f t="shared" si="2238"/>
        <v/>
      </c>
      <c r="X5290" s="46" t="str">
        <f t="shared" si="2238"/>
        <v/>
      </c>
    </row>
    <row r="5291" spans="2:24" x14ac:dyDescent="0.25">
      <c r="B5291" s="18"/>
      <c r="C5291" s="18"/>
      <c r="D5291" s="18"/>
      <c r="E5291" s="40"/>
      <c r="F5291" s="18"/>
      <c r="G5291" s="40"/>
      <c r="N5291" s="8" t="str">
        <f>IF(R5291="x",1,"")</f>
        <v/>
      </c>
      <c r="O5291" s="18"/>
      <c r="P5291" s="13"/>
      <c r="Q5291" s="13"/>
      <c r="R5291" s="13"/>
      <c r="S5291" s="13"/>
      <c r="T5291" s="15"/>
      <c r="U5291" s="46" t="str">
        <f t="shared" si="2238"/>
        <v/>
      </c>
      <c r="V5291" s="46" t="str">
        <f t="shared" si="2238"/>
        <v/>
      </c>
      <c r="W5291" s="46" t="str">
        <f t="shared" si="2238"/>
        <v/>
      </c>
      <c r="X5291" s="46" t="str">
        <f t="shared" si="2238"/>
        <v/>
      </c>
    </row>
    <row r="5292" spans="2:24" x14ac:dyDescent="0.25">
      <c r="B5292" s="18"/>
      <c r="C5292" s="18"/>
      <c r="D5292" s="18"/>
      <c r="E5292" s="40"/>
      <c r="F5292" s="18"/>
      <c r="G5292" s="40"/>
      <c r="N5292" s="8" t="str">
        <f>IF(R5292="x",1,"")</f>
        <v/>
      </c>
      <c r="O5292" s="18"/>
      <c r="P5292" s="13"/>
      <c r="Q5292" s="13"/>
      <c r="R5292" s="13"/>
      <c r="S5292" s="13"/>
      <c r="T5292" s="15"/>
      <c r="U5292" s="46" t="str">
        <f t="shared" si="2238"/>
        <v/>
      </c>
      <c r="V5292" s="46" t="str">
        <f t="shared" si="2238"/>
        <v/>
      </c>
      <c r="W5292" s="46" t="str">
        <f t="shared" si="2238"/>
        <v/>
      </c>
      <c r="X5292" s="46" t="str">
        <f t="shared" si="2238"/>
        <v/>
      </c>
    </row>
    <row r="5293" spans="2:24" x14ac:dyDescent="0.25">
      <c r="B5293" s="11" t="str">
        <f>CONCATENATE("PROO","-",LEFT(P5293,2),UPPER(MID(P5293,4,3)),RIGHT(P5293,4))</f>
        <v>PROO-11MAR1923</v>
      </c>
      <c r="C5293" s="11" t="s">
        <v>4292</v>
      </c>
      <c r="D5293" s="11" t="s">
        <v>2224</v>
      </c>
      <c r="E5293" s="39" t="s">
        <v>4293</v>
      </c>
      <c r="F5293" s="11" t="s">
        <v>1700</v>
      </c>
      <c r="G5293" s="39" t="s">
        <v>4294</v>
      </c>
      <c r="H5293" s="7">
        <v>0</v>
      </c>
      <c r="I5293" s="7">
        <v>0</v>
      </c>
      <c r="J5293" s="17">
        <f>4+6</f>
        <v>10</v>
      </c>
      <c r="K5293" s="17"/>
      <c r="L5293" s="7">
        <f>SUM(H5293:K5293)</f>
        <v>10</v>
      </c>
      <c r="M5293" s="8">
        <v>1</v>
      </c>
      <c r="N5293" s="8">
        <f>IF(L5293&gt;0,1,"")</f>
        <v>1</v>
      </c>
      <c r="O5293" s="11" t="s">
        <v>1702</v>
      </c>
      <c r="P5293" s="16" t="str">
        <f>IF(LEN(G5293)=10,CONCATENATE("0",G5293),G5293)</f>
        <v>11-Mar-1923</v>
      </c>
      <c r="R5293" s="16" t="str">
        <f>IF($L5293&gt;0,"x","")</f>
        <v>x</v>
      </c>
      <c r="S5293" s="16" t="str">
        <f>IF($L5293&gt;0,"x","")</f>
        <v>x</v>
      </c>
      <c r="U5293" s="46" t="str">
        <f t="shared" si="2238"/>
        <v/>
      </c>
      <c r="V5293" s="46">
        <f t="shared" si="2238"/>
        <v>10</v>
      </c>
      <c r="W5293" s="46" t="str">
        <f t="shared" si="2238"/>
        <v/>
      </c>
      <c r="X5293" s="46" t="str">
        <f t="shared" si="2238"/>
        <v/>
      </c>
    </row>
    <row r="5294" spans="2:24" x14ac:dyDescent="0.25">
      <c r="B5294" s="11" t="str">
        <f>CONCATENATE("PROO","-",LEFT(P5294,2),UPPER(MID(P5294,4,3)),RIGHT(P5294,4))</f>
        <v>PROO-16AUG1931</v>
      </c>
      <c r="C5294" s="11" t="s">
        <v>4292</v>
      </c>
      <c r="D5294" s="11" t="s">
        <v>2224</v>
      </c>
      <c r="E5294" s="39" t="s">
        <v>11143</v>
      </c>
      <c r="F5294" s="11" t="s">
        <v>1700</v>
      </c>
      <c r="G5294" s="39" t="s">
        <v>11144</v>
      </c>
      <c r="H5294" s="7">
        <v>0</v>
      </c>
      <c r="J5294" s="17">
        <v>2</v>
      </c>
      <c r="K5294" s="17"/>
      <c r="L5294" s="7">
        <f>SUM(H5294:K5294)</f>
        <v>2</v>
      </c>
      <c r="M5294" s="8">
        <v>1</v>
      </c>
      <c r="N5294" s="8">
        <f>IF(L5294&gt;0,1,"")</f>
        <v>1</v>
      </c>
      <c r="O5294" s="11" t="s">
        <v>1702</v>
      </c>
      <c r="P5294" s="16" t="str">
        <f>IF(LEN(G5294)=10,CONCATENATE("0",G5294),G5294)</f>
        <v>16-Aug-1931</v>
      </c>
      <c r="R5294" s="16" t="str">
        <f>IF($L5294&gt;0,"x","")</f>
        <v>x</v>
      </c>
      <c r="S5294" s="16" t="str">
        <f>IF($L5294&gt;0,"x","")</f>
        <v>x</v>
      </c>
      <c r="U5294" s="46" t="str">
        <f t="shared" si="2238"/>
        <v/>
      </c>
      <c r="V5294" s="46">
        <f t="shared" si="2238"/>
        <v>2</v>
      </c>
      <c r="W5294" s="46" t="str">
        <f t="shared" si="2238"/>
        <v/>
      </c>
      <c r="X5294" s="46" t="str">
        <f t="shared" si="2238"/>
        <v/>
      </c>
    </row>
    <row r="5295" spans="2:24" x14ac:dyDescent="0.25">
      <c r="N5295" s="8" t="str">
        <f>IF(R5295="x",1,"")</f>
        <v/>
      </c>
      <c r="U5295" s="46" t="str">
        <f t="shared" si="2238"/>
        <v/>
      </c>
      <c r="V5295" s="46" t="str">
        <f t="shared" si="2238"/>
        <v/>
      </c>
      <c r="W5295" s="46" t="str">
        <f t="shared" si="2238"/>
        <v/>
      </c>
      <c r="X5295" s="46" t="str">
        <f t="shared" si="2238"/>
        <v/>
      </c>
    </row>
    <row r="5296" spans="2:24" x14ac:dyDescent="0.25">
      <c r="B5296" s="18"/>
      <c r="C5296" s="18"/>
      <c r="D5296" s="18"/>
      <c r="E5296" s="40"/>
      <c r="F5296" s="18"/>
      <c r="G5296" s="40"/>
      <c r="H5296" s="7">
        <f t="shared" ref="H5296:N5296" si="2239">SUM(H5293:H5295)</f>
        <v>0</v>
      </c>
      <c r="I5296" s="7">
        <f t="shared" si="2239"/>
        <v>0</v>
      </c>
      <c r="J5296" s="7">
        <f>SUM(J5293:J5295)</f>
        <v>12</v>
      </c>
      <c r="K5296" s="7">
        <f t="shared" si="2239"/>
        <v>0</v>
      </c>
      <c r="L5296" s="7">
        <f t="shared" si="2239"/>
        <v>12</v>
      </c>
      <c r="M5296" s="7">
        <f t="shared" si="2239"/>
        <v>2</v>
      </c>
      <c r="N5296" s="7">
        <f t="shared" si="2239"/>
        <v>2</v>
      </c>
      <c r="O5296" s="18"/>
      <c r="P5296" s="13"/>
      <c r="Q5296" s="13"/>
      <c r="S5296" s="13"/>
      <c r="T5296" s="15"/>
      <c r="U5296" s="46" t="str">
        <f t="shared" si="2238"/>
        <v/>
      </c>
      <c r="V5296" s="46" t="str">
        <f t="shared" si="2238"/>
        <v/>
      </c>
      <c r="W5296" s="46" t="str">
        <f t="shared" si="2238"/>
        <v/>
      </c>
      <c r="X5296" s="46" t="str">
        <f t="shared" si="2238"/>
        <v/>
      </c>
    </row>
    <row r="5297" spans="2:24" x14ac:dyDescent="0.25">
      <c r="B5297" s="18"/>
      <c r="C5297" s="18"/>
      <c r="D5297" s="18"/>
      <c r="E5297" s="40"/>
      <c r="F5297" s="18"/>
      <c r="G5297" s="40"/>
      <c r="N5297" s="8" t="str">
        <f>IF(R5297="x",1,"")</f>
        <v/>
      </c>
      <c r="O5297" s="18"/>
      <c r="P5297" s="13"/>
      <c r="Q5297" s="13"/>
      <c r="R5297" s="13"/>
      <c r="S5297" s="13"/>
      <c r="T5297" s="15"/>
      <c r="U5297" s="46" t="str">
        <f t="shared" si="2238"/>
        <v/>
      </c>
      <c r="V5297" s="46" t="str">
        <f t="shared" si="2238"/>
        <v/>
      </c>
      <c r="W5297" s="46" t="str">
        <f t="shared" si="2238"/>
        <v/>
      </c>
      <c r="X5297" s="46" t="str">
        <f t="shared" si="2238"/>
        <v/>
      </c>
    </row>
    <row r="5298" spans="2:24" x14ac:dyDescent="0.25">
      <c r="B5298" s="18"/>
      <c r="C5298" s="18"/>
      <c r="D5298" s="18"/>
      <c r="E5298" s="40"/>
      <c r="F5298" s="18"/>
      <c r="G5298" s="40"/>
      <c r="N5298" s="8" t="str">
        <f>IF(R5298="x",1,"")</f>
        <v/>
      </c>
      <c r="O5298" s="18"/>
      <c r="P5298" s="13"/>
      <c r="Q5298" s="13"/>
      <c r="R5298" s="13"/>
      <c r="S5298" s="13"/>
      <c r="T5298" s="15"/>
      <c r="U5298" s="46" t="str">
        <f t="shared" si="2238"/>
        <v/>
      </c>
      <c r="V5298" s="46" t="str">
        <f t="shared" si="2238"/>
        <v/>
      </c>
      <c r="W5298" s="46" t="str">
        <f t="shared" si="2238"/>
        <v/>
      </c>
      <c r="X5298" s="46" t="str">
        <f t="shared" si="2238"/>
        <v/>
      </c>
    </row>
    <row r="5299" spans="2:24" x14ac:dyDescent="0.25">
      <c r="B5299" s="11" t="str">
        <f>CONCATENATE("PVNB","-",LEFT(P5299,2),UPPER(MID(P5299,4,3)),RIGHT(P5299,4))</f>
        <v>PVNB-11FEB1926</v>
      </c>
      <c r="C5299" s="11" t="s">
        <v>3791</v>
      </c>
      <c r="D5299" s="11" t="s">
        <v>870</v>
      </c>
      <c r="E5299" s="39" t="s">
        <v>3792</v>
      </c>
      <c r="F5299" s="11" t="s">
        <v>3050</v>
      </c>
      <c r="G5299" s="39" t="s">
        <v>3793</v>
      </c>
      <c r="H5299" s="7">
        <v>1</v>
      </c>
      <c r="J5299" s="17"/>
      <c r="K5299" s="17"/>
      <c r="L5299" s="7">
        <f>SUM(H5299:K5299)</f>
        <v>1</v>
      </c>
      <c r="M5299" s="8">
        <v>1</v>
      </c>
      <c r="N5299" s="8">
        <f>IF(L5299&gt;0,1,"")</f>
        <v>1</v>
      </c>
      <c r="O5299" s="11" t="s">
        <v>1702</v>
      </c>
      <c r="P5299" s="16" t="str">
        <f>IF(LEN(G5299)=10,CONCATENATE("0",G5299),G5299)</f>
        <v>11-Feb-1926</v>
      </c>
      <c r="R5299" s="16" t="str">
        <f>IF($L5299&gt;0,"x","")</f>
        <v>x</v>
      </c>
      <c r="S5299" s="16" t="str">
        <f>IF($L5299&gt;0,"x","")</f>
        <v>x</v>
      </c>
      <c r="U5299" s="46" t="str">
        <f t="shared" si="2238"/>
        <v/>
      </c>
      <c r="V5299" s="46">
        <f t="shared" si="2238"/>
        <v>1</v>
      </c>
      <c r="W5299" s="46" t="str">
        <f t="shared" si="2238"/>
        <v/>
      </c>
      <c r="X5299" s="46" t="str">
        <f t="shared" si="2238"/>
        <v/>
      </c>
    </row>
    <row r="5300" spans="2:24" x14ac:dyDescent="0.25">
      <c r="N5300" s="8" t="str">
        <f>IF(R5300="x",1,"")</f>
        <v/>
      </c>
      <c r="U5300" s="46" t="str">
        <f t="shared" si="2238"/>
        <v/>
      </c>
      <c r="V5300" s="46" t="str">
        <f t="shared" si="2238"/>
        <v/>
      </c>
      <c r="W5300" s="46" t="str">
        <f t="shared" si="2238"/>
        <v/>
      </c>
      <c r="X5300" s="46" t="str">
        <f t="shared" si="2238"/>
        <v/>
      </c>
    </row>
    <row r="5301" spans="2:24" x14ac:dyDescent="0.25">
      <c r="B5301" s="18"/>
      <c r="C5301" s="18"/>
      <c r="D5301" s="18"/>
      <c r="E5301" s="40"/>
      <c r="F5301" s="18"/>
      <c r="G5301" s="40"/>
      <c r="H5301" s="7">
        <f t="shared" ref="H5301:N5301" si="2240">SUM(H5299:H5300)</f>
        <v>1</v>
      </c>
      <c r="I5301" s="7">
        <f t="shared" si="2240"/>
        <v>0</v>
      </c>
      <c r="J5301" s="7">
        <f>SUM(J5299:J5300)</f>
        <v>0</v>
      </c>
      <c r="K5301" s="7">
        <f t="shared" si="2240"/>
        <v>0</v>
      </c>
      <c r="L5301" s="7">
        <f t="shared" si="2240"/>
        <v>1</v>
      </c>
      <c r="M5301" s="7">
        <f t="shared" si="2240"/>
        <v>1</v>
      </c>
      <c r="N5301" s="7">
        <f t="shared" si="2240"/>
        <v>1</v>
      </c>
      <c r="O5301" s="18"/>
      <c r="P5301" s="13"/>
      <c r="Q5301" s="13"/>
      <c r="S5301" s="13"/>
      <c r="T5301" s="15"/>
      <c r="U5301" s="46" t="str">
        <f t="shared" si="2238"/>
        <v/>
      </c>
      <c r="V5301" s="46" t="str">
        <f t="shared" si="2238"/>
        <v/>
      </c>
      <c r="W5301" s="46" t="str">
        <f t="shared" si="2238"/>
        <v/>
      </c>
      <c r="X5301" s="46" t="str">
        <f t="shared" si="2238"/>
        <v/>
      </c>
    </row>
    <row r="5302" spans="2:24" x14ac:dyDescent="0.25">
      <c r="B5302" s="18"/>
      <c r="C5302" s="18"/>
      <c r="D5302" s="18"/>
      <c r="E5302" s="40"/>
      <c r="F5302" s="18"/>
      <c r="G5302" s="40"/>
      <c r="N5302" s="8" t="str">
        <f>IF(R5302="x",1,"")</f>
        <v/>
      </c>
      <c r="O5302" s="18"/>
      <c r="P5302" s="13"/>
      <c r="Q5302" s="13"/>
      <c r="R5302" s="13"/>
      <c r="S5302" s="13"/>
      <c r="T5302" s="15"/>
      <c r="U5302" s="46" t="str">
        <f t="shared" si="2238"/>
        <v/>
      </c>
      <c r="V5302" s="46" t="str">
        <f t="shared" si="2238"/>
        <v/>
      </c>
      <c r="W5302" s="46" t="str">
        <f t="shared" si="2238"/>
        <v/>
      </c>
      <c r="X5302" s="46" t="str">
        <f t="shared" si="2238"/>
        <v/>
      </c>
    </row>
    <row r="5303" spans="2:24" x14ac:dyDescent="0.25">
      <c r="B5303" s="18"/>
      <c r="C5303" s="18"/>
      <c r="D5303" s="18"/>
      <c r="E5303" s="40"/>
      <c r="F5303" s="18"/>
      <c r="G5303" s="40"/>
      <c r="N5303" s="8" t="str">
        <f>IF(R5303="x",1,"")</f>
        <v/>
      </c>
      <c r="O5303" s="18"/>
      <c r="P5303" s="13"/>
      <c r="Q5303" s="13"/>
      <c r="R5303" s="13"/>
      <c r="S5303" s="13"/>
      <c r="T5303" s="15"/>
      <c r="U5303" s="46" t="str">
        <f t="shared" si="2238"/>
        <v/>
      </c>
      <c r="V5303" s="46" t="str">
        <f t="shared" si="2238"/>
        <v/>
      </c>
      <c r="W5303" s="46" t="str">
        <f t="shared" si="2238"/>
        <v/>
      </c>
      <c r="X5303" s="46" t="str">
        <f t="shared" si="2238"/>
        <v/>
      </c>
    </row>
    <row r="5304" spans="2:24" x14ac:dyDescent="0.25">
      <c r="B5304" s="11" t="str">
        <f t="shared" ref="B5304:B5310" si="2241">CONCATENATE("PWIL","-",LEFT(P5304,2),UPPER(MID(P5304,4,3)),RIGHT(P5304,4))</f>
        <v>PWIL-05OCT1919</v>
      </c>
      <c r="C5304" s="11" t="s">
        <v>3132</v>
      </c>
      <c r="D5304" s="11" t="s">
        <v>1906</v>
      </c>
      <c r="E5304" s="39" t="s">
        <v>2409</v>
      </c>
      <c r="F5304" s="11" t="s">
        <v>1700</v>
      </c>
      <c r="G5304" s="39" t="s">
        <v>4527</v>
      </c>
      <c r="H5304" s="7">
        <v>0</v>
      </c>
      <c r="I5304" s="7">
        <v>4</v>
      </c>
      <c r="J5304" s="17">
        <f>24+5</f>
        <v>29</v>
      </c>
      <c r="K5304" s="17"/>
      <c r="L5304" s="7">
        <f t="shared" ref="L5304:L5310" si="2242">SUM(H5304:K5304)</f>
        <v>33</v>
      </c>
      <c r="M5304" s="8">
        <v>1</v>
      </c>
      <c r="N5304" s="8">
        <f t="shared" ref="N5304:N5310" si="2243">IF(L5304&gt;0,1,"")</f>
        <v>1</v>
      </c>
      <c r="O5304" s="11" t="s">
        <v>1702</v>
      </c>
      <c r="P5304" s="16" t="str">
        <f t="shared" ref="P5304:P5310" si="2244">IF(LEN(G5304)=10,CONCATENATE("0",G5304),G5304)</f>
        <v>05-Oct-1919</v>
      </c>
      <c r="R5304" s="16" t="str">
        <f t="shared" ref="R5304:S5311" si="2245">IF($L5304&gt;0,"x","")</f>
        <v>x</v>
      </c>
      <c r="S5304" s="16" t="str">
        <f t="shared" si="2245"/>
        <v>x</v>
      </c>
      <c r="U5304" s="46" t="str">
        <f t="shared" si="2238"/>
        <v/>
      </c>
      <c r="V5304" s="46">
        <f t="shared" si="2238"/>
        <v>33</v>
      </c>
      <c r="W5304" s="46" t="str">
        <f t="shared" si="2238"/>
        <v/>
      </c>
      <c r="X5304" s="46" t="str">
        <f t="shared" si="2238"/>
        <v/>
      </c>
    </row>
    <row r="5305" spans="2:24" x14ac:dyDescent="0.25">
      <c r="B5305" s="11" t="str">
        <f t="shared" si="2241"/>
        <v>PWIL-29DEC1919</v>
      </c>
      <c r="C5305" s="11" t="s">
        <v>3132</v>
      </c>
      <c r="D5305" s="11" t="s">
        <v>3007</v>
      </c>
      <c r="E5305" s="39" t="s">
        <v>4228</v>
      </c>
      <c r="F5305" s="11" t="s">
        <v>1700</v>
      </c>
      <c r="G5305" s="39" t="s">
        <v>4009</v>
      </c>
      <c r="H5305" s="7">
        <v>0</v>
      </c>
      <c r="I5305" s="7">
        <v>0</v>
      </c>
      <c r="J5305" s="17">
        <v>1</v>
      </c>
      <c r="K5305" s="17"/>
      <c r="L5305" s="7">
        <f t="shared" si="2242"/>
        <v>1</v>
      </c>
      <c r="M5305" s="8">
        <v>1</v>
      </c>
      <c r="N5305" s="8">
        <f t="shared" si="2243"/>
        <v>1</v>
      </c>
      <c r="O5305" s="11" t="s">
        <v>1702</v>
      </c>
      <c r="P5305" s="16" t="str">
        <f t="shared" si="2244"/>
        <v>29-Dec-1919</v>
      </c>
      <c r="R5305" s="16" t="str">
        <f t="shared" si="2245"/>
        <v>x</v>
      </c>
      <c r="S5305" s="16" t="str">
        <f t="shared" si="2245"/>
        <v>x</v>
      </c>
      <c r="U5305" s="46" t="str">
        <f t="shared" si="2238"/>
        <v/>
      </c>
      <c r="V5305" s="46">
        <f t="shared" si="2238"/>
        <v>1</v>
      </c>
      <c r="W5305" s="46" t="str">
        <f t="shared" si="2238"/>
        <v/>
      </c>
      <c r="X5305" s="46" t="str">
        <f t="shared" si="2238"/>
        <v/>
      </c>
    </row>
    <row r="5306" spans="2:24" x14ac:dyDescent="0.25">
      <c r="B5306" s="11" t="str">
        <f t="shared" si="2241"/>
        <v>PWIL-29DEC1919</v>
      </c>
      <c r="C5306" s="11" t="s">
        <v>3132</v>
      </c>
      <c r="D5306" s="11" t="s">
        <v>1906</v>
      </c>
      <c r="E5306" s="39" t="s">
        <v>4010</v>
      </c>
      <c r="F5306" s="11" t="s">
        <v>1700</v>
      </c>
      <c r="G5306" s="39" t="s">
        <v>4009</v>
      </c>
      <c r="H5306" s="7">
        <f>0+1</f>
        <v>1</v>
      </c>
      <c r="I5306" s="7">
        <f>17+3</f>
        <v>20</v>
      </c>
      <c r="J5306" s="17">
        <f>51</f>
        <v>51</v>
      </c>
      <c r="K5306" s="17"/>
      <c r="L5306" s="7">
        <f t="shared" si="2242"/>
        <v>72</v>
      </c>
      <c r="M5306" s="8">
        <v>1</v>
      </c>
      <c r="N5306" s="8">
        <f t="shared" si="2243"/>
        <v>1</v>
      </c>
      <c r="O5306" s="11" t="s">
        <v>1702</v>
      </c>
      <c r="P5306" s="16" t="str">
        <f t="shared" si="2244"/>
        <v>29-Dec-1919</v>
      </c>
      <c r="R5306" s="16" t="str">
        <f t="shared" si="2245"/>
        <v>x</v>
      </c>
      <c r="S5306" s="16" t="str">
        <f t="shared" si="2245"/>
        <v>x</v>
      </c>
      <c r="U5306" s="46" t="str">
        <f t="shared" si="2238"/>
        <v/>
      </c>
      <c r="V5306" s="46">
        <f t="shared" si="2238"/>
        <v>72</v>
      </c>
      <c r="W5306" s="46" t="str">
        <f t="shared" si="2238"/>
        <v/>
      </c>
      <c r="X5306" s="46" t="str">
        <f t="shared" si="2238"/>
        <v/>
      </c>
    </row>
    <row r="5307" spans="2:24" x14ac:dyDescent="0.25">
      <c r="B5307" s="11" t="str">
        <f t="shared" si="2241"/>
        <v>PWIL-26FEB1920</v>
      </c>
      <c r="C5307" s="11" t="s">
        <v>3132</v>
      </c>
      <c r="D5307" s="11" t="s">
        <v>1906</v>
      </c>
      <c r="E5307" s="39" t="s">
        <v>4517</v>
      </c>
      <c r="F5307" s="11" t="s">
        <v>1700</v>
      </c>
      <c r="G5307" s="39" t="s">
        <v>4518</v>
      </c>
      <c r="H5307" s="7">
        <f>2+2</f>
        <v>4</v>
      </c>
      <c r="I5307" s="7">
        <v>20</v>
      </c>
      <c r="J5307" s="17">
        <v>41</v>
      </c>
      <c r="K5307" s="17"/>
      <c r="L5307" s="7">
        <f t="shared" si="2242"/>
        <v>65</v>
      </c>
      <c r="M5307" s="8">
        <v>1</v>
      </c>
      <c r="N5307" s="8">
        <f t="shared" si="2243"/>
        <v>1</v>
      </c>
      <c r="O5307" s="11" t="s">
        <v>1702</v>
      </c>
      <c r="P5307" s="16" t="str">
        <f t="shared" si="2244"/>
        <v>26-Feb-1920</v>
      </c>
      <c r="R5307" s="16" t="str">
        <f t="shared" si="2245"/>
        <v>x</v>
      </c>
      <c r="S5307" s="16" t="str">
        <f t="shared" si="2245"/>
        <v>x</v>
      </c>
      <c r="U5307" s="46" t="str">
        <f t="shared" si="2238"/>
        <v/>
      </c>
      <c r="V5307" s="46">
        <f t="shared" si="2238"/>
        <v>65</v>
      </c>
      <c r="W5307" s="46" t="str">
        <f t="shared" si="2238"/>
        <v/>
      </c>
      <c r="X5307" s="46" t="str">
        <f t="shared" si="2238"/>
        <v/>
      </c>
    </row>
    <row r="5308" spans="2:24" x14ac:dyDescent="0.25">
      <c r="B5308" s="11" t="str">
        <f>CONCATENATE("PWIL","-",LEFT(P5308,2),UPPER(MID(P5308,4,3)),RIGHT(P5308,4))</f>
        <v>PWIL-03MAY1920</v>
      </c>
      <c r="C5308" s="11" t="s">
        <v>3132</v>
      </c>
      <c r="D5308" s="11" t="s">
        <v>1906</v>
      </c>
      <c r="E5308" s="39" t="s">
        <v>2421</v>
      </c>
      <c r="F5308" s="11" t="s">
        <v>1700</v>
      </c>
      <c r="G5308" s="39" t="s">
        <v>11361</v>
      </c>
      <c r="H5308" s="7">
        <f>3+1</f>
        <v>4</v>
      </c>
      <c r="I5308" s="7">
        <f>19+1</f>
        <v>20</v>
      </c>
      <c r="J5308" s="17">
        <v>17</v>
      </c>
      <c r="K5308" s="17"/>
      <c r="L5308" s="7">
        <f>SUM(H5308:K5308)</f>
        <v>41</v>
      </c>
      <c r="M5308" s="8">
        <v>1</v>
      </c>
      <c r="N5308" s="8">
        <f>IF(L5308&gt;0,1,"")</f>
        <v>1</v>
      </c>
      <c r="O5308" s="11" t="s">
        <v>1702</v>
      </c>
      <c r="P5308" s="16" t="str">
        <f>IF(LEN(G5308)=10,CONCATENATE("0",G5308),G5308)</f>
        <v>03-May-1920</v>
      </c>
      <c r="R5308" s="16" t="str">
        <f>IF($L5308&gt;0,"x","")</f>
        <v>x</v>
      </c>
      <c r="S5308" s="16" t="str">
        <f>IF($L5308&gt;0,"x","")</f>
        <v>x</v>
      </c>
      <c r="U5308" s="46" t="str">
        <f t="shared" si="2238"/>
        <v/>
      </c>
      <c r="V5308" s="46">
        <f t="shared" si="2238"/>
        <v>41</v>
      </c>
      <c r="W5308" s="46" t="str">
        <f t="shared" si="2238"/>
        <v/>
      </c>
      <c r="X5308" s="46" t="str">
        <f t="shared" si="2238"/>
        <v/>
      </c>
    </row>
    <row r="5309" spans="2:24" x14ac:dyDescent="0.25">
      <c r="B5309" s="11" t="str">
        <f t="shared" si="2241"/>
        <v>PWIL-04JUL1921</v>
      </c>
      <c r="C5309" s="11" t="s">
        <v>3132</v>
      </c>
      <c r="D5309" s="11" t="s">
        <v>1906</v>
      </c>
      <c r="E5309" s="39" t="s">
        <v>1132</v>
      </c>
      <c r="F5309" s="11" t="s">
        <v>1700</v>
      </c>
      <c r="G5309" s="39" t="s">
        <v>3133</v>
      </c>
      <c r="H5309" s="7">
        <v>0</v>
      </c>
      <c r="I5309" s="7">
        <v>21</v>
      </c>
      <c r="J5309" s="17">
        <v>18</v>
      </c>
      <c r="K5309" s="17"/>
      <c r="L5309" s="7">
        <f t="shared" si="2242"/>
        <v>39</v>
      </c>
      <c r="M5309" s="8">
        <v>1</v>
      </c>
      <c r="N5309" s="8">
        <f t="shared" si="2243"/>
        <v>1</v>
      </c>
      <c r="O5309" s="11" t="s">
        <v>1702</v>
      </c>
      <c r="P5309" s="16" t="str">
        <f t="shared" si="2244"/>
        <v>04-Jul-1921</v>
      </c>
      <c r="R5309" s="16" t="str">
        <f t="shared" si="2245"/>
        <v>x</v>
      </c>
      <c r="S5309" s="16" t="str">
        <f t="shared" si="2245"/>
        <v>x</v>
      </c>
      <c r="U5309" s="46" t="str">
        <f t="shared" si="2238"/>
        <v/>
      </c>
      <c r="V5309" s="46">
        <f t="shared" si="2238"/>
        <v>39</v>
      </c>
      <c r="W5309" s="46" t="str">
        <f t="shared" si="2238"/>
        <v/>
      </c>
      <c r="X5309" s="46" t="str">
        <f t="shared" si="2238"/>
        <v/>
      </c>
    </row>
    <row r="5310" spans="2:24" x14ac:dyDescent="0.25">
      <c r="B5310" s="11" t="str">
        <f t="shared" si="2241"/>
        <v>PWIL-30SEP1923</v>
      </c>
      <c r="C5310" s="11" t="s">
        <v>3132</v>
      </c>
      <c r="D5310" s="11" t="s">
        <v>3064</v>
      </c>
      <c r="E5310" s="39" t="s">
        <v>4322</v>
      </c>
      <c r="F5310" s="11" t="s">
        <v>1700</v>
      </c>
      <c r="G5310" s="39" t="s">
        <v>4323</v>
      </c>
      <c r="H5310" s="7">
        <v>0</v>
      </c>
      <c r="I5310" s="7">
        <v>0</v>
      </c>
      <c r="J5310" s="17">
        <f>3+1</f>
        <v>4</v>
      </c>
      <c r="K5310" s="17"/>
      <c r="L5310" s="7">
        <f t="shared" si="2242"/>
        <v>4</v>
      </c>
      <c r="M5310" s="8">
        <v>1</v>
      </c>
      <c r="N5310" s="8">
        <f t="shared" si="2243"/>
        <v>1</v>
      </c>
      <c r="O5310" s="11" t="s">
        <v>1702</v>
      </c>
      <c r="P5310" s="16" t="str">
        <f t="shared" si="2244"/>
        <v>30-Sep-1923</v>
      </c>
      <c r="R5310" s="16" t="str">
        <f t="shared" si="2245"/>
        <v>x</v>
      </c>
      <c r="S5310" s="16" t="str">
        <f t="shared" si="2245"/>
        <v>x</v>
      </c>
      <c r="U5310" s="46" t="str">
        <f t="shared" si="2238"/>
        <v/>
      </c>
      <c r="V5310" s="46">
        <f t="shared" si="2238"/>
        <v>4</v>
      </c>
      <c r="W5310" s="46" t="str">
        <f t="shared" si="2238"/>
        <v/>
      </c>
      <c r="X5310" s="46" t="str">
        <f t="shared" si="2238"/>
        <v/>
      </c>
    </row>
    <row r="5311" spans="2:24" x14ac:dyDescent="0.25">
      <c r="B5311" s="11" t="str">
        <f>CONCATENATE("PWIL","-",LEFT(P5311,2),UPPER(MID(P5311,4,3)),RIGHT(P5311,4))</f>
        <v>PWIL-17MAR1927</v>
      </c>
      <c r="C5311" s="11" t="s">
        <v>3132</v>
      </c>
      <c r="D5311" s="11" t="s">
        <v>3064</v>
      </c>
      <c r="E5311" s="39" t="s">
        <v>11249</v>
      </c>
      <c r="F5311" s="11" t="s">
        <v>1700</v>
      </c>
      <c r="G5311" s="39" t="s">
        <v>11250</v>
      </c>
      <c r="H5311" s="7">
        <v>0</v>
      </c>
      <c r="I5311" s="7">
        <v>0</v>
      </c>
      <c r="J5311" s="17">
        <v>3</v>
      </c>
      <c r="K5311" s="17"/>
      <c r="L5311" s="7">
        <f>SUM(H5311:K5311)</f>
        <v>3</v>
      </c>
      <c r="M5311" s="8">
        <v>1</v>
      </c>
      <c r="N5311" s="8">
        <f>IF(L5311&gt;0,1,"")</f>
        <v>1</v>
      </c>
      <c r="O5311" s="11" t="s">
        <v>1702</v>
      </c>
      <c r="P5311" s="16" t="str">
        <f>IF(LEN(G5311)=10,CONCATENATE("0",G5311),G5311)</f>
        <v>17-Mar-1927</v>
      </c>
      <c r="R5311" s="16" t="str">
        <f t="shared" si="2245"/>
        <v>x</v>
      </c>
      <c r="S5311" s="16" t="str">
        <f t="shared" si="2245"/>
        <v>x</v>
      </c>
      <c r="U5311" s="46" t="str">
        <f t="shared" si="2238"/>
        <v/>
      </c>
      <c r="V5311" s="46">
        <f t="shared" si="2238"/>
        <v>3</v>
      </c>
      <c r="W5311" s="46" t="str">
        <f t="shared" si="2238"/>
        <v/>
      </c>
      <c r="X5311" s="46" t="str">
        <f t="shared" si="2238"/>
        <v/>
      </c>
    </row>
    <row r="5312" spans="2:24" x14ac:dyDescent="0.25">
      <c r="N5312" s="8" t="str">
        <f>IF(R5312="x",1,"")</f>
        <v/>
      </c>
      <c r="U5312" s="46" t="str">
        <f t="shared" si="2238"/>
        <v/>
      </c>
      <c r="V5312" s="46" t="str">
        <f t="shared" si="2238"/>
        <v/>
      </c>
      <c r="W5312" s="46" t="str">
        <f t="shared" si="2238"/>
        <v/>
      </c>
      <c r="X5312" s="46" t="str">
        <f t="shared" si="2238"/>
        <v/>
      </c>
    </row>
    <row r="5313" spans="2:24" x14ac:dyDescent="0.25">
      <c r="B5313" s="18"/>
      <c r="C5313" s="18"/>
      <c r="D5313" s="18"/>
      <c r="E5313" s="40"/>
      <c r="F5313" s="18"/>
      <c r="G5313" s="40"/>
      <c r="H5313" s="7">
        <f t="shared" ref="H5313:N5313" si="2246">SUM(H5304:H5312)</f>
        <v>9</v>
      </c>
      <c r="I5313" s="7">
        <f t="shared" si="2246"/>
        <v>85</v>
      </c>
      <c r="J5313" s="7">
        <f>SUM(J5304:J5312)</f>
        <v>164</v>
      </c>
      <c r="K5313" s="7">
        <f t="shared" si="2246"/>
        <v>0</v>
      </c>
      <c r="L5313" s="7">
        <f t="shared" si="2246"/>
        <v>258</v>
      </c>
      <c r="M5313" s="7">
        <f t="shared" si="2246"/>
        <v>8</v>
      </c>
      <c r="N5313" s="7">
        <f t="shared" si="2246"/>
        <v>8</v>
      </c>
      <c r="O5313" s="18"/>
      <c r="P5313" s="13"/>
      <c r="Q5313" s="13"/>
      <c r="S5313" s="13"/>
      <c r="T5313" s="15"/>
      <c r="U5313" s="46" t="str">
        <f t="shared" si="2238"/>
        <v/>
      </c>
      <c r="V5313" s="46" t="str">
        <f t="shared" si="2238"/>
        <v/>
      </c>
      <c r="W5313" s="46" t="str">
        <f t="shared" si="2238"/>
        <v/>
      </c>
      <c r="X5313" s="46" t="str">
        <f t="shared" si="2238"/>
        <v/>
      </c>
    </row>
    <row r="5314" spans="2:24" x14ac:dyDescent="0.25">
      <c r="B5314" s="18"/>
      <c r="C5314" s="18"/>
      <c r="D5314" s="18"/>
      <c r="E5314" s="40"/>
      <c r="F5314" s="18"/>
      <c r="G5314" s="40"/>
      <c r="N5314" s="8" t="str">
        <f>IF(R5314="x",1,"")</f>
        <v/>
      </c>
      <c r="O5314" s="18"/>
      <c r="P5314" s="13"/>
      <c r="Q5314" s="13"/>
      <c r="R5314" s="13"/>
      <c r="S5314" s="13"/>
      <c r="T5314" s="15"/>
      <c r="U5314" s="46" t="str">
        <f t="shared" si="2238"/>
        <v/>
      </c>
      <c r="V5314" s="46" t="str">
        <f t="shared" si="2238"/>
        <v/>
      </c>
      <c r="W5314" s="46" t="str">
        <f t="shared" si="2238"/>
        <v/>
      </c>
      <c r="X5314" s="46" t="str">
        <f t="shared" si="2238"/>
        <v/>
      </c>
    </row>
    <row r="5315" spans="2:24" x14ac:dyDescent="0.25">
      <c r="B5315" s="18"/>
      <c r="C5315" s="18"/>
      <c r="D5315" s="18"/>
      <c r="E5315" s="40"/>
      <c r="F5315" s="18"/>
      <c r="G5315" s="40"/>
      <c r="N5315" s="8" t="str">
        <f>IF(R5315="x",1,"")</f>
        <v/>
      </c>
      <c r="O5315" s="18"/>
      <c r="P5315" s="13"/>
      <c r="Q5315" s="13"/>
      <c r="R5315" s="13"/>
      <c r="S5315" s="13"/>
      <c r="T5315" s="15"/>
      <c r="U5315" s="46" t="str">
        <f t="shared" si="2238"/>
        <v/>
      </c>
      <c r="V5315" s="46" t="str">
        <f t="shared" si="2238"/>
        <v/>
      </c>
      <c r="W5315" s="46" t="str">
        <f t="shared" si="2238"/>
        <v/>
      </c>
      <c r="X5315" s="46" t="str">
        <f t="shared" si="2238"/>
        <v/>
      </c>
    </row>
    <row r="5316" spans="2:24" x14ac:dyDescent="0.25">
      <c r="B5316" s="11" t="str">
        <f t="shared" ref="B5316:B5327" si="2247">CONCATENATE("PRET","-",LEFT(P5316,2),UPPER(MID(P5316,4,3)),RIGHT(P5316,4))</f>
        <v>PRET-28JUL1899</v>
      </c>
      <c r="C5316" s="11" t="s">
        <v>3393</v>
      </c>
      <c r="D5316" s="11" t="s">
        <v>2103</v>
      </c>
      <c r="E5316" s="39" t="s">
        <v>5732</v>
      </c>
      <c r="F5316" s="11" t="s">
        <v>1700</v>
      </c>
      <c r="G5316" s="39" t="s">
        <v>5733</v>
      </c>
      <c r="J5316" s="17">
        <v>10</v>
      </c>
      <c r="K5316" s="17"/>
      <c r="L5316" s="7">
        <f t="shared" ref="L5316:L5327" si="2248">SUM(H5316:K5316)</f>
        <v>10</v>
      </c>
      <c r="M5316" s="8">
        <v>1</v>
      </c>
      <c r="N5316" s="8">
        <f t="shared" ref="N5316:N5327" si="2249">IF(L5316&gt;0,1,"")</f>
        <v>1</v>
      </c>
      <c r="O5316" s="11" t="s">
        <v>1702</v>
      </c>
      <c r="P5316" s="16" t="str">
        <f t="shared" ref="P5316:P5327" si="2250">IF(LEN(G5316)=10,CONCATENATE("0",G5316),G5316)</f>
        <v>28-Jul-1899</v>
      </c>
      <c r="R5316" s="16" t="str">
        <f t="shared" ref="R5316:S5320" si="2251">IF($L5316&gt;0,"x","")</f>
        <v>x</v>
      </c>
      <c r="S5316" s="16" t="str">
        <f t="shared" si="2251"/>
        <v>x</v>
      </c>
      <c r="U5316" s="46" t="str">
        <f t="shared" si="2238"/>
        <v/>
      </c>
      <c r="V5316" s="46">
        <f t="shared" si="2238"/>
        <v>10</v>
      </c>
      <c r="W5316" s="46" t="str">
        <f t="shared" si="2238"/>
        <v/>
      </c>
      <c r="X5316" s="46" t="str">
        <f t="shared" si="2238"/>
        <v/>
      </c>
    </row>
    <row r="5317" spans="2:24" x14ac:dyDescent="0.25">
      <c r="B5317" s="11" t="str">
        <f>CONCATENATE("PRET","-",LEFT(P5317,2),UPPER(MID(P5317,4,3)),RIGHT(P5317,4))</f>
        <v>PRET-03DEC1899</v>
      </c>
      <c r="C5317" s="11" t="s">
        <v>3393</v>
      </c>
      <c r="D5317" s="11" t="s">
        <v>2103</v>
      </c>
      <c r="E5317" s="39" t="s">
        <v>5141</v>
      </c>
      <c r="F5317" s="11" t="s">
        <v>1700</v>
      </c>
      <c r="G5317" s="39" t="s">
        <v>307</v>
      </c>
      <c r="J5317" s="17">
        <v>6</v>
      </c>
      <c r="K5317" s="17"/>
      <c r="L5317" s="7">
        <f>SUM(H5317:K5317)</f>
        <v>6</v>
      </c>
      <c r="M5317" s="8">
        <v>1</v>
      </c>
      <c r="N5317" s="8">
        <f>IF(L5317&gt;0,1,"")</f>
        <v>1</v>
      </c>
      <c r="O5317" s="11" t="s">
        <v>1702</v>
      </c>
      <c r="P5317" s="16" t="str">
        <f>IF(LEN(G5317)=10,CONCATENATE("0",G5317),G5317)</f>
        <v>03-Dec-1899</v>
      </c>
      <c r="R5317" s="16" t="str">
        <f>IF($L5317&gt;0,"x","")</f>
        <v>x</v>
      </c>
      <c r="S5317" s="16" t="str">
        <f>IF($L5317&gt;0,"x","")</f>
        <v>x</v>
      </c>
      <c r="U5317" s="46" t="str">
        <f t="shared" si="2238"/>
        <v/>
      </c>
      <c r="V5317" s="46">
        <f t="shared" si="2238"/>
        <v>6</v>
      </c>
      <c r="W5317" s="46" t="str">
        <f t="shared" si="2238"/>
        <v/>
      </c>
      <c r="X5317" s="46" t="str">
        <f t="shared" si="2238"/>
        <v/>
      </c>
    </row>
    <row r="5318" spans="2:24" x14ac:dyDescent="0.25">
      <c r="B5318" s="11" t="str">
        <f>CONCATENATE("PRET","-",LEFT(P5318,2),UPPER(MID(P5318,4,3)),RIGHT(P5318,4))</f>
        <v>PRET-06OCT1900</v>
      </c>
      <c r="C5318" s="11" t="s">
        <v>3393</v>
      </c>
      <c r="D5318" s="11" t="s">
        <v>2103</v>
      </c>
      <c r="E5318" s="39" t="s">
        <v>5781</v>
      </c>
      <c r="F5318" s="11" t="s">
        <v>1700</v>
      </c>
      <c r="G5318" s="39" t="s">
        <v>1617</v>
      </c>
      <c r="J5318" s="17">
        <v>9</v>
      </c>
      <c r="K5318" s="17"/>
      <c r="L5318" s="7">
        <f>SUM(H5318:K5318)</f>
        <v>9</v>
      </c>
      <c r="M5318" s="8">
        <v>1</v>
      </c>
      <c r="N5318" s="8">
        <f>IF(L5318&gt;0,1,"")</f>
        <v>1</v>
      </c>
      <c r="O5318" s="11" t="s">
        <v>1702</v>
      </c>
      <c r="P5318" s="16" t="str">
        <f>IF(LEN(G5318)=10,CONCATENATE("0",G5318),G5318)</f>
        <v>06-Oct-1900</v>
      </c>
      <c r="R5318" s="16" t="str">
        <f t="shared" si="2251"/>
        <v>x</v>
      </c>
      <c r="S5318" s="16" t="str">
        <f t="shared" si="2251"/>
        <v>x</v>
      </c>
      <c r="U5318" s="46" t="str">
        <f t="shared" ref="U5318:X5320" si="2252">IF($O5318=U$5,$L5318,"")</f>
        <v/>
      </c>
      <c r="V5318" s="46">
        <f t="shared" si="2252"/>
        <v>9</v>
      </c>
      <c r="W5318" s="46" t="str">
        <f t="shared" si="2252"/>
        <v/>
      </c>
      <c r="X5318" s="46" t="str">
        <f t="shared" si="2252"/>
        <v/>
      </c>
    </row>
    <row r="5319" spans="2:24" x14ac:dyDescent="0.25">
      <c r="B5319" s="11" t="str">
        <f>CONCATENATE("PRET","-",LEFT(P5319,2),UPPER(MID(P5319,4,3)),RIGHT(P5319,4))</f>
        <v>PRET-02JAN1901</v>
      </c>
      <c r="C5319" s="11" t="s">
        <v>3393</v>
      </c>
      <c r="D5319" s="11" t="s">
        <v>2103</v>
      </c>
      <c r="E5319" s="39" t="s">
        <v>326</v>
      </c>
      <c r="F5319" s="11" t="s">
        <v>1700</v>
      </c>
      <c r="G5319" s="39" t="s">
        <v>6050</v>
      </c>
      <c r="J5319" s="17">
        <v>16</v>
      </c>
      <c r="K5319" s="17"/>
      <c r="L5319" s="7">
        <f>SUM(H5319:K5319)</f>
        <v>16</v>
      </c>
      <c r="M5319" s="8">
        <v>1</v>
      </c>
      <c r="N5319" s="8">
        <f>IF(L5319&gt;0,1,"")</f>
        <v>1</v>
      </c>
      <c r="O5319" s="11" t="s">
        <v>1702</v>
      </c>
      <c r="P5319" s="16" t="str">
        <f>IF(LEN(G5319)=10,CONCATENATE("0",G5319),G5319)</f>
        <v>02-Jan-1901</v>
      </c>
      <c r="R5319" s="16" t="str">
        <f t="shared" si="2251"/>
        <v>x</v>
      </c>
      <c r="S5319" s="16" t="str">
        <f t="shared" si="2251"/>
        <v>x</v>
      </c>
      <c r="U5319" s="46" t="str">
        <f t="shared" si="2252"/>
        <v/>
      </c>
      <c r="V5319" s="46">
        <f t="shared" si="2252"/>
        <v>16</v>
      </c>
      <c r="W5319" s="46" t="str">
        <f t="shared" si="2252"/>
        <v/>
      </c>
      <c r="X5319" s="46" t="str">
        <f t="shared" si="2252"/>
        <v/>
      </c>
    </row>
    <row r="5320" spans="2:24" x14ac:dyDescent="0.25">
      <c r="B5320" s="11" t="str">
        <f t="shared" si="2247"/>
        <v>PRET-17FEB1901</v>
      </c>
      <c r="C5320" s="11" t="s">
        <v>3393</v>
      </c>
      <c r="D5320" s="11" t="s">
        <v>2103</v>
      </c>
      <c r="E5320" s="39" t="s">
        <v>705</v>
      </c>
      <c r="F5320" s="11" t="s">
        <v>1700</v>
      </c>
      <c r="G5320" s="39" t="s">
        <v>3794</v>
      </c>
      <c r="J5320" s="17">
        <v>24</v>
      </c>
      <c r="K5320" s="17"/>
      <c r="L5320" s="7">
        <f t="shared" si="2248"/>
        <v>24</v>
      </c>
      <c r="M5320" s="8">
        <v>1</v>
      </c>
      <c r="N5320" s="8">
        <f t="shared" si="2249"/>
        <v>1</v>
      </c>
      <c r="O5320" s="11" t="s">
        <v>1702</v>
      </c>
      <c r="P5320" s="16" t="str">
        <f t="shared" si="2250"/>
        <v>17-Feb-1901</v>
      </c>
      <c r="R5320" s="16" t="str">
        <f t="shared" si="2251"/>
        <v>x</v>
      </c>
      <c r="S5320" s="16" t="str">
        <f t="shared" si="2251"/>
        <v>x</v>
      </c>
      <c r="U5320" s="46" t="str">
        <f t="shared" si="2252"/>
        <v/>
      </c>
      <c r="V5320" s="46">
        <f t="shared" si="2252"/>
        <v>24</v>
      </c>
      <c r="W5320" s="46" t="str">
        <f t="shared" si="2252"/>
        <v/>
      </c>
      <c r="X5320" s="46" t="str">
        <f t="shared" si="2252"/>
        <v/>
      </c>
    </row>
    <row r="5321" spans="2:24" x14ac:dyDescent="0.25">
      <c r="B5321" s="11" t="str">
        <f t="shared" si="2247"/>
        <v>PRET-02NOV1901</v>
      </c>
      <c r="C5321" s="11" t="s">
        <v>3393</v>
      </c>
      <c r="D5321" s="11" t="s">
        <v>2103</v>
      </c>
      <c r="E5321" s="39" t="s">
        <v>3392</v>
      </c>
      <c r="F5321" s="11" t="s">
        <v>1700</v>
      </c>
      <c r="G5321" s="39" t="s">
        <v>1368</v>
      </c>
      <c r="J5321" s="17">
        <v>7</v>
      </c>
      <c r="K5321" s="17"/>
      <c r="L5321" s="7">
        <f t="shared" si="2248"/>
        <v>7</v>
      </c>
      <c r="M5321" s="8">
        <v>1</v>
      </c>
      <c r="N5321" s="8">
        <f t="shared" si="2249"/>
        <v>1</v>
      </c>
      <c r="O5321" s="11" t="s">
        <v>1702</v>
      </c>
      <c r="P5321" s="16" t="str">
        <f t="shared" si="2250"/>
        <v>02-Nov-1901</v>
      </c>
      <c r="R5321" s="16" t="str">
        <f t="shared" ref="R5321:S5326" si="2253">IF($L5321&gt;0,"x","")</f>
        <v>x</v>
      </c>
      <c r="S5321" s="16" t="str">
        <f t="shared" si="2253"/>
        <v>x</v>
      </c>
      <c r="U5321" s="46" t="str">
        <f t="shared" ref="U5321:X5322" si="2254">IF($O5321=U$5,$L5321,"")</f>
        <v/>
      </c>
      <c r="V5321" s="46">
        <f t="shared" si="2254"/>
        <v>7</v>
      </c>
      <c r="W5321" s="46" t="str">
        <f t="shared" si="2254"/>
        <v/>
      </c>
      <c r="X5321" s="46" t="str">
        <f t="shared" si="2254"/>
        <v/>
      </c>
    </row>
    <row r="5322" spans="2:24" x14ac:dyDescent="0.25">
      <c r="B5322" s="11" t="str">
        <f t="shared" si="2247"/>
        <v>PRET-11JUN1903</v>
      </c>
      <c r="C5322" s="11" t="s">
        <v>3393</v>
      </c>
      <c r="D5322" s="11" t="s">
        <v>2103</v>
      </c>
      <c r="E5322" s="39" t="s">
        <v>1385</v>
      </c>
      <c r="F5322" s="11" t="s">
        <v>1700</v>
      </c>
      <c r="G5322" s="39" t="s">
        <v>4834</v>
      </c>
      <c r="J5322" s="17">
        <v>8</v>
      </c>
      <c r="K5322" s="17"/>
      <c r="L5322" s="7">
        <f t="shared" si="2248"/>
        <v>8</v>
      </c>
      <c r="M5322" s="8">
        <v>1</v>
      </c>
      <c r="N5322" s="8">
        <f t="shared" si="2249"/>
        <v>1</v>
      </c>
      <c r="O5322" s="11" t="s">
        <v>1702</v>
      </c>
      <c r="P5322" s="16" t="str">
        <f t="shared" si="2250"/>
        <v>11-Jun-1903</v>
      </c>
      <c r="R5322" s="16" t="str">
        <f t="shared" si="2253"/>
        <v>x</v>
      </c>
      <c r="S5322" s="16" t="str">
        <f t="shared" si="2253"/>
        <v>x</v>
      </c>
      <c r="U5322" s="46" t="str">
        <f t="shared" si="2254"/>
        <v/>
      </c>
      <c r="V5322" s="46">
        <f t="shared" si="2254"/>
        <v>8</v>
      </c>
      <c r="W5322" s="46" t="str">
        <f t="shared" si="2254"/>
        <v/>
      </c>
      <c r="X5322" s="46" t="str">
        <f t="shared" si="2254"/>
        <v/>
      </c>
    </row>
    <row r="5323" spans="2:24" x14ac:dyDescent="0.25">
      <c r="B5323" s="11" t="str">
        <f>CONCATENATE("PRET","-",LEFT(P5323,2),UPPER(MID(P5323,4,3)),RIGHT(P5323,4))</f>
        <v>PRET-19NOV1904</v>
      </c>
      <c r="C5323" s="11" t="s">
        <v>3393</v>
      </c>
      <c r="D5323" s="11" t="s">
        <v>2103</v>
      </c>
      <c r="E5323" s="39" t="s">
        <v>6314</v>
      </c>
      <c r="F5323" s="11" t="s">
        <v>1700</v>
      </c>
      <c r="G5323" s="39" t="s">
        <v>1411</v>
      </c>
      <c r="H5323" s="7">
        <v>0</v>
      </c>
      <c r="I5323" s="7">
        <v>0</v>
      </c>
      <c r="J5323" s="17">
        <v>5</v>
      </c>
      <c r="K5323" s="17"/>
      <c r="L5323" s="7">
        <f>SUM(H5323:K5323)</f>
        <v>5</v>
      </c>
      <c r="M5323" s="8">
        <v>1</v>
      </c>
      <c r="N5323" s="8">
        <f>IF(L5323&gt;0,1,"")</f>
        <v>1</v>
      </c>
      <c r="O5323" s="11" t="s">
        <v>1702</v>
      </c>
      <c r="P5323" s="16" t="str">
        <f>IF(LEN(G5323)=10,CONCATENATE("0",G5323),G5323)</f>
        <v>19-Nov-1904</v>
      </c>
      <c r="R5323" s="16" t="str">
        <f t="shared" si="2253"/>
        <v>x</v>
      </c>
      <c r="S5323" s="16" t="str">
        <f t="shared" si="2253"/>
        <v>x</v>
      </c>
      <c r="U5323" s="46" t="str">
        <f t="shared" ref="U5323:X5325" si="2255">IF($O5323=U$5,$L5323,"")</f>
        <v/>
      </c>
      <c r="V5323" s="46">
        <f t="shared" si="2255"/>
        <v>5</v>
      </c>
      <c r="W5323" s="46" t="str">
        <f t="shared" si="2255"/>
        <v/>
      </c>
      <c r="X5323" s="46" t="str">
        <f t="shared" si="2255"/>
        <v/>
      </c>
    </row>
    <row r="5324" spans="2:24" x14ac:dyDescent="0.25">
      <c r="B5324" s="11" t="str">
        <f>CONCATENATE("PRET","-",LEFT(P5324,2),UPPER(MID(P5324,4,3)),RIGHT(P5324,4))</f>
        <v>PRET-16SEP1905</v>
      </c>
      <c r="C5324" s="11" t="s">
        <v>3393</v>
      </c>
      <c r="D5324" s="11" t="s">
        <v>2103</v>
      </c>
      <c r="E5324" s="39" t="s">
        <v>5831</v>
      </c>
      <c r="F5324" s="11" t="s">
        <v>1700</v>
      </c>
      <c r="G5324" s="39" t="s">
        <v>2639</v>
      </c>
      <c r="H5324" s="7">
        <v>0</v>
      </c>
      <c r="I5324" s="7">
        <v>0</v>
      </c>
      <c r="J5324" s="17">
        <v>7</v>
      </c>
      <c r="K5324" s="17"/>
      <c r="L5324" s="7">
        <f>SUM(H5324:K5324)</f>
        <v>7</v>
      </c>
      <c r="M5324" s="8">
        <v>1</v>
      </c>
      <c r="N5324" s="8">
        <f>IF(L5324&gt;0,1,"")</f>
        <v>1</v>
      </c>
      <c r="O5324" s="11" t="s">
        <v>1702</v>
      </c>
      <c r="P5324" s="16" t="str">
        <f>IF(LEN(G5324)=10,CONCATENATE("0",G5324),G5324)</f>
        <v>16-Sep-1905</v>
      </c>
      <c r="R5324" s="16" t="str">
        <f t="shared" si="2253"/>
        <v>x</v>
      </c>
      <c r="S5324" s="16" t="str">
        <f t="shared" si="2253"/>
        <v>x</v>
      </c>
      <c r="T5324" s="11"/>
      <c r="U5324" s="46" t="str">
        <f t="shared" si="2255"/>
        <v/>
      </c>
      <c r="V5324" s="46">
        <f t="shared" si="2255"/>
        <v>7</v>
      </c>
      <c r="W5324" s="46" t="str">
        <f t="shared" si="2255"/>
        <v/>
      </c>
      <c r="X5324" s="46" t="str">
        <f t="shared" si="2255"/>
        <v/>
      </c>
    </row>
    <row r="5325" spans="2:24" x14ac:dyDescent="0.25">
      <c r="B5325" s="11" t="str">
        <f>CONCATENATE("PRET","-",LEFT(P5325,2),UPPER(MID(P5325,4,3)),RIGHT(P5325,4))</f>
        <v>PRET-28OCT1905</v>
      </c>
      <c r="C5325" s="11" t="s">
        <v>3393</v>
      </c>
      <c r="D5325" s="11" t="s">
        <v>2103</v>
      </c>
      <c r="E5325" s="39" t="s">
        <v>1415</v>
      </c>
      <c r="F5325" s="11" t="s">
        <v>1700</v>
      </c>
      <c r="G5325" s="39" t="s">
        <v>795</v>
      </c>
      <c r="H5325" s="7">
        <v>0</v>
      </c>
      <c r="I5325" s="7">
        <v>0</v>
      </c>
      <c r="J5325" s="17">
        <v>11</v>
      </c>
      <c r="K5325" s="17"/>
      <c r="L5325" s="7">
        <f>SUM(H5325:K5325)</f>
        <v>11</v>
      </c>
      <c r="M5325" s="8">
        <v>1</v>
      </c>
      <c r="N5325" s="8">
        <f>IF(L5325&gt;0,1,"")</f>
        <v>1</v>
      </c>
      <c r="O5325" s="11" t="s">
        <v>1702</v>
      </c>
      <c r="P5325" s="16" t="str">
        <f>IF(LEN(G5325)=10,CONCATENATE("0",G5325),G5325)</f>
        <v>28-Oct-1905</v>
      </c>
      <c r="R5325" s="16" t="str">
        <f t="shared" si="2253"/>
        <v>x</v>
      </c>
      <c r="S5325" s="16" t="str">
        <f t="shared" si="2253"/>
        <v>x</v>
      </c>
      <c r="T5325" s="11"/>
      <c r="U5325" s="46" t="str">
        <f t="shared" si="2255"/>
        <v/>
      </c>
      <c r="V5325" s="46">
        <f t="shared" si="2255"/>
        <v>11</v>
      </c>
      <c r="W5325" s="46" t="str">
        <f t="shared" si="2255"/>
        <v/>
      </c>
      <c r="X5325" s="46" t="str">
        <f t="shared" si="2255"/>
        <v/>
      </c>
    </row>
    <row r="5326" spans="2:24" x14ac:dyDescent="0.25">
      <c r="B5326" s="11" t="str">
        <f t="shared" si="2247"/>
        <v>PRET-15NOV1907</v>
      </c>
      <c r="C5326" s="11" t="s">
        <v>3393</v>
      </c>
      <c r="D5326" s="11" t="s">
        <v>2103</v>
      </c>
      <c r="E5326" s="39" t="s">
        <v>3491</v>
      </c>
      <c r="F5326" s="11" t="s">
        <v>1700</v>
      </c>
      <c r="G5326" s="39" t="s">
        <v>3701</v>
      </c>
      <c r="H5326" s="7">
        <v>0</v>
      </c>
      <c r="I5326" s="7">
        <v>0</v>
      </c>
      <c r="J5326" s="17">
        <v>18</v>
      </c>
      <c r="K5326" s="17"/>
      <c r="L5326" s="7">
        <f t="shared" si="2248"/>
        <v>18</v>
      </c>
      <c r="M5326" s="8">
        <v>1</v>
      </c>
      <c r="N5326" s="8">
        <f t="shared" si="2249"/>
        <v>1</v>
      </c>
      <c r="O5326" s="11" t="s">
        <v>1702</v>
      </c>
      <c r="P5326" s="16" t="str">
        <f t="shared" si="2250"/>
        <v>15-Nov-1907</v>
      </c>
      <c r="R5326" s="16" t="str">
        <f t="shared" si="2253"/>
        <v>x</v>
      </c>
      <c r="S5326" s="16" t="str">
        <f t="shared" si="2253"/>
        <v>x</v>
      </c>
      <c r="U5326" s="46" t="str">
        <f t="shared" ref="U5326:X5339" si="2256">IF($O5326=U$5,$L5326,"")</f>
        <v/>
      </c>
      <c r="V5326" s="46">
        <f t="shared" si="2256"/>
        <v>18</v>
      </c>
      <c r="W5326" s="46" t="str">
        <f t="shared" si="2256"/>
        <v/>
      </c>
      <c r="X5326" s="46" t="str">
        <f t="shared" si="2256"/>
        <v/>
      </c>
    </row>
    <row r="5327" spans="2:24" x14ac:dyDescent="0.25">
      <c r="B5327" s="11" t="str">
        <f t="shared" si="2247"/>
        <v>PRET-23MAY1913</v>
      </c>
      <c r="C5327" s="11" t="s">
        <v>3393</v>
      </c>
      <c r="D5327" s="11" t="s">
        <v>3134</v>
      </c>
      <c r="E5327" s="39" t="s">
        <v>5232</v>
      </c>
      <c r="F5327" s="11" t="s">
        <v>1700</v>
      </c>
      <c r="G5327" s="39" t="s">
        <v>4477</v>
      </c>
      <c r="I5327" s="7">
        <v>0</v>
      </c>
      <c r="J5327" s="17">
        <v>7</v>
      </c>
      <c r="K5327" s="17"/>
      <c r="L5327" s="7">
        <f t="shared" si="2248"/>
        <v>7</v>
      </c>
      <c r="M5327" s="8">
        <v>1</v>
      </c>
      <c r="N5327" s="8">
        <f t="shared" si="2249"/>
        <v>1</v>
      </c>
      <c r="O5327" s="11" t="s">
        <v>1702</v>
      </c>
      <c r="P5327" s="16" t="str">
        <f t="shared" si="2250"/>
        <v>23-May-1913</v>
      </c>
      <c r="R5327" s="16" t="str">
        <f>IF($L5327&gt;0,"x","")</f>
        <v>x</v>
      </c>
      <c r="S5327" s="16" t="str">
        <f>IF($L5327&gt;0,"x","")</f>
        <v>x</v>
      </c>
      <c r="U5327" s="46" t="str">
        <f t="shared" si="2256"/>
        <v/>
      </c>
      <c r="V5327" s="46">
        <f t="shared" si="2256"/>
        <v>7</v>
      </c>
      <c r="W5327" s="46" t="str">
        <f t="shared" si="2256"/>
        <v/>
      </c>
      <c r="X5327" s="46" t="str">
        <f t="shared" si="2256"/>
        <v/>
      </c>
    </row>
    <row r="5328" spans="2:24" x14ac:dyDescent="0.25">
      <c r="N5328" s="8" t="str">
        <f>IF(R5328="x",1,"")</f>
        <v/>
      </c>
      <c r="U5328" s="46" t="str">
        <f t="shared" si="2256"/>
        <v/>
      </c>
      <c r="V5328" s="46" t="str">
        <f t="shared" si="2256"/>
        <v/>
      </c>
      <c r="W5328" s="46" t="str">
        <f t="shared" si="2256"/>
        <v/>
      </c>
      <c r="X5328" s="46" t="str">
        <f t="shared" si="2256"/>
        <v/>
      </c>
    </row>
    <row r="5329" spans="2:24" x14ac:dyDescent="0.25">
      <c r="B5329" s="18"/>
      <c r="C5329" s="18"/>
      <c r="D5329" s="18"/>
      <c r="E5329" s="40"/>
      <c r="F5329" s="18"/>
      <c r="G5329" s="40"/>
      <c r="H5329" s="7">
        <f t="shared" ref="H5329:N5329" si="2257">SUM(H5316:H5328)</f>
        <v>0</v>
      </c>
      <c r="I5329" s="7">
        <f t="shared" si="2257"/>
        <v>0</v>
      </c>
      <c r="J5329" s="7">
        <f>SUM(J5316:J5328)</f>
        <v>128</v>
      </c>
      <c r="K5329" s="7">
        <f t="shared" si="2257"/>
        <v>0</v>
      </c>
      <c r="L5329" s="7">
        <f t="shared" si="2257"/>
        <v>128</v>
      </c>
      <c r="M5329" s="7">
        <f t="shared" si="2257"/>
        <v>12</v>
      </c>
      <c r="N5329" s="7">
        <f t="shared" si="2257"/>
        <v>12</v>
      </c>
      <c r="O5329" s="18"/>
      <c r="P5329" s="13"/>
      <c r="Q5329" s="13"/>
      <c r="S5329" s="13"/>
      <c r="T5329" s="15"/>
      <c r="U5329" s="46" t="str">
        <f t="shared" si="2256"/>
        <v/>
      </c>
      <c r="V5329" s="46" t="str">
        <f t="shared" si="2256"/>
        <v/>
      </c>
      <c r="W5329" s="46" t="str">
        <f t="shared" si="2256"/>
        <v/>
      </c>
      <c r="X5329" s="46" t="str">
        <f t="shared" si="2256"/>
        <v/>
      </c>
    </row>
    <row r="5330" spans="2:24" x14ac:dyDescent="0.25">
      <c r="B5330" s="18"/>
      <c r="C5330" s="18"/>
      <c r="D5330" s="18"/>
      <c r="E5330" s="40"/>
      <c r="F5330" s="18"/>
      <c r="G5330" s="40"/>
      <c r="N5330" s="8" t="str">
        <f>IF(R5330="x",1,"")</f>
        <v/>
      </c>
      <c r="O5330" s="18"/>
      <c r="P5330" s="13"/>
      <c r="Q5330" s="13"/>
      <c r="R5330" s="13"/>
      <c r="S5330" s="13"/>
      <c r="T5330" s="15"/>
      <c r="U5330" s="46" t="str">
        <f t="shared" si="2256"/>
        <v/>
      </c>
      <c r="V5330" s="46" t="str">
        <f t="shared" si="2256"/>
        <v/>
      </c>
      <c r="W5330" s="46" t="str">
        <f t="shared" si="2256"/>
        <v/>
      </c>
      <c r="X5330" s="46" t="str">
        <f t="shared" si="2256"/>
        <v/>
      </c>
    </row>
    <row r="5331" spans="2:24" x14ac:dyDescent="0.25">
      <c r="B5331" s="18"/>
      <c r="C5331" s="18"/>
      <c r="D5331" s="18"/>
      <c r="E5331" s="40"/>
      <c r="F5331" s="18"/>
      <c r="G5331" s="40"/>
      <c r="N5331" s="8" t="str">
        <f>IF(R5331="x",1,"")</f>
        <v/>
      </c>
      <c r="O5331" s="18"/>
      <c r="P5331" s="13"/>
      <c r="Q5331" s="13"/>
      <c r="R5331" s="13"/>
      <c r="S5331" s="13"/>
      <c r="T5331" s="15"/>
      <c r="U5331" s="46" t="str">
        <f t="shared" si="2256"/>
        <v/>
      </c>
      <c r="V5331" s="46" t="str">
        <f t="shared" si="2256"/>
        <v/>
      </c>
      <c r="W5331" s="46" t="str">
        <f t="shared" si="2256"/>
        <v/>
      </c>
      <c r="X5331" s="46" t="str">
        <f t="shared" si="2256"/>
        <v/>
      </c>
    </row>
    <row r="5332" spans="2:24" x14ac:dyDescent="0.25">
      <c r="B5332" s="11" t="str">
        <f>CONCATENATE("PRTN","-",LEFT(P5332,2),UPPER(MID(P5332,4,3)),RIGHT(P5332,4))</f>
        <v>PRTN-11MAY1902</v>
      </c>
      <c r="C5332" s="11" t="s">
        <v>4050</v>
      </c>
      <c r="D5332" s="11" t="s">
        <v>2097</v>
      </c>
      <c r="E5332" s="39" t="s">
        <v>4051</v>
      </c>
      <c r="F5332" s="11" t="s">
        <v>2813</v>
      </c>
      <c r="G5332" s="39" t="s">
        <v>4052</v>
      </c>
      <c r="H5332" s="7">
        <v>0</v>
      </c>
      <c r="I5332" s="7">
        <v>0</v>
      </c>
      <c r="J5332" s="17">
        <v>2</v>
      </c>
      <c r="K5332" s="17"/>
      <c r="L5332" s="7">
        <f>SUM(H5332:K5332)</f>
        <v>2</v>
      </c>
      <c r="M5332" s="8">
        <v>1</v>
      </c>
      <c r="N5332" s="8">
        <f>IF(L5332&gt;0,1,"")</f>
        <v>1</v>
      </c>
      <c r="O5332" s="11" t="s">
        <v>1702</v>
      </c>
      <c r="P5332" s="16" t="str">
        <f>IF(LEN(G5332)=10,CONCATENATE("0",G5332),G5332)</f>
        <v>11-May-1902</v>
      </c>
      <c r="R5332" s="16" t="str">
        <f>IF($L5332&gt;0,"x","")</f>
        <v>x</v>
      </c>
      <c r="S5332" s="16" t="str">
        <f>IF($L5332&gt;0,"x","")</f>
        <v>x</v>
      </c>
      <c r="U5332" s="46" t="str">
        <f t="shared" si="2256"/>
        <v/>
      </c>
      <c r="V5332" s="46">
        <f t="shared" si="2256"/>
        <v>2</v>
      </c>
      <c r="W5332" s="46" t="str">
        <f t="shared" si="2256"/>
        <v/>
      </c>
      <c r="X5332" s="46" t="str">
        <f t="shared" si="2256"/>
        <v/>
      </c>
    </row>
    <row r="5333" spans="2:24" x14ac:dyDescent="0.25">
      <c r="B5333" s="11" t="str">
        <f>CONCATENATE("PRTN","-",LEFT(P5333,2),UPPER(MID(P5333,4,3)),RIGHT(P5333,4))</f>
        <v>PRTN-20FEB1907</v>
      </c>
      <c r="C5333" s="11" t="s">
        <v>4050</v>
      </c>
      <c r="D5333" s="11" t="s">
        <v>2097</v>
      </c>
      <c r="E5333" s="39" t="s">
        <v>5913</v>
      </c>
      <c r="F5333" s="11" t="s">
        <v>2904</v>
      </c>
      <c r="G5333" s="39" t="s">
        <v>4944</v>
      </c>
      <c r="I5333" s="7">
        <v>0</v>
      </c>
      <c r="J5333" s="17">
        <v>18</v>
      </c>
      <c r="K5333" s="17"/>
      <c r="L5333" s="7">
        <f>SUM(H5333:K5333)</f>
        <v>18</v>
      </c>
      <c r="M5333" s="8">
        <v>1</v>
      </c>
      <c r="N5333" s="8">
        <f>IF(L5333&gt;0,1,"")</f>
        <v>1</v>
      </c>
      <c r="O5333" s="11" t="s">
        <v>1702</v>
      </c>
      <c r="P5333" s="16" t="str">
        <f>IF(LEN(G5333)=10,CONCATENATE("0",G5333),G5333)</f>
        <v>20-Feb-1907</v>
      </c>
      <c r="R5333" s="16" t="str">
        <f>IF($L5333&gt;0,"x","")</f>
        <v>x</v>
      </c>
      <c r="S5333" s="16" t="str">
        <f>IF($L5333&gt;0,"x","")</f>
        <v>x</v>
      </c>
      <c r="U5333" s="46" t="str">
        <f t="shared" si="2256"/>
        <v/>
      </c>
      <c r="V5333" s="46">
        <f t="shared" si="2256"/>
        <v>18</v>
      </c>
      <c r="W5333" s="46" t="str">
        <f t="shared" si="2256"/>
        <v/>
      </c>
      <c r="X5333" s="46" t="str">
        <f t="shared" si="2256"/>
        <v/>
      </c>
    </row>
    <row r="5334" spans="2:24" x14ac:dyDescent="0.25">
      <c r="B5334" s="11" t="str">
        <f>CONCATENATE("PRTN","-",LEFT(P5334,2),UPPER(MID(P5334,4,3)),RIGHT(P5334,4))</f>
        <v>PRTN-18MAY1911</v>
      </c>
      <c r="C5334" s="11" t="s">
        <v>4050</v>
      </c>
      <c r="D5334" s="11" t="s">
        <v>1699</v>
      </c>
      <c r="E5334" s="39" t="s">
        <v>4467</v>
      </c>
      <c r="F5334" s="11" t="s">
        <v>2813</v>
      </c>
      <c r="G5334" s="39" t="s">
        <v>11423</v>
      </c>
      <c r="I5334" s="7">
        <v>0</v>
      </c>
      <c r="J5334" s="17">
        <v>4</v>
      </c>
      <c r="K5334" s="17"/>
      <c r="L5334" s="7">
        <f>SUM(H5334:K5334)</f>
        <v>4</v>
      </c>
      <c r="M5334" s="8">
        <v>1</v>
      </c>
      <c r="N5334" s="8">
        <f>IF(L5334&gt;0,1,"")</f>
        <v>1</v>
      </c>
      <c r="O5334" s="11" t="s">
        <v>1702</v>
      </c>
      <c r="P5334" s="16" t="str">
        <f>IF(LEN(G5334)=10,CONCATENATE("0",G5334),G5334)</f>
        <v>18-May-1911</v>
      </c>
      <c r="Q5334" s="80"/>
      <c r="S5334" s="16" t="str">
        <f>IF($L5334&gt;0,"x","")</f>
        <v>x</v>
      </c>
      <c r="U5334" s="46" t="str">
        <f t="shared" si="2256"/>
        <v/>
      </c>
      <c r="V5334" s="46">
        <f t="shared" si="2256"/>
        <v>4</v>
      </c>
      <c r="W5334" s="46" t="str">
        <f t="shared" si="2256"/>
        <v/>
      </c>
      <c r="X5334" s="46" t="str">
        <f t="shared" si="2256"/>
        <v/>
      </c>
    </row>
    <row r="5335" spans="2:24" x14ac:dyDescent="0.25">
      <c r="N5335" s="8" t="str">
        <f>IF(R5335="x",1,"")</f>
        <v/>
      </c>
      <c r="U5335" s="46" t="str">
        <f t="shared" si="2256"/>
        <v/>
      </c>
      <c r="V5335" s="46" t="str">
        <f t="shared" si="2256"/>
        <v/>
      </c>
      <c r="W5335" s="46" t="str">
        <f t="shared" si="2256"/>
        <v/>
      </c>
      <c r="X5335" s="46" t="str">
        <f t="shared" si="2256"/>
        <v/>
      </c>
    </row>
    <row r="5336" spans="2:24" x14ac:dyDescent="0.25">
      <c r="B5336" s="18"/>
      <c r="C5336" s="18"/>
      <c r="D5336" s="18"/>
      <c r="E5336" s="40"/>
      <c r="F5336" s="18"/>
      <c r="G5336" s="40"/>
      <c r="H5336" s="7">
        <f t="shared" ref="H5336:N5336" si="2258">SUM(H5332:H5335)</f>
        <v>0</v>
      </c>
      <c r="I5336" s="7">
        <f t="shared" si="2258"/>
        <v>0</v>
      </c>
      <c r="J5336" s="7">
        <f>SUM(J5332:J5335)</f>
        <v>24</v>
      </c>
      <c r="K5336" s="7">
        <f t="shared" si="2258"/>
        <v>0</v>
      </c>
      <c r="L5336" s="7">
        <f t="shared" si="2258"/>
        <v>24</v>
      </c>
      <c r="M5336" s="7">
        <f t="shared" si="2258"/>
        <v>3</v>
      </c>
      <c r="N5336" s="7">
        <f t="shared" si="2258"/>
        <v>3</v>
      </c>
      <c r="O5336" s="18"/>
      <c r="P5336" s="13"/>
      <c r="Q5336" s="13"/>
      <c r="S5336" s="13"/>
      <c r="T5336" s="15"/>
      <c r="U5336" s="46" t="str">
        <f t="shared" si="2256"/>
        <v/>
      </c>
      <c r="V5336" s="46" t="str">
        <f t="shared" si="2256"/>
        <v/>
      </c>
      <c r="W5336" s="46" t="str">
        <f t="shared" si="2256"/>
        <v/>
      </c>
      <c r="X5336" s="46" t="str">
        <f t="shared" si="2256"/>
        <v/>
      </c>
    </row>
    <row r="5337" spans="2:24" x14ac:dyDescent="0.25">
      <c r="B5337" s="18"/>
      <c r="C5337" s="18"/>
      <c r="D5337" s="18"/>
      <c r="E5337" s="40"/>
      <c r="F5337" s="18"/>
      <c r="G5337" s="40"/>
      <c r="N5337" s="8" t="str">
        <f>IF(R5337="x",1,"")</f>
        <v/>
      </c>
      <c r="O5337" s="18"/>
      <c r="P5337" s="13"/>
      <c r="Q5337" s="13"/>
      <c r="R5337" s="13"/>
      <c r="S5337" s="13"/>
      <c r="T5337" s="15"/>
      <c r="U5337" s="46" t="str">
        <f t="shared" si="2256"/>
        <v/>
      </c>
      <c r="V5337" s="46" t="str">
        <f t="shared" si="2256"/>
        <v/>
      </c>
      <c r="W5337" s="46" t="str">
        <f t="shared" si="2256"/>
        <v/>
      </c>
      <c r="X5337" s="46" t="str">
        <f t="shared" si="2256"/>
        <v/>
      </c>
    </row>
    <row r="5338" spans="2:24" x14ac:dyDescent="0.25">
      <c r="B5338" s="18"/>
      <c r="C5338" s="18"/>
      <c r="D5338" s="18"/>
      <c r="E5338" s="40"/>
      <c r="F5338" s="18"/>
      <c r="G5338" s="40"/>
      <c r="N5338" s="8" t="str">
        <f>IF(R5338="x",1,"")</f>
        <v/>
      </c>
      <c r="O5338" s="18"/>
      <c r="P5338" s="13"/>
      <c r="Q5338" s="13"/>
      <c r="R5338" s="13"/>
      <c r="S5338" s="13"/>
      <c r="T5338" s="15"/>
      <c r="U5338" s="46" t="str">
        <f t="shared" si="2256"/>
        <v/>
      </c>
      <c r="V5338" s="46" t="str">
        <f t="shared" si="2256"/>
        <v/>
      </c>
      <c r="W5338" s="46" t="str">
        <f t="shared" si="2256"/>
        <v/>
      </c>
      <c r="X5338" s="46" t="str">
        <f t="shared" si="2256"/>
        <v/>
      </c>
    </row>
    <row r="5339" spans="2:24" x14ac:dyDescent="0.25">
      <c r="B5339" s="11" t="str">
        <f t="shared" ref="B5339:B5345" si="2259">CONCATENATE("PRDP","-",LEFT(P5339,2),UPPER(MID(P5339,4,3)),RIGHT(P5339,4))</f>
        <v>PRDP-22JUL1909</v>
      </c>
      <c r="C5339" s="11" t="s">
        <v>3954</v>
      </c>
      <c r="D5339" s="11" t="s">
        <v>3007</v>
      </c>
      <c r="E5339" s="39" t="s">
        <v>3842</v>
      </c>
      <c r="F5339" s="11" t="s">
        <v>1700</v>
      </c>
      <c r="G5339" s="39" t="s">
        <v>4642</v>
      </c>
      <c r="H5339" s="7">
        <v>0</v>
      </c>
      <c r="J5339" s="17">
        <v>23</v>
      </c>
      <c r="K5339" s="17"/>
      <c r="L5339" s="7">
        <f t="shared" ref="L5339:L5345" si="2260">SUM(H5339:K5339)</f>
        <v>23</v>
      </c>
      <c r="M5339" s="8">
        <v>1</v>
      </c>
      <c r="N5339" s="8">
        <f t="shared" ref="N5339:N5345" si="2261">IF(L5339&gt;0,1,"")</f>
        <v>1</v>
      </c>
      <c r="O5339" s="11" t="s">
        <v>1702</v>
      </c>
      <c r="P5339" s="16" t="str">
        <f t="shared" ref="P5339:P5345" si="2262">IF(LEN(G5339)=10,CONCATENATE("0",G5339),G5339)</f>
        <v>22-Jul-1909</v>
      </c>
      <c r="R5339" s="16" t="str">
        <f t="shared" ref="R5339:S5345" si="2263">IF($L5339&gt;0,"x","")</f>
        <v>x</v>
      </c>
      <c r="S5339" s="16" t="str">
        <f t="shared" si="2263"/>
        <v>x</v>
      </c>
      <c r="U5339" s="46" t="str">
        <f t="shared" si="2256"/>
        <v/>
      </c>
      <c r="V5339" s="46">
        <f t="shared" si="2256"/>
        <v>23</v>
      </c>
      <c r="W5339" s="46" t="str">
        <f t="shared" si="2256"/>
        <v/>
      </c>
      <c r="X5339" s="46" t="str">
        <f t="shared" si="2256"/>
        <v/>
      </c>
    </row>
    <row r="5340" spans="2:24" x14ac:dyDescent="0.25">
      <c r="B5340" s="11" t="str">
        <f t="shared" si="2259"/>
        <v>PRDP-03APR1910</v>
      </c>
      <c r="C5340" s="11" t="s">
        <v>3954</v>
      </c>
      <c r="D5340" s="11" t="s">
        <v>3007</v>
      </c>
      <c r="E5340" s="39" t="s">
        <v>4825</v>
      </c>
      <c r="F5340" s="11" t="s">
        <v>1700</v>
      </c>
      <c r="G5340" s="39" t="s">
        <v>4826</v>
      </c>
      <c r="H5340" s="7">
        <v>0</v>
      </c>
      <c r="J5340" s="17">
        <v>2</v>
      </c>
      <c r="K5340" s="17"/>
      <c r="L5340" s="7">
        <f t="shared" si="2260"/>
        <v>2</v>
      </c>
      <c r="M5340" s="8">
        <v>1</v>
      </c>
      <c r="N5340" s="8">
        <f t="shared" si="2261"/>
        <v>1</v>
      </c>
      <c r="O5340" s="11" t="s">
        <v>1702</v>
      </c>
      <c r="P5340" s="16" t="str">
        <f t="shared" si="2262"/>
        <v>03-Apr-1910</v>
      </c>
      <c r="R5340" s="16" t="str">
        <f t="shared" si="2263"/>
        <v>x</v>
      </c>
      <c r="S5340" s="16" t="str">
        <f t="shared" si="2263"/>
        <v>x</v>
      </c>
      <c r="U5340" s="46" t="str">
        <f t="shared" ref="U5340:X5341" si="2264">IF($O5340=U$5,$L5340,"")</f>
        <v/>
      </c>
      <c r="V5340" s="46">
        <f t="shared" si="2264"/>
        <v>2</v>
      </c>
      <c r="W5340" s="46" t="str">
        <f t="shared" si="2264"/>
        <v/>
      </c>
      <c r="X5340" s="46" t="str">
        <f t="shared" si="2264"/>
        <v/>
      </c>
    </row>
    <row r="5341" spans="2:24" x14ac:dyDescent="0.25">
      <c r="B5341" s="11" t="str">
        <f t="shared" si="2259"/>
        <v>PRDP-05APR1911</v>
      </c>
      <c r="C5341" s="11" t="s">
        <v>3954</v>
      </c>
      <c r="D5341" s="11" t="s">
        <v>3007</v>
      </c>
      <c r="E5341" s="39" t="s">
        <v>1874</v>
      </c>
      <c r="F5341" s="11" t="s">
        <v>1700</v>
      </c>
      <c r="G5341" s="39" t="s">
        <v>3971</v>
      </c>
      <c r="H5341" s="7">
        <v>0</v>
      </c>
      <c r="J5341" s="17">
        <v>4</v>
      </c>
      <c r="K5341" s="17"/>
      <c r="L5341" s="7">
        <f t="shared" si="2260"/>
        <v>4</v>
      </c>
      <c r="M5341" s="8">
        <v>1</v>
      </c>
      <c r="N5341" s="8">
        <f t="shared" si="2261"/>
        <v>1</v>
      </c>
      <c r="O5341" s="11" t="s">
        <v>1702</v>
      </c>
      <c r="P5341" s="16" t="str">
        <f t="shared" si="2262"/>
        <v>05-Apr-1911</v>
      </c>
      <c r="R5341" s="16" t="str">
        <f t="shared" si="2263"/>
        <v>x</v>
      </c>
      <c r="S5341" s="16" t="str">
        <f t="shared" si="2263"/>
        <v>x</v>
      </c>
      <c r="U5341" s="46" t="str">
        <f t="shared" si="2264"/>
        <v/>
      </c>
      <c r="V5341" s="46">
        <f t="shared" si="2264"/>
        <v>4</v>
      </c>
      <c r="W5341" s="46" t="str">
        <f t="shared" si="2264"/>
        <v/>
      </c>
      <c r="X5341" s="46" t="str">
        <f t="shared" si="2264"/>
        <v/>
      </c>
    </row>
    <row r="5342" spans="2:24" x14ac:dyDescent="0.25">
      <c r="B5342" s="11" t="str">
        <f>CONCATENATE("PRDP","-",LEFT(P5342,2),UPPER(MID(P5342,4,3)),RIGHT(P5342,4))</f>
        <v>PRDP-20JUL1912</v>
      </c>
      <c r="C5342" s="11" t="s">
        <v>3954</v>
      </c>
      <c r="D5342" s="11" t="s">
        <v>3007</v>
      </c>
      <c r="E5342" s="39" t="s">
        <v>11440</v>
      </c>
      <c r="F5342" s="11" t="s">
        <v>1700</v>
      </c>
      <c r="G5342" s="39" t="s">
        <v>3862</v>
      </c>
      <c r="H5342" s="7">
        <v>3</v>
      </c>
      <c r="J5342" s="17">
        <v>24</v>
      </c>
      <c r="K5342" s="17"/>
      <c r="L5342" s="7">
        <f>SUM(H5342:K5342)</f>
        <v>27</v>
      </c>
      <c r="M5342" s="8">
        <v>1</v>
      </c>
      <c r="N5342" s="8">
        <f>IF(L5342&gt;0,1,"")</f>
        <v>1</v>
      </c>
      <c r="O5342" s="11" t="s">
        <v>1702</v>
      </c>
      <c r="P5342" s="16" t="str">
        <f>IF(LEN(G5342)=10,CONCATENATE("0",G5342),G5342)</f>
        <v>20-Jul-1912</v>
      </c>
      <c r="R5342" s="16" t="str">
        <f>IF($L5342&gt;0,"x","")</f>
        <v>x</v>
      </c>
      <c r="S5342" s="16" t="str">
        <f t="shared" si="2263"/>
        <v>x</v>
      </c>
      <c r="U5342" s="46" t="str">
        <f t="shared" ref="U5342:X5351" si="2265">IF($O5342=U$5,$L5342,"")</f>
        <v/>
      </c>
      <c r="V5342" s="46">
        <f t="shared" si="2265"/>
        <v>27</v>
      </c>
      <c r="W5342" s="46" t="str">
        <f t="shared" si="2265"/>
        <v/>
      </c>
      <c r="X5342" s="46" t="str">
        <f t="shared" si="2265"/>
        <v/>
      </c>
    </row>
    <row r="5343" spans="2:24" x14ac:dyDescent="0.25">
      <c r="B5343" s="11" t="str">
        <f t="shared" si="2259"/>
        <v>PRDP-20OCT1912</v>
      </c>
      <c r="C5343" s="11" t="s">
        <v>3954</v>
      </c>
      <c r="D5343" s="11" t="s">
        <v>3007</v>
      </c>
      <c r="E5343" s="39" t="s">
        <v>3369</v>
      </c>
      <c r="F5343" s="11" t="s">
        <v>1700</v>
      </c>
      <c r="G5343" s="39" t="s">
        <v>3955</v>
      </c>
      <c r="H5343" s="7">
        <v>0</v>
      </c>
      <c r="J5343" s="17">
        <v>37</v>
      </c>
      <c r="K5343" s="17"/>
      <c r="L5343" s="7">
        <f t="shared" si="2260"/>
        <v>37</v>
      </c>
      <c r="M5343" s="8">
        <v>1</v>
      </c>
      <c r="N5343" s="8">
        <f t="shared" si="2261"/>
        <v>1</v>
      </c>
      <c r="O5343" s="11" t="s">
        <v>1702</v>
      </c>
      <c r="P5343" s="16" t="str">
        <f t="shared" si="2262"/>
        <v>20-Oct-1912</v>
      </c>
      <c r="R5343" s="16" t="str">
        <f>IF($L5343&gt;0,"x","")</f>
        <v>x</v>
      </c>
      <c r="S5343" s="16" t="str">
        <f>IF($L5343&gt;0,"x","")</f>
        <v>x</v>
      </c>
      <c r="U5343" s="46" t="str">
        <f t="shared" si="2265"/>
        <v/>
      </c>
      <c r="V5343" s="46">
        <f t="shared" si="2265"/>
        <v>37</v>
      </c>
      <c r="W5343" s="46" t="str">
        <f t="shared" si="2265"/>
        <v/>
      </c>
      <c r="X5343" s="46" t="str">
        <f t="shared" si="2265"/>
        <v/>
      </c>
    </row>
    <row r="5344" spans="2:24" x14ac:dyDescent="0.25">
      <c r="B5344" s="11" t="str">
        <f t="shared" si="2259"/>
        <v>PRDP-17JAN1913</v>
      </c>
      <c r="C5344" s="11" t="s">
        <v>3954</v>
      </c>
      <c r="D5344" s="11" t="s">
        <v>3007</v>
      </c>
      <c r="E5344" s="39" t="s">
        <v>5188</v>
      </c>
      <c r="F5344" s="11" t="s">
        <v>1700</v>
      </c>
      <c r="G5344" s="39" t="s">
        <v>5189</v>
      </c>
      <c r="H5344" s="7">
        <v>0</v>
      </c>
      <c r="J5344" s="17">
        <v>15</v>
      </c>
      <c r="K5344" s="17"/>
      <c r="L5344" s="7">
        <f t="shared" si="2260"/>
        <v>15</v>
      </c>
      <c r="M5344" s="8">
        <v>1</v>
      </c>
      <c r="N5344" s="8">
        <f t="shared" si="2261"/>
        <v>1</v>
      </c>
      <c r="O5344" s="11" t="s">
        <v>1702</v>
      </c>
      <c r="P5344" s="16" t="str">
        <f t="shared" si="2262"/>
        <v>17-Jan-1913</v>
      </c>
      <c r="R5344" s="16" t="str">
        <f t="shared" si="2263"/>
        <v>x</v>
      </c>
      <c r="S5344" s="16" t="str">
        <f t="shared" si="2263"/>
        <v>x</v>
      </c>
      <c r="U5344" s="46" t="str">
        <f t="shared" si="2265"/>
        <v/>
      </c>
      <c r="V5344" s="46">
        <f t="shared" si="2265"/>
        <v>15</v>
      </c>
      <c r="W5344" s="46" t="str">
        <f t="shared" si="2265"/>
        <v/>
      </c>
      <c r="X5344" s="46" t="str">
        <f t="shared" si="2265"/>
        <v/>
      </c>
    </row>
    <row r="5345" spans="2:24" x14ac:dyDescent="0.25">
      <c r="B5345" s="11" t="str">
        <f t="shared" si="2259"/>
        <v>PRDP-13JUN1913</v>
      </c>
      <c r="C5345" s="11" t="s">
        <v>3954</v>
      </c>
      <c r="D5345" s="11" t="s">
        <v>3007</v>
      </c>
      <c r="E5345" s="39" t="s">
        <v>3958</v>
      </c>
      <c r="F5345" s="11" t="s">
        <v>1700</v>
      </c>
      <c r="G5345" s="39" t="s">
        <v>3895</v>
      </c>
      <c r="H5345" s="7">
        <v>0</v>
      </c>
      <c r="J5345" s="17">
        <v>5</v>
      </c>
      <c r="K5345" s="17"/>
      <c r="L5345" s="7">
        <f t="shared" si="2260"/>
        <v>5</v>
      </c>
      <c r="M5345" s="8">
        <v>1</v>
      </c>
      <c r="N5345" s="8">
        <f t="shared" si="2261"/>
        <v>1</v>
      </c>
      <c r="O5345" s="11" t="s">
        <v>1702</v>
      </c>
      <c r="P5345" s="16" t="str">
        <f t="shared" si="2262"/>
        <v>13-Jun-1913</v>
      </c>
      <c r="R5345" s="16" t="str">
        <f t="shared" si="2263"/>
        <v>x</v>
      </c>
      <c r="S5345" s="16" t="str">
        <f t="shared" si="2263"/>
        <v>x</v>
      </c>
      <c r="U5345" s="46" t="str">
        <f t="shared" si="2265"/>
        <v/>
      </c>
      <c r="V5345" s="46">
        <f t="shared" si="2265"/>
        <v>5</v>
      </c>
      <c r="W5345" s="46" t="str">
        <f t="shared" si="2265"/>
        <v/>
      </c>
      <c r="X5345" s="46" t="str">
        <f t="shared" si="2265"/>
        <v/>
      </c>
    </row>
    <row r="5346" spans="2:24" x14ac:dyDescent="0.25">
      <c r="N5346" s="8" t="str">
        <f>IF(R5346="x",1,"")</f>
        <v/>
      </c>
      <c r="U5346" s="46" t="str">
        <f t="shared" si="2265"/>
        <v/>
      </c>
      <c r="V5346" s="46" t="str">
        <f t="shared" si="2265"/>
        <v/>
      </c>
      <c r="W5346" s="46" t="str">
        <f t="shared" si="2265"/>
        <v/>
      </c>
      <c r="X5346" s="46" t="str">
        <f t="shared" si="2265"/>
        <v/>
      </c>
    </row>
    <row r="5347" spans="2:24" x14ac:dyDescent="0.25">
      <c r="B5347" s="18"/>
      <c r="C5347" s="18"/>
      <c r="D5347" s="18"/>
      <c r="E5347" s="40"/>
      <c r="F5347" s="18"/>
      <c r="G5347" s="40"/>
      <c r="H5347" s="7">
        <f t="shared" ref="H5347:N5347" si="2266">SUM(H5339:H5346)</f>
        <v>3</v>
      </c>
      <c r="I5347" s="7">
        <f t="shared" si="2266"/>
        <v>0</v>
      </c>
      <c r="J5347" s="7">
        <f>SUM(J5339:J5346)</f>
        <v>110</v>
      </c>
      <c r="K5347" s="7">
        <f t="shared" si="2266"/>
        <v>0</v>
      </c>
      <c r="L5347" s="7">
        <f t="shared" si="2266"/>
        <v>113</v>
      </c>
      <c r="M5347" s="7">
        <f t="shared" si="2266"/>
        <v>7</v>
      </c>
      <c r="N5347" s="7">
        <f t="shared" si="2266"/>
        <v>7</v>
      </c>
      <c r="O5347" s="18"/>
      <c r="P5347" s="13"/>
      <c r="Q5347" s="13"/>
      <c r="S5347" s="13"/>
      <c r="T5347" s="15"/>
      <c r="U5347" s="46" t="str">
        <f t="shared" si="2265"/>
        <v/>
      </c>
      <c r="V5347" s="46" t="str">
        <f t="shared" si="2265"/>
        <v/>
      </c>
      <c r="W5347" s="46" t="str">
        <f t="shared" si="2265"/>
        <v/>
      </c>
      <c r="X5347" s="46" t="str">
        <f t="shared" si="2265"/>
        <v/>
      </c>
    </row>
    <row r="5348" spans="2:24" x14ac:dyDescent="0.25">
      <c r="B5348" s="18"/>
      <c r="C5348" s="18"/>
      <c r="D5348" s="18"/>
      <c r="E5348" s="40"/>
      <c r="F5348" s="18"/>
      <c r="G5348" s="40"/>
      <c r="N5348" s="8" t="str">
        <f>IF(R5348="x",1,"")</f>
        <v/>
      </c>
      <c r="O5348" s="18"/>
      <c r="P5348" s="13"/>
      <c r="Q5348" s="13"/>
      <c r="R5348" s="13"/>
      <c r="S5348" s="13"/>
      <c r="T5348" s="15"/>
      <c r="U5348" s="46" t="str">
        <f t="shared" si="2265"/>
        <v/>
      </c>
      <c r="V5348" s="46" t="str">
        <f t="shared" si="2265"/>
        <v/>
      </c>
      <c r="W5348" s="46" t="str">
        <f t="shared" si="2265"/>
        <v/>
      </c>
      <c r="X5348" s="46" t="str">
        <f t="shared" si="2265"/>
        <v/>
      </c>
    </row>
    <row r="5349" spans="2:24" x14ac:dyDescent="0.25">
      <c r="B5349" s="18"/>
      <c r="C5349" s="18"/>
      <c r="D5349" s="18"/>
      <c r="E5349" s="40"/>
      <c r="F5349" s="18"/>
      <c r="G5349" s="40"/>
      <c r="N5349" s="8" t="str">
        <f>IF(R5349="x",1,"")</f>
        <v/>
      </c>
      <c r="O5349" s="18"/>
      <c r="P5349" s="13"/>
      <c r="Q5349" s="13"/>
      <c r="R5349" s="13"/>
      <c r="S5349" s="13"/>
      <c r="T5349" s="15"/>
      <c r="U5349" s="46" t="str">
        <f t="shared" si="2265"/>
        <v/>
      </c>
      <c r="V5349" s="46" t="str">
        <f t="shared" si="2265"/>
        <v/>
      </c>
      <c r="W5349" s="46" t="str">
        <f t="shared" si="2265"/>
        <v/>
      </c>
      <c r="X5349" s="46" t="str">
        <f t="shared" si="2265"/>
        <v/>
      </c>
    </row>
    <row r="5350" spans="2:24" x14ac:dyDescent="0.25">
      <c r="B5350" s="11" t="str">
        <f>CONCATENATE("PADL","-",LEFT(P5350,2),UPPER(MID(P5350,4,3)),RIGHT(P5350,4))</f>
        <v>PADL-13APR1914</v>
      </c>
      <c r="C5350" s="11" t="s">
        <v>11483</v>
      </c>
      <c r="D5350" s="11" t="s">
        <v>3359</v>
      </c>
      <c r="E5350" s="39" t="s">
        <v>11484</v>
      </c>
      <c r="F5350" s="11" t="s">
        <v>3039</v>
      </c>
      <c r="G5350" s="39" t="s">
        <v>2366</v>
      </c>
      <c r="I5350" s="7">
        <v>0</v>
      </c>
      <c r="J5350" s="17">
        <v>0</v>
      </c>
      <c r="K5350" s="17"/>
      <c r="L5350" s="7">
        <f>SUM(H5350:K5350)</f>
        <v>0</v>
      </c>
      <c r="M5350" s="8">
        <v>1</v>
      </c>
      <c r="N5350" s="8" t="str">
        <f>IF(L5350&gt;0,1,"")</f>
        <v/>
      </c>
      <c r="O5350" s="11" t="s">
        <v>1702</v>
      </c>
      <c r="P5350" s="16" t="str">
        <f>IF(LEN(G5350)=10,CONCATENATE("0",G5350),G5350)</f>
        <v>13-Apr-1914</v>
      </c>
      <c r="R5350" s="16" t="str">
        <f>IF($L5350&gt;0,"x","")</f>
        <v/>
      </c>
      <c r="S5350" s="16" t="str">
        <f>IF($L5350&gt;0,"x","")</f>
        <v/>
      </c>
      <c r="U5350" s="46" t="str">
        <f t="shared" si="2265"/>
        <v/>
      </c>
      <c r="V5350" s="46">
        <f t="shared" si="2265"/>
        <v>0</v>
      </c>
      <c r="W5350" s="46" t="str">
        <f t="shared" si="2265"/>
        <v/>
      </c>
      <c r="X5350" s="46" t="str">
        <f t="shared" si="2265"/>
        <v/>
      </c>
    </row>
    <row r="5351" spans="2:24" x14ac:dyDescent="0.25">
      <c r="N5351" s="8" t="str">
        <f>IF(R5351="x",1,"")</f>
        <v/>
      </c>
      <c r="U5351" s="46" t="str">
        <f t="shared" si="2265"/>
        <v/>
      </c>
      <c r="V5351" s="46" t="str">
        <f t="shared" si="2265"/>
        <v/>
      </c>
      <c r="W5351" s="46" t="str">
        <f t="shared" si="2265"/>
        <v/>
      </c>
      <c r="X5351" s="46" t="str">
        <f t="shared" si="2265"/>
        <v/>
      </c>
    </row>
    <row r="5352" spans="2:24" x14ac:dyDescent="0.25">
      <c r="B5352" s="18"/>
      <c r="C5352" s="18"/>
      <c r="D5352" s="18"/>
      <c r="E5352" s="40"/>
      <c r="F5352" s="18"/>
      <c r="G5352" s="40"/>
      <c r="H5352" s="7">
        <f t="shared" ref="H5352:N5352" si="2267">SUM(H5350:H5351)</f>
        <v>0</v>
      </c>
      <c r="I5352" s="7">
        <f t="shared" si="2267"/>
        <v>0</v>
      </c>
      <c r="J5352" s="7">
        <f t="shared" si="2267"/>
        <v>0</v>
      </c>
      <c r="K5352" s="7">
        <f t="shared" si="2267"/>
        <v>0</v>
      </c>
      <c r="L5352" s="7">
        <f t="shared" si="2267"/>
        <v>0</v>
      </c>
      <c r="M5352" s="7">
        <f t="shared" si="2267"/>
        <v>1</v>
      </c>
      <c r="N5352" s="7">
        <f t="shared" si="2267"/>
        <v>0</v>
      </c>
      <c r="O5352" s="18"/>
      <c r="P5352" s="13"/>
      <c r="Q5352" s="13"/>
      <c r="S5352" s="13"/>
      <c r="T5352" s="15"/>
      <c r="U5352" s="46" t="str">
        <f>IF($O5352=U$5,$L5352,"")</f>
        <v/>
      </c>
      <c r="V5352" s="46" t="str">
        <f>IF($O5352=V$5,$L5352,"")</f>
        <v/>
      </c>
      <c r="W5352" s="46" t="str">
        <f>IF($O5352=W$5,$L5352,"")</f>
        <v/>
      </c>
      <c r="X5352" s="46" t="str">
        <f>IF($O5352=X$5,$L5352,"")</f>
        <v/>
      </c>
    </row>
    <row r="5353" spans="2:24" x14ac:dyDescent="0.25">
      <c r="B5353" s="18"/>
      <c r="C5353" s="18"/>
      <c r="D5353" s="18"/>
      <c r="E5353" s="40"/>
      <c r="F5353" s="18"/>
      <c r="G5353" s="40"/>
      <c r="N5353" s="8" t="str">
        <f>IF(R5353="x",1,"")</f>
        <v/>
      </c>
      <c r="O5353" s="18"/>
      <c r="P5353" s="13"/>
      <c r="Q5353" s="13"/>
      <c r="R5353" s="13"/>
      <c r="S5353" s="13"/>
      <c r="T5353" s="15"/>
      <c r="U5353" s="46" t="str">
        <f t="shared" ref="U5353:X5377" si="2268">IF($O5353=U$5,$L5353,"")</f>
        <v/>
      </c>
      <c r="V5353" s="46" t="str">
        <f t="shared" si="2268"/>
        <v/>
      </c>
      <c r="W5353" s="46" t="str">
        <f t="shared" si="2268"/>
        <v/>
      </c>
      <c r="X5353" s="46" t="str">
        <f t="shared" si="2268"/>
        <v/>
      </c>
    </row>
    <row r="5354" spans="2:24" x14ac:dyDescent="0.25">
      <c r="B5354" s="18"/>
      <c r="C5354" s="18"/>
      <c r="D5354" s="18"/>
      <c r="E5354" s="40"/>
      <c r="F5354" s="18"/>
      <c r="G5354" s="40"/>
      <c r="N5354" s="8" t="str">
        <f>IF(R5354="x",1,"")</f>
        <v/>
      </c>
      <c r="O5354" s="18"/>
      <c r="P5354" s="13"/>
      <c r="Q5354" s="13"/>
      <c r="R5354" s="13"/>
      <c r="S5354" s="13"/>
      <c r="T5354" s="15"/>
      <c r="U5354" s="46" t="str">
        <f t="shared" si="2268"/>
        <v/>
      </c>
      <c r="V5354" s="46" t="str">
        <f t="shared" si="2268"/>
        <v/>
      </c>
      <c r="W5354" s="46" t="str">
        <f t="shared" si="2268"/>
        <v/>
      </c>
      <c r="X5354" s="46" t="str">
        <f t="shared" si="2268"/>
        <v/>
      </c>
    </row>
    <row r="5355" spans="2:24" x14ac:dyDescent="0.25">
      <c r="B5355" s="11" t="str">
        <f t="shared" ref="B5355:B5361" si="2269">CONCATENATE("PFRD","-",LEFT(P5355,2),UPPER(MID(P5355,4,3)),RIGHT(P5355,4))</f>
        <v>PFRD-22JAN1913</v>
      </c>
      <c r="C5355" s="11" t="s">
        <v>5339</v>
      </c>
      <c r="D5355" s="11" t="s">
        <v>3359</v>
      </c>
      <c r="E5355" s="39" t="s">
        <v>2358</v>
      </c>
      <c r="F5355" s="11" t="s">
        <v>1700</v>
      </c>
      <c r="G5355" s="39" t="s">
        <v>2777</v>
      </c>
      <c r="H5355" s="7">
        <v>0</v>
      </c>
      <c r="I5355" s="7">
        <v>3</v>
      </c>
      <c r="J5355" s="17">
        <v>4</v>
      </c>
      <c r="K5355" s="17"/>
      <c r="L5355" s="7">
        <f t="shared" ref="L5355:L5361" si="2270">SUM(H5355:K5355)</f>
        <v>7</v>
      </c>
      <c r="M5355" s="8">
        <v>1</v>
      </c>
      <c r="N5355" s="8">
        <f t="shared" ref="N5355:N5361" si="2271">IF(L5355&gt;0,1,"")</f>
        <v>1</v>
      </c>
      <c r="O5355" s="11" t="s">
        <v>1702</v>
      </c>
      <c r="P5355" s="16" t="str">
        <f t="shared" ref="P5355:P5361" si="2272">IF(LEN(G5355)=10,CONCATENATE("0",G5355),G5355)</f>
        <v>22-Jan-1913</v>
      </c>
      <c r="R5355" s="16" t="str">
        <f>IF($L5355&gt;0,"x","")</f>
        <v>x</v>
      </c>
      <c r="S5355" s="16" t="str">
        <f>IF($L5355&gt;0,"x","")</f>
        <v>x</v>
      </c>
      <c r="U5355" s="46" t="str">
        <f t="shared" si="2268"/>
        <v/>
      </c>
      <c r="V5355" s="46">
        <f t="shared" si="2268"/>
        <v>7</v>
      </c>
      <c r="W5355" s="46" t="str">
        <f t="shared" si="2268"/>
        <v/>
      </c>
      <c r="X5355" s="46" t="str">
        <f t="shared" si="2268"/>
        <v/>
      </c>
    </row>
    <row r="5356" spans="2:24" x14ac:dyDescent="0.25">
      <c r="B5356" s="11" t="str">
        <f t="shared" si="2269"/>
        <v>PFRD-22JAN1913</v>
      </c>
      <c r="C5356" s="11" t="s">
        <v>5339</v>
      </c>
      <c r="D5356" s="11" t="s">
        <v>2224</v>
      </c>
      <c r="E5356" s="39" t="s">
        <v>4008</v>
      </c>
      <c r="F5356" s="11" t="s">
        <v>1700</v>
      </c>
      <c r="G5356" s="39" t="s">
        <v>2777</v>
      </c>
      <c r="H5356" s="7">
        <v>0</v>
      </c>
      <c r="I5356" s="7">
        <v>0</v>
      </c>
      <c r="J5356" s="17">
        <v>0</v>
      </c>
      <c r="K5356" s="17"/>
      <c r="L5356" s="7">
        <f t="shared" si="2270"/>
        <v>0</v>
      </c>
      <c r="M5356" s="8">
        <v>1</v>
      </c>
      <c r="N5356" s="8" t="str">
        <f t="shared" si="2271"/>
        <v/>
      </c>
      <c r="O5356" s="11" t="s">
        <v>1702</v>
      </c>
      <c r="P5356" s="16" t="str">
        <f t="shared" si="2272"/>
        <v>22-Jan-1913</v>
      </c>
      <c r="R5356" s="16" t="str">
        <f>IF($L5356&gt;0,"x","")</f>
        <v/>
      </c>
      <c r="S5356" s="16" t="str">
        <f>IF($L5356&gt;0,"x","")</f>
        <v/>
      </c>
      <c r="U5356" s="46" t="str">
        <f t="shared" si="2268"/>
        <v/>
      </c>
      <c r="V5356" s="46">
        <f t="shared" si="2268"/>
        <v>0</v>
      </c>
      <c r="W5356" s="46" t="str">
        <f t="shared" si="2268"/>
        <v/>
      </c>
      <c r="X5356" s="46" t="str">
        <f t="shared" si="2268"/>
        <v/>
      </c>
    </row>
    <row r="5357" spans="2:24" x14ac:dyDescent="0.25">
      <c r="B5357" s="11" t="str">
        <f t="shared" si="2269"/>
        <v>PFRD-31MAR1913</v>
      </c>
      <c r="C5357" s="11" t="s">
        <v>5339</v>
      </c>
      <c r="D5357" s="11" t="s">
        <v>3359</v>
      </c>
      <c r="E5357" s="39" t="s">
        <v>1674</v>
      </c>
      <c r="F5357" s="11" t="s">
        <v>1700</v>
      </c>
      <c r="G5357" s="39" t="s">
        <v>1021</v>
      </c>
      <c r="H5357" s="7">
        <v>0</v>
      </c>
      <c r="I5357" s="7">
        <v>0</v>
      </c>
      <c r="J5357" s="17">
        <v>17</v>
      </c>
      <c r="K5357" s="17"/>
      <c r="L5357" s="7">
        <f t="shared" si="2270"/>
        <v>17</v>
      </c>
      <c r="M5357" s="8">
        <v>1</v>
      </c>
      <c r="N5357" s="8">
        <f t="shared" si="2271"/>
        <v>1</v>
      </c>
      <c r="O5357" s="11" t="s">
        <v>1702</v>
      </c>
      <c r="P5357" s="16" t="str">
        <f t="shared" si="2272"/>
        <v>31-Mar-1913</v>
      </c>
      <c r="R5357" s="16" t="str">
        <f t="shared" ref="R5357:S5361" si="2273">IF($L5357&gt;0,"x","")</f>
        <v>x</v>
      </c>
      <c r="S5357" s="16" t="str">
        <f t="shared" si="2273"/>
        <v>x</v>
      </c>
      <c r="U5357" s="46" t="str">
        <f t="shared" si="2268"/>
        <v/>
      </c>
      <c r="V5357" s="46">
        <f t="shared" si="2268"/>
        <v>17</v>
      </c>
      <c r="W5357" s="46" t="str">
        <f t="shared" si="2268"/>
        <v/>
      </c>
      <c r="X5357" s="46" t="str">
        <f t="shared" si="2268"/>
        <v/>
      </c>
    </row>
    <row r="5358" spans="2:24" x14ac:dyDescent="0.25">
      <c r="B5358" s="11" t="str">
        <f t="shared" si="2269"/>
        <v>PFRD-31MAR1913</v>
      </c>
      <c r="C5358" s="11" t="s">
        <v>5339</v>
      </c>
      <c r="D5358" s="11" t="s">
        <v>2224</v>
      </c>
      <c r="E5358" s="39" t="s">
        <v>1923</v>
      </c>
      <c r="F5358" s="11" t="s">
        <v>1700</v>
      </c>
      <c r="G5358" s="39" t="s">
        <v>1021</v>
      </c>
      <c r="H5358" s="7">
        <v>0</v>
      </c>
      <c r="I5358" s="7">
        <v>0</v>
      </c>
      <c r="J5358" s="17">
        <v>0</v>
      </c>
      <c r="K5358" s="17"/>
      <c r="L5358" s="7">
        <f t="shared" si="2270"/>
        <v>0</v>
      </c>
      <c r="M5358" s="8">
        <v>1</v>
      </c>
      <c r="N5358" s="8" t="str">
        <f t="shared" si="2271"/>
        <v/>
      </c>
      <c r="O5358" s="11" t="s">
        <v>1702</v>
      </c>
      <c r="P5358" s="16" t="str">
        <f t="shared" si="2272"/>
        <v>31-Mar-1913</v>
      </c>
      <c r="R5358" s="16" t="str">
        <f t="shared" si="2273"/>
        <v/>
      </c>
      <c r="S5358" s="16" t="str">
        <f t="shared" si="2273"/>
        <v/>
      </c>
      <c r="U5358" s="46" t="str">
        <f t="shared" si="2268"/>
        <v/>
      </c>
      <c r="V5358" s="46">
        <f t="shared" si="2268"/>
        <v>0</v>
      </c>
      <c r="W5358" s="46" t="str">
        <f t="shared" si="2268"/>
        <v/>
      </c>
      <c r="X5358" s="46" t="str">
        <f t="shared" si="2268"/>
        <v/>
      </c>
    </row>
    <row r="5359" spans="2:24" x14ac:dyDescent="0.25">
      <c r="B5359" s="11" t="str">
        <f>CONCATENATE("PFRD","-",LEFT(P5359,2),UPPER(MID(P5359,4,3)),RIGHT(P5359,4))</f>
        <v>PFRD-05MAY1913</v>
      </c>
      <c r="C5359" s="11" t="s">
        <v>5339</v>
      </c>
      <c r="D5359" s="11" t="s">
        <v>2224</v>
      </c>
      <c r="E5359" s="39" t="s">
        <v>5823</v>
      </c>
      <c r="F5359" s="11" t="s">
        <v>1700</v>
      </c>
      <c r="G5359" s="39" t="s">
        <v>4476</v>
      </c>
      <c r="H5359" s="7">
        <v>0</v>
      </c>
      <c r="I5359" s="7">
        <v>0</v>
      </c>
      <c r="J5359" s="17">
        <v>3</v>
      </c>
      <c r="K5359" s="17"/>
      <c r="L5359" s="7">
        <f>SUM(H5359:K5359)</f>
        <v>3</v>
      </c>
      <c r="M5359" s="8">
        <v>1</v>
      </c>
      <c r="N5359" s="8">
        <f>IF(L5359&gt;0,1,"")</f>
        <v>1</v>
      </c>
      <c r="O5359" s="11" t="s">
        <v>1702</v>
      </c>
      <c r="P5359" s="16" t="str">
        <f>IF(LEN(G5359)=10,CONCATENATE("0",G5359),G5359)</f>
        <v>05-May-1913</v>
      </c>
      <c r="R5359" s="16" t="str">
        <f t="shared" si="2273"/>
        <v>x</v>
      </c>
      <c r="S5359" s="16" t="str">
        <f t="shared" si="2273"/>
        <v>x</v>
      </c>
      <c r="U5359" s="46" t="str">
        <f t="shared" si="2268"/>
        <v/>
      </c>
      <c r="V5359" s="46">
        <f t="shared" si="2268"/>
        <v>3</v>
      </c>
      <c r="W5359" s="46" t="str">
        <f t="shared" si="2268"/>
        <v/>
      </c>
      <c r="X5359" s="46" t="str">
        <f t="shared" si="2268"/>
        <v/>
      </c>
    </row>
    <row r="5360" spans="2:24" x14ac:dyDescent="0.25">
      <c r="B5360" s="11" t="str">
        <f t="shared" si="2269"/>
        <v>PFRD-08DEC1913</v>
      </c>
      <c r="C5360" s="11" t="s">
        <v>5339</v>
      </c>
      <c r="D5360" s="11" t="s">
        <v>3359</v>
      </c>
      <c r="E5360" s="39" t="s">
        <v>1682</v>
      </c>
      <c r="F5360" s="11" t="s">
        <v>1700</v>
      </c>
      <c r="G5360" s="39" t="s">
        <v>3290</v>
      </c>
      <c r="H5360" s="7">
        <v>0</v>
      </c>
      <c r="I5360" s="7">
        <v>0</v>
      </c>
      <c r="J5360" s="17">
        <v>11</v>
      </c>
      <c r="K5360" s="17"/>
      <c r="L5360" s="7">
        <f t="shared" si="2270"/>
        <v>11</v>
      </c>
      <c r="M5360" s="8">
        <v>1</v>
      </c>
      <c r="N5360" s="8">
        <f t="shared" si="2271"/>
        <v>1</v>
      </c>
      <c r="O5360" s="11" t="s">
        <v>1702</v>
      </c>
      <c r="P5360" s="16" t="str">
        <f t="shared" si="2272"/>
        <v>08-Dec-1913</v>
      </c>
      <c r="R5360" s="16" t="str">
        <f t="shared" si="2273"/>
        <v>x</v>
      </c>
      <c r="S5360" s="16" t="str">
        <f t="shared" si="2273"/>
        <v>x</v>
      </c>
      <c r="U5360" s="46" t="str">
        <f t="shared" si="2268"/>
        <v/>
      </c>
      <c r="V5360" s="46">
        <f t="shared" si="2268"/>
        <v>11</v>
      </c>
      <c r="W5360" s="46" t="str">
        <f t="shared" si="2268"/>
        <v/>
      </c>
      <c r="X5360" s="46" t="str">
        <f t="shared" si="2268"/>
        <v/>
      </c>
    </row>
    <row r="5361" spans="2:24" x14ac:dyDescent="0.25">
      <c r="B5361" s="11" t="str">
        <f t="shared" si="2269"/>
        <v>PFRD-08DEC1913</v>
      </c>
      <c r="C5361" s="11" t="s">
        <v>5339</v>
      </c>
      <c r="D5361" s="11" t="s">
        <v>2224</v>
      </c>
      <c r="E5361" s="39" t="s">
        <v>4013</v>
      </c>
      <c r="F5361" s="11" t="s">
        <v>1700</v>
      </c>
      <c r="G5361" s="39" t="s">
        <v>3290</v>
      </c>
      <c r="H5361" s="7">
        <v>0</v>
      </c>
      <c r="I5361" s="7">
        <v>0</v>
      </c>
      <c r="J5361" s="17">
        <v>2</v>
      </c>
      <c r="K5361" s="17"/>
      <c r="L5361" s="7">
        <f t="shared" si="2270"/>
        <v>2</v>
      </c>
      <c r="M5361" s="8">
        <v>1</v>
      </c>
      <c r="N5361" s="8">
        <f t="shared" si="2271"/>
        <v>1</v>
      </c>
      <c r="O5361" s="11" t="s">
        <v>1702</v>
      </c>
      <c r="P5361" s="16" t="str">
        <f t="shared" si="2272"/>
        <v>08-Dec-1913</v>
      </c>
      <c r="R5361" s="16" t="str">
        <f t="shared" si="2273"/>
        <v>x</v>
      </c>
      <c r="S5361" s="16" t="str">
        <f t="shared" si="2273"/>
        <v>x</v>
      </c>
      <c r="U5361" s="46" t="str">
        <f t="shared" si="2268"/>
        <v/>
      </c>
      <c r="V5361" s="46">
        <f t="shared" si="2268"/>
        <v>2</v>
      </c>
      <c r="W5361" s="46" t="str">
        <f t="shared" si="2268"/>
        <v/>
      </c>
      <c r="X5361" s="46" t="str">
        <f t="shared" si="2268"/>
        <v/>
      </c>
    </row>
    <row r="5362" spans="2:24" x14ac:dyDescent="0.25">
      <c r="N5362" s="8" t="str">
        <f>IF(R5362="x",1,"")</f>
        <v/>
      </c>
      <c r="U5362" s="46" t="str">
        <f t="shared" si="2268"/>
        <v/>
      </c>
      <c r="V5362" s="46" t="str">
        <f t="shared" si="2268"/>
        <v/>
      </c>
      <c r="W5362" s="46" t="str">
        <f t="shared" si="2268"/>
        <v/>
      </c>
      <c r="X5362" s="46" t="str">
        <f t="shared" si="2268"/>
        <v/>
      </c>
    </row>
    <row r="5363" spans="2:24" x14ac:dyDescent="0.25">
      <c r="B5363" s="18"/>
      <c r="C5363" s="18"/>
      <c r="D5363" s="18"/>
      <c r="E5363" s="40"/>
      <c r="F5363" s="18"/>
      <c r="G5363" s="40"/>
      <c r="H5363" s="7">
        <f t="shared" ref="H5363:N5363" si="2274">SUM(H5355:H5362)</f>
        <v>0</v>
      </c>
      <c r="I5363" s="7">
        <f t="shared" si="2274"/>
        <v>3</v>
      </c>
      <c r="J5363" s="7">
        <f>SUM(J5355:J5362)</f>
        <v>37</v>
      </c>
      <c r="K5363" s="7">
        <f t="shared" si="2274"/>
        <v>0</v>
      </c>
      <c r="L5363" s="7">
        <f t="shared" si="2274"/>
        <v>40</v>
      </c>
      <c r="M5363" s="7">
        <f t="shared" si="2274"/>
        <v>7</v>
      </c>
      <c r="N5363" s="7">
        <f t="shared" si="2274"/>
        <v>5</v>
      </c>
      <c r="O5363" s="18"/>
      <c r="P5363" s="13"/>
      <c r="Q5363" s="13"/>
      <c r="S5363" s="13"/>
      <c r="T5363" s="15"/>
      <c r="U5363" s="46" t="str">
        <f t="shared" si="2268"/>
        <v/>
      </c>
      <c r="V5363" s="46" t="str">
        <f t="shared" si="2268"/>
        <v/>
      </c>
      <c r="W5363" s="46" t="str">
        <f t="shared" si="2268"/>
        <v/>
      </c>
      <c r="X5363" s="46" t="str">
        <f t="shared" si="2268"/>
        <v/>
      </c>
    </row>
    <row r="5364" spans="2:24" x14ac:dyDescent="0.25">
      <c r="B5364" s="18"/>
      <c r="C5364" s="18"/>
      <c r="D5364" s="18"/>
      <c r="E5364" s="40"/>
      <c r="F5364" s="18"/>
      <c r="G5364" s="40"/>
      <c r="N5364" s="8" t="str">
        <f>IF(R5364="x",1,"")</f>
        <v/>
      </c>
      <c r="O5364" s="18"/>
      <c r="P5364" s="13"/>
      <c r="Q5364" s="13"/>
      <c r="R5364" s="13"/>
      <c r="S5364" s="13"/>
      <c r="T5364" s="15"/>
      <c r="U5364" s="46" t="str">
        <f t="shared" si="2268"/>
        <v/>
      </c>
      <c r="V5364" s="46" t="str">
        <f t="shared" si="2268"/>
        <v/>
      </c>
      <c r="W5364" s="46" t="str">
        <f t="shared" si="2268"/>
        <v/>
      </c>
      <c r="X5364" s="46" t="str">
        <f t="shared" si="2268"/>
        <v/>
      </c>
    </row>
    <row r="5365" spans="2:24" x14ac:dyDescent="0.25">
      <c r="B5365" s="18"/>
      <c r="C5365" s="18"/>
      <c r="D5365" s="18"/>
      <c r="E5365" s="40"/>
      <c r="F5365" s="18"/>
      <c r="G5365" s="40"/>
      <c r="N5365" s="8" t="str">
        <f>IF(R5365="x",1,"")</f>
        <v/>
      </c>
      <c r="O5365" s="18"/>
      <c r="P5365" s="13"/>
      <c r="Q5365" s="13"/>
      <c r="R5365" s="13"/>
      <c r="S5365" s="13"/>
      <c r="T5365" s="15"/>
      <c r="U5365" s="46" t="str">
        <f t="shared" si="2268"/>
        <v/>
      </c>
      <c r="V5365" s="46" t="str">
        <f t="shared" si="2268"/>
        <v/>
      </c>
      <c r="W5365" s="46" t="str">
        <f t="shared" si="2268"/>
        <v/>
      </c>
      <c r="X5365" s="46" t="str">
        <f t="shared" si="2268"/>
        <v/>
      </c>
    </row>
    <row r="5366" spans="2:24" x14ac:dyDescent="0.25">
      <c r="B5366" s="11" t="str">
        <f>CONCATENATE("POSK","-",LEFT(P5366,2),UPPER(MID(P5366,4,3)),RIGHT(P5366,4))</f>
        <v>POSK-18AUG1913</v>
      </c>
      <c r="C5366" s="11" t="s">
        <v>6141</v>
      </c>
      <c r="D5366" s="11" t="s">
        <v>3134</v>
      </c>
      <c r="E5366" s="39" t="s">
        <v>5505</v>
      </c>
      <c r="F5366" s="11" t="s">
        <v>3039</v>
      </c>
      <c r="G5366" s="39" t="s">
        <v>3513</v>
      </c>
      <c r="I5366" s="7">
        <v>1</v>
      </c>
      <c r="J5366" s="17">
        <v>5</v>
      </c>
      <c r="K5366" s="17"/>
      <c r="L5366" s="7">
        <f>SUM(H5366:K5366)</f>
        <v>6</v>
      </c>
      <c r="M5366" s="8">
        <v>1</v>
      </c>
      <c r="N5366" s="8">
        <f>IF(L5366&gt;0,1,"")</f>
        <v>1</v>
      </c>
      <c r="O5366" s="11" t="s">
        <v>1702</v>
      </c>
      <c r="P5366" s="16" t="str">
        <f>IF(LEN(G5366)=10,CONCATENATE("0",G5366),G5366)</f>
        <v>18-Aug-1913</v>
      </c>
      <c r="R5366" s="16" t="str">
        <f>IF($L5366&gt;0,"x","")</f>
        <v>x</v>
      </c>
      <c r="S5366" s="16" t="str">
        <f>IF($L5366&gt;0,"x","")</f>
        <v>x</v>
      </c>
      <c r="U5366" s="46" t="str">
        <f t="shared" si="2268"/>
        <v/>
      </c>
      <c r="V5366" s="46">
        <f t="shared" si="2268"/>
        <v>6</v>
      </c>
      <c r="W5366" s="46" t="str">
        <f t="shared" si="2268"/>
        <v/>
      </c>
      <c r="X5366" s="46" t="str">
        <f t="shared" si="2268"/>
        <v/>
      </c>
    </row>
    <row r="5367" spans="2:24" x14ac:dyDescent="0.25">
      <c r="B5367" s="11" t="str">
        <f>CONCATENATE("POSK","-",LEFT(P5367,2),UPPER(MID(P5367,4,3)),RIGHT(P5367,4))</f>
        <v>POSK-16MAR1914</v>
      </c>
      <c r="C5367" s="11" t="s">
        <v>6141</v>
      </c>
      <c r="D5367" s="11" t="s">
        <v>3134</v>
      </c>
      <c r="E5367" s="39" t="s">
        <v>1551</v>
      </c>
      <c r="F5367" s="11" t="s">
        <v>3039</v>
      </c>
      <c r="G5367" s="39" t="s">
        <v>11482</v>
      </c>
      <c r="I5367" s="7">
        <v>0</v>
      </c>
      <c r="J5367" s="17">
        <v>20</v>
      </c>
      <c r="K5367" s="17"/>
      <c r="L5367" s="7">
        <f>SUM(H5367:K5367)</f>
        <v>20</v>
      </c>
      <c r="M5367" s="8">
        <v>1</v>
      </c>
      <c r="N5367" s="8">
        <f>IF(L5367&gt;0,1,"")</f>
        <v>1</v>
      </c>
      <c r="O5367" s="11" t="s">
        <v>1702</v>
      </c>
      <c r="P5367" s="16" t="str">
        <f>IF(LEN(G5367)=10,CONCATENATE("0",G5367),G5367)</f>
        <v>16-Mar-1914</v>
      </c>
      <c r="R5367" s="16" t="str">
        <f>IF($L5367&gt;0,"x","")</f>
        <v>x</v>
      </c>
      <c r="S5367" s="16" t="str">
        <f>IF($L5367&gt;0,"x","")</f>
        <v>x</v>
      </c>
      <c r="U5367" s="46" t="str">
        <f t="shared" si="2268"/>
        <v/>
      </c>
      <c r="V5367" s="46">
        <f t="shared" si="2268"/>
        <v>20</v>
      </c>
      <c r="W5367" s="46" t="str">
        <f t="shared" si="2268"/>
        <v/>
      </c>
      <c r="X5367" s="46" t="str">
        <f t="shared" si="2268"/>
        <v/>
      </c>
    </row>
    <row r="5368" spans="2:24" x14ac:dyDescent="0.25">
      <c r="N5368" s="8" t="str">
        <f>IF(R5368="x",1,"")</f>
        <v/>
      </c>
      <c r="U5368" s="46" t="str">
        <f t="shared" si="2268"/>
        <v/>
      </c>
      <c r="V5368" s="46" t="str">
        <f t="shared" si="2268"/>
        <v/>
      </c>
      <c r="W5368" s="46" t="str">
        <f t="shared" si="2268"/>
        <v/>
      </c>
      <c r="X5368" s="46" t="str">
        <f t="shared" si="2268"/>
        <v/>
      </c>
    </row>
    <row r="5369" spans="2:24" x14ac:dyDescent="0.25">
      <c r="B5369" s="18"/>
      <c r="C5369" s="18"/>
      <c r="D5369" s="18"/>
      <c r="E5369" s="40"/>
      <c r="F5369" s="18"/>
      <c r="G5369" s="40"/>
      <c r="H5369" s="7">
        <f t="shared" ref="H5369:N5369" si="2275">SUM(H5366:H5368)</f>
        <v>0</v>
      </c>
      <c r="I5369" s="7">
        <f t="shared" si="2275"/>
        <v>1</v>
      </c>
      <c r="J5369" s="7">
        <f>SUM(J5366:J5368)</f>
        <v>25</v>
      </c>
      <c r="K5369" s="7">
        <f t="shared" si="2275"/>
        <v>0</v>
      </c>
      <c r="L5369" s="7">
        <f t="shared" si="2275"/>
        <v>26</v>
      </c>
      <c r="M5369" s="7">
        <f t="shared" si="2275"/>
        <v>2</v>
      </c>
      <c r="N5369" s="7">
        <f t="shared" si="2275"/>
        <v>2</v>
      </c>
      <c r="O5369" s="18"/>
      <c r="P5369" s="13"/>
      <c r="Q5369" s="13"/>
      <c r="S5369" s="13"/>
      <c r="T5369" s="15"/>
      <c r="U5369" s="46" t="str">
        <f t="shared" si="2268"/>
        <v/>
      </c>
      <c r="V5369" s="46" t="str">
        <f t="shared" si="2268"/>
        <v/>
      </c>
      <c r="W5369" s="46" t="str">
        <f t="shared" si="2268"/>
        <v/>
      </c>
      <c r="X5369" s="46" t="str">
        <f t="shared" si="2268"/>
        <v/>
      </c>
    </row>
    <row r="5370" spans="2:24" x14ac:dyDescent="0.25">
      <c r="B5370" s="18"/>
      <c r="C5370" s="18"/>
      <c r="D5370" s="18"/>
      <c r="E5370" s="40"/>
      <c r="F5370" s="18"/>
      <c r="G5370" s="40"/>
      <c r="N5370" s="8" t="str">
        <f>IF(R5370="x",1,"")</f>
        <v/>
      </c>
      <c r="O5370" s="18"/>
      <c r="P5370" s="13"/>
      <c r="Q5370" s="13"/>
      <c r="R5370" s="13"/>
      <c r="S5370" s="13"/>
      <c r="T5370" s="15"/>
      <c r="U5370" s="46" t="str">
        <f t="shared" si="2268"/>
        <v/>
      </c>
      <c r="V5370" s="46" t="str">
        <f t="shared" si="2268"/>
        <v/>
      </c>
      <c r="W5370" s="46" t="str">
        <f t="shared" si="2268"/>
        <v/>
      </c>
      <c r="X5370" s="46" t="str">
        <f t="shared" si="2268"/>
        <v/>
      </c>
    </row>
    <row r="5371" spans="2:24" x14ac:dyDescent="0.25">
      <c r="B5371" s="18"/>
      <c r="C5371" s="18"/>
      <c r="D5371" s="18"/>
      <c r="E5371" s="40"/>
      <c r="F5371" s="18"/>
      <c r="G5371" s="40"/>
      <c r="N5371" s="8" t="str">
        <f>IF(R5371="x",1,"")</f>
        <v/>
      </c>
      <c r="O5371" s="18"/>
      <c r="P5371" s="13"/>
      <c r="Q5371" s="13"/>
      <c r="R5371" s="13"/>
      <c r="S5371" s="13"/>
      <c r="T5371" s="15"/>
      <c r="U5371" s="46" t="str">
        <f t="shared" si="2268"/>
        <v/>
      </c>
      <c r="V5371" s="46" t="str">
        <f t="shared" si="2268"/>
        <v/>
      </c>
      <c r="W5371" s="46" t="str">
        <f t="shared" si="2268"/>
        <v/>
      </c>
      <c r="X5371" s="46" t="str">
        <f t="shared" si="2268"/>
        <v/>
      </c>
    </row>
    <row r="5372" spans="2:24" x14ac:dyDescent="0.25">
      <c r="B5372" s="11" t="str">
        <f>CONCATENATE("PSIG","-",LEFT(P5372,2),UPPER(MID(P5372,4,3)),RIGHT(P5372,4))</f>
        <v>PSIG-13FEB1911</v>
      </c>
      <c r="C5372" s="11" t="s">
        <v>6310</v>
      </c>
      <c r="D5372" s="11" t="s">
        <v>6239</v>
      </c>
      <c r="E5372" s="39" t="s">
        <v>6311</v>
      </c>
      <c r="F5372" s="11" t="s">
        <v>1700</v>
      </c>
      <c r="G5372" s="39" t="s">
        <v>1935</v>
      </c>
      <c r="H5372" s="7">
        <v>0</v>
      </c>
      <c r="I5372" s="7">
        <v>1</v>
      </c>
      <c r="J5372" s="17"/>
      <c r="K5372" s="17"/>
      <c r="L5372" s="7">
        <f>SUM(H5372:K5372)</f>
        <v>1</v>
      </c>
      <c r="M5372" s="8">
        <v>1</v>
      </c>
      <c r="N5372" s="8">
        <f>IF(L5372&gt;0,1,"")</f>
        <v>1</v>
      </c>
      <c r="O5372" s="11" t="s">
        <v>1702</v>
      </c>
      <c r="P5372" s="16" t="str">
        <f>IF(LEN(G5372)=10,CONCATENATE("0",G5372),G5372)</f>
        <v>13-Feb-1911</v>
      </c>
      <c r="R5372" s="16" t="str">
        <f>IF($L5372&gt;0,"x","")</f>
        <v>x</v>
      </c>
      <c r="S5372" s="16" t="str">
        <f>IF($L5372&gt;0,"x","")</f>
        <v>x</v>
      </c>
      <c r="U5372" s="46" t="str">
        <f t="shared" si="2268"/>
        <v/>
      </c>
      <c r="V5372" s="46">
        <f t="shared" si="2268"/>
        <v>1</v>
      </c>
      <c r="W5372" s="46" t="str">
        <f t="shared" si="2268"/>
        <v/>
      </c>
      <c r="X5372" s="46" t="str">
        <f t="shared" si="2268"/>
        <v/>
      </c>
    </row>
    <row r="5373" spans="2:24" x14ac:dyDescent="0.25">
      <c r="N5373" s="8" t="str">
        <f>IF(R5373="x",1,"")</f>
        <v/>
      </c>
      <c r="U5373" s="46" t="str">
        <f t="shared" si="2268"/>
        <v/>
      </c>
      <c r="V5373" s="46" t="str">
        <f t="shared" si="2268"/>
        <v/>
      </c>
      <c r="W5373" s="46" t="str">
        <f t="shared" si="2268"/>
        <v/>
      </c>
      <c r="X5373" s="46" t="str">
        <f t="shared" si="2268"/>
        <v/>
      </c>
    </row>
    <row r="5374" spans="2:24" x14ac:dyDescent="0.25">
      <c r="B5374" s="18"/>
      <c r="C5374" s="18"/>
      <c r="D5374" s="18"/>
      <c r="E5374" s="40"/>
      <c r="F5374" s="18"/>
      <c r="G5374" s="40"/>
      <c r="H5374" s="7">
        <f t="shared" ref="H5374:N5374" si="2276">SUM(H5372:H5373)</f>
        <v>0</v>
      </c>
      <c r="I5374" s="7">
        <f t="shared" si="2276"/>
        <v>1</v>
      </c>
      <c r="J5374" s="7">
        <f>SUM(J5372:J5373)</f>
        <v>0</v>
      </c>
      <c r="K5374" s="7">
        <f t="shared" si="2276"/>
        <v>0</v>
      </c>
      <c r="L5374" s="7">
        <f t="shared" si="2276"/>
        <v>1</v>
      </c>
      <c r="M5374" s="7">
        <f t="shared" si="2276"/>
        <v>1</v>
      </c>
      <c r="N5374" s="7">
        <f t="shared" si="2276"/>
        <v>1</v>
      </c>
      <c r="O5374" s="18"/>
      <c r="P5374" s="13"/>
      <c r="Q5374" s="13"/>
      <c r="S5374" s="13"/>
      <c r="T5374" s="15"/>
      <c r="U5374" s="46" t="str">
        <f t="shared" si="2268"/>
        <v/>
      </c>
      <c r="V5374" s="46" t="str">
        <f t="shared" si="2268"/>
        <v/>
      </c>
      <c r="W5374" s="46" t="str">
        <f t="shared" si="2268"/>
        <v/>
      </c>
      <c r="X5374" s="46" t="str">
        <f t="shared" si="2268"/>
        <v/>
      </c>
    </row>
    <row r="5375" spans="2:24" x14ac:dyDescent="0.25">
      <c r="B5375" s="18"/>
      <c r="C5375" s="18"/>
      <c r="D5375" s="18"/>
      <c r="E5375" s="40"/>
      <c r="F5375" s="18"/>
      <c r="G5375" s="40"/>
      <c r="N5375" s="8" t="str">
        <f>IF(R5375="x",1,"")</f>
        <v/>
      </c>
      <c r="O5375" s="18"/>
      <c r="P5375" s="13"/>
      <c r="Q5375" s="13"/>
      <c r="R5375" s="13"/>
      <c r="S5375" s="13"/>
      <c r="T5375" s="15"/>
      <c r="U5375" s="46" t="str">
        <f t="shared" si="2268"/>
        <v/>
      </c>
      <c r="V5375" s="46" t="str">
        <f t="shared" si="2268"/>
        <v/>
      </c>
      <c r="W5375" s="46" t="str">
        <f t="shared" si="2268"/>
        <v/>
      </c>
      <c r="X5375" s="46" t="str">
        <f t="shared" si="2268"/>
        <v/>
      </c>
    </row>
    <row r="5376" spans="2:24" x14ac:dyDescent="0.25">
      <c r="B5376" s="18"/>
      <c r="C5376" s="18"/>
      <c r="D5376" s="18"/>
      <c r="E5376" s="40"/>
      <c r="F5376" s="18"/>
      <c r="G5376" s="40"/>
      <c r="N5376" s="8" t="str">
        <f>IF(R5376="x",1,"")</f>
        <v/>
      </c>
      <c r="O5376" s="18"/>
      <c r="P5376" s="13"/>
      <c r="Q5376" s="13"/>
      <c r="R5376" s="13"/>
      <c r="S5376" s="13"/>
      <c r="T5376" s="15"/>
      <c r="U5376" s="46" t="str">
        <f t="shared" si="2268"/>
        <v/>
      </c>
      <c r="V5376" s="46" t="str">
        <f t="shared" si="2268"/>
        <v/>
      </c>
      <c r="W5376" s="46" t="str">
        <f t="shared" si="2268"/>
        <v/>
      </c>
      <c r="X5376" s="46" t="str">
        <f t="shared" si="2268"/>
        <v/>
      </c>
    </row>
    <row r="5377" spans="2:24" x14ac:dyDescent="0.25">
      <c r="B5377" s="11" t="str">
        <f>CONCATENATE("PALI","-",LEFT(P5377,2),UPPER(MID(P5377,4,3)),RIGHT(P5377,4))</f>
        <v>PALI-20JUN1907</v>
      </c>
      <c r="C5377" s="11" t="s">
        <v>6117</v>
      </c>
      <c r="D5377" s="11" t="s">
        <v>3359</v>
      </c>
      <c r="E5377" s="39" t="s">
        <v>2297</v>
      </c>
      <c r="F5377" s="11" t="s">
        <v>1700</v>
      </c>
      <c r="G5377" s="39" t="s">
        <v>3383</v>
      </c>
      <c r="H5377" s="7">
        <v>0</v>
      </c>
      <c r="I5377" s="7">
        <v>0</v>
      </c>
      <c r="J5377" s="17">
        <v>1</v>
      </c>
      <c r="K5377" s="17"/>
      <c r="L5377" s="7">
        <f>SUM(H5377:K5377)</f>
        <v>1</v>
      </c>
      <c r="M5377" s="8">
        <v>1</v>
      </c>
      <c r="N5377" s="8">
        <f>IF(L5377&gt;0,1,"")</f>
        <v>1</v>
      </c>
      <c r="O5377" s="11" t="s">
        <v>1702</v>
      </c>
      <c r="P5377" s="16" t="str">
        <f>IF(LEN(G5377)=10,CONCATENATE("0",G5377),G5377)</f>
        <v>20-Jun-1907</v>
      </c>
      <c r="R5377" s="16" t="str">
        <f>IF($L5377&gt;0,"x","")</f>
        <v>x</v>
      </c>
      <c r="S5377" s="16" t="str">
        <f>IF($L5377&gt;0,"x","")</f>
        <v>x</v>
      </c>
      <c r="U5377" s="46" t="str">
        <f t="shared" si="2268"/>
        <v/>
      </c>
      <c r="V5377" s="46">
        <f t="shared" si="2268"/>
        <v>1</v>
      </c>
      <c r="W5377" s="46" t="str">
        <f t="shared" si="2268"/>
        <v/>
      </c>
      <c r="X5377" s="46" t="str">
        <f t="shared" si="2268"/>
        <v/>
      </c>
    </row>
    <row r="5378" spans="2:24" x14ac:dyDescent="0.25">
      <c r="N5378" s="8" t="str">
        <f>IF(R5378="x",1,"")</f>
        <v/>
      </c>
      <c r="U5378" s="46" t="str">
        <f t="shared" ref="U5378:X5379" si="2277">IF($O5378=U$5,$L5378,"")</f>
        <v/>
      </c>
      <c r="V5378" s="46" t="str">
        <f t="shared" si="2277"/>
        <v/>
      </c>
      <c r="W5378" s="46" t="str">
        <f t="shared" si="2277"/>
        <v/>
      </c>
      <c r="X5378" s="46" t="str">
        <f t="shared" si="2277"/>
        <v/>
      </c>
    </row>
    <row r="5379" spans="2:24" x14ac:dyDescent="0.25">
      <c r="B5379" s="18"/>
      <c r="C5379" s="18"/>
      <c r="D5379" s="18"/>
      <c r="E5379" s="40"/>
      <c r="F5379" s="18"/>
      <c r="G5379" s="40"/>
      <c r="H5379" s="7">
        <f t="shared" ref="H5379:N5379" si="2278">SUM(H5377:H5378)</f>
        <v>0</v>
      </c>
      <c r="I5379" s="7">
        <f t="shared" si="2278"/>
        <v>0</v>
      </c>
      <c r="J5379" s="7">
        <f>SUM(J5377:J5378)</f>
        <v>1</v>
      </c>
      <c r="K5379" s="7">
        <f t="shared" si="2278"/>
        <v>0</v>
      </c>
      <c r="L5379" s="7">
        <f t="shared" si="2278"/>
        <v>1</v>
      </c>
      <c r="M5379" s="7">
        <f t="shared" si="2278"/>
        <v>1</v>
      </c>
      <c r="N5379" s="7">
        <f t="shared" si="2278"/>
        <v>1</v>
      </c>
      <c r="O5379" s="18"/>
      <c r="P5379" s="13"/>
      <c r="Q5379" s="13"/>
      <c r="S5379" s="13"/>
      <c r="T5379" s="15"/>
      <c r="U5379" s="46" t="str">
        <f t="shared" si="2277"/>
        <v/>
      </c>
      <c r="V5379" s="46" t="str">
        <f t="shared" si="2277"/>
        <v/>
      </c>
      <c r="W5379" s="46" t="str">
        <f t="shared" si="2277"/>
        <v/>
      </c>
      <c r="X5379" s="46" t="str">
        <f t="shared" si="2277"/>
        <v/>
      </c>
    </row>
    <row r="5380" spans="2:24" x14ac:dyDescent="0.25">
      <c r="B5380" s="18"/>
      <c r="C5380" s="18"/>
      <c r="D5380" s="18"/>
      <c r="E5380" s="40"/>
      <c r="F5380" s="18"/>
      <c r="G5380" s="40"/>
      <c r="N5380" s="8" t="str">
        <f>IF(R5380="x",1,"")</f>
        <v/>
      </c>
      <c r="O5380" s="18"/>
      <c r="P5380" s="13"/>
      <c r="Q5380" s="13"/>
      <c r="R5380" s="13"/>
      <c r="S5380" s="13"/>
      <c r="T5380" s="15"/>
      <c r="U5380" s="46" t="str">
        <f t="shared" ref="U5380:X5383" si="2279">IF($O5380=U$5,$L5380,"")</f>
        <v/>
      </c>
      <c r="V5380" s="46" t="str">
        <f t="shared" si="2279"/>
        <v/>
      </c>
      <c r="W5380" s="46" t="str">
        <f t="shared" si="2279"/>
        <v/>
      </c>
      <c r="X5380" s="46" t="str">
        <f t="shared" si="2279"/>
        <v/>
      </c>
    </row>
    <row r="5381" spans="2:24" x14ac:dyDescent="0.25">
      <c r="B5381" s="18"/>
      <c r="C5381" s="18"/>
      <c r="D5381" s="18"/>
      <c r="E5381" s="40"/>
      <c r="F5381" s="18"/>
      <c r="G5381" s="40"/>
      <c r="N5381" s="8" t="str">
        <f>IF(R5381="x",1,"")</f>
        <v/>
      </c>
      <c r="O5381" s="18"/>
      <c r="P5381" s="13"/>
      <c r="Q5381" s="13"/>
      <c r="R5381" s="13"/>
      <c r="S5381" s="13"/>
      <c r="T5381" s="15"/>
      <c r="U5381" s="46" t="str">
        <f t="shared" si="2279"/>
        <v/>
      </c>
      <c r="V5381" s="46" t="str">
        <f t="shared" si="2279"/>
        <v/>
      </c>
      <c r="W5381" s="46" t="str">
        <f t="shared" si="2279"/>
        <v/>
      </c>
      <c r="X5381" s="46" t="str">
        <f t="shared" si="2279"/>
        <v/>
      </c>
    </row>
    <row r="5382" spans="2:24" x14ac:dyDescent="0.25">
      <c r="B5382" s="11" t="str">
        <f t="shared" ref="B5382:B5387" si="2280">CONCATENATE("PIRN","-",LEFT(P5382,2),UPPER(MID(P5382,4,3)),RIGHT(P5382,4))</f>
        <v>PIRN-22JUL1908</v>
      </c>
      <c r="C5382" s="11" t="s">
        <v>3162</v>
      </c>
      <c r="D5382" s="11" t="s">
        <v>3217</v>
      </c>
      <c r="E5382" s="39" t="s">
        <v>4053</v>
      </c>
      <c r="F5382" s="11" t="s">
        <v>1700</v>
      </c>
      <c r="G5382" s="39" t="s">
        <v>4054</v>
      </c>
      <c r="H5382" s="7">
        <v>0</v>
      </c>
      <c r="I5382" s="7">
        <v>0</v>
      </c>
      <c r="J5382" s="17">
        <v>2</v>
      </c>
      <c r="K5382" s="17"/>
      <c r="L5382" s="7">
        <f t="shared" ref="L5382:L5387" si="2281">SUM(H5382:K5382)</f>
        <v>2</v>
      </c>
      <c r="M5382" s="8">
        <v>1</v>
      </c>
      <c r="N5382" s="8">
        <f t="shared" ref="N5382:N5387" si="2282">IF(L5382&gt;0,1,"")</f>
        <v>1</v>
      </c>
      <c r="O5382" s="11" t="s">
        <v>1702</v>
      </c>
      <c r="P5382" s="16" t="str">
        <f t="shared" ref="P5382:P5387" si="2283">IF(LEN(G5382)=10,CONCATENATE("0",G5382),G5382)</f>
        <v>22-Jul-1908</v>
      </c>
      <c r="R5382" s="16" t="str">
        <f t="shared" ref="R5382:S5387" si="2284">IF($L5382&gt;0,"x","")</f>
        <v>x</v>
      </c>
      <c r="S5382" s="16" t="str">
        <f t="shared" si="2284"/>
        <v>x</v>
      </c>
      <c r="U5382" s="46" t="str">
        <f t="shared" si="2279"/>
        <v/>
      </c>
      <c r="V5382" s="46">
        <f t="shared" si="2279"/>
        <v>2</v>
      </c>
      <c r="W5382" s="46" t="str">
        <f t="shared" si="2279"/>
        <v/>
      </c>
      <c r="X5382" s="46" t="str">
        <f t="shared" si="2279"/>
        <v/>
      </c>
    </row>
    <row r="5383" spans="2:24" x14ac:dyDescent="0.25">
      <c r="B5383" s="11" t="str">
        <f t="shared" si="2280"/>
        <v>PIRN-22JUL1908</v>
      </c>
      <c r="C5383" s="11" t="s">
        <v>3162</v>
      </c>
      <c r="D5383" s="11" t="s">
        <v>3007</v>
      </c>
      <c r="E5383" s="39" t="s">
        <v>4391</v>
      </c>
      <c r="F5383" s="11" t="s">
        <v>1700</v>
      </c>
      <c r="G5383" s="39" t="s">
        <v>4054</v>
      </c>
      <c r="H5383" s="7">
        <v>0</v>
      </c>
      <c r="I5383" s="7">
        <v>3</v>
      </c>
      <c r="J5383" s="17">
        <v>4</v>
      </c>
      <c r="K5383" s="17"/>
      <c r="L5383" s="7">
        <f t="shared" si="2281"/>
        <v>7</v>
      </c>
      <c r="M5383" s="8">
        <v>1</v>
      </c>
      <c r="N5383" s="8">
        <f t="shared" si="2282"/>
        <v>1</v>
      </c>
      <c r="O5383" s="11" t="s">
        <v>1702</v>
      </c>
      <c r="P5383" s="16" t="str">
        <f t="shared" si="2283"/>
        <v>22-Jul-1908</v>
      </c>
      <c r="R5383" s="16" t="str">
        <f t="shared" si="2284"/>
        <v>x</v>
      </c>
      <c r="S5383" s="16" t="str">
        <f t="shared" si="2284"/>
        <v>x</v>
      </c>
      <c r="U5383" s="46" t="str">
        <f t="shared" si="2279"/>
        <v/>
      </c>
      <c r="V5383" s="46">
        <f t="shared" si="2279"/>
        <v>7</v>
      </c>
      <c r="W5383" s="46" t="str">
        <f t="shared" si="2279"/>
        <v/>
      </c>
      <c r="X5383" s="46" t="str">
        <f t="shared" si="2279"/>
        <v/>
      </c>
    </row>
    <row r="5384" spans="2:24" x14ac:dyDescent="0.25">
      <c r="B5384" s="11" t="str">
        <f t="shared" si="2280"/>
        <v>PIRN-18AUG1909</v>
      </c>
      <c r="C5384" s="11" t="s">
        <v>3162</v>
      </c>
      <c r="D5384" s="11" t="s">
        <v>3007</v>
      </c>
      <c r="E5384" s="39" t="s">
        <v>5011</v>
      </c>
      <c r="F5384" s="11" t="s">
        <v>1700</v>
      </c>
      <c r="G5384" s="39" t="s">
        <v>5012</v>
      </c>
      <c r="H5384" s="7">
        <v>4</v>
      </c>
      <c r="I5384" s="7">
        <v>0</v>
      </c>
      <c r="J5384" s="17">
        <v>0</v>
      </c>
      <c r="K5384" s="17"/>
      <c r="L5384" s="7">
        <f t="shared" si="2281"/>
        <v>4</v>
      </c>
      <c r="M5384" s="8">
        <v>1</v>
      </c>
      <c r="N5384" s="8">
        <f t="shared" si="2282"/>
        <v>1</v>
      </c>
      <c r="O5384" s="11" t="s">
        <v>1702</v>
      </c>
      <c r="P5384" s="16" t="str">
        <f t="shared" si="2283"/>
        <v>18-Aug-1909</v>
      </c>
      <c r="R5384" s="16" t="str">
        <f t="shared" si="2284"/>
        <v>x</v>
      </c>
      <c r="S5384" s="16" t="str">
        <f t="shared" si="2284"/>
        <v>x</v>
      </c>
      <c r="U5384" s="46" t="str">
        <f t="shared" ref="U5384:X5385" si="2285">IF($O5384=U$5,$L5384,"")</f>
        <v/>
      </c>
      <c r="V5384" s="46">
        <f t="shared" si="2285"/>
        <v>4</v>
      </c>
      <c r="W5384" s="46" t="str">
        <f t="shared" si="2285"/>
        <v/>
      </c>
      <c r="X5384" s="46" t="str">
        <f t="shared" si="2285"/>
        <v/>
      </c>
    </row>
    <row r="5385" spans="2:24" x14ac:dyDescent="0.25">
      <c r="B5385" s="11" t="str">
        <f t="shared" si="2280"/>
        <v>PIRN-24DEC1909</v>
      </c>
      <c r="C5385" s="11" t="s">
        <v>3162</v>
      </c>
      <c r="D5385" s="11" t="s">
        <v>3007</v>
      </c>
      <c r="E5385" s="39" t="s">
        <v>5039</v>
      </c>
      <c r="F5385" s="11" t="s">
        <v>1700</v>
      </c>
      <c r="G5385" s="39" t="s">
        <v>3851</v>
      </c>
      <c r="H5385" s="7">
        <v>0</v>
      </c>
      <c r="I5385" s="7">
        <v>0</v>
      </c>
      <c r="J5385" s="17">
        <v>27</v>
      </c>
      <c r="K5385" s="17"/>
      <c r="L5385" s="7">
        <f t="shared" si="2281"/>
        <v>27</v>
      </c>
      <c r="M5385" s="8">
        <v>1</v>
      </c>
      <c r="N5385" s="8">
        <f t="shared" si="2282"/>
        <v>1</v>
      </c>
      <c r="O5385" s="11" t="s">
        <v>1702</v>
      </c>
      <c r="P5385" s="16" t="str">
        <f t="shared" si="2283"/>
        <v>24-Dec-1909</v>
      </c>
      <c r="R5385" s="16" t="str">
        <f t="shared" si="2284"/>
        <v>x</v>
      </c>
      <c r="S5385" s="16" t="str">
        <f t="shared" si="2284"/>
        <v>x</v>
      </c>
      <c r="U5385" s="46" t="str">
        <f t="shared" si="2285"/>
        <v/>
      </c>
      <c r="V5385" s="46">
        <f t="shared" si="2285"/>
        <v>27</v>
      </c>
      <c r="W5385" s="46" t="str">
        <f t="shared" si="2285"/>
        <v/>
      </c>
      <c r="X5385" s="46" t="str">
        <f t="shared" si="2285"/>
        <v/>
      </c>
    </row>
    <row r="5386" spans="2:24" x14ac:dyDescent="0.25">
      <c r="B5386" s="11" t="str">
        <f t="shared" si="2280"/>
        <v>PIRN-19DEC1913</v>
      </c>
      <c r="C5386" s="11" t="s">
        <v>3162</v>
      </c>
      <c r="D5386" s="11" t="s">
        <v>3007</v>
      </c>
      <c r="E5386" s="39" t="s">
        <v>3163</v>
      </c>
      <c r="F5386" s="11" t="s">
        <v>1700</v>
      </c>
      <c r="G5386" s="39" t="s">
        <v>3164</v>
      </c>
      <c r="H5386" s="7">
        <v>0</v>
      </c>
      <c r="I5386" s="7">
        <v>0</v>
      </c>
      <c r="J5386" s="17">
        <v>12</v>
      </c>
      <c r="K5386" s="17"/>
      <c r="L5386" s="7">
        <f t="shared" si="2281"/>
        <v>12</v>
      </c>
      <c r="M5386" s="8">
        <v>1</v>
      </c>
      <c r="N5386" s="8">
        <f t="shared" si="2282"/>
        <v>1</v>
      </c>
      <c r="O5386" s="11" t="s">
        <v>1702</v>
      </c>
      <c r="P5386" s="16" t="str">
        <f t="shared" si="2283"/>
        <v>19-Dec-1913</v>
      </c>
      <c r="R5386" s="16" t="str">
        <f t="shared" si="2284"/>
        <v>x</v>
      </c>
      <c r="S5386" s="16" t="str">
        <f t="shared" si="2284"/>
        <v>x</v>
      </c>
      <c r="U5386" s="46" t="str">
        <f t="shared" ref="U5386:X5389" si="2286">IF($O5386=U$5,$L5386,"")</f>
        <v/>
      </c>
      <c r="V5386" s="46">
        <f t="shared" si="2286"/>
        <v>12</v>
      </c>
      <c r="W5386" s="46" t="str">
        <f t="shared" si="2286"/>
        <v/>
      </c>
      <c r="X5386" s="46" t="str">
        <f t="shared" si="2286"/>
        <v/>
      </c>
    </row>
    <row r="5387" spans="2:24" x14ac:dyDescent="0.25">
      <c r="B5387" s="11" t="str">
        <f t="shared" si="2280"/>
        <v>PIRN-11FEB1914</v>
      </c>
      <c r="C5387" s="11" t="s">
        <v>3162</v>
      </c>
      <c r="D5387" s="11" t="s">
        <v>3007</v>
      </c>
      <c r="E5387" s="39" t="s">
        <v>1341</v>
      </c>
      <c r="F5387" s="11" t="s">
        <v>1700</v>
      </c>
      <c r="G5387" s="39" t="s">
        <v>2795</v>
      </c>
      <c r="H5387" s="7">
        <v>0</v>
      </c>
      <c r="I5387" s="7">
        <v>0</v>
      </c>
      <c r="J5387" s="17">
        <v>3</v>
      </c>
      <c r="K5387" s="17"/>
      <c r="L5387" s="7">
        <f t="shared" si="2281"/>
        <v>3</v>
      </c>
      <c r="M5387" s="8">
        <v>1</v>
      </c>
      <c r="N5387" s="8">
        <f t="shared" si="2282"/>
        <v>1</v>
      </c>
      <c r="O5387" s="11" t="s">
        <v>1702</v>
      </c>
      <c r="P5387" s="16" t="str">
        <f t="shared" si="2283"/>
        <v>11-Feb-1914</v>
      </c>
      <c r="R5387" s="16" t="str">
        <f t="shared" si="2284"/>
        <v>x</v>
      </c>
      <c r="S5387" s="16" t="str">
        <f t="shared" si="2284"/>
        <v>x</v>
      </c>
      <c r="U5387" s="46" t="str">
        <f t="shared" si="2286"/>
        <v/>
      </c>
      <c r="V5387" s="46">
        <f t="shared" si="2286"/>
        <v>3</v>
      </c>
      <c r="W5387" s="46" t="str">
        <f t="shared" si="2286"/>
        <v/>
      </c>
      <c r="X5387" s="46" t="str">
        <f t="shared" si="2286"/>
        <v/>
      </c>
    </row>
    <row r="5388" spans="2:24" x14ac:dyDescent="0.25">
      <c r="N5388" s="8" t="str">
        <f>IF(R5388="x",1,"")</f>
        <v/>
      </c>
      <c r="U5388" s="46" t="str">
        <f t="shared" si="2286"/>
        <v/>
      </c>
      <c r="V5388" s="46" t="str">
        <f t="shared" si="2286"/>
        <v/>
      </c>
      <c r="W5388" s="46" t="str">
        <f t="shared" si="2286"/>
        <v/>
      </c>
      <c r="X5388" s="46" t="str">
        <f t="shared" si="2286"/>
        <v/>
      </c>
    </row>
    <row r="5389" spans="2:24" x14ac:dyDescent="0.25">
      <c r="B5389" s="18"/>
      <c r="C5389" s="18"/>
      <c r="D5389" s="18"/>
      <c r="E5389" s="40"/>
      <c r="F5389" s="18"/>
      <c r="G5389" s="40"/>
      <c r="H5389" s="7">
        <f t="shared" ref="H5389:N5389" si="2287">SUM(H5382:H5388)</f>
        <v>4</v>
      </c>
      <c r="I5389" s="7">
        <f t="shared" si="2287"/>
        <v>3</v>
      </c>
      <c r="J5389" s="7">
        <f>SUM(J5382:J5388)</f>
        <v>48</v>
      </c>
      <c r="K5389" s="7">
        <f t="shared" si="2287"/>
        <v>0</v>
      </c>
      <c r="L5389" s="7">
        <f t="shared" si="2287"/>
        <v>55</v>
      </c>
      <c r="M5389" s="7">
        <f t="shared" si="2287"/>
        <v>6</v>
      </c>
      <c r="N5389" s="7">
        <f t="shared" si="2287"/>
        <v>6</v>
      </c>
      <c r="O5389" s="18"/>
      <c r="P5389" s="13"/>
      <c r="Q5389" s="13"/>
      <c r="S5389" s="13"/>
      <c r="T5389" s="15"/>
      <c r="U5389" s="46" t="str">
        <f t="shared" si="2286"/>
        <v/>
      </c>
      <c r="V5389" s="46" t="str">
        <f t="shared" si="2286"/>
        <v/>
      </c>
      <c r="W5389" s="46" t="str">
        <f t="shared" si="2286"/>
        <v/>
      </c>
      <c r="X5389" s="46" t="str">
        <f t="shared" si="2286"/>
        <v/>
      </c>
    </row>
    <row r="5390" spans="2:24" x14ac:dyDescent="0.25">
      <c r="B5390" s="18"/>
      <c r="C5390" s="18"/>
      <c r="D5390" s="18"/>
      <c r="E5390" s="40"/>
      <c r="F5390" s="18"/>
      <c r="G5390" s="40"/>
      <c r="N5390" s="8" t="str">
        <f>IF(R5390="x",1,"")</f>
        <v/>
      </c>
      <c r="O5390" s="18"/>
      <c r="P5390" s="13"/>
      <c r="Q5390" s="13"/>
      <c r="R5390" s="13"/>
      <c r="S5390" s="13"/>
      <c r="T5390" s="15"/>
      <c r="U5390" s="46" t="str">
        <f t="shared" ref="U5390:X5394" si="2288">IF($O5390=U$5,$L5390,"")</f>
        <v/>
      </c>
      <c r="V5390" s="46" t="str">
        <f t="shared" si="2288"/>
        <v/>
      </c>
      <c r="W5390" s="46" t="str">
        <f t="shared" si="2288"/>
        <v/>
      </c>
      <c r="X5390" s="46" t="str">
        <f t="shared" si="2288"/>
        <v/>
      </c>
    </row>
    <row r="5391" spans="2:24" x14ac:dyDescent="0.25">
      <c r="B5391" s="18"/>
      <c r="C5391" s="18"/>
      <c r="D5391" s="18"/>
      <c r="E5391" s="40"/>
      <c r="F5391" s="18"/>
      <c r="G5391" s="40"/>
      <c r="N5391" s="8" t="str">
        <f>IF(R5391="x",1,"")</f>
        <v/>
      </c>
      <c r="O5391" s="18"/>
      <c r="P5391" s="13"/>
      <c r="Q5391" s="13"/>
      <c r="R5391" s="13"/>
      <c r="S5391" s="13"/>
      <c r="T5391" s="15"/>
      <c r="U5391" s="46" t="str">
        <f t="shared" si="2288"/>
        <v/>
      </c>
      <c r="V5391" s="46" t="str">
        <f t="shared" si="2288"/>
        <v/>
      </c>
      <c r="W5391" s="46" t="str">
        <f t="shared" si="2288"/>
        <v/>
      </c>
      <c r="X5391" s="46" t="str">
        <f t="shared" si="2288"/>
        <v/>
      </c>
    </row>
    <row r="5392" spans="2:24" x14ac:dyDescent="0.25">
      <c r="B5392" s="11" t="str">
        <f>CONCATENATE("PFWM","-",LEFT(P5392,2),UPPER(MID(P5392,4,3)),RIGHT(P5392,4))</f>
        <v>PFWM-10APR1907</v>
      </c>
      <c r="C5392" s="11" t="s">
        <v>6317</v>
      </c>
      <c r="D5392" s="11" t="s">
        <v>3359</v>
      </c>
      <c r="E5392" s="39" t="s">
        <v>5890</v>
      </c>
      <c r="F5392" s="11" t="s">
        <v>4064</v>
      </c>
      <c r="G5392" s="39" t="s">
        <v>6318</v>
      </c>
      <c r="J5392" s="17">
        <v>27</v>
      </c>
      <c r="K5392" s="17"/>
      <c r="L5392" s="7">
        <f>SUM(H5392:K5392)</f>
        <v>27</v>
      </c>
      <c r="M5392" s="8">
        <v>1</v>
      </c>
      <c r="N5392" s="8">
        <f>IF(L5392&gt;0,1,"")</f>
        <v>1</v>
      </c>
      <c r="O5392" s="11" t="s">
        <v>1702</v>
      </c>
      <c r="P5392" s="16" t="str">
        <f>IF(LEN(G5392)=10,CONCATENATE("0",G5392),G5392)</f>
        <v>10-Apr-1907</v>
      </c>
      <c r="R5392" s="16" t="str">
        <f>IF($L5392&gt;0,"x","")</f>
        <v>x</v>
      </c>
      <c r="S5392" s="16" t="str">
        <f>IF($L5392&gt;0,"x","")</f>
        <v>x</v>
      </c>
      <c r="U5392" s="46" t="str">
        <f t="shared" si="2288"/>
        <v/>
      </c>
      <c r="V5392" s="46">
        <f t="shared" si="2288"/>
        <v>27</v>
      </c>
      <c r="W5392" s="46" t="str">
        <f t="shared" si="2288"/>
        <v/>
      </c>
      <c r="X5392" s="46" t="str">
        <f t="shared" si="2288"/>
        <v/>
      </c>
    </row>
    <row r="5393" spans="2:26" x14ac:dyDescent="0.25">
      <c r="N5393" s="8" t="str">
        <f>IF(R5393="x",1,"")</f>
        <v/>
      </c>
      <c r="U5393" s="46" t="str">
        <f t="shared" si="2288"/>
        <v/>
      </c>
      <c r="V5393" s="46" t="str">
        <f t="shared" si="2288"/>
        <v/>
      </c>
      <c r="W5393" s="46" t="str">
        <f t="shared" si="2288"/>
        <v/>
      </c>
      <c r="X5393" s="46" t="str">
        <f t="shared" si="2288"/>
        <v/>
      </c>
    </row>
    <row r="5394" spans="2:26" x14ac:dyDescent="0.25">
      <c r="B5394" s="18"/>
      <c r="C5394" s="18"/>
      <c r="D5394" s="18"/>
      <c r="E5394" s="40"/>
      <c r="F5394" s="18"/>
      <c r="G5394" s="40"/>
      <c r="H5394" s="7">
        <f t="shared" ref="H5394:N5394" si="2289">SUM(H5392:H5393)</f>
        <v>0</v>
      </c>
      <c r="I5394" s="7">
        <f t="shared" si="2289"/>
        <v>0</v>
      </c>
      <c r="J5394" s="7">
        <f>SUM(J5392:J5393)</f>
        <v>27</v>
      </c>
      <c r="K5394" s="7">
        <f t="shared" si="2289"/>
        <v>0</v>
      </c>
      <c r="L5394" s="7">
        <f t="shared" si="2289"/>
        <v>27</v>
      </c>
      <c r="M5394" s="7">
        <f t="shared" si="2289"/>
        <v>1</v>
      </c>
      <c r="N5394" s="7">
        <f t="shared" si="2289"/>
        <v>1</v>
      </c>
      <c r="O5394" s="18"/>
      <c r="P5394" s="13"/>
      <c r="Q5394" s="13"/>
      <c r="S5394" s="13"/>
      <c r="T5394" s="15"/>
      <c r="U5394" s="46" t="str">
        <f t="shared" si="2288"/>
        <v/>
      </c>
      <c r="V5394" s="46" t="str">
        <f t="shared" si="2288"/>
        <v/>
      </c>
      <c r="W5394" s="46" t="str">
        <f t="shared" si="2288"/>
        <v/>
      </c>
      <c r="X5394" s="46" t="str">
        <f t="shared" si="2288"/>
        <v/>
      </c>
    </row>
    <row r="5395" spans="2:26" x14ac:dyDescent="0.25">
      <c r="B5395" s="18"/>
      <c r="C5395" s="18"/>
      <c r="D5395" s="18"/>
      <c r="E5395" s="40"/>
      <c r="F5395" s="18"/>
      <c r="G5395" s="40"/>
      <c r="N5395" s="8" t="str">
        <f>IF(R5395="x",1,"")</f>
        <v/>
      </c>
      <c r="O5395" s="18"/>
      <c r="P5395" s="13"/>
      <c r="Q5395" s="13"/>
      <c r="R5395" s="13"/>
      <c r="S5395" s="13"/>
      <c r="T5395" s="15"/>
      <c r="U5395" s="46" t="str">
        <f t="shared" ref="U5395:X5397" si="2290">IF($O5395=U$5,$L5395,"")</f>
        <v/>
      </c>
      <c r="V5395" s="46" t="str">
        <f t="shared" si="2290"/>
        <v/>
      </c>
      <c r="W5395" s="46" t="str">
        <f t="shared" si="2290"/>
        <v/>
      </c>
      <c r="X5395" s="46" t="str">
        <f t="shared" si="2290"/>
        <v/>
      </c>
    </row>
    <row r="5396" spans="2:26" x14ac:dyDescent="0.25">
      <c r="B5396" s="18"/>
      <c r="C5396" s="18"/>
      <c r="D5396" s="18"/>
      <c r="E5396" s="40"/>
      <c r="F5396" s="18"/>
      <c r="G5396" s="40"/>
      <c r="N5396" s="8" t="str">
        <f>IF(R5396="x",1,"")</f>
        <v/>
      </c>
      <c r="O5396" s="18"/>
      <c r="P5396" s="13"/>
      <c r="Q5396" s="13"/>
      <c r="R5396" s="13"/>
      <c r="S5396" s="13"/>
      <c r="T5396" s="15"/>
      <c r="U5396" s="46" t="str">
        <f t="shared" si="2290"/>
        <v/>
      </c>
      <c r="V5396" s="46" t="str">
        <f t="shared" si="2290"/>
        <v/>
      </c>
      <c r="W5396" s="46" t="str">
        <f t="shared" si="2290"/>
        <v/>
      </c>
      <c r="X5396" s="46" t="str">
        <f t="shared" si="2290"/>
        <v/>
      </c>
    </row>
    <row r="5397" spans="2:26" s="18" customFormat="1" x14ac:dyDescent="0.25">
      <c r="B5397" s="11" t="str">
        <f t="shared" ref="B5397:B5411" si="2291">CONCATENATE("PROV","-",LEFT(P5397,2),UPPER(MID(P5397,4,3)),RIGHT(P5397,4))</f>
        <v>PROV-17JUN1920</v>
      </c>
      <c r="C5397" s="11" t="s">
        <v>1602</v>
      </c>
      <c r="D5397" s="11" t="s">
        <v>870</v>
      </c>
      <c r="E5397" s="39" t="s">
        <v>4145</v>
      </c>
      <c r="F5397" s="11" t="s">
        <v>1602</v>
      </c>
      <c r="G5397" s="39" t="s">
        <v>6111</v>
      </c>
      <c r="H5397" s="7">
        <v>14</v>
      </c>
      <c r="I5397" s="7">
        <f>5+3</f>
        <v>8</v>
      </c>
      <c r="J5397" s="17">
        <v>0</v>
      </c>
      <c r="K5397" s="17"/>
      <c r="L5397" s="7">
        <f t="shared" ref="L5397:L5411" si="2292">SUM(H5397:K5397)</f>
        <v>22</v>
      </c>
      <c r="M5397" s="8">
        <v>1</v>
      </c>
      <c r="N5397" s="8">
        <f t="shared" ref="N5397:N5411" si="2293">IF(L5397&gt;0,1,"")</f>
        <v>1</v>
      </c>
      <c r="O5397" s="11" t="s">
        <v>1702</v>
      </c>
      <c r="P5397" s="16" t="str">
        <f t="shared" ref="P5397:P5411" si="2294">IF(LEN(G5397)=10,CONCATENATE("0",G5397),G5397)</f>
        <v>17-Jun-1920</v>
      </c>
      <c r="Q5397" s="16"/>
      <c r="R5397" s="16" t="str">
        <f t="shared" ref="R5397:S5400" si="2295">IF($L5397&gt;0,"x","")</f>
        <v>x</v>
      </c>
      <c r="S5397" s="16" t="str">
        <f t="shared" si="2295"/>
        <v>x</v>
      </c>
      <c r="T5397" s="12"/>
      <c r="U5397" s="46" t="str">
        <f t="shared" si="2290"/>
        <v/>
      </c>
      <c r="V5397" s="46">
        <f t="shared" si="2290"/>
        <v>22</v>
      </c>
      <c r="W5397" s="46" t="str">
        <f t="shared" si="2290"/>
        <v/>
      </c>
      <c r="X5397" s="46" t="str">
        <f t="shared" si="2290"/>
        <v/>
      </c>
      <c r="Z5397" s="11"/>
    </row>
    <row r="5398" spans="2:26" s="18" customFormat="1" x14ac:dyDescent="0.25">
      <c r="B5398" s="11" t="str">
        <f>CONCATENATE("PROV","-",LEFT(P5398,2),UPPER(MID(P5398,4,3)),RIGHT(P5398,4))</f>
        <v>PROV-25AUG1920</v>
      </c>
      <c r="C5398" s="11" t="s">
        <v>1602</v>
      </c>
      <c r="D5398" s="11" t="s">
        <v>870</v>
      </c>
      <c r="E5398" s="39" t="s">
        <v>1575</v>
      </c>
      <c r="F5398" s="11" t="s">
        <v>1700</v>
      </c>
      <c r="G5398" s="39" t="s">
        <v>2554</v>
      </c>
      <c r="H5398" s="7">
        <v>0</v>
      </c>
      <c r="I5398" s="7">
        <v>2</v>
      </c>
      <c r="J5398" s="17">
        <v>0</v>
      </c>
      <c r="K5398" s="17"/>
      <c r="L5398" s="7">
        <f>SUM(H5398:K5398)</f>
        <v>2</v>
      </c>
      <c r="M5398" s="8">
        <v>1</v>
      </c>
      <c r="N5398" s="8">
        <f>IF(L5398&gt;0,1,"")</f>
        <v>1</v>
      </c>
      <c r="O5398" s="11" t="s">
        <v>1702</v>
      </c>
      <c r="P5398" s="16" t="str">
        <f>IF(LEN(G5398)=10,CONCATENATE("0",G5398),G5398)</f>
        <v>25-Aug-1920</v>
      </c>
      <c r="Q5398" s="16"/>
      <c r="R5398" s="16" t="str">
        <f t="shared" si="2295"/>
        <v>x</v>
      </c>
      <c r="S5398" s="16" t="str">
        <f t="shared" si="2295"/>
        <v>x</v>
      </c>
      <c r="T5398" s="12"/>
      <c r="U5398" s="46" t="str">
        <f t="shared" ref="U5398:X5401" si="2296">IF($O5398=U$5,$L5398,"")</f>
        <v/>
      </c>
      <c r="V5398" s="46">
        <f t="shared" si="2296"/>
        <v>2</v>
      </c>
      <c r="W5398" s="46" t="str">
        <f t="shared" si="2296"/>
        <v/>
      </c>
      <c r="X5398" s="46" t="str">
        <f t="shared" si="2296"/>
        <v/>
      </c>
      <c r="Z5398" s="11"/>
    </row>
    <row r="5399" spans="2:26" s="18" customFormat="1" x14ac:dyDescent="0.25">
      <c r="B5399" s="11" t="str">
        <f>CONCATENATE("PROV","-",LEFT(P5399,2),UPPER(MID(P5399,4,3)),RIGHT(P5399,4))</f>
        <v>PROV-25AUG1920</v>
      </c>
      <c r="C5399" s="11" t="s">
        <v>1602</v>
      </c>
      <c r="D5399" s="11" t="s">
        <v>3007</v>
      </c>
      <c r="E5399" s="39" t="s">
        <v>3294</v>
      </c>
      <c r="F5399" s="11" t="s">
        <v>1700</v>
      </c>
      <c r="G5399" s="39" t="s">
        <v>2554</v>
      </c>
      <c r="H5399" s="7">
        <v>2</v>
      </c>
      <c r="I5399" s="7">
        <v>0</v>
      </c>
      <c r="J5399" s="17">
        <v>0</v>
      </c>
      <c r="K5399" s="17"/>
      <c r="L5399" s="7">
        <f>SUM(H5399:K5399)</f>
        <v>2</v>
      </c>
      <c r="M5399" s="8">
        <v>1</v>
      </c>
      <c r="N5399" s="8">
        <f>IF(L5399&gt;0,1,"")</f>
        <v>1</v>
      </c>
      <c r="O5399" s="11" t="s">
        <v>1702</v>
      </c>
      <c r="P5399" s="16" t="str">
        <f>IF(LEN(G5399)=10,CONCATENATE("0",G5399),G5399)</f>
        <v>25-Aug-1920</v>
      </c>
      <c r="Q5399" s="16"/>
      <c r="R5399" s="16" t="str">
        <f t="shared" si="2295"/>
        <v>x</v>
      </c>
      <c r="S5399" s="16" t="str">
        <f t="shared" si="2295"/>
        <v>x</v>
      </c>
      <c r="T5399" s="12"/>
      <c r="U5399" s="46" t="str">
        <f t="shared" si="2296"/>
        <v/>
      </c>
      <c r="V5399" s="46">
        <f t="shared" si="2296"/>
        <v>2</v>
      </c>
      <c r="W5399" s="46" t="str">
        <f t="shared" si="2296"/>
        <v/>
      </c>
      <c r="X5399" s="46" t="str">
        <f t="shared" si="2296"/>
        <v/>
      </c>
      <c r="Z5399" s="11"/>
    </row>
    <row r="5400" spans="2:26" s="18" customFormat="1" x14ac:dyDescent="0.25">
      <c r="B5400" s="11" t="str">
        <f>CONCATENATE("PROV","-",LEFT(P5400,2),UPPER(MID(P5400,4,3)),RIGHT(P5400,4))</f>
        <v>PROV-12OCT1920</v>
      </c>
      <c r="C5400" s="11" t="s">
        <v>1602</v>
      </c>
      <c r="D5400" s="11" t="s">
        <v>3007</v>
      </c>
      <c r="E5400" s="39" t="s">
        <v>2573</v>
      </c>
      <c r="F5400" s="11" t="s">
        <v>1700</v>
      </c>
      <c r="G5400" s="39" t="s">
        <v>2039</v>
      </c>
      <c r="H5400" s="7">
        <v>1</v>
      </c>
      <c r="I5400" s="7">
        <f>3+1</f>
        <v>4</v>
      </c>
      <c r="J5400" s="17">
        <v>0</v>
      </c>
      <c r="K5400" s="17"/>
      <c r="L5400" s="7">
        <f>SUM(H5400:K5400)</f>
        <v>5</v>
      </c>
      <c r="M5400" s="8">
        <v>1</v>
      </c>
      <c r="N5400" s="8">
        <f>IF(L5400&gt;0,1,"")</f>
        <v>1</v>
      </c>
      <c r="O5400" s="11" t="s">
        <v>1702</v>
      </c>
      <c r="P5400" s="16" t="str">
        <f>IF(LEN(G5400)=10,CONCATENATE("0",G5400),G5400)</f>
        <v>12-Oct-1920</v>
      </c>
      <c r="Q5400" s="16"/>
      <c r="R5400" s="16" t="str">
        <f t="shared" si="2295"/>
        <v>x</v>
      </c>
      <c r="S5400" s="16" t="str">
        <f t="shared" si="2295"/>
        <v>x</v>
      </c>
      <c r="T5400" s="12"/>
      <c r="U5400" s="46" t="str">
        <f t="shared" si="2296"/>
        <v/>
      </c>
      <c r="V5400" s="46">
        <f t="shared" si="2296"/>
        <v>5</v>
      </c>
      <c r="W5400" s="46" t="str">
        <f t="shared" si="2296"/>
        <v/>
      </c>
      <c r="X5400" s="46" t="str">
        <f t="shared" si="2296"/>
        <v/>
      </c>
      <c r="Z5400" s="11"/>
    </row>
    <row r="5401" spans="2:26" s="18" customFormat="1" x14ac:dyDescent="0.25">
      <c r="B5401" s="11" t="str">
        <f t="shared" si="2291"/>
        <v>PROV-14APR1922</v>
      </c>
      <c r="C5401" s="11" t="s">
        <v>1602</v>
      </c>
      <c r="D5401" s="11" t="s">
        <v>870</v>
      </c>
      <c r="E5401" s="39" t="s">
        <v>4269</v>
      </c>
      <c r="F5401" s="11" t="s">
        <v>1700</v>
      </c>
      <c r="G5401" s="39" t="s">
        <v>4270</v>
      </c>
      <c r="H5401" s="7">
        <v>0</v>
      </c>
      <c r="I5401" s="7">
        <v>0</v>
      </c>
      <c r="J5401" s="17">
        <f>0+5</f>
        <v>5</v>
      </c>
      <c r="K5401" s="17"/>
      <c r="L5401" s="7">
        <f t="shared" si="2292"/>
        <v>5</v>
      </c>
      <c r="M5401" s="8">
        <v>1</v>
      </c>
      <c r="N5401" s="8">
        <f t="shared" si="2293"/>
        <v>1</v>
      </c>
      <c r="O5401" s="11" t="s">
        <v>1702</v>
      </c>
      <c r="P5401" s="16" t="str">
        <f t="shared" si="2294"/>
        <v>14-Apr-1922</v>
      </c>
      <c r="Q5401" s="16"/>
      <c r="R5401" s="16" t="str">
        <f t="shared" ref="R5401:S5411" si="2297">IF($L5401&gt;0,"x","")</f>
        <v>x</v>
      </c>
      <c r="S5401" s="16" t="str">
        <f t="shared" si="2297"/>
        <v>x</v>
      </c>
      <c r="T5401" s="12"/>
      <c r="U5401" s="46" t="str">
        <f t="shared" si="2296"/>
        <v/>
      </c>
      <c r="V5401" s="46">
        <f t="shared" si="2296"/>
        <v>5</v>
      </c>
      <c r="W5401" s="46" t="str">
        <f t="shared" si="2296"/>
        <v/>
      </c>
      <c r="X5401" s="46" t="str">
        <f t="shared" si="2296"/>
        <v/>
      </c>
      <c r="Z5401" s="11"/>
    </row>
    <row r="5402" spans="2:26" s="18" customFormat="1" x14ac:dyDescent="0.25">
      <c r="B5402" s="11" t="str">
        <f t="shared" si="2291"/>
        <v>PROV-08JUN1922</v>
      </c>
      <c r="C5402" s="11" t="s">
        <v>1602</v>
      </c>
      <c r="D5402" s="11" t="s">
        <v>870</v>
      </c>
      <c r="E5402" s="39" t="s">
        <v>2975</v>
      </c>
      <c r="F5402" s="11" t="s">
        <v>1700</v>
      </c>
      <c r="G5402" s="39" t="s">
        <v>3524</v>
      </c>
      <c r="H5402" s="7">
        <v>0</v>
      </c>
      <c r="I5402" s="7">
        <f>0+1</f>
        <v>1</v>
      </c>
      <c r="J5402" s="17">
        <v>0</v>
      </c>
      <c r="K5402" s="17"/>
      <c r="L5402" s="7">
        <f t="shared" si="2292"/>
        <v>1</v>
      </c>
      <c r="M5402" s="8">
        <v>1</v>
      </c>
      <c r="N5402" s="8">
        <f t="shared" si="2293"/>
        <v>1</v>
      </c>
      <c r="O5402" s="11" t="s">
        <v>1702</v>
      </c>
      <c r="P5402" s="16" t="str">
        <f t="shared" si="2294"/>
        <v>08-Jun-1922</v>
      </c>
      <c r="Q5402" s="16"/>
      <c r="R5402" s="16" t="str">
        <f t="shared" si="2297"/>
        <v>x</v>
      </c>
      <c r="S5402" s="16" t="str">
        <f t="shared" si="2297"/>
        <v>x</v>
      </c>
      <c r="T5402" s="12"/>
      <c r="U5402" s="46" t="str">
        <f t="shared" ref="U5402:X5404" si="2298">IF($O5402=U$5,$L5402,"")</f>
        <v/>
      </c>
      <c r="V5402" s="46">
        <f t="shared" si="2298"/>
        <v>1</v>
      </c>
      <c r="W5402" s="46" t="str">
        <f t="shared" si="2298"/>
        <v/>
      </c>
      <c r="X5402" s="46" t="str">
        <f t="shared" si="2298"/>
        <v/>
      </c>
      <c r="Z5402" s="11"/>
    </row>
    <row r="5403" spans="2:26" s="18" customFormat="1" x14ac:dyDescent="0.25">
      <c r="B5403" s="11" t="str">
        <f t="shared" si="2291"/>
        <v>PROV-14MAR1923</v>
      </c>
      <c r="C5403" s="11" t="s">
        <v>1602</v>
      </c>
      <c r="D5403" s="11" t="s">
        <v>870</v>
      </c>
      <c r="E5403" s="39" t="s">
        <v>4296</v>
      </c>
      <c r="F5403" s="11" t="s">
        <v>1700</v>
      </c>
      <c r="G5403" s="39" t="s">
        <v>4230</v>
      </c>
      <c r="H5403" s="7">
        <v>0</v>
      </c>
      <c r="I5403" s="7">
        <v>0</v>
      </c>
      <c r="J5403" s="17">
        <f>0+4</f>
        <v>4</v>
      </c>
      <c r="K5403" s="17"/>
      <c r="L5403" s="7">
        <f t="shared" si="2292"/>
        <v>4</v>
      </c>
      <c r="M5403" s="8">
        <v>1</v>
      </c>
      <c r="N5403" s="8">
        <f t="shared" si="2293"/>
        <v>1</v>
      </c>
      <c r="O5403" s="11" t="s">
        <v>1702</v>
      </c>
      <c r="P5403" s="16" t="str">
        <f t="shared" si="2294"/>
        <v>14-Mar-1923</v>
      </c>
      <c r="Q5403" s="16"/>
      <c r="R5403" s="16" t="str">
        <f t="shared" si="2297"/>
        <v>x</v>
      </c>
      <c r="S5403" s="16" t="str">
        <f t="shared" si="2297"/>
        <v>x</v>
      </c>
      <c r="T5403" s="12"/>
      <c r="U5403" s="46" t="str">
        <f t="shared" si="2298"/>
        <v/>
      </c>
      <c r="V5403" s="46">
        <f t="shared" si="2298"/>
        <v>4</v>
      </c>
      <c r="W5403" s="46" t="str">
        <f t="shared" si="2298"/>
        <v/>
      </c>
      <c r="X5403" s="46" t="str">
        <f t="shared" si="2298"/>
        <v/>
      </c>
      <c r="Z5403" s="11"/>
    </row>
    <row r="5404" spans="2:26" s="18" customFormat="1" x14ac:dyDescent="0.25">
      <c r="B5404" s="11" t="str">
        <f>CONCATENATE("PROV","-",LEFT(P5404,2),UPPER(MID(P5404,4,3)),RIGHT(P5404,4))</f>
        <v>PROV-09MAY1927</v>
      </c>
      <c r="C5404" s="11" t="s">
        <v>1602</v>
      </c>
      <c r="D5404" s="11" t="s">
        <v>870</v>
      </c>
      <c r="E5404" s="39" t="s">
        <v>6262</v>
      </c>
      <c r="F5404" s="11" t="s">
        <v>1602</v>
      </c>
      <c r="G5404" s="39" t="s">
        <v>6263</v>
      </c>
      <c r="H5404" s="7">
        <v>0</v>
      </c>
      <c r="I5404" s="7">
        <v>16</v>
      </c>
      <c r="J5404" s="17">
        <f>1+1</f>
        <v>2</v>
      </c>
      <c r="K5404" s="17"/>
      <c r="L5404" s="7">
        <f>SUM(H5404:K5404)</f>
        <v>18</v>
      </c>
      <c r="M5404" s="8">
        <v>1</v>
      </c>
      <c r="N5404" s="8">
        <f>IF(L5404&gt;0,1,"")</f>
        <v>1</v>
      </c>
      <c r="O5404" s="11" t="s">
        <v>1702</v>
      </c>
      <c r="P5404" s="16" t="str">
        <f>IF(LEN(G5404)=10,CONCATENATE("0",G5404),G5404)</f>
        <v>09-May-1927</v>
      </c>
      <c r="Q5404" s="16"/>
      <c r="R5404" s="16" t="str">
        <f t="shared" si="2297"/>
        <v>x</v>
      </c>
      <c r="S5404" s="16" t="str">
        <f t="shared" si="2297"/>
        <v>x</v>
      </c>
      <c r="T5404" s="12"/>
      <c r="U5404" s="46" t="str">
        <f t="shared" si="2298"/>
        <v/>
      </c>
      <c r="V5404" s="46">
        <f t="shared" si="2298"/>
        <v>18</v>
      </c>
      <c r="W5404" s="46" t="str">
        <f t="shared" si="2298"/>
        <v/>
      </c>
      <c r="X5404" s="46" t="str">
        <f t="shared" si="2298"/>
        <v/>
      </c>
      <c r="Z5404" s="11"/>
    </row>
    <row r="5405" spans="2:26" s="18" customFormat="1" x14ac:dyDescent="0.25">
      <c r="B5405" s="11" t="str">
        <f t="shared" si="2291"/>
        <v>PROV-08JUL1927</v>
      </c>
      <c r="C5405" s="11" t="s">
        <v>1602</v>
      </c>
      <c r="D5405" s="11" t="s">
        <v>870</v>
      </c>
      <c r="E5405" s="39" t="s">
        <v>4513</v>
      </c>
      <c r="F5405" s="11" t="s">
        <v>1602</v>
      </c>
      <c r="G5405" s="39" t="s">
        <v>4514</v>
      </c>
      <c r="H5405" s="7"/>
      <c r="I5405" s="7">
        <v>9</v>
      </c>
      <c r="J5405" s="17">
        <v>2</v>
      </c>
      <c r="K5405" s="17"/>
      <c r="L5405" s="7">
        <f t="shared" si="2292"/>
        <v>11</v>
      </c>
      <c r="M5405" s="8">
        <v>1</v>
      </c>
      <c r="N5405" s="8">
        <f t="shared" si="2293"/>
        <v>1</v>
      </c>
      <c r="O5405" s="11" t="s">
        <v>1702</v>
      </c>
      <c r="P5405" s="16" t="str">
        <f t="shared" si="2294"/>
        <v>08-Jul-1927</v>
      </c>
      <c r="Q5405" s="16"/>
      <c r="R5405" s="16" t="str">
        <f t="shared" si="2297"/>
        <v>x</v>
      </c>
      <c r="S5405" s="16" t="str">
        <f t="shared" si="2297"/>
        <v>x</v>
      </c>
      <c r="T5405" s="12"/>
      <c r="U5405" s="46" t="str">
        <f t="shared" ref="U5405:X5411" si="2299">IF($O5405=U$5,$L5405,"")</f>
        <v/>
      </c>
      <c r="V5405" s="46">
        <f t="shared" si="2299"/>
        <v>11</v>
      </c>
      <c r="W5405" s="46" t="str">
        <f t="shared" si="2299"/>
        <v/>
      </c>
      <c r="X5405" s="46" t="str">
        <f t="shared" si="2299"/>
        <v/>
      </c>
      <c r="Z5405" s="11"/>
    </row>
    <row r="5406" spans="2:26" s="18" customFormat="1" x14ac:dyDescent="0.25">
      <c r="B5406" s="11" t="str">
        <f t="shared" si="2291"/>
        <v>PROV-31AUG1927</v>
      </c>
      <c r="C5406" s="11" t="s">
        <v>1602</v>
      </c>
      <c r="D5406" s="11" t="s">
        <v>870</v>
      </c>
      <c r="E5406" s="39" t="s">
        <v>6201</v>
      </c>
      <c r="F5406" s="11" t="s">
        <v>1602</v>
      </c>
      <c r="G5406" s="39" t="s">
        <v>6202</v>
      </c>
      <c r="H5406" s="7">
        <v>0</v>
      </c>
      <c r="I5406" s="7">
        <v>3</v>
      </c>
      <c r="J5406" s="17">
        <v>1</v>
      </c>
      <c r="K5406" s="17"/>
      <c r="L5406" s="7">
        <f t="shared" si="2292"/>
        <v>4</v>
      </c>
      <c r="M5406" s="8">
        <v>1</v>
      </c>
      <c r="N5406" s="8">
        <f t="shared" si="2293"/>
        <v>1</v>
      </c>
      <c r="O5406" s="11" t="s">
        <v>1702</v>
      </c>
      <c r="P5406" s="16" t="str">
        <f t="shared" si="2294"/>
        <v>31-Aug-1927</v>
      </c>
      <c r="Q5406" s="16"/>
      <c r="R5406" s="16" t="str">
        <f t="shared" si="2297"/>
        <v>x</v>
      </c>
      <c r="S5406" s="16" t="str">
        <f t="shared" si="2297"/>
        <v>x</v>
      </c>
      <c r="T5406" s="12"/>
      <c r="U5406" s="46" t="str">
        <f t="shared" si="2299"/>
        <v/>
      </c>
      <c r="V5406" s="46">
        <f t="shared" si="2299"/>
        <v>4</v>
      </c>
      <c r="W5406" s="46" t="str">
        <f t="shared" si="2299"/>
        <v/>
      </c>
      <c r="X5406" s="46" t="str">
        <f t="shared" si="2299"/>
        <v/>
      </c>
      <c r="Z5406" s="11"/>
    </row>
    <row r="5407" spans="2:26" s="18" customFormat="1" x14ac:dyDescent="0.25">
      <c r="B5407" s="11" t="str">
        <f>CONCATENATE("PROV","-",LEFT(P5407,2),UPPER(MID(P5407,4,3)),RIGHT(P5407,4))</f>
        <v>PROV-12NOV1927</v>
      </c>
      <c r="C5407" s="11" t="s">
        <v>1602</v>
      </c>
      <c r="D5407" s="11" t="s">
        <v>870</v>
      </c>
      <c r="E5407" s="39" t="s">
        <v>11342</v>
      </c>
      <c r="F5407" s="11" t="s">
        <v>1602</v>
      </c>
      <c r="G5407" s="39" t="s">
        <v>11343</v>
      </c>
      <c r="H5407" s="7">
        <v>0</v>
      </c>
      <c r="I5407" s="7">
        <f>22+5</f>
        <v>27</v>
      </c>
      <c r="J5407" s="17">
        <v>1</v>
      </c>
      <c r="K5407" s="17"/>
      <c r="L5407" s="7">
        <f>SUM(H5407:K5407)</f>
        <v>28</v>
      </c>
      <c r="M5407" s="8">
        <v>1</v>
      </c>
      <c r="N5407" s="8">
        <f>IF(L5407&gt;0,1,"")</f>
        <v>1</v>
      </c>
      <c r="O5407" s="11" t="s">
        <v>1702</v>
      </c>
      <c r="P5407" s="16" t="str">
        <f>IF(LEN(G5407)=10,CONCATENATE("0",G5407),G5407)</f>
        <v>12-Nov-1927</v>
      </c>
      <c r="Q5407" s="16"/>
      <c r="R5407" s="16" t="str">
        <f t="shared" si="2297"/>
        <v>x</v>
      </c>
      <c r="S5407" s="16" t="str">
        <f t="shared" si="2297"/>
        <v>x</v>
      </c>
      <c r="T5407" s="12"/>
      <c r="U5407" s="46" t="str">
        <f t="shared" si="2299"/>
        <v/>
      </c>
      <c r="V5407" s="46">
        <f t="shared" si="2299"/>
        <v>28</v>
      </c>
      <c r="W5407" s="46" t="str">
        <f t="shared" si="2299"/>
        <v/>
      </c>
      <c r="X5407" s="46" t="str">
        <f t="shared" si="2299"/>
        <v/>
      </c>
      <c r="Z5407" s="11"/>
    </row>
    <row r="5408" spans="2:26" s="18" customFormat="1" x14ac:dyDescent="0.25">
      <c r="B5408" s="11" t="str">
        <f>CONCATENATE("PROV","-",LEFT(P5408,2),UPPER(MID(P5408,4,3)),RIGHT(P5408,4))</f>
        <v>PROV-23JUN1928</v>
      </c>
      <c r="C5408" s="11" t="s">
        <v>1602</v>
      </c>
      <c r="D5408" s="11" t="s">
        <v>870</v>
      </c>
      <c r="E5408" s="39" t="s">
        <v>6203</v>
      </c>
      <c r="F5408" s="11" t="s">
        <v>1602</v>
      </c>
      <c r="G5408" s="39" t="s">
        <v>6204</v>
      </c>
      <c r="H5408" s="7">
        <v>0</v>
      </c>
      <c r="I5408" s="7">
        <v>10</v>
      </c>
      <c r="J5408" s="17">
        <v>0</v>
      </c>
      <c r="K5408" s="17"/>
      <c r="L5408" s="7">
        <f>SUM(H5408:K5408)</f>
        <v>10</v>
      </c>
      <c r="M5408" s="8">
        <v>1</v>
      </c>
      <c r="N5408" s="8">
        <f>IF(L5408&gt;0,1,"")</f>
        <v>1</v>
      </c>
      <c r="O5408" s="11" t="s">
        <v>1702</v>
      </c>
      <c r="P5408" s="16" t="str">
        <f>IF(LEN(G5408)=10,CONCATENATE("0",G5408),G5408)</f>
        <v>23-Jun-1928</v>
      </c>
      <c r="Q5408" s="16"/>
      <c r="R5408" s="16" t="str">
        <f t="shared" si="2297"/>
        <v>x</v>
      </c>
      <c r="S5408" s="16" t="str">
        <f t="shared" si="2297"/>
        <v>x</v>
      </c>
      <c r="T5408" s="12"/>
      <c r="U5408" s="46" t="str">
        <f>IF($O5408=U$5,$L5408,"")</f>
        <v/>
      </c>
      <c r="V5408" s="46">
        <f>IF($O5408=V$5,$L5408,"")</f>
        <v>10</v>
      </c>
      <c r="W5408" s="46" t="str">
        <f>IF($O5408=W$5,$L5408,"")</f>
        <v/>
      </c>
      <c r="X5408" s="46" t="str">
        <f>IF($O5408=X$5,$L5408,"")</f>
        <v/>
      </c>
      <c r="Z5408" s="11"/>
    </row>
    <row r="5409" spans="2:26" s="18" customFormat="1" x14ac:dyDescent="0.25">
      <c r="B5409" s="11" t="str">
        <f t="shared" si="2291"/>
        <v>PROV-14NOV1928</v>
      </c>
      <c r="C5409" s="11" t="s">
        <v>1602</v>
      </c>
      <c r="D5409" s="11" t="s">
        <v>870</v>
      </c>
      <c r="E5409" s="39" t="s">
        <v>6199</v>
      </c>
      <c r="F5409" s="11" t="s">
        <v>1602</v>
      </c>
      <c r="G5409" s="39" t="s">
        <v>6200</v>
      </c>
      <c r="H5409" s="7">
        <v>0</v>
      </c>
      <c r="I5409" s="7">
        <f>16+2</f>
        <v>18</v>
      </c>
      <c r="J5409" s="17">
        <v>2</v>
      </c>
      <c r="K5409" s="17"/>
      <c r="L5409" s="7">
        <f t="shared" si="2292"/>
        <v>20</v>
      </c>
      <c r="M5409" s="8">
        <v>1</v>
      </c>
      <c r="N5409" s="8">
        <f t="shared" si="2293"/>
        <v>1</v>
      </c>
      <c r="O5409" s="11" t="s">
        <v>1702</v>
      </c>
      <c r="P5409" s="16" t="str">
        <f t="shared" si="2294"/>
        <v>14-Nov-1928</v>
      </c>
      <c r="Q5409" s="16"/>
      <c r="R5409" s="16" t="str">
        <f t="shared" si="2297"/>
        <v>x</v>
      </c>
      <c r="S5409" s="16" t="str">
        <f t="shared" si="2297"/>
        <v>x</v>
      </c>
      <c r="T5409" s="12"/>
      <c r="U5409" s="46" t="str">
        <f t="shared" si="2299"/>
        <v/>
      </c>
      <c r="V5409" s="46">
        <f t="shared" si="2299"/>
        <v>20</v>
      </c>
      <c r="W5409" s="46" t="str">
        <f t="shared" si="2299"/>
        <v/>
      </c>
      <c r="X5409" s="46" t="str">
        <f t="shared" si="2299"/>
        <v/>
      </c>
      <c r="Z5409" s="11"/>
    </row>
    <row r="5410" spans="2:26" s="18" customFormat="1" x14ac:dyDescent="0.25">
      <c r="B5410" s="11" t="str">
        <f>CONCATENATE("PROV","-",LEFT(P5410,2),UPPER(MID(P5410,4,3)),RIGHT(P5410,4))</f>
        <v>PROV-23JAN1929</v>
      </c>
      <c r="C5410" s="11" t="s">
        <v>1602</v>
      </c>
      <c r="D5410" s="11" t="s">
        <v>870</v>
      </c>
      <c r="E5410" s="39" t="s">
        <v>11511</v>
      </c>
      <c r="F5410" s="11" t="s">
        <v>1602</v>
      </c>
      <c r="G5410" s="39" t="s">
        <v>11512</v>
      </c>
      <c r="H5410" s="7">
        <v>0</v>
      </c>
      <c r="I5410" s="7">
        <f>10+2</f>
        <v>12</v>
      </c>
      <c r="J5410" s="17">
        <v>2</v>
      </c>
      <c r="K5410" s="17"/>
      <c r="L5410" s="7">
        <f>SUM(H5410:K5410)</f>
        <v>14</v>
      </c>
      <c r="M5410" s="8">
        <v>1</v>
      </c>
      <c r="N5410" s="8">
        <f>IF(L5410&gt;0,1,"")</f>
        <v>1</v>
      </c>
      <c r="O5410" s="11" t="s">
        <v>1702</v>
      </c>
      <c r="P5410" s="16" t="str">
        <f>IF(LEN(G5410)=10,CONCATENATE("0",G5410),G5410)</f>
        <v>23-Jan-1929</v>
      </c>
      <c r="Q5410" s="16"/>
      <c r="R5410" s="16" t="str">
        <f t="shared" si="2297"/>
        <v>x</v>
      </c>
      <c r="S5410" s="80"/>
      <c r="T5410" s="12"/>
      <c r="U5410" s="46" t="str">
        <f t="shared" si="2299"/>
        <v/>
      </c>
      <c r="V5410" s="46">
        <f t="shared" si="2299"/>
        <v>14</v>
      </c>
      <c r="W5410" s="46" t="str">
        <f t="shared" si="2299"/>
        <v/>
      </c>
      <c r="X5410" s="46" t="str">
        <f t="shared" si="2299"/>
        <v/>
      </c>
      <c r="Z5410" s="11"/>
    </row>
    <row r="5411" spans="2:26" s="18" customFormat="1" x14ac:dyDescent="0.25">
      <c r="B5411" s="11" t="str">
        <f t="shared" si="2291"/>
        <v>PROV-21AUG1929</v>
      </c>
      <c r="C5411" s="11" t="s">
        <v>1602</v>
      </c>
      <c r="D5411" s="11" t="s">
        <v>870</v>
      </c>
      <c r="E5411" s="39" t="s">
        <v>4564</v>
      </c>
      <c r="F5411" s="11" t="s">
        <v>1602</v>
      </c>
      <c r="G5411" s="39" t="s">
        <v>4565</v>
      </c>
      <c r="H5411" s="7">
        <v>0</v>
      </c>
      <c r="I5411" s="7">
        <v>10</v>
      </c>
      <c r="J5411" s="17">
        <v>3</v>
      </c>
      <c r="K5411" s="17"/>
      <c r="L5411" s="7">
        <f t="shared" si="2292"/>
        <v>13</v>
      </c>
      <c r="M5411" s="8">
        <v>1</v>
      </c>
      <c r="N5411" s="8">
        <f t="shared" si="2293"/>
        <v>1</v>
      </c>
      <c r="O5411" s="11" t="s">
        <v>1702</v>
      </c>
      <c r="P5411" s="16" t="str">
        <f t="shared" si="2294"/>
        <v>21-Aug-1929</v>
      </c>
      <c r="Q5411" s="16"/>
      <c r="R5411" s="16" t="str">
        <f t="shared" si="2297"/>
        <v>x</v>
      </c>
      <c r="S5411" s="16" t="str">
        <f t="shared" si="2297"/>
        <v>x</v>
      </c>
      <c r="T5411" s="12"/>
      <c r="U5411" s="46" t="str">
        <f t="shared" si="2299"/>
        <v/>
      </c>
      <c r="V5411" s="46">
        <f t="shared" si="2299"/>
        <v>13</v>
      </c>
      <c r="W5411" s="46" t="str">
        <f t="shared" si="2299"/>
        <v/>
      </c>
      <c r="X5411" s="46" t="str">
        <f t="shared" si="2299"/>
        <v/>
      </c>
      <c r="Z5411" s="11"/>
    </row>
    <row r="5412" spans="2:26" s="18" customFormat="1" x14ac:dyDescent="0.25">
      <c r="B5412" s="11"/>
      <c r="C5412" s="11"/>
      <c r="D5412" s="11"/>
      <c r="E5412" s="39"/>
      <c r="F5412" s="11"/>
      <c r="G5412" s="39"/>
      <c r="H5412" s="7"/>
      <c r="I5412" s="7"/>
      <c r="J5412" s="7"/>
      <c r="K5412" s="7"/>
      <c r="L5412" s="7"/>
      <c r="M5412" s="8"/>
      <c r="N5412" s="8" t="str">
        <f>IF(R5412="x",1,"")</f>
        <v/>
      </c>
      <c r="O5412" s="11"/>
      <c r="P5412" s="16"/>
      <c r="Q5412" s="16"/>
      <c r="R5412" s="16"/>
      <c r="S5412" s="16"/>
      <c r="T5412" s="12"/>
      <c r="U5412" s="46" t="str">
        <f t="shared" ref="U5412:X5413" si="2300">IF($O5412=U$5,$L5412,"")</f>
        <v/>
      </c>
      <c r="V5412" s="46" t="str">
        <f t="shared" si="2300"/>
        <v/>
      </c>
      <c r="W5412" s="46" t="str">
        <f t="shared" si="2300"/>
        <v/>
      </c>
      <c r="X5412" s="46" t="str">
        <f t="shared" si="2300"/>
        <v/>
      </c>
      <c r="Z5412" s="11"/>
    </row>
    <row r="5413" spans="2:26" x14ac:dyDescent="0.25">
      <c r="B5413" s="18"/>
      <c r="C5413" s="18"/>
      <c r="D5413" s="18"/>
      <c r="E5413" s="40"/>
      <c r="F5413" s="18"/>
      <c r="G5413" s="40"/>
      <c r="H5413" s="7">
        <f t="shared" ref="H5413:N5413" si="2301">SUM(H5397:H5412)</f>
        <v>17</v>
      </c>
      <c r="I5413" s="7">
        <f t="shared" si="2301"/>
        <v>120</v>
      </c>
      <c r="J5413" s="7">
        <f>SUM(J5397:J5412)</f>
        <v>22</v>
      </c>
      <c r="K5413" s="7">
        <f t="shared" si="2301"/>
        <v>0</v>
      </c>
      <c r="L5413" s="7">
        <f t="shared" si="2301"/>
        <v>159</v>
      </c>
      <c r="M5413" s="7">
        <f t="shared" si="2301"/>
        <v>15</v>
      </c>
      <c r="N5413" s="7">
        <f t="shared" si="2301"/>
        <v>15</v>
      </c>
      <c r="O5413" s="18"/>
      <c r="P5413" s="13"/>
      <c r="Q5413" s="13"/>
      <c r="S5413" s="13"/>
      <c r="T5413" s="15"/>
      <c r="U5413" s="46" t="str">
        <f t="shared" si="2300"/>
        <v/>
      </c>
      <c r="V5413" s="46" t="str">
        <f t="shared" si="2300"/>
        <v/>
      </c>
      <c r="W5413" s="46" t="str">
        <f t="shared" si="2300"/>
        <v/>
      </c>
      <c r="X5413" s="46" t="str">
        <f t="shared" si="2300"/>
        <v/>
      </c>
    </row>
    <row r="5414" spans="2:26" x14ac:dyDescent="0.25">
      <c r="B5414" s="18"/>
      <c r="C5414" s="18"/>
      <c r="D5414" s="18"/>
      <c r="E5414" s="40"/>
      <c r="F5414" s="18"/>
      <c r="G5414" s="40"/>
      <c r="N5414" s="8" t="str">
        <f>IF(R5414="x",1,"")</f>
        <v/>
      </c>
      <c r="O5414" s="18"/>
      <c r="P5414" s="13"/>
      <c r="Q5414" s="13"/>
      <c r="R5414" s="13"/>
      <c r="S5414" s="13"/>
      <c r="T5414" s="15"/>
      <c r="U5414" s="46" t="str">
        <f t="shared" ref="U5414:X5419" si="2302">IF($O5414=U$5,$L5414,"")</f>
        <v/>
      </c>
      <c r="V5414" s="46" t="str">
        <f t="shared" si="2302"/>
        <v/>
      </c>
      <c r="W5414" s="46" t="str">
        <f t="shared" si="2302"/>
        <v/>
      </c>
      <c r="X5414" s="46" t="str">
        <f t="shared" si="2302"/>
        <v/>
      </c>
    </row>
    <row r="5415" spans="2:26" x14ac:dyDescent="0.25">
      <c r="B5415" s="18"/>
      <c r="C5415" s="18"/>
      <c r="D5415" s="18"/>
      <c r="E5415" s="40"/>
      <c r="F5415" s="18"/>
      <c r="G5415" s="40"/>
      <c r="N5415" s="8" t="str">
        <f>IF(R5415="x",1,"")</f>
        <v/>
      </c>
      <c r="O5415" s="18"/>
      <c r="P5415" s="13"/>
      <c r="Q5415" s="13"/>
      <c r="R5415" s="13"/>
      <c r="S5415" s="13"/>
      <c r="T5415" s="15"/>
      <c r="U5415" s="46" t="str">
        <f t="shared" si="2302"/>
        <v/>
      </c>
      <c r="V5415" s="46" t="str">
        <f t="shared" si="2302"/>
        <v/>
      </c>
      <c r="W5415" s="46" t="str">
        <f t="shared" si="2302"/>
        <v/>
      </c>
      <c r="X5415" s="46" t="str">
        <f t="shared" si="2302"/>
        <v/>
      </c>
    </row>
    <row r="5416" spans="2:26" x14ac:dyDescent="0.25">
      <c r="B5416" s="11" t="str">
        <f>CONCATENATE("QMRY","-",LEFT(P5416,2),UPPER(MID(P5416,4,3)),RIGHT(P5416,4))</f>
        <v>QMRY-15NOV1937</v>
      </c>
      <c r="C5416" s="11" t="s">
        <v>5057</v>
      </c>
      <c r="D5416" s="11" t="s">
        <v>2224</v>
      </c>
      <c r="E5416" s="39" t="s">
        <v>5058</v>
      </c>
      <c r="F5416" s="11" t="s">
        <v>1700</v>
      </c>
      <c r="G5416" s="39" t="s">
        <v>5059</v>
      </c>
      <c r="I5416" s="7">
        <v>0</v>
      </c>
      <c r="J5416" s="17">
        <f>10+5</f>
        <v>15</v>
      </c>
      <c r="K5416" s="17"/>
      <c r="L5416" s="7">
        <f>SUM(H5416:K5416)</f>
        <v>15</v>
      </c>
      <c r="M5416" s="8">
        <v>1</v>
      </c>
      <c r="N5416" s="8">
        <f>IF(L5416&gt;0,1,"")</f>
        <v>1</v>
      </c>
      <c r="O5416" s="11" t="s">
        <v>1702</v>
      </c>
      <c r="P5416" s="16" t="str">
        <f>IF(LEN(G5416)=10,CONCATENATE("0",G5416),G5416)</f>
        <v>15-Nov-1937</v>
      </c>
      <c r="R5416" s="16" t="str">
        <f>IF($L5416&gt;0,"x","")</f>
        <v>x</v>
      </c>
      <c r="S5416" s="16" t="str">
        <f>IF($L5416&gt;0,"x","")</f>
        <v>x</v>
      </c>
      <c r="U5416" s="46" t="str">
        <f t="shared" si="2302"/>
        <v/>
      </c>
      <c r="V5416" s="46">
        <f t="shared" si="2302"/>
        <v>15</v>
      </c>
      <c r="W5416" s="46" t="str">
        <f t="shared" si="2302"/>
        <v/>
      </c>
      <c r="X5416" s="46" t="str">
        <f t="shared" si="2302"/>
        <v/>
      </c>
    </row>
    <row r="5417" spans="2:26" x14ac:dyDescent="0.25">
      <c r="B5417" s="11" t="str">
        <f>CONCATENATE("QMRY","-",LEFT(P5417,2),UPPER(MID(P5417,4,3)),RIGHT(P5417,4))</f>
        <v>QMRY-04SEP1939</v>
      </c>
      <c r="C5417" s="11" t="s">
        <v>5057</v>
      </c>
      <c r="D5417" s="11" t="s">
        <v>3619</v>
      </c>
      <c r="E5417" s="39" t="s">
        <v>11234</v>
      </c>
      <c r="F5417" s="11" t="s">
        <v>1700</v>
      </c>
      <c r="G5417" s="39" t="s">
        <v>11235</v>
      </c>
      <c r="I5417" s="7">
        <v>0</v>
      </c>
      <c r="J5417" s="17">
        <v>5</v>
      </c>
      <c r="K5417" s="17"/>
      <c r="L5417" s="7">
        <f>SUM(H5417:K5417)</f>
        <v>5</v>
      </c>
      <c r="M5417" s="8">
        <v>1</v>
      </c>
      <c r="N5417" s="8">
        <f>IF(L5417&gt;0,1,"")</f>
        <v>1</v>
      </c>
      <c r="O5417" s="11" t="s">
        <v>1702</v>
      </c>
      <c r="P5417" s="16" t="str">
        <f>IF(LEN(G5417)=10,CONCATENATE("0",G5417),G5417)</f>
        <v>04-Sep-1939</v>
      </c>
      <c r="R5417" s="16" t="str">
        <f>IF($L5417&gt;0,"x","")</f>
        <v>x</v>
      </c>
      <c r="S5417" s="16" t="str">
        <f>IF($L5417&gt;0,"x","")</f>
        <v>x</v>
      </c>
      <c r="U5417" s="46" t="str">
        <f t="shared" si="2302"/>
        <v/>
      </c>
      <c r="V5417" s="46">
        <f t="shared" si="2302"/>
        <v>5</v>
      </c>
      <c r="W5417" s="46" t="str">
        <f t="shared" si="2302"/>
        <v/>
      </c>
      <c r="X5417" s="46" t="str">
        <f t="shared" si="2302"/>
        <v/>
      </c>
    </row>
    <row r="5418" spans="2:26" x14ac:dyDescent="0.25">
      <c r="N5418" s="8" t="str">
        <f>IF(R5418="x",1,"")</f>
        <v/>
      </c>
      <c r="U5418" s="46" t="str">
        <f t="shared" si="2302"/>
        <v/>
      </c>
      <c r="V5418" s="46" t="str">
        <f t="shared" si="2302"/>
        <v/>
      </c>
      <c r="W5418" s="46" t="str">
        <f t="shared" si="2302"/>
        <v/>
      </c>
      <c r="X5418" s="46" t="str">
        <f t="shared" si="2302"/>
        <v/>
      </c>
    </row>
    <row r="5419" spans="2:26" x14ac:dyDescent="0.25">
      <c r="B5419" s="18"/>
      <c r="C5419" s="18"/>
      <c r="D5419" s="18"/>
      <c r="E5419" s="40"/>
      <c r="F5419" s="18"/>
      <c r="G5419" s="40"/>
      <c r="H5419" s="7">
        <f t="shared" ref="H5419:N5419" si="2303">SUM(H5416:H5418)</f>
        <v>0</v>
      </c>
      <c r="I5419" s="7">
        <f t="shared" si="2303"/>
        <v>0</v>
      </c>
      <c r="J5419" s="7">
        <f>SUM(J5416:J5418)</f>
        <v>20</v>
      </c>
      <c r="K5419" s="7">
        <f t="shared" si="2303"/>
        <v>0</v>
      </c>
      <c r="L5419" s="7">
        <f t="shared" si="2303"/>
        <v>20</v>
      </c>
      <c r="M5419" s="7">
        <f t="shared" si="2303"/>
        <v>2</v>
      </c>
      <c r="N5419" s="7">
        <f t="shared" si="2303"/>
        <v>2</v>
      </c>
      <c r="O5419" s="18"/>
      <c r="P5419" s="13"/>
      <c r="Q5419" s="13"/>
      <c r="S5419" s="13"/>
      <c r="T5419" s="15"/>
      <c r="U5419" s="46" t="str">
        <f t="shared" si="2302"/>
        <v/>
      </c>
      <c r="V5419" s="46" t="str">
        <f t="shared" si="2302"/>
        <v/>
      </c>
      <c r="W5419" s="46" t="str">
        <f t="shared" si="2302"/>
        <v/>
      </c>
      <c r="X5419" s="46" t="str">
        <f t="shared" si="2302"/>
        <v/>
      </c>
    </row>
    <row r="5420" spans="2:26" x14ac:dyDescent="0.25">
      <c r="B5420" s="18"/>
      <c r="C5420" s="18"/>
      <c r="D5420" s="18"/>
      <c r="E5420" s="40"/>
      <c r="F5420" s="18"/>
      <c r="G5420" s="40"/>
      <c r="N5420" s="8" t="str">
        <f>IF(R5420="x",1,"")</f>
        <v/>
      </c>
      <c r="O5420" s="18"/>
      <c r="P5420" s="13"/>
      <c r="Q5420" s="13"/>
      <c r="R5420" s="13"/>
      <c r="S5420" s="13"/>
      <c r="T5420" s="15"/>
      <c r="U5420" s="46" t="str">
        <f t="shared" ref="U5420:X5427" si="2304">IF($O5420=U$5,$L5420,"")</f>
        <v/>
      </c>
      <c r="V5420" s="46" t="str">
        <f t="shared" si="2304"/>
        <v/>
      </c>
      <c r="W5420" s="46" t="str">
        <f t="shared" si="2304"/>
        <v/>
      </c>
      <c r="X5420" s="46" t="str">
        <f t="shared" si="2304"/>
        <v/>
      </c>
    </row>
    <row r="5421" spans="2:26" x14ac:dyDescent="0.25">
      <c r="B5421" s="18"/>
      <c r="C5421" s="18"/>
      <c r="D5421" s="18"/>
      <c r="E5421" s="40"/>
      <c r="F5421" s="18"/>
      <c r="G5421" s="40"/>
      <c r="N5421" s="8" t="str">
        <f>IF(R5421="x",1,"")</f>
        <v/>
      </c>
      <c r="O5421" s="18"/>
      <c r="P5421" s="13"/>
      <c r="Q5421" s="13"/>
      <c r="R5421" s="13"/>
      <c r="S5421" s="13"/>
      <c r="T5421" s="15"/>
      <c r="U5421" s="46" t="str">
        <f t="shared" si="2304"/>
        <v/>
      </c>
      <c r="V5421" s="46" t="str">
        <f t="shared" si="2304"/>
        <v/>
      </c>
      <c r="W5421" s="46" t="str">
        <f t="shared" si="2304"/>
        <v/>
      </c>
      <c r="X5421" s="46" t="str">
        <f t="shared" si="2304"/>
        <v/>
      </c>
    </row>
    <row r="5422" spans="2:26" x14ac:dyDescent="0.25">
      <c r="B5422" s="11" t="str">
        <f>CONCATENATE("RAGL","-",LEFT(P5422,2),UPPER(MID(P5422,4,3)),RIGHT(P5422,4))</f>
        <v>RAGL-16MAR1909</v>
      </c>
      <c r="C5422" s="11" t="s">
        <v>2908</v>
      </c>
      <c r="D5422" s="11" t="s">
        <v>2097</v>
      </c>
      <c r="E5422" s="39" t="s">
        <v>2941</v>
      </c>
      <c r="F5422" s="11" t="s">
        <v>2904</v>
      </c>
      <c r="G5422" s="39" t="s">
        <v>2936</v>
      </c>
      <c r="I5422" s="7">
        <v>0</v>
      </c>
      <c r="J5422" s="17">
        <f>43+5</f>
        <v>48</v>
      </c>
      <c r="K5422" s="17"/>
      <c r="L5422" s="7">
        <f>SUM(H5422:K5422)</f>
        <v>48</v>
      </c>
      <c r="M5422" s="8">
        <v>1</v>
      </c>
      <c r="N5422" s="8">
        <f>IF(L5422&gt;0,1,"")</f>
        <v>1</v>
      </c>
      <c r="O5422" s="11" t="s">
        <v>1702</v>
      </c>
      <c r="P5422" s="16" t="str">
        <f>IF(LEN(G5422)=10,CONCATENATE("0",G5422),G5422)</f>
        <v>16-Mar-1909</v>
      </c>
      <c r="R5422" s="16" t="str">
        <f t="shared" ref="R5422:S5425" si="2305">IF($L5422&gt;0,"x","")</f>
        <v>x</v>
      </c>
      <c r="S5422" s="16" t="str">
        <f t="shared" si="2305"/>
        <v>x</v>
      </c>
      <c r="U5422" s="46" t="str">
        <f t="shared" si="2304"/>
        <v/>
      </c>
      <c r="V5422" s="46">
        <f t="shared" si="2304"/>
        <v>48</v>
      </c>
      <c r="W5422" s="46" t="str">
        <f t="shared" si="2304"/>
        <v/>
      </c>
      <c r="X5422" s="46" t="str">
        <f t="shared" si="2304"/>
        <v/>
      </c>
    </row>
    <row r="5423" spans="2:26" x14ac:dyDescent="0.25">
      <c r="B5423" s="11" t="str">
        <f>CONCATENATE("RAGL","-",LEFT(P5423,2),UPPER(MID(P5423,4,3)),RIGHT(P5423,4))</f>
        <v>RAGL-05MAY1909</v>
      </c>
      <c r="C5423" s="11" t="s">
        <v>2908</v>
      </c>
      <c r="D5423" s="11" t="s">
        <v>2097</v>
      </c>
      <c r="E5423" s="39" t="s">
        <v>2939</v>
      </c>
      <c r="F5423" s="11" t="s">
        <v>2904</v>
      </c>
      <c r="G5423" s="39" t="s">
        <v>2937</v>
      </c>
      <c r="I5423" s="7">
        <v>0</v>
      </c>
      <c r="J5423" s="17">
        <v>18</v>
      </c>
      <c r="K5423" s="17"/>
      <c r="L5423" s="7">
        <f>SUM(H5423:K5423)</f>
        <v>18</v>
      </c>
      <c r="M5423" s="8">
        <v>1</v>
      </c>
      <c r="N5423" s="8">
        <f>IF(L5423&gt;0,1,"")</f>
        <v>1</v>
      </c>
      <c r="O5423" s="11" t="s">
        <v>1702</v>
      </c>
      <c r="P5423" s="16" t="str">
        <f>IF(LEN(G5423)=10,CONCATENATE("0",G5423),G5423)</f>
        <v>05-May-1909</v>
      </c>
      <c r="R5423" s="16" t="str">
        <f t="shared" si="2305"/>
        <v>x</v>
      </c>
      <c r="S5423" s="16" t="str">
        <f t="shared" si="2305"/>
        <v>x</v>
      </c>
      <c r="U5423" s="46" t="str">
        <f t="shared" si="2304"/>
        <v/>
      </c>
      <c r="V5423" s="46">
        <f t="shared" si="2304"/>
        <v>18</v>
      </c>
      <c r="W5423" s="46" t="str">
        <f t="shared" si="2304"/>
        <v/>
      </c>
      <c r="X5423" s="46" t="str">
        <f t="shared" si="2304"/>
        <v/>
      </c>
    </row>
    <row r="5424" spans="2:26" x14ac:dyDescent="0.25">
      <c r="B5424" s="11" t="str">
        <f>CONCATENATE("RAGL","-",LEFT(P5424,2),UPPER(MID(P5424,4,3)),RIGHT(P5424,4))</f>
        <v>RAGL-19JUN1909</v>
      </c>
      <c r="C5424" s="11" t="s">
        <v>2908</v>
      </c>
      <c r="D5424" s="11" t="s">
        <v>2097</v>
      </c>
      <c r="E5424" s="39" t="s">
        <v>2909</v>
      </c>
      <c r="F5424" s="11" t="s">
        <v>2904</v>
      </c>
      <c r="G5424" s="39" t="s">
        <v>935</v>
      </c>
      <c r="I5424" s="7">
        <v>0</v>
      </c>
      <c r="J5424" s="17">
        <v>62</v>
      </c>
      <c r="K5424" s="17"/>
      <c r="L5424" s="7">
        <f>SUM(H5424:K5424)</f>
        <v>62</v>
      </c>
      <c r="M5424" s="8">
        <v>1</v>
      </c>
      <c r="N5424" s="8">
        <f>IF(L5424&gt;0,1,"")</f>
        <v>1</v>
      </c>
      <c r="O5424" s="11" t="s">
        <v>1702</v>
      </c>
      <c r="P5424" s="16" t="str">
        <f>IF(LEN(G5424)=10,CONCATENATE("0",G5424),G5424)</f>
        <v>19-Jun-1909</v>
      </c>
      <c r="R5424" s="16" t="str">
        <f t="shared" si="2305"/>
        <v>x</v>
      </c>
      <c r="S5424" s="16" t="str">
        <f t="shared" si="2305"/>
        <v>x</v>
      </c>
      <c r="U5424" s="46" t="str">
        <f t="shared" si="2304"/>
        <v/>
      </c>
      <c r="V5424" s="46">
        <f t="shared" si="2304"/>
        <v>62</v>
      </c>
      <c r="W5424" s="46" t="str">
        <f t="shared" si="2304"/>
        <v/>
      </c>
      <c r="X5424" s="46" t="str">
        <f t="shared" si="2304"/>
        <v/>
      </c>
    </row>
    <row r="5425" spans="2:24" x14ac:dyDescent="0.25">
      <c r="B5425" s="11" t="str">
        <f>CONCATENATE("RAGL","-",LEFT(P5425,2),UPPER(MID(P5425,4,3)),RIGHT(P5425,4))</f>
        <v>RAGL-02AUG1909</v>
      </c>
      <c r="C5425" s="11" t="s">
        <v>2908</v>
      </c>
      <c r="D5425" s="11" t="s">
        <v>2097</v>
      </c>
      <c r="E5425" s="39" t="s">
        <v>855</v>
      </c>
      <c r="F5425" s="11" t="s">
        <v>2904</v>
      </c>
      <c r="G5425" s="39" t="s">
        <v>2938</v>
      </c>
      <c r="I5425" s="7">
        <v>0</v>
      </c>
      <c r="J5425" s="17">
        <f>24+3</f>
        <v>27</v>
      </c>
      <c r="K5425" s="17"/>
      <c r="L5425" s="7">
        <f>SUM(H5425:K5425)</f>
        <v>27</v>
      </c>
      <c r="M5425" s="8">
        <v>1</v>
      </c>
      <c r="N5425" s="8">
        <f>IF(L5425&gt;0,1,"")</f>
        <v>1</v>
      </c>
      <c r="O5425" s="11" t="s">
        <v>1702</v>
      </c>
      <c r="P5425" s="16" t="str">
        <f>IF(LEN(G5425)=10,CONCATENATE("0",G5425),G5425)</f>
        <v>02-Aug-1909</v>
      </c>
      <c r="R5425" s="16" t="str">
        <f t="shared" si="2305"/>
        <v>x</v>
      </c>
      <c r="S5425" s="16" t="str">
        <f t="shared" si="2305"/>
        <v>x</v>
      </c>
      <c r="U5425" s="46" t="str">
        <f t="shared" si="2304"/>
        <v/>
      </c>
      <c r="V5425" s="46">
        <f t="shared" si="2304"/>
        <v>27</v>
      </c>
      <c r="W5425" s="46" t="str">
        <f t="shared" si="2304"/>
        <v/>
      </c>
      <c r="X5425" s="46" t="str">
        <f t="shared" si="2304"/>
        <v/>
      </c>
    </row>
    <row r="5426" spans="2:24" x14ac:dyDescent="0.25">
      <c r="N5426" s="8" t="str">
        <f>IF(R5426="x",1,"")</f>
        <v/>
      </c>
      <c r="U5426" s="46" t="str">
        <f t="shared" si="2304"/>
        <v/>
      </c>
      <c r="V5426" s="46" t="str">
        <f t="shared" si="2304"/>
        <v/>
      </c>
      <c r="W5426" s="46" t="str">
        <f t="shared" si="2304"/>
        <v/>
      </c>
      <c r="X5426" s="46" t="str">
        <f t="shared" si="2304"/>
        <v/>
      </c>
    </row>
    <row r="5427" spans="2:24" x14ac:dyDescent="0.25">
      <c r="B5427" s="18"/>
      <c r="C5427" s="18"/>
      <c r="D5427" s="18"/>
      <c r="E5427" s="40"/>
      <c r="F5427" s="18"/>
      <c r="G5427" s="40"/>
      <c r="H5427" s="7">
        <f t="shared" ref="H5427:N5427" si="2306">SUM(H5422:H5426)</f>
        <v>0</v>
      </c>
      <c r="I5427" s="7">
        <f t="shared" si="2306"/>
        <v>0</v>
      </c>
      <c r="J5427" s="7">
        <f>SUM(J5422:J5426)</f>
        <v>155</v>
      </c>
      <c r="K5427" s="7">
        <f t="shared" si="2306"/>
        <v>0</v>
      </c>
      <c r="L5427" s="7">
        <f t="shared" si="2306"/>
        <v>155</v>
      </c>
      <c r="M5427" s="7">
        <f t="shared" si="2306"/>
        <v>4</v>
      </c>
      <c r="N5427" s="7">
        <f t="shared" si="2306"/>
        <v>4</v>
      </c>
      <c r="O5427" s="18"/>
      <c r="P5427" s="13"/>
      <c r="Q5427" s="13"/>
      <c r="S5427" s="13"/>
      <c r="T5427" s="15"/>
      <c r="U5427" s="46" t="str">
        <f t="shared" si="2304"/>
        <v/>
      </c>
      <c r="V5427" s="46" t="str">
        <f t="shared" si="2304"/>
        <v/>
      </c>
      <c r="W5427" s="46" t="str">
        <f t="shared" si="2304"/>
        <v/>
      </c>
      <c r="X5427" s="46" t="str">
        <f t="shared" si="2304"/>
        <v/>
      </c>
    </row>
    <row r="5428" spans="2:24" x14ac:dyDescent="0.25">
      <c r="B5428" s="18"/>
      <c r="C5428" s="18"/>
      <c r="D5428" s="18"/>
      <c r="E5428" s="40"/>
      <c r="F5428" s="18"/>
      <c r="G5428" s="40"/>
      <c r="N5428" s="8" t="str">
        <f>IF(R5428="x",1,"")</f>
        <v/>
      </c>
      <c r="O5428" s="18"/>
      <c r="P5428" s="13"/>
      <c r="Q5428" s="13"/>
      <c r="R5428" s="13"/>
      <c r="S5428" s="13"/>
      <c r="T5428" s="15"/>
      <c r="U5428" s="46" t="str">
        <f t="shared" ref="U5428:X5435" si="2307">IF($O5428=U$5,$L5428,"")</f>
        <v/>
      </c>
      <c r="V5428" s="46" t="str">
        <f t="shared" si="2307"/>
        <v/>
      </c>
      <c r="W5428" s="46" t="str">
        <f t="shared" si="2307"/>
        <v/>
      </c>
      <c r="X5428" s="46" t="str">
        <f t="shared" si="2307"/>
        <v/>
      </c>
    </row>
    <row r="5429" spans="2:24" x14ac:dyDescent="0.25">
      <c r="B5429" s="18"/>
      <c r="C5429" s="18"/>
      <c r="D5429" s="18"/>
      <c r="E5429" s="40"/>
      <c r="F5429" s="18"/>
      <c r="G5429" s="40"/>
      <c r="N5429" s="8" t="str">
        <f>IF(R5429="x",1,"")</f>
        <v/>
      </c>
      <c r="O5429" s="18"/>
      <c r="P5429" s="13"/>
      <c r="Q5429" s="13"/>
      <c r="R5429" s="13"/>
      <c r="S5429" s="13"/>
      <c r="T5429" s="15"/>
      <c r="U5429" s="46" t="str">
        <f t="shared" si="2307"/>
        <v/>
      </c>
      <c r="V5429" s="46" t="str">
        <f t="shared" si="2307"/>
        <v/>
      </c>
      <c r="W5429" s="46" t="str">
        <f t="shared" si="2307"/>
        <v/>
      </c>
      <c r="X5429" s="46" t="str">
        <f t="shared" si="2307"/>
        <v/>
      </c>
    </row>
    <row r="5430" spans="2:24" x14ac:dyDescent="0.25">
      <c r="B5430" s="11" t="str">
        <f t="shared" ref="B5430:B5435" si="2308">CONCATENATE("RDIT","-",LEFT(P5430,2),UPPER(MID(P5430,4,3)),RIGHT(P5430,4))</f>
        <v>RDIT-13JAN1909</v>
      </c>
      <c r="C5430" s="11" t="s">
        <v>5247</v>
      </c>
      <c r="D5430" s="11" t="s">
        <v>3007</v>
      </c>
      <c r="E5430" s="39" t="s">
        <v>2925</v>
      </c>
      <c r="F5430" s="11" t="s">
        <v>1700</v>
      </c>
      <c r="G5430" s="39" t="s">
        <v>5875</v>
      </c>
      <c r="H5430" s="7">
        <v>0</v>
      </c>
      <c r="I5430" s="7">
        <v>0</v>
      </c>
      <c r="J5430" s="17">
        <v>1</v>
      </c>
      <c r="K5430" s="17"/>
      <c r="L5430" s="7">
        <f t="shared" ref="L5430:L5435" si="2309">SUM(H5430:K5430)</f>
        <v>1</v>
      </c>
      <c r="M5430" s="8">
        <v>1</v>
      </c>
      <c r="N5430" s="8">
        <f t="shared" ref="N5430:N5435" si="2310">IF(L5430&gt;0,1,"")</f>
        <v>1</v>
      </c>
      <c r="O5430" s="11" t="s">
        <v>1702</v>
      </c>
      <c r="P5430" s="16" t="str">
        <f t="shared" ref="P5430:P5435" si="2311">IF(LEN(G5430)=10,CONCATENATE("0",G5430),G5430)</f>
        <v>13-Jan-1909</v>
      </c>
      <c r="R5430" s="16" t="str">
        <f>IF($L5430&gt;0,"x","")</f>
        <v>x</v>
      </c>
      <c r="S5430" s="16" t="str">
        <f>IF($L5430&gt;0,"x","")</f>
        <v>x</v>
      </c>
      <c r="U5430" s="46" t="str">
        <f t="shared" si="2307"/>
        <v/>
      </c>
      <c r="V5430" s="46">
        <f t="shared" si="2307"/>
        <v>1</v>
      </c>
      <c r="W5430" s="46" t="str">
        <f t="shared" si="2307"/>
        <v/>
      </c>
      <c r="X5430" s="46" t="str">
        <f t="shared" ref="X5430:X5435" si="2312">IF($O5430=X$5,$L5430,"")</f>
        <v/>
      </c>
    </row>
    <row r="5431" spans="2:24" x14ac:dyDescent="0.25">
      <c r="B5431" s="11" t="str">
        <f t="shared" si="2308"/>
        <v>RDIT-16SEP1910</v>
      </c>
      <c r="C5431" s="11" t="s">
        <v>5247</v>
      </c>
      <c r="D5431" s="11" t="s">
        <v>3007</v>
      </c>
      <c r="E5431" s="39" t="s">
        <v>5248</v>
      </c>
      <c r="F5431" s="11" t="s">
        <v>1700</v>
      </c>
      <c r="G5431" s="39" t="s">
        <v>5249</v>
      </c>
      <c r="H5431" s="7">
        <v>0</v>
      </c>
      <c r="J5431" s="17">
        <v>5</v>
      </c>
      <c r="K5431" s="17"/>
      <c r="L5431" s="7">
        <f t="shared" si="2309"/>
        <v>5</v>
      </c>
      <c r="M5431" s="8">
        <v>1</v>
      </c>
      <c r="N5431" s="8">
        <f t="shared" si="2310"/>
        <v>1</v>
      </c>
      <c r="O5431" s="11" t="s">
        <v>1702</v>
      </c>
      <c r="P5431" s="16" t="str">
        <f t="shared" si="2311"/>
        <v>16-Sep-1910</v>
      </c>
      <c r="R5431" s="16" t="str">
        <f>IF($L5431&gt;0,"x","")</f>
        <v>x</v>
      </c>
      <c r="S5431" s="16" t="str">
        <f>IF($L5431&gt;0,"x","")</f>
        <v>x</v>
      </c>
      <c r="U5431" s="46" t="str">
        <f t="shared" si="2307"/>
        <v/>
      </c>
      <c r="V5431" s="46">
        <f t="shared" si="2307"/>
        <v>5</v>
      </c>
      <c r="W5431" s="46" t="str">
        <f t="shared" si="2307"/>
        <v/>
      </c>
      <c r="X5431" s="46" t="str">
        <f t="shared" si="2312"/>
        <v/>
      </c>
    </row>
    <row r="5432" spans="2:24" x14ac:dyDescent="0.25">
      <c r="B5432" s="11" t="str">
        <f t="shared" si="2308"/>
        <v>RDIT-19NOV1919</v>
      </c>
      <c r="C5432" s="11" t="s">
        <v>5247</v>
      </c>
      <c r="D5432" s="11" t="s">
        <v>2808</v>
      </c>
      <c r="E5432" s="39" t="s">
        <v>5453</v>
      </c>
      <c r="F5432" s="11" t="s">
        <v>1700</v>
      </c>
      <c r="G5432" s="39" t="s">
        <v>5452</v>
      </c>
      <c r="H5432" s="7">
        <v>5</v>
      </c>
      <c r="J5432" s="17"/>
      <c r="K5432" s="17"/>
      <c r="L5432" s="7">
        <f t="shared" si="2309"/>
        <v>5</v>
      </c>
      <c r="M5432" s="8">
        <v>1</v>
      </c>
      <c r="N5432" s="8">
        <f t="shared" si="2310"/>
        <v>1</v>
      </c>
      <c r="O5432" s="11" t="s">
        <v>1702</v>
      </c>
      <c r="P5432" s="16" t="str">
        <f t="shared" si="2311"/>
        <v>19-Nov-1919</v>
      </c>
      <c r="R5432" s="16" t="str">
        <f t="shared" ref="R5432:S5435" si="2313">IF($L5432&gt;0,"x","")</f>
        <v>x</v>
      </c>
      <c r="S5432" s="16" t="str">
        <f t="shared" si="2313"/>
        <v>x</v>
      </c>
      <c r="U5432" s="46" t="str">
        <f t="shared" si="2307"/>
        <v/>
      </c>
      <c r="V5432" s="46">
        <f t="shared" si="2307"/>
        <v>5</v>
      </c>
      <c r="W5432" s="46" t="str">
        <f t="shared" si="2307"/>
        <v/>
      </c>
      <c r="X5432" s="46" t="str">
        <f t="shared" si="2312"/>
        <v/>
      </c>
    </row>
    <row r="5433" spans="2:24" x14ac:dyDescent="0.25">
      <c r="B5433" s="11" t="str">
        <f t="shared" si="2308"/>
        <v>RDIT-19NOV1919</v>
      </c>
      <c r="C5433" s="11" t="s">
        <v>5247</v>
      </c>
      <c r="D5433" s="11" t="s">
        <v>3007</v>
      </c>
      <c r="E5433" s="39" t="s">
        <v>4196</v>
      </c>
      <c r="F5433" s="11" t="s">
        <v>1700</v>
      </c>
      <c r="G5433" s="39" t="s">
        <v>5452</v>
      </c>
      <c r="H5433" s="7">
        <v>0</v>
      </c>
      <c r="J5433" s="17">
        <v>19</v>
      </c>
      <c r="K5433" s="17"/>
      <c r="L5433" s="7">
        <f t="shared" si="2309"/>
        <v>19</v>
      </c>
      <c r="M5433" s="8">
        <v>1</v>
      </c>
      <c r="N5433" s="8">
        <f t="shared" si="2310"/>
        <v>1</v>
      </c>
      <c r="O5433" s="11" t="s">
        <v>1702</v>
      </c>
      <c r="P5433" s="16" t="str">
        <f t="shared" si="2311"/>
        <v>19-Nov-1919</v>
      </c>
      <c r="R5433" s="16" t="str">
        <f t="shared" si="2313"/>
        <v>x</v>
      </c>
      <c r="S5433" s="16" t="str">
        <f t="shared" si="2313"/>
        <v>x</v>
      </c>
      <c r="U5433" s="46" t="str">
        <f t="shared" si="2307"/>
        <v/>
      </c>
      <c r="V5433" s="46">
        <f t="shared" si="2307"/>
        <v>19</v>
      </c>
      <c r="W5433" s="46" t="str">
        <f t="shared" si="2307"/>
        <v/>
      </c>
      <c r="X5433" s="46" t="str">
        <f t="shared" si="2312"/>
        <v/>
      </c>
    </row>
    <row r="5434" spans="2:24" x14ac:dyDescent="0.25">
      <c r="B5434" s="11" t="str">
        <f t="shared" si="2308"/>
        <v>RDIT-20APR1920</v>
      </c>
      <c r="C5434" s="11" t="s">
        <v>5247</v>
      </c>
      <c r="D5434" s="11" t="s">
        <v>3007</v>
      </c>
      <c r="E5434" s="39" t="s">
        <v>1129</v>
      </c>
      <c r="F5434" s="11" t="s">
        <v>1700</v>
      </c>
      <c r="G5434" s="39" t="s">
        <v>5473</v>
      </c>
      <c r="H5434" s="7">
        <v>0</v>
      </c>
      <c r="J5434" s="17">
        <v>86</v>
      </c>
      <c r="K5434" s="17"/>
      <c r="L5434" s="7">
        <f t="shared" si="2309"/>
        <v>86</v>
      </c>
      <c r="M5434" s="8">
        <v>1</v>
      </c>
      <c r="N5434" s="8">
        <f t="shared" si="2310"/>
        <v>1</v>
      </c>
      <c r="O5434" s="11" t="s">
        <v>1702</v>
      </c>
      <c r="P5434" s="16" t="str">
        <f t="shared" si="2311"/>
        <v>20-Apr-1920</v>
      </c>
      <c r="R5434" s="16" t="str">
        <f t="shared" si="2313"/>
        <v>x</v>
      </c>
      <c r="S5434" s="16" t="str">
        <f t="shared" si="2313"/>
        <v>x</v>
      </c>
      <c r="U5434" s="46" t="str">
        <f t="shared" si="2307"/>
        <v/>
      </c>
      <c r="V5434" s="46">
        <f t="shared" si="2307"/>
        <v>86</v>
      </c>
      <c r="W5434" s="46" t="str">
        <f t="shared" si="2307"/>
        <v/>
      </c>
      <c r="X5434" s="46" t="str">
        <f t="shared" si="2312"/>
        <v/>
      </c>
    </row>
    <row r="5435" spans="2:24" x14ac:dyDescent="0.25">
      <c r="B5435" s="11" t="str">
        <f t="shared" si="2308"/>
        <v>RDIT-20APR1920</v>
      </c>
      <c r="C5435" s="11" t="s">
        <v>5247</v>
      </c>
      <c r="D5435" s="11" t="s">
        <v>2808</v>
      </c>
      <c r="E5435" s="39" t="s">
        <v>1583</v>
      </c>
      <c r="F5435" s="11" t="s">
        <v>1700</v>
      </c>
      <c r="G5435" s="39" t="s">
        <v>5473</v>
      </c>
      <c r="H5435" s="7">
        <v>3</v>
      </c>
      <c r="J5435" s="17"/>
      <c r="K5435" s="17"/>
      <c r="L5435" s="7">
        <f t="shared" si="2309"/>
        <v>3</v>
      </c>
      <c r="M5435" s="8">
        <v>1</v>
      </c>
      <c r="N5435" s="8">
        <f t="shared" si="2310"/>
        <v>1</v>
      </c>
      <c r="O5435" s="11" t="s">
        <v>1702</v>
      </c>
      <c r="P5435" s="16" t="str">
        <f t="shared" si="2311"/>
        <v>20-Apr-1920</v>
      </c>
      <c r="R5435" s="16" t="str">
        <f t="shared" si="2313"/>
        <v>x</v>
      </c>
      <c r="S5435" s="16" t="str">
        <f t="shared" si="2313"/>
        <v>x</v>
      </c>
      <c r="U5435" s="46" t="str">
        <f t="shared" si="2307"/>
        <v/>
      </c>
      <c r="V5435" s="46">
        <f t="shared" si="2307"/>
        <v>3</v>
      </c>
      <c r="W5435" s="46" t="str">
        <f t="shared" si="2307"/>
        <v/>
      </c>
      <c r="X5435" s="46" t="str">
        <f t="shared" si="2312"/>
        <v/>
      </c>
    </row>
    <row r="5436" spans="2:24" x14ac:dyDescent="0.25">
      <c r="N5436" s="8" t="str">
        <f>IF(R5436="x",1,"")</f>
        <v/>
      </c>
      <c r="U5436" s="46" t="str">
        <f t="shared" ref="U5436:X5447" si="2314">IF($O5436=U$5,$L5436,"")</f>
        <v/>
      </c>
      <c r="V5436" s="46" t="str">
        <f t="shared" si="2314"/>
        <v/>
      </c>
      <c r="W5436" s="46" t="str">
        <f t="shared" si="2314"/>
        <v/>
      </c>
      <c r="X5436" s="46" t="str">
        <f t="shared" si="2314"/>
        <v/>
      </c>
    </row>
    <row r="5437" spans="2:24" x14ac:dyDescent="0.25">
      <c r="B5437" s="18"/>
      <c r="C5437" s="18"/>
      <c r="D5437" s="18"/>
      <c r="E5437" s="40"/>
      <c r="F5437" s="18"/>
      <c r="G5437" s="40"/>
      <c r="H5437" s="7">
        <f t="shared" ref="H5437:N5437" si="2315">SUM(H5430:H5436)</f>
        <v>8</v>
      </c>
      <c r="I5437" s="7">
        <f t="shared" si="2315"/>
        <v>0</v>
      </c>
      <c r="J5437" s="7">
        <f>SUM(J5430:J5436)</f>
        <v>111</v>
      </c>
      <c r="K5437" s="7">
        <f t="shared" si="2315"/>
        <v>0</v>
      </c>
      <c r="L5437" s="7">
        <f t="shared" si="2315"/>
        <v>119</v>
      </c>
      <c r="M5437" s="7">
        <f t="shared" si="2315"/>
        <v>6</v>
      </c>
      <c r="N5437" s="7">
        <f t="shared" si="2315"/>
        <v>6</v>
      </c>
      <c r="O5437" s="18"/>
      <c r="P5437" s="13"/>
      <c r="Q5437" s="13"/>
      <c r="S5437" s="13"/>
      <c r="T5437" s="15"/>
      <c r="U5437" s="46" t="str">
        <f t="shared" si="2314"/>
        <v/>
      </c>
      <c r="V5437" s="46" t="str">
        <f t="shared" si="2314"/>
        <v/>
      </c>
      <c r="W5437" s="46" t="str">
        <f t="shared" si="2314"/>
        <v/>
      </c>
      <c r="X5437" s="46" t="str">
        <f t="shared" si="2314"/>
        <v/>
      </c>
    </row>
    <row r="5438" spans="2:24" x14ac:dyDescent="0.25">
      <c r="B5438" s="18"/>
      <c r="C5438" s="18"/>
      <c r="D5438" s="18"/>
      <c r="E5438" s="40"/>
      <c r="F5438" s="18"/>
      <c r="G5438" s="40"/>
      <c r="N5438" s="8" t="str">
        <f>IF(R5438="x",1,"")</f>
        <v/>
      </c>
      <c r="O5438" s="18"/>
      <c r="P5438" s="13"/>
      <c r="Q5438" s="13"/>
      <c r="R5438" s="13"/>
      <c r="S5438" s="13"/>
      <c r="T5438" s="15"/>
      <c r="U5438" s="46" t="str">
        <f t="shared" si="2314"/>
        <v/>
      </c>
      <c r="V5438" s="46" t="str">
        <f t="shared" si="2314"/>
        <v/>
      </c>
      <c r="W5438" s="46" t="str">
        <f t="shared" si="2314"/>
        <v/>
      </c>
      <c r="X5438" s="46" t="str">
        <f t="shared" si="2314"/>
        <v/>
      </c>
    </row>
    <row r="5439" spans="2:24" x14ac:dyDescent="0.25">
      <c r="B5439" s="18"/>
      <c r="C5439" s="18"/>
      <c r="D5439" s="18"/>
      <c r="E5439" s="40"/>
      <c r="F5439" s="18"/>
      <c r="G5439" s="40"/>
      <c r="N5439" s="8" t="str">
        <f>IF(R5439="x",1,"")</f>
        <v/>
      </c>
      <c r="O5439" s="18"/>
      <c r="P5439" s="13"/>
      <c r="Q5439" s="13"/>
      <c r="R5439" s="13"/>
      <c r="S5439" s="13"/>
      <c r="T5439" s="15"/>
      <c r="U5439" s="46" t="str">
        <f t="shared" si="2314"/>
        <v/>
      </c>
      <c r="V5439" s="46" t="str">
        <f t="shared" si="2314"/>
        <v/>
      </c>
      <c r="W5439" s="46" t="str">
        <f t="shared" si="2314"/>
        <v/>
      </c>
      <c r="X5439" s="46" t="str">
        <f t="shared" si="2314"/>
        <v/>
      </c>
    </row>
    <row r="5440" spans="2:24" x14ac:dyDescent="0.25">
      <c r="B5440" s="11" t="str">
        <f>CONCATENATE("REGI","-",LEFT(P5440,2),UPPER(MID(P5440,4,3)),RIGHT(P5440,4))</f>
        <v>REGI-25AUG1923</v>
      </c>
      <c r="C5440" s="11" t="s">
        <v>11228</v>
      </c>
      <c r="D5440" s="11" t="s">
        <v>2097</v>
      </c>
      <c r="E5440" s="39" t="s">
        <v>11229</v>
      </c>
      <c r="F5440" s="11" t="s">
        <v>2813</v>
      </c>
      <c r="G5440" s="39" t="s">
        <v>11230</v>
      </c>
      <c r="H5440" s="7">
        <v>4</v>
      </c>
      <c r="J5440" s="17"/>
      <c r="K5440" s="17"/>
      <c r="L5440" s="7">
        <f>SUM(H5440:K5440)</f>
        <v>4</v>
      </c>
      <c r="M5440" s="8">
        <v>1</v>
      </c>
      <c r="N5440" s="8">
        <f>IF(L5440&gt;0,1,"")</f>
        <v>1</v>
      </c>
      <c r="O5440" s="11" t="s">
        <v>1702</v>
      </c>
      <c r="P5440" s="16" t="str">
        <f>IF(LEN(G5440)=10,CONCATENATE("0",G5440),G5440)</f>
        <v>25-Aug-1923</v>
      </c>
      <c r="R5440" s="16" t="str">
        <f>IF($L5440&gt;0,"x","")</f>
        <v>x</v>
      </c>
      <c r="S5440" s="16" t="str">
        <f>IF($L5440&gt;0,"x","")</f>
        <v>x</v>
      </c>
      <c r="U5440" s="46" t="str">
        <f t="shared" si="2314"/>
        <v/>
      </c>
      <c r="V5440" s="46">
        <f t="shared" si="2314"/>
        <v>4</v>
      </c>
      <c r="W5440" s="46" t="str">
        <f t="shared" si="2314"/>
        <v/>
      </c>
      <c r="X5440" s="46" t="str">
        <f>IF($O5440=X$5,$L5440,"")</f>
        <v/>
      </c>
    </row>
    <row r="5441" spans="2:24" x14ac:dyDescent="0.25">
      <c r="N5441" s="8" t="str">
        <f>IF(R5441="x",1,"")</f>
        <v/>
      </c>
      <c r="U5441" s="46" t="str">
        <f t="shared" si="2314"/>
        <v/>
      </c>
      <c r="V5441" s="46" t="str">
        <f t="shared" si="2314"/>
        <v/>
      </c>
      <c r="W5441" s="46" t="str">
        <f t="shared" si="2314"/>
        <v/>
      </c>
      <c r="X5441" s="46" t="str">
        <f t="shared" si="2314"/>
        <v/>
      </c>
    </row>
    <row r="5442" spans="2:24" x14ac:dyDescent="0.25">
      <c r="B5442" s="18"/>
      <c r="C5442" s="18"/>
      <c r="D5442" s="18"/>
      <c r="E5442" s="40"/>
      <c r="F5442" s="18"/>
      <c r="G5442" s="40"/>
      <c r="H5442" s="7">
        <f t="shared" ref="H5442:N5442" si="2316">SUM(H5440:H5441)</f>
        <v>4</v>
      </c>
      <c r="I5442" s="7">
        <f t="shared" si="2316"/>
        <v>0</v>
      </c>
      <c r="J5442" s="7">
        <f>SUM(J5440:J5441)</f>
        <v>0</v>
      </c>
      <c r="K5442" s="7">
        <f t="shared" si="2316"/>
        <v>0</v>
      </c>
      <c r="L5442" s="7">
        <f t="shared" si="2316"/>
        <v>4</v>
      </c>
      <c r="M5442" s="7">
        <f t="shared" si="2316"/>
        <v>1</v>
      </c>
      <c r="N5442" s="7">
        <f t="shared" si="2316"/>
        <v>1</v>
      </c>
      <c r="O5442" s="18"/>
      <c r="P5442" s="13"/>
      <c r="Q5442" s="13"/>
      <c r="S5442" s="13"/>
      <c r="T5442" s="15"/>
      <c r="U5442" s="46" t="str">
        <f t="shared" si="2314"/>
        <v/>
      </c>
      <c r="V5442" s="46" t="str">
        <f t="shared" si="2314"/>
        <v/>
      </c>
      <c r="W5442" s="46" t="str">
        <f t="shared" si="2314"/>
        <v/>
      </c>
      <c r="X5442" s="46" t="str">
        <f t="shared" si="2314"/>
        <v/>
      </c>
    </row>
    <row r="5443" spans="2:24" x14ac:dyDescent="0.25">
      <c r="B5443" s="18"/>
      <c r="C5443" s="18"/>
      <c r="D5443" s="18"/>
      <c r="E5443" s="40"/>
      <c r="F5443" s="18"/>
      <c r="G5443" s="40"/>
      <c r="N5443" s="8" t="str">
        <f>IF(R5443="x",1,"")</f>
        <v/>
      </c>
      <c r="O5443" s="18"/>
      <c r="P5443" s="13"/>
      <c r="Q5443" s="13"/>
      <c r="R5443" s="13"/>
      <c r="S5443" s="13"/>
      <c r="T5443" s="15"/>
      <c r="U5443" s="46" t="str">
        <f t="shared" si="2314"/>
        <v/>
      </c>
      <c r="V5443" s="46" t="str">
        <f t="shared" si="2314"/>
        <v/>
      </c>
      <c r="W5443" s="46" t="str">
        <f t="shared" si="2314"/>
        <v/>
      </c>
      <c r="X5443" s="46" t="str">
        <f t="shared" si="2314"/>
        <v/>
      </c>
    </row>
    <row r="5444" spans="2:24" x14ac:dyDescent="0.25">
      <c r="B5444" s="18"/>
      <c r="C5444" s="18"/>
      <c r="D5444" s="18"/>
      <c r="E5444" s="40"/>
      <c r="F5444" s="18"/>
      <c r="G5444" s="40"/>
      <c r="N5444" s="8" t="str">
        <f>IF(R5444="x",1,"")</f>
        <v/>
      </c>
      <c r="O5444" s="18"/>
      <c r="P5444" s="13"/>
      <c r="Q5444" s="13"/>
      <c r="R5444" s="13"/>
      <c r="S5444" s="13"/>
      <c r="T5444" s="15"/>
      <c r="U5444" s="46" t="str">
        <f t="shared" si="2314"/>
        <v/>
      </c>
      <c r="V5444" s="46" t="str">
        <f t="shared" si="2314"/>
        <v/>
      </c>
      <c r="W5444" s="46" t="str">
        <f t="shared" si="2314"/>
        <v/>
      </c>
      <c r="X5444" s="46" t="str">
        <f t="shared" si="2314"/>
        <v/>
      </c>
    </row>
    <row r="5445" spans="2:24" x14ac:dyDescent="0.25">
      <c r="B5445" s="11" t="str">
        <f>CONCATENATE("REGD","-",LEFT(P5445,2),UPPER(MID(P5445,4,3)),RIGHT(P5445,4))</f>
        <v>REGD-19AUG1909</v>
      </c>
      <c r="C5445" s="11" t="s">
        <v>11354</v>
      </c>
      <c r="D5445" s="11" t="s">
        <v>3007</v>
      </c>
      <c r="E5445" s="39" t="s">
        <v>11355</v>
      </c>
      <c r="F5445" s="11" t="s">
        <v>1700</v>
      </c>
      <c r="G5445" s="39" t="s">
        <v>5097</v>
      </c>
      <c r="H5445" s="7">
        <v>0</v>
      </c>
      <c r="J5445" s="17">
        <v>19</v>
      </c>
      <c r="K5445" s="17"/>
      <c r="L5445" s="7">
        <f>SUM(H5445:K5445)</f>
        <v>19</v>
      </c>
      <c r="M5445" s="8">
        <v>1</v>
      </c>
      <c r="N5445" s="8">
        <f>IF(L5445&gt;0,1,"")</f>
        <v>1</v>
      </c>
      <c r="O5445" s="11" t="s">
        <v>1702</v>
      </c>
      <c r="P5445" s="16" t="str">
        <f>IF(LEN(G5445)=10,CONCATENATE("0",G5445),G5445)</f>
        <v>19-Aug-1909</v>
      </c>
      <c r="R5445" s="16" t="str">
        <f>IF($L5445&gt;0,"x","")</f>
        <v>x</v>
      </c>
      <c r="S5445" s="16" t="str">
        <f>IF($L5445&gt;0,"x","")</f>
        <v>x</v>
      </c>
      <c r="U5445" s="46" t="str">
        <f t="shared" si="2314"/>
        <v/>
      </c>
      <c r="V5445" s="46">
        <f t="shared" si="2314"/>
        <v>19</v>
      </c>
      <c r="W5445" s="46" t="str">
        <f t="shared" si="2314"/>
        <v/>
      </c>
      <c r="X5445" s="46" t="str">
        <f>IF($O5445=X$5,$L5445,"")</f>
        <v/>
      </c>
    </row>
    <row r="5446" spans="2:24" x14ac:dyDescent="0.25">
      <c r="N5446" s="8" t="str">
        <f>IF(R5446="x",1,"")</f>
        <v/>
      </c>
      <c r="U5446" s="46" t="str">
        <f t="shared" si="2314"/>
        <v/>
      </c>
      <c r="V5446" s="46" t="str">
        <f t="shared" si="2314"/>
        <v/>
      </c>
      <c r="W5446" s="46" t="str">
        <f t="shared" si="2314"/>
        <v/>
      </c>
      <c r="X5446" s="46" t="str">
        <f t="shared" si="2314"/>
        <v/>
      </c>
    </row>
    <row r="5447" spans="2:24" x14ac:dyDescent="0.25">
      <c r="B5447" s="18"/>
      <c r="C5447" s="18"/>
      <c r="D5447" s="18"/>
      <c r="E5447" s="40"/>
      <c r="F5447" s="18"/>
      <c r="G5447" s="40"/>
      <c r="H5447" s="7">
        <f t="shared" ref="H5447:N5447" si="2317">SUM(H5445:H5446)</f>
        <v>0</v>
      </c>
      <c r="I5447" s="7">
        <f t="shared" si="2317"/>
        <v>0</v>
      </c>
      <c r="J5447" s="7">
        <f t="shared" si="2317"/>
        <v>19</v>
      </c>
      <c r="K5447" s="7">
        <f t="shared" si="2317"/>
        <v>0</v>
      </c>
      <c r="L5447" s="7">
        <f t="shared" si="2317"/>
        <v>19</v>
      </c>
      <c r="M5447" s="7">
        <f t="shared" si="2317"/>
        <v>1</v>
      </c>
      <c r="N5447" s="7">
        <f t="shared" si="2317"/>
        <v>1</v>
      </c>
      <c r="O5447" s="18"/>
      <c r="P5447" s="13"/>
      <c r="Q5447" s="13"/>
      <c r="S5447" s="13"/>
      <c r="T5447" s="15"/>
      <c r="U5447" s="46" t="str">
        <f t="shared" si="2314"/>
        <v/>
      </c>
      <c r="V5447" s="46" t="str">
        <f t="shared" si="2314"/>
        <v/>
      </c>
      <c r="W5447" s="46" t="str">
        <f t="shared" si="2314"/>
        <v/>
      </c>
      <c r="X5447" s="46" t="str">
        <f t="shared" si="2314"/>
        <v/>
      </c>
    </row>
    <row r="5448" spans="2:24" x14ac:dyDescent="0.25">
      <c r="B5448" s="18"/>
      <c r="C5448" s="18"/>
      <c r="D5448" s="18"/>
      <c r="E5448" s="40"/>
      <c r="F5448" s="18"/>
      <c r="G5448" s="40"/>
      <c r="N5448" s="8" t="str">
        <f>IF(R5448="x",1,"")</f>
        <v/>
      </c>
      <c r="O5448" s="18"/>
      <c r="P5448" s="13"/>
      <c r="Q5448" s="13"/>
      <c r="R5448" s="13"/>
      <c r="S5448" s="13"/>
      <c r="T5448" s="15"/>
      <c r="U5448" s="46" t="str">
        <f t="shared" ref="U5448:X5450" si="2318">IF($O5448=U$5,$L5448,"")</f>
        <v/>
      </c>
      <c r="V5448" s="46" t="str">
        <f t="shared" si="2318"/>
        <v/>
      </c>
      <c r="W5448" s="46" t="str">
        <f t="shared" si="2318"/>
        <v/>
      </c>
      <c r="X5448" s="46" t="str">
        <f t="shared" si="2318"/>
        <v/>
      </c>
    </row>
    <row r="5449" spans="2:24" x14ac:dyDescent="0.25">
      <c r="B5449" s="18"/>
      <c r="C5449" s="18"/>
      <c r="D5449" s="18"/>
      <c r="E5449" s="40"/>
      <c r="F5449" s="18"/>
      <c r="G5449" s="40"/>
      <c r="N5449" s="8" t="str">
        <f>IF(R5449="x",1,"")</f>
        <v/>
      </c>
      <c r="O5449" s="18"/>
      <c r="P5449" s="13"/>
      <c r="Q5449" s="13"/>
      <c r="R5449" s="13"/>
      <c r="S5449" s="13"/>
      <c r="T5449" s="15"/>
      <c r="U5449" s="46" t="str">
        <f t="shared" si="2318"/>
        <v/>
      </c>
      <c r="V5449" s="46" t="str">
        <f t="shared" si="2318"/>
        <v/>
      </c>
      <c r="W5449" s="46" t="str">
        <f t="shared" si="2318"/>
        <v/>
      </c>
      <c r="X5449" s="46" t="str">
        <f t="shared" si="2318"/>
        <v/>
      </c>
    </row>
    <row r="5450" spans="2:24" x14ac:dyDescent="0.25">
      <c r="B5450" s="11" t="str">
        <f t="shared" ref="B5450:B5456" si="2319">CONCATENATE("REPU","-",LEFT(P5450,2),UPPER(MID(P5450,4,3)),RIGHT(P5450,4))</f>
        <v>REPU-10FEB1904</v>
      </c>
      <c r="C5450" s="11" t="s">
        <v>3396</v>
      </c>
      <c r="D5450" s="11" t="s">
        <v>3395</v>
      </c>
      <c r="E5450" s="39" t="s">
        <v>3397</v>
      </c>
      <c r="F5450" s="11" t="s">
        <v>3050</v>
      </c>
      <c r="G5450" s="39" t="s">
        <v>3394</v>
      </c>
      <c r="J5450" s="17">
        <v>1</v>
      </c>
      <c r="K5450" s="17"/>
      <c r="L5450" s="7">
        <f t="shared" ref="L5450:L5456" si="2320">SUM(H5450:K5450)</f>
        <v>1</v>
      </c>
      <c r="M5450" s="8">
        <v>1</v>
      </c>
      <c r="N5450" s="8">
        <f t="shared" ref="N5450:N5456" si="2321">IF(L5450&gt;0,1,"")</f>
        <v>1</v>
      </c>
      <c r="O5450" s="11" t="s">
        <v>1702</v>
      </c>
      <c r="P5450" s="16" t="str">
        <f t="shared" ref="P5450:P5456" si="2322">IF(LEN(G5450)=10,CONCATENATE("0",G5450),G5450)</f>
        <v>10-Feb-1904</v>
      </c>
      <c r="R5450" s="16" t="str">
        <f>IF($L5450&gt;0,"x","")</f>
        <v>x</v>
      </c>
      <c r="S5450" s="16" t="str">
        <f>IF($L5450&gt;0,"x","")</f>
        <v>x</v>
      </c>
      <c r="U5450" s="46" t="str">
        <f t="shared" si="2318"/>
        <v/>
      </c>
      <c r="V5450" s="46">
        <f t="shared" si="2318"/>
        <v>1</v>
      </c>
      <c r="W5450" s="46" t="str">
        <f t="shared" si="2318"/>
        <v/>
      </c>
      <c r="X5450" s="46" t="str">
        <f t="shared" si="2318"/>
        <v/>
      </c>
    </row>
    <row r="5451" spans="2:24" x14ac:dyDescent="0.25">
      <c r="B5451" s="11" t="str">
        <f t="shared" si="2319"/>
        <v>REPU-22MAR1904</v>
      </c>
      <c r="C5451" s="11" t="s">
        <v>3396</v>
      </c>
      <c r="D5451" s="11" t="s">
        <v>3007</v>
      </c>
      <c r="E5451" s="39" t="s">
        <v>5701</v>
      </c>
      <c r="F5451" s="11" t="s">
        <v>3050</v>
      </c>
      <c r="G5451" s="39" t="s">
        <v>5702</v>
      </c>
      <c r="H5451" s="7">
        <v>0</v>
      </c>
      <c r="I5451" s="7">
        <v>0</v>
      </c>
      <c r="J5451" s="17">
        <v>12</v>
      </c>
      <c r="K5451" s="17"/>
      <c r="L5451" s="7">
        <f t="shared" si="2320"/>
        <v>12</v>
      </c>
      <c r="M5451" s="8">
        <v>1</v>
      </c>
      <c r="N5451" s="8">
        <f t="shared" si="2321"/>
        <v>1</v>
      </c>
      <c r="O5451" s="11" t="s">
        <v>1702</v>
      </c>
      <c r="P5451" s="16" t="str">
        <f t="shared" si="2322"/>
        <v>22-Mar-1904</v>
      </c>
      <c r="R5451" s="16" t="str">
        <f t="shared" ref="R5451:S5454" si="2323">IF($L5451&gt;0,"x","")</f>
        <v>x</v>
      </c>
      <c r="S5451" s="16" t="str">
        <f t="shared" si="2323"/>
        <v>x</v>
      </c>
      <c r="U5451" s="46" t="str">
        <f t="shared" ref="U5451:W5455" si="2324">IF($O5451=U$5,$L5451,"")</f>
        <v/>
      </c>
      <c r="V5451" s="46">
        <f t="shared" si="2324"/>
        <v>12</v>
      </c>
      <c r="W5451" s="46" t="str">
        <f t="shared" si="2324"/>
        <v/>
      </c>
      <c r="X5451" s="46" t="str">
        <f>IF($O5451=X$5,$L5451,"")</f>
        <v/>
      </c>
    </row>
    <row r="5452" spans="2:24" x14ac:dyDescent="0.25">
      <c r="B5452" s="11" t="str">
        <f t="shared" si="2319"/>
        <v>REPU-09JAN1905</v>
      </c>
      <c r="C5452" s="11" t="s">
        <v>3396</v>
      </c>
      <c r="D5452" s="11" t="s">
        <v>3007</v>
      </c>
      <c r="E5452" s="39" t="s">
        <v>6032</v>
      </c>
      <c r="F5452" s="11" t="s">
        <v>1700</v>
      </c>
      <c r="G5452" s="39" t="s">
        <v>6033</v>
      </c>
      <c r="H5452" s="7">
        <v>0</v>
      </c>
      <c r="I5452" s="7">
        <v>0</v>
      </c>
      <c r="J5452" s="17">
        <v>7</v>
      </c>
      <c r="K5452" s="17"/>
      <c r="L5452" s="7">
        <f t="shared" si="2320"/>
        <v>7</v>
      </c>
      <c r="M5452" s="8">
        <v>1</v>
      </c>
      <c r="N5452" s="8">
        <f t="shared" si="2321"/>
        <v>1</v>
      </c>
      <c r="O5452" s="11" t="s">
        <v>1702</v>
      </c>
      <c r="P5452" s="16" t="str">
        <f t="shared" si="2322"/>
        <v>09-Jan-1905</v>
      </c>
      <c r="R5452" s="16" t="str">
        <f t="shared" si="2323"/>
        <v>x</v>
      </c>
      <c r="S5452" s="16" t="str">
        <f t="shared" si="2323"/>
        <v>x</v>
      </c>
      <c r="U5452" s="46" t="str">
        <f t="shared" si="2324"/>
        <v/>
      </c>
      <c r="V5452" s="46">
        <f t="shared" si="2324"/>
        <v>7</v>
      </c>
      <c r="W5452" s="46" t="str">
        <f t="shared" si="2324"/>
        <v/>
      </c>
      <c r="X5452" s="46" t="str">
        <f>IF($O5452=X$5,$L5452,"")</f>
        <v/>
      </c>
    </row>
    <row r="5453" spans="2:24" x14ac:dyDescent="0.25">
      <c r="B5453" s="11" t="str">
        <f>CONCATENATE("REPU","-",LEFT(P5453,2),UPPER(MID(P5453,4,3)),RIGHT(P5453,4))</f>
        <v>REPU-21FEB1905</v>
      </c>
      <c r="C5453" s="11" t="s">
        <v>3396</v>
      </c>
      <c r="D5453" s="11" t="s">
        <v>3007</v>
      </c>
      <c r="E5453" s="39" t="s">
        <v>11487</v>
      </c>
      <c r="F5453" s="11" t="s">
        <v>1700</v>
      </c>
      <c r="G5453" s="39" t="s">
        <v>5372</v>
      </c>
      <c r="H5453" s="7">
        <v>0</v>
      </c>
      <c r="I5453" s="7">
        <v>3</v>
      </c>
      <c r="J5453" s="17">
        <v>5</v>
      </c>
      <c r="K5453" s="17"/>
      <c r="L5453" s="7">
        <f>SUM(H5453:K5453)</f>
        <v>8</v>
      </c>
      <c r="M5453" s="8">
        <v>1</v>
      </c>
      <c r="N5453" s="8">
        <f>IF(L5453&gt;0,1,"")</f>
        <v>1</v>
      </c>
      <c r="O5453" s="11" t="s">
        <v>1702</v>
      </c>
      <c r="P5453" s="16" t="str">
        <f>IF(LEN(G5453)=10,CONCATENATE("0",G5453),G5453)</f>
        <v>21-Feb-1905</v>
      </c>
      <c r="R5453" s="16" t="str">
        <f t="shared" si="2323"/>
        <v>x</v>
      </c>
      <c r="S5453" s="16" t="str">
        <f t="shared" si="2323"/>
        <v>x</v>
      </c>
      <c r="U5453" s="46" t="str">
        <f t="shared" si="2324"/>
        <v/>
      </c>
      <c r="V5453" s="46">
        <f t="shared" si="2324"/>
        <v>8</v>
      </c>
      <c r="W5453" s="46" t="str">
        <f t="shared" si="2324"/>
        <v/>
      </c>
      <c r="X5453" s="46" t="str">
        <f>IF($O5453=X$5,$L5453,"")</f>
        <v/>
      </c>
    </row>
    <row r="5454" spans="2:24" x14ac:dyDescent="0.25">
      <c r="B5454" s="11" t="str">
        <f t="shared" si="2319"/>
        <v>REPU-06MAR1906</v>
      </c>
      <c r="C5454" s="11" t="s">
        <v>3396</v>
      </c>
      <c r="D5454" s="11" t="s">
        <v>3007</v>
      </c>
      <c r="E5454" s="39" t="s">
        <v>5964</v>
      </c>
      <c r="F5454" s="11" t="s">
        <v>1700</v>
      </c>
      <c r="G5454" s="39" t="s">
        <v>5965</v>
      </c>
      <c r="H5454" s="7">
        <v>0</v>
      </c>
      <c r="I5454" s="7">
        <v>0</v>
      </c>
      <c r="J5454" s="17">
        <v>14</v>
      </c>
      <c r="K5454" s="17"/>
      <c r="L5454" s="7">
        <f t="shared" si="2320"/>
        <v>14</v>
      </c>
      <c r="M5454" s="8">
        <v>1</v>
      </c>
      <c r="N5454" s="8">
        <f t="shared" si="2321"/>
        <v>1</v>
      </c>
      <c r="O5454" s="11" t="s">
        <v>1702</v>
      </c>
      <c r="P5454" s="16" t="str">
        <f t="shared" si="2322"/>
        <v>06-Mar-1906</v>
      </c>
      <c r="R5454" s="16" t="str">
        <f t="shared" si="2323"/>
        <v>x</v>
      </c>
      <c r="S5454" s="16" t="str">
        <f t="shared" si="2323"/>
        <v>x</v>
      </c>
      <c r="T5454" s="11"/>
      <c r="U5454" s="46" t="str">
        <f t="shared" si="2324"/>
        <v/>
      </c>
      <c r="V5454" s="46">
        <f t="shared" si="2324"/>
        <v>14</v>
      </c>
      <c r="W5454" s="46" t="str">
        <f t="shared" si="2324"/>
        <v/>
      </c>
      <c r="X5454" s="46" t="str">
        <f>IF($O5454=X$5,$L5454,"")</f>
        <v/>
      </c>
    </row>
    <row r="5455" spans="2:24" x14ac:dyDescent="0.25">
      <c r="B5455" s="11" t="str">
        <f t="shared" si="2319"/>
        <v>REPU-20SEP1908</v>
      </c>
      <c r="C5455" s="11" t="s">
        <v>3396</v>
      </c>
      <c r="D5455" s="11" t="s">
        <v>2097</v>
      </c>
      <c r="E5455" s="39" t="s">
        <v>1473</v>
      </c>
      <c r="F5455" s="11" t="s">
        <v>3050</v>
      </c>
      <c r="G5455" s="39" t="s">
        <v>923</v>
      </c>
      <c r="H5455" s="7">
        <v>0</v>
      </c>
      <c r="I5455" s="7">
        <v>0</v>
      </c>
      <c r="J5455" s="17">
        <v>2</v>
      </c>
      <c r="K5455" s="17"/>
      <c r="L5455" s="7">
        <f t="shared" si="2320"/>
        <v>2</v>
      </c>
      <c r="M5455" s="8">
        <v>1</v>
      </c>
      <c r="N5455" s="8">
        <f t="shared" si="2321"/>
        <v>1</v>
      </c>
      <c r="O5455" s="11" t="s">
        <v>1702</v>
      </c>
      <c r="P5455" s="16" t="str">
        <f t="shared" si="2322"/>
        <v>20-Sep-1908</v>
      </c>
      <c r="R5455" s="16" t="str">
        <f>IF($L5455&gt;0,"x","")</f>
        <v>x</v>
      </c>
      <c r="S5455" s="16" t="str">
        <f>IF($L5455&gt;0,"x","")</f>
        <v>x</v>
      </c>
      <c r="U5455" s="46" t="str">
        <f t="shared" si="2324"/>
        <v/>
      </c>
      <c r="V5455" s="46">
        <f t="shared" si="2324"/>
        <v>2</v>
      </c>
      <c r="W5455" s="46" t="str">
        <f t="shared" si="2324"/>
        <v/>
      </c>
      <c r="X5455" s="46" t="str">
        <f>IF($O5455=X$5,$L5455,"")</f>
        <v/>
      </c>
    </row>
    <row r="5456" spans="2:24" x14ac:dyDescent="0.25">
      <c r="B5456" s="11" t="str">
        <f t="shared" si="2319"/>
        <v>REPU-14FEB1928</v>
      </c>
      <c r="C5456" s="11" t="s">
        <v>3396</v>
      </c>
      <c r="D5456" s="11" t="s">
        <v>2224</v>
      </c>
      <c r="E5456" s="39" t="s">
        <v>4938</v>
      </c>
      <c r="F5456" s="11" t="s">
        <v>1700</v>
      </c>
      <c r="G5456" s="39" t="s">
        <v>4939</v>
      </c>
      <c r="H5456" s="7">
        <v>2</v>
      </c>
      <c r="J5456" s="17">
        <v>0</v>
      </c>
      <c r="K5456" s="17"/>
      <c r="L5456" s="7">
        <f t="shared" si="2320"/>
        <v>2</v>
      </c>
      <c r="M5456" s="8">
        <v>1</v>
      </c>
      <c r="N5456" s="8">
        <f t="shared" si="2321"/>
        <v>1</v>
      </c>
      <c r="O5456" s="11" t="s">
        <v>1702</v>
      </c>
      <c r="P5456" s="16" t="str">
        <f t="shared" si="2322"/>
        <v>14-Feb-1928</v>
      </c>
      <c r="R5456" s="16" t="str">
        <f>IF($L5456&gt;0,"x","")</f>
        <v>x</v>
      </c>
      <c r="S5456" s="16" t="str">
        <f>IF($L5456&gt;0,"x","")</f>
        <v>x</v>
      </c>
      <c r="U5456" s="46" t="str">
        <f t="shared" ref="U5456:X5550" si="2325">IF($O5456=U$5,$L5456,"")</f>
        <v/>
      </c>
      <c r="V5456" s="46">
        <f t="shared" si="2325"/>
        <v>2</v>
      </c>
      <c r="W5456" s="46" t="str">
        <f t="shared" si="2325"/>
        <v/>
      </c>
      <c r="X5456" s="46" t="str">
        <f t="shared" si="2325"/>
        <v/>
      </c>
    </row>
    <row r="5457" spans="2:24" x14ac:dyDescent="0.25">
      <c r="N5457" s="8" t="str">
        <f>IF(R5457="x",1,"")</f>
        <v/>
      </c>
      <c r="U5457" s="46" t="str">
        <f t="shared" si="2325"/>
        <v/>
      </c>
      <c r="V5457" s="46" t="str">
        <f t="shared" si="2325"/>
        <v/>
      </c>
      <c r="W5457" s="46" t="str">
        <f t="shared" si="2325"/>
        <v/>
      </c>
      <c r="X5457" s="46" t="str">
        <f t="shared" si="2325"/>
        <v/>
      </c>
    </row>
    <row r="5458" spans="2:24" x14ac:dyDescent="0.25">
      <c r="B5458" s="18"/>
      <c r="C5458" s="18"/>
      <c r="D5458" s="18"/>
      <c r="E5458" s="40"/>
      <c r="F5458" s="18"/>
      <c r="G5458" s="40"/>
      <c r="H5458" s="7">
        <f t="shared" ref="H5458:N5458" si="2326">SUM(H5450:H5457)</f>
        <v>2</v>
      </c>
      <c r="I5458" s="7">
        <f t="shared" si="2326"/>
        <v>3</v>
      </c>
      <c r="J5458" s="7">
        <f>SUM(J5450:J5457)</f>
        <v>41</v>
      </c>
      <c r="K5458" s="7">
        <f t="shared" si="2326"/>
        <v>0</v>
      </c>
      <c r="L5458" s="7">
        <f t="shared" si="2326"/>
        <v>46</v>
      </c>
      <c r="M5458" s="7">
        <f t="shared" si="2326"/>
        <v>7</v>
      </c>
      <c r="N5458" s="7">
        <f t="shared" si="2326"/>
        <v>7</v>
      </c>
      <c r="O5458" s="18"/>
      <c r="P5458" s="13"/>
      <c r="Q5458" s="13"/>
      <c r="S5458" s="13"/>
      <c r="T5458" s="15"/>
      <c r="U5458" s="46" t="str">
        <f t="shared" si="2325"/>
        <v/>
      </c>
      <c r="V5458" s="46" t="str">
        <f t="shared" si="2325"/>
        <v/>
      </c>
      <c r="W5458" s="46" t="str">
        <f t="shared" si="2325"/>
        <v/>
      </c>
      <c r="X5458" s="46" t="str">
        <f t="shared" si="2325"/>
        <v/>
      </c>
    </row>
    <row r="5459" spans="2:24" x14ac:dyDescent="0.25">
      <c r="B5459" s="18"/>
      <c r="C5459" s="18"/>
      <c r="D5459" s="18"/>
      <c r="E5459" s="40"/>
      <c r="F5459" s="18"/>
      <c r="G5459" s="40"/>
      <c r="N5459" s="8" t="str">
        <f>IF(R5459="x",1,"")</f>
        <v/>
      </c>
      <c r="O5459" s="18"/>
      <c r="P5459" s="13"/>
      <c r="Q5459" s="13"/>
      <c r="R5459" s="13"/>
      <c r="S5459" s="13"/>
      <c r="T5459" s="15"/>
      <c r="U5459" s="46" t="str">
        <f t="shared" si="2325"/>
        <v/>
      </c>
      <c r="V5459" s="46" t="str">
        <f t="shared" si="2325"/>
        <v/>
      </c>
      <c r="W5459" s="46" t="str">
        <f t="shared" si="2325"/>
        <v/>
      </c>
      <c r="X5459" s="46" t="str">
        <f t="shared" si="2325"/>
        <v/>
      </c>
    </row>
    <row r="5460" spans="2:24" x14ac:dyDescent="0.25">
      <c r="B5460" s="18"/>
      <c r="C5460" s="18"/>
      <c r="D5460" s="18"/>
      <c r="E5460" s="40"/>
      <c r="F5460" s="18"/>
      <c r="G5460" s="40"/>
      <c r="N5460" s="8" t="str">
        <f>IF(R5460="x",1,"")</f>
        <v/>
      </c>
      <c r="O5460" s="18"/>
      <c r="P5460" s="13"/>
      <c r="Q5460" s="13"/>
      <c r="R5460" s="13"/>
      <c r="S5460" s="13"/>
      <c r="T5460" s="15"/>
      <c r="U5460" s="46" t="str">
        <f t="shared" si="2325"/>
        <v/>
      </c>
      <c r="V5460" s="46" t="str">
        <f t="shared" si="2325"/>
        <v/>
      </c>
      <c r="W5460" s="46" t="str">
        <f t="shared" si="2325"/>
        <v/>
      </c>
      <c r="X5460" s="46" t="str">
        <f t="shared" si="2325"/>
        <v/>
      </c>
    </row>
    <row r="5461" spans="2:24" x14ac:dyDescent="0.25">
      <c r="B5461" s="11" t="str">
        <f>CONCATENATE("REXX","-",LEFT(P5461,2),UPPER(MID(P5461,4,3)),RIGHT(P5461,4))</f>
        <v>REXX-29SEP1938</v>
      </c>
      <c r="C5461" s="11" t="s">
        <v>5441</v>
      </c>
      <c r="D5461" s="11" t="s">
        <v>3217</v>
      </c>
      <c r="E5461" s="39" t="s">
        <v>5442</v>
      </c>
      <c r="F5461" s="11" t="s">
        <v>1700</v>
      </c>
      <c r="G5461" s="39" t="s">
        <v>5443</v>
      </c>
      <c r="H5461" s="7">
        <v>0</v>
      </c>
      <c r="I5461" s="7">
        <v>3</v>
      </c>
      <c r="J5461" s="17">
        <v>0</v>
      </c>
      <c r="K5461" s="17"/>
      <c r="L5461" s="7">
        <f>SUM(H5461:K5461)</f>
        <v>3</v>
      </c>
      <c r="M5461" s="8">
        <v>1</v>
      </c>
      <c r="N5461" s="8">
        <f>IF(L5461&gt;0,1,"")</f>
        <v>1</v>
      </c>
      <c r="O5461" s="11" t="s">
        <v>1702</v>
      </c>
      <c r="P5461" s="16" t="str">
        <f>IF(LEN(G5461)=10,CONCATENATE("0",G5461),G5461)</f>
        <v>29-Sep-1938</v>
      </c>
      <c r="R5461" s="16" t="str">
        <f>IF($L5461&gt;0,"x","")</f>
        <v>x</v>
      </c>
      <c r="S5461" s="16" t="str">
        <f>IF($L5461&gt;0,"x","")</f>
        <v>x</v>
      </c>
      <c r="U5461" s="46" t="str">
        <f t="shared" ref="U5461:X5464" si="2327">IF($O5461=U$5,$L5461,"")</f>
        <v/>
      </c>
      <c r="V5461" s="46">
        <f t="shared" si="2327"/>
        <v>3</v>
      </c>
      <c r="W5461" s="46" t="str">
        <f t="shared" si="2327"/>
        <v/>
      </c>
      <c r="X5461" s="46" t="str">
        <f>IF($O5461=X$5,$L5461,"")</f>
        <v/>
      </c>
    </row>
    <row r="5462" spans="2:24" x14ac:dyDescent="0.25">
      <c r="B5462" s="11" t="str">
        <f>CONCATENATE("REXX","-",LEFT(P5462,2),UPPER(MID(P5462,4,3)),RIGHT(P5462,4))</f>
        <v>REXX-11MAY1939</v>
      </c>
      <c r="C5462" s="11" t="s">
        <v>5441</v>
      </c>
      <c r="D5462" s="11" t="s">
        <v>3217</v>
      </c>
      <c r="E5462" s="39" t="s">
        <v>5444</v>
      </c>
      <c r="F5462" s="11" t="s">
        <v>1700</v>
      </c>
      <c r="G5462" s="39" t="s">
        <v>5445</v>
      </c>
      <c r="H5462" s="7">
        <v>0</v>
      </c>
      <c r="I5462" s="7">
        <v>2</v>
      </c>
      <c r="J5462" s="17">
        <v>0</v>
      </c>
      <c r="K5462" s="17"/>
      <c r="L5462" s="7">
        <f>SUM(H5462:K5462)</f>
        <v>2</v>
      </c>
      <c r="M5462" s="8">
        <v>1</v>
      </c>
      <c r="N5462" s="8">
        <f>IF(L5462&gt;0,1,"")</f>
        <v>1</v>
      </c>
      <c r="O5462" s="11" t="s">
        <v>1702</v>
      </c>
      <c r="P5462" s="16" t="str">
        <f>IF(LEN(G5462)=10,CONCATENATE("0",G5462),G5462)</f>
        <v>11-May-1939</v>
      </c>
      <c r="R5462" s="16" t="str">
        <f>IF($L5462&gt;0,"x","")</f>
        <v>x</v>
      </c>
      <c r="S5462" s="16" t="str">
        <f>IF($L5462&gt;0,"x","")</f>
        <v>x</v>
      </c>
      <c r="U5462" s="46" t="str">
        <f t="shared" si="2327"/>
        <v/>
      </c>
      <c r="V5462" s="46">
        <f t="shared" si="2327"/>
        <v>2</v>
      </c>
      <c r="W5462" s="46" t="str">
        <f t="shared" si="2327"/>
        <v/>
      </c>
      <c r="X5462" s="46" t="str">
        <f>IF($O5462=X$5,$L5462,"")</f>
        <v/>
      </c>
    </row>
    <row r="5463" spans="2:24" x14ac:dyDescent="0.25">
      <c r="N5463" s="8" t="str">
        <f>IF(R5463="x",1,"")</f>
        <v/>
      </c>
      <c r="U5463" s="46" t="str">
        <f t="shared" si="2327"/>
        <v/>
      </c>
      <c r="V5463" s="46" t="str">
        <f t="shared" si="2327"/>
        <v/>
      </c>
      <c r="W5463" s="46" t="str">
        <f t="shared" si="2327"/>
        <v/>
      </c>
      <c r="X5463" s="46" t="str">
        <f t="shared" si="2327"/>
        <v/>
      </c>
    </row>
    <row r="5464" spans="2:24" x14ac:dyDescent="0.25">
      <c r="B5464" s="18"/>
      <c r="C5464" s="18"/>
      <c r="D5464" s="18"/>
      <c r="E5464" s="40"/>
      <c r="F5464" s="18"/>
      <c r="G5464" s="40"/>
      <c r="H5464" s="7">
        <f t="shared" ref="H5464:N5464" si="2328">SUM(H5461:H5463)</f>
        <v>0</v>
      </c>
      <c r="I5464" s="7">
        <f t="shared" si="2328"/>
        <v>5</v>
      </c>
      <c r="J5464" s="7">
        <f>SUM(J5461:J5463)</f>
        <v>0</v>
      </c>
      <c r="K5464" s="7">
        <f t="shared" si="2328"/>
        <v>0</v>
      </c>
      <c r="L5464" s="7">
        <f t="shared" si="2328"/>
        <v>5</v>
      </c>
      <c r="M5464" s="7">
        <f t="shared" si="2328"/>
        <v>2</v>
      </c>
      <c r="N5464" s="7">
        <f t="shared" si="2328"/>
        <v>2</v>
      </c>
      <c r="O5464" s="18"/>
      <c r="P5464" s="13"/>
      <c r="Q5464" s="13"/>
      <c r="S5464" s="13"/>
      <c r="T5464" s="15"/>
      <c r="U5464" s="46" t="str">
        <f t="shared" si="2327"/>
        <v/>
      </c>
      <c r="V5464" s="46" t="str">
        <f t="shared" si="2327"/>
        <v/>
      </c>
      <c r="W5464" s="46" t="str">
        <f t="shared" si="2327"/>
        <v/>
      </c>
      <c r="X5464" s="46" t="str">
        <f t="shared" si="2327"/>
        <v/>
      </c>
    </row>
    <row r="5465" spans="2:24" x14ac:dyDescent="0.25">
      <c r="B5465" s="18"/>
      <c r="C5465" s="18"/>
      <c r="D5465" s="18"/>
      <c r="E5465" s="40"/>
      <c r="F5465" s="18"/>
      <c r="G5465" s="40"/>
      <c r="N5465" s="8" t="str">
        <f>IF(R5465="x",1,"")</f>
        <v/>
      </c>
      <c r="O5465" s="18"/>
      <c r="P5465" s="13"/>
      <c r="Q5465" s="13"/>
      <c r="R5465" s="13"/>
      <c r="S5465" s="13"/>
      <c r="T5465" s="15"/>
      <c r="U5465" s="46" t="str">
        <f t="shared" si="2325"/>
        <v/>
      </c>
      <c r="V5465" s="46" t="str">
        <f t="shared" si="2325"/>
        <v/>
      </c>
      <c r="W5465" s="46" t="str">
        <f t="shared" si="2325"/>
        <v/>
      </c>
      <c r="X5465" s="46" t="str">
        <f t="shared" si="2325"/>
        <v/>
      </c>
    </row>
    <row r="5466" spans="2:24" x14ac:dyDescent="0.25">
      <c r="B5466" s="18"/>
      <c r="C5466" s="18"/>
      <c r="D5466" s="18"/>
      <c r="E5466" s="40"/>
      <c r="F5466" s="18"/>
      <c r="G5466" s="40"/>
      <c r="N5466" s="8" t="str">
        <f>IF(R5466="x",1,"")</f>
        <v/>
      </c>
      <c r="O5466" s="18"/>
      <c r="P5466" s="13"/>
      <c r="Q5466" s="13"/>
      <c r="R5466" s="13"/>
      <c r="S5466" s="13"/>
      <c r="T5466" s="15"/>
      <c r="U5466" s="46" t="str">
        <f t="shared" si="2325"/>
        <v/>
      </c>
      <c r="V5466" s="46" t="str">
        <f t="shared" si="2325"/>
        <v/>
      </c>
      <c r="W5466" s="46" t="str">
        <f t="shared" si="2325"/>
        <v/>
      </c>
      <c r="X5466" s="46" t="str">
        <f t="shared" si="2325"/>
        <v/>
      </c>
    </row>
    <row r="5467" spans="2:24" x14ac:dyDescent="0.25">
      <c r="B5467" s="11" t="str">
        <f t="shared" ref="B5467:B5473" si="2329">CONCATENATE("RHTA","-",LEFT(P5467,2),UPPER(MID(P5467,4,3)),RIGHT(P5467,4))</f>
        <v>RHTA-21APR1890</v>
      </c>
      <c r="C5467" s="11" t="s">
        <v>128</v>
      </c>
      <c r="D5467" s="11" t="s">
        <v>3585</v>
      </c>
      <c r="F5467" s="11" t="s">
        <v>1700</v>
      </c>
      <c r="G5467" s="39" t="s">
        <v>6065</v>
      </c>
      <c r="H5467" s="17"/>
      <c r="I5467" s="17"/>
      <c r="J5467" s="17">
        <v>8</v>
      </c>
      <c r="K5467" s="17"/>
      <c r="L5467" s="7">
        <f t="shared" ref="L5467:L5483" si="2330">SUM(H5467:K5467)</f>
        <v>8</v>
      </c>
      <c r="M5467" s="8">
        <v>1</v>
      </c>
      <c r="N5467" s="8">
        <f t="shared" ref="N5467:N5486" si="2331">IF(L5467&gt;0,1,"")</f>
        <v>1</v>
      </c>
      <c r="O5467" s="11" t="s">
        <v>1702</v>
      </c>
      <c r="P5467" s="16" t="str">
        <f t="shared" ref="P5467:P5483" si="2332">IF(LEN(G5467)=10,CONCATENATE("0",G5467),G5467)</f>
        <v>21-Apr-1890</v>
      </c>
      <c r="R5467" s="16" t="str">
        <f>IF($L5467&gt;0,"x","")</f>
        <v>x</v>
      </c>
      <c r="S5467" s="16" t="str">
        <f>IF($L5467&gt;0,"x","")</f>
        <v>x</v>
      </c>
      <c r="U5467" s="46" t="str">
        <f t="shared" si="2325"/>
        <v/>
      </c>
      <c r="V5467" s="46">
        <f t="shared" si="2325"/>
        <v>8</v>
      </c>
      <c r="W5467" s="46" t="str">
        <f t="shared" si="2325"/>
        <v/>
      </c>
      <c r="X5467" s="46" t="str">
        <f t="shared" si="2325"/>
        <v/>
      </c>
    </row>
    <row r="5468" spans="2:24" x14ac:dyDescent="0.25">
      <c r="B5468" s="11" t="str">
        <f>CONCATENATE("RHTA","-",LEFT(P5468,2),UPPER(MID(P5468,4,3)),RIGHT(P5468,4))</f>
        <v>RHTA-07JUL1890</v>
      </c>
      <c r="C5468" s="11" t="s">
        <v>128</v>
      </c>
      <c r="D5468" s="11" t="s">
        <v>1699</v>
      </c>
      <c r="F5468" s="11" t="s">
        <v>1700</v>
      </c>
      <c r="G5468" s="39" t="s">
        <v>4107</v>
      </c>
      <c r="H5468" s="17"/>
      <c r="I5468" s="17"/>
      <c r="J5468" s="17">
        <v>28</v>
      </c>
      <c r="K5468" s="17"/>
      <c r="L5468" s="7">
        <f t="shared" ref="L5468:L5473" si="2333">SUM(H5468:K5468)</f>
        <v>28</v>
      </c>
      <c r="M5468" s="8">
        <v>1</v>
      </c>
      <c r="N5468" s="8">
        <f t="shared" ref="N5468:N5473" si="2334">IF(L5468&gt;0,1,"")</f>
        <v>1</v>
      </c>
      <c r="O5468" s="11" t="s">
        <v>1702</v>
      </c>
      <c r="P5468" s="16" t="str">
        <f t="shared" ref="P5468:P5473" si="2335">IF(LEN(G5468)=10,CONCATENATE("0",G5468),G5468)</f>
        <v>07-Jul-1890</v>
      </c>
      <c r="R5468" s="16" t="str">
        <f t="shared" ref="R5468:S5472" si="2336">IF($L5468&gt;0,"x","")</f>
        <v>x</v>
      </c>
      <c r="S5468" s="16" t="str">
        <f t="shared" si="2336"/>
        <v>x</v>
      </c>
      <c r="U5468" s="46" t="str">
        <f>IF($O5468=U$5,$L5468,"")</f>
        <v/>
      </c>
      <c r="V5468" s="46">
        <f>IF($O5468=V$5,$L5468,"")</f>
        <v>28</v>
      </c>
      <c r="W5468" s="46" t="str">
        <f>IF($O5468=W$5,$L5468,"")</f>
        <v/>
      </c>
      <c r="X5468" s="46" t="str">
        <f>IF($O5468=X$5,$L5468,"")</f>
        <v/>
      </c>
    </row>
    <row r="5469" spans="2:24" x14ac:dyDescent="0.25">
      <c r="B5469" s="11" t="str">
        <f t="shared" si="2329"/>
        <v>RHTA-22SEP1890</v>
      </c>
      <c r="C5469" s="11" t="s">
        <v>128</v>
      </c>
      <c r="D5469" s="11" t="s">
        <v>1699</v>
      </c>
      <c r="F5469" s="11" t="s">
        <v>1700</v>
      </c>
      <c r="G5469" s="39" t="s">
        <v>5529</v>
      </c>
      <c r="H5469" s="17">
        <v>0</v>
      </c>
      <c r="I5469" s="17"/>
      <c r="J5469" s="17">
        <v>6</v>
      </c>
      <c r="K5469" s="17"/>
      <c r="L5469" s="7">
        <f t="shared" si="2333"/>
        <v>6</v>
      </c>
      <c r="M5469" s="8">
        <v>1</v>
      </c>
      <c r="N5469" s="8">
        <f t="shared" si="2334"/>
        <v>1</v>
      </c>
      <c r="O5469" s="11" t="s">
        <v>1702</v>
      </c>
      <c r="P5469" s="16" t="str">
        <f t="shared" si="2335"/>
        <v>22-Sep-1890</v>
      </c>
      <c r="R5469" s="16" t="str">
        <f t="shared" si="2336"/>
        <v>x</v>
      </c>
      <c r="S5469" s="16" t="str">
        <f t="shared" si="2336"/>
        <v>x</v>
      </c>
      <c r="U5469" s="46" t="str">
        <f t="shared" ref="U5469:X5470" si="2337">IF($O5469=U$5,$L5469,"")</f>
        <v/>
      </c>
      <c r="V5469" s="46">
        <f t="shared" si="2337"/>
        <v>6</v>
      </c>
      <c r="W5469" s="46" t="str">
        <f t="shared" si="2337"/>
        <v/>
      </c>
      <c r="X5469" s="46" t="str">
        <f t="shared" si="2337"/>
        <v/>
      </c>
    </row>
    <row r="5470" spans="2:24" x14ac:dyDescent="0.25">
      <c r="B5470" s="11" t="str">
        <f t="shared" si="2329"/>
        <v>RHTA-25MAY1891</v>
      </c>
      <c r="C5470" s="11" t="s">
        <v>128</v>
      </c>
      <c r="D5470" s="11" t="s">
        <v>1699</v>
      </c>
      <c r="E5470" s="39" t="s">
        <v>5658</v>
      </c>
      <c r="F5470" s="11" t="s">
        <v>1700</v>
      </c>
      <c r="G5470" s="39" t="s">
        <v>5657</v>
      </c>
      <c r="H5470" s="17"/>
      <c r="I5470" s="17"/>
      <c r="J5470" s="17">
        <v>16</v>
      </c>
      <c r="K5470" s="17"/>
      <c r="L5470" s="7">
        <f t="shared" si="2333"/>
        <v>16</v>
      </c>
      <c r="M5470" s="8">
        <v>1</v>
      </c>
      <c r="N5470" s="8">
        <f t="shared" si="2334"/>
        <v>1</v>
      </c>
      <c r="O5470" s="11" t="s">
        <v>1702</v>
      </c>
      <c r="P5470" s="16" t="str">
        <f t="shared" si="2335"/>
        <v>25-May-1891</v>
      </c>
      <c r="R5470" s="16" t="str">
        <f t="shared" si="2336"/>
        <v>x</v>
      </c>
      <c r="S5470" s="16" t="str">
        <f t="shared" si="2336"/>
        <v>x</v>
      </c>
      <c r="U5470" s="46" t="str">
        <f t="shared" si="2337"/>
        <v/>
      </c>
      <c r="V5470" s="46">
        <f t="shared" si="2337"/>
        <v>16</v>
      </c>
      <c r="W5470" s="46" t="str">
        <f t="shared" si="2337"/>
        <v/>
      </c>
      <c r="X5470" s="46" t="str">
        <f t="shared" si="2337"/>
        <v/>
      </c>
    </row>
    <row r="5471" spans="2:24" x14ac:dyDescent="0.25">
      <c r="B5471" s="11" t="str">
        <f t="shared" si="2329"/>
        <v>RHTA-08SEP1891</v>
      </c>
      <c r="C5471" s="11" t="s">
        <v>128</v>
      </c>
      <c r="D5471" s="11" t="s">
        <v>1699</v>
      </c>
      <c r="E5471" s="39" t="s">
        <v>3563</v>
      </c>
      <c r="F5471" s="11" t="s">
        <v>1700</v>
      </c>
      <c r="G5471" s="39" t="s">
        <v>3562</v>
      </c>
      <c r="H5471" s="17">
        <v>0</v>
      </c>
      <c r="I5471" s="17"/>
      <c r="J5471" s="17">
        <v>7</v>
      </c>
      <c r="K5471" s="17"/>
      <c r="L5471" s="7">
        <f t="shared" si="2333"/>
        <v>7</v>
      </c>
      <c r="M5471" s="8">
        <v>1</v>
      </c>
      <c r="N5471" s="8">
        <f t="shared" si="2334"/>
        <v>1</v>
      </c>
      <c r="O5471" s="11" t="s">
        <v>1702</v>
      </c>
      <c r="P5471" s="16" t="str">
        <f t="shared" si="2335"/>
        <v>08-Sep-1891</v>
      </c>
      <c r="R5471" s="16" t="str">
        <f t="shared" si="2336"/>
        <v>x</v>
      </c>
      <c r="S5471" s="16" t="str">
        <f t="shared" si="2336"/>
        <v>x</v>
      </c>
      <c r="U5471" s="46" t="str">
        <f t="shared" si="2325"/>
        <v/>
      </c>
      <c r="V5471" s="46">
        <f t="shared" si="2325"/>
        <v>7</v>
      </c>
      <c r="W5471" s="46" t="str">
        <f t="shared" si="2325"/>
        <v/>
      </c>
      <c r="X5471" s="46" t="str">
        <f t="shared" si="2325"/>
        <v/>
      </c>
    </row>
    <row r="5472" spans="2:24" x14ac:dyDescent="0.25">
      <c r="B5472" s="11" t="str">
        <f t="shared" si="2329"/>
        <v>RHTA-20OCT1891</v>
      </c>
      <c r="C5472" s="11" t="s">
        <v>128</v>
      </c>
      <c r="D5472" s="11" t="s">
        <v>1699</v>
      </c>
      <c r="E5472" s="39" t="s">
        <v>4032</v>
      </c>
      <c r="F5472" s="11" t="s">
        <v>1700</v>
      </c>
      <c r="G5472" s="39" t="s">
        <v>3900</v>
      </c>
      <c r="H5472" s="17">
        <v>0</v>
      </c>
      <c r="I5472" s="17"/>
      <c r="J5472" s="17">
        <v>8</v>
      </c>
      <c r="K5472" s="17"/>
      <c r="L5472" s="7">
        <f t="shared" si="2333"/>
        <v>8</v>
      </c>
      <c r="M5472" s="8">
        <v>1</v>
      </c>
      <c r="N5472" s="8">
        <f t="shared" si="2334"/>
        <v>1</v>
      </c>
      <c r="O5472" s="11" t="s">
        <v>1702</v>
      </c>
      <c r="P5472" s="16" t="str">
        <f t="shared" si="2335"/>
        <v>20-Oct-1891</v>
      </c>
      <c r="R5472" s="16" t="str">
        <f t="shared" si="2336"/>
        <v>x</v>
      </c>
      <c r="S5472" s="16" t="str">
        <f t="shared" si="2336"/>
        <v>x</v>
      </c>
      <c r="U5472" s="46" t="str">
        <f t="shared" si="2325"/>
        <v/>
      </c>
      <c r="V5472" s="46">
        <f t="shared" si="2325"/>
        <v>8</v>
      </c>
      <c r="W5472" s="46" t="str">
        <f t="shared" si="2325"/>
        <v/>
      </c>
      <c r="X5472" s="46" t="str">
        <f t="shared" si="2325"/>
        <v/>
      </c>
    </row>
    <row r="5473" spans="2:26" x14ac:dyDescent="0.25">
      <c r="B5473" s="11" t="str">
        <f t="shared" si="2329"/>
        <v>RHTA-21JAN1892</v>
      </c>
      <c r="C5473" s="11" t="s">
        <v>128</v>
      </c>
      <c r="D5473" s="11" t="s">
        <v>1699</v>
      </c>
      <c r="F5473" s="11" t="s">
        <v>1700</v>
      </c>
      <c r="G5473" s="39" t="s">
        <v>214</v>
      </c>
      <c r="H5473" s="17">
        <v>0</v>
      </c>
      <c r="I5473" s="17">
        <v>0</v>
      </c>
      <c r="J5473" s="17">
        <v>0</v>
      </c>
      <c r="K5473" s="17"/>
      <c r="L5473" s="7">
        <f t="shared" si="2333"/>
        <v>0</v>
      </c>
      <c r="M5473" s="8">
        <v>1</v>
      </c>
      <c r="N5473" s="8" t="str">
        <f t="shared" si="2334"/>
        <v/>
      </c>
      <c r="O5473" s="11" t="s">
        <v>1702</v>
      </c>
      <c r="P5473" s="16" t="str">
        <f t="shared" si="2335"/>
        <v>21-Jan-1892</v>
      </c>
      <c r="R5473" s="16" t="str">
        <f t="shared" ref="R5473:S5485" si="2338">IF($L5473&gt;0,"x","")</f>
        <v/>
      </c>
      <c r="S5473" s="16" t="str">
        <f t="shared" si="2338"/>
        <v/>
      </c>
      <c r="U5473" s="46" t="str">
        <f t="shared" si="2325"/>
        <v/>
      </c>
      <c r="V5473" s="46">
        <f t="shared" si="2325"/>
        <v>0</v>
      </c>
      <c r="W5473" s="46" t="str">
        <f t="shared" si="2325"/>
        <v/>
      </c>
      <c r="X5473" s="46" t="str">
        <f t="shared" si="2325"/>
        <v/>
      </c>
      <c r="Z5473" s="11" t="s">
        <v>225</v>
      </c>
    </row>
    <row r="5474" spans="2:26" x14ac:dyDescent="0.25">
      <c r="B5474" s="11" t="str">
        <f t="shared" ref="B5474:B5486" si="2339">CONCATENATE("RHTA","-",LEFT(P5474,2),UPPER(MID(P5474,4,3)),RIGHT(P5474,4))</f>
        <v>RHTA-23MAY1892</v>
      </c>
      <c r="C5474" s="11" t="s">
        <v>128</v>
      </c>
      <c r="D5474" s="11" t="s">
        <v>1699</v>
      </c>
      <c r="F5474" s="11" t="s">
        <v>1700</v>
      </c>
      <c r="G5474" s="39" t="s">
        <v>2218</v>
      </c>
      <c r="H5474" s="17">
        <v>0</v>
      </c>
      <c r="I5474" s="17">
        <v>0</v>
      </c>
      <c r="J5474" s="17">
        <v>6</v>
      </c>
      <c r="K5474" s="17"/>
      <c r="L5474" s="7">
        <f t="shared" si="2330"/>
        <v>6</v>
      </c>
      <c r="M5474" s="8">
        <v>1</v>
      </c>
      <c r="N5474" s="8">
        <f t="shared" si="2331"/>
        <v>1</v>
      </c>
      <c r="O5474" s="11" t="s">
        <v>1702</v>
      </c>
      <c r="P5474" s="16" t="str">
        <f t="shared" si="2332"/>
        <v>23-May-1892</v>
      </c>
      <c r="R5474" s="16" t="str">
        <f t="shared" si="2338"/>
        <v>x</v>
      </c>
      <c r="S5474" s="16" t="str">
        <f t="shared" si="2338"/>
        <v>x</v>
      </c>
      <c r="U5474" s="46" t="str">
        <f t="shared" si="2325"/>
        <v/>
      </c>
      <c r="V5474" s="46">
        <f t="shared" si="2325"/>
        <v>6</v>
      </c>
      <c r="W5474" s="46" t="str">
        <f t="shared" si="2325"/>
        <v/>
      </c>
      <c r="X5474" s="46" t="str">
        <f t="shared" si="2325"/>
        <v/>
      </c>
    </row>
    <row r="5475" spans="2:26" x14ac:dyDescent="0.25">
      <c r="B5475" s="11" t="str">
        <f t="shared" si="2339"/>
        <v>RHTA-05JUL1892</v>
      </c>
      <c r="C5475" s="11" t="s">
        <v>128</v>
      </c>
      <c r="D5475" s="11" t="s">
        <v>1699</v>
      </c>
      <c r="F5475" s="11" t="s">
        <v>1700</v>
      </c>
      <c r="G5475" s="39" t="s">
        <v>215</v>
      </c>
      <c r="H5475" s="17">
        <v>0</v>
      </c>
      <c r="I5475" s="17">
        <v>0</v>
      </c>
      <c r="J5475" s="17">
        <v>35</v>
      </c>
      <c r="K5475" s="17"/>
      <c r="L5475" s="7">
        <f t="shared" si="2330"/>
        <v>35</v>
      </c>
      <c r="M5475" s="8">
        <v>1</v>
      </c>
      <c r="N5475" s="8">
        <f t="shared" si="2331"/>
        <v>1</v>
      </c>
      <c r="O5475" s="11" t="s">
        <v>1702</v>
      </c>
      <c r="P5475" s="16" t="str">
        <f t="shared" si="2332"/>
        <v>05-Jul-1892</v>
      </c>
      <c r="R5475" s="16" t="str">
        <f t="shared" si="2338"/>
        <v>x</v>
      </c>
      <c r="S5475" s="16" t="str">
        <f t="shared" si="2338"/>
        <v>x</v>
      </c>
      <c r="U5475" s="46" t="str">
        <f t="shared" si="2325"/>
        <v/>
      </c>
      <c r="V5475" s="46">
        <f t="shared" si="2325"/>
        <v>35</v>
      </c>
      <c r="W5475" s="46" t="str">
        <f t="shared" si="2325"/>
        <v/>
      </c>
      <c r="X5475" s="46" t="str">
        <f t="shared" si="2325"/>
        <v/>
      </c>
    </row>
    <row r="5476" spans="2:26" x14ac:dyDescent="0.25">
      <c r="B5476" s="11" t="str">
        <f t="shared" si="2339"/>
        <v>RHTA-13AUG1892</v>
      </c>
      <c r="C5476" s="11" t="s">
        <v>128</v>
      </c>
      <c r="D5476" s="11" t="s">
        <v>1699</v>
      </c>
      <c r="F5476" s="11" t="s">
        <v>1700</v>
      </c>
      <c r="G5476" s="39" t="s">
        <v>216</v>
      </c>
      <c r="H5476" s="17">
        <v>0</v>
      </c>
      <c r="I5476" s="17">
        <v>0</v>
      </c>
      <c r="J5476" s="17">
        <v>7</v>
      </c>
      <c r="K5476" s="17"/>
      <c r="L5476" s="7">
        <f t="shared" si="2330"/>
        <v>7</v>
      </c>
      <c r="M5476" s="8">
        <v>1</v>
      </c>
      <c r="N5476" s="8">
        <f t="shared" si="2331"/>
        <v>1</v>
      </c>
      <c r="O5476" s="11" t="s">
        <v>1702</v>
      </c>
      <c r="P5476" s="16" t="str">
        <f t="shared" si="2332"/>
        <v>13-Aug-1892</v>
      </c>
      <c r="R5476" s="16" t="str">
        <f t="shared" si="2338"/>
        <v>x</v>
      </c>
      <c r="S5476" s="16" t="str">
        <f t="shared" si="2338"/>
        <v>x</v>
      </c>
      <c r="U5476" s="46" t="str">
        <f t="shared" si="2325"/>
        <v/>
      </c>
      <c r="V5476" s="46">
        <f t="shared" si="2325"/>
        <v>7</v>
      </c>
      <c r="W5476" s="46" t="str">
        <f t="shared" si="2325"/>
        <v/>
      </c>
      <c r="X5476" s="46" t="str">
        <f t="shared" si="2325"/>
        <v/>
      </c>
    </row>
    <row r="5477" spans="2:26" x14ac:dyDescent="0.25">
      <c r="B5477" s="11" t="str">
        <f t="shared" si="2339"/>
        <v>RHTA-14AUG1893</v>
      </c>
      <c r="C5477" s="11" t="s">
        <v>128</v>
      </c>
      <c r="D5477" s="11" t="s">
        <v>1699</v>
      </c>
      <c r="F5477" s="11" t="s">
        <v>1700</v>
      </c>
      <c r="G5477" s="39" t="s">
        <v>217</v>
      </c>
      <c r="H5477" s="7">
        <v>0</v>
      </c>
      <c r="I5477" s="7">
        <v>0</v>
      </c>
      <c r="J5477" s="17">
        <v>24</v>
      </c>
      <c r="K5477" s="17"/>
      <c r="L5477" s="7">
        <f t="shared" si="2330"/>
        <v>24</v>
      </c>
      <c r="M5477" s="8">
        <v>1</v>
      </c>
      <c r="N5477" s="8">
        <f t="shared" si="2331"/>
        <v>1</v>
      </c>
      <c r="O5477" s="11" t="s">
        <v>1702</v>
      </c>
      <c r="P5477" s="16" t="str">
        <f t="shared" si="2332"/>
        <v>14-Aug-1893</v>
      </c>
      <c r="R5477" s="16" t="str">
        <f t="shared" si="2338"/>
        <v>x</v>
      </c>
      <c r="S5477" s="16" t="str">
        <f t="shared" si="2338"/>
        <v>x</v>
      </c>
      <c r="U5477" s="46" t="str">
        <f t="shared" si="2325"/>
        <v/>
      </c>
      <c r="V5477" s="46">
        <f t="shared" si="2325"/>
        <v>24</v>
      </c>
      <c r="W5477" s="46" t="str">
        <f t="shared" si="2325"/>
        <v/>
      </c>
      <c r="X5477" s="46" t="str">
        <f t="shared" si="2325"/>
        <v/>
      </c>
    </row>
    <row r="5478" spans="2:26" x14ac:dyDescent="0.25">
      <c r="B5478" s="11" t="str">
        <f t="shared" si="2339"/>
        <v>RHTA-20DEC1893</v>
      </c>
      <c r="C5478" s="11" t="s">
        <v>128</v>
      </c>
      <c r="D5478" s="11" t="s">
        <v>1699</v>
      </c>
      <c r="F5478" s="11" t="s">
        <v>1700</v>
      </c>
      <c r="G5478" s="39" t="s">
        <v>218</v>
      </c>
      <c r="H5478" s="7">
        <v>0</v>
      </c>
      <c r="I5478" s="7">
        <v>0</v>
      </c>
      <c r="J5478" s="17">
        <v>1</v>
      </c>
      <c r="K5478" s="17"/>
      <c r="L5478" s="7">
        <f t="shared" si="2330"/>
        <v>1</v>
      </c>
      <c r="M5478" s="8">
        <v>1</v>
      </c>
      <c r="N5478" s="8">
        <f t="shared" si="2331"/>
        <v>1</v>
      </c>
      <c r="O5478" s="11" t="s">
        <v>1702</v>
      </c>
      <c r="P5478" s="16" t="str">
        <f t="shared" si="2332"/>
        <v>20-Dec-1893</v>
      </c>
      <c r="R5478" s="16" t="str">
        <f t="shared" si="2338"/>
        <v>x</v>
      </c>
      <c r="S5478" s="16" t="str">
        <f t="shared" si="2338"/>
        <v>x</v>
      </c>
      <c r="U5478" s="46" t="str">
        <f t="shared" si="2325"/>
        <v/>
      </c>
      <c r="V5478" s="46">
        <f t="shared" si="2325"/>
        <v>1</v>
      </c>
      <c r="W5478" s="46" t="str">
        <f t="shared" si="2325"/>
        <v/>
      </c>
      <c r="X5478" s="46" t="str">
        <f t="shared" si="2325"/>
        <v/>
      </c>
    </row>
    <row r="5479" spans="2:26" x14ac:dyDescent="0.25">
      <c r="B5479" s="11" t="str">
        <f t="shared" si="2339"/>
        <v>RHTA-08FEB1894</v>
      </c>
      <c r="C5479" s="11" t="s">
        <v>128</v>
      </c>
      <c r="D5479" s="11" t="s">
        <v>1699</v>
      </c>
      <c r="F5479" s="11" t="s">
        <v>1700</v>
      </c>
      <c r="G5479" s="39" t="s">
        <v>219</v>
      </c>
      <c r="H5479" s="7">
        <v>0</v>
      </c>
      <c r="I5479" s="7">
        <v>0</v>
      </c>
      <c r="J5479" s="17">
        <v>0</v>
      </c>
      <c r="K5479" s="17"/>
      <c r="L5479" s="7">
        <f t="shared" si="2330"/>
        <v>0</v>
      </c>
      <c r="M5479" s="8">
        <v>1</v>
      </c>
      <c r="N5479" s="8" t="str">
        <f t="shared" si="2331"/>
        <v/>
      </c>
      <c r="O5479" s="11" t="s">
        <v>1702</v>
      </c>
      <c r="P5479" s="16" t="str">
        <f t="shared" si="2332"/>
        <v>08-Feb-1894</v>
      </c>
      <c r="R5479" s="16" t="str">
        <f t="shared" si="2338"/>
        <v/>
      </c>
      <c r="S5479" s="16" t="str">
        <f t="shared" si="2338"/>
        <v/>
      </c>
      <c r="U5479" s="46" t="str">
        <f t="shared" si="2325"/>
        <v/>
      </c>
      <c r="V5479" s="46">
        <f t="shared" si="2325"/>
        <v>0</v>
      </c>
      <c r="W5479" s="46" t="str">
        <f t="shared" si="2325"/>
        <v/>
      </c>
      <c r="X5479" s="46" t="str">
        <f t="shared" si="2325"/>
        <v/>
      </c>
    </row>
    <row r="5480" spans="2:26" x14ac:dyDescent="0.25">
      <c r="B5480" s="11" t="str">
        <f t="shared" si="2339"/>
        <v>RHTA-20MAR1894</v>
      </c>
      <c r="C5480" s="11" t="s">
        <v>128</v>
      </c>
      <c r="D5480" s="11" t="s">
        <v>1699</v>
      </c>
      <c r="F5480" s="11" t="s">
        <v>1700</v>
      </c>
      <c r="G5480" s="39" t="s">
        <v>220</v>
      </c>
      <c r="H5480" s="7">
        <v>0</v>
      </c>
      <c r="I5480" s="7">
        <v>0</v>
      </c>
      <c r="J5480" s="17">
        <v>0</v>
      </c>
      <c r="K5480" s="17"/>
      <c r="L5480" s="7">
        <f t="shared" si="2330"/>
        <v>0</v>
      </c>
      <c r="M5480" s="8">
        <v>1</v>
      </c>
      <c r="N5480" s="8" t="str">
        <f t="shared" si="2331"/>
        <v/>
      </c>
      <c r="O5480" s="11" t="s">
        <v>1702</v>
      </c>
      <c r="P5480" s="16" t="str">
        <f t="shared" si="2332"/>
        <v>20-Mar-1894</v>
      </c>
      <c r="R5480" s="16" t="str">
        <f t="shared" si="2338"/>
        <v/>
      </c>
      <c r="S5480" s="16" t="str">
        <f t="shared" si="2338"/>
        <v/>
      </c>
      <c r="U5480" s="46" t="str">
        <f t="shared" si="2325"/>
        <v/>
      </c>
      <c r="V5480" s="46">
        <f t="shared" si="2325"/>
        <v>0</v>
      </c>
      <c r="W5480" s="46" t="str">
        <f t="shared" si="2325"/>
        <v/>
      </c>
      <c r="X5480" s="46" t="str">
        <f t="shared" si="2325"/>
        <v/>
      </c>
    </row>
    <row r="5481" spans="2:26" x14ac:dyDescent="0.25">
      <c r="B5481" s="11" t="str">
        <f t="shared" si="2339"/>
        <v>RHTA-04JUN1894</v>
      </c>
      <c r="C5481" s="11" t="s">
        <v>128</v>
      </c>
      <c r="D5481" s="11" t="s">
        <v>1699</v>
      </c>
      <c r="F5481" s="11" t="s">
        <v>1700</v>
      </c>
      <c r="G5481" s="39" t="s">
        <v>221</v>
      </c>
      <c r="H5481" s="7">
        <v>0</v>
      </c>
      <c r="I5481" s="7">
        <v>0</v>
      </c>
      <c r="J5481" s="17">
        <v>0</v>
      </c>
      <c r="K5481" s="17"/>
      <c r="L5481" s="7">
        <f t="shared" si="2330"/>
        <v>0</v>
      </c>
      <c r="M5481" s="8">
        <v>1</v>
      </c>
      <c r="N5481" s="8" t="str">
        <f t="shared" si="2331"/>
        <v/>
      </c>
      <c r="O5481" s="11" t="s">
        <v>1702</v>
      </c>
      <c r="P5481" s="16" t="str">
        <f t="shared" si="2332"/>
        <v>04-Jun-1894</v>
      </c>
      <c r="R5481" s="16" t="str">
        <f t="shared" si="2338"/>
        <v/>
      </c>
      <c r="S5481" s="16" t="str">
        <f t="shared" si="2338"/>
        <v/>
      </c>
      <c r="U5481" s="46" t="str">
        <f t="shared" si="2325"/>
        <v/>
      </c>
      <c r="V5481" s="46">
        <f t="shared" si="2325"/>
        <v>0</v>
      </c>
      <c r="W5481" s="46" t="str">
        <f t="shared" si="2325"/>
        <v/>
      </c>
      <c r="X5481" s="46" t="str">
        <f t="shared" si="2325"/>
        <v/>
      </c>
    </row>
    <row r="5482" spans="2:26" x14ac:dyDescent="0.25">
      <c r="B5482" s="11" t="str">
        <f t="shared" si="2339"/>
        <v>RHTA-16JUL1894</v>
      </c>
      <c r="C5482" s="11" t="s">
        <v>128</v>
      </c>
      <c r="D5482" s="11" t="s">
        <v>1699</v>
      </c>
      <c r="F5482" s="11" t="s">
        <v>1700</v>
      </c>
      <c r="G5482" s="39" t="s">
        <v>2128</v>
      </c>
      <c r="H5482" s="7">
        <v>0</v>
      </c>
      <c r="I5482" s="7">
        <v>0</v>
      </c>
      <c r="J5482" s="17">
        <v>7</v>
      </c>
      <c r="K5482" s="17"/>
      <c r="L5482" s="7">
        <f t="shared" si="2330"/>
        <v>7</v>
      </c>
      <c r="M5482" s="8">
        <v>1</v>
      </c>
      <c r="N5482" s="8">
        <f t="shared" si="2331"/>
        <v>1</v>
      </c>
      <c r="O5482" s="11" t="s">
        <v>1702</v>
      </c>
      <c r="P5482" s="16" t="str">
        <f t="shared" si="2332"/>
        <v>16-Jul-1894</v>
      </c>
      <c r="R5482" s="16" t="str">
        <f t="shared" si="2338"/>
        <v>x</v>
      </c>
      <c r="S5482" s="16" t="str">
        <f t="shared" si="2338"/>
        <v>x</v>
      </c>
      <c r="U5482" s="46" t="str">
        <f t="shared" si="2325"/>
        <v/>
      </c>
      <c r="V5482" s="46">
        <f t="shared" si="2325"/>
        <v>7</v>
      </c>
      <c r="W5482" s="46" t="str">
        <f t="shared" si="2325"/>
        <v/>
      </c>
      <c r="X5482" s="46" t="str">
        <f t="shared" si="2325"/>
        <v/>
      </c>
    </row>
    <row r="5483" spans="2:26" x14ac:dyDescent="0.25">
      <c r="B5483" s="11" t="str">
        <f t="shared" si="2339"/>
        <v>RHTA-27AUG1894</v>
      </c>
      <c r="C5483" s="11" t="s">
        <v>128</v>
      </c>
      <c r="D5483" s="11" t="s">
        <v>1699</v>
      </c>
      <c r="F5483" s="11" t="s">
        <v>1700</v>
      </c>
      <c r="G5483" s="39" t="s">
        <v>222</v>
      </c>
      <c r="H5483" s="7">
        <v>0</v>
      </c>
      <c r="I5483" s="7">
        <v>0</v>
      </c>
      <c r="J5483" s="17">
        <v>3</v>
      </c>
      <c r="K5483" s="17"/>
      <c r="L5483" s="7">
        <f t="shared" si="2330"/>
        <v>3</v>
      </c>
      <c r="M5483" s="8">
        <v>1</v>
      </c>
      <c r="N5483" s="8">
        <f t="shared" si="2331"/>
        <v>1</v>
      </c>
      <c r="O5483" s="11" t="s">
        <v>1702</v>
      </c>
      <c r="P5483" s="16" t="str">
        <f t="shared" si="2332"/>
        <v>27-Aug-1894</v>
      </c>
      <c r="R5483" s="16" t="str">
        <f t="shared" si="2338"/>
        <v>x</v>
      </c>
      <c r="S5483" s="16" t="str">
        <f t="shared" si="2338"/>
        <v>x</v>
      </c>
      <c r="U5483" s="46" t="str">
        <f t="shared" si="2325"/>
        <v/>
      </c>
      <c r="V5483" s="46">
        <f t="shared" si="2325"/>
        <v>3</v>
      </c>
      <c r="W5483" s="46" t="str">
        <f t="shared" si="2325"/>
        <v/>
      </c>
      <c r="X5483" s="46" t="str">
        <f t="shared" si="2325"/>
        <v/>
      </c>
    </row>
    <row r="5484" spans="2:26" x14ac:dyDescent="0.25">
      <c r="B5484" s="11" t="str">
        <f t="shared" si="2339"/>
        <v>RHTA-06OCT1894</v>
      </c>
      <c r="C5484" s="11" t="s">
        <v>128</v>
      </c>
      <c r="D5484" s="11" t="s">
        <v>1699</v>
      </c>
      <c r="F5484" s="11" t="s">
        <v>1700</v>
      </c>
      <c r="G5484" s="39" t="s">
        <v>223</v>
      </c>
      <c r="H5484" s="7">
        <v>0</v>
      </c>
      <c r="I5484" s="7">
        <v>0</v>
      </c>
      <c r="J5484" s="17">
        <v>0</v>
      </c>
      <c r="K5484" s="17"/>
      <c r="L5484" s="7">
        <f>SUM(H5484:K5484)</f>
        <v>0</v>
      </c>
      <c r="M5484" s="8">
        <v>1</v>
      </c>
      <c r="N5484" s="8" t="str">
        <f t="shared" si="2331"/>
        <v/>
      </c>
      <c r="O5484" s="11" t="s">
        <v>1702</v>
      </c>
      <c r="P5484" s="16" t="str">
        <f>IF(LEN(G5484)=10,CONCATENATE("0",G5484),G5484)</f>
        <v>06-Oct-1894</v>
      </c>
      <c r="R5484" s="16" t="str">
        <f t="shared" si="2338"/>
        <v/>
      </c>
      <c r="S5484" s="16" t="str">
        <f t="shared" si="2338"/>
        <v/>
      </c>
      <c r="U5484" s="46" t="str">
        <f t="shared" si="2325"/>
        <v/>
      </c>
      <c r="V5484" s="46">
        <f t="shared" si="2325"/>
        <v>0</v>
      </c>
      <c r="W5484" s="46" t="str">
        <f t="shared" si="2325"/>
        <v/>
      </c>
      <c r="X5484" s="46" t="str">
        <f t="shared" si="2325"/>
        <v/>
      </c>
    </row>
    <row r="5485" spans="2:26" x14ac:dyDescent="0.25">
      <c r="B5485" s="11" t="str">
        <f>CONCATENATE("RHTA","-",LEFT(P5485,2),UPPER(MID(P5485,4,3)),RIGHT(P5485,4))</f>
        <v>RHTA-22NOV1894</v>
      </c>
      <c r="C5485" s="11" t="s">
        <v>128</v>
      </c>
      <c r="D5485" s="11" t="s">
        <v>1699</v>
      </c>
      <c r="F5485" s="11" t="s">
        <v>1700</v>
      </c>
      <c r="G5485" s="39" t="s">
        <v>224</v>
      </c>
      <c r="H5485" s="7">
        <v>0</v>
      </c>
      <c r="I5485" s="7">
        <v>0</v>
      </c>
      <c r="J5485" s="17">
        <v>0</v>
      </c>
      <c r="K5485" s="17"/>
      <c r="L5485" s="7">
        <f>SUM(H5485:K5485)</f>
        <v>0</v>
      </c>
      <c r="M5485" s="8">
        <v>1</v>
      </c>
      <c r="N5485" s="8" t="str">
        <f>IF(L5485&gt;0,1,"")</f>
        <v/>
      </c>
      <c r="O5485" s="11" t="s">
        <v>1702</v>
      </c>
      <c r="P5485" s="16" t="str">
        <f>IF(LEN(G5485)=10,CONCATENATE("0",G5485),G5485)</f>
        <v>22-Nov-1894</v>
      </c>
      <c r="R5485" s="16" t="str">
        <f t="shared" si="2338"/>
        <v/>
      </c>
      <c r="S5485" s="16" t="str">
        <f t="shared" si="2338"/>
        <v/>
      </c>
      <c r="U5485" s="46" t="str">
        <f t="shared" si="2325"/>
        <v/>
      </c>
      <c r="V5485" s="46">
        <f t="shared" si="2325"/>
        <v>0</v>
      </c>
      <c r="W5485" s="46" t="str">
        <f t="shared" si="2325"/>
        <v/>
      </c>
      <c r="X5485" s="46" t="str">
        <f t="shared" si="2325"/>
        <v/>
      </c>
    </row>
    <row r="5486" spans="2:26" x14ac:dyDescent="0.25">
      <c r="B5486" s="11" t="str">
        <f t="shared" si="2339"/>
        <v>RHTA-23APR1914</v>
      </c>
      <c r="C5486" s="11" t="s">
        <v>128</v>
      </c>
      <c r="D5486" s="11" t="s">
        <v>2103</v>
      </c>
      <c r="E5486" s="39" t="s">
        <v>5333</v>
      </c>
      <c r="F5486" s="11" t="s">
        <v>3050</v>
      </c>
      <c r="G5486" s="39" t="s">
        <v>5334</v>
      </c>
      <c r="I5486" s="7">
        <v>0</v>
      </c>
      <c r="J5486" s="17">
        <v>6</v>
      </c>
      <c r="K5486" s="17"/>
      <c r="L5486" s="7">
        <f>SUM(H5486:K5486)</f>
        <v>6</v>
      </c>
      <c r="M5486" s="8">
        <v>1</v>
      </c>
      <c r="N5486" s="8">
        <f t="shared" si="2331"/>
        <v>1</v>
      </c>
      <c r="O5486" s="11" t="s">
        <v>1702</v>
      </c>
      <c r="P5486" s="16" t="str">
        <f>IF(LEN(G5486)=10,CONCATENATE("0",G5486),G5486)</f>
        <v>23-Apr-1914</v>
      </c>
      <c r="R5486" s="16" t="str">
        <f>IF($L5486&gt;0,"x","")</f>
        <v>x</v>
      </c>
      <c r="S5486" s="16" t="str">
        <f>IF($L5486&gt;0,"x","")</f>
        <v>x</v>
      </c>
      <c r="U5486" s="46" t="str">
        <f t="shared" si="2325"/>
        <v/>
      </c>
      <c r="V5486" s="46">
        <f t="shared" si="2325"/>
        <v>6</v>
      </c>
      <c r="W5486" s="46" t="str">
        <f t="shared" si="2325"/>
        <v/>
      </c>
      <c r="X5486" s="46" t="str">
        <f t="shared" si="2325"/>
        <v/>
      </c>
    </row>
    <row r="5487" spans="2:26" x14ac:dyDescent="0.25">
      <c r="N5487" s="8" t="str">
        <f>IF(R5487="x",1,"")</f>
        <v/>
      </c>
      <c r="U5487" s="46" t="str">
        <f t="shared" si="2325"/>
        <v/>
      </c>
      <c r="V5487" s="46" t="str">
        <f t="shared" si="2325"/>
        <v/>
      </c>
      <c r="W5487" s="46" t="str">
        <f t="shared" si="2325"/>
        <v/>
      </c>
      <c r="X5487" s="46" t="str">
        <f t="shared" si="2325"/>
        <v/>
      </c>
    </row>
    <row r="5488" spans="2:26" x14ac:dyDescent="0.25">
      <c r="B5488" s="18"/>
      <c r="C5488" s="18"/>
      <c r="D5488" s="18"/>
      <c r="E5488" s="40"/>
      <c r="F5488" s="18"/>
      <c r="G5488" s="40"/>
      <c r="H5488" s="7">
        <f t="shared" ref="H5488:N5488" si="2340">SUM(H5467:H5487)</f>
        <v>0</v>
      </c>
      <c r="I5488" s="7">
        <f t="shared" si="2340"/>
        <v>0</v>
      </c>
      <c r="J5488" s="7">
        <f>SUM(J5467:J5487)</f>
        <v>162</v>
      </c>
      <c r="K5488" s="7">
        <f t="shared" si="2340"/>
        <v>0</v>
      </c>
      <c r="L5488" s="7">
        <f t="shared" si="2340"/>
        <v>162</v>
      </c>
      <c r="M5488" s="7">
        <f t="shared" si="2340"/>
        <v>20</v>
      </c>
      <c r="N5488" s="7">
        <f t="shared" si="2340"/>
        <v>14</v>
      </c>
      <c r="O5488" s="18"/>
      <c r="P5488" s="13"/>
      <c r="Q5488" s="13"/>
      <c r="S5488" s="13"/>
      <c r="T5488" s="15"/>
      <c r="U5488" s="46" t="str">
        <f t="shared" si="2325"/>
        <v/>
      </c>
      <c r="V5488" s="46" t="str">
        <f t="shared" si="2325"/>
        <v/>
      </c>
      <c r="W5488" s="46" t="str">
        <f t="shared" si="2325"/>
        <v/>
      </c>
      <c r="X5488" s="46" t="str">
        <f t="shared" si="2325"/>
        <v/>
      </c>
    </row>
    <row r="5489" spans="2:24" x14ac:dyDescent="0.25">
      <c r="B5489" s="18"/>
      <c r="C5489" s="18"/>
      <c r="D5489" s="18"/>
      <c r="E5489" s="40"/>
      <c r="F5489" s="18"/>
      <c r="G5489" s="40"/>
      <c r="N5489" s="8" t="str">
        <f>IF(R5489="x",1,"")</f>
        <v/>
      </c>
      <c r="O5489" s="18"/>
      <c r="P5489" s="13"/>
      <c r="Q5489" s="13"/>
      <c r="R5489" s="13"/>
      <c r="S5489" s="13"/>
      <c r="T5489" s="15"/>
      <c r="U5489" s="46" t="str">
        <f t="shared" ref="U5489:X5493" si="2341">IF($O5489=U$5,$L5489,"")</f>
        <v/>
      </c>
      <c r="V5489" s="46" t="str">
        <f t="shared" si="2341"/>
        <v/>
      </c>
      <c r="W5489" s="46" t="str">
        <f t="shared" si="2341"/>
        <v/>
      </c>
      <c r="X5489" s="46" t="str">
        <f t="shared" si="2341"/>
        <v/>
      </c>
    </row>
    <row r="5490" spans="2:24" x14ac:dyDescent="0.25">
      <c r="B5490" s="18"/>
      <c r="C5490" s="18"/>
      <c r="D5490" s="18"/>
      <c r="E5490" s="40"/>
      <c r="F5490" s="18"/>
      <c r="G5490" s="40"/>
      <c r="N5490" s="8" t="str">
        <f>IF(R5490="x",1,"")</f>
        <v/>
      </c>
      <c r="O5490" s="18"/>
      <c r="P5490" s="13"/>
      <c r="Q5490" s="13"/>
      <c r="R5490" s="13"/>
      <c r="S5490" s="13"/>
      <c r="T5490" s="15"/>
      <c r="U5490" s="46" t="str">
        <f t="shared" si="2341"/>
        <v/>
      </c>
      <c r="V5490" s="46" t="str">
        <f t="shared" si="2341"/>
        <v/>
      </c>
      <c r="W5490" s="46" t="str">
        <f t="shared" si="2341"/>
        <v/>
      </c>
      <c r="X5490" s="46" t="str">
        <f t="shared" si="2341"/>
        <v/>
      </c>
    </row>
    <row r="5491" spans="2:24" x14ac:dyDescent="0.25">
      <c r="B5491" s="11" t="str">
        <f>CONCATENATE("RHEN","-",LEFT(P5491,2),UPPER(MID(P5491,4,3)),RIGHT(P5491,4))</f>
        <v>RHEN-13MAR1912</v>
      </c>
      <c r="C5491" s="11" t="s">
        <v>6320</v>
      </c>
      <c r="D5491" s="11" t="s">
        <v>3359</v>
      </c>
      <c r="E5491" s="39" t="s">
        <v>1530</v>
      </c>
      <c r="F5491" s="11" t="s">
        <v>3538</v>
      </c>
      <c r="G5491" s="39" t="s">
        <v>2510</v>
      </c>
      <c r="I5491" s="7">
        <v>0</v>
      </c>
      <c r="J5491" s="17">
        <v>7</v>
      </c>
      <c r="K5491" s="17"/>
      <c r="L5491" s="7">
        <f>SUM(H5491:K5491)</f>
        <v>7</v>
      </c>
      <c r="M5491" s="8">
        <v>1</v>
      </c>
      <c r="N5491" s="8">
        <f>IF(L5491&gt;0,1,"")</f>
        <v>1</v>
      </c>
      <c r="O5491" s="11" t="s">
        <v>1702</v>
      </c>
      <c r="P5491" s="16" t="str">
        <f>IF(LEN(G5491)=10,CONCATENATE("0",G5491),G5491)</f>
        <v>13-Mar-1912</v>
      </c>
      <c r="R5491" s="16" t="str">
        <f>IF($L5491&gt;0,"x","")</f>
        <v>x</v>
      </c>
      <c r="S5491" s="16" t="str">
        <f>IF($L5491&gt;0,"x","")</f>
        <v>x</v>
      </c>
      <c r="U5491" s="46" t="str">
        <f t="shared" si="2341"/>
        <v/>
      </c>
      <c r="V5491" s="46">
        <f t="shared" si="2341"/>
        <v>7</v>
      </c>
      <c r="W5491" s="46" t="str">
        <f t="shared" si="2341"/>
        <v/>
      </c>
      <c r="X5491" s="46" t="str">
        <f t="shared" si="2341"/>
        <v/>
      </c>
    </row>
    <row r="5492" spans="2:24" x14ac:dyDescent="0.25">
      <c r="N5492" s="8" t="str">
        <f>IF(R5492="x",1,"")</f>
        <v/>
      </c>
      <c r="U5492" s="46" t="str">
        <f t="shared" si="2341"/>
        <v/>
      </c>
      <c r="V5492" s="46" t="str">
        <f t="shared" si="2341"/>
        <v/>
      </c>
      <c r="W5492" s="46" t="str">
        <f t="shared" si="2341"/>
        <v/>
      </c>
      <c r="X5492" s="46" t="str">
        <f t="shared" si="2341"/>
        <v/>
      </c>
    </row>
    <row r="5493" spans="2:24" x14ac:dyDescent="0.25">
      <c r="B5493" s="18"/>
      <c r="C5493" s="18"/>
      <c r="D5493" s="18"/>
      <c r="E5493" s="40"/>
      <c r="F5493" s="18"/>
      <c r="G5493" s="40"/>
      <c r="H5493" s="7">
        <f t="shared" ref="H5493:N5493" si="2342">SUM(H5491:H5492)</f>
        <v>0</v>
      </c>
      <c r="I5493" s="7">
        <f t="shared" si="2342"/>
        <v>0</v>
      </c>
      <c r="J5493" s="7">
        <f>SUM(J5491:J5492)</f>
        <v>7</v>
      </c>
      <c r="K5493" s="7">
        <f t="shared" si="2342"/>
        <v>0</v>
      </c>
      <c r="L5493" s="7">
        <f t="shared" si="2342"/>
        <v>7</v>
      </c>
      <c r="M5493" s="7">
        <f t="shared" si="2342"/>
        <v>1</v>
      </c>
      <c r="N5493" s="7">
        <f t="shared" si="2342"/>
        <v>1</v>
      </c>
      <c r="O5493" s="18"/>
      <c r="P5493" s="13"/>
      <c r="Q5493" s="13"/>
      <c r="S5493" s="13"/>
      <c r="T5493" s="15"/>
      <c r="U5493" s="46" t="str">
        <f t="shared" si="2341"/>
        <v/>
      </c>
      <c r="V5493" s="46" t="str">
        <f t="shared" si="2341"/>
        <v/>
      </c>
      <c r="W5493" s="46" t="str">
        <f t="shared" si="2341"/>
        <v/>
      </c>
      <c r="X5493" s="46" t="str">
        <f t="shared" si="2341"/>
        <v/>
      </c>
    </row>
    <row r="5494" spans="2:24" x14ac:dyDescent="0.25">
      <c r="B5494" s="18"/>
      <c r="C5494" s="18"/>
      <c r="D5494" s="18"/>
      <c r="E5494" s="40"/>
      <c r="F5494" s="18"/>
      <c r="G5494" s="40"/>
      <c r="N5494" s="8" t="str">
        <f>IF(R5494="x",1,"")</f>
        <v/>
      </c>
      <c r="O5494" s="18"/>
      <c r="P5494" s="13"/>
      <c r="Q5494" s="13"/>
      <c r="R5494" s="13"/>
      <c r="S5494" s="13"/>
      <c r="T5494" s="15"/>
      <c r="U5494" s="46" t="str">
        <f t="shared" ref="U5494:X5510" si="2343">IF($O5494=U$5,$L5494,"")</f>
        <v/>
      </c>
      <c r="V5494" s="46" t="str">
        <f t="shared" si="2343"/>
        <v/>
      </c>
      <c r="W5494" s="46" t="str">
        <f t="shared" si="2343"/>
        <v/>
      </c>
      <c r="X5494" s="46" t="str">
        <f t="shared" si="2343"/>
        <v/>
      </c>
    </row>
    <row r="5495" spans="2:24" x14ac:dyDescent="0.25">
      <c r="B5495" s="18"/>
      <c r="C5495" s="18"/>
      <c r="D5495" s="18"/>
      <c r="E5495" s="40"/>
      <c r="F5495" s="18"/>
      <c r="G5495" s="40"/>
      <c r="N5495" s="8" t="str">
        <f>IF(R5495="x",1,"")</f>
        <v/>
      </c>
      <c r="O5495" s="18"/>
      <c r="P5495" s="13"/>
      <c r="Q5495" s="13"/>
      <c r="R5495" s="13"/>
      <c r="S5495" s="13"/>
      <c r="T5495" s="15"/>
      <c r="U5495" s="46" t="str">
        <f t="shared" si="2343"/>
        <v/>
      </c>
      <c r="V5495" s="46" t="str">
        <f t="shared" si="2343"/>
        <v/>
      </c>
      <c r="W5495" s="46" t="str">
        <f t="shared" si="2343"/>
        <v/>
      </c>
      <c r="X5495" s="46" t="str">
        <f t="shared" si="2343"/>
        <v/>
      </c>
    </row>
    <row r="5496" spans="2:24" x14ac:dyDescent="0.25">
      <c r="B5496" s="11" t="str">
        <f>CONCATENATE("RHYN","-",LEFT(P5496,2),UPPER(MID(P5496,4,3)),RIGHT(P5496,4))</f>
        <v>RHYN-15SEP1887</v>
      </c>
      <c r="C5496" s="11" t="s">
        <v>3210</v>
      </c>
      <c r="D5496" s="11" t="s">
        <v>2814</v>
      </c>
      <c r="F5496" s="11" t="s">
        <v>1700</v>
      </c>
      <c r="G5496" s="39" t="s">
        <v>4121</v>
      </c>
      <c r="H5496" s="7">
        <v>0</v>
      </c>
      <c r="I5496" s="7">
        <v>0</v>
      </c>
      <c r="J5496" s="17">
        <v>2</v>
      </c>
      <c r="K5496" s="17"/>
      <c r="L5496" s="7">
        <f>SUM(H5496:K5496)</f>
        <v>2</v>
      </c>
      <c r="M5496" s="8">
        <v>1</v>
      </c>
      <c r="N5496" s="8">
        <f>IF(L5496&gt;0,1,"")</f>
        <v>1</v>
      </c>
      <c r="O5496" s="11" t="s">
        <v>1702</v>
      </c>
      <c r="P5496" s="16" t="str">
        <f>IF(LEN(G5496)=10,CONCATENATE("0",G5496),G5496)</f>
        <v>15-Sep-1887</v>
      </c>
      <c r="R5496" s="16" t="str">
        <f t="shared" ref="R5496:S5500" si="2344">IF($L5496&gt;0,"x","")</f>
        <v>x</v>
      </c>
      <c r="S5496" s="16" t="str">
        <f t="shared" si="2344"/>
        <v>x</v>
      </c>
      <c r="U5496" s="46" t="str">
        <f t="shared" si="2343"/>
        <v/>
      </c>
      <c r="V5496" s="46">
        <f t="shared" si="2343"/>
        <v>2</v>
      </c>
      <c r="W5496" s="46" t="str">
        <f t="shared" si="2343"/>
        <v/>
      </c>
      <c r="X5496" s="46" t="str">
        <f t="shared" si="2343"/>
        <v/>
      </c>
    </row>
    <row r="5497" spans="2:24" x14ac:dyDescent="0.25">
      <c r="B5497" s="11" t="str">
        <f>CONCATENATE("RHYN","-",LEFT(P5497,2),UPPER(MID(P5497,4,3)),RIGHT(P5497,4))</f>
        <v>RHYN-05MAR1891</v>
      </c>
      <c r="C5497" s="11" t="s">
        <v>3210</v>
      </c>
      <c r="D5497" s="11" t="s">
        <v>2814</v>
      </c>
      <c r="F5497" s="11" t="s">
        <v>1700</v>
      </c>
      <c r="G5497" s="39" t="s">
        <v>3469</v>
      </c>
      <c r="H5497" s="7">
        <v>0</v>
      </c>
      <c r="I5497" s="7">
        <v>0</v>
      </c>
      <c r="J5497" s="17">
        <v>2</v>
      </c>
      <c r="K5497" s="17"/>
      <c r="L5497" s="7">
        <f>SUM(H5497:K5497)</f>
        <v>2</v>
      </c>
      <c r="M5497" s="8">
        <v>1</v>
      </c>
      <c r="N5497" s="8">
        <f>IF(L5497&gt;0,1,"")</f>
        <v>1</v>
      </c>
      <c r="O5497" s="11" t="s">
        <v>1702</v>
      </c>
      <c r="P5497" s="16" t="str">
        <f>IF(LEN(G5497)=10,CONCATENATE("0",G5497),G5497)</f>
        <v>05-Mar-1891</v>
      </c>
      <c r="R5497" s="16" t="str">
        <f t="shared" si="2344"/>
        <v>x</v>
      </c>
      <c r="S5497" s="16" t="str">
        <f t="shared" si="2344"/>
        <v>x</v>
      </c>
      <c r="U5497" s="46" t="str">
        <f t="shared" si="2343"/>
        <v/>
      </c>
      <c r="V5497" s="46">
        <f t="shared" si="2343"/>
        <v>2</v>
      </c>
      <c r="W5497" s="46" t="str">
        <f t="shared" si="2343"/>
        <v/>
      </c>
      <c r="X5497" s="46" t="str">
        <f t="shared" si="2343"/>
        <v/>
      </c>
    </row>
    <row r="5498" spans="2:24" x14ac:dyDescent="0.25">
      <c r="B5498" s="11" t="str">
        <f>CONCATENATE("RHYN","-",LEFT(P5498,2),UPPER(MID(P5498,4,3)),RIGHT(P5498,4))</f>
        <v>RHYN-24NOV1896</v>
      </c>
      <c r="C5498" s="11" t="s">
        <v>3210</v>
      </c>
      <c r="D5498" s="11" t="s">
        <v>2097</v>
      </c>
      <c r="E5498" s="39" t="s">
        <v>4031</v>
      </c>
      <c r="F5498" s="11" t="s">
        <v>3039</v>
      </c>
      <c r="G5498" s="39" t="s">
        <v>183</v>
      </c>
      <c r="I5498" s="7">
        <v>0</v>
      </c>
      <c r="J5498" s="17">
        <v>11</v>
      </c>
      <c r="K5498" s="17"/>
      <c r="L5498" s="7">
        <f>SUM(H5498:K5498)</f>
        <v>11</v>
      </c>
      <c r="M5498" s="8">
        <v>1</v>
      </c>
      <c r="N5498" s="8">
        <f>IF(L5498&gt;0,1,"")</f>
        <v>1</v>
      </c>
      <c r="O5498" s="11" t="s">
        <v>1702</v>
      </c>
      <c r="P5498" s="16" t="str">
        <f>IF(LEN(G5498)=10,CONCATENATE("0",G5498),G5498)</f>
        <v>24-Nov-1896</v>
      </c>
      <c r="R5498" s="16" t="str">
        <f t="shared" si="2344"/>
        <v>x</v>
      </c>
      <c r="S5498" s="16" t="str">
        <f t="shared" si="2344"/>
        <v>x</v>
      </c>
      <c r="U5498" s="46" t="str">
        <f t="shared" si="2343"/>
        <v/>
      </c>
      <c r="V5498" s="46">
        <f t="shared" si="2343"/>
        <v>11</v>
      </c>
      <c r="W5498" s="46" t="str">
        <f t="shared" si="2343"/>
        <v/>
      </c>
      <c r="X5498" s="46" t="str">
        <f t="shared" si="2343"/>
        <v/>
      </c>
    </row>
    <row r="5499" spans="2:24" x14ac:dyDescent="0.25">
      <c r="B5499" s="11" t="str">
        <f>CONCATENATE("RHYN","-",LEFT(P5499,2),UPPER(MID(P5499,4,3)),RIGHT(P5499,4))</f>
        <v>RHYN-07APR1897</v>
      </c>
      <c r="C5499" s="11" t="s">
        <v>3210</v>
      </c>
      <c r="D5499" s="11" t="s">
        <v>2097</v>
      </c>
      <c r="E5499" s="39" t="s">
        <v>3211</v>
      </c>
      <c r="F5499" s="11" t="s">
        <v>3039</v>
      </c>
      <c r="G5499" s="39" t="s">
        <v>2154</v>
      </c>
      <c r="J5499" s="17">
        <v>5</v>
      </c>
      <c r="K5499" s="17"/>
      <c r="L5499" s="7">
        <f>SUM(H5499:K5499)</f>
        <v>5</v>
      </c>
      <c r="M5499" s="8">
        <v>1</v>
      </c>
      <c r="N5499" s="8">
        <f>IF(L5499&gt;0,1,"")</f>
        <v>1</v>
      </c>
      <c r="O5499" s="11" t="s">
        <v>1702</v>
      </c>
      <c r="P5499" s="16" t="str">
        <f>IF(LEN(G5499)=10,CONCATENATE("0",G5499),G5499)</f>
        <v>07-Apr-1897</v>
      </c>
      <c r="R5499" s="16" t="str">
        <f t="shared" si="2344"/>
        <v>x</v>
      </c>
      <c r="S5499" s="16" t="str">
        <f t="shared" si="2344"/>
        <v>x</v>
      </c>
      <c r="U5499" s="46" t="str">
        <f t="shared" si="2343"/>
        <v/>
      </c>
      <c r="V5499" s="46">
        <f t="shared" si="2343"/>
        <v>5</v>
      </c>
      <c r="W5499" s="46" t="str">
        <f t="shared" si="2343"/>
        <v/>
      </c>
      <c r="X5499" s="46" t="str">
        <f t="shared" si="2343"/>
        <v/>
      </c>
    </row>
    <row r="5500" spans="2:24" x14ac:dyDescent="0.25">
      <c r="B5500" s="11" t="str">
        <f>CONCATENATE("RHYN","-",LEFT(P5500,2),UPPER(MID(P5500,4,3)),RIGHT(P5500,4))</f>
        <v>RHYN-22JUL1901</v>
      </c>
      <c r="C5500" s="11" t="s">
        <v>3210</v>
      </c>
      <c r="D5500" s="11" t="s">
        <v>2097</v>
      </c>
      <c r="E5500" s="39" t="s">
        <v>3419</v>
      </c>
      <c r="F5500" s="11" t="s">
        <v>3039</v>
      </c>
      <c r="G5500" s="39" t="s">
        <v>2580</v>
      </c>
      <c r="H5500" s="7">
        <v>0</v>
      </c>
      <c r="J5500" s="17">
        <v>5</v>
      </c>
      <c r="K5500" s="17"/>
      <c r="L5500" s="7">
        <f>SUM(H5500:K5500)</f>
        <v>5</v>
      </c>
      <c r="M5500" s="8">
        <v>1</v>
      </c>
      <c r="N5500" s="8">
        <f>IF(L5500&gt;0,1,"")</f>
        <v>1</v>
      </c>
      <c r="O5500" s="11" t="s">
        <v>1702</v>
      </c>
      <c r="P5500" s="16" t="str">
        <f>IF(LEN(G5500)=10,CONCATENATE("0",G5500),G5500)</f>
        <v>22-Jul-1901</v>
      </c>
      <c r="R5500" s="16" t="str">
        <f t="shared" si="2344"/>
        <v>x</v>
      </c>
      <c r="S5500" s="16" t="str">
        <f t="shared" si="2344"/>
        <v>x</v>
      </c>
      <c r="U5500" s="46" t="str">
        <f t="shared" si="2343"/>
        <v/>
      </c>
      <c r="V5500" s="46">
        <f t="shared" si="2343"/>
        <v>5</v>
      </c>
      <c r="W5500" s="46" t="str">
        <f t="shared" si="2343"/>
        <v/>
      </c>
      <c r="X5500" s="46" t="str">
        <f t="shared" si="2343"/>
        <v/>
      </c>
    </row>
    <row r="5501" spans="2:24" x14ac:dyDescent="0.25">
      <c r="N5501" s="8" t="str">
        <f>IF(R5501="x",1,"")</f>
        <v/>
      </c>
      <c r="U5501" s="46" t="str">
        <f t="shared" si="2343"/>
        <v/>
      </c>
      <c r="V5501" s="46" t="str">
        <f t="shared" si="2343"/>
        <v/>
      </c>
      <c r="W5501" s="46" t="str">
        <f t="shared" si="2343"/>
        <v/>
      </c>
      <c r="X5501" s="46" t="str">
        <f t="shared" si="2343"/>
        <v/>
      </c>
    </row>
    <row r="5502" spans="2:24" x14ac:dyDescent="0.25">
      <c r="B5502" s="18"/>
      <c r="C5502" s="18"/>
      <c r="D5502" s="18"/>
      <c r="E5502" s="40"/>
      <c r="F5502" s="18"/>
      <c r="G5502" s="40"/>
      <c r="H5502" s="7">
        <f t="shared" ref="H5502:N5502" si="2345">SUM(H5496:H5501)</f>
        <v>0</v>
      </c>
      <c r="I5502" s="7">
        <f t="shared" si="2345"/>
        <v>0</v>
      </c>
      <c r="J5502" s="7">
        <f>SUM(J5496:J5501)</f>
        <v>25</v>
      </c>
      <c r="K5502" s="7">
        <f t="shared" si="2345"/>
        <v>0</v>
      </c>
      <c r="L5502" s="7">
        <f t="shared" si="2345"/>
        <v>25</v>
      </c>
      <c r="M5502" s="7">
        <f t="shared" si="2345"/>
        <v>5</v>
      </c>
      <c r="N5502" s="7">
        <f t="shared" si="2345"/>
        <v>5</v>
      </c>
      <c r="O5502" s="18"/>
      <c r="P5502" s="13"/>
      <c r="Q5502" s="13"/>
      <c r="S5502" s="13"/>
      <c r="T5502" s="15"/>
      <c r="U5502" s="46" t="str">
        <f t="shared" si="2343"/>
        <v/>
      </c>
      <c r="V5502" s="46" t="str">
        <f t="shared" si="2343"/>
        <v/>
      </c>
      <c r="W5502" s="46" t="str">
        <f t="shared" si="2343"/>
        <v/>
      </c>
      <c r="X5502" s="46" t="str">
        <f t="shared" si="2343"/>
        <v/>
      </c>
    </row>
    <row r="5503" spans="2:24" x14ac:dyDescent="0.25">
      <c r="B5503" s="18"/>
      <c r="C5503" s="18"/>
      <c r="D5503" s="18"/>
      <c r="E5503" s="40"/>
      <c r="F5503" s="18"/>
      <c r="G5503" s="40"/>
      <c r="N5503" s="8" t="str">
        <f>IF(R5503="x",1,"")</f>
        <v/>
      </c>
      <c r="O5503" s="18"/>
      <c r="P5503" s="13"/>
      <c r="Q5503" s="13"/>
      <c r="R5503" s="13"/>
      <c r="S5503" s="13"/>
      <c r="T5503" s="15"/>
      <c r="U5503" s="46" t="str">
        <f t="shared" si="2343"/>
        <v/>
      </c>
      <c r="V5503" s="46" t="str">
        <f t="shared" si="2343"/>
        <v/>
      </c>
      <c r="W5503" s="46" t="str">
        <f t="shared" si="2343"/>
        <v/>
      </c>
      <c r="X5503" s="46" t="str">
        <f t="shared" si="2343"/>
        <v/>
      </c>
    </row>
    <row r="5504" spans="2:24" x14ac:dyDescent="0.25">
      <c r="B5504" s="18"/>
      <c r="C5504" s="18"/>
      <c r="D5504" s="18"/>
      <c r="E5504" s="40"/>
      <c r="F5504" s="18"/>
      <c r="G5504" s="40"/>
      <c r="N5504" s="8" t="str">
        <f>IF(R5504="x",1,"")</f>
        <v/>
      </c>
      <c r="O5504" s="18"/>
      <c r="P5504" s="13"/>
      <c r="Q5504" s="13"/>
      <c r="R5504" s="13"/>
      <c r="S5504" s="13"/>
      <c r="T5504" s="15"/>
      <c r="U5504" s="46" t="str">
        <f t="shared" si="2343"/>
        <v/>
      </c>
      <c r="V5504" s="46" t="str">
        <f t="shared" si="2343"/>
        <v/>
      </c>
      <c r="W5504" s="46" t="str">
        <f t="shared" si="2343"/>
        <v/>
      </c>
      <c r="X5504" s="46" t="str">
        <f t="shared" si="2343"/>
        <v/>
      </c>
    </row>
    <row r="5505" spans="2:26" x14ac:dyDescent="0.25">
      <c r="B5505" s="11" t="str">
        <f>CONCATENATE("RCHL","-",LEFT(P5505,2),UPPER(MID(P5505,4,3)),RIGHT(P5505,4))</f>
        <v>RCHL-10JUL1886</v>
      </c>
      <c r="C5505" s="11" t="s">
        <v>5511</v>
      </c>
      <c r="D5505" s="11" t="s">
        <v>3225</v>
      </c>
      <c r="F5505" s="11" t="s">
        <v>1700</v>
      </c>
      <c r="G5505" s="39" t="s">
        <v>5512</v>
      </c>
      <c r="J5505" s="17">
        <v>17</v>
      </c>
      <c r="K5505" s="17"/>
      <c r="L5505" s="7">
        <f>SUM(H5505:K5505)</f>
        <v>17</v>
      </c>
      <c r="M5505" s="8">
        <v>1</v>
      </c>
      <c r="N5505" s="8">
        <f>IF(L5505&gt;0,1,"")</f>
        <v>1</v>
      </c>
      <c r="O5505" s="11" t="s">
        <v>1702</v>
      </c>
      <c r="P5505" s="16" t="str">
        <f>IF(LEN(G5505)=10,CONCATENATE("0",G5505),G5505)</f>
        <v>10-Jul-1886</v>
      </c>
      <c r="R5505" s="16" t="str">
        <f>IF($L5505&gt;0,"x","")</f>
        <v>x</v>
      </c>
      <c r="S5505" s="16" t="str">
        <f>IF($L5505&gt;0,"x","")</f>
        <v>x</v>
      </c>
      <c r="U5505" s="46" t="str">
        <f t="shared" si="2343"/>
        <v/>
      </c>
      <c r="V5505" s="46">
        <f t="shared" si="2343"/>
        <v>17</v>
      </c>
      <c r="W5505" s="46" t="str">
        <f t="shared" si="2343"/>
        <v/>
      </c>
      <c r="X5505" s="46" t="str">
        <f t="shared" si="2343"/>
        <v/>
      </c>
    </row>
    <row r="5506" spans="2:26" x14ac:dyDescent="0.25">
      <c r="N5506" s="8" t="str">
        <f>IF(R5506="x",1,"")</f>
        <v/>
      </c>
      <c r="U5506" s="46" t="str">
        <f t="shared" si="2343"/>
        <v/>
      </c>
      <c r="V5506" s="46" t="str">
        <f t="shared" si="2343"/>
        <v/>
      </c>
      <c r="W5506" s="46" t="str">
        <f t="shared" si="2343"/>
        <v/>
      </c>
      <c r="X5506" s="46" t="str">
        <f t="shared" si="2343"/>
        <v/>
      </c>
    </row>
    <row r="5507" spans="2:26" x14ac:dyDescent="0.25">
      <c r="B5507" s="18"/>
      <c r="C5507" s="18"/>
      <c r="D5507" s="18"/>
      <c r="E5507" s="40"/>
      <c r="F5507" s="18"/>
      <c r="G5507" s="40"/>
      <c r="H5507" s="7">
        <f t="shared" ref="H5507:N5507" si="2346">SUM(H5505:H5506)</f>
        <v>0</v>
      </c>
      <c r="I5507" s="7">
        <f t="shared" si="2346"/>
        <v>0</v>
      </c>
      <c r="J5507" s="7">
        <f>SUM(J5505:J5506)</f>
        <v>17</v>
      </c>
      <c r="K5507" s="7">
        <f t="shared" si="2346"/>
        <v>0</v>
      </c>
      <c r="L5507" s="7">
        <f t="shared" si="2346"/>
        <v>17</v>
      </c>
      <c r="M5507" s="7">
        <f t="shared" si="2346"/>
        <v>1</v>
      </c>
      <c r="N5507" s="7">
        <f t="shared" si="2346"/>
        <v>1</v>
      </c>
      <c r="O5507" s="18"/>
      <c r="P5507" s="13"/>
      <c r="Q5507" s="13"/>
      <c r="S5507" s="13"/>
      <c r="T5507" s="15"/>
      <c r="U5507" s="46" t="str">
        <f t="shared" si="2343"/>
        <v/>
      </c>
      <c r="V5507" s="46" t="str">
        <f t="shared" si="2343"/>
        <v/>
      </c>
      <c r="W5507" s="46" t="str">
        <f t="shared" si="2343"/>
        <v/>
      </c>
      <c r="X5507" s="46" t="str">
        <f t="shared" si="2343"/>
        <v/>
      </c>
    </row>
    <row r="5508" spans="2:26" x14ac:dyDescent="0.25">
      <c r="B5508" s="18"/>
      <c r="C5508" s="18"/>
      <c r="D5508" s="18"/>
      <c r="E5508" s="40"/>
      <c r="F5508" s="18"/>
      <c r="G5508" s="40"/>
      <c r="N5508" s="8" t="str">
        <f>IF(R5508="x",1,"")</f>
        <v/>
      </c>
      <c r="O5508" s="18"/>
      <c r="P5508" s="13"/>
      <c r="Q5508" s="13"/>
      <c r="R5508" s="13"/>
      <c r="S5508" s="13"/>
      <c r="T5508" s="15"/>
      <c r="U5508" s="46" t="str">
        <f t="shared" si="2343"/>
        <v/>
      </c>
      <c r="V5508" s="46" t="str">
        <f t="shared" si="2343"/>
        <v/>
      </c>
      <c r="W5508" s="46" t="str">
        <f t="shared" si="2343"/>
        <v/>
      </c>
      <c r="X5508" s="46" t="str">
        <f t="shared" si="2343"/>
        <v/>
      </c>
    </row>
    <row r="5509" spans="2:26" x14ac:dyDescent="0.25">
      <c r="B5509" s="18"/>
      <c r="C5509" s="18"/>
      <c r="D5509" s="18"/>
      <c r="E5509" s="40"/>
      <c r="F5509" s="18"/>
      <c r="G5509" s="40"/>
      <c r="N5509" s="8" t="str">
        <f>IF(R5509="x",1,"")</f>
        <v/>
      </c>
      <c r="O5509" s="18"/>
      <c r="P5509" s="13"/>
      <c r="Q5509" s="13"/>
      <c r="R5509" s="13"/>
      <c r="S5509" s="13"/>
      <c r="T5509" s="15"/>
      <c r="U5509" s="46" t="str">
        <f t="shared" si="2343"/>
        <v/>
      </c>
      <c r="V5509" s="46" t="str">
        <f t="shared" si="2343"/>
        <v/>
      </c>
      <c r="W5509" s="46" t="str">
        <f t="shared" si="2343"/>
        <v/>
      </c>
      <c r="X5509" s="46" t="str">
        <f t="shared" si="2343"/>
        <v/>
      </c>
    </row>
    <row r="5510" spans="2:26" x14ac:dyDescent="0.25">
      <c r="B5510" s="11" t="str">
        <f>CONCATENATE("RIND","-",LEFT(P5510,2),UPPER(MID(P5510,4,3)),RIGHT(P5510,4))</f>
        <v>RIND-20MAY1917</v>
      </c>
      <c r="C5510" s="11" t="s">
        <v>5214</v>
      </c>
      <c r="D5510" s="11" t="s">
        <v>2440</v>
      </c>
      <c r="E5510" s="39" t="s">
        <v>4507</v>
      </c>
      <c r="F5510" s="11" t="s">
        <v>2441</v>
      </c>
      <c r="G5510" s="39" t="s">
        <v>5215</v>
      </c>
      <c r="H5510" s="7">
        <v>0</v>
      </c>
      <c r="I5510" s="7">
        <v>3</v>
      </c>
      <c r="J5510" s="17"/>
      <c r="K5510" s="17"/>
      <c r="L5510" s="7">
        <f>SUM(H5510:K5510)</f>
        <v>3</v>
      </c>
      <c r="M5510" s="8">
        <v>1</v>
      </c>
      <c r="N5510" s="8">
        <f>IF(L5510&gt;0,1,"")</f>
        <v>1</v>
      </c>
      <c r="O5510" s="11" t="s">
        <v>1702</v>
      </c>
      <c r="P5510" s="16" t="str">
        <f>IF(LEN(G5510)=10,CONCATENATE("0",G5510),G5510)</f>
        <v>20-May-1917</v>
      </c>
      <c r="R5510" s="16" t="str">
        <f>IF($L5510&gt;0,"x","")</f>
        <v>x</v>
      </c>
      <c r="S5510" s="16" t="str">
        <f>IF($L5510&gt;0,"x","")</f>
        <v>x</v>
      </c>
      <c r="U5510" s="46" t="str">
        <f t="shared" si="2343"/>
        <v/>
      </c>
      <c r="V5510" s="46">
        <f t="shared" si="2343"/>
        <v>3</v>
      </c>
      <c r="W5510" s="46" t="str">
        <f t="shared" si="2343"/>
        <v/>
      </c>
      <c r="X5510" s="46" t="str">
        <f t="shared" si="2343"/>
        <v/>
      </c>
    </row>
    <row r="5511" spans="2:26" x14ac:dyDescent="0.25">
      <c r="N5511" s="8" t="str">
        <f>IF(R5511="x",1,"")</f>
        <v/>
      </c>
      <c r="U5511" s="46" t="str">
        <f t="shared" ref="U5511:X5512" si="2347">IF($O5511=U$5,$L5511,"")</f>
        <v/>
      </c>
      <c r="V5511" s="46" t="str">
        <f t="shared" si="2347"/>
        <v/>
      </c>
      <c r="W5511" s="46" t="str">
        <f t="shared" si="2347"/>
        <v/>
      </c>
      <c r="X5511" s="46" t="str">
        <f t="shared" si="2347"/>
        <v/>
      </c>
    </row>
    <row r="5512" spans="2:26" x14ac:dyDescent="0.25">
      <c r="B5512" s="18"/>
      <c r="C5512" s="18"/>
      <c r="D5512" s="18"/>
      <c r="E5512" s="40"/>
      <c r="F5512" s="18"/>
      <c r="G5512" s="40"/>
      <c r="H5512" s="7">
        <f t="shared" ref="H5512:N5512" si="2348">SUM(H5510:H5511)</f>
        <v>0</v>
      </c>
      <c r="I5512" s="7">
        <f t="shared" si="2348"/>
        <v>3</v>
      </c>
      <c r="J5512" s="7">
        <f>SUM(J5510:J5511)</f>
        <v>0</v>
      </c>
      <c r="K5512" s="7">
        <f t="shared" si="2348"/>
        <v>0</v>
      </c>
      <c r="L5512" s="7">
        <f t="shared" si="2348"/>
        <v>3</v>
      </c>
      <c r="M5512" s="7">
        <f t="shared" si="2348"/>
        <v>1</v>
      </c>
      <c r="N5512" s="7">
        <f t="shared" si="2348"/>
        <v>1</v>
      </c>
      <c r="O5512" s="18"/>
      <c r="P5512" s="13"/>
      <c r="Q5512" s="13"/>
      <c r="S5512" s="13"/>
      <c r="T5512" s="15"/>
      <c r="U5512" s="46" t="str">
        <f t="shared" si="2347"/>
        <v/>
      </c>
      <c r="V5512" s="46" t="str">
        <f t="shared" si="2347"/>
        <v/>
      </c>
      <c r="W5512" s="46" t="str">
        <f t="shared" si="2347"/>
        <v/>
      </c>
      <c r="X5512" s="46" t="str">
        <f t="shared" si="2347"/>
        <v/>
      </c>
    </row>
    <row r="5513" spans="2:26" x14ac:dyDescent="0.25">
      <c r="B5513" s="18"/>
      <c r="C5513" s="18"/>
      <c r="D5513" s="18"/>
      <c r="E5513" s="40"/>
      <c r="F5513" s="18"/>
      <c r="G5513" s="40"/>
      <c r="N5513" s="8" t="str">
        <f>IF(R5513="x",1,"")</f>
        <v/>
      </c>
      <c r="O5513" s="18"/>
      <c r="P5513" s="13"/>
      <c r="Q5513" s="13"/>
      <c r="R5513" s="13"/>
      <c r="S5513" s="13"/>
      <c r="T5513" s="15"/>
      <c r="U5513" s="46" t="str">
        <f t="shared" si="2325"/>
        <v/>
      </c>
      <c r="V5513" s="46" t="str">
        <f t="shared" si="2325"/>
        <v/>
      </c>
      <c r="W5513" s="46" t="str">
        <f t="shared" si="2325"/>
        <v/>
      </c>
      <c r="X5513" s="46" t="str">
        <f t="shared" si="2325"/>
        <v/>
      </c>
    </row>
    <row r="5514" spans="2:26" x14ac:dyDescent="0.25">
      <c r="B5514" s="18"/>
      <c r="C5514" s="18"/>
      <c r="D5514" s="18"/>
      <c r="E5514" s="40"/>
      <c r="F5514" s="18"/>
      <c r="G5514" s="40"/>
      <c r="N5514" s="8" t="str">
        <f>IF(R5514="x",1,"")</f>
        <v/>
      </c>
      <c r="O5514" s="18"/>
      <c r="P5514" s="13"/>
      <c r="Q5514" s="13"/>
      <c r="R5514" s="13"/>
      <c r="S5514" s="13"/>
      <c r="T5514" s="15"/>
      <c r="U5514" s="46" t="str">
        <f t="shared" si="2325"/>
        <v/>
      </c>
      <c r="V5514" s="46" t="str">
        <f t="shared" si="2325"/>
        <v/>
      </c>
      <c r="W5514" s="46" t="str">
        <f t="shared" si="2325"/>
        <v/>
      </c>
      <c r="X5514" s="46" t="str">
        <f t="shared" si="2325"/>
        <v/>
      </c>
    </row>
    <row r="5515" spans="2:26" x14ac:dyDescent="0.25">
      <c r="B5515" s="11" t="str">
        <f>CONCATENATE("RNEG","-",LEFT(P5515,2),UPPER(MID(P5515,4,3)),RIGHT(P5515,4))</f>
        <v>RNEG-18SEP1902</v>
      </c>
      <c r="C5515" s="11" t="s">
        <v>5596</v>
      </c>
      <c r="D5515" s="11" t="s">
        <v>1699</v>
      </c>
      <c r="E5515" s="39" t="s">
        <v>1636</v>
      </c>
      <c r="F5515" s="11" t="s">
        <v>1700</v>
      </c>
      <c r="G5515" s="39" t="s">
        <v>5597</v>
      </c>
      <c r="J5515" s="17">
        <v>33</v>
      </c>
      <c r="K5515" s="17"/>
      <c r="L5515" s="7">
        <f>SUM(H5515:K5515)</f>
        <v>33</v>
      </c>
      <c r="M5515" s="8">
        <v>1</v>
      </c>
      <c r="N5515" s="8">
        <f>IF(L5515&gt;0,1,"")</f>
        <v>1</v>
      </c>
      <c r="O5515" s="11" t="s">
        <v>1702</v>
      </c>
      <c r="P5515" s="16" t="str">
        <f>IF(LEN(G5515)=10,CONCATENATE("0",G5515),G5515)</f>
        <v>18-Sep-1902</v>
      </c>
      <c r="R5515" s="16" t="str">
        <f>IF($L5515&gt;0,"x","")</f>
        <v>x</v>
      </c>
      <c r="S5515" s="16" t="str">
        <f>IF($L5515&gt;0,"x","")</f>
        <v>x</v>
      </c>
      <c r="U5515" s="46" t="str">
        <f t="shared" si="2325"/>
        <v/>
      </c>
      <c r="V5515" s="46">
        <f t="shared" si="2325"/>
        <v>33</v>
      </c>
      <c r="W5515" s="46" t="str">
        <f t="shared" si="2325"/>
        <v/>
      </c>
      <c r="X5515" s="46" t="str">
        <f t="shared" si="2325"/>
        <v/>
      </c>
    </row>
    <row r="5516" spans="2:26" x14ac:dyDescent="0.25">
      <c r="N5516" s="8" t="str">
        <f>IF(R5516="x",1,"")</f>
        <v/>
      </c>
      <c r="U5516" s="46" t="str">
        <f t="shared" si="2325"/>
        <v/>
      </c>
      <c r="V5516" s="46" t="str">
        <f t="shared" si="2325"/>
        <v/>
      </c>
      <c r="W5516" s="46" t="str">
        <f t="shared" si="2325"/>
        <v/>
      </c>
      <c r="X5516" s="46" t="str">
        <f t="shared" si="2325"/>
        <v/>
      </c>
    </row>
    <row r="5517" spans="2:26" x14ac:dyDescent="0.25">
      <c r="B5517" s="18"/>
      <c r="C5517" s="18"/>
      <c r="D5517" s="18"/>
      <c r="E5517" s="40"/>
      <c r="F5517" s="18"/>
      <c r="G5517" s="40"/>
      <c r="H5517" s="7">
        <f t="shared" ref="H5517:N5517" si="2349">SUM(H5515:H5516)</f>
        <v>0</v>
      </c>
      <c r="I5517" s="7">
        <f t="shared" si="2349"/>
        <v>0</v>
      </c>
      <c r="J5517" s="7">
        <f>SUM(J5515:J5516)</f>
        <v>33</v>
      </c>
      <c r="K5517" s="7">
        <f t="shared" si="2349"/>
        <v>0</v>
      </c>
      <c r="L5517" s="7">
        <f t="shared" si="2349"/>
        <v>33</v>
      </c>
      <c r="M5517" s="7">
        <f t="shared" si="2349"/>
        <v>1</v>
      </c>
      <c r="N5517" s="7">
        <f t="shared" si="2349"/>
        <v>1</v>
      </c>
      <c r="O5517" s="18"/>
      <c r="P5517" s="13"/>
      <c r="Q5517" s="13"/>
      <c r="S5517" s="13"/>
      <c r="T5517" s="15"/>
      <c r="U5517" s="46" t="str">
        <f t="shared" si="2325"/>
        <v/>
      </c>
      <c r="V5517" s="46" t="str">
        <f t="shared" si="2325"/>
        <v/>
      </c>
      <c r="W5517" s="46" t="str">
        <f t="shared" si="2325"/>
        <v/>
      </c>
      <c r="X5517" s="46" t="str">
        <f t="shared" si="2325"/>
        <v/>
      </c>
    </row>
    <row r="5518" spans="2:26" x14ac:dyDescent="0.25">
      <c r="B5518" s="18"/>
      <c r="C5518" s="18"/>
      <c r="D5518" s="18"/>
      <c r="E5518" s="40"/>
      <c r="F5518" s="18"/>
      <c r="G5518" s="40"/>
      <c r="N5518" s="8" t="str">
        <f>IF(R5518="x",1,"")</f>
        <v/>
      </c>
      <c r="O5518" s="18"/>
      <c r="P5518" s="13"/>
      <c r="Q5518" s="13"/>
      <c r="R5518" s="13"/>
      <c r="S5518" s="13"/>
      <c r="T5518" s="15"/>
      <c r="U5518" s="46" t="str">
        <f t="shared" si="2325"/>
        <v/>
      </c>
      <c r="V5518" s="46" t="str">
        <f t="shared" si="2325"/>
        <v/>
      </c>
      <c r="W5518" s="46" t="str">
        <f t="shared" si="2325"/>
        <v/>
      </c>
      <c r="X5518" s="46" t="str">
        <f t="shared" si="2325"/>
        <v/>
      </c>
    </row>
    <row r="5519" spans="2:26" x14ac:dyDescent="0.25">
      <c r="U5519" s="46" t="str">
        <f t="shared" si="2325"/>
        <v/>
      </c>
      <c r="V5519" s="46" t="str">
        <f t="shared" si="2325"/>
        <v/>
      </c>
      <c r="W5519" s="46" t="str">
        <f t="shared" si="2325"/>
        <v/>
      </c>
      <c r="X5519" s="46" t="str">
        <f t="shared" si="2325"/>
        <v/>
      </c>
    </row>
    <row r="5520" spans="2:26" x14ac:dyDescent="0.25">
      <c r="B5520" s="11" t="str">
        <f>CONCATENATE("ROCH","-",LEFT(P5520,2),UPPER(MID(P5520,4,3)),RIGHT(P5520,4))</f>
        <v>ROCH-25SEP1911</v>
      </c>
      <c r="C5520" s="11" t="s">
        <v>1307</v>
      </c>
      <c r="D5520" s="11" t="s">
        <v>1699</v>
      </c>
      <c r="E5520" s="39" t="s">
        <v>1271</v>
      </c>
      <c r="F5520" s="11" t="s">
        <v>1700</v>
      </c>
      <c r="G5520" s="39" t="s">
        <v>1308</v>
      </c>
      <c r="I5520" s="7">
        <v>0</v>
      </c>
      <c r="J5520" s="7">
        <v>0</v>
      </c>
      <c r="L5520" s="7">
        <f>SUM(H5520:K5520)</f>
        <v>0</v>
      </c>
      <c r="M5520" s="8">
        <v>1</v>
      </c>
      <c r="N5520" s="8" t="str">
        <f>IF(L5520&gt;0,1,"")</f>
        <v/>
      </c>
      <c r="O5520" s="11" t="s">
        <v>1702</v>
      </c>
      <c r="P5520" s="16" t="str">
        <f>IF(LEN(G5520)=10,CONCATENATE("0",G5520),G5520)</f>
        <v>25-Sep-1911</v>
      </c>
      <c r="R5520" s="16" t="str">
        <f t="shared" ref="R5520:S5535" si="2350">IF($L5520&gt;0,"x","")</f>
        <v/>
      </c>
      <c r="S5520" s="16" t="str">
        <f t="shared" si="2350"/>
        <v/>
      </c>
      <c r="U5520" s="46" t="str">
        <f t="shared" si="2325"/>
        <v/>
      </c>
      <c r="V5520" s="46">
        <f t="shared" si="2325"/>
        <v>0</v>
      </c>
      <c r="W5520" s="46" t="str">
        <f t="shared" si="2325"/>
        <v/>
      </c>
      <c r="X5520" s="46" t="str">
        <f t="shared" si="2325"/>
        <v/>
      </c>
      <c r="Z5520" s="11" t="s">
        <v>1358</v>
      </c>
    </row>
    <row r="5521" spans="2:26" x14ac:dyDescent="0.25">
      <c r="B5521" s="11" t="str">
        <f>CONCATENATE("ROCH","-",LEFT(P5521,2),UPPER(MID(P5521,4,3)),RIGHT(P5521,4))</f>
        <v>ROCH-24OCT1911</v>
      </c>
      <c r="C5521" s="11" t="s">
        <v>1307</v>
      </c>
      <c r="D5521" s="11" t="s">
        <v>1699</v>
      </c>
      <c r="E5521" s="39" t="s">
        <v>1272</v>
      </c>
      <c r="F5521" s="11" t="s">
        <v>1700</v>
      </c>
      <c r="G5521" s="39" t="s">
        <v>1309</v>
      </c>
      <c r="I5521" s="7">
        <v>4</v>
      </c>
      <c r="J5521" s="7">
        <v>34</v>
      </c>
      <c r="L5521" s="7">
        <f>SUM(H5521:K5521)</f>
        <v>38</v>
      </c>
      <c r="M5521" s="8">
        <v>1</v>
      </c>
      <c r="N5521" s="8">
        <f>IF(L5521&gt;0,1,"")</f>
        <v>1</v>
      </c>
      <c r="O5521" s="11" t="s">
        <v>1702</v>
      </c>
      <c r="P5521" s="16" t="str">
        <f>IF(LEN(G5521)=10,CONCATENATE("0",G5521),G5521)</f>
        <v>24-Oct-1911</v>
      </c>
      <c r="R5521" s="16" t="str">
        <f t="shared" si="2350"/>
        <v>x</v>
      </c>
      <c r="S5521" s="16" t="str">
        <f t="shared" si="2350"/>
        <v>x</v>
      </c>
      <c r="U5521" s="46" t="str">
        <f t="shared" si="2325"/>
        <v/>
      </c>
      <c r="V5521" s="46">
        <f t="shared" si="2325"/>
        <v>38</v>
      </c>
      <c r="W5521" s="46" t="str">
        <f t="shared" si="2325"/>
        <v/>
      </c>
      <c r="X5521" s="46" t="str">
        <f t="shared" si="2325"/>
        <v/>
      </c>
    </row>
    <row r="5522" spans="2:26" x14ac:dyDescent="0.25">
      <c r="B5522" s="11" t="str">
        <f>CONCATENATE("ROCH","-",LEFT(P5522,2),UPPER(MID(P5522,4,3)),RIGHT(P5522,4))</f>
        <v>ROCH-21NOV1911</v>
      </c>
      <c r="C5522" s="11" t="s">
        <v>1307</v>
      </c>
      <c r="D5522" s="11" t="s">
        <v>1699</v>
      </c>
      <c r="E5522" s="39" t="s">
        <v>1273</v>
      </c>
      <c r="F5522" s="11" t="s">
        <v>1700</v>
      </c>
      <c r="G5522" s="39" t="s">
        <v>1310</v>
      </c>
      <c r="I5522" s="7">
        <v>0</v>
      </c>
      <c r="J5522" s="7">
        <v>75</v>
      </c>
      <c r="L5522" s="7">
        <f>SUM(H5522:K5522)</f>
        <v>75</v>
      </c>
      <c r="M5522" s="8">
        <v>1</v>
      </c>
      <c r="N5522" s="8">
        <f>IF(L5522&gt;0,1,"")</f>
        <v>1</v>
      </c>
      <c r="O5522" s="11" t="s">
        <v>1702</v>
      </c>
      <c r="P5522" s="16" t="str">
        <f>IF(LEN(G5522)=10,CONCATENATE("0",G5522),G5522)</f>
        <v>21-Nov-1911</v>
      </c>
      <c r="R5522" s="16" t="str">
        <f t="shared" si="2350"/>
        <v>x</v>
      </c>
      <c r="S5522" s="16" t="str">
        <f t="shared" si="2350"/>
        <v>x</v>
      </c>
      <c r="U5522" s="46" t="str">
        <f t="shared" si="2325"/>
        <v/>
      </c>
      <c r="V5522" s="46">
        <f t="shared" si="2325"/>
        <v>75</v>
      </c>
      <c r="W5522" s="46" t="str">
        <f t="shared" si="2325"/>
        <v/>
      </c>
      <c r="X5522" s="46" t="str">
        <f t="shared" si="2325"/>
        <v/>
      </c>
    </row>
    <row r="5523" spans="2:26" x14ac:dyDescent="0.25">
      <c r="B5523" s="11" t="str">
        <f>CONCATENATE("ROCH","-",LEFT(P5523,2),UPPER(MID(P5523,4,3)),RIGHT(P5523,4))</f>
        <v>ROCH-19DEC1911</v>
      </c>
      <c r="C5523" s="11" t="s">
        <v>1307</v>
      </c>
      <c r="D5523" s="11" t="s">
        <v>1699</v>
      </c>
      <c r="E5523" s="39" t="s">
        <v>1274</v>
      </c>
      <c r="F5523" s="11" t="s">
        <v>1700</v>
      </c>
      <c r="G5523" s="39" t="s">
        <v>1311</v>
      </c>
      <c r="I5523" s="7">
        <v>13</v>
      </c>
      <c r="J5523" s="7">
        <f>99+1</f>
        <v>100</v>
      </c>
      <c r="L5523" s="7">
        <f>SUM(H5523:K5523)</f>
        <v>113</v>
      </c>
      <c r="M5523" s="8">
        <v>1</v>
      </c>
      <c r="N5523" s="8">
        <f>IF(L5523&gt;0,1,"")</f>
        <v>1</v>
      </c>
      <c r="O5523" s="11" t="s">
        <v>1702</v>
      </c>
      <c r="P5523" s="16" t="str">
        <f>IF(LEN(G5523)=10,CONCATENATE("0",G5523),G5523)</f>
        <v>19-Dec-1911</v>
      </c>
      <c r="R5523" s="16" t="str">
        <f t="shared" si="2350"/>
        <v>x</v>
      </c>
      <c r="S5523" s="16" t="str">
        <f t="shared" si="2350"/>
        <v>x</v>
      </c>
      <c r="U5523" s="46" t="str">
        <f t="shared" si="2325"/>
        <v/>
      </c>
      <c r="V5523" s="46">
        <f t="shared" si="2325"/>
        <v>113</v>
      </c>
      <c r="W5523" s="46" t="str">
        <f t="shared" si="2325"/>
        <v/>
      </c>
      <c r="X5523" s="46" t="str">
        <f t="shared" si="2325"/>
        <v/>
      </c>
    </row>
    <row r="5524" spans="2:26" x14ac:dyDescent="0.25">
      <c r="B5524" s="11" t="str">
        <f>CONCATENATE("ROCH","-",LEFT(P5524,2),UPPER(MID(P5524,4,3)),RIGHT(P5524,4))</f>
        <v>ROCH-29JAN1912</v>
      </c>
      <c r="C5524" s="11" t="s">
        <v>1307</v>
      </c>
      <c r="D5524" s="11" t="s">
        <v>1699</v>
      </c>
      <c r="E5524" s="39" t="s">
        <v>1325</v>
      </c>
      <c r="F5524" s="11" t="s">
        <v>1700</v>
      </c>
      <c r="G5524" s="39" t="s">
        <v>1317</v>
      </c>
      <c r="I5524" s="7">
        <v>0</v>
      </c>
      <c r="J5524" s="7">
        <v>39</v>
      </c>
      <c r="L5524" s="7">
        <f>SUM(H5524:K5524)</f>
        <v>39</v>
      </c>
      <c r="M5524" s="8">
        <v>1</v>
      </c>
      <c r="N5524" s="8">
        <f>IF(L5524&gt;0,1,"")</f>
        <v>1</v>
      </c>
      <c r="O5524" s="11" t="s">
        <v>1702</v>
      </c>
      <c r="P5524" s="16" t="str">
        <f>IF(LEN(G5524)=10,CONCATENATE("0",G5524),G5524)</f>
        <v>29-Jan-1912</v>
      </c>
      <c r="R5524" s="16" t="str">
        <f t="shared" si="2350"/>
        <v>x</v>
      </c>
      <c r="S5524" s="16" t="str">
        <f t="shared" si="2350"/>
        <v>x</v>
      </c>
      <c r="U5524" s="46" t="str">
        <f t="shared" si="2325"/>
        <v/>
      </c>
      <c r="V5524" s="46">
        <f t="shared" si="2325"/>
        <v>39</v>
      </c>
      <c r="W5524" s="46" t="str">
        <f t="shared" si="2325"/>
        <v/>
      </c>
      <c r="X5524" s="46" t="str">
        <f t="shared" si="2325"/>
        <v/>
      </c>
    </row>
    <row r="5525" spans="2:26" x14ac:dyDescent="0.25">
      <c r="B5525" s="11" t="str">
        <f t="shared" ref="B5525:B5544" si="2351">CONCATENATE("ROCH","-",LEFT(P5525,2),UPPER(MID(P5525,4,3)),RIGHT(P5525,4))</f>
        <v>ROCH-26FEB1912</v>
      </c>
      <c r="C5525" s="11" t="s">
        <v>1307</v>
      </c>
      <c r="D5525" s="11" t="s">
        <v>1699</v>
      </c>
      <c r="E5525" s="39" t="s">
        <v>1893</v>
      </c>
      <c r="F5525" s="11" t="s">
        <v>1700</v>
      </c>
      <c r="G5525" s="39" t="s">
        <v>1318</v>
      </c>
      <c r="I5525" s="7">
        <v>0</v>
      </c>
      <c r="J5525" s="7">
        <v>10</v>
      </c>
      <c r="L5525" s="7">
        <f t="shared" ref="L5525:L5544" si="2352">SUM(H5525:K5525)</f>
        <v>10</v>
      </c>
      <c r="M5525" s="8">
        <v>1</v>
      </c>
      <c r="N5525" s="8">
        <f t="shared" ref="N5525:N5544" si="2353">IF(L5525&gt;0,1,"")</f>
        <v>1</v>
      </c>
      <c r="O5525" s="11" t="s">
        <v>1702</v>
      </c>
      <c r="P5525" s="16" t="str">
        <f t="shared" ref="P5525:P5544" si="2354">IF(LEN(G5525)=10,CONCATENATE("0",G5525),G5525)</f>
        <v>26-Feb-1912</v>
      </c>
      <c r="R5525" s="16" t="str">
        <f t="shared" si="2350"/>
        <v>x</v>
      </c>
      <c r="S5525" s="16" t="str">
        <f t="shared" si="2350"/>
        <v>x</v>
      </c>
      <c r="U5525" s="46" t="str">
        <f t="shared" si="2325"/>
        <v/>
      </c>
      <c r="V5525" s="46">
        <f t="shared" si="2325"/>
        <v>10</v>
      </c>
      <c r="W5525" s="46" t="str">
        <f t="shared" si="2325"/>
        <v/>
      </c>
      <c r="X5525" s="46" t="str">
        <f t="shared" si="2325"/>
        <v/>
      </c>
    </row>
    <row r="5526" spans="2:26" x14ac:dyDescent="0.25">
      <c r="B5526" s="11" t="str">
        <f t="shared" si="2351"/>
        <v>ROCH-27MAR1912</v>
      </c>
      <c r="C5526" s="11" t="s">
        <v>1307</v>
      </c>
      <c r="D5526" s="11" t="s">
        <v>1699</v>
      </c>
      <c r="E5526" s="39" t="s">
        <v>911</v>
      </c>
      <c r="F5526" s="11" t="s">
        <v>1700</v>
      </c>
      <c r="G5526" s="39" t="s">
        <v>907</v>
      </c>
      <c r="I5526" s="7">
        <v>1</v>
      </c>
      <c r="J5526" s="7">
        <v>0</v>
      </c>
      <c r="L5526" s="7">
        <f t="shared" si="2352"/>
        <v>1</v>
      </c>
      <c r="M5526" s="8">
        <v>1</v>
      </c>
      <c r="N5526" s="8">
        <f t="shared" si="2353"/>
        <v>1</v>
      </c>
      <c r="O5526" s="11" t="s">
        <v>1702</v>
      </c>
      <c r="P5526" s="16" t="str">
        <f t="shared" si="2354"/>
        <v>27-Mar-1912</v>
      </c>
      <c r="R5526" s="16" t="str">
        <f t="shared" si="2350"/>
        <v>x</v>
      </c>
      <c r="S5526" s="16" t="str">
        <f t="shared" si="2350"/>
        <v>x</v>
      </c>
      <c r="U5526" s="46" t="str">
        <f t="shared" si="2325"/>
        <v/>
      </c>
      <c r="V5526" s="46">
        <f t="shared" si="2325"/>
        <v>1</v>
      </c>
      <c r="W5526" s="46" t="str">
        <f t="shared" si="2325"/>
        <v/>
      </c>
      <c r="X5526" s="46" t="str">
        <f t="shared" si="2325"/>
        <v/>
      </c>
    </row>
    <row r="5527" spans="2:26" x14ac:dyDescent="0.25">
      <c r="B5527" s="11" t="str">
        <f t="shared" si="2351"/>
        <v>ROCH-23APR1912</v>
      </c>
      <c r="C5527" s="11" t="s">
        <v>1307</v>
      </c>
      <c r="D5527" s="11" t="s">
        <v>1699</v>
      </c>
      <c r="E5527" s="39" t="s">
        <v>1326</v>
      </c>
      <c r="F5527" s="11" t="s">
        <v>1700</v>
      </c>
      <c r="G5527" s="39" t="s">
        <v>1319</v>
      </c>
      <c r="I5527" s="7">
        <v>0</v>
      </c>
      <c r="J5527" s="7">
        <v>42</v>
      </c>
      <c r="L5527" s="7">
        <f t="shared" si="2352"/>
        <v>42</v>
      </c>
      <c r="M5527" s="8">
        <v>1</v>
      </c>
      <c r="N5527" s="8">
        <f t="shared" si="2353"/>
        <v>1</v>
      </c>
      <c r="O5527" s="11" t="s">
        <v>1702</v>
      </c>
      <c r="P5527" s="16" t="str">
        <f t="shared" si="2354"/>
        <v>23-Apr-1912</v>
      </c>
      <c r="R5527" s="16" t="str">
        <f t="shared" si="2350"/>
        <v>x</v>
      </c>
      <c r="S5527" s="16" t="str">
        <f t="shared" si="2350"/>
        <v>x</v>
      </c>
      <c r="U5527" s="46" t="str">
        <f t="shared" si="2325"/>
        <v/>
      </c>
      <c r="V5527" s="46">
        <f t="shared" si="2325"/>
        <v>42</v>
      </c>
      <c r="W5527" s="46" t="str">
        <f t="shared" si="2325"/>
        <v/>
      </c>
      <c r="X5527" s="46" t="str">
        <f t="shared" si="2325"/>
        <v/>
      </c>
    </row>
    <row r="5528" spans="2:26" x14ac:dyDescent="0.25">
      <c r="B5528" s="11" t="str">
        <f t="shared" si="2351"/>
        <v>ROCH-20MAY1912</v>
      </c>
      <c r="C5528" s="11" t="s">
        <v>1307</v>
      </c>
      <c r="D5528" s="11" t="s">
        <v>1699</v>
      </c>
      <c r="E5528" s="39" t="s">
        <v>1327</v>
      </c>
      <c r="F5528" s="11" t="s">
        <v>1700</v>
      </c>
      <c r="G5528" s="39" t="s">
        <v>1320</v>
      </c>
      <c r="I5528" s="7">
        <v>0</v>
      </c>
      <c r="J5528" s="7">
        <v>79</v>
      </c>
      <c r="L5528" s="7">
        <f t="shared" si="2352"/>
        <v>79</v>
      </c>
      <c r="M5528" s="8">
        <v>1</v>
      </c>
      <c r="N5528" s="8">
        <f t="shared" si="2353"/>
        <v>1</v>
      </c>
      <c r="O5528" s="11" t="s">
        <v>1702</v>
      </c>
      <c r="P5528" s="16" t="str">
        <f t="shared" si="2354"/>
        <v>20-May-1912</v>
      </c>
      <c r="R5528" s="16" t="str">
        <f t="shared" si="2350"/>
        <v>x</v>
      </c>
      <c r="S5528" s="16" t="str">
        <f t="shared" si="2350"/>
        <v>x</v>
      </c>
      <c r="U5528" s="46" t="str">
        <f t="shared" si="2325"/>
        <v/>
      </c>
      <c r="V5528" s="46">
        <f t="shared" si="2325"/>
        <v>79</v>
      </c>
      <c r="W5528" s="46" t="str">
        <f t="shared" si="2325"/>
        <v/>
      </c>
      <c r="X5528" s="46" t="str">
        <f t="shared" si="2325"/>
        <v/>
      </c>
    </row>
    <row r="5529" spans="2:26" x14ac:dyDescent="0.25">
      <c r="B5529" s="11" t="str">
        <f t="shared" si="2351"/>
        <v>ROCH-06AUG1912</v>
      </c>
      <c r="C5529" s="11" t="s">
        <v>1307</v>
      </c>
      <c r="D5529" s="11" t="s">
        <v>1699</v>
      </c>
      <c r="E5529" s="39" t="s">
        <v>1328</v>
      </c>
      <c r="F5529" s="11" t="s">
        <v>1700</v>
      </c>
      <c r="G5529" s="39" t="s">
        <v>1321</v>
      </c>
      <c r="I5529" s="7">
        <v>4</v>
      </c>
      <c r="J5529" s="7">
        <v>50</v>
      </c>
      <c r="L5529" s="7">
        <f t="shared" si="2352"/>
        <v>54</v>
      </c>
      <c r="M5529" s="8">
        <v>1</v>
      </c>
      <c r="N5529" s="8">
        <f t="shared" si="2353"/>
        <v>1</v>
      </c>
      <c r="O5529" s="11" t="s">
        <v>1702</v>
      </c>
      <c r="P5529" s="16" t="str">
        <f t="shared" si="2354"/>
        <v>06-Aug-1912</v>
      </c>
      <c r="R5529" s="16" t="str">
        <f t="shared" si="2350"/>
        <v>x</v>
      </c>
      <c r="S5529" s="16" t="str">
        <f t="shared" si="2350"/>
        <v>x</v>
      </c>
      <c r="U5529" s="46" t="str">
        <f t="shared" si="2325"/>
        <v/>
      </c>
      <c r="V5529" s="46">
        <f t="shared" si="2325"/>
        <v>54</v>
      </c>
      <c r="W5529" s="46" t="str">
        <f t="shared" si="2325"/>
        <v/>
      </c>
      <c r="X5529" s="46" t="str">
        <f t="shared" si="2325"/>
        <v/>
      </c>
    </row>
    <row r="5530" spans="2:26" x14ac:dyDescent="0.25">
      <c r="B5530" s="11" t="str">
        <f t="shared" si="2351"/>
        <v>ROCH-09SEP1912</v>
      </c>
      <c r="C5530" s="11" t="s">
        <v>1307</v>
      </c>
      <c r="D5530" s="11" t="s">
        <v>1699</v>
      </c>
      <c r="E5530" s="39" t="s">
        <v>1329</v>
      </c>
      <c r="F5530" s="11" t="s">
        <v>1700</v>
      </c>
      <c r="G5530" s="39" t="s">
        <v>1322</v>
      </c>
      <c r="I5530" s="7">
        <v>0</v>
      </c>
      <c r="J5530" s="7">
        <v>16</v>
      </c>
      <c r="L5530" s="7">
        <f t="shared" si="2352"/>
        <v>16</v>
      </c>
      <c r="M5530" s="8">
        <v>1</v>
      </c>
      <c r="N5530" s="8">
        <f t="shared" si="2353"/>
        <v>1</v>
      </c>
      <c r="O5530" s="11" t="s">
        <v>1702</v>
      </c>
      <c r="P5530" s="16" t="str">
        <f t="shared" si="2354"/>
        <v>09-Sep-1912</v>
      </c>
      <c r="R5530" s="16" t="str">
        <f t="shared" si="2350"/>
        <v>x</v>
      </c>
      <c r="S5530" s="16" t="str">
        <f t="shared" si="2350"/>
        <v>x</v>
      </c>
      <c r="U5530" s="46" t="str">
        <f t="shared" si="2325"/>
        <v/>
      </c>
      <c r="V5530" s="46">
        <f t="shared" si="2325"/>
        <v>16</v>
      </c>
      <c r="W5530" s="46" t="str">
        <f t="shared" si="2325"/>
        <v/>
      </c>
      <c r="X5530" s="46" t="str">
        <f t="shared" si="2325"/>
        <v/>
      </c>
    </row>
    <row r="5531" spans="2:26" x14ac:dyDescent="0.25">
      <c r="B5531" s="11" t="str">
        <f t="shared" si="2351"/>
        <v>ROCH-07OCT1912</v>
      </c>
      <c r="C5531" s="11" t="s">
        <v>1307</v>
      </c>
      <c r="D5531" s="11" t="s">
        <v>1699</v>
      </c>
      <c r="E5531" s="39" t="s">
        <v>1330</v>
      </c>
      <c r="F5531" s="11" t="s">
        <v>1700</v>
      </c>
      <c r="G5531" s="39" t="s">
        <v>1323</v>
      </c>
      <c r="I5531" s="7">
        <v>0</v>
      </c>
      <c r="J5531" s="7">
        <f>19+1</f>
        <v>20</v>
      </c>
      <c r="L5531" s="7">
        <f t="shared" si="2352"/>
        <v>20</v>
      </c>
      <c r="M5531" s="8">
        <v>1</v>
      </c>
      <c r="N5531" s="8">
        <f t="shared" si="2353"/>
        <v>1</v>
      </c>
      <c r="O5531" s="11" t="s">
        <v>1702</v>
      </c>
      <c r="P5531" s="16" t="str">
        <f t="shared" si="2354"/>
        <v>07-Oct-1912</v>
      </c>
      <c r="R5531" s="16" t="str">
        <f t="shared" si="2350"/>
        <v>x</v>
      </c>
      <c r="S5531" s="16" t="str">
        <f t="shared" si="2350"/>
        <v>x</v>
      </c>
      <c r="U5531" s="46" t="str">
        <f t="shared" si="2325"/>
        <v/>
      </c>
      <c r="V5531" s="46">
        <f t="shared" si="2325"/>
        <v>20</v>
      </c>
      <c r="W5531" s="46" t="str">
        <f t="shared" si="2325"/>
        <v/>
      </c>
      <c r="X5531" s="46" t="str">
        <f t="shared" si="2325"/>
        <v/>
      </c>
    </row>
    <row r="5532" spans="2:26" x14ac:dyDescent="0.25">
      <c r="B5532" s="11" t="str">
        <f t="shared" si="2351"/>
        <v>ROCH-04NOV1912</v>
      </c>
      <c r="C5532" s="11" t="s">
        <v>1307</v>
      </c>
      <c r="D5532" s="11" t="s">
        <v>1699</v>
      </c>
      <c r="E5532" s="39" t="s">
        <v>1283</v>
      </c>
      <c r="F5532" s="11" t="s">
        <v>1700</v>
      </c>
      <c r="G5532" s="39" t="s">
        <v>1324</v>
      </c>
      <c r="I5532" s="7">
        <v>5</v>
      </c>
      <c r="J5532" s="7">
        <v>67</v>
      </c>
      <c r="L5532" s="7">
        <f t="shared" si="2352"/>
        <v>72</v>
      </c>
      <c r="M5532" s="8">
        <v>1</v>
      </c>
      <c r="N5532" s="8">
        <f t="shared" si="2353"/>
        <v>1</v>
      </c>
      <c r="O5532" s="11" t="s">
        <v>1702</v>
      </c>
      <c r="P5532" s="16" t="str">
        <f t="shared" si="2354"/>
        <v>04-Nov-1912</v>
      </c>
      <c r="R5532" s="16" t="str">
        <f t="shared" si="2350"/>
        <v>x</v>
      </c>
      <c r="S5532" s="16" t="str">
        <f t="shared" si="2350"/>
        <v>x</v>
      </c>
      <c r="U5532" s="46" t="str">
        <f t="shared" si="2325"/>
        <v/>
      </c>
      <c r="V5532" s="46">
        <f t="shared" si="2325"/>
        <v>72</v>
      </c>
      <c r="W5532" s="46" t="str">
        <f t="shared" si="2325"/>
        <v/>
      </c>
      <c r="X5532" s="46" t="str">
        <f t="shared" si="2325"/>
        <v/>
      </c>
    </row>
    <row r="5533" spans="2:26" s="18" customFormat="1" x14ac:dyDescent="0.25">
      <c r="B5533" s="11" t="str">
        <f t="shared" si="2351"/>
        <v>ROCH-08JAN1913</v>
      </c>
      <c r="C5533" s="11" t="s">
        <v>1307</v>
      </c>
      <c r="D5533" s="11" t="s">
        <v>1699</v>
      </c>
      <c r="E5533" s="39" t="s">
        <v>1339</v>
      </c>
      <c r="F5533" s="11" t="s">
        <v>1700</v>
      </c>
      <c r="G5533" s="39" t="s">
        <v>1331</v>
      </c>
      <c r="H5533" s="7"/>
      <c r="I5533" s="7">
        <v>0</v>
      </c>
      <c r="J5533" s="7">
        <v>31</v>
      </c>
      <c r="K5533" s="7"/>
      <c r="L5533" s="7">
        <f t="shared" si="2352"/>
        <v>31</v>
      </c>
      <c r="M5533" s="8">
        <v>1</v>
      </c>
      <c r="N5533" s="8">
        <f t="shared" si="2353"/>
        <v>1</v>
      </c>
      <c r="O5533" s="11" t="s">
        <v>1702</v>
      </c>
      <c r="P5533" s="16" t="str">
        <f t="shared" si="2354"/>
        <v>08-Jan-1913</v>
      </c>
      <c r="Q5533" s="16"/>
      <c r="R5533" s="16" t="str">
        <f t="shared" si="2350"/>
        <v>x</v>
      </c>
      <c r="S5533" s="16" t="str">
        <f t="shared" si="2350"/>
        <v>x</v>
      </c>
      <c r="T5533" s="12"/>
      <c r="U5533" s="46" t="str">
        <f t="shared" si="2325"/>
        <v/>
      </c>
      <c r="V5533" s="46">
        <f t="shared" si="2325"/>
        <v>31</v>
      </c>
      <c r="W5533" s="46" t="str">
        <f t="shared" si="2325"/>
        <v/>
      </c>
      <c r="X5533" s="46" t="str">
        <f t="shared" si="2325"/>
        <v/>
      </c>
      <c r="Z5533" s="11"/>
    </row>
    <row r="5534" spans="2:26" s="18" customFormat="1" x14ac:dyDescent="0.25">
      <c r="B5534" s="11" t="str">
        <f t="shared" si="2351"/>
        <v>ROCH-04FEB1913</v>
      </c>
      <c r="C5534" s="11" t="s">
        <v>1307</v>
      </c>
      <c r="D5534" s="11" t="s">
        <v>1699</v>
      </c>
      <c r="E5534" s="39" t="s">
        <v>1919</v>
      </c>
      <c r="F5534" s="11" t="s">
        <v>1700</v>
      </c>
      <c r="G5534" s="39" t="s">
        <v>1672</v>
      </c>
      <c r="H5534" s="7"/>
      <c r="I5534" s="7">
        <v>0</v>
      </c>
      <c r="J5534" s="7">
        <v>23</v>
      </c>
      <c r="K5534" s="7"/>
      <c r="L5534" s="7">
        <f t="shared" si="2352"/>
        <v>23</v>
      </c>
      <c r="M5534" s="8">
        <v>1</v>
      </c>
      <c r="N5534" s="8">
        <f t="shared" si="2353"/>
        <v>1</v>
      </c>
      <c r="O5534" s="11" t="s">
        <v>1702</v>
      </c>
      <c r="P5534" s="16" t="str">
        <f t="shared" si="2354"/>
        <v>04-Feb-1913</v>
      </c>
      <c r="Q5534" s="16"/>
      <c r="R5534" s="16" t="str">
        <f t="shared" si="2350"/>
        <v>x</v>
      </c>
      <c r="S5534" s="16" t="str">
        <f t="shared" si="2350"/>
        <v>x</v>
      </c>
      <c r="T5534" s="12"/>
      <c r="U5534" s="46" t="str">
        <f t="shared" si="2325"/>
        <v/>
      </c>
      <c r="V5534" s="46">
        <f t="shared" si="2325"/>
        <v>23</v>
      </c>
      <c r="W5534" s="46" t="str">
        <f t="shared" si="2325"/>
        <v/>
      </c>
      <c r="X5534" s="46" t="str">
        <f t="shared" si="2325"/>
        <v/>
      </c>
      <c r="Z5534" s="11"/>
    </row>
    <row r="5535" spans="2:26" s="18" customFormat="1" x14ac:dyDescent="0.25">
      <c r="B5535" s="11" t="str">
        <f t="shared" si="2351"/>
        <v>ROCH-04MAR1913</v>
      </c>
      <c r="C5535" s="11" t="s">
        <v>1307</v>
      </c>
      <c r="D5535" s="11" t="s">
        <v>1699</v>
      </c>
      <c r="E5535" s="39" t="s">
        <v>1673</v>
      </c>
      <c r="F5535" s="11" t="s">
        <v>1700</v>
      </c>
      <c r="G5535" s="39" t="s">
        <v>1020</v>
      </c>
      <c r="H5535" s="7"/>
      <c r="I5535" s="7">
        <v>0</v>
      </c>
      <c r="J5535" s="7">
        <v>25</v>
      </c>
      <c r="K5535" s="7"/>
      <c r="L5535" s="7">
        <f t="shared" si="2352"/>
        <v>25</v>
      </c>
      <c r="M5535" s="8">
        <v>1</v>
      </c>
      <c r="N5535" s="8">
        <f t="shared" si="2353"/>
        <v>1</v>
      </c>
      <c r="O5535" s="11" t="s">
        <v>1702</v>
      </c>
      <c r="P5535" s="16" t="str">
        <f t="shared" si="2354"/>
        <v>04-Mar-1913</v>
      </c>
      <c r="Q5535" s="16"/>
      <c r="R5535" s="16" t="str">
        <f t="shared" si="2350"/>
        <v>x</v>
      </c>
      <c r="S5535" s="16" t="str">
        <f t="shared" si="2350"/>
        <v>x</v>
      </c>
      <c r="T5535" s="12"/>
      <c r="U5535" s="46" t="str">
        <f t="shared" si="2325"/>
        <v/>
      </c>
      <c r="V5535" s="46">
        <f t="shared" si="2325"/>
        <v>25</v>
      </c>
      <c r="W5535" s="46" t="str">
        <f t="shared" si="2325"/>
        <v/>
      </c>
      <c r="X5535" s="46" t="str">
        <f t="shared" si="2325"/>
        <v/>
      </c>
      <c r="Z5535" s="11"/>
    </row>
    <row r="5536" spans="2:26" x14ac:dyDescent="0.25">
      <c r="B5536" s="11" t="str">
        <f>CONCATENATE("ROCH","-",LEFT(P5536,2),UPPER(MID(P5536,4,3)),RIGHT(P5536,4))</f>
        <v>ROCH-02APR1913</v>
      </c>
      <c r="C5536" s="11" t="s">
        <v>1307</v>
      </c>
      <c r="D5536" s="11" t="s">
        <v>1699</v>
      </c>
      <c r="E5536" s="39" t="s">
        <v>1674</v>
      </c>
      <c r="F5536" s="11" t="s">
        <v>1700</v>
      </c>
      <c r="G5536" s="39" t="s">
        <v>1922</v>
      </c>
      <c r="I5536" s="7">
        <v>0</v>
      </c>
      <c r="J5536" s="7">
        <v>13</v>
      </c>
      <c r="L5536" s="7">
        <f>SUM(H5536:K5536)</f>
        <v>13</v>
      </c>
      <c r="M5536" s="8">
        <v>1</v>
      </c>
      <c r="N5536" s="8">
        <f>IF(L5536&gt;0,1,"")</f>
        <v>1</v>
      </c>
      <c r="O5536" s="11" t="s">
        <v>1702</v>
      </c>
      <c r="P5536" s="16" t="str">
        <f>IF(LEN(G5536)=10,CONCATENATE("0",G5536),G5536)</f>
        <v>02-Apr-1913</v>
      </c>
      <c r="R5536" s="16" t="str">
        <f t="shared" ref="R5536:S5551" si="2355">IF($L5536&gt;0,"x","")</f>
        <v>x</v>
      </c>
      <c r="S5536" s="16" t="str">
        <f t="shared" si="2355"/>
        <v>x</v>
      </c>
      <c r="U5536" s="46" t="str">
        <f t="shared" si="2325"/>
        <v/>
      </c>
      <c r="V5536" s="46">
        <f t="shared" si="2325"/>
        <v>13</v>
      </c>
      <c r="W5536" s="46" t="str">
        <f t="shared" si="2325"/>
        <v/>
      </c>
      <c r="X5536" s="46" t="str">
        <f t="shared" si="2325"/>
        <v/>
      </c>
    </row>
    <row r="5537" spans="2:26" x14ac:dyDescent="0.25">
      <c r="B5537" s="11" t="str">
        <f>CONCATENATE("ROCH","-",LEFT(P5537,2),UPPER(MID(P5537,4,3)),RIGHT(P5537,4))</f>
        <v>ROCH-28APR1913</v>
      </c>
      <c r="C5537" s="11" t="s">
        <v>1307</v>
      </c>
      <c r="D5537" s="11" t="s">
        <v>1699</v>
      </c>
      <c r="E5537" s="39" t="s">
        <v>1924</v>
      </c>
      <c r="F5537" s="11" t="s">
        <v>1700</v>
      </c>
      <c r="G5537" s="39" t="s">
        <v>1022</v>
      </c>
      <c r="I5537" s="7">
        <v>0</v>
      </c>
      <c r="J5537" s="7">
        <v>48</v>
      </c>
      <c r="L5537" s="7">
        <f>SUM(H5537:K5537)</f>
        <v>48</v>
      </c>
      <c r="M5537" s="8">
        <v>1</v>
      </c>
      <c r="N5537" s="8">
        <f>IF(L5537&gt;0,1,"")</f>
        <v>1</v>
      </c>
      <c r="O5537" s="11" t="s">
        <v>1702</v>
      </c>
      <c r="P5537" s="16" t="str">
        <f>IF(LEN(G5537)=10,CONCATENATE("0",G5537),G5537)</f>
        <v>28-Apr-1913</v>
      </c>
      <c r="R5537" s="16" t="str">
        <f t="shared" si="2355"/>
        <v>x</v>
      </c>
      <c r="S5537" s="16" t="str">
        <f t="shared" si="2355"/>
        <v>x</v>
      </c>
      <c r="U5537" s="46" t="str">
        <f t="shared" si="2325"/>
        <v/>
      </c>
      <c r="V5537" s="46">
        <f t="shared" si="2325"/>
        <v>48</v>
      </c>
      <c r="W5537" s="46" t="str">
        <f t="shared" si="2325"/>
        <v/>
      </c>
      <c r="X5537" s="46" t="str">
        <f t="shared" si="2325"/>
        <v/>
      </c>
    </row>
    <row r="5538" spans="2:26" s="18" customFormat="1" x14ac:dyDescent="0.25">
      <c r="B5538" s="11" t="str">
        <f>CONCATENATE("ROCH","-",LEFT(P5538,2),UPPER(MID(P5538,4,3)),RIGHT(P5538,4))</f>
        <v>ROCH-27MAY1913</v>
      </c>
      <c r="C5538" s="11" t="s">
        <v>1307</v>
      </c>
      <c r="D5538" s="11" t="s">
        <v>1699</v>
      </c>
      <c r="E5538" s="39" t="s">
        <v>1286</v>
      </c>
      <c r="F5538" s="11" t="s">
        <v>1700</v>
      </c>
      <c r="G5538" s="39" t="s">
        <v>1332</v>
      </c>
      <c r="H5538" s="7"/>
      <c r="I5538" s="7">
        <v>0</v>
      </c>
      <c r="J5538" s="7">
        <v>68</v>
      </c>
      <c r="K5538" s="7"/>
      <c r="L5538" s="7">
        <f>SUM(H5538:K5538)</f>
        <v>68</v>
      </c>
      <c r="M5538" s="8">
        <v>1</v>
      </c>
      <c r="N5538" s="8">
        <f>IF(L5538&gt;0,1,"")</f>
        <v>1</v>
      </c>
      <c r="O5538" s="11" t="s">
        <v>1702</v>
      </c>
      <c r="P5538" s="16" t="str">
        <f>IF(LEN(G5538)=10,CONCATENATE("0",G5538),G5538)</f>
        <v>27-May-1913</v>
      </c>
      <c r="Q5538" s="16"/>
      <c r="R5538" s="16" t="str">
        <f t="shared" si="2355"/>
        <v>x</v>
      </c>
      <c r="S5538" s="16" t="str">
        <f t="shared" si="2355"/>
        <v>x</v>
      </c>
      <c r="T5538" s="12"/>
      <c r="U5538" s="46" t="str">
        <f t="shared" si="2325"/>
        <v/>
      </c>
      <c r="V5538" s="46">
        <f t="shared" si="2325"/>
        <v>68</v>
      </c>
      <c r="W5538" s="46" t="str">
        <f t="shared" si="2325"/>
        <v/>
      </c>
      <c r="X5538" s="46" t="str">
        <f t="shared" si="2325"/>
        <v/>
      </c>
      <c r="Z5538" s="11"/>
    </row>
    <row r="5539" spans="2:26" s="18" customFormat="1" x14ac:dyDescent="0.25">
      <c r="B5539" s="11" t="str">
        <f>CONCATENATE("ROCH","-",LEFT(P5539,2),UPPER(MID(P5539,4,3)),RIGHT(P5539,4))</f>
        <v>ROCH-30JUN1913</v>
      </c>
      <c r="C5539" s="11" t="s">
        <v>1307</v>
      </c>
      <c r="D5539" s="11" t="s">
        <v>1699</v>
      </c>
      <c r="E5539" s="39" t="s">
        <v>1675</v>
      </c>
      <c r="F5539" s="11" t="s">
        <v>1700</v>
      </c>
      <c r="G5539" s="39" t="s">
        <v>1333</v>
      </c>
      <c r="H5539" s="7"/>
      <c r="I5539" s="7">
        <v>0</v>
      </c>
      <c r="J5539" s="7">
        <v>88</v>
      </c>
      <c r="K5539" s="7"/>
      <c r="L5539" s="7">
        <f>SUM(H5539:K5539)</f>
        <v>88</v>
      </c>
      <c r="M5539" s="8">
        <v>1</v>
      </c>
      <c r="N5539" s="8">
        <f>IF(L5539&gt;0,1,"")</f>
        <v>1</v>
      </c>
      <c r="O5539" s="11" t="s">
        <v>1702</v>
      </c>
      <c r="P5539" s="16" t="str">
        <f>IF(LEN(G5539)=10,CONCATENATE("0",G5539),G5539)</f>
        <v>30-Jun-1913</v>
      </c>
      <c r="Q5539" s="16"/>
      <c r="R5539" s="16" t="str">
        <f t="shared" si="2355"/>
        <v>x</v>
      </c>
      <c r="S5539" s="16" t="str">
        <f t="shared" si="2355"/>
        <v>x</v>
      </c>
      <c r="T5539" s="12"/>
      <c r="U5539" s="46" t="str">
        <f t="shared" si="2325"/>
        <v/>
      </c>
      <c r="V5539" s="46">
        <f t="shared" si="2325"/>
        <v>88</v>
      </c>
      <c r="W5539" s="46" t="str">
        <f t="shared" si="2325"/>
        <v/>
      </c>
      <c r="X5539" s="46" t="str">
        <f t="shared" si="2325"/>
        <v/>
      </c>
      <c r="Z5539" s="11"/>
    </row>
    <row r="5540" spans="2:26" s="18" customFormat="1" x14ac:dyDescent="0.25">
      <c r="B5540" s="11" t="str">
        <f>CONCATENATE("ROCH","-",LEFT(P5540,2),UPPER(MID(P5540,4,3)),RIGHT(P5540,4))</f>
        <v>ROCH-12AUG1913</v>
      </c>
      <c r="C5540" s="11" t="s">
        <v>1307</v>
      </c>
      <c r="D5540" s="11" t="s">
        <v>1699</v>
      </c>
      <c r="E5540" s="39" t="s">
        <v>1676</v>
      </c>
      <c r="F5540" s="11" t="s">
        <v>1700</v>
      </c>
      <c r="G5540" s="39" t="s">
        <v>1334</v>
      </c>
      <c r="H5540" s="7"/>
      <c r="I5540" s="7">
        <v>0</v>
      </c>
      <c r="J5540" s="7">
        <v>143</v>
      </c>
      <c r="K5540" s="7"/>
      <c r="L5540" s="7">
        <f>SUM(H5540:K5540)</f>
        <v>143</v>
      </c>
      <c r="M5540" s="8">
        <v>1</v>
      </c>
      <c r="N5540" s="8">
        <f>IF(L5540&gt;0,1,"")</f>
        <v>1</v>
      </c>
      <c r="O5540" s="11" t="s">
        <v>1702</v>
      </c>
      <c r="P5540" s="16" t="str">
        <f>IF(LEN(G5540)=10,CONCATENATE("0",G5540),G5540)</f>
        <v>12-Aug-1913</v>
      </c>
      <c r="Q5540" s="16"/>
      <c r="R5540" s="16" t="str">
        <f t="shared" si="2355"/>
        <v>x</v>
      </c>
      <c r="S5540" s="16" t="str">
        <f t="shared" si="2355"/>
        <v>x</v>
      </c>
      <c r="T5540" s="12"/>
      <c r="U5540" s="46" t="str">
        <f t="shared" si="2325"/>
        <v/>
      </c>
      <c r="V5540" s="46">
        <f t="shared" si="2325"/>
        <v>143</v>
      </c>
      <c r="W5540" s="46" t="str">
        <f t="shared" si="2325"/>
        <v/>
      </c>
      <c r="X5540" s="46" t="str">
        <f t="shared" si="2325"/>
        <v/>
      </c>
      <c r="Z5540" s="11"/>
    </row>
    <row r="5541" spans="2:26" x14ac:dyDescent="0.25">
      <c r="B5541" s="11" t="str">
        <f t="shared" si="2351"/>
        <v>ROCH-15SEP1913</v>
      </c>
      <c r="C5541" s="11" t="s">
        <v>1307</v>
      </c>
      <c r="D5541" s="11" t="s">
        <v>1699</v>
      </c>
      <c r="E5541" s="39" t="s">
        <v>1677</v>
      </c>
      <c r="F5541" s="11" t="s">
        <v>1700</v>
      </c>
      <c r="G5541" s="39" t="s">
        <v>1335</v>
      </c>
      <c r="I5541" s="7">
        <v>0</v>
      </c>
      <c r="J5541" s="7">
        <f>50+2</f>
        <v>52</v>
      </c>
      <c r="L5541" s="7">
        <f t="shared" si="2352"/>
        <v>52</v>
      </c>
      <c r="M5541" s="8">
        <v>1</v>
      </c>
      <c r="N5541" s="8">
        <f t="shared" si="2353"/>
        <v>1</v>
      </c>
      <c r="O5541" s="11" t="s">
        <v>1702</v>
      </c>
      <c r="P5541" s="16" t="str">
        <f t="shared" si="2354"/>
        <v>15-Sep-1913</v>
      </c>
      <c r="R5541" s="16" t="str">
        <f t="shared" si="2355"/>
        <v>x</v>
      </c>
      <c r="S5541" s="16" t="str">
        <f t="shared" si="2355"/>
        <v>x</v>
      </c>
      <c r="U5541" s="46" t="str">
        <f t="shared" si="2325"/>
        <v/>
      </c>
      <c r="V5541" s="46">
        <f t="shared" si="2325"/>
        <v>52</v>
      </c>
      <c r="W5541" s="46" t="str">
        <f t="shared" si="2325"/>
        <v/>
      </c>
      <c r="X5541" s="46" t="str">
        <f t="shared" si="2325"/>
        <v/>
      </c>
    </row>
    <row r="5542" spans="2:26" x14ac:dyDescent="0.25">
      <c r="B5542" s="11" t="str">
        <f t="shared" si="2351"/>
        <v>ROCH-14OCT1913</v>
      </c>
      <c r="C5542" s="11" t="s">
        <v>1307</v>
      </c>
      <c r="D5542" s="11" t="s">
        <v>1699</v>
      </c>
      <c r="E5542" s="39" t="s">
        <v>1678</v>
      </c>
      <c r="F5542" s="11" t="s">
        <v>1700</v>
      </c>
      <c r="G5542" s="39" t="s">
        <v>1336</v>
      </c>
      <c r="I5542" s="7">
        <v>0</v>
      </c>
      <c r="J5542" s="7">
        <v>69</v>
      </c>
      <c r="L5542" s="7">
        <f t="shared" si="2352"/>
        <v>69</v>
      </c>
      <c r="M5542" s="8">
        <v>1</v>
      </c>
      <c r="N5542" s="8">
        <f t="shared" si="2353"/>
        <v>1</v>
      </c>
      <c r="O5542" s="11" t="s">
        <v>1702</v>
      </c>
      <c r="P5542" s="16" t="str">
        <f t="shared" si="2354"/>
        <v>14-Oct-1913</v>
      </c>
      <c r="R5542" s="16" t="str">
        <f t="shared" si="2355"/>
        <v>x</v>
      </c>
      <c r="S5542" s="16" t="str">
        <f t="shared" si="2355"/>
        <v>x</v>
      </c>
      <c r="U5542" s="46" t="str">
        <f t="shared" si="2325"/>
        <v/>
      </c>
      <c r="V5542" s="46">
        <f t="shared" si="2325"/>
        <v>69</v>
      </c>
      <c r="W5542" s="46" t="str">
        <f t="shared" si="2325"/>
        <v/>
      </c>
      <c r="X5542" s="46" t="str">
        <f t="shared" si="2325"/>
        <v/>
      </c>
    </row>
    <row r="5543" spans="2:26" x14ac:dyDescent="0.25">
      <c r="B5543" s="11" t="str">
        <f t="shared" si="2351"/>
        <v>ROCH-12NOV1913</v>
      </c>
      <c r="C5543" s="11" t="s">
        <v>1307</v>
      </c>
      <c r="D5543" s="11" t="s">
        <v>1699</v>
      </c>
      <c r="E5543" s="39" t="s">
        <v>1679</v>
      </c>
      <c r="F5543" s="11" t="s">
        <v>1700</v>
      </c>
      <c r="G5543" s="39" t="s">
        <v>1337</v>
      </c>
      <c r="I5543" s="7">
        <v>1</v>
      </c>
      <c r="J5543" s="7">
        <v>165</v>
      </c>
      <c r="L5543" s="7">
        <f t="shared" si="2352"/>
        <v>166</v>
      </c>
      <c r="M5543" s="8">
        <v>1</v>
      </c>
      <c r="N5543" s="8">
        <f t="shared" si="2353"/>
        <v>1</v>
      </c>
      <c r="O5543" s="11" t="s">
        <v>1702</v>
      </c>
      <c r="P5543" s="16" t="str">
        <f t="shared" si="2354"/>
        <v>12-Nov-1913</v>
      </c>
      <c r="R5543" s="16" t="str">
        <f t="shared" si="2355"/>
        <v>x</v>
      </c>
      <c r="S5543" s="16" t="str">
        <f t="shared" si="2355"/>
        <v>x</v>
      </c>
      <c r="U5543" s="46" t="str">
        <f t="shared" si="2325"/>
        <v/>
      </c>
      <c r="V5543" s="46">
        <f t="shared" si="2325"/>
        <v>166</v>
      </c>
      <c r="W5543" s="46" t="str">
        <f t="shared" si="2325"/>
        <v/>
      </c>
      <c r="X5543" s="46" t="str">
        <f t="shared" si="2325"/>
        <v/>
      </c>
    </row>
    <row r="5544" spans="2:26" x14ac:dyDescent="0.25">
      <c r="B5544" s="11" t="str">
        <f t="shared" si="2351"/>
        <v>ROCH-09DEC1913</v>
      </c>
      <c r="C5544" s="11" t="s">
        <v>1307</v>
      </c>
      <c r="D5544" s="11" t="s">
        <v>1699</v>
      </c>
      <c r="E5544" s="39" t="s">
        <v>1682</v>
      </c>
      <c r="F5544" s="11" t="s">
        <v>1700</v>
      </c>
      <c r="G5544" s="39" t="s">
        <v>1338</v>
      </c>
      <c r="I5544" s="7">
        <v>0</v>
      </c>
      <c r="J5544" s="7">
        <v>99</v>
      </c>
      <c r="L5544" s="7">
        <f t="shared" si="2352"/>
        <v>99</v>
      </c>
      <c r="M5544" s="8">
        <v>1</v>
      </c>
      <c r="N5544" s="8">
        <f t="shared" si="2353"/>
        <v>1</v>
      </c>
      <c r="O5544" s="11" t="s">
        <v>1702</v>
      </c>
      <c r="P5544" s="16" t="str">
        <f t="shared" si="2354"/>
        <v>09-Dec-1913</v>
      </c>
      <c r="R5544" s="16" t="str">
        <f t="shared" si="2355"/>
        <v>x</v>
      </c>
      <c r="S5544" s="16" t="str">
        <f t="shared" si="2355"/>
        <v>x</v>
      </c>
      <c r="U5544" s="46" t="str">
        <f t="shared" si="2325"/>
        <v/>
      </c>
      <c r="V5544" s="46">
        <f t="shared" si="2325"/>
        <v>99</v>
      </c>
      <c r="W5544" s="46" t="str">
        <f t="shared" si="2325"/>
        <v/>
      </c>
      <c r="X5544" s="46" t="str">
        <f t="shared" si="2325"/>
        <v/>
      </c>
    </row>
    <row r="5545" spans="2:26" x14ac:dyDescent="0.25">
      <c r="B5545" s="11" t="str">
        <f>CONCATENATE("ROCH","-",LEFT(P5545,2),UPPER(MID(P5545,4,3)),RIGHT(P5545,4))</f>
        <v>ROCH-28JAN1914</v>
      </c>
      <c r="C5545" s="11" t="s">
        <v>1307</v>
      </c>
      <c r="D5545" s="11" t="s">
        <v>1699</v>
      </c>
      <c r="E5545" s="39" t="s">
        <v>1350</v>
      </c>
      <c r="F5545" s="11" t="s">
        <v>1700</v>
      </c>
      <c r="G5545" s="39" t="s">
        <v>1341</v>
      </c>
      <c r="I5545" s="7">
        <v>0</v>
      </c>
      <c r="J5545" s="7">
        <v>35</v>
      </c>
      <c r="L5545" s="7">
        <f>SUM(H5545:K5545)</f>
        <v>35</v>
      </c>
      <c r="M5545" s="8">
        <v>1</v>
      </c>
      <c r="N5545" s="8">
        <f>IF(L5545&gt;0,1,"")</f>
        <v>1</v>
      </c>
      <c r="O5545" s="11" t="s">
        <v>1702</v>
      </c>
      <c r="P5545" s="16" t="str">
        <f>IF(LEN(G5545)=10,CONCATENATE("0",G5545),G5545)</f>
        <v>28-Jan-1914</v>
      </c>
      <c r="R5545" s="16" t="str">
        <f t="shared" si="2355"/>
        <v>x</v>
      </c>
      <c r="S5545" s="16" t="str">
        <f t="shared" si="2355"/>
        <v>x</v>
      </c>
      <c r="U5545" s="46" t="str">
        <f t="shared" si="2325"/>
        <v/>
      </c>
      <c r="V5545" s="46">
        <f t="shared" si="2325"/>
        <v>35</v>
      </c>
      <c r="W5545" s="46" t="str">
        <f t="shared" si="2325"/>
        <v/>
      </c>
      <c r="X5545" s="46" t="str">
        <f t="shared" si="2325"/>
        <v/>
      </c>
    </row>
    <row r="5546" spans="2:26" x14ac:dyDescent="0.25">
      <c r="B5546" s="11" t="str">
        <f t="shared" ref="B5546:B5555" si="2356">CONCATENATE("ROCH","-",LEFT(P5546,2),UPPER(MID(P5546,4,3)),RIGHT(P5546,4))</f>
        <v>ROCH-25FEB1914</v>
      </c>
      <c r="C5546" s="11" t="s">
        <v>1307</v>
      </c>
      <c r="D5546" s="11" t="s">
        <v>1699</v>
      </c>
      <c r="E5546" s="39" t="s">
        <v>1351</v>
      </c>
      <c r="F5546" s="11" t="s">
        <v>1700</v>
      </c>
      <c r="G5546" s="39" t="s">
        <v>1342</v>
      </c>
      <c r="I5546" s="7">
        <v>0</v>
      </c>
      <c r="J5546" s="7">
        <v>2</v>
      </c>
      <c r="L5546" s="7">
        <f t="shared" ref="L5546:L5561" si="2357">SUM(H5546:K5546)</f>
        <v>2</v>
      </c>
      <c r="M5546" s="8">
        <v>1</v>
      </c>
      <c r="N5546" s="8">
        <f t="shared" ref="N5546:N5555" si="2358">IF(L5546&gt;0,1,"")</f>
        <v>1</v>
      </c>
      <c r="O5546" s="11" t="s">
        <v>1702</v>
      </c>
      <c r="P5546" s="16" t="str">
        <f t="shared" ref="P5546:P5555" si="2359">IF(LEN(G5546)=10,CONCATENATE("0",G5546),G5546)</f>
        <v>25-Feb-1914</v>
      </c>
      <c r="R5546" s="16" t="str">
        <f t="shared" si="2355"/>
        <v>x</v>
      </c>
      <c r="S5546" s="16" t="str">
        <f t="shared" si="2355"/>
        <v>x</v>
      </c>
      <c r="U5546" s="46" t="str">
        <f t="shared" si="2325"/>
        <v/>
      </c>
      <c r="V5546" s="46">
        <f t="shared" si="2325"/>
        <v>2</v>
      </c>
      <c r="W5546" s="46" t="str">
        <f t="shared" si="2325"/>
        <v/>
      </c>
      <c r="X5546" s="46" t="str">
        <f t="shared" si="2325"/>
        <v/>
      </c>
    </row>
    <row r="5547" spans="2:26" x14ac:dyDescent="0.25">
      <c r="B5547" s="11" t="str">
        <f t="shared" si="2356"/>
        <v>ROCH-24MAR1914</v>
      </c>
      <c r="C5547" s="11" t="s">
        <v>1307</v>
      </c>
      <c r="D5547" s="11" t="s">
        <v>1699</v>
      </c>
      <c r="E5547" s="39" t="s">
        <v>1030</v>
      </c>
      <c r="F5547" s="11" t="s">
        <v>1700</v>
      </c>
      <c r="G5547" s="39" t="s">
        <v>1343</v>
      </c>
      <c r="I5547" s="7">
        <v>0</v>
      </c>
      <c r="J5547" s="7">
        <v>2</v>
      </c>
      <c r="L5547" s="7">
        <f t="shared" si="2357"/>
        <v>2</v>
      </c>
      <c r="M5547" s="8">
        <v>1</v>
      </c>
      <c r="N5547" s="8">
        <f t="shared" si="2358"/>
        <v>1</v>
      </c>
      <c r="O5547" s="11" t="s">
        <v>1702</v>
      </c>
      <c r="P5547" s="16" t="str">
        <f t="shared" si="2359"/>
        <v>24-Mar-1914</v>
      </c>
      <c r="R5547" s="16" t="str">
        <f t="shared" si="2355"/>
        <v>x</v>
      </c>
      <c r="S5547" s="16" t="str">
        <f t="shared" si="2355"/>
        <v>x</v>
      </c>
      <c r="U5547" s="46" t="str">
        <f t="shared" si="2325"/>
        <v/>
      </c>
      <c r="V5547" s="46">
        <f t="shared" si="2325"/>
        <v>2</v>
      </c>
      <c r="W5547" s="46" t="str">
        <f t="shared" si="2325"/>
        <v/>
      </c>
      <c r="X5547" s="46" t="str">
        <f t="shared" si="2325"/>
        <v/>
      </c>
    </row>
    <row r="5548" spans="2:26" x14ac:dyDescent="0.25">
      <c r="B5548" s="11" t="str">
        <f t="shared" si="2356"/>
        <v>ROCH-18APR1914</v>
      </c>
      <c r="C5548" s="11" t="s">
        <v>1307</v>
      </c>
      <c r="D5548" s="11" t="s">
        <v>1699</v>
      </c>
      <c r="E5548" s="39" t="s">
        <v>1352</v>
      </c>
      <c r="F5548" s="11" t="s">
        <v>1700</v>
      </c>
      <c r="G5548" s="39" t="s">
        <v>1314</v>
      </c>
      <c r="I5548" s="7">
        <v>2</v>
      </c>
      <c r="J5548" s="7">
        <v>3</v>
      </c>
      <c r="L5548" s="7">
        <f t="shared" si="2357"/>
        <v>5</v>
      </c>
      <c r="M5548" s="8">
        <v>1</v>
      </c>
      <c r="N5548" s="8">
        <f t="shared" si="2358"/>
        <v>1</v>
      </c>
      <c r="O5548" s="11" t="s">
        <v>1702</v>
      </c>
      <c r="P5548" s="16" t="str">
        <f t="shared" si="2359"/>
        <v>18-Apr-1914</v>
      </c>
      <c r="R5548" s="16" t="str">
        <f t="shared" si="2355"/>
        <v>x</v>
      </c>
      <c r="S5548" s="16" t="str">
        <f t="shared" si="2355"/>
        <v>x</v>
      </c>
      <c r="U5548" s="46" t="str">
        <f t="shared" si="2325"/>
        <v/>
      </c>
      <c r="V5548" s="46">
        <f t="shared" si="2325"/>
        <v>5</v>
      </c>
      <c r="W5548" s="46" t="str">
        <f t="shared" si="2325"/>
        <v/>
      </c>
      <c r="X5548" s="46" t="str">
        <f t="shared" si="2325"/>
        <v/>
      </c>
    </row>
    <row r="5549" spans="2:26" x14ac:dyDescent="0.25">
      <c r="B5549" s="11" t="str">
        <f t="shared" si="2356"/>
        <v>ROCH-18MAY1914</v>
      </c>
      <c r="C5549" s="11" t="s">
        <v>1307</v>
      </c>
      <c r="D5549" s="11" t="s">
        <v>1699</v>
      </c>
      <c r="E5549" s="39" t="s">
        <v>1032</v>
      </c>
      <c r="F5549" s="11" t="s">
        <v>1700</v>
      </c>
      <c r="G5549" s="39" t="s">
        <v>1344</v>
      </c>
      <c r="I5549" s="7">
        <v>0</v>
      </c>
      <c r="J5549" s="7">
        <v>4</v>
      </c>
      <c r="L5549" s="7">
        <f t="shared" si="2357"/>
        <v>4</v>
      </c>
      <c r="M5549" s="8">
        <v>1</v>
      </c>
      <c r="N5549" s="8">
        <f t="shared" si="2358"/>
        <v>1</v>
      </c>
      <c r="O5549" s="11" t="s">
        <v>1702</v>
      </c>
      <c r="P5549" s="16" t="str">
        <f t="shared" si="2359"/>
        <v>18-May-1914</v>
      </c>
      <c r="R5549" s="16" t="str">
        <f t="shared" si="2355"/>
        <v>x</v>
      </c>
      <c r="S5549" s="16" t="str">
        <f t="shared" si="2355"/>
        <v>x</v>
      </c>
      <c r="U5549" s="46" t="str">
        <f t="shared" si="2325"/>
        <v/>
      </c>
      <c r="V5549" s="46">
        <f t="shared" si="2325"/>
        <v>4</v>
      </c>
      <c r="W5549" s="46" t="str">
        <f t="shared" si="2325"/>
        <v/>
      </c>
      <c r="X5549" s="46" t="str">
        <f t="shared" si="2325"/>
        <v/>
      </c>
    </row>
    <row r="5550" spans="2:26" x14ac:dyDescent="0.25">
      <c r="B5550" s="11" t="str">
        <f t="shared" si="2356"/>
        <v>ROCH-15JUN1914</v>
      </c>
      <c r="C5550" s="11" t="s">
        <v>1307</v>
      </c>
      <c r="D5550" s="11" t="s">
        <v>1699</v>
      </c>
      <c r="E5550" s="39" t="s">
        <v>1315</v>
      </c>
      <c r="F5550" s="11" t="s">
        <v>1700</v>
      </c>
      <c r="G5550" s="39" t="s">
        <v>1345</v>
      </c>
      <c r="I5550" s="7">
        <v>0</v>
      </c>
      <c r="J5550" s="7">
        <v>5</v>
      </c>
      <c r="L5550" s="7">
        <f t="shared" si="2357"/>
        <v>5</v>
      </c>
      <c r="M5550" s="8">
        <v>1</v>
      </c>
      <c r="N5550" s="8">
        <f t="shared" si="2358"/>
        <v>1</v>
      </c>
      <c r="O5550" s="11" t="s">
        <v>1702</v>
      </c>
      <c r="P5550" s="16" t="str">
        <f t="shared" si="2359"/>
        <v>15-Jun-1914</v>
      </c>
      <c r="R5550" s="16" t="str">
        <f t="shared" si="2355"/>
        <v>x</v>
      </c>
      <c r="S5550" s="16" t="str">
        <f t="shared" si="2355"/>
        <v>x</v>
      </c>
      <c r="U5550" s="46" t="str">
        <f t="shared" si="2325"/>
        <v/>
      </c>
      <c r="V5550" s="46">
        <f t="shared" si="2325"/>
        <v>5</v>
      </c>
      <c r="W5550" s="46" t="str">
        <f t="shared" si="2325"/>
        <v/>
      </c>
      <c r="X5550" s="46" t="str">
        <f>IF($O5550=X$5,$L5550,"")</f>
        <v/>
      </c>
    </row>
    <row r="5551" spans="2:26" x14ac:dyDescent="0.25">
      <c r="B5551" s="11" t="str">
        <f t="shared" si="2356"/>
        <v>ROCH-04AUG1914</v>
      </c>
      <c r="C5551" s="11" t="s">
        <v>1307</v>
      </c>
      <c r="D5551" s="11" t="s">
        <v>1699</v>
      </c>
      <c r="E5551" s="39" t="s">
        <v>1353</v>
      </c>
      <c r="F5551" s="11" t="s">
        <v>1700</v>
      </c>
      <c r="G5551" s="39" t="s">
        <v>1346</v>
      </c>
      <c r="I5551" s="7">
        <v>0</v>
      </c>
      <c r="J5551" s="7">
        <v>3</v>
      </c>
      <c r="L5551" s="7">
        <f t="shared" si="2357"/>
        <v>3</v>
      </c>
      <c r="M5551" s="8">
        <v>1</v>
      </c>
      <c r="N5551" s="8">
        <f t="shared" si="2358"/>
        <v>1</v>
      </c>
      <c r="O5551" s="11" t="s">
        <v>1702</v>
      </c>
      <c r="P5551" s="16" t="str">
        <f t="shared" si="2359"/>
        <v>04-Aug-1914</v>
      </c>
      <c r="R5551" s="16" t="str">
        <f t="shared" si="2355"/>
        <v>x</v>
      </c>
      <c r="S5551" s="16" t="str">
        <f t="shared" si="2355"/>
        <v>x</v>
      </c>
      <c r="U5551" s="46" t="str">
        <f t="shared" ref="U5551:X5674" si="2360">IF($O5551=U$5,$L5551,"")</f>
        <v/>
      </c>
      <c r="V5551" s="46">
        <f t="shared" si="2360"/>
        <v>3</v>
      </c>
      <c r="W5551" s="46" t="str">
        <f t="shared" si="2360"/>
        <v/>
      </c>
      <c r="X5551" s="46" t="str">
        <f t="shared" si="2360"/>
        <v/>
      </c>
    </row>
    <row r="5552" spans="2:26" x14ac:dyDescent="0.25">
      <c r="B5552" s="11" t="str">
        <f t="shared" si="2356"/>
        <v>ROCH-08SEP1914</v>
      </c>
      <c r="C5552" s="11" t="s">
        <v>1307</v>
      </c>
      <c r="D5552" s="11" t="s">
        <v>1699</v>
      </c>
      <c r="E5552" s="39" t="s">
        <v>1354</v>
      </c>
      <c r="F5552" s="11" t="s">
        <v>1700</v>
      </c>
      <c r="G5552" s="39" t="s">
        <v>1347</v>
      </c>
      <c r="I5552" s="7">
        <v>6</v>
      </c>
      <c r="J5552" s="7">
        <v>0</v>
      </c>
      <c r="L5552" s="7">
        <f t="shared" si="2357"/>
        <v>6</v>
      </c>
      <c r="M5552" s="8">
        <v>1</v>
      </c>
      <c r="N5552" s="8">
        <f t="shared" si="2358"/>
        <v>1</v>
      </c>
      <c r="O5552" s="11" t="s">
        <v>1702</v>
      </c>
      <c r="P5552" s="16" t="str">
        <f t="shared" si="2359"/>
        <v>08-Sep-1914</v>
      </c>
      <c r="R5552" s="16" t="str">
        <f t="shared" ref="R5552:S5575" si="2361">IF($L5552&gt;0,"x","")</f>
        <v>x</v>
      </c>
      <c r="S5552" s="16" t="str">
        <f t="shared" si="2361"/>
        <v>x</v>
      </c>
      <c r="U5552" s="46" t="str">
        <f t="shared" si="2360"/>
        <v/>
      </c>
      <c r="V5552" s="46">
        <f t="shared" si="2360"/>
        <v>6</v>
      </c>
      <c r="W5552" s="46" t="str">
        <f t="shared" si="2360"/>
        <v/>
      </c>
      <c r="X5552" s="46" t="str">
        <f t="shared" si="2360"/>
        <v/>
      </c>
    </row>
    <row r="5553" spans="2:26" s="18" customFormat="1" x14ac:dyDescent="0.25">
      <c r="B5553" s="11" t="str">
        <f t="shared" si="2356"/>
        <v>ROCH-13OCT1914</v>
      </c>
      <c r="C5553" s="11" t="s">
        <v>1307</v>
      </c>
      <c r="D5553" s="11" t="s">
        <v>1699</v>
      </c>
      <c r="E5553" s="39" t="s">
        <v>1355</v>
      </c>
      <c r="F5553" s="11" t="s">
        <v>1700</v>
      </c>
      <c r="G5553" s="39" t="s">
        <v>1348</v>
      </c>
      <c r="H5553" s="7"/>
      <c r="I5553" s="7">
        <v>0</v>
      </c>
      <c r="J5553" s="7">
        <v>0</v>
      </c>
      <c r="K5553" s="7"/>
      <c r="L5553" s="7">
        <f t="shared" si="2357"/>
        <v>0</v>
      </c>
      <c r="M5553" s="8">
        <v>1</v>
      </c>
      <c r="N5553" s="8" t="str">
        <f t="shared" si="2358"/>
        <v/>
      </c>
      <c r="O5553" s="11" t="s">
        <v>1702</v>
      </c>
      <c r="P5553" s="16" t="str">
        <f t="shared" si="2359"/>
        <v>13-Oct-1914</v>
      </c>
      <c r="Q5553" s="16"/>
      <c r="R5553" s="16" t="str">
        <f t="shared" si="2361"/>
        <v/>
      </c>
      <c r="S5553" s="16" t="str">
        <f t="shared" si="2361"/>
        <v/>
      </c>
      <c r="T5553" s="12"/>
      <c r="U5553" s="46" t="str">
        <f t="shared" si="2360"/>
        <v/>
      </c>
      <c r="V5553" s="46">
        <f t="shared" si="2360"/>
        <v>0</v>
      </c>
      <c r="W5553" s="46" t="str">
        <f t="shared" si="2360"/>
        <v/>
      </c>
      <c r="X5553" s="46" t="str">
        <f t="shared" si="2360"/>
        <v/>
      </c>
      <c r="Z5553" s="11"/>
    </row>
    <row r="5554" spans="2:26" s="18" customFormat="1" x14ac:dyDescent="0.25">
      <c r="B5554" s="11" t="str">
        <f t="shared" si="2356"/>
        <v>ROCH-09NOV1914</v>
      </c>
      <c r="C5554" s="11" t="s">
        <v>1307</v>
      </c>
      <c r="D5554" s="11" t="s">
        <v>1699</v>
      </c>
      <c r="E5554" s="39" t="s">
        <v>1356</v>
      </c>
      <c r="F5554" s="11" t="s">
        <v>1700</v>
      </c>
      <c r="G5554" s="39" t="s">
        <v>1349</v>
      </c>
      <c r="H5554" s="7"/>
      <c r="I5554" s="7">
        <v>3</v>
      </c>
      <c r="J5554" s="7">
        <v>7</v>
      </c>
      <c r="K5554" s="7"/>
      <c r="L5554" s="7">
        <f t="shared" si="2357"/>
        <v>10</v>
      </c>
      <c r="M5554" s="8">
        <v>1</v>
      </c>
      <c r="N5554" s="8">
        <f t="shared" si="2358"/>
        <v>1</v>
      </c>
      <c r="O5554" s="11" t="s">
        <v>1702</v>
      </c>
      <c r="P5554" s="16" t="str">
        <f t="shared" si="2359"/>
        <v>09-Nov-1914</v>
      </c>
      <c r="Q5554" s="16"/>
      <c r="R5554" s="16" t="str">
        <f t="shared" si="2361"/>
        <v>x</v>
      </c>
      <c r="S5554" s="16" t="str">
        <f t="shared" si="2361"/>
        <v>x</v>
      </c>
      <c r="T5554" s="12"/>
      <c r="U5554" s="46" t="str">
        <f t="shared" si="2360"/>
        <v/>
      </c>
      <c r="V5554" s="46">
        <f t="shared" si="2360"/>
        <v>10</v>
      </c>
      <c r="W5554" s="46" t="str">
        <f t="shared" si="2360"/>
        <v/>
      </c>
      <c r="X5554" s="46" t="str">
        <f t="shared" si="2360"/>
        <v/>
      </c>
      <c r="Z5554" s="11"/>
    </row>
    <row r="5555" spans="2:26" s="18" customFormat="1" x14ac:dyDescent="0.25">
      <c r="B5555" s="11" t="str">
        <f t="shared" si="2356"/>
        <v>ROCH-08DEC1914</v>
      </c>
      <c r="C5555" s="11" t="s">
        <v>1307</v>
      </c>
      <c r="D5555" s="11" t="s">
        <v>1699</v>
      </c>
      <c r="E5555" s="39" t="s">
        <v>1357</v>
      </c>
      <c r="F5555" s="11" t="s">
        <v>1700</v>
      </c>
      <c r="G5555" s="39" t="s">
        <v>1946</v>
      </c>
      <c r="H5555" s="7"/>
      <c r="I5555" s="7">
        <v>0</v>
      </c>
      <c r="J5555" s="7">
        <v>1</v>
      </c>
      <c r="K5555" s="7"/>
      <c r="L5555" s="7">
        <f t="shared" si="2357"/>
        <v>1</v>
      </c>
      <c r="M5555" s="8">
        <v>1</v>
      </c>
      <c r="N5555" s="8">
        <f t="shared" si="2358"/>
        <v>1</v>
      </c>
      <c r="O5555" s="11" t="s">
        <v>1702</v>
      </c>
      <c r="P5555" s="16" t="str">
        <f t="shared" si="2359"/>
        <v>08-Dec-1914</v>
      </c>
      <c r="Q5555" s="16"/>
      <c r="R5555" s="16" t="str">
        <f t="shared" si="2361"/>
        <v>x</v>
      </c>
      <c r="S5555" s="16" t="str">
        <f t="shared" si="2361"/>
        <v>x</v>
      </c>
      <c r="T5555" s="12"/>
      <c r="U5555" s="46" t="str">
        <f t="shared" si="2360"/>
        <v/>
      </c>
      <c r="V5555" s="46">
        <f t="shared" si="2360"/>
        <v>1</v>
      </c>
      <c r="W5555" s="46" t="str">
        <f t="shared" si="2360"/>
        <v/>
      </c>
      <c r="X5555" s="46" t="str">
        <f t="shared" si="2360"/>
        <v/>
      </c>
      <c r="Z5555" s="11"/>
    </row>
    <row r="5556" spans="2:26" s="18" customFormat="1" x14ac:dyDescent="0.25">
      <c r="B5556" s="11" t="str">
        <f t="shared" ref="B5556:B5561" si="2362">CONCATENATE("ROCH","-",LEFT(P5556,2),UPPER(MID(P5556,4,3)),RIGHT(P5556,4))</f>
        <v>ROCH-28AUG1917</v>
      </c>
      <c r="C5556" s="11" t="s">
        <v>1307</v>
      </c>
      <c r="D5556" s="11" t="s">
        <v>1956</v>
      </c>
      <c r="E5556" s="39" t="s">
        <v>3061</v>
      </c>
      <c r="F5556" s="11" t="s">
        <v>1700</v>
      </c>
      <c r="G5556" s="39" t="s">
        <v>3062</v>
      </c>
      <c r="H5556" s="7"/>
      <c r="I5556" s="7">
        <v>0</v>
      </c>
      <c r="J5556" s="7">
        <v>3</v>
      </c>
      <c r="K5556" s="7"/>
      <c r="L5556" s="7">
        <f t="shared" si="2357"/>
        <v>3</v>
      </c>
      <c r="M5556" s="8">
        <v>1</v>
      </c>
      <c r="N5556" s="8">
        <f t="shared" ref="N5556:N5561" si="2363">IF(L5556&gt;0,1,"")</f>
        <v>1</v>
      </c>
      <c r="O5556" s="11" t="s">
        <v>1702</v>
      </c>
      <c r="P5556" s="16" t="str">
        <f t="shared" ref="P5556:P5561" si="2364">IF(LEN(G5556)=10,CONCATENATE("0",G5556),G5556)</f>
        <v>28-Aug-1917</v>
      </c>
      <c r="Q5556" s="16"/>
      <c r="R5556" s="16" t="str">
        <f t="shared" si="2361"/>
        <v>x</v>
      </c>
      <c r="S5556" s="16" t="str">
        <f t="shared" si="2361"/>
        <v>x</v>
      </c>
      <c r="T5556" s="12"/>
      <c r="U5556" s="46" t="str">
        <f t="shared" si="2360"/>
        <v/>
      </c>
      <c r="V5556" s="46">
        <f t="shared" si="2360"/>
        <v>3</v>
      </c>
      <c r="W5556" s="46" t="str">
        <f t="shared" si="2360"/>
        <v/>
      </c>
      <c r="X5556" s="46" t="str">
        <f t="shared" si="2360"/>
        <v/>
      </c>
      <c r="Z5556" s="11"/>
    </row>
    <row r="5557" spans="2:26" s="18" customFormat="1" x14ac:dyDescent="0.25">
      <c r="B5557" s="11" t="str">
        <f t="shared" si="2362"/>
        <v>ROCH-12FEB1920</v>
      </c>
      <c r="C5557" s="11" t="s">
        <v>1307</v>
      </c>
      <c r="D5557" s="11" t="s">
        <v>1699</v>
      </c>
      <c r="E5557" s="39" t="s">
        <v>1137</v>
      </c>
      <c r="F5557" s="11" t="s">
        <v>1700</v>
      </c>
      <c r="G5557" s="39" t="s">
        <v>5093</v>
      </c>
      <c r="H5557" s="7">
        <v>0</v>
      </c>
      <c r="I5557" s="7"/>
      <c r="J5557" s="7">
        <v>21</v>
      </c>
      <c r="K5557" s="7"/>
      <c r="L5557" s="7">
        <f>SUM(H5557:K5557)</f>
        <v>21</v>
      </c>
      <c r="M5557" s="8">
        <v>1</v>
      </c>
      <c r="N5557" s="8">
        <f t="shared" si="2363"/>
        <v>1</v>
      </c>
      <c r="O5557" s="11" t="s">
        <v>1702</v>
      </c>
      <c r="P5557" s="16" t="str">
        <f t="shared" si="2364"/>
        <v>12-Feb-1920</v>
      </c>
      <c r="Q5557" s="16"/>
      <c r="R5557" s="16" t="str">
        <f t="shared" si="2361"/>
        <v>x</v>
      </c>
      <c r="S5557" s="16" t="str">
        <f t="shared" si="2361"/>
        <v>x</v>
      </c>
      <c r="T5557" s="12"/>
      <c r="U5557" s="46" t="str">
        <f>IF($O5557=U$5,$L5557,"")</f>
        <v/>
      </c>
      <c r="V5557" s="46">
        <f>IF($O5557=V$5,$L5557,"")</f>
        <v>21</v>
      </c>
      <c r="W5557" s="46" t="str">
        <f>IF($O5557=W$5,$L5557,"")</f>
        <v/>
      </c>
      <c r="X5557" s="46" t="str">
        <f>IF($O5557=X$5,$L5557,"")</f>
        <v/>
      </c>
      <c r="Z5557" s="11"/>
    </row>
    <row r="5558" spans="2:26" s="18" customFormat="1" x14ac:dyDescent="0.25">
      <c r="B5558" s="11" t="str">
        <f t="shared" si="2362"/>
        <v>ROCH-17APR1920</v>
      </c>
      <c r="C5558" s="11" t="s">
        <v>1307</v>
      </c>
      <c r="D5558" s="11" t="s">
        <v>1699</v>
      </c>
      <c r="E5558" s="39" t="s">
        <v>4489</v>
      </c>
      <c r="F5558" s="11" t="s">
        <v>1700</v>
      </c>
      <c r="G5558" s="39" t="s">
        <v>2421</v>
      </c>
      <c r="H5558" s="7"/>
      <c r="I5558" s="7">
        <v>0</v>
      </c>
      <c r="J5558" s="7">
        <v>35</v>
      </c>
      <c r="K5558" s="7"/>
      <c r="L5558" s="7">
        <f t="shared" si="2357"/>
        <v>35</v>
      </c>
      <c r="M5558" s="8">
        <v>1</v>
      </c>
      <c r="N5558" s="8">
        <f t="shared" si="2363"/>
        <v>1</v>
      </c>
      <c r="O5558" s="11" t="s">
        <v>1702</v>
      </c>
      <c r="P5558" s="16" t="str">
        <f t="shared" si="2364"/>
        <v>17-Apr-1920</v>
      </c>
      <c r="Q5558" s="16"/>
      <c r="R5558" s="16" t="str">
        <f t="shared" si="2361"/>
        <v>x</v>
      </c>
      <c r="S5558" s="16" t="str">
        <f t="shared" si="2361"/>
        <v>x</v>
      </c>
      <c r="T5558" s="12"/>
      <c r="U5558" s="46" t="str">
        <f t="shared" si="2360"/>
        <v/>
      </c>
      <c r="V5558" s="46">
        <f t="shared" si="2360"/>
        <v>35</v>
      </c>
      <c r="W5558" s="46" t="str">
        <f t="shared" si="2360"/>
        <v/>
      </c>
      <c r="X5558" s="46" t="str">
        <f t="shared" si="2360"/>
        <v/>
      </c>
      <c r="Z5558" s="11"/>
    </row>
    <row r="5559" spans="2:26" s="18" customFormat="1" x14ac:dyDescent="0.25">
      <c r="B5559" s="11" t="str">
        <f t="shared" si="2362"/>
        <v>ROCH-08JUN1920</v>
      </c>
      <c r="C5559" s="11" t="s">
        <v>1307</v>
      </c>
      <c r="D5559" s="11" t="s">
        <v>1699</v>
      </c>
      <c r="E5559" s="39" t="s">
        <v>2033</v>
      </c>
      <c r="F5559" s="11" t="s">
        <v>1700</v>
      </c>
      <c r="G5559" s="39" t="s">
        <v>2034</v>
      </c>
      <c r="H5559" s="7"/>
      <c r="I5559" s="7">
        <f>1+2</f>
        <v>3</v>
      </c>
      <c r="J5559" s="7">
        <v>72</v>
      </c>
      <c r="K5559" s="7"/>
      <c r="L5559" s="7">
        <f>SUM(H5559:K5559)</f>
        <v>75</v>
      </c>
      <c r="M5559" s="8">
        <v>1</v>
      </c>
      <c r="N5559" s="8">
        <f t="shared" si="2363"/>
        <v>1</v>
      </c>
      <c r="O5559" s="11" t="s">
        <v>1702</v>
      </c>
      <c r="P5559" s="16" t="str">
        <f t="shared" si="2364"/>
        <v>08-Jun-1920</v>
      </c>
      <c r="Q5559" s="16"/>
      <c r="R5559" s="16" t="str">
        <f t="shared" si="2361"/>
        <v>x</v>
      </c>
      <c r="S5559" s="16" t="str">
        <f t="shared" si="2361"/>
        <v>x</v>
      </c>
      <c r="T5559" s="12"/>
      <c r="U5559" s="46" t="str">
        <f t="shared" ref="U5559:X5561" si="2365">IF($O5559=U$5,$L5559,"")</f>
        <v/>
      </c>
      <c r="V5559" s="46">
        <f t="shared" si="2365"/>
        <v>75</v>
      </c>
      <c r="W5559" s="46" t="str">
        <f t="shared" si="2365"/>
        <v/>
      </c>
      <c r="X5559" s="46" t="str">
        <f t="shared" si="2365"/>
        <v/>
      </c>
      <c r="Z5559" s="11"/>
    </row>
    <row r="5560" spans="2:26" s="18" customFormat="1" x14ac:dyDescent="0.25">
      <c r="B5560" s="11" t="str">
        <f t="shared" si="2362"/>
        <v>ROCH-12JUL1920</v>
      </c>
      <c r="C5560" s="11" t="s">
        <v>1307</v>
      </c>
      <c r="D5560" s="11" t="s">
        <v>1699</v>
      </c>
      <c r="E5560" s="39" t="s">
        <v>4941</v>
      </c>
      <c r="F5560" s="11" t="s">
        <v>1700</v>
      </c>
      <c r="G5560" s="39" t="s">
        <v>4942</v>
      </c>
      <c r="H5560" s="7"/>
      <c r="I5560" s="7">
        <v>1</v>
      </c>
      <c r="J5560" s="7">
        <v>42</v>
      </c>
      <c r="K5560" s="7"/>
      <c r="L5560" s="7">
        <f>SUM(H5560:K5560)</f>
        <v>43</v>
      </c>
      <c r="M5560" s="8">
        <v>1</v>
      </c>
      <c r="N5560" s="8">
        <f t="shared" si="2363"/>
        <v>1</v>
      </c>
      <c r="O5560" s="11" t="s">
        <v>1702</v>
      </c>
      <c r="P5560" s="16" t="str">
        <f t="shared" si="2364"/>
        <v>12-Jul-1920</v>
      </c>
      <c r="Q5560" s="16"/>
      <c r="R5560" s="16" t="str">
        <f>IF($L5560&gt;0,"x","")</f>
        <v>x</v>
      </c>
      <c r="S5560" s="16" t="str">
        <f>IF($L5560&gt;0,"x","")</f>
        <v>x</v>
      </c>
      <c r="T5560" s="12"/>
      <c r="U5560" s="46" t="str">
        <f t="shared" si="2365"/>
        <v/>
      </c>
      <c r="V5560" s="46">
        <f t="shared" si="2365"/>
        <v>43</v>
      </c>
      <c r="W5560" s="46" t="str">
        <f t="shared" si="2365"/>
        <v/>
      </c>
      <c r="X5560" s="46" t="str">
        <f t="shared" si="2365"/>
        <v/>
      </c>
      <c r="Z5560" s="11"/>
    </row>
    <row r="5561" spans="2:26" s="18" customFormat="1" x14ac:dyDescent="0.25">
      <c r="B5561" s="11" t="str">
        <f t="shared" si="2362"/>
        <v>ROCH-13AUG1920</v>
      </c>
      <c r="C5561" s="11" t="s">
        <v>1307</v>
      </c>
      <c r="D5561" s="11" t="s">
        <v>1699</v>
      </c>
      <c r="E5561" s="39" t="s">
        <v>4586</v>
      </c>
      <c r="F5561" s="11" t="s">
        <v>1700</v>
      </c>
      <c r="G5561" s="39" t="s">
        <v>4587</v>
      </c>
      <c r="H5561" s="7"/>
      <c r="I5561" s="7">
        <v>11</v>
      </c>
      <c r="J5561" s="7">
        <v>74</v>
      </c>
      <c r="K5561" s="7"/>
      <c r="L5561" s="7">
        <f t="shared" si="2357"/>
        <v>85</v>
      </c>
      <c r="M5561" s="8">
        <v>1</v>
      </c>
      <c r="N5561" s="8">
        <f t="shared" si="2363"/>
        <v>1</v>
      </c>
      <c r="O5561" s="11" t="s">
        <v>1702</v>
      </c>
      <c r="P5561" s="16" t="str">
        <f t="shared" si="2364"/>
        <v>13-Aug-1920</v>
      </c>
      <c r="Q5561" s="16"/>
      <c r="R5561" s="16" t="str">
        <f t="shared" si="2361"/>
        <v>x</v>
      </c>
      <c r="S5561" s="16" t="str">
        <f t="shared" si="2361"/>
        <v>x</v>
      </c>
      <c r="T5561" s="12"/>
      <c r="U5561" s="46" t="str">
        <f t="shared" si="2365"/>
        <v/>
      </c>
      <c r="V5561" s="46">
        <f t="shared" si="2365"/>
        <v>85</v>
      </c>
      <c r="W5561" s="46" t="str">
        <f t="shared" si="2365"/>
        <v/>
      </c>
      <c r="X5561" s="46" t="str">
        <f t="shared" si="2365"/>
        <v/>
      </c>
      <c r="Z5561" s="11"/>
    </row>
    <row r="5562" spans="2:26" s="18" customFormat="1" x14ac:dyDescent="0.25">
      <c r="B5562" s="11" t="str">
        <f t="shared" ref="B5562:B5571" si="2366">CONCATENATE("ROCH","-",LEFT(P5562,2),UPPER(MID(P5562,4,3)),RIGHT(P5562,4))</f>
        <v>ROCH-17SEP1920</v>
      </c>
      <c r="C5562" s="11" t="s">
        <v>1307</v>
      </c>
      <c r="D5562" s="11" t="s">
        <v>1699</v>
      </c>
      <c r="E5562" s="39" t="s">
        <v>2572</v>
      </c>
      <c r="F5562" s="11" t="s">
        <v>1700</v>
      </c>
      <c r="G5562" s="39" t="s">
        <v>4005</v>
      </c>
      <c r="H5562" s="7"/>
      <c r="I5562" s="7">
        <v>0</v>
      </c>
      <c r="J5562" s="7">
        <f>98+1</f>
        <v>99</v>
      </c>
      <c r="K5562" s="7"/>
      <c r="L5562" s="7">
        <f t="shared" ref="L5562:L5575" si="2367">SUM(H5562:K5562)</f>
        <v>99</v>
      </c>
      <c r="M5562" s="8">
        <v>1</v>
      </c>
      <c r="N5562" s="8">
        <f t="shared" ref="N5562:N5571" si="2368">IF(L5562&gt;0,1,"")</f>
        <v>1</v>
      </c>
      <c r="O5562" s="11" t="s">
        <v>1702</v>
      </c>
      <c r="P5562" s="16" t="str">
        <f t="shared" ref="P5562:P5571" si="2369">IF(LEN(G5562)=10,CONCATENATE("0",G5562),G5562)</f>
        <v>17-Sep-1920</v>
      </c>
      <c r="Q5562" s="16"/>
      <c r="R5562" s="16" t="str">
        <f t="shared" si="2361"/>
        <v>x</v>
      </c>
      <c r="S5562" s="16" t="str">
        <f t="shared" si="2361"/>
        <v>x</v>
      </c>
      <c r="T5562" s="12"/>
      <c r="U5562" s="46" t="str">
        <f t="shared" si="2360"/>
        <v/>
      </c>
      <c r="V5562" s="46">
        <f t="shared" si="2360"/>
        <v>99</v>
      </c>
      <c r="W5562" s="46" t="str">
        <f t="shared" si="2360"/>
        <v/>
      </c>
      <c r="X5562" s="46" t="str">
        <f t="shared" si="2360"/>
        <v/>
      </c>
      <c r="Z5562" s="11"/>
    </row>
    <row r="5563" spans="2:26" s="18" customFormat="1" x14ac:dyDescent="0.25">
      <c r="B5563" s="11" t="str">
        <f t="shared" si="2366"/>
        <v>ROCH-23OCT1920</v>
      </c>
      <c r="C5563" s="11" t="s">
        <v>1307</v>
      </c>
      <c r="D5563" s="11" t="s">
        <v>1699</v>
      </c>
      <c r="E5563" s="39" t="s">
        <v>4655</v>
      </c>
      <c r="F5563" s="11" t="s">
        <v>1700</v>
      </c>
      <c r="G5563" s="39" t="s">
        <v>3266</v>
      </c>
      <c r="H5563" s="7"/>
      <c r="I5563" s="7">
        <v>1</v>
      </c>
      <c r="J5563" s="7">
        <v>113</v>
      </c>
      <c r="K5563" s="7"/>
      <c r="L5563" s="7">
        <f t="shared" si="2367"/>
        <v>114</v>
      </c>
      <c r="M5563" s="8">
        <v>1</v>
      </c>
      <c r="N5563" s="8">
        <f t="shared" si="2368"/>
        <v>1</v>
      </c>
      <c r="O5563" s="11" t="s">
        <v>1702</v>
      </c>
      <c r="P5563" s="16" t="str">
        <f t="shared" si="2369"/>
        <v>23-Oct-1920</v>
      </c>
      <c r="Q5563" s="16"/>
      <c r="R5563" s="16" t="str">
        <f t="shared" si="2361"/>
        <v>x</v>
      </c>
      <c r="S5563" s="16" t="str">
        <f t="shared" si="2361"/>
        <v>x</v>
      </c>
      <c r="T5563" s="12"/>
      <c r="U5563" s="46" t="str">
        <f>IF($O5563=U$5,$L5563,"")</f>
        <v/>
      </c>
      <c r="V5563" s="46">
        <f>IF($O5563=V$5,$L5563,"")</f>
        <v>114</v>
      </c>
      <c r="W5563" s="46" t="str">
        <f>IF($O5563=W$5,$L5563,"")</f>
        <v/>
      </c>
      <c r="X5563" s="46" t="str">
        <f>IF($O5563=X$5,$L5563,"")</f>
        <v/>
      </c>
      <c r="Z5563" s="11"/>
    </row>
    <row r="5564" spans="2:26" s="18" customFormat="1" x14ac:dyDescent="0.25">
      <c r="B5564" s="11" t="str">
        <f t="shared" si="2366"/>
        <v>ROCH-27NOV1920</v>
      </c>
      <c r="C5564" s="11" t="s">
        <v>1307</v>
      </c>
      <c r="D5564" s="11" t="s">
        <v>1699</v>
      </c>
      <c r="E5564" s="39" t="s">
        <v>2955</v>
      </c>
      <c r="F5564" s="11" t="s">
        <v>1700</v>
      </c>
      <c r="G5564" s="39" t="s">
        <v>3047</v>
      </c>
      <c r="H5564" s="7"/>
      <c r="I5564" s="7">
        <v>0</v>
      </c>
      <c r="J5564" s="7">
        <f>76+1</f>
        <v>77</v>
      </c>
      <c r="K5564" s="7"/>
      <c r="L5564" s="7">
        <f t="shared" si="2367"/>
        <v>77</v>
      </c>
      <c r="M5564" s="8">
        <v>1</v>
      </c>
      <c r="N5564" s="8">
        <f t="shared" si="2368"/>
        <v>1</v>
      </c>
      <c r="O5564" s="11" t="s">
        <v>1702</v>
      </c>
      <c r="P5564" s="16" t="str">
        <f t="shared" si="2369"/>
        <v>27-Nov-1920</v>
      </c>
      <c r="Q5564" s="16"/>
      <c r="R5564" s="16" t="str">
        <f t="shared" si="2361"/>
        <v>x</v>
      </c>
      <c r="S5564" s="16" t="str">
        <f t="shared" si="2361"/>
        <v>x</v>
      </c>
      <c r="T5564" s="12"/>
      <c r="U5564" s="46" t="str">
        <f t="shared" si="2360"/>
        <v/>
      </c>
      <c r="V5564" s="46">
        <f t="shared" si="2360"/>
        <v>77</v>
      </c>
      <c r="W5564" s="46" t="str">
        <f t="shared" si="2360"/>
        <v/>
      </c>
      <c r="X5564" s="46" t="str">
        <f t="shared" si="2360"/>
        <v/>
      </c>
      <c r="Z5564" s="11"/>
    </row>
    <row r="5565" spans="2:26" s="18" customFormat="1" x14ac:dyDescent="0.25">
      <c r="B5565" s="11" t="str">
        <f>CONCATENATE("ROCH","-",LEFT(P5565,2),UPPER(MID(P5565,4,3)),RIGHT(P5565,4))</f>
        <v>ROCH-02JAN1921</v>
      </c>
      <c r="C5565" s="11" t="s">
        <v>1307</v>
      </c>
      <c r="D5565" s="11" t="s">
        <v>1699</v>
      </c>
      <c r="E5565" s="39" t="s">
        <v>5745</v>
      </c>
      <c r="F5565" s="11" t="s">
        <v>1700</v>
      </c>
      <c r="G5565" s="39" t="s">
        <v>5746</v>
      </c>
      <c r="H5565" s="7"/>
      <c r="I5565" s="7">
        <v>2</v>
      </c>
      <c r="J5565" s="7">
        <v>58</v>
      </c>
      <c r="K5565" s="7"/>
      <c r="L5565" s="7">
        <f>SUM(H5565:K5565)</f>
        <v>60</v>
      </c>
      <c r="M5565" s="8">
        <v>1</v>
      </c>
      <c r="N5565" s="8">
        <f>IF(L5565&gt;0,1,"")</f>
        <v>1</v>
      </c>
      <c r="O5565" s="11" t="s">
        <v>1702</v>
      </c>
      <c r="P5565" s="16" t="str">
        <f>IF(LEN(G5565)=10,CONCATENATE("0",G5565),G5565)</f>
        <v>02-Jan-1921</v>
      </c>
      <c r="Q5565" s="16"/>
      <c r="R5565" s="16" t="str">
        <f>IF($L5565&gt;0,"x","")</f>
        <v>x</v>
      </c>
      <c r="S5565" s="16" t="str">
        <f>IF($L5565&gt;0,"x","")</f>
        <v>x</v>
      </c>
      <c r="T5565" s="12"/>
      <c r="U5565" s="46" t="str">
        <f>IF($O5565=U$5,$L5565,"")</f>
        <v/>
      </c>
      <c r="V5565" s="46">
        <f>IF($O5565=V$5,$L5565,"")</f>
        <v>60</v>
      </c>
      <c r="W5565" s="46" t="str">
        <f>IF($O5565=W$5,$L5565,"")</f>
        <v/>
      </c>
      <c r="X5565" s="46" t="str">
        <f>IF($O5565=X$5,$L5565,"")</f>
        <v/>
      </c>
      <c r="Z5565" s="11"/>
    </row>
    <row r="5566" spans="2:26" s="18" customFormat="1" x14ac:dyDescent="0.25">
      <c r="B5566" s="11" t="str">
        <f t="shared" si="2366"/>
        <v>ROCH-02MAR1921</v>
      </c>
      <c r="C5566" s="11" t="s">
        <v>1307</v>
      </c>
      <c r="D5566" s="11" t="s">
        <v>1699</v>
      </c>
      <c r="E5566" s="39" t="s">
        <v>4170</v>
      </c>
      <c r="F5566" s="11" t="s">
        <v>3039</v>
      </c>
      <c r="G5566" s="39" t="s">
        <v>4171</v>
      </c>
      <c r="H5566" s="7"/>
      <c r="I5566" s="7">
        <f>0+1</f>
        <v>1</v>
      </c>
      <c r="J5566" s="7">
        <f>15+4</f>
        <v>19</v>
      </c>
      <c r="K5566" s="7"/>
      <c r="L5566" s="7">
        <f t="shared" si="2367"/>
        <v>20</v>
      </c>
      <c r="M5566" s="8">
        <v>1</v>
      </c>
      <c r="N5566" s="8">
        <f t="shared" si="2368"/>
        <v>1</v>
      </c>
      <c r="O5566" s="11" t="s">
        <v>1702</v>
      </c>
      <c r="P5566" s="16" t="str">
        <f t="shared" si="2369"/>
        <v>02-Mar-1921</v>
      </c>
      <c r="Q5566" s="16"/>
      <c r="R5566" s="16" t="str">
        <f t="shared" si="2361"/>
        <v>x</v>
      </c>
      <c r="S5566" s="16" t="str">
        <f t="shared" si="2361"/>
        <v>x</v>
      </c>
      <c r="T5566" s="12"/>
      <c r="U5566" s="46" t="str">
        <f t="shared" si="2360"/>
        <v/>
      </c>
      <c r="V5566" s="46">
        <f t="shared" si="2360"/>
        <v>20</v>
      </c>
      <c r="W5566" s="46" t="str">
        <f t="shared" si="2360"/>
        <v/>
      </c>
      <c r="X5566" s="46" t="str">
        <f t="shared" si="2360"/>
        <v/>
      </c>
      <c r="Z5566" s="11"/>
    </row>
    <row r="5567" spans="2:26" s="18" customFormat="1" x14ac:dyDescent="0.25">
      <c r="B5567" s="11" t="str">
        <f>CONCATENATE("ROCH","-",LEFT(P5567,2),UPPER(MID(P5567,4,3)),RIGHT(P5567,4))</f>
        <v>ROCH-06APR1921</v>
      </c>
      <c r="C5567" s="11" t="s">
        <v>1307</v>
      </c>
      <c r="D5567" s="11" t="s">
        <v>1699</v>
      </c>
      <c r="E5567" s="39" t="s">
        <v>4252</v>
      </c>
      <c r="F5567" s="11" t="s">
        <v>1700</v>
      </c>
      <c r="G5567" s="39" t="s">
        <v>4368</v>
      </c>
      <c r="H5567" s="7"/>
      <c r="I5567" s="7">
        <v>0</v>
      </c>
      <c r="J5567" s="7">
        <v>4</v>
      </c>
      <c r="K5567" s="7"/>
      <c r="L5567" s="7">
        <f>SUM(H5567:K5567)</f>
        <v>4</v>
      </c>
      <c r="M5567" s="8">
        <v>1</v>
      </c>
      <c r="N5567" s="8">
        <f>IF(L5567&gt;0,1,"")</f>
        <v>1</v>
      </c>
      <c r="O5567" s="11" t="s">
        <v>1702</v>
      </c>
      <c r="P5567" s="16" t="str">
        <f>IF(LEN(G5567)=10,CONCATENATE("0",G5567),G5567)</f>
        <v>06-Apr-1921</v>
      </c>
      <c r="Q5567" s="16"/>
      <c r="R5567" s="16" t="str">
        <f t="shared" si="2361"/>
        <v>x</v>
      </c>
      <c r="S5567" s="16" t="str">
        <f t="shared" si="2361"/>
        <v>x</v>
      </c>
      <c r="T5567" s="12"/>
      <c r="U5567" s="46" t="str">
        <f>IF($O5567=U$5,$L5567,"")</f>
        <v/>
      </c>
      <c r="V5567" s="46">
        <f>IF($O5567=V$5,$L5567,"")</f>
        <v>4</v>
      </c>
      <c r="W5567" s="46" t="str">
        <f>IF($O5567=W$5,$L5567,"")</f>
        <v/>
      </c>
      <c r="X5567" s="46" t="str">
        <f>IF($O5567=X$5,$L5567,"")</f>
        <v/>
      </c>
      <c r="Z5567" s="11"/>
    </row>
    <row r="5568" spans="2:26" s="18" customFormat="1" x14ac:dyDescent="0.25">
      <c r="B5568" s="11" t="str">
        <f t="shared" si="2366"/>
        <v>ROCH-07MAY1921</v>
      </c>
      <c r="C5568" s="11" t="s">
        <v>1307</v>
      </c>
      <c r="D5568" s="11" t="s">
        <v>1699</v>
      </c>
      <c r="E5568" s="39" t="s">
        <v>4254</v>
      </c>
      <c r="F5568" s="11" t="s">
        <v>3039</v>
      </c>
      <c r="G5568" s="39" t="s">
        <v>1599</v>
      </c>
      <c r="H5568" s="7"/>
      <c r="I5568" s="7">
        <f>0+2</f>
        <v>2</v>
      </c>
      <c r="J5568" s="7">
        <v>7</v>
      </c>
      <c r="K5568" s="7"/>
      <c r="L5568" s="7">
        <f t="shared" si="2367"/>
        <v>9</v>
      </c>
      <c r="M5568" s="8">
        <v>1</v>
      </c>
      <c r="N5568" s="8">
        <f t="shared" si="2368"/>
        <v>1</v>
      </c>
      <c r="O5568" s="11" t="s">
        <v>1702</v>
      </c>
      <c r="P5568" s="16" t="str">
        <f t="shared" si="2369"/>
        <v>07-May-1921</v>
      </c>
      <c r="Q5568" s="16"/>
      <c r="R5568" s="16" t="str">
        <f t="shared" si="2361"/>
        <v>x</v>
      </c>
      <c r="S5568" s="16" t="str">
        <f t="shared" si="2361"/>
        <v>x</v>
      </c>
      <c r="T5568" s="12"/>
      <c r="U5568" s="46" t="str">
        <f t="shared" si="2360"/>
        <v/>
      </c>
      <c r="V5568" s="46">
        <f t="shared" si="2360"/>
        <v>9</v>
      </c>
      <c r="W5568" s="46" t="str">
        <f t="shared" si="2360"/>
        <v/>
      </c>
      <c r="X5568" s="46" t="str">
        <f t="shared" si="2360"/>
        <v/>
      </c>
      <c r="Z5568" s="11"/>
    </row>
    <row r="5569" spans="2:26" s="18" customFormat="1" x14ac:dyDescent="0.25">
      <c r="B5569" s="11" t="str">
        <f>CONCATENATE("ROCH","-",LEFT(P5569,2),UPPER(MID(P5569,4,3)),RIGHT(P5569,4))</f>
        <v>ROCH-10JUN1921</v>
      </c>
      <c r="C5569" s="11" t="s">
        <v>1307</v>
      </c>
      <c r="D5569" s="11" t="s">
        <v>1699</v>
      </c>
      <c r="E5569" s="39" t="s">
        <v>6069</v>
      </c>
      <c r="F5569" s="11" t="s">
        <v>1700</v>
      </c>
      <c r="G5569" s="39" t="s">
        <v>3893</v>
      </c>
      <c r="H5569" s="7"/>
      <c r="I5569" s="7">
        <v>2</v>
      </c>
      <c r="J5569" s="7">
        <v>15</v>
      </c>
      <c r="K5569" s="7"/>
      <c r="L5569" s="7">
        <f>SUM(H5569:K5569)</f>
        <v>17</v>
      </c>
      <c r="M5569" s="8">
        <v>1</v>
      </c>
      <c r="N5569" s="8">
        <f>IF(L5569&gt;0,1,"")</f>
        <v>1</v>
      </c>
      <c r="O5569" s="11" t="s">
        <v>1702</v>
      </c>
      <c r="P5569" s="16" t="str">
        <f>IF(LEN(G5569)=10,CONCATENATE("0",G5569),G5569)</f>
        <v>10-Jun-1921</v>
      </c>
      <c r="Q5569" s="16"/>
      <c r="R5569" s="16" t="str">
        <f t="shared" si="2361"/>
        <v>x</v>
      </c>
      <c r="S5569" s="16" t="str">
        <f t="shared" si="2361"/>
        <v>x</v>
      </c>
      <c r="T5569" s="12"/>
      <c r="U5569" s="46" t="str">
        <f t="shared" ref="U5569:X5570" si="2370">IF($O5569=U$5,$L5569,"")</f>
        <v/>
      </c>
      <c r="V5569" s="46">
        <f t="shared" si="2370"/>
        <v>17</v>
      </c>
      <c r="W5569" s="46" t="str">
        <f t="shared" si="2370"/>
        <v/>
      </c>
      <c r="X5569" s="46" t="str">
        <f t="shared" si="2370"/>
        <v/>
      </c>
      <c r="Z5569" s="11"/>
    </row>
    <row r="5570" spans="2:26" s="18" customFormat="1" x14ac:dyDescent="0.25">
      <c r="B5570" s="11" t="str">
        <f>CONCATENATE("ROCH","-",LEFT(P5570,2),UPPER(MID(P5570,4,3)),RIGHT(P5570,4))</f>
        <v>ROCH-12OCT1922</v>
      </c>
      <c r="C5570" s="11" t="s">
        <v>1307</v>
      </c>
      <c r="D5570" s="11" t="s">
        <v>1699</v>
      </c>
      <c r="E5570" s="39" t="s">
        <v>6308</v>
      </c>
      <c r="F5570" s="11" t="s">
        <v>1700</v>
      </c>
      <c r="G5570" s="39" t="s">
        <v>6309</v>
      </c>
      <c r="H5570" s="7"/>
      <c r="I5570" s="7">
        <v>1</v>
      </c>
      <c r="J5570" s="7">
        <v>2</v>
      </c>
      <c r="K5570" s="7"/>
      <c r="L5570" s="7">
        <f>SUM(H5570:K5570)</f>
        <v>3</v>
      </c>
      <c r="M5570" s="8">
        <v>1</v>
      </c>
      <c r="N5570" s="8">
        <f>IF(L5570&gt;0,1,"")</f>
        <v>1</v>
      </c>
      <c r="O5570" s="11" t="s">
        <v>1702</v>
      </c>
      <c r="P5570" s="16" t="str">
        <f>IF(LEN(G5570)=10,CONCATENATE("0",G5570),G5570)</f>
        <v>12-Oct-1922</v>
      </c>
      <c r="Q5570" s="16"/>
      <c r="R5570" s="16" t="str">
        <f t="shared" si="2361"/>
        <v>x</v>
      </c>
      <c r="S5570" s="16" t="str">
        <f t="shared" si="2361"/>
        <v>x</v>
      </c>
      <c r="T5570" s="12"/>
      <c r="U5570" s="46" t="str">
        <f t="shared" si="2370"/>
        <v/>
      </c>
      <c r="V5570" s="46">
        <f t="shared" si="2370"/>
        <v>3</v>
      </c>
      <c r="W5570" s="46" t="str">
        <f t="shared" si="2370"/>
        <v/>
      </c>
      <c r="X5570" s="46" t="str">
        <f t="shared" si="2370"/>
        <v/>
      </c>
      <c r="Z5570" s="11"/>
    </row>
    <row r="5571" spans="2:26" s="18" customFormat="1" x14ac:dyDescent="0.25">
      <c r="B5571" s="11" t="str">
        <f t="shared" si="2366"/>
        <v>ROCH-21MAR1923</v>
      </c>
      <c r="C5571" s="11" t="s">
        <v>1307</v>
      </c>
      <c r="D5571" s="11" t="s">
        <v>1699</v>
      </c>
      <c r="E5571" s="39" t="s">
        <v>4299</v>
      </c>
      <c r="F5571" s="11" t="s">
        <v>1700</v>
      </c>
      <c r="G5571" s="39" t="s">
        <v>4300</v>
      </c>
      <c r="H5571" s="7"/>
      <c r="I5571" s="7">
        <v>1</v>
      </c>
      <c r="J5571" s="7">
        <f>2+1</f>
        <v>3</v>
      </c>
      <c r="K5571" s="7"/>
      <c r="L5571" s="7">
        <f t="shared" si="2367"/>
        <v>4</v>
      </c>
      <c r="M5571" s="8">
        <v>1</v>
      </c>
      <c r="N5571" s="8">
        <f t="shared" si="2368"/>
        <v>1</v>
      </c>
      <c r="O5571" s="11" t="s">
        <v>1702</v>
      </c>
      <c r="P5571" s="16" t="str">
        <f t="shared" si="2369"/>
        <v>21-Mar-1923</v>
      </c>
      <c r="Q5571" s="16"/>
      <c r="R5571" s="16" t="str">
        <f t="shared" si="2361"/>
        <v>x</v>
      </c>
      <c r="S5571" s="16" t="str">
        <f t="shared" si="2361"/>
        <v>x</v>
      </c>
      <c r="T5571" s="12"/>
      <c r="U5571" s="46" t="str">
        <f t="shared" si="2360"/>
        <v/>
      </c>
      <c r="V5571" s="46">
        <f t="shared" si="2360"/>
        <v>4</v>
      </c>
      <c r="W5571" s="46" t="str">
        <f t="shared" si="2360"/>
        <v/>
      </c>
      <c r="X5571" s="46" t="str">
        <f t="shared" si="2360"/>
        <v/>
      </c>
      <c r="Z5571" s="11"/>
    </row>
    <row r="5572" spans="2:26" s="18" customFormat="1" x14ac:dyDescent="0.25">
      <c r="B5572" s="11" t="str">
        <f>CONCATENATE("ROCH","-",LEFT(P5572,2),UPPER(MID(P5572,4,3)),RIGHT(P5572,4))</f>
        <v>ROCH-01AUG1923</v>
      </c>
      <c r="C5572" s="11" t="s">
        <v>1307</v>
      </c>
      <c r="D5572" s="11" t="s">
        <v>1699</v>
      </c>
      <c r="E5572" s="39" t="s">
        <v>3777</v>
      </c>
      <c r="F5572" s="11" t="s">
        <v>1700</v>
      </c>
      <c r="G5572" s="39" t="s">
        <v>2970</v>
      </c>
      <c r="H5572" s="7"/>
      <c r="I5572" s="7">
        <v>43</v>
      </c>
      <c r="J5572" s="7">
        <f>103+2</f>
        <v>105</v>
      </c>
      <c r="K5572" s="7"/>
      <c r="L5572" s="7">
        <f t="shared" si="2367"/>
        <v>148</v>
      </c>
      <c r="M5572" s="8">
        <v>1</v>
      </c>
      <c r="N5572" s="8">
        <f>IF(L5572&gt;0,1,"")</f>
        <v>1</v>
      </c>
      <c r="O5572" s="11" t="s">
        <v>1702</v>
      </c>
      <c r="P5572" s="16" t="str">
        <f>IF(LEN(G5572)=10,CONCATENATE("0",G5572),G5572)</f>
        <v>01-Aug-1923</v>
      </c>
      <c r="Q5572" s="16"/>
      <c r="R5572" s="16" t="str">
        <f t="shared" si="2361"/>
        <v>x</v>
      </c>
      <c r="S5572" s="16" t="str">
        <f t="shared" si="2361"/>
        <v>x</v>
      </c>
      <c r="T5572" s="12"/>
      <c r="U5572" s="46" t="str">
        <f t="shared" si="2360"/>
        <v/>
      </c>
      <c r="V5572" s="46">
        <f t="shared" si="2360"/>
        <v>148</v>
      </c>
      <c r="W5572" s="46" t="str">
        <f t="shared" si="2360"/>
        <v/>
      </c>
      <c r="X5572" s="46" t="str">
        <f t="shared" si="2360"/>
        <v/>
      </c>
      <c r="Z5572" s="11"/>
    </row>
    <row r="5573" spans="2:26" s="18" customFormat="1" x14ac:dyDescent="0.25">
      <c r="B5573" s="11" t="str">
        <f>CONCATENATE("ROCH","-",LEFT(P5573,2),UPPER(MID(P5573,4,3)),RIGHT(P5573,4))</f>
        <v>ROCH-20NOV1923</v>
      </c>
      <c r="C5573" s="11" t="s">
        <v>1307</v>
      </c>
      <c r="D5573" s="11" t="s">
        <v>1699</v>
      </c>
      <c r="E5573" s="39" t="s">
        <v>4329</v>
      </c>
      <c r="F5573" s="11" t="s">
        <v>1700</v>
      </c>
      <c r="G5573" s="39" t="s">
        <v>4330</v>
      </c>
      <c r="H5573" s="7"/>
      <c r="I5573" s="7">
        <v>6</v>
      </c>
      <c r="J5573" s="7">
        <f>1+1</f>
        <v>2</v>
      </c>
      <c r="K5573" s="7"/>
      <c r="L5573" s="7">
        <f t="shared" si="2367"/>
        <v>8</v>
      </c>
      <c r="M5573" s="8">
        <v>1</v>
      </c>
      <c r="N5573" s="8">
        <f>IF(L5573&gt;0,1,"")</f>
        <v>1</v>
      </c>
      <c r="O5573" s="11" t="s">
        <v>1702</v>
      </c>
      <c r="P5573" s="16" t="str">
        <f>IF(LEN(G5573)=10,CONCATENATE("0",G5573),G5573)</f>
        <v>20-Nov-1923</v>
      </c>
      <c r="Q5573" s="16"/>
      <c r="R5573" s="16" t="str">
        <f t="shared" si="2361"/>
        <v>x</v>
      </c>
      <c r="S5573" s="16" t="str">
        <f t="shared" si="2361"/>
        <v>x</v>
      </c>
      <c r="T5573" s="12"/>
      <c r="U5573" s="46" t="str">
        <f t="shared" si="2360"/>
        <v/>
      </c>
      <c r="V5573" s="46">
        <f t="shared" si="2360"/>
        <v>8</v>
      </c>
      <c r="W5573" s="46" t="str">
        <f t="shared" si="2360"/>
        <v/>
      </c>
      <c r="X5573" s="46" t="str">
        <f t="shared" si="2360"/>
        <v/>
      </c>
      <c r="Z5573" s="11"/>
    </row>
    <row r="5574" spans="2:26" s="18" customFormat="1" x14ac:dyDescent="0.25">
      <c r="B5574" s="11" t="str">
        <f>CONCATENATE("ROCH","-",LEFT(P5574,2),UPPER(MID(P5574,4,3)),RIGHT(P5574,4))</f>
        <v>ROCH-01JAN1924</v>
      </c>
      <c r="C5574" s="11" t="s">
        <v>1307</v>
      </c>
      <c r="D5574" s="11" t="s">
        <v>1699</v>
      </c>
      <c r="E5574" s="39" t="s">
        <v>4331</v>
      </c>
      <c r="F5574" s="11" t="s">
        <v>1700</v>
      </c>
      <c r="G5574" s="39" t="s">
        <v>4332</v>
      </c>
      <c r="H5574" s="7"/>
      <c r="I5574" s="7">
        <f>2+2</f>
        <v>4</v>
      </c>
      <c r="J5574" s="7">
        <v>3</v>
      </c>
      <c r="K5574" s="7"/>
      <c r="L5574" s="7">
        <f t="shared" si="2367"/>
        <v>7</v>
      </c>
      <c r="M5574" s="8">
        <v>1</v>
      </c>
      <c r="N5574" s="8">
        <f>IF(L5574&gt;0,1,"")</f>
        <v>1</v>
      </c>
      <c r="O5574" s="11" t="s">
        <v>1702</v>
      </c>
      <c r="P5574" s="16" t="str">
        <f>IF(LEN(G5574)=10,CONCATENATE("0",G5574),G5574)</f>
        <v>01-Jan-1924</v>
      </c>
      <c r="Q5574" s="16"/>
      <c r="R5574" s="16" t="str">
        <f t="shared" si="2361"/>
        <v>x</v>
      </c>
      <c r="S5574" s="16" t="str">
        <f t="shared" si="2361"/>
        <v>x</v>
      </c>
      <c r="T5574" s="12"/>
      <c r="U5574" s="46" t="str">
        <f t="shared" si="2360"/>
        <v/>
      </c>
      <c r="V5574" s="46">
        <f t="shared" si="2360"/>
        <v>7</v>
      </c>
      <c r="W5574" s="46" t="str">
        <f t="shared" si="2360"/>
        <v/>
      </c>
      <c r="X5574" s="46" t="str">
        <f t="shared" si="2360"/>
        <v/>
      </c>
      <c r="Z5574" s="11"/>
    </row>
    <row r="5575" spans="2:26" s="18" customFormat="1" x14ac:dyDescent="0.25">
      <c r="B5575" s="11" t="str">
        <f>CONCATENATE("ROCH","-",LEFT(P5575,2),UPPER(MID(P5575,4,3)),RIGHT(P5575,4))</f>
        <v>ROCH-31JUL1924</v>
      </c>
      <c r="C5575" s="11" t="s">
        <v>1307</v>
      </c>
      <c r="D5575" s="11" t="s">
        <v>1699</v>
      </c>
      <c r="E5575" s="39" t="s">
        <v>4471</v>
      </c>
      <c r="F5575" s="11" t="s">
        <v>1700</v>
      </c>
      <c r="G5575" s="39" t="s">
        <v>4472</v>
      </c>
      <c r="H5575" s="7"/>
      <c r="I5575" s="7">
        <v>0</v>
      </c>
      <c r="J5575" s="7">
        <v>1</v>
      </c>
      <c r="K5575" s="7"/>
      <c r="L5575" s="7">
        <f t="shared" si="2367"/>
        <v>1</v>
      </c>
      <c r="M5575" s="8">
        <v>1</v>
      </c>
      <c r="N5575" s="8">
        <f>IF(L5575&gt;0,1,"")</f>
        <v>1</v>
      </c>
      <c r="O5575" s="11" t="s">
        <v>1702</v>
      </c>
      <c r="P5575" s="16" t="str">
        <f>IF(LEN(G5575)=10,CONCATENATE("0",G5575),G5575)</f>
        <v>31-Jul-1924</v>
      </c>
      <c r="Q5575" s="16"/>
      <c r="R5575" s="16" t="str">
        <f t="shared" si="2361"/>
        <v>x</v>
      </c>
      <c r="S5575" s="16" t="str">
        <f t="shared" si="2361"/>
        <v>x</v>
      </c>
      <c r="T5575" s="12"/>
      <c r="U5575" s="46" t="str">
        <f t="shared" si="2360"/>
        <v/>
      </c>
      <c r="V5575" s="46">
        <f t="shared" si="2360"/>
        <v>1</v>
      </c>
      <c r="W5575" s="46" t="str">
        <f t="shared" si="2360"/>
        <v/>
      </c>
      <c r="X5575" s="46" t="str">
        <f t="shared" si="2360"/>
        <v/>
      </c>
      <c r="Z5575" s="11"/>
    </row>
    <row r="5576" spans="2:26" x14ac:dyDescent="0.25">
      <c r="N5576" s="8" t="str">
        <f>IF(R5576="x",1,"")</f>
        <v/>
      </c>
      <c r="U5576" s="46" t="str">
        <f t="shared" si="2360"/>
        <v/>
      </c>
      <c r="V5576" s="46" t="str">
        <f t="shared" si="2360"/>
        <v/>
      </c>
      <c r="W5576" s="46" t="str">
        <f t="shared" si="2360"/>
        <v/>
      </c>
      <c r="X5576" s="46" t="str">
        <f t="shared" si="2360"/>
        <v/>
      </c>
    </row>
    <row r="5577" spans="2:26" x14ac:dyDescent="0.25">
      <c r="B5577" s="18"/>
      <c r="C5577" s="18"/>
      <c r="D5577" s="18"/>
      <c r="E5577" s="40"/>
      <c r="F5577" s="18"/>
      <c r="G5577" s="40"/>
      <c r="H5577" s="7">
        <f t="shared" ref="H5577:N5577" si="2371">SUM(H5520:H5576)</f>
        <v>0</v>
      </c>
      <c r="I5577" s="7">
        <f t="shared" si="2371"/>
        <v>117</v>
      </c>
      <c r="J5577" s="7">
        <f>SUM(J5520:J5576)</f>
        <v>2173</v>
      </c>
      <c r="K5577" s="7">
        <f t="shared" si="2371"/>
        <v>0</v>
      </c>
      <c r="L5577" s="7">
        <f t="shared" si="2371"/>
        <v>2290</v>
      </c>
      <c r="M5577" s="7">
        <f t="shared" si="2371"/>
        <v>56</v>
      </c>
      <c r="N5577" s="7">
        <f t="shared" si="2371"/>
        <v>54</v>
      </c>
      <c r="O5577" s="18"/>
      <c r="P5577" s="13"/>
      <c r="Q5577" s="13"/>
      <c r="S5577" s="13"/>
      <c r="T5577" s="15"/>
      <c r="U5577" s="46" t="str">
        <f t="shared" si="2360"/>
        <v/>
      </c>
      <c r="V5577" s="46" t="str">
        <f t="shared" si="2360"/>
        <v/>
      </c>
      <c r="W5577" s="46" t="str">
        <f t="shared" si="2360"/>
        <v/>
      </c>
      <c r="X5577" s="46" t="str">
        <f t="shared" si="2360"/>
        <v/>
      </c>
    </row>
    <row r="5578" spans="2:26" x14ac:dyDescent="0.25">
      <c r="B5578" s="18"/>
      <c r="C5578" s="18"/>
      <c r="D5578" s="18"/>
      <c r="E5578" s="40"/>
      <c r="F5578" s="18"/>
      <c r="G5578" s="40"/>
      <c r="N5578" s="8" t="str">
        <f>IF(R5578="x",1,"")</f>
        <v/>
      </c>
      <c r="O5578" s="18"/>
      <c r="P5578" s="13"/>
      <c r="Q5578" s="13"/>
      <c r="R5578" s="13"/>
      <c r="S5578" s="13"/>
      <c r="T5578" s="15"/>
      <c r="U5578" s="46" t="str">
        <f t="shared" si="2360"/>
        <v/>
      </c>
      <c r="V5578" s="46" t="str">
        <f t="shared" si="2360"/>
        <v/>
      </c>
      <c r="W5578" s="46" t="str">
        <f t="shared" si="2360"/>
        <v/>
      </c>
      <c r="X5578" s="46" t="str">
        <f t="shared" si="2360"/>
        <v/>
      </c>
    </row>
    <row r="5579" spans="2:26" x14ac:dyDescent="0.25">
      <c r="B5579" s="18"/>
      <c r="C5579" s="18"/>
      <c r="D5579" s="18"/>
      <c r="E5579" s="40"/>
      <c r="F5579" s="18"/>
      <c r="G5579" s="40"/>
      <c r="N5579" s="8" t="str">
        <f>IF(R5579="x",1,"")</f>
        <v/>
      </c>
      <c r="O5579" s="18"/>
      <c r="P5579" s="13"/>
      <c r="Q5579" s="13"/>
      <c r="R5579" s="13"/>
      <c r="S5579" s="13"/>
      <c r="T5579" s="15"/>
      <c r="U5579" s="46" t="str">
        <f t="shared" si="2360"/>
        <v/>
      </c>
      <c r="V5579" s="46" t="str">
        <f t="shared" si="2360"/>
        <v/>
      </c>
      <c r="W5579" s="46" t="str">
        <f t="shared" si="2360"/>
        <v/>
      </c>
      <c r="X5579" s="46" t="str">
        <f t="shared" si="2360"/>
        <v/>
      </c>
    </row>
    <row r="5580" spans="2:26" x14ac:dyDescent="0.25">
      <c r="B5580" s="11" t="str">
        <f t="shared" ref="B5580:B5602" si="2372">CONCATENATE("ROMA","-",LEFT(P5580,2),UPPER(MID(P5580,4,3)),RIGHT(P5580,4))</f>
        <v>ROMA-03OCT1902</v>
      </c>
      <c r="C5580" s="11" t="s">
        <v>1604</v>
      </c>
      <c r="D5580" s="11" t="s">
        <v>870</v>
      </c>
      <c r="E5580" s="39" t="s">
        <v>3429</v>
      </c>
      <c r="F5580" s="11" t="s">
        <v>1700</v>
      </c>
      <c r="G5580" s="39" t="s">
        <v>3430</v>
      </c>
      <c r="J5580" s="17">
        <v>11</v>
      </c>
      <c r="K5580" s="17"/>
      <c r="L5580" s="7">
        <f t="shared" ref="L5580:L5602" si="2373">SUM(H5580:K5580)</f>
        <v>11</v>
      </c>
      <c r="M5580" s="8">
        <v>1</v>
      </c>
      <c r="N5580" s="8">
        <f t="shared" ref="N5580:N5602" si="2374">IF(L5580&gt;0,1,"")</f>
        <v>1</v>
      </c>
      <c r="O5580" s="11" t="s">
        <v>1702</v>
      </c>
      <c r="P5580" s="16" t="str">
        <f t="shared" ref="P5580:P5602" si="2375">IF(LEN(G5580)=10,CONCATENATE("0",G5580),G5580)</f>
        <v>03-Oct-1902</v>
      </c>
      <c r="R5580" s="16" t="str">
        <f t="shared" ref="R5580:S5585" si="2376">IF($L5580&gt;0,"x","")</f>
        <v>x</v>
      </c>
      <c r="S5580" s="16" t="str">
        <f t="shared" si="2376"/>
        <v>x</v>
      </c>
      <c r="U5580" s="46" t="str">
        <f t="shared" si="2360"/>
        <v/>
      </c>
      <c r="V5580" s="46">
        <f t="shared" si="2360"/>
        <v>11</v>
      </c>
      <c r="W5580" s="46" t="str">
        <f t="shared" si="2360"/>
        <v/>
      </c>
      <c r="X5580" s="46" t="str">
        <f t="shared" si="2360"/>
        <v/>
      </c>
    </row>
    <row r="5581" spans="2:26" x14ac:dyDescent="0.25">
      <c r="B5581" s="11" t="str">
        <f>CONCATENATE("ROMA","-",LEFT(P5581,2),UPPER(MID(P5581,4,3)),RIGHT(P5581,4))</f>
        <v>ROMA-23MAR1906</v>
      </c>
      <c r="C5581" s="11" t="s">
        <v>1604</v>
      </c>
      <c r="D5581" s="11" t="s">
        <v>3007</v>
      </c>
      <c r="E5581" s="39" t="s">
        <v>5425</v>
      </c>
      <c r="F5581" s="11" t="s">
        <v>1700</v>
      </c>
      <c r="G5581" s="39" t="s">
        <v>5426</v>
      </c>
      <c r="H5581" s="7">
        <v>0</v>
      </c>
      <c r="J5581" s="17">
        <v>2</v>
      </c>
      <c r="K5581" s="17"/>
      <c r="L5581" s="7">
        <f>SUM(H5581:K5581)</f>
        <v>2</v>
      </c>
      <c r="M5581" s="8">
        <v>1</v>
      </c>
      <c r="N5581" s="8">
        <f>IF(L5581&gt;0,1,"")</f>
        <v>1</v>
      </c>
      <c r="O5581" s="11" t="s">
        <v>1702</v>
      </c>
      <c r="P5581" s="16" t="str">
        <f>IF(LEN(G5581)=10,CONCATENATE("0",G5581),G5581)</f>
        <v>23-Mar-1906</v>
      </c>
      <c r="R5581" s="16" t="str">
        <f t="shared" si="2376"/>
        <v>x</v>
      </c>
      <c r="S5581" s="16" t="str">
        <f t="shared" si="2376"/>
        <v>x</v>
      </c>
      <c r="U5581" s="46" t="str">
        <f t="shared" ref="U5581:X5582" si="2377">IF($O5581=U$5,$L5581,"")</f>
        <v/>
      </c>
      <c r="V5581" s="46">
        <f t="shared" si="2377"/>
        <v>2</v>
      </c>
      <c r="W5581" s="46" t="str">
        <f t="shared" si="2377"/>
        <v/>
      </c>
      <c r="X5581" s="46" t="str">
        <f t="shared" si="2377"/>
        <v/>
      </c>
    </row>
    <row r="5582" spans="2:26" x14ac:dyDescent="0.25">
      <c r="B5582" s="11" t="str">
        <f t="shared" si="2372"/>
        <v>ROMA-06SEP1906</v>
      </c>
      <c r="C5582" s="11" t="s">
        <v>1604</v>
      </c>
      <c r="D5582" s="11" t="s">
        <v>870</v>
      </c>
      <c r="E5582" s="39" t="s">
        <v>5031</v>
      </c>
      <c r="F5582" s="11" t="s">
        <v>1700</v>
      </c>
      <c r="G5582" s="39" t="s">
        <v>5032</v>
      </c>
      <c r="H5582" s="7">
        <v>0</v>
      </c>
      <c r="J5582" s="17">
        <v>4</v>
      </c>
      <c r="K5582" s="17"/>
      <c r="L5582" s="7">
        <f t="shared" si="2373"/>
        <v>4</v>
      </c>
      <c r="M5582" s="8">
        <v>1</v>
      </c>
      <c r="N5582" s="8">
        <f t="shared" si="2374"/>
        <v>1</v>
      </c>
      <c r="O5582" s="11" t="s">
        <v>1702</v>
      </c>
      <c r="P5582" s="16" t="str">
        <f t="shared" si="2375"/>
        <v>06-Sep-1906</v>
      </c>
      <c r="R5582" s="16" t="str">
        <f t="shared" si="2376"/>
        <v>x</v>
      </c>
      <c r="S5582" s="16" t="str">
        <f t="shared" si="2376"/>
        <v>x</v>
      </c>
      <c r="U5582" s="46" t="str">
        <f t="shared" si="2377"/>
        <v/>
      </c>
      <c r="V5582" s="46">
        <f t="shared" si="2377"/>
        <v>4</v>
      </c>
      <c r="W5582" s="46" t="str">
        <f t="shared" si="2377"/>
        <v/>
      </c>
      <c r="X5582" s="46" t="str">
        <f t="shared" si="2377"/>
        <v/>
      </c>
    </row>
    <row r="5583" spans="2:26" x14ac:dyDescent="0.25">
      <c r="B5583" s="11" t="str">
        <f t="shared" si="2372"/>
        <v>ROMA-04DEC1911</v>
      </c>
      <c r="C5583" s="11" t="s">
        <v>1604</v>
      </c>
      <c r="D5583" s="11" t="s">
        <v>870</v>
      </c>
      <c r="E5583" s="39" t="s">
        <v>1520</v>
      </c>
      <c r="F5583" s="11" t="s">
        <v>1700</v>
      </c>
      <c r="G5583" s="39" t="s">
        <v>3790</v>
      </c>
      <c r="H5583" s="7">
        <v>0</v>
      </c>
      <c r="J5583" s="17">
        <v>3</v>
      </c>
      <c r="K5583" s="17"/>
      <c r="L5583" s="7">
        <f t="shared" si="2373"/>
        <v>3</v>
      </c>
      <c r="M5583" s="8">
        <v>1</v>
      </c>
      <c r="N5583" s="8">
        <f t="shared" si="2374"/>
        <v>1</v>
      </c>
      <c r="O5583" s="11" t="s">
        <v>1702</v>
      </c>
      <c r="P5583" s="16" t="str">
        <f t="shared" si="2375"/>
        <v>04-Dec-1911</v>
      </c>
      <c r="R5583" s="16" t="str">
        <f t="shared" si="2376"/>
        <v>x</v>
      </c>
      <c r="S5583" s="16" t="str">
        <f t="shared" si="2376"/>
        <v>x</v>
      </c>
      <c r="U5583" s="46" t="str">
        <f t="shared" si="2360"/>
        <v/>
      </c>
      <c r="V5583" s="46">
        <f t="shared" si="2360"/>
        <v>3</v>
      </c>
      <c r="W5583" s="46" t="str">
        <f t="shared" si="2360"/>
        <v/>
      </c>
      <c r="X5583" s="46" t="str">
        <f t="shared" si="2360"/>
        <v/>
      </c>
    </row>
    <row r="5584" spans="2:26" x14ac:dyDescent="0.25">
      <c r="B5584" s="11" t="str">
        <f t="shared" si="2372"/>
        <v>ROMA-27JAN1912</v>
      </c>
      <c r="C5584" s="11" t="s">
        <v>1604</v>
      </c>
      <c r="D5584" s="11" t="s">
        <v>870</v>
      </c>
      <c r="E5584" s="39" t="s">
        <v>1605</v>
      </c>
      <c r="F5584" s="11" t="s">
        <v>1602</v>
      </c>
      <c r="G5584" s="39" t="s">
        <v>1891</v>
      </c>
      <c r="I5584" s="7">
        <v>0</v>
      </c>
      <c r="J5584" s="17">
        <f>39+9</f>
        <v>48</v>
      </c>
      <c r="K5584" s="17"/>
      <c r="L5584" s="7">
        <f t="shared" si="2373"/>
        <v>48</v>
      </c>
      <c r="M5584" s="8">
        <v>1</v>
      </c>
      <c r="N5584" s="8">
        <f t="shared" si="2374"/>
        <v>1</v>
      </c>
      <c r="O5584" s="11" t="s">
        <v>1702</v>
      </c>
      <c r="P5584" s="16" t="str">
        <f t="shared" si="2375"/>
        <v>27-Jan-1912</v>
      </c>
      <c r="R5584" s="16" t="str">
        <f t="shared" si="2376"/>
        <v>x</v>
      </c>
      <c r="S5584" s="16" t="str">
        <f t="shared" si="2376"/>
        <v>x</v>
      </c>
      <c r="U5584" s="46" t="str">
        <f t="shared" si="2360"/>
        <v/>
      </c>
      <c r="V5584" s="46">
        <f t="shared" si="2360"/>
        <v>48</v>
      </c>
      <c r="W5584" s="46" t="str">
        <f t="shared" si="2360"/>
        <v/>
      </c>
      <c r="X5584" s="46" t="str">
        <f t="shared" si="2360"/>
        <v/>
      </c>
    </row>
    <row r="5585" spans="2:24" x14ac:dyDescent="0.25">
      <c r="B5585" s="11" t="str">
        <f>CONCATENATE("ROMA","-",LEFT(P5585,2),UPPER(MID(P5585,4,3)),RIGHT(P5585,4))</f>
        <v>ROMA-14MAR1912</v>
      </c>
      <c r="C5585" s="11" t="s">
        <v>1604</v>
      </c>
      <c r="D5585" s="11" t="s">
        <v>870</v>
      </c>
      <c r="E5585" s="39" t="s">
        <v>11241</v>
      </c>
      <c r="F5585" s="11" t="s">
        <v>1602</v>
      </c>
      <c r="G5585" s="39" t="s">
        <v>2050</v>
      </c>
      <c r="J5585" s="17">
        <v>11</v>
      </c>
      <c r="K5585" s="17"/>
      <c r="L5585" s="7">
        <f>SUM(H5585:K5585)</f>
        <v>11</v>
      </c>
      <c r="M5585" s="8">
        <v>1</v>
      </c>
      <c r="N5585" s="8">
        <f>IF(L5585&gt;0,1,"")</f>
        <v>1</v>
      </c>
      <c r="O5585" s="11" t="s">
        <v>1702</v>
      </c>
      <c r="P5585" s="16" t="str">
        <f>IF(LEN(G5585)=10,CONCATENATE("0",G5585),G5585)</f>
        <v>14-Mar-1912</v>
      </c>
      <c r="R5585" s="16" t="str">
        <f t="shared" si="2376"/>
        <v>x</v>
      </c>
      <c r="S5585" s="16" t="str">
        <f t="shared" si="2376"/>
        <v>x</v>
      </c>
      <c r="U5585" s="46" t="str">
        <f t="shared" ref="U5585:X5587" si="2378">IF($O5585=U$5,$L5585,"")</f>
        <v/>
      </c>
      <c r="V5585" s="46">
        <f t="shared" si="2378"/>
        <v>11</v>
      </c>
      <c r="W5585" s="46" t="str">
        <f t="shared" si="2378"/>
        <v/>
      </c>
      <c r="X5585" s="46" t="str">
        <f t="shared" si="2378"/>
        <v/>
      </c>
    </row>
    <row r="5586" spans="2:24" x14ac:dyDescent="0.25">
      <c r="B5586" s="11" t="str">
        <f>CONCATENATE("ROMA","-",LEFT(P5586,2),UPPER(MID(P5586,4,3)),RIGHT(P5586,4))</f>
        <v>ROMA-27APR1912</v>
      </c>
      <c r="C5586" s="11" t="s">
        <v>1604</v>
      </c>
      <c r="D5586" s="11" t="s">
        <v>870</v>
      </c>
      <c r="E5586" s="39" t="s">
        <v>5192</v>
      </c>
      <c r="F5586" s="11" t="s">
        <v>1602</v>
      </c>
      <c r="G5586" s="39" t="s">
        <v>1280</v>
      </c>
      <c r="H5586" s="7">
        <v>0</v>
      </c>
      <c r="I5586" s="7">
        <v>2</v>
      </c>
      <c r="J5586" s="17">
        <f>19+3</f>
        <v>22</v>
      </c>
      <c r="K5586" s="17"/>
      <c r="L5586" s="7">
        <f>SUM(H5586:K5586)</f>
        <v>24</v>
      </c>
      <c r="M5586" s="8">
        <v>1</v>
      </c>
      <c r="N5586" s="8">
        <f>IF(L5586&gt;0,1,"")</f>
        <v>1</v>
      </c>
      <c r="O5586" s="11" t="s">
        <v>1702</v>
      </c>
      <c r="P5586" s="16" t="str">
        <f>IF(LEN(G5586)=10,CONCATENATE("0",G5586),G5586)</f>
        <v>27-Apr-1912</v>
      </c>
      <c r="R5586" s="16" t="str">
        <f t="shared" ref="R5586:S5622" si="2379">IF($L5586&gt;0,"x","")</f>
        <v>x</v>
      </c>
      <c r="S5586" s="16" t="str">
        <f t="shared" si="2379"/>
        <v>x</v>
      </c>
      <c r="U5586" s="46" t="str">
        <f t="shared" si="2378"/>
        <v/>
      </c>
      <c r="V5586" s="46">
        <f t="shared" si="2378"/>
        <v>24</v>
      </c>
      <c r="W5586" s="46" t="str">
        <f t="shared" si="2378"/>
        <v/>
      </c>
      <c r="X5586" s="46" t="str">
        <f t="shared" si="2378"/>
        <v/>
      </c>
    </row>
    <row r="5587" spans="2:24" x14ac:dyDescent="0.25">
      <c r="B5587" s="11" t="str">
        <f t="shared" si="2372"/>
        <v>ROMA-13JUN1912</v>
      </c>
      <c r="C5587" s="11" t="s">
        <v>1604</v>
      </c>
      <c r="D5587" s="11" t="s">
        <v>870</v>
      </c>
      <c r="E5587" s="39" t="s">
        <v>4862</v>
      </c>
      <c r="F5587" s="11" t="s">
        <v>1602</v>
      </c>
      <c r="G5587" s="39" t="s">
        <v>4863</v>
      </c>
      <c r="J5587" s="17">
        <v>17</v>
      </c>
      <c r="K5587" s="17"/>
      <c r="L5587" s="7">
        <f t="shared" si="2373"/>
        <v>17</v>
      </c>
      <c r="M5587" s="8">
        <v>1</v>
      </c>
      <c r="N5587" s="8">
        <f t="shared" si="2374"/>
        <v>1</v>
      </c>
      <c r="O5587" s="11" t="s">
        <v>1702</v>
      </c>
      <c r="P5587" s="16" t="str">
        <f t="shared" si="2375"/>
        <v>13-Jun-1912</v>
      </c>
      <c r="R5587" s="16" t="str">
        <f>IF($L5587&gt;0,"x","")</f>
        <v>x</v>
      </c>
      <c r="S5587" s="16" t="str">
        <f>IF($L5587&gt;0,"x","")</f>
        <v>x</v>
      </c>
      <c r="U5587" s="46" t="str">
        <f t="shared" si="2378"/>
        <v/>
      </c>
      <c r="V5587" s="46">
        <f t="shared" si="2378"/>
        <v>17</v>
      </c>
      <c r="W5587" s="46" t="str">
        <f t="shared" si="2378"/>
        <v/>
      </c>
      <c r="X5587" s="46" t="str">
        <f t="shared" si="2378"/>
        <v/>
      </c>
    </row>
    <row r="5588" spans="2:24" x14ac:dyDescent="0.25">
      <c r="B5588" s="11" t="str">
        <f t="shared" si="2372"/>
        <v>ROMA-27JUL1912</v>
      </c>
      <c r="C5588" s="11" t="s">
        <v>1604</v>
      </c>
      <c r="D5588" s="11" t="s">
        <v>870</v>
      </c>
      <c r="E5588" s="39" t="s">
        <v>3171</v>
      </c>
      <c r="F5588" s="11" t="s">
        <v>1602</v>
      </c>
      <c r="G5588" s="39" t="s">
        <v>1328</v>
      </c>
      <c r="I5588" s="7">
        <v>6</v>
      </c>
      <c r="J5588" s="17">
        <v>35</v>
      </c>
      <c r="K5588" s="17"/>
      <c r="L5588" s="7">
        <f t="shared" si="2373"/>
        <v>41</v>
      </c>
      <c r="M5588" s="8">
        <v>1</v>
      </c>
      <c r="N5588" s="8">
        <f t="shared" si="2374"/>
        <v>1</v>
      </c>
      <c r="O5588" s="11" t="s">
        <v>1702</v>
      </c>
      <c r="P5588" s="16" t="str">
        <f t="shared" si="2375"/>
        <v>27-Jul-1912</v>
      </c>
      <c r="R5588" s="16" t="str">
        <f t="shared" si="2379"/>
        <v>x</v>
      </c>
      <c r="S5588" s="16" t="str">
        <f t="shared" si="2379"/>
        <v>x</v>
      </c>
      <c r="U5588" s="46" t="str">
        <f t="shared" si="2360"/>
        <v/>
      </c>
      <c r="V5588" s="46">
        <f t="shared" si="2360"/>
        <v>41</v>
      </c>
      <c r="W5588" s="46" t="str">
        <f t="shared" si="2360"/>
        <v/>
      </c>
      <c r="X5588" s="46" t="str">
        <f t="shared" si="2360"/>
        <v/>
      </c>
    </row>
    <row r="5589" spans="2:24" x14ac:dyDescent="0.25">
      <c r="B5589" s="11" t="str">
        <f>CONCATENATE("ROMA","-",LEFT(P5589,2),UPPER(MID(P5589,4,3)),RIGHT(P5589,4))</f>
        <v>ROMA-25OCT1912</v>
      </c>
      <c r="C5589" s="11" t="s">
        <v>1604</v>
      </c>
      <c r="D5589" s="11" t="s">
        <v>870</v>
      </c>
      <c r="E5589" s="39" t="s">
        <v>5236</v>
      </c>
      <c r="F5589" s="11" t="s">
        <v>1602</v>
      </c>
      <c r="G5589" s="39" t="s">
        <v>5975</v>
      </c>
      <c r="H5589" s="7">
        <v>0</v>
      </c>
      <c r="I5589" s="7">
        <v>1</v>
      </c>
      <c r="J5589" s="17">
        <v>16</v>
      </c>
      <c r="K5589" s="17"/>
      <c r="L5589" s="7">
        <f>SUM(H5589:K5589)</f>
        <v>17</v>
      </c>
      <c r="M5589" s="8">
        <v>1</v>
      </c>
      <c r="N5589" s="8">
        <f>IF(L5589&gt;0,1,"")</f>
        <v>1</v>
      </c>
      <c r="O5589" s="11" t="s">
        <v>1702</v>
      </c>
      <c r="P5589" s="16" t="str">
        <f>IF(LEN(G5589)=10,CONCATENATE("0",G5589),G5589)</f>
        <v>25-Oct-1912</v>
      </c>
      <c r="R5589" s="16" t="str">
        <f t="shared" si="2379"/>
        <v>x</v>
      </c>
      <c r="S5589" s="16" t="str">
        <f t="shared" si="2379"/>
        <v>x</v>
      </c>
      <c r="T5589" s="11"/>
      <c r="U5589" s="46" t="str">
        <f t="shared" ref="U5589:X5590" si="2380">IF($O5589=U$5,$L5589,"")</f>
        <v/>
      </c>
      <c r="V5589" s="46">
        <f t="shared" si="2380"/>
        <v>17</v>
      </c>
      <c r="W5589" s="46" t="str">
        <f t="shared" si="2380"/>
        <v/>
      </c>
      <c r="X5589" s="46" t="str">
        <f t="shared" si="2380"/>
        <v/>
      </c>
    </row>
    <row r="5590" spans="2:24" x14ac:dyDescent="0.25">
      <c r="B5590" s="11" t="str">
        <f>CONCATENATE("ROMA","-",LEFT(P5590,2),UPPER(MID(P5590,4,3)),RIGHT(P5590,4))</f>
        <v>ROMA-09DEC1912</v>
      </c>
      <c r="C5590" s="11" t="s">
        <v>1604</v>
      </c>
      <c r="D5590" s="11" t="s">
        <v>870</v>
      </c>
      <c r="E5590" s="39" t="s">
        <v>1913</v>
      </c>
      <c r="F5590" s="11" t="s">
        <v>1602</v>
      </c>
      <c r="G5590" s="39" t="s">
        <v>2345</v>
      </c>
      <c r="I5590" s="7">
        <v>0</v>
      </c>
      <c r="J5590" s="17">
        <v>27</v>
      </c>
      <c r="K5590" s="17"/>
      <c r="L5590" s="7">
        <f>SUM(H5590:K5590)</f>
        <v>27</v>
      </c>
      <c r="M5590" s="8">
        <v>1</v>
      </c>
      <c r="N5590" s="8">
        <f>IF(L5590&gt;0,1,"")</f>
        <v>1</v>
      </c>
      <c r="O5590" s="11" t="s">
        <v>1702</v>
      </c>
      <c r="P5590" s="16" t="str">
        <f>IF(LEN(G5590)=10,CONCATENATE("0",G5590),G5590)</f>
        <v>09-Dec-1912</v>
      </c>
      <c r="R5590" s="16" t="str">
        <f t="shared" si="2379"/>
        <v>x</v>
      </c>
      <c r="S5590" s="16" t="str">
        <f t="shared" si="2379"/>
        <v>x</v>
      </c>
      <c r="U5590" s="46" t="str">
        <f t="shared" si="2380"/>
        <v/>
      </c>
      <c r="V5590" s="46">
        <f t="shared" si="2380"/>
        <v>27</v>
      </c>
      <c r="W5590" s="46" t="str">
        <f t="shared" si="2380"/>
        <v/>
      </c>
      <c r="X5590" s="46" t="str">
        <f t="shared" si="2380"/>
        <v/>
      </c>
    </row>
    <row r="5591" spans="2:24" x14ac:dyDescent="0.25">
      <c r="B5591" s="11" t="str">
        <f t="shared" si="2372"/>
        <v>ROMA-05FEB1913</v>
      </c>
      <c r="C5591" s="11" t="s">
        <v>1604</v>
      </c>
      <c r="D5591" s="11" t="s">
        <v>870</v>
      </c>
      <c r="E5591" s="39" t="s">
        <v>3094</v>
      </c>
      <c r="F5591" s="11" t="s">
        <v>1602</v>
      </c>
      <c r="G5591" s="39" t="s">
        <v>3095</v>
      </c>
      <c r="H5591" s="7">
        <v>0</v>
      </c>
      <c r="I5591" s="7">
        <v>0</v>
      </c>
      <c r="J5591" s="17">
        <v>39</v>
      </c>
      <c r="K5591" s="17"/>
      <c r="L5591" s="7">
        <f t="shared" si="2373"/>
        <v>39</v>
      </c>
      <c r="M5591" s="8">
        <v>1</v>
      </c>
      <c r="N5591" s="8">
        <f t="shared" si="2374"/>
        <v>1</v>
      </c>
      <c r="O5591" s="11" t="s">
        <v>1702</v>
      </c>
      <c r="P5591" s="16" t="str">
        <f t="shared" si="2375"/>
        <v>05-Feb-1913</v>
      </c>
      <c r="R5591" s="16" t="str">
        <f t="shared" si="2379"/>
        <v>x</v>
      </c>
      <c r="S5591" s="16" t="str">
        <f t="shared" si="2379"/>
        <v>x</v>
      </c>
      <c r="U5591" s="46" t="str">
        <f t="shared" si="2360"/>
        <v/>
      </c>
      <c r="V5591" s="46">
        <f t="shared" si="2360"/>
        <v>39</v>
      </c>
      <c r="W5591" s="46" t="str">
        <f t="shared" si="2360"/>
        <v/>
      </c>
      <c r="X5591" s="46" t="str">
        <f t="shared" si="2360"/>
        <v/>
      </c>
    </row>
    <row r="5592" spans="2:24" x14ac:dyDescent="0.25">
      <c r="B5592" s="11" t="str">
        <f t="shared" si="2372"/>
        <v>ROMA-21MAR1913</v>
      </c>
      <c r="C5592" s="11" t="s">
        <v>1604</v>
      </c>
      <c r="D5592" s="11" t="s">
        <v>870</v>
      </c>
      <c r="E5592" s="39" t="s">
        <v>3778</v>
      </c>
      <c r="F5592" s="11" t="s">
        <v>1602</v>
      </c>
      <c r="G5592" s="39" t="s">
        <v>3779</v>
      </c>
      <c r="I5592" s="7">
        <v>1</v>
      </c>
      <c r="J5592" s="17">
        <v>27</v>
      </c>
      <c r="K5592" s="17"/>
      <c r="L5592" s="7">
        <f t="shared" si="2373"/>
        <v>28</v>
      </c>
      <c r="M5592" s="8">
        <v>1</v>
      </c>
      <c r="N5592" s="8">
        <f t="shared" si="2374"/>
        <v>1</v>
      </c>
      <c r="O5592" s="11" t="s">
        <v>1702</v>
      </c>
      <c r="P5592" s="16" t="str">
        <f t="shared" si="2375"/>
        <v>21-Mar-1913</v>
      </c>
      <c r="R5592" s="16" t="str">
        <f t="shared" si="2379"/>
        <v>x</v>
      </c>
      <c r="S5592" s="16" t="str">
        <f t="shared" si="2379"/>
        <v>x</v>
      </c>
      <c r="U5592" s="46" t="str">
        <f t="shared" si="2360"/>
        <v/>
      </c>
      <c r="V5592" s="46">
        <f t="shared" si="2360"/>
        <v>28</v>
      </c>
      <c r="W5592" s="46" t="str">
        <f t="shared" si="2360"/>
        <v/>
      </c>
      <c r="X5592" s="46" t="str">
        <f t="shared" si="2360"/>
        <v/>
      </c>
    </row>
    <row r="5593" spans="2:24" x14ac:dyDescent="0.25">
      <c r="B5593" s="11" t="str">
        <f t="shared" si="2372"/>
        <v>ROMA-24MAR1913</v>
      </c>
      <c r="C5593" s="11" t="s">
        <v>1604</v>
      </c>
      <c r="D5593" s="11" t="s">
        <v>870</v>
      </c>
      <c r="E5593" s="39" t="s">
        <v>4239</v>
      </c>
      <c r="F5593" s="11" t="s">
        <v>1700</v>
      </c>
      <c r="G5593" s="39" t="s">
        <v>4240</v>
      </c>
      <c r="J5593" s="17">
        <v>8</v>
      </c>
      <c r="K5593" s="17"/>
      <c r="L5593" s="7">
        <f t="shared" si="2373"/>
        <v>8</v>
      </c>
      <c r="M5593" s="8">
        <v>1</v>
      </c>
      <c r="N5593" s="8">
        <f t="shared" si="2374"/>
        <v>1</v>
      </c>
      <c r="O5593" s="11" t="s">
        <v>1702</v>
      </c>
      <c r="P5593" s="16" t="str">
        <f t="shared" si="2375"/>
        <v>24-Mar-1913</v>
      </c>
      <c r="R5593" s="16" t="str">
        <f t="shared" si="2379"/>
        <v>x</v>
      </c>
      <c r="S5593" s="16" t="str">
        <f t="shared" si="2379"/>
        <v>x</v>
      </c>
      <c r="U5593" s="46" t="str">
        <f t="shared" si="2360"/>
        <v/>
      </c>
      <c r="V5593" s="46">
        <f t="shared" si="2360"/>
        <v>8</v>
      </c>
      <c r="W5593" s="46" t="str">
        <f t="shared" si="2360"/>
        <v/>
      </c>
      <c r="X5593" s="46" t="str">
        <f t="shared" si="2360"/>
        <v/>
      </c>
    </row>
    <row r="5594" spans="2:24" x14ac:dyDescent="0.25">
      <c r="B5594" s="11" t="str">
        <f t="shared" si="2372"/>
        <v>ROMA-06MAY1913</v>
      </c>
      <c r="C5594" s="11" t="s">
        <v>1604</v>
      </c>
      <c r="D5594" s="11" t="s">
        <v>870</v>
      </c>
      <c r="E5594" s="39" t="s">
        <v>4665</v>
      </c>
      <c r="F5594" s="11" t="s">
        <v>1602</v>
      </c>
      <c r="G5594" s="39" t="s">
        <v>4666</v>
      </c>
      <c r="J5594" s="17">
        <v>21</v>
      </c>
      <c r="K5594" s="17"/>
      <c r="L5594" s="7">
        <f t="shared" si="2373"/>
        <v>21</v>
      </c>
      <c r="M5594" s="8">
        <v>1</v>
      </c>
      <c r="N5594" s="8">
        <f t="shared" si="2374"/>
        <v>1</v>
      </c>
      <c r="O5594" s="11" t="s">
        <v>1702</v>
      </c>
      <c r="P5594" s="16" t="str">
        <f t="shared" si="2375"/>
        <v>06-May-1913</v>
      </c>
      <c r="R5594" s="16" t="str">
        <f t="shared" si="2379"/>
        <v>x</v>
      </c>
      <c r="S5594" s="16" t="str">
        <f t="shared" si="2379"/>
        <v>x</v>
      </c>
      <c r="U5594" s="46" t="str">
        <f>IF($O5594=U$5,$L5594,"")</f>
        <v/>
      </c>
      <c r="V5594" s="46">
        <f>IF($O5594=V$5,$L5594,"")</f>
        <v>21</v>
      </c>
      <c r="W5594" s="46" t="str">
        <f>IF($O5594=W$5,$L5594,"")</f>
        <v/>
      </c>
      <c r="X5594" s="46" t="str">
        <f>IF($O5594=X$5,$L5594,"")</f>
        <v/>
      </c>
    </row>
    <row r="5595" spans="2:24" x14ac:dyDescent="0.25">
      <c r="B5595" s="11" t="str">
        <f t="shared" si="2372"/>
        <v>ROMA-22JUN1913</v>
      </c>
      <c r="C5595" s="11" t="s">
        <v>1604</v>
      </c>
      <c r="D5595" s="11" t="s">
        <v>870</v>
      </c>
      <c r="E5595" s="39" t="s">
        <v>2783</v>
      </c>
      <c r="F5595" s="11" t="s">
        <v>1602</v>
      </c>
      <c r="G5595" s="39" t="s">
        <v>3142</v>
      </c>
      <c r="I5595" s="7">
        <v>2</v>
      </c>
      <c r="J5595" s="17">
        <v>60</v>
      </c>
      <c r="K5595" s="17"/>
      <c r="L5595" s="7">
        <f t="shared" si="2373"/>
        <v>62</v>
      </c>
      <c r="M5595" s="8">
        <v>1</v>
      </c>
      <c r="N5595" s="8">
        <f t="shared" si="2374"/>
        <v>1</v>
      </c>
      <c r="O5595" s="11" t="s">
        <v>1702</v>
      </c>
      <c r="P5595" s="16" t="str">
        <f t="shared" si="2375"/>
        <v>22-Jun-1913</v>
      </c>
      <c r="R5595" s="16" t="str">
        <f t="shared" si="2379"/>
        <v>x</v>
      </c>
      <c r="S5595" s="16" t="str">
        <f t="shared" si="2379"/>
        <v>x</v>
      </c>
      <c r="U5595" s="46" t="str">
        <f t="shared" si="2360"/>
        <v/>
      </c>
      <c r="V5595" s="46">
        <f t="shared" si="2360"/>
        <v>62</v>
      </c>
      <c r="W5595" s="46" t="str">
        <f t="shared" si="2360"/>
        <v/>
      </c>
      <c r="X5595" s="46" t="str">
        <f t="shared" si="2360"/>
        <v/>
      </c>
    </row>
    <row r="5596" spans="2:24" x14ac:dyDescent="0.25">
      <c r="B5596" s="11" t="str">
        <f>CONCATENATE("ROMA","-",LEFT(P5596,2),UPPER(MID(P5596,4,3)),RIGHT(P5596,4))</f>
        <v>ROMA-06AUG1913</v>
      </c>
      <c r="C5596" s="11" t="s">
        <v>1604</v>
      </c>
      <c r="D5596" s="11" t="s">
        <v>870</v>
      </c>
      <c r="E5596" s="39" t="s">
        <v>3145</v>
      </c>
      <c r="F5596" s="11" t="s">
        <v>1602</v>
      </c>
      <c r="G5596" s="39" t="s">
        <v>3144</v>
      </c>
      <c r="I5596" s="7">
        <v>1</v>
      </c>
      <c r="J5596" s="17">
        <v>95</v>
      </c>
      <c r="K5596" s="17"/>
      <c r="L5596" s="7">
        <f>SUM(H5596:K5596)</f>
        <v>96</v>
      </c>
      <c r="M5596" s="8">
        <v>1</v>
      </c>
      <c r="N5596" s="8">
        <f>IF(L5596&gt;0,1,"")</f>
        <v>1</v>
      </c>
      <c r="O5596" s="11" t="s">
        <v>1702</v>
      </c>
      <c r="P5596" s="16" t="str">
        <f>IF(LEN(G5596)=10,CONCATENATE("0",G5596),G5596)</f>
        <v>06-Aug-1913</v>
      </c>
      <c r="R5596" s="16" t="str">
        <f t="shared" si="2379"/>
        <v>x</v>
      </c>
      <c r="S5596" s="16" t="str">
        <f t="shared" si="2379"/>
        <v>x</v>
      </c>
      <c r="U5596" s="46" t="str">
        <f t="shared" ref="U5596:X5597" si="2381">IF($O5596=U$5,$L5596,"")</f>
        <v/>
      </c>
      <c r="V5596" s="46">
        <f t="shared" si="2381"/>
        <v>96</v>
      </c>
      <c r="W5596" s="46" t="str">
        <f t="shared" si="2381"/>
        <v/>
      </c>
      <c r="X5596" s="46" t="str">
        <f t="shared" si="2381"/>
        <v/>
      </c>
    </row>
    <row r="5597" spans="2:24" x14ac:dyDescent="0.25">
      <c r="B5597" s="11" t="str">
        <f t="shared" si="2372"/>
        <v>ROMA-06AUG1913</v>
      </c>
      <c r="C5597" s="11" t="s">
        <v>1604</v>
      </c>
      <c r="D5597" s="11" t="s">
        <v>3363</v>
      </c>
      <c r="E5597" s="39" t="s">
        <v>3145</v>
      </c>
      <c r="F5597" s="11" t="s">
        <v>1602</v>
      </c>
      <c r="G5597" s="39" t="s">
        <v>3144</v>
      </c>
      <c r="J5597" s="17">
        <v>5</v>
      </c>
      <c r="K5597" s="17"/>
      <c r="L5597" s="7">
        <f t="shared" si="2373"/>
        <v>5</v>
      </c>
      <c r="M5597" s="8">
        <v>1</v>
      </c>
      <c r="N5597" s="8">
        <f t="shared" si="2374"/>
        <v>1</v>
      </c>
      <c r="O5597" s="11" t="s">
        <v>1702</v>
      </c>
      <c r="P5597" s="16" t="str">
        <f t="shared" si="2375"/>
        <v>06-Aug-1913</v>
      </c>
      <c r="R5597" s="16" t="str">
        <f>IF($L5597&gt;0,"x","")</f>
        <v>x</v>
      </c>
      <c r="S5597" s="16" t="str">
        <f>IF($L5597&gt;0,"x","")</f>
        <v>x</v>
      </c>
      <c r="U5597" s="46" t="str">
        <f t="shared" si="2381"/>
        <v/>
      </c>
      <c r="V5597" s="46">
        <f t="shared" si="2381"/>
        <v>5</v>
      </c>
      <c r="W5597" s="46" t="str">
        <f t="shared" si="2381"/>
        <v/>
      </c>
      <c r="X5597" s="46" t="str">
        <f t="shared" si="2381"/>
        <v/>
      </c>
    </row>
    <row r="5598" spans="2:24" x14ac:dyDescent="0.25">
      <c r="B5598" s="11" t="str">
        <f t="shared" si="2372"/>
        <v>ROMA-07AUG1913</v>
      </c>
      <c r="C5598" s="11" t="s">
        <v>1604</v>
      </c>
      <c r="D5598" s="11" t="s">
        <v>870</v>
      </c>
      <c r="E5598" s="39" t="s">
        <v>3145</v>
      </c>
      <c r="F5598" s="11" t="s">
        <v>1700</v>
      </c>
      <c r="G5598" s="39" t="s">
        <v>3051</v>
      </c>
      <c r="H5598" s="7">
        <v>0</v>
      </c>
      <c r="I5598" s="7">
        <v>0</v>
      </c>
      <c r="J5598" s="17">
        <v>5</v>
      </c>
      <c r="K5598" s="17"/>
      <c r="L5598" s="7">
        <f t="shared" si="2373"/>
        <v>5</v>
      </c>
      <c r="M5598" s="8">
        <v>1</v>
      </c>
      <c r="N5598" s="8">
        <f t="shared" si="2374"/>
        <v>1</v>
      </c>
      <c r="O5598" s="11" t="s">
        <v>1702</v>
      </c>
      <c r="P5598" s="16" t="str">
        <f t="shared" si="2375"/>
        <v>07-Aug-1913</v>
      </c>
      <c r="R5598" s="16" t="str">
        <f t="shared" si="2379"/>
        <v>x</v>
      </c>
      <c r="S5598" s="16" t="str">
        <f t="shared" si="2379"/>
        <v>x</v>
      </c>
      <c r="U5598" s="46" t="str">
        <f t="shared" si="2360"/>
        <v/>
      </c>
      <c r="V5598" s="46">
        <f t="shared" si="2360"/>
        <v>5</v>
      </c>
      <c r="W5598" s="46" t="str">
        <f t="shared" si="2360"/>
        <v/>
      </c>
      <c r="X5598" s="46" t="str">
        <f t="shared" si="2360"/>
        <v/>
      </c>
    </row>
    <row r="5599" spans="2:24" x14ac:dyDescent="0.25">
      <c r="B5599" s="11" t="str">
        <f t="shared" si="2372"/>
        <v>ROMA-20SEP1913</v>
      </c>
      <c r="C5599" s="11" t="s">
        <v>1604</v>
      </c>
      <c r="D5599" s="11" t="s">
        <v>870</v>
      </c>
      <c r="E5599" s="39" t="s">
        <v>1677</v>
      </c>
      <c r="F5599" s="11" t="s">
        <v>1602</v>
      </c>
      <c r="G5599" s="39" t="s">
        <v>1930</v>
      </c>
      <c r="H5599" s="7">
        <v>0</v>
      </c>
      <c r="I5599" s="7">
        <v>0</v>
      </c>
      <c r="J5599" s="17">
        <v>88</v>
      </c>
      <c r="K5599" s="17"/>
      <c r="L5599" s="7">
        <f t="shared" si="2373"/>
        <v>88</v>
      </c>
      <c r="M5599" s="8">
        <v>1</v>
      </c>
      <c r="N5599" s="8">
        <f t="shared" si="2374"/>
        <v>1</v>
      </c>
      <c r="O5599" s="11" t="s">
        <v>1702</v>
      </c>
      <c r="P5599" s="16" t="str">
        <f t="shared" si="2375"/>
        <v>20-Sep-1913</v>
      </c>
      <c r="R5599" s="16" t="str">
        <f t="shared" si="2379"/>
        <v>x</v>
      </c>
      <c r="S5599" s="16" t="str">
        <f t="shared" si="2379"/>
        <v>x</v>
      </c>
      <c r="U5599" s="46" t="str">
        <f t="shared" si="2360"/>
        <v/>
      </c>
      <c r="V5599" s="46">
        <f t="shared" si="2360"/>
        <v>88</v>
      </c>
      <c r="W5599" s="46" t="str">
        <f t="shared" si="2360"/>
        <v/>
      </c>
      <c r="X5599" s="46" t="str">
        <f t="shared" si="2360"/>
        <v/>
      </c>
    </row>
    <row r="5600" spans="2:24" x14ac:dyDescent="0.25">
      <c r="B5600" s="11" t="str">
        <f t="shared" si="2372"/>
        <v>ROMA-06NOV1913</v>
      </c>
      <c r="C5600" s="11" t="s">
        <v>1604</v>
      </c>
      <c r="D5600" s="11" t="s">
        <v>870</v>
      </c>
      <c r="E5600" s="39" t="s">
        <v>3119</v>
      </c>
      <c r="F5600" s="11" t="s">
        <v>1602</v>
      </c>
      <c r="G5600" s="39" t="s">
        <v>3118</v>
      </c>
      <c r="I5600" s="7">
        <v>0</v>
      </c>
      <c r="J5600" s="17">
        <v>128</v>
      </c>
      <c r="K5600" s="17"/>
      <c r="L5600" s="7">
        <f t="shared" si="2373"/>
        <v>128</v>
      </c>
      <c r="M5600" s="8">
        <v>1</v>
      </c>
      <c r="N5600" s="8">
        <f t="shared" si="2374"/>
        <v>1</v>
      </c>
      <c r="O5600" s="11" t="s">
        <v>1702</v>
      </c>
      <c r="P5600" s="16" t="str">
        <f t="shared" si="2375"/>
        <v>06-Nov-1913</v>
      </c>
      <c r="R5600" s="16" t="str">
        <f t="shared" si="2379"/>
        <v>x</v>
      </c>
      <c r="S5600" s="16" t="str">
        <f t="shared" si="2379"/>
        <v>x</v>
      </c>
      <c r="U5600" s="46" t="str">
        <f t="shared" si="2360"/>
        <v/>
      </c>
      <c r="V5600" s="46">
        <f t="shared" si="2360"/>
        <v>128</v>
      </c>
      <c r="W5600" s="46" t="str">
        <f t="shared" si="2360"/>
        <v/>
      </c>
      <c r="X5600" s="46" t="str">
        <f t="shared" si="2360"/>
        <v/>
      </c>
    </row>
    <row r="5601" spans="2:24" x14ac:dyDescent="0.25">
      <c r="B5601" s="11" t="str">
        <f>CONCATENATE("ROMA","-",LEFT(P5601,2),UPPER(MID(P5601,4,3)),RIGHT(P5601,4))</f>
        <v>ROMA-07NOV1913</v>
      </c>
      <c r="C5601" s="11" t="s">
        <v>1604</v>
      </c>
      <c r="D5601" s="11" t="s">
        <v>870</v>
      </c>
      <c r="E5601" s="39" t="s">
        <v>3119</v>
      </c>
      <c r="F5601" s="11" t="s">
        <v>1700</v>
      </c>
      <c r="G5601" s="39" t="s">
        <v>11179</v>
      </c>
      <c r="H5601" s="7">
        <v>0</v>
      </c>
      <c r="I5601" s="7">
        <v>0</v>
      </c>
      <c r="J5601" s="17">
        <v>2</v>
      </c>
      <c r="K5601" s="17"/>
      <c r="L5601" s="7">
        <f>SUM(H5601:K5601)</f>
        <v>2</v>
      </c>
      <c r="M5601" s="8">
        <v>1</v>
      </c>
      <c r="N5601" s="8">
        <f>IF(L5601&gt;0,1,"")</f>
        <v>1</v>
      </c>
      <c r="O5601" s="11" t="s">
        <v>1702</v>
      </c>
      <c r="P5601" s="16" t="str">
        <f>IF(LEN(G5601)=10,CONCATENATE("0",G5601),G5601)</f>
        <v>07-Nov-1913</v>
      </c>
      <c r="R5601" s="16" t="str">
        <f t="shared" si="2379"/>
        <v>x</v>
      </c>
      <c r="S5601" s="16" t="str">
        <f t="shared" si="2379"/>
        <v>x</v>
      </c>
      <c r="U5601" s="46" t="str">
        <f>IF($O5601=U$5,$L5601,"")</f>
        <v/>
      </c>
      <c r="V5601" s="46">
        <f>IF($O5601=V$5,$L5601,"")</f>
        <v>2</v>
      </c>
      <c r="W5601" s="46" t="str">
        <f>IF($O5601=W$5,$L5601,"")</f>
        <v/>
      </c>
      <c r="X5601" s="46" t="str">
        <f>IF($O5601=X$5,$L5601,"")</f>
        <v/>
      </c>
    </row>
    <row r="5602" spans="2:24" x14ac:dyDescent="0.25">
      <c r="B5602" s="11" t="str">
        <f t="shared" si="2372"/>
        <v>ROMA-04JAN1914</v>
      </c>
      <c r="C5602" s="11" t="s">
        <v>1604</v>
      </c>
      <c r="D5602" s="11" t="s">
        <v>870</v>
      </c>
      <c r="E5602" s="39" t="s">
        <v>2357</v>
      </c>
      <c r="F5602" s="11" t="s">
        <v>1602</v>
      </c>
      <c r="G5602" s="39" t="s">
        <v>3104</v>
      </c>
      <c r="H5602" s="7">
        <v>0</v>
      </c>
      <c r="I5602" s="7">
        <v>3</v>
      </c>
      <c r="J5602" s="17">
        <v>87</v>
      </c>
      <c r="K5602" s="17"/>
      <c r="L5602" s="7">
        <f t="shared" si="2373"/>
        <v>90</v>
      </c>
      <c r="M5602" s="8">
        <v>1</v>
      </c>
      <c r="N5602" s="8">
        <f t="shared" si="2374"/>
        <v>1</v>
      </c>
      <c r="O5602" s="11" t="s">
        <v>1702</v>
      </c>
      <c r="P5602" s="16" t="str">
        <f t="shared" si="2375"/>
        <v>04-Jan-1914</v>
      </c>
      <c r="R5602" s="16" t="str">
        <f t="shared" si="2379"/>
        <v>x</v>
      </c>
      <c r="S5602" s="16" t="str">
        <f t="shared" si="2379"/>
        <v>x</v>
      </c>
      <c r="U5602" s="46" t="str">
        <f t="shared" si="2360"/>
        <v/>
      </c>
      <c r="V5602" s="46">
        <f t="shared" si="2360"/>
        <v>90</v>
      </c>
      <c r="W5602" s="46" t="str">
        <f t="shared" si="2360"/>
        <v/>
      </c>
      <c r="X5602" s="46" t="str">
        <f t="shared" si="2360"/>
        <v/>
      </c>
    </row>
    <row r="5603" spans="2:24" x14ac:dyDescent="0.25">
      <c r="B5603" s="11" t="str">
        <f t="shared" ref="B5603:B5614" si="2382">CONCATENATE("ROMA","-",LEFT(P5603,2),UPPER(MID(P5603,4,3)),RIGHT(P5603,4))</f>
        <v>ROMA-17FEB1914</v>
      </c>
      <c r="C5603" s="11" t="s">
        <v>1604</v>
      </c>
      <c r="D5603" s="11" t="s">
        <v>870</v>
      </c>
      <c r="E5603" s="39" t="s">
        <v>4212</v>
      </c>
      <c r="F5603" s="11" t="s">
        <v>1602</v>
      </c>
      <c r="G5603" s="39" t="s">
        <v>1544</v>
      </c>
      <c r="J5603" s="17">
        <v>58</v>
      </c>
      <c r="K5603" s="17"/>
      <c r="L5603" s="7">
        <f t="shared" ref="L5603:L5614" si="2383">SUM(H5603:K5603)</f>
        <v>58</v>
      </c>
      <c r="M5603" s="8">
        <v>1</v>
      </c>
      <c r="N5603" s="8">
        <f t="shared" ref="N5603:N5614" si="2384">IF(L5603&gt;0,1,"")</f>
        <v>1</v>
      </c>
      <c r="O5603" s="11" t="s">
        <v>1702</v>
      </c>
      <c r="P5603" s="16" t="str">
        <f t="shared" ref="P5603:P5614" si="2385">IF(LEN(G5603)=10,CONCATENATE("0",G5603),G5603)</f>
        <v>17-Feb-1914</v>
      </c>
      <c r="R5603" s="16" t="str">
        <f t="shared" si="2379"/>
        <v>x</v>
      </c>
      <c r="S5603" s="16" t="str">
        <f t="shared" si="2379"/>
        <v>x</v>
      </c>
      <c r="U5603" s="46" t="str">
        <f t="shared" si="2360"/>
        <v/>
      </c>
      <c r="V5603" s="46">
        <f t="shared" si="2360"/>
        <v>58</v>
      </c>
      <c r="W5603" s="46" t="str">
        <f t="shared" si="2360"/>
        <v/>
      </c>
      <c r="X5603" s="46" t="str">
        <f t="shared" si="2360"/>
        <v/>
      </c>
    </row>
    <row r="5604" spans="2:24" x14ac:dyDescent="0.25">
      <c r="B5604" s="11" t="str">
        <f>CONCATENATE("ROMA","-",LEFT(P5604,2),UPPER(MID(P5604,4,3)),RIGHT(P5604,4))</f>
        <v>ROMA-03JUN1914</v>
      </c>
      <c r="C5604" s="11" t="s">
        <v>1604</v>
      </c>
      <c r="D5604" s="11" t="s">
        <v>870</v>
      </c>
      <c r="E5604" s="39" t="s">
        <v>4823</v>
      </c>
      <c r="F5604" s="11" t="s">
        <v>1602</v>
      </c>
      <c r="G5604" s="39" t="s">
        <v>4824</v>
      </c>
      <c r="I5604" s="7">
        <v>0</v>
      </c>
      <c r="J5604" s="17">
        <v>10</v>
      </c>
      <c r="K5604" s="17"/>
      <c r="L5604" s="7">
        <f>SUM(H5604:K5604)</f>
        <v>10</v>
      </c>
      <c r="M5604" s="8">
        <v>1</v>
      </c>
      <c r="N5604" s="8">
        <f>IF(L5604&gt;0,1,"")</f>
        <v>1</v>
      </c>
      <c r="O5604" s="11" t="s">
        <v>1702</v>
      </c>
      <c r="P5604" s="16" t="str">
        <f>IF(LEN(G5604)=10,CONCATENATE("0",G5604),G5604)</f>
        <v>03-Jun-1914</v>
      </c>
      <c r="R5604" s="16" t="str">
        <f>IF($L5604&gt;0,"x","")</f>
        <v>x</v>
      </c>
      <c r="S5604" s="16" t="str">
        <f>IF($L5604&gt;0,"x","")</f>
        <v>x</v>
      </c>
      <c r="U5604" s="46" t="str">
        <f t="shared" ref="U5604:X5609" si="2386">IF($O5604=U$5,$L5604,"")</f>
        <v/>
      </c>
      <c r="V5604" s="46">
        <f t="shared" si="2386"/>
        <v>10</v>
      </c>
      <c r="W5604" s="46" t="str">
        <f t="shared" si="2386"/>
        <v/>
      </c>
      <c r="X5604" s="46" t="str">
        <f t="shared" si="2386"/>
        <v/>
      </c>
    </row>
    <row r="5605" spans="2:24" x14ac:dyDescent="0.25">
      <c r="B5605" s="11" t="str">
        <f t="shared" si="2382"/>
        <v>ROMA-05OCT1914</v>
      </c>
      <c r="C5605" s="11" t="s">
        <v>1604</v>
      </c>
      <c r="D5605" s="11" t="s">
        <v>870</v>
      </c>
      <c r="E5605" s="39" t="s">
        <v>4574</v>
      </c>
      <c r="F5605" s="11" t="s">
        <v>1602</v>
      </c>
      <c r="G5605" s="39" t="s">
        <v>4871</v>
      </c>
      <c r="H5605" s="7">
        <v>0</v>
      </c>
      <c r="I5605" s="7">
        <v>0</v>
      </c>
      <c r="J5605" s="17">
        <v>9</v>
      </c>
      <c r="K5605" s="17"/>
      <c r="L5605" s="7">
        <f t="shared" si="2383"/>
        <v>9</v>
      </c>
      <c r="M5605" s="8">
        <v>1</v>
      </c>
      <c r="N5605" s="8">
        <f t="shared" si="2384"/>
        <v>1</v>
      </c>
      <c r="O5605" s="11" t="s">
        <v>1702</v>
      </c>
      <c r="P5605" s="16" t="str">
        <f t="shared" si="2385"/>
        <v>05-Oct-1914</v>
      </c>
      <c r="R5605" s="16" t="str">
        <f t="shared" si="2379"/>
        <v>x</v>
      </c>
      <c r="S5605" s="16" t="str">
        <f t="shared" si="2379"/>
        <v>x</v>
      </c>
      <c r="U5605" s="46" t="str">
        <f t="shared" si="2386"/>
        <v/>
      </c>
      <c r="V5605" s="46">
        <f t="shared" si="2386"/>
        <v>9</v>
      </c>
      <c r="W5605" s="46" t="str">
        <f t="shared" si="2386"/>
        <v/>
      </c>
      <c r="X5605" s="46" t="str">
        <f t="shared" si="2386"/>
        <v/>
      </c>
    </row>
    <row r="5606" spans="2:24" x14ac:dyDescent="0.25">
      <c r="B5606" s="11" t="str">
        <f t="shared" si="2382"/>
        <v>ROMA-19NOV1914</v>
      </c>
      <c r="C5606" s="11" t="s">
        <v>1604</v>
      </c>
      <c r="D5606" s="11" t="s">
        <v>870</v>
      </c>
      <c r="E5606" s="39" t="s">
        <v>3158</v>
      </c>
      <c r="F5606" s="11" t="s">
        <v>1602</v>
      </c>
      <c r="G5606" s="39" t="s">
        <v>4766</v>
      </c>
      <c r="I5606" s="7">
        <v>2</v>
      </c>
      <c r="J5606" s="17">
        <v>19</v>
      </c>
      <c r="K5606" s="17"/>
      <c r="L5606" s="7">
        <f t="shared" si="2383"/>
        <v>21</v>
      </c>
      <c r="M5606" s="8">
        <v>1</v>
      </c>
      <c r="N5606" s="8">
        <f t="shared" si="2384"/>
        <v>1</v>
      </c>
      <c r="O5606" s="11" t="s">
        <v>1702</v>
      </c>
      <c r="P5606" s="16" t="str">
        <f t="shared" si="2385"/>
        <v>19-Nov-1914</v>
      </c>
      <c r="R5606" s="16" t="str">
        <f t="shared" si="2379"/>
        <v>x</v>
      </c>
      <c r="S5606" s="16" t="str">
        <f t="shared" si="2379"/>
        <v>x</v>
      </c>
      <c r="U5606" s="46" t="str">
        <f t="shared" si="2386"/>
        <v/>
      </c>
      <c r="V5606" s="46">
        <f t="shared" si="2386"/>
        <v>21</v>
      </c>
      <c r="W5606" s="46" t="str">
        <f t="shared" si="2386"/>
        <v/>
      </c>
      <c r="X5606" s="46" t="str">
        <f t="shared" si="2386"/>
        <v/>
      </c>
    </row>
    <row r="5607" spans="2:24" x14ac:dyDescent="0.25">
      <c r="B5607" s="11" t="str">
        <f t="shared" si="2382"/>
        <v>ROMA-04MAR1915</v>
      </c>
      <c r="C5607" s="11" t="s">
        <v>1604</v>
      </c>
      <c r="D5607" s="11" t="s">
        <v>870</v>
      </c>
      <c r="E5607" s="39" t="s">
        <v>4956</v>
      </c>
      <c r="F5607" s="11" t="s">
        <v>1602</v>
      </c>
      <c r="G5607" s="39" t="s">
        <v>4955</v>
      </c>
      <c r="I5607" s="7">
        <v>3</v>
      </c>
      <c r="J5607" s="17">
        <v>0</v>
      </c>
      <c r="K5607" s="17"/>
      <c r="L5607" s="7">
        <f t="shared" si="2383"/>
        <v>3</v>
      </c>
      <c r="M5607" s="8">
        <v>1</v>
      </c>
      <c r="N5607" s="8">
        <f t="shared" si="2384"/>
        <v>1</v>
      </c>
      <c r="O5607" s="11" t="s">
        <v>1702</v>
      </c>
      <c r="P5607" s="16" t="str">
        <f t="shared" si="2385"/>
        <v>04-Mar-1915</v>
      </c>
      <c r="R5607" s="16" t="str">
        <f t="shared" si="2379"/>
        <v>x</v>
      </c>
      <c r="S5607" s="16" t="str">
        <f t="shared" si="2379"/>
        <v>x</v>
      </c>
      <c r="U5607" s="46" t="str">
        <f t="shared" si="2386"/>
        <v/>
      </c>
      <c r="V5607" s="46">
        <f t="shared" si="2386"/>
        <v>3</v>
      </c>
      <c r="W5607" s="46" t="str">
        <f t="shared" si="2386"/>
        <v/>
      </c>
      <c r="X5607" s="46" t="str">
        <f t="shared" si="2386"/>
        <v/>
      </c>
    </row>
    <row r="5608" spans="2:24" x14ac:dyDescent="0.25">
      <c r="B5608" s="11" t="str">
        <f t="shared" si="2382"/>
        <v>ROMA-04MAR1915</v>
      </c>
      <c r="C5608" s="11" t="s">
        <v>1604</v>
      </c>
      <c r="D5608" s="11" t="s">
        <v>4954</v>
      </c>
      <c r="E5608" s="39" t="s">
        <v>1951</v>
      </c>
      <c r="F5608" s="11" t="s">
        <v>1602</v>
      </c>
      <c r="G5608" s="39" t="s">
        <v>4955</v>
      </c>
      <c r="I5608" s="7">
        <v>0</v>
      </c>
      <c r="J5608" s="17">
        <v>1</v>
      </c>
      <c r="K5608" s="17"/>
      <c r="L5608" s="7">
        <f t="shared" si="2383"/>
        <v>1</v>
      </c>
      <c r="M5608" s="8">
        <v>1</v>
      </c>
      <c r="N5608" s="8">
        <f t="shared" si="2384"/>
        <v>1</v>
      </c>
      <c r="O5608" s="11" t="s">
        <v>1702</v>
      </c>
      <c r="P5608" s="16" t="str">
        <f t="shared" si="2385"/>
        <v>04-Mar-1915</v>
      </c>
      <c r="R5608" s="16" t="str">
        <f t="shared" si="2379"/>
        <v>x</v>
      </c>
      <c r="S5608" s="16" t="str">
        <f t="shared" si="2379"/>
        <v>x</v>
      </c>
      <c r="U5608" s="46" t="str">
        <f t="shared" si="2386"/>
        <v/>
      </c>
      <c r="V5608" s="46">
        <f t="shared" si="2386"/>
        <v>1</v>
      </c>
      <c r="W5608" s="46" t="str">
        <f t="shared" si="2386"/>
        <v/>
      </c>
      <c r="X5608" s="46" t="str">
        <f t="shared" si="2386"/>
        <v/>
      </c>
    </row>
    <row r="5609" spans="2:24" x14ac:dyDescent="0.25">
      <c r="B5609" s="11" t="str">
        <f>CONCATENATE("ROMA","-",LEFT(P5609,2),UPPER(MID(P5609,4,3)),RIGHT(P5609,4))</f>
        <v>ROMA-03FEB1920</v>
      </c>
      <c r="C5609" s="11" t="s">
        <v>1604</v>
      </c>
      <c r="D5609" s="11" t="s">
        <v>870</v>
      </c>
      <c r="E5609" s="39" t="s">
        <v>5500</v>
      </c>
      <c r="F5609" s="11" t="s">
        <v>1700</v>
      </c>
      <c r="G5609" s="39" t="s">
        <v>5501</v>
      </c>
      <c r="H5609" s="7">
        <v>0</v>
      </c>
      <c r="I5609" s="7">
        <v>5</v>
      </c>
      <c r="J5609" s="17">
        <v>6</v>
      </c>
      <c r="K5609" s="17"/>
      <c r="L5609" s="7">
        <f>SUM(H5609:K5609)</f>
        <v>11</v>
      </c>
      <c r="M5609" s="8">
        <v>1</v>
      </c>
      <c r="N5609" s="8">
        <f>IF(L5609&gt;0,1,"")</f>
        <v>1</v>
      </c>
      <c r="O5609" s="11" t="s">
        <v>1702</v>
      </c>
      <c r="P5609" s="16" t="str">
        <f>IF(LEN(G5609)=10,CONCATENATE("0",G5609),G5609)</f>
        <v>03-Feb-1920</v>
      </c>
      <c r="R5609" s="16" t="str">
        <f t="shared" si="2379"/>
        <v>x</v>
      </c>
      <c r="S5609" s="16" t="str">
        <f t="shared" si="2379"/>
        <v>x</v>
      </c>
      <c r="U5609" s="46" t="str">
        <f t="shared" si="2386"/>
        <v/>
      </c>
      <c r="V5609" s="46">
        <f t="shared" si="2386"/>
        <v>11</v>
      </c>
      <c r="W5609" s="46" t="str">
        <f t="shared" si="2386"/>
        <v/>
      </c>
      <c r="X5609" s="46" t="str">
        <f t="shared" si="2386"/>
        <v/>
      </c>
    </row>
    <row r="5610" spans="2:24" x14ac:dyDescent="0.25">
      <c r="B5610" s="11" t="str">
        <f t="shared" si="2382"/>
        <v>ROMA-13MAY1920</v>
      </c>
      <c r="C5610" s="11" t="s">
        <v>1604</v>
      </c>
      <c r="D5610" s="11" t="s">
        <v>870</v>
      </c>
      <c r="E5610" s="39" t="s">
        <v>4137</v>
      </c>
      <c r="F5610" s="11" t="s">
        <v>1700</v>
      </c>
      <c r="G5610" s="39" t="s">
        <v>4138</v>
      </c>
      <c r="H5610" s="7">
        <f>1+2</f>
        <v>3</v>
      </c>
      <c r="I5610" s="7">
        <v>0</v>
      </c>
      <c r="J5610" s="17">
        <v>0</v>
      </c>
      <c r="K5610" s="17"/>
      <c r="L5610" s="7">
        <f t="shared" si="2383"/>
        <v>3</v>
      </c>
      <c r="M5610" s="8">
        <v>1</v>
      </c>
      <c r="N5610" s="8">
        <f t="shared" si="2384"/>
        <v>1</v>
      </c>
      <c r="O5610" s="11" t="s">
        <v>1702</v>
      </c>
      <c r="P5610" s="16" t="str">
        <f t="shared" si="2385"/>
        <v>13-May-1920</v>
      </c>
      <c r="R5610" s="16" t="str">
        <f t="shared" si="2379"/>
        <v>x</v>
      </c>
      <c r="S5610" s="16" t="str">
        <f t="shared" si="2379"/>
        <v>x</v>
      </c>
      <c r="U5610" s="46" t="str">
        <f t="shared" si="2360"/>
        <v/>
      </c>
      <c r="V5610" s="46">
        <f t="shared" si="2360"/>
        <v>3</v>
      </c>
      <c r="W5610" s="46" t="str">
        <f t="shared" si="2360"/>
        <v/>
      </c>
      <c r="X5610" s="46" t="str">
        <f t="shared" si="2360"/>
        <v/>
      </c>
    </row>
    <row r="5611" spans="2:24" x14ac:dyDescent="0.25">
      <c r="B5611" s="11" t="str">
        <f t="shared" si="2382"/>
        <v>ROMA-01JUL1920</v>
      </c>
      <c r="C5611" s="11" t="s">
        <v>1604</v>
      </c>
      <c r="D5611" s="11" t="s">
        <v>870</v>
      </c>
      <c r="E5611" s="39" t="s">
        <v>4497</v>
      </c>
      <c r="F5611" s="11" t="s">
        <v>1602</v>
      </c>
      <c r="G5611" s="39" t="s">
        <v>5364</v>
      </c>
      <c r="H5611" s="7">
        <v>11</v>
      </c>
      <c r="I5611" s="7">
        <v>2</v>
      </c>
      <c r="J5611" s="17">
        <v>0</v>
      </c>
      <c r="K5611" s="17"/>
      <c r="L5611" s="7">
        <f t="shared" si="2383"/>
        <v>13</v>
      </c>
      <c r="M5611" s="8">
        <v>1</v>
      </c>
      <c r="N5611" s="8">
        <f t="shared" si="2384"/>
        <v>1</v>
      </c>
      <c r="O5611" s="11" t="s">
        <v>1702</v>
      </c>
      <c r="P5611" s="16" t="str">
        <f t="shared" si="2385"/>
        <v>01-Jul-1920</v>
      </c>
      <c r="R5611" s="16" t="str">
        <f t="shared" si="2379"/>
        <v>x</v>
      </c>
      <c r="S5611" s="16" t="str">
        <f t="shared" si="2379"/>
        <v>x</v>
      </c>
      <c r="U5611" s="46" t="str">
        <f t="shared" ref="U5611:X5614" si="2387">IF($O5611=U$5,$L5611,"")</f>
        <v/>
      </c>
      <c r="V5611" s="46">
        <f t="shared" si="2387"/>
        <v>13</v>
      </c>
      <c r="W5611" s="46" t="str">
        <f t="shared" si="2387"/>
        <v/>
      </c>
      <c r="X5611" s="46" t="str">
        <f t="shared" si="2387"/>
        <v/>
      </c>
    </row>
    <row r="5612" spans="2:24" x14ac:dyDescent="0.25">
      <c r="B5612" s="11" t="str">
        <f>CONCATENATE("ROMA","-",LEFT(P5612,2),UPPER(MID(P5612,4,3)),RIGHT(P5612,4))</f>
        <v>ROMA-03JUL1920</v>
      </c>
      <c r="C5612" s="11" t="s">
        <v>1604</v>
      </c>
      <c r="D5612" s="11" t="s">
        <v>870</v>
      </c>
      <c r="E5612" s="39" t="s">
        <v>4497</v>
      </c>
      <c r="F5612" s="11" t="s">
        <v>1700</v>
      </c>
      <c r="G5612" s="39" t="s">
        <v>4941</v>
      </c>
      <c r="H5612" s="7">
        <v>5</v>
      </c>
      <c r="I5612" s="7">
        <v>0</v>
      </c>
      <c r="J5612" s="17">
        <v>0</v>
      </c>
      <c r="K5612" s="17"/>
      <c r="L5612" s="7">
        <f>SUM(H5612:K5612)</f>
        <v>5</v>
      </c>
      <c r="M5612" s="8">
        <v>1</v>
      </c>
      <c r="N5612" s="8">
        <f>IF(L5612&gt;0,1,"")</f>
        <v>1</v>
      </c>
      <c r="O5612" s="11" t="s">
        <v>1702</v>
      </c>
      <c r="P5612" s="16" t="str">
        <f>IF(LEN(G5612)=10,CONCATENATE("0",G5612),G5612)</f>
        <v>03-Jul-1920</v>
      </c>
      <c r="R5612" s="16" t="str">
        <f t="shared" si="2379"/>
        <v>x</v>
      </c>
      <c r="S5612" s="16" t="str">
        <f t="shared" si="2379"/>
        <v>x</v>
      </c>
      <c r="U5612" s="46" t="str">
        <f t="shared" si="2387"/>
        <v/>
      </c>
      <c r="V5612" s="46">
        <f t="shared" si="2387"/>
        <v>5</v>
      </c>
      <c r="W5612" s="46" t="str">
        <f t="shared" si="2387"/>
        <v/>
      </c>
      <c r="X5612" s="46" t="str">
        <f t="shared" si="2387"/>
        <v/>
      </c>
    </row>
    <row r="5613" spans="2:24" x14ac:dyDescent="0.25">
      <c r="B5613" s="11" t="str">
        <f>CONCATENATE("ROMA","-",LEFT(P5613,2),UPPER(MID(P5613,4,3)),RIGHT(P5613,4))</f>
        <v>ROMA-11JUL1921</v>
      </c>
      <c r="C5613" s="11" t="s">
        <v>1604</v>
      </c>
      <c r="D5613" s="11" t="s">
        <v>870</v>
      </c>
      <c r="E5613" s="39" t="s">
        <v>5440</v>
      </c>
      <c r="F5613" s="11" t="s">
        <v>1602</v>
      </c>
      <c r="G5613" s="39" t="s">
        <v>4377</v>
      </c>
      <c r="H5613" s="7">
        <v>5</v>
      </c>
      <c r="I5613" s="7">
        <v>12</v>
      </c>
      <c r="J5613" s="17">
        <v>71</v>
      </c>
      <c r="K5613" s="17"/>
      <c r="L5613" s="7">
        <f>SUM(H5613:K5613)</f>
        <v>88</v>
      </c>
      <c r="M5613" s="8">
        <v>1</v>
      </c>
      <c r="N5613" s="8">
        <f>IF(L5613&gt;0,1,"")</f>
        <v>1</v>
      </c>
      <c r="O5613" s="11" t="s">
        <v>1702</v>
      </c>
      <c r="P5613" s="16" t="str">
        <f>IF(LEN(G5613)=10,CONCATENATE("0",G5613),G5613)</f>
        <v>11-Jul-1921</v>
      </c>
      <c r="R5613" s="16" t="str">
        <f t="shared" si="2379"/>
        <v>x</v>
      </c>
      <c r="S5613" s="16" t="str">
        <f t="shared" si="2379"/>
        <v>x</v>
      </c>
      <c r="U5613" s="46" t="str">
        <f t="shared" si="2387"/>
        <v/>
      </c>
      <c r="V5613" s="46">
        <f t="shared" si="2387"/>
        <v>88</v>
      </c>
      <c r="W5613" s="46" t="str">
        <f t="shared" si="2387"/>
        <v/>
      </c>
      <c r="X5613" s="46" t="str">
        <f t="shared" si="2387"/>
        <v/>
      </c>
    </row>
    <row r="5614" spans="2:24" x14ac:dyDescent="0.25">
      <c r="B5614" s="11" t="str">
        <f t="shared" si="2382"/>
        <v>ROMA-12NOV1921</v>
      </c>
      <c r="C5614" s="11" t="s">
        <v>1604</v>
      </c>
      <c r="D5614" s="11" t="s">
        <v>870</v>
      </c>
      <c r="E5614" s="39" t="s">
        <v>4259</v>
      </c>
      <c r="F5614" s="11" t="s">
        <v>1602</v>
      </c>
      <c r="G5614" s="39" t="s">
        <v>4849</v>
      </c>
      <c r="H5614" s="7">
        <v>0</v>
      </c>
      <c r="I5614" s="7">
        <v>6</v>
      </c>
      <c r="J5614" s="17">
        <v>6</v>
      </c>
      <c r="K5614" s="17"/>
      <c r="L5614" s="7">
        <f t="shared" si="2383"/>
        <v>12</v>
      </c>
      <c r="M5614" s="8">
        <v>1</v>
      </c>
      <c r="N5614" s="8">
        <f t="shared" si="2384"/>
        <v>1</v>
      </c>
      <c r="O5614" s="11" t="s">
        <v>1702</v>
      </c>
      <c r="P5614" s="16" t="str">
        <f t="shared" si="2385"/>
        <v>12-Nov-1921</v>
      </c>
      <c r="R5614" s="16" t="str">
        <f t="shared" si="2379"/>
        <v>x</v>
      </c>
      <c r="S5614" s="16" t="str">
        <f t="shared" si="2379"/>
        <v>x</v>
      </c>
      <c r="U5614" s="46" t="str">
        <f t="shared" si="2387"/>
        <v/>
      </c>
      <c r="V5614" s="46">
        <f t="shared" si="2387"/>
        <v>12</v>
      </c>
      <c r="W5614" s="46" t="str">
        <f t="shared" si="2387"/>
        <v/>
      </c>
      <c r="X5614" s="46" t="str">
        <f t="shared" si="2387"/>
        <v/>
      </c>
    </row>
    <row r="5615" spans="2:24" x14ac:dyDescent="0.25">
      <c r="B5615" s="11" t="str">
        <f t="shared" ref="B5615:B5621" si="2388">CONCATENATE("ROMA","-",LEFT(P5615,2),UPPER(MID(P5615,4,3)),RIGHT(P5615,4))</f>
        <v>ROMA-07JAN1922</v>
      </c>
      <c r="C5615" s="11" t="s">
        <v>1604</v>
      </c>
      <c r="D5615" s="11" t="s">
        <v>870</v>
      </c>
      <c r="E5615" s="39" t="s">
        <v>3632</v>
      </c>
      <c r="F5615" s="11" t="s">
        <v>1602</v>
      </c>
      <c r="G5615" s="39" t="s">
        <v>3631</v>
      </c>
      <c r="H5615" s="7">
        <v>0</v>
      </c>
      <c r="I5615" s="7">
        <v>3</v>
      </c>
      <c r="J5615" s="17">
        <v>15</v>
      </c>
      <c r="K5615" s="17"/>
      <c r="L5615" s="7">
        <f t="shared" ref="L5615:L5621" si="2389">SUM(H5615:K5615)</f>
        <v>18</v>
      </c>
      <c r="M5615" s="8">
        <v>1</v>
      </c>
      <c r="N5615" s="8">
        <f t="shared" ref="N5615:N5621" si="2390">IF(L5615&gt;0,1,"")</f>
        <v>1</v>
      </c>
      <c r="O5615" s="11" t="s">
        <v>1702</v>
      </c>
      <c r="P5615" s="16" t="str">
        <f t="shared" ref="P5615:P5621" si="2391">IF(LEN(G5615)=10,CONCATENATE("0",G5615),G5615)</f>
        <v>07-Jan-1922</v>
      </c>
      <c r="R5615" s="16" t="str">
        <f t="shared" si="2379"/>
        <v>x</v>
      </c>
      <c r="S5615" s="16" t="str">
        <f t="shared" si="2379"/>
        <v>x</v>
      </c>
      <c r="U5615" s="46" t="str">
        <f t="shared" si="2360"/>
        <v/>
      </c>
      <c r="V5615" s="46">
        <f t="shared" si="2360"/>
        <v>18</v>
      </c>
      <c r="W5615" s="46" t="str">
        <f t="shared" si="2360"/>
        <v/>
      </c>
      <c r="X5615" s="46" t="str">
        <f t="shared" si="2360"/>
        <v/>
      </c>
    </row>
    <row r="5616" spans="2:24" x14ac:dyDescent="0.25">
      <c r="B5616" s="11" t="str">
        <f t="shared" si="2388"/>
        <v>ROMA-02DEC1922</v>
      </c>
      <c r="C5616" s="11" t="s">
        <v>1604</v>
      </c>
      <c r="D5616" s="11" t="s">
        <v>870</v>
      </c>
      <c r="E5616" s="39" t="s">
        <v>4285</v>
      </c>
      <c r="F5616" s="11" t="s">
        <v>1700</v>
      </c>
      <c r="G5616" s="39" t="s">
        <v>4286</v>
      </c>
      <c r="H5616" s="7">
        <v>0</v>
      </c>
      <c r="I5616" s="7">
        <v>17</v>
      </c>
      <c r="J5616" s="17">
        <f>12+1</f>
        <v>13</v>
      </c>
      <c r="K5616" s="17"/>
      <c r="L5616" s="7">
        <f t="shared" si="2389"/>
        <v>30</v>
      </c>
      <c r="M5616" s="8">
        <v>1</v>
      </c>
      <c r="N5616" s="8">
        <f t="shared" si="2390"/>
        <v>1</v>
      </c>
      <c r="O5616" s="11" t="s">
        <v>1702</v>
      </c>
      <c r="P5616" s="16" t="str">
        <f t="shared" si="2391"/>
        <v>02-Dec-1922</v>
      </c>
      <c r="R5616" s="16" t="str">
        <f t="shared" si="2379"/>
        <v>x</v>
      </c>
      <c r="S5616" s="16" t="str">
        <f t="shared" si="2379"/>
        <v>x</v>
      </c>
      <c r="U5616" s="46" t="str">
        <f t="shared" si="2360"/>
        <v/>
      </c>
      <c r="V5616" s="46">
        <f t="shared" si="2360"/>
        <v>30</v>
      </c>
      <c r="W5616" s="46" t="str">
        <f t="shared" si="2360"/>
        <v/>
      </c>
      <c r="X5616" s="46" t="str">
        <f t="shared" si="2360"/>
        <v/>
      </c>
    </row>
    <row r="5617" spans="2:24" x14ac:dyDescent="0.25">
      <c r="B5617" s="11" t="str">
        <f>CONCATENATE("ROMA","-",LEFT(P5617,2),UPPER(MID(P5617,4,3)),RIGHT(P5617,4))</f>
        <v>ROMA-01AUG1923</v>
      </c>
      <c r="C5617" s="11" t="s">
        <v>1604</v>
      </c>
      <c r="D5617" s="11" t="s">
        <v>870</v>
      </c>
      <c r="E5617" s="39" t="s">
        <v>4321</v>
      </c>
      <c r="F5617" s="11" t="s">
        <v>1602</v>
      </c>
      <c r="G5617" s="39" t="s">
        <v>2970</v>
      </c>
      <c r="H5617" s="7">
        <v>1</v>
      </c>
      <c r="I5617" s="7">
        <v>10</v>
      </c>
      <c r="J5617" s="17">
        <v>65</v>
      </c>
      <c r="K5617" s="17"/>
      <c r="L5617" s="7">
        <f>SUM(H5617:K5617)</f>
        <v>76</v>
      </c>
      <c r="M5617" s="8">
        <v>1</v>
      </c>
      <c r="N5617" s="8">
        <f>IF(L5617&gt;0,1,"")</f>
        <v>1</v>
      </c>
      <c r="O5617" s="11" t="s">
        <v>1702</v>
      </c>
      <c r="P5617" s="16" t="str">
        <f>IF(LEN(G5617)=10,CONCATENATE("0",G5617),G5617)</f>
        <v>01-Aug-1923</v>
      </c>
      <c r="R5617" s="16" t="str">
        <f t="shared" si="2379"/>
        <v>x</v>
      </c>
      <c r="S5617" s="16" t="str">
        <f t="shared" si="2379"/>
        <v>x</v>
      </c>
      <c r="U5617" s="46" t="str">
        <f>IF($O5617=U$5,$L5617,"")</f>
        <v/>
      </c>
      <c r="V5617" s="46">
        <f>IF($O5617=V$5,$L5617,"")</f>
        <v>76</v>
      </c>
      <c r="W5617" s="46" t="str">
        <f>IF($O5617=W$5,$L5617,"")</f>
        <v/>
      </c>
      <c r="X5617" s="46" t="str">
        <f>IF($O5617=X$5,$L5617,"")</f>
        <v/>
      </c>
    </row>
    <row r="5618" spans="2:24" x14ac:dyDescent="0.25">
      <c r="B5618" s="11" t="str">
        <f t="shared" si="2388"/>
        <v>ROMA-02AUG1923</v>
      </c>
      <c r="C5618" s="11" t="s">
        <v>1604</v>
      </c>
      <c r="D5618" s="11" t="s">
        <v>870</v>
      </c>
      <c r="E5618" s="39" t="s">
        <v>4321</v>
      </c>
      <c r="F5618" s="11" t="s">
        <v>1700</v>
      </c>
      <c r="G5618" s="39" t="s">
        <v>2887</v>
      </c>
      <c r="H5618" s="7">
        <v>0</v>
      </c>
      <c r="I5618" s="7">
        <v>0</v>
      </c>
      <c r="J5618" s="17">
        <f>0+2</f>
        <v>2</v>
      </c>
      <c r="K5618" s="17"/>
      <c r="L5618" s="7">
        <f t="shared" si="2389"/>
        <v>2</v>
      </c>
      <c r="M5618" s="8">
        <v>1</v>
      </c>
      <c r="N5618" s="8">
        <f t="shared" si="2390"/>
        <v>1</v>
      </c>
      <c r="O5618" s="11" t="s">
        <v>1702</v>
      </c>
      <c r="P5618" s="16" t="str">
        <f t="shared" si="2391"/>
        <v>02-Aug-1923</v>
      </c>
      <c r="R5618" s="16" t="str">
        <f t="shared" si="2379"/>
        <v>x</v>
      </c>
      <c r="S5618" s="16" t="str">
        <f t="shared" si="2379"/>
        <v>x</v>
      </c>
      <c r="U5618" s="46" t="str">
        <f t="shared" si="2360"/>
        <v/>
      </c>
      <c r="V5618" s="46">
        <f t="shared" si="2360"/>
        <v>2</v>
      </c>
      <c r="W5618" s="46" t="str">
        <f t="shared" si="2360"/>
        <v/>
      </c>
      <c r="X5618" s="46" t="str">
        <f t="shared" si="2360"/>
        <v/>
      </c>
    </row>
    <row r="5619" spans="2:24" x14ac:dyDescent="0.25">
      <c r="B5619" s="11" t="str">
        <f t="shared" si="2388"/>
        <v>ROMA-18OCT1923</v>
      </c>
      <c r="C5619" s="11" t="s">
        <v>1604</v>
      </c>
      <c r="D5619" s="11" t="s">
        <v>870</v>
      </c>
      <c r="E5619" s="39" t="s">
        <v>3912</v>
      </c>
      <c r="F5619" s="11" t="s">
        <v>1602</v>
      </c>
      <c r="G5619" s="39" t="s">
        <v>3913</v>
      </c>
      <c r="H5619" s="7">
        <v>0</v>
      </c>
      <c r="I5619" s="7">
        <v>2</v>
      </c>
      <c r="J5619" s="17">
        <f>60+2</f>
        <v>62</v>
      </c>
      <c r="K5619" s="17"/>
      <c r="L5619" s="7">
        <f t="shared" si="2389"/>
        <v>64</v>
      </c>
      <c r="M5619" s="8">
        <v>1</v>
      </c>
      <c r="N5619" s="8">
        <f t="shared" si="2390"/>
        <v>1</v>
      </c>
      <c r="O5619" s="11" t="s">
        <v>1702</v>
      </c>
      <c r="P5619" s="16" t="str">
        <f t="shared" si="2391"/>
        <v>18-Oct-1923</v>
      </c>
      <c r="R5619" s="16" t="str">
        <f t="shared" si="2379"/>
        <v>x</v>
      </c>
      <c r="S5619" s="16" t="str">
        <f t="shared" si="2379"/>
        <v>x</v>
      </c>
      <c r="U5619" s="46" t="str">
        <f t="shared" si="2360"/>
        <v/>
      </c>
      <c r="V5619" s="46">
        <f t="shared" si="2360"/>
        <v>64</v>
      </c>
      <c r="W5619" s="46" t="str">
        <f t="shared" si="2360"/>
        <v/>
      </c>
      <c r="X5619" s="46" t="str">
        <f t="shared" si="2360"/>
        <v/>
      </c>
    </row>
    <row r="5620" spans="2:24" x14ac:dyDescent="0.25">
      <c r="B5620" s="11" t="str">
        <f t="shared" si="2388"/>
        <v>ROMA-07JAN1925</v>
      </c>
      <c r="C5620" s="11" t="s">
        <v>1604</v>
      </c>
      <c r="D5620" s="11" t="s">
        <v>870</v>
      </c>
      <c r="E5620" s="39" t="s">
        <v>4361</v>
      </c>
      <c r="F5620" s="11" t="s">
        <v>1602</v>
      </c>
      <c r="G5620" s="39" t="s">
        <v>4362</v>
      </c>
      <c r="J5620" s="17">
        <f>0+1</f>
        <v>1</v>
      </c>
      <c r="K5620" s="17"/>
      <c r="L5620" s="7">
        <f t="shared" si="2389"/>
        <v>1</v>
      </c>
      <c r="M5620" s="8">
        <v>1</v>
      </c>
      <c r="N5620" s="8">
        <f t="shared" si="2390"/>
        <v>1</v>
      </c>
      <c r="O5620" s="11" t="s">
        <v>1702</v>
      </c>
      <c r="P5620" s="16" t="str">
        <f t="shared" si="2391"/>
        <v>07-Jan-1925</v>
      </c>
      <c r="R5620" s="16" t="str">
        <f t="shared" si="2379"/>
        <v>x</v>
      </c>
      <c r="S5620" s="16" t="str">
        <f t="shared" si="2379"/>
        <v>x</v>
      </c>
      <c r="U5620" s="46" t="str">
        <f t="shared" si="2360"/>
        <v/>
      </c>
      <c r="V5620" s="46">
        <f t="shared" si="2360"/>
        <v>1</v>
      </c>
      <c r="W5620" s="46" t="str">
        <f t="shared" si="2360"/>
        <v/>
      </c>
      <c r="X5620" s="46" t="str">
        <f t="shared" si="2360"/>
        <v/>
      </c>
    </row>
    <row r="5621" spans="2:24" x14ac:dyDescent="0.25">
      <c r="B5621" s="11" t="str">
        <f t="shared" si="2388"/>
        <v>ROMA-03JUL1925</v>
      </c>
      <c r="C5621" s="11" t="s">
        <v>1604</v>
      </c>
      <c r="D5621" s="11" t="s">
        <v>870</v>
      </c>
      <c r="E5621" s="39" t="s">
        <v>3516</v>
      </c>
      <c r="F5621" s="11" t="s">
        <v>1602</v>
      </c>
      <c r="G5621" s="39" t="s">
        <v>3515</v>
      </c>
      <c r="H5621" s="7">
        <v>2</v>
      </c>
      <c r="J5621" s="17">
        <v>4</v>
      </c>
      <c r="K5621" s="17"/>
      <c r="L5621" s="7">
        <f t="shared" si="2389"/>
        <v>6</v>
      </c>
      <c r="M5621" s="8">
        <v>1</v>
      </c>
      <c r="N5621" s="8">
        <f t="shared" si="2390"/>
        <v>1</v>
      </c>
      <c r="O5621" s="11" t="s">
        <v>1702</v>
      </c>
      <c r="P5621" s="16" t="str">
        <f t="shared" si="2391"/>
        <v>03-Jul-1925</v>
      </c>
      <c r="R5621" s="16" t="str">
        <f t="shared" si="2379"/>
        <v>x</v>
      </c>
      <c r="S5621" s="16" t="str">
        <f t="shared" si="2379"/>
        <v>x</v>
      </c>
      <c r="U5621" s="46" t="str">
        <f t="shared" si="2360"/>
        <v/>
      </c>
      <c r="V5621" s="46">
        <f t="shared" si="2360"/>
        <v>6</v>
      </c>
      <c r="W5621" s="46" t="str">
        <f t="shared" si="2360"/>
        <v/>
      </c>
      <c r="X5621" s="46" t="str">
        <f t="shared" si="2360"/>
        <v/>
      </c>
    </row>
    <row r="5622" spans="2:24" x14ac:dyDescent="0.25">
      <c r="B5622" s="11" t="str">
        <f>CONCATENATE("ROMA","-",LEFT(P5622,2),UPPER(MID(P5622,4,3)),RIGHT(P5622,4))</f>
        <v>ROMA-31MAY1926</v>
      </c>
      <c r="C5622" s="11" t="s">
        <v>1604</v>
      </c>
      <c r="D5622" s="11" t="s">
        <v>870</v>
      </c>
      <c r="E5622" s="39" t="s">
        <v>5811</v>
      </c>
      <c r="F5622" s="11" t="s">
        <v>1602</v>
      </c>
      <c r="G5622" s="39" t="s">
        <v>5812</v>
      </c>
      <c r="H5622" s="7">
        <v>1</v>
      </c>
      <c r="J5622" s="17">
        <v>0</v>
      </c>
      <c r="K5622" s="17"/>
      <c r="L5622" s="7">
        <f>SUM(H5622:K5622)</f>
        <v>1</v>
      </c>
      <c r="M5622" s="8">
        <v>1</v>
      </c>
      <c r="N5622" s="8">
        <f>IF(L5622&gt;0,1,"")</f>
        <v>1</v>
      </c>
      <c r="O5622" s="11" t="s">
        <v>1702</v>
      </c>
      <c r="P5622" s="16" t="str">
        <f>IF(LEN(G5622)=10,CONCATENATE("0",G5622),G5622)</f>
        <v>31-May-1926</v>
      </c>
      <c r="R5622" s="16" t="str">
        <f t="shared" si="2379"/>
        <v>x</v>
      </c>
      <c r="S5622" s="16" t="str">
        <f t="shared" si="2379"/>
        <v>x</v>
      </c>
      <c r="U5622" s="46" t="str">
        <f t="shared" ref="U5622:X5623" si="2392">IF($O5622=U$5,$L5622,"")</f>
        <v/>
      </c>
      <c r="V5622" s="46">
        <f t="shared" si="2392"/>
        <v>1</v>
      </c>
      <c r="W5622" s="46" t="str">
        <f t="shared" si="2392"/>
        <v/>
      </c>
      <c r="X5622" s="46" t="str">
        <f t="shared" si="2392"/>
        <v/>
      </c>
    </row>
    <row r="5623" spans="2:24" x14ac:dyDescent="0.25">
      <c r="B5623" s="11" t="str">
        <f>CONCATENATE("ROMA","-",LEFT(P5623,2),UPPER(MID(P5623,4,3)),RIGHT(P5623,4))</f>
        <v>ROMA-01JUL1927</v>
      </c>
      <c r="C5623" s="11" t="s">
        <v>1604</v>
      </c>
      <c r="D5623" s="11" t="s">
        <v>2808</v>
      </c>
      <c r="E5623" s="39" t="s">
        <v>6154</v>
      </c>
      <c r="F5623" s="11" t="s">
        <v>1602</v>
      </c>
      <c r="G5623" s="39" t="s">
        <v>4599</v>
      </c>
      <c r="H5623" s="7">
        <v>7</v>
      </c>
      <c r="J5623" s="17">
        <v>12</v>
      </c>
      <c r="K5623" s="17"/>
      <c r="L5623" s="7">
        <f>SUM(H5623:K5623)</f>
        <v>19</v>
      </c>
      <c r="M5623" s="8">
        <v>1</v>
      </c>
      <c r="N5623" s="8">
        <f>IF(L5623&gt;0,1,"")</f>
        <v>1</v>
      </c>
      <c r="O5623" s="11" t="s">
        <v>1702</v>
      </c>
      <c r="P5623" s="16" t="str">
        <f>IF(LEN(G5623)=10,CONCATENATE("0",G5623),G5623)</f>
        <v>01-Jul-1927</v>
      </c>
      <c r="R5623" s="16" t="str">
        <f>IF($L5623&gt;0,"x","")</f>
        <v>x</v>
      </c>
      <c r="S5623" s="16" t="str">
        <f>IF($L5623&gt;0,"x","")</f>
        <v>x</v>
      </c>
      <c r="U5623" s="46" t="str">
        <f t="shared" si="2392"/>
        <v/>
      </c>
      <c r="V5623" s="46">
        <f t="shared" si="2392"/>
        <v>19</v>
      </c>
      <c r="W5623" s="46" t="str">
        <f t="shared" si="2392"/>
        <v/>
      </c>
      <c r="X5623" s="46" t="str">
        <f t="shared" si="2392"/>
        <v/>
      </c>
    </row>
    <row r="5624" spans="2:24" x14ac:dyDescent="0.25">
      <c r="N5624" s="8" t="str">
        <f>IF(R5624="x",1,"")</f>
        <v/>
      </c>
      <c r="U5624" s="46" t="str">
        <f t="shared" si="2360"/>
        <v/>
      </c>
      <c r="V5624" s="46" t="str">
        <f t="shared" si="2360"/>
        <v/>
      </c>
      <c r="W5624" s="46" t="str">
        <f t="shared" si="2360"/>
        <v/>
      </c>
      <c r="X5624" s="46" t="str">
        <f t="shared" si="2360"/>
        <v/>
      </c>
    </row>
    <row r="5625" spans="2:24" x14ac:dyDescent="0.25">
      <c r="B5625" s="18"/>
      <c r="C5625" s="18"/>
      <c r="D5625" s="18"/>
      <c r="E5625" s="40"/>
      <c r="F5625" s="18"/>
      <c r="G5625" s="40"/>
      <c r="H5625" s="7">
        <f t="shared" ref="H5625:N5625" si="2393">SUM(H5580:H5624)</f>
        <v>35</v>
      </c>
      <c r="I5625" s="7">
        <f t="shared" si="2393"/>
        <v>78</v>
      </c>
      <c r="J5625" s="7">
        <f>SUM(J5580:J5624)</f>
        <v>1115</v>
      </c>
      <c r="K5625" s="7">
        <f t="shared" si="2393"/>
        <v>0</v>
      </c>
      <c r="L5625" s="7">
        <f t="shared" si="2393"/>
        <v>1228</v>
      </c>
      <c r="M5625" s="7">
        <f t="shared" si="2393"/>
        <v>44</v>
      </c>
      <c r="N5625" s="7">
        <f t="shared" si="2393"/>
        <v>44</v>
      </c>
      <c r="O5625" s="18"/>
      <c r="P5625" s="13"/>
      <c r="Q5625" s="13"/>
      <c r="S5625" s="13"/>
      <c r="T5625" s="15"/>
      <c r="U5625" s="46" t="str">
        <f t="shared" si="2360"/>
        <v/>
      </c>
      <c r="V5625" s="46" t="str">
        <f t="shared" si="2360"/>
        <v/>
      </c>
      <c r="W5625" s="46" t="str">
        <f t="shared" si="2360"/>
        <v/>
      </c>
      <c r="X5625" s="46" t="str">
        <f t="shared" si="2360"/>
        <v/>
      </c>
    </row>
    <row r="5626" spans="2:24" x14ac:dyDescent="0.25">
      <c r="B5626" s="18"/>
      <c r="C5626" s="18"/>
      <c r="D5626" s="18"/>
      <c r="E5626" s="40"/>
      <c r="F5626" s="18"/>
      <c r="G5626" s="40"/>
      <c r="N5626" s="8" t="str">
        <f>IF(R5626="x",1,"")</f>
        <v/>
      </c>
      <c r="O5626" s="18"/>
      <c r="P5626" s="13"/>
      <c r="Q5626" s="13"/>
      <c r="R5626" s="13"/>
      <c r="S5626" s="13"/>
      <c r="T5626" s="15"/>
      <c r="U5626" s="46" t="str">
        <f t="shared" si="2360"/>
        <v/>
      </c>
      <c r="V5626" s="46" t="str">
        <f t="shared" si="2360"/>
        <v/>
      </c>
      <c r="W5626" s="46" t="str">
        <f t="shared" si="2360"/>
        <v/>
      </c>
      <c r="X5626" s="46" t="str">
        <f t="shared" si="2360"/>
        <v/>
      </c>
    </row>
    <row r="5627" spans="2:24" x14ac:dyDescent="0.25">
      <c r="B5627" s="18"/>
      <c r="C5627" s="18"/>
      <c r="D5627" s="18"/>
      <c r="E5627" s="40"/>
      <c r="F5627" s="18"/>
      <c r="G5627" s="40"/>
      <c r="N5627" s="8" t="str">
        <f>IF(R5627="x",1,"")</f>
        <v/>
      </c>
      <c r="O5627" s="18"/>
      <c r="P5627" s="13"/>
      <c r="Q5627" s="13"/>
      <c r="R5627" s="13"/>
      <c r="S5627" s="13"/>
      <c r="T5627" s="15"/>
      <c r="U5627" s="46" t="str">
        <f t="shared" si="2360"/>
        <v/>
      </c>
      <c r="V5627" s="46" t="str">
        <f t="shared" si="2360"/>
        <v/>
      </c>
      <c r="W5627" s="46" t="str">
        <f t="shared" si="2360"/>
        <v/>
      </c>
      <c r="X5627" s="46" t="str">
        <f t="shared" si="2360"/>
        <v/>
      </c>
    </row>
    <row r="5628" spans="2:24" x14ac:dyDescent="0.25">
      <c r="B5628" s="11" t="str">
        <f t="shared" ref="B5628:B5638" si="2394">CONCATENATE("RMNC","-",LEFT(P5628,2),UPPER(MID(P5628,4,3)),RIGHT(P5628,4))</f>
        <v>RMNC-23FEB1904</v>
      </c>
      <c r="C5628" s="11" t="s">
        <v>3252</v>
      </c>
      <c r="D5628" s="11" t="s">
        <v>3395</v>
      </c>
      <c r="E5628" s="39" t="s">
        <v>3718</v>
      </c>
      <c r="F5628" s="11" t="s">
        <v>3050</v>
      </c>
      <c r="G5628" s="39" t="s">
        <v>3719</v>
      </c>
      <c r="H5628" s="7">
        <v>0</v>
      </c>
      <c r="J5628" s="17">
        <v>3</v>
      </c>
      <c r="K5628" s="17"/>
      <c r="L5628" s="7">
        <f t="shared" ref="L5628:L5638" si="2395">SUM(H5628:K5628)</f>
        <v>3</v>
      </c>
      <c r="M5628" s="8">
        <v>1</v>
      </c>
      <c r="N5628" s="8">
        <f t="shared" ref="N5628:N5638" si="2396">IF(L5628&gt;0,1,"")</f>
        <v>1</v>
      </c>
      <c r="O5628" s="11" t="s">
        <v>1702</v>
      </c>
      <c r="P5628" s="16" t="str">
        <f t="shared" ref="P5628:P5638" si="2397">IF(LEN(G5628)=10,CONCATENATE("0",G5628),G5628)</f>
        <v>23-Feb-1904</v>
      </c>
      <c r="R5628" s="16" t="str">
        <f t="shared" ref="R5628:S5638" si="2398">IF($L5628&gt;0,"x","")</f>
        <v>x</v>
      </c>
      <c r="S5628" s="16" t="str">
        <f t="shared" si="2398"/>
        <v>x</v>
      </c>
      <c r="U5628" s="46" t="str">
        <f t="shared" si="2360"/>
        <v/>
      </c>
      <c r="V5628" s="46">
        <f t="shared" si="2360"/>
        <v>3</v>
      </c>
      <c r="W5628" s="46" t="str">
        <f t="shared" si="2360"/>
        <v/>
      </c>
      <c r="X5628" s="46" t="str">
        <f t="shared" si="2360"/>
        <v/>
      </c>
    </row>
    <row r="5629" spans="2:24" x14ac:dyDescent="0.25">
      <c r="B5629" s="11" t="str">
        <f t="shared" si="2394"/>
        <v>RMNC-10MAY1904</v>
      </c>
      <c r="C5629" s="11" t="s">
        <v>3252</v>
      </c>
      <c r="D5629" s="11" t="s">
        <v>3007</v>
      </c>
      <c r="E5629" s="39" t="s">
        <v>5149</v>
      </c>
      <c r="F5629" s="11" t="s">
        <v>3050</v>
      </c>
      <c r="G5629" s="39" t="s">
        <v>5150</v>
      </c>
      <c r="H5629" s="7">
        <v>0</v>
      </c>
      <c r="I5629" s="7">
        <v>2</v>
      </c>
      <c r="J5629" s="17">
        <v>0</v>
      </c>
      <c r="K5629" s="17"/>
      <c r="L5629" s="7">
        <f t="shared" si="2395"/>
        <v>2</v>
      </c>
      <c r="M5629" s="8">
        <v>1</v>
      </c>
      <c r="N5629" s="8">
        <f t="shared" si="2396"/>
        <v>1</v>
      </c>
      <c r="O5629" s="11" t="s">
        <v>1702</v>
      </c>
      <c r="P5629" s="16" t="str">
        <f t="shared" si="2397"/>
        <v>10-May-1904</v>
      </c>
      <c r="R5629" s="16" t="str">
        <f t="shared" si="2398"/>
        <v>x</v>
      </c>
      <c r="S5629" s="16" t="str">
        <f t="shared" si="2398"/>
        <v>x</v>
      </c>
      <c r="U5629" s="46" t="str">
        <f t="shared" ref="U5629:X5637" si="2399">IF($O5629=U$5,$L5629,"")</f>
        <v/>
      </c>
      <c r="V5629" s="46">
        <f t="shared" si="2399"/>
        <v>2</v>
      </c>
      <c r="W5629" s="46" t="str">
        <f t="shared" si="2399"/>
        <v/>
      </c>
      <c r="X5629" s="46" t="str">
        <f t="shared" si="2399"/>
        <v/>
      </c>
    </row>
    <row r="5630" spans="2:24" x14ac:dyDescent="0.25">
      <c r="B5630" s="11" t="str">
        <f t="shared" si="2394"/>
        <v>RMNC-15JUN1904</v>
      </c>
      <c r="C5630" s="11" t="s">
        <v>3252</v>
      </c>
      <c r="D5630" s="11" t="s">
        <v>3007</v>
      </c>
      <c r="E5630" s="39" t="s">
        <v>5646</v>
      </c>
      <c r="F5630" s="11" t="s">
        <v>3050</v>
      </c>
      <c r="G5630" s="39" t="s">
        <v>5647</v>
      </c>
      <c r="H5630" s="7">
        <v>1</v>
      </c>
      <c r="I5630" s="7">
        <v>3</v>
      </c>
      <c r="J5630" s="17">
        <v>6</v>
      </c>
      <c r="K5630" s="17"/>
      <c r="L5630" s="7">
        <f t="shared" si="2395"/>
        <v>10</v>
      </c>
      <c r="M5630" s="8">
        <v>1</v>
      </c>
      <c r="N5630" s="8">
        <f t="shared" si="2396"/>
        <v>1</v>
      </c>
      <c r="O5630" s="11" t="s">
        <v>1702</v>
      </c>
      <c r="P5630" s="16" t="str">
        <f t="shared" si="2397"/>
        <v>15-Jun-1904</v>
      </c>
      <c r="R5630" s="16" t="str">
        <f t="shared" si="2398"/>
        <v>x</v>
      </c>
      <c r="S5630" s="16" t="str">
        <f t="shared" si="2398"/>
        <v>x</v>
      </c>
      <c r="U5630" s="46" t="str">
        <f t="shared" si="2399"/>
        <v/>
      </c>
      <c r="V5630" s="46">
        <f t="shared" si="2399"/>
        <v>10</v>
      </c>
      <c r="W5630" s="46" t="str">
        <f t="shared" si="2399"/>
        <v/>
      </c>
      <c r="X5630" s="46" t="str">
        <f t="shared" si="2399"/>
        <v/>
      </c>
    </row>
    <row r="5631" spans="2:24" x14ac:dyDescent="0.25">
      <c r="B5631" s="11" t="str">
        <f>CONCATENATE("RMNC","-",LEFT(P5631,2),UPPER(MID(P5631,4,3)),RIGHT(P5631,4))</f>
        <v>RMNC-01DEC1904</v>
      </c>
      <c r="C5631" s="11" t="s">
        <v>3252</v>
      </c>
      <c r="D5631" s="11" t="s">
        <v>3007</v>
      </c>
      <c r="E5631" s="39" t="s">
        <v>1411</v>
      </c>
      <c r="F5631" s="11" t="s">
        <v>3050</v>
      </c>
      <c r="G5631" s="39" t="s">
        <v>5958</v>
      </c>
      <c r="H5631" s="7">
        <v>0</v>
      </c>
      <c r="I5631" s="7">
        <v>1</v>
      </c>
      <c r="J5631" s="17">
        <v>7</v>
      </c>
      <c r="K5631" s="17"/>
      <c r="L5631" s="7">
        <f>SUM(H5631:K5631)</f>
        <v>8</v>
      </c>
      <c r="M5631" s="8">
        <v>1</v>
      </c>
      <c r="N5631" s="8">
        <f>IF(L5631&gt;0,1,"")</f>
        <v>1</v>
      </c>
      <c r="O5631" s="11" t="s">
        <v>1702</v>
      </c>
      <c r="P5631" s="16" t="str">
        <f>IF(LEN(G5631)=10,CONCATENATE("0",G5631),G5631)</f>
        <v>01-Dec-1904</v>
      </c>
      <c r="R5631" s="16" t="str">
        <f t="shared" si="2398"/>
        <v>x</v>
      </c>
      <c r="S5631" s="16" t="str">
        <f t="shared" si="2398"/>
        <v>x</v>
      </c>
      <c r="T5631" s="11"/>
      <c r="U5631" s="46" t="str">
        <f t="shared" si="2399"/>
        <v/>
      </c>
      <c r="V5631" s="46">
        <f t="shared" si="2399"/>
        <v>8</v>
      </c>
      <c r="W5631" s="46" t="str">
        <f t="shared" si="2399"/>
        <v/>
      </c>
      <c r="X5631" s="46" t="str">
        <f t="shared" si="2399"/>
        <v/>
      </c>
    </row>
    <row r="5632" spans="2:24" x14ac:dyDescent="0.25">
      <c r="B5632" s="11" t="str">
        <f>CONCATENATE("RMNC","-",LEFT(P5632,2),UPPER(MID(P5632,4,3)),RIGHT(P5632,4))</f>
        <v>RMNC-20JAN1905</v>
      </c>
      <c r="C5632" s="11" t="s">
        <v>3252</v>
      </c>
      <c r="D5632" s="11" t="s">
        <v>3007</v>
      </c>
      <c r="E5632" s="39" t="s">
        <v>2636</v>
      </c>
      <c r="F5632" s="11" t="s">
        <v>3050</v>
      </c>
      <c r="G5632" s="39" t="s">
        <v>5980</v>
      </c>
      <c r="H5632" s="7">
        <v>0</v>
      </c>
      <c r="I5632" s="7">
        <v>0</v>
      </c>
      <c r="J5632" s="17">
        <v>2</v>
      </c>
      <c r="K5632" s="17"/>
      <c r="L5632" s="7">
        <f>SUM(H5632:K5632)</f>
        <v>2</v>
      </c>
      <c r="M5632" s="8">
        <v>1</v>
      </c>
      <c r="N5632" s="8">
        <f>IF(L5632&gt;0,1,"")</f>
        <v>1</v>
      </c>
      <c r="O5632" s="11" t="s">
        <v>1702</v>
      </c>
      <c r="P5632" s="16" t="str">
        <f>IF(LEN(G5632)=10,CONCATENATE("0",G5632),G5632)</f>
        <v>20-Jan-1905</v>
      </c>
      <c r="R5632" s="16" t="str">
        <f t="shared" si="2398"/>
        <v>x</v>
      </c>
      <c r="S5632" s="16" t="str">
        <f t="shared" si="2398"/>
        <v>x</v>
      </c>
      <c r="U5632" s="46" t="str">
        <f t="shared" si="2399"/>
        <v/>
      </c>
      <c r="V5632" s="46">
        <f t="shared" si="2399"/>
        <v>2</v>
      </c>
      <c r="W5632" s="46" t="str">
        <f t="shared" si="2399"/>
        <v/>
      </c>
      <c r="X5632" s="46" t="str">
        <f t="shared" si="2399"/>
        <v/>
      </c>
    </row>
    <row r="5633" spans="2:24" x14ac:dyDescent="0.25">
      <c r="B5633" s="11" t="str">
        <f>CONCATENATE("RMNC","-",LEFT(P5633,2),UPPER(MID(P5633,4,3)),RIGHT(P5633,4))</f>
        <v>RMNC-30NOV1905</v>
      </c>
      <c r="C5633" s="11" t="s">
        <v>3252</v>
      </c>
      <c r="D5633" s="11" t="s">
        <v>3007</v>
      </c>
      <c r="E5633" s="39" t="s">
        <v>6324</v>
      </c>
      <c r="F5633" s="11" t="s">
        <v>3050</v>
      </c>
      <c r="G5633" s="39" t="s">
        <v>6325</v>
      </c>
      <c r="H5633" s="7">
        <v>0</v>
      </c>
      <c r="I5633" s="7">
        <v>1</v>
      </c>
      <c r="J5633" s="17">
        <v>1</v>
      </c>
      <c r="K5633" s="17"/>
      <c r="L5633" s="7">
        <f>SUM(H5633:K5633)</f>
        <v>2</v>
      </c>
      <c r="M5633" s="8">
        <v>1</v>
      </c>
      <c r="N5633" s="8">
        <f>IF(L5633&gt;0,1,"")</f>
        <v>1</v>
      </c>
      <c r="O5633" s="11" t="s">
        <v>1702</v>
      </c>
      <c r="P5633" s="16" t="str">
        <f>IF(LEN(G5633)=10,CONCATENATE("0",G5633),G5633)</f>
        <v>30-Nov-1905</v>
      </c>
      <c r="R5633" s="16" t="str">
        <f t="shared" si="2398"/>
        <v>x</v>
      </c>
      <c r="S5633" s="16" t="str">
        <f t="shared" si="2398"/>
        <v>x</v>
      </c>
      <c r="U5633" s="46" t="str">
        <f t="shared" si="2399"/>
        <v/>
      </c>
      <c r="V5633" s="46">
        <f t="shared" si="2399"/>
        <v>2</v>
      </c>
      <c r="W5633" s="46" t="str">
        <f t="shared" si="2399"/>
        <v/>
      </c>
      <c r="X5633" s="46" t="str">
        <f t="shared" si="2399"/>
        <v/>
      </c>
    </row>
    <row r="5634" spans="2:24" x14ac:dyDescent="0.25">
      <c r="B5634" s="11" t="str">
        <f t="shared" si="2394"/>
        <v>RMNC-21OCT1907</v>
      </c>
      <c r="C5634" s="11" t="s">
        <v>3252</v>
      </c>
      <c r="D5634" s="11" t="s">
        <v>3007</v>
      </c>
      <c r="E5634" s="39" t="s">
        <v>5065</v>
      </c>
      <c r="F5634" s="11" t="s">
        <v>3050</v>
      </c>
      <c r="G5634" s="39" t="s">
        <v>822</v>
      </c>
      <c r="H5634" s="7">
        <v>0</v>
      </c>
      <c r="I5634" s="7">
        <v>0</v>
      </c>
      <c r="J5634" s="17">
        <v>4</v>
      </c>
      <c r="K5634" s="17"/>
      <c r="L5634" s="7">
        <f t="shared" si="2395"/>
        <v>4</v>
      </c>
      <c r="M5634" s="8">
        <v>1</v>
      </c>
      <c r="N5634" s="8">
        <f t="shared" si="2396"/>
        <v>1</v>
      </c>
      <c r="O5634" s="11" t="s">
        <v>1702</v>
      </c>
      <c r="P5634" s="16" t="str">
        <f t="shared" si="2397"/>
        <v>21-Oct-1907</v>
      </c>
      <c r="R5634" s="16" t="str">
        <f t="shared" si="2398"/>
        <v>x</v>
      </c>
      <c r="S5634" s="16" t="str">
        <f t="shared" si="2398"/>
        <v>x</v>
      </c>
      <c r="U5634" s="46" t="str">
        <f t="shared" si="2399"/>
        <v/>
      </c>
      <c r="V5634" s="46">
        <f t="shared" si="2399"/>
        <v>4</v>
      </c>
      <c r="W5634" s="46" t="str">
        <f t="shared" si="2399"/>
        <v/>
      </c>
      <c r="X5634" s="46" t="str">
        <f t="shared" si="2399"/>
        <v/>
      </c>
    </row>
    <row r="5635" spans="2:24" x14ac:dyDescent="0.25">
      <c r="B5635" s="11" t="str">
        <f t="shared" si="2394"/>
        <v>RMNC-28NOV1907</v>
      </c>
      <c r="C5635" s="11" t="s">
        <v>3252</v>
      </c>
      <c r="D5635" s="11" t="s">
        <v>3007</v>
      </c>
      <c r="E5635" s="39" t="s">
        <v>1462</v>
      </c>
      <c r="F5635" s="11" t="s">
        <v>3050</v>
      </c>
      <c r="G5635" s="39" t="s">
        <v>3454</v>
      </c>
      <c r="H5635" s="7">
        <v>0</v>
      </c>
      <c r="I5635" s="7">
        <v>0</v>
      </c>
      <c r="J5635" s="17">
        <v>2</v>
      </c>
      <c r="K5635" s="17"/>
      <c r="L5635" s="7">
        <f t="shared" si="2395"/>
        <v>2</v>
      </c>
      <c r="M5635" s="8">
        <v>1</v>
      </c>
      <c r="N5635" s="8">
        <f t="shared" si="2396"/>
        <v>1</v>
      </c>
      <c r="O5635" s="11" t="s">
        <v>1702</v>
      </c>
      <c r="P5635" s="16" t="str">
        <f t="shared" si="2397"/>
        <v>28-Nov-1907</v>
      </c>
      <c r="R5635" s="16" t="str">
        <f t="shared" ref="R5635:S5637" si="2400">IF($L5635&gt;0,"x","")</f>
        <v>x</v>
      </c>
      <c r="S5635" s="16" t="str">
        <f t="shared" si="2400"/>
        <v>x</v>
      </c>
      <c r="U5635" s="46" t="str">
        <f t="shared" si="2399"/>
        <v/>
      </c>
      <c r="V5635" s="46">
        <f t="shared" si="2399"/>
        <v>2</v>
      </c>
      <c r="W5635" s="46" t="str">
        <f t="shared" si="2399"/>
        <v/>
      </c>
      <c r="X5635" s="46" t="str">
        <f t="shared" si="2399"/>
        <v/>
      </c>
    </row>
    <row r="5636" spans="2:24" x14ac:dyDescent="0.25">
      <c r="B5636" s="11" t="str">
        <f>CONCATENATE("RMNC","-",LEFT(P5636,2),UPPER(MID(P5636,4,3)),RIGHT(P5636,4))</f>
        <v>RMNC-28JUN1909</v>
      </c>
      <c r="C5636" s="11" t="s">
        <v>3252</v>
      </c>
      <c r="D5636" s="11" t="s">
        <v>3007</v>
      </c>
      <c r="E5636" s="39" t="s">
        <v>5935</v>
      </c>
      <c r="F5636" s="11" t="s">
        <v>3050</v>
      </c>
      <c r="G5636" s="39" t="s">
        <v>929</v>
      </c>
      <c r="H5636" s="7">
        <v>0</v>
      </c>
      <c r="I5636" s="7">
        <v>0</v>
      </c>
      <c r="J5636" s="17">
        <v>17</v>
      </c>
      <c r="K5636" s="17"/>
      <c r="L5636" s="7">
        <f>SUM(H5636:K5636)</f>
        <v>17</v>
      </c>
      <c r="M5636" s="8">
        <v>1</v>
      </c>
      <c r="N5636" s="8">
        <f>IF(L5636&gt;0,1,"")</f>
        <v>1</v>
      </c>
      <c r="O5636" s="11" t="s">
        <v>1702</v>
      </c>
      <c r="P5636" s="16" t="str">
        <f>IF(LEN(G5636)=10,CONCATENATE("0",G5636),G5636)</f>
        <v>28-Jun-1909</v>
      </c>
      <c r="R5636" s="16" t="str">
        <f t="shared" si="2400"/>
        <v>x</v>
      </c>
      <c r="S5636" s="16" t="str">
        <f t="shared" si="2400"/>
        <v>x</v>
      </c>
      <c r="T5636" s="11"/>
      <c r="U5636" s="46" t="str">
        <f t="shared" si="2399"/>
        <v/>
      </c>
      <c r="V5636" s="46">
        <f t="shared" si="2399"/>
        <v>17</v>
      </c>
      <c r="W5636" s="46" t="str">
        <f t="shared" si="2399"/>
        <v/>
      </c>
      <c r="X5636" s="46" t="str">
        <f t="shared" si="2399"/>
        <v/>
      </c>
    </row>
    <row r="5637" spans="2:24" x14ac:dyDescent="0.25">
      <c r="B5637" s="11" t="str">
        <f>CONCATENATE("RMNC","-",LEFT(P5637,2),UPPER(MID(P5637,4,3)),RIGHT(P5637,4))</f>
        <v>RMNC-09SEP1909</v>
      </c>
      <c r="C5637" s="11" t="s">
        <v>3252</v>
      </c>
      <c r="D5637" s="11" t="s">
        <v>3007</v>
      </c>
      <c r="E5637" s="39" t="s">
        <v>87</v>
      </c>
      <c r="F5637" s="11" t="s">
        <v>3050</v>
      </c>
      <c r="G5637" s="39" t="s">
        <v>11439</v>
      </c>
      <c r="H5637" s="7">
        <v>0</v>
      </c>
      <c r="I5637" s="7">
        <v>0</v>
      </c>
      <c r="J5637" s="17">
        <v>4</v>
      </c>
      <c r="K5637" s="17"/>
      <c r="L5637" s="7">
        <f>SUM(H5637:K5637)</f>
        <v>4</v>
      </c>
      <c r="M5637" s="8">
        <v>1</v>
      </c>
      <c r="N5637" s="8">
        <f>IF(L5637&gt;0,1,"")</f>
        <v>1</v>
      </c>
      <c r="O5637" s="11" t="s">
        <v>1702</v>
      </c>
      <c r="P5637" s="16" t="str">
        <f>IF(LEN(G5637)=10,CONCATENATE("0",G5637),G5637)</f>
        <v>09-Sep-1909</v>
      </c>
      <c r="R5637" s="16" t="str">
        <f t="shared" si="2400"/>
        <v>x</v>
      </c>
      <c r="S5637" s="16" t="str">
        <f t="shared" si="2400"/>
        <v>x</v>
      </c>
      <c r="U5637" s="46" t="str">
        <f t="shared" si="2399"/>
        <v/>
      </c>
      <c r="V5637" s="46">
        <f t="shared" si="2399"/>
        <v>4</v>
      </c>
      <c r="W5637" s="46" t="str">
        <f t="shared" si="2399"/>
        <v/>
      </c>
      <c r="X5637" s="46" t="str">
        <f t="shared" si="2399"/>
        <v/>
      </c>
    </row>
    <row r="5638" spans="2:24" x14ac:dyDescent="0.25">
      <c r="B5638" s="11" t="str">
        <f t="shared" si="2394"/>
        <v>RMNC-25NOV1909</v>
      </c>
      <c r="C5638" s="11" t="s">
        <v>3252</v>
      </c>
      <c r="D5638" s="11" t="s">
        <v>3007</v>
      </c>
      <c r="E5638" s="39" t="s">
        <v>1241</v>
      </c>
      <c r="F5638" s="11" t="s">
        <v>3050</v>
      </c>
      <c r="G5638" s="39" t="s">
        <v>3253</v>
      </c>
      <c r="H5638" s="7">
        <v>0</v>
      </c>
      <c r="I5638" s="7">
        <v>0</v>
      </c>
      <c r="J5638" s="17">
        <v>11</v>
      </c>
      <c r="K5638" s="17"/>
      <c r="L5638" s="7">
        <f t="shared" si="2395"/>
        <v>11</v>
      </c>
      <c r="M5638" s="8">
        <v>1</v>
      </c>
      <c r="N5638" s="8">
        <f t="shared" si="2396"/>
        <v>1</v>
      </c>
      <c r="O5638" s="11" t="s">
        <v>1702</v>
      </c>
      <c r="P5638" s="16" t="str">
        <f t="shared" si="2397"/>
        <v>25-Nov-1909</v>
      </c>
      <c r="R5638" s="16" t="str">
        <f t="shared" si="2398"/>
        <v>x</v>
      </c>
      <c r="S5638" s="16" t="str">
        <f t="shared" si="2398"/>
        <v>x</v>
      </c>
      <c r="U5638" s="46" t="str">
        <f t="shared" si="2360"/>
        <v/>
      </c>
      <c r="V5638" s="46">
        <f t="shared" si="2360"/>
        <v>11</v>
      </c>
      <c r="W5638" s="46" t="str">
        <f t="shared" si="2360"/>
        <v/>
      </c>
      <c r="X5638" s="46" t="str">
        <f t="shared" si="2360"/>
        <v/>
      </c>
    </row>
    <row r="5639" spans="2:24" x14ac:dyDescent="0.25">
      <c r="N5639" s="8" t="str">
        <f>IF(R5639="x",1,"")</f>
        <v/>
      </c>
      <c r="U5639" s="46" t="str">
        <f t="shared" si="2360"/>
        <v/>
      </c>
      <c r="V5639" s="46" t="str">
        <f t="shared" si="2360"/>
        <v/>
      </c>
      <c r="W5639" s="46" t="str">
        <f t="shared" si="2360"/>
        <v/>
      </c>
      <c r="X5639" s="46" t="str">
        <f t="shared" si="2360"/>
        <v/>
      </c>
    </row>
    <row r="5640" spans="2:24" x14ac:dyDescent="0.25">
      <c r="B5640" s="18"/>
      <c r="C5640" s="18"/>
      <c r="D5640" s="18"/>
      <c r="E5640" s="40"/>
      <c r="F5640" s="18"/>
      <c r="G5640" s="40"/>
      <c r="H5640" s="7">
        <f t="shared" ref="H5640:N5640" si="2401">SUM(H5628:H5639)</f>
        <v>1</v>
      </c>
      <c r="I5640" s="7">
        <f t="shared" si="2401"/>
        <v>7</v>
      </c>
      <c r="J5640" s="7">
        <f>SUM(J5628:J5639)</f>
        <v>57</v>
      </c>
      <c r="K5640" s="7">
        <f t="shared" si="2401"/>
        <v>0</v>
      </c>
      <c r="L5640" s="7">
        <f t="shared" si="2401"/>
        <v>65</v>
      </c>
      <c r="M5640" s="7">
        <f t="shared" si="2401"/>
        <v>11</v>
      </c>
      <c r="N5640" s="7">
        <f t="shared" si="2401"/>
        <v>11</v>
      </c>
      <c r="O5640" s="18"/>
      <c r="P5640" s="13"/>
      <c r="Q5640" s="13"/>
      <c r="S5640" s="13"/>
      <c r="T5640" s="15"/>
      <c r="U5640" s="46" t="str">
        <f t="shared" si="2360"/>
        <v/>
      </c>
      <c r="V5640" s="46" t="str">
        <f t="shared" si="2360"/>
        <v/>
      </c>
      <c r="W5640" s="46" t="str">
        <f t="shared" si="2360"/>
        <v/>
      </c>
      <c r="X5640" s="46" t="str">
        <f t="shared" si="2360"/>
        <v/>
      </c>
    </row>
    <row r="5641" spans="2:24" x14ac:dyDescent="0.25">
      <c r="B5641" s="18"/>
      <c r="C5641" s="18"/>
      <c r="D5641" s="18"/>
      <c r="E5641" s="40"/>
      <c r="F5641" s="18"/>
      <c r="G5641" s="40"/>
      <c r="N5641" s="8" t="str">
        <f>IF(R5641="x",1,"")</f>
        <v/>
      </c>
      <c r="O5641" s="18"/>
      <c r="P5641" s="13"/>
      <c r="Q5641" s="13"/>
      <c r="R5641" s="13"/>
      <c r="S5641" s="13"/>
      <c r="T5641" s="15"/>
      <c r="U5641" s="46" t="str">
        <f t="shared" si="2360"/>
        <v/>
      </c>
      <c r="V5641" s="46" t="str">
        <f t="shared" si="2360"/>
        <v/>
      </c>
      <c r="W5641" s="46" t="str">
        <f t="shared" si="2360"/>
        <v/>
      </c>
      <c r="X5641" s="46" t="str">
        <f t="shared" si="2360"/>
        <v/>
      </c>
    </row>
    <row r="5642" spans="2:24" x14ac:dyDescent="0.25">
      <c r="B5642" s="18"/>
      <c r="C5642" s="18"/>
      <c r="D5642" s="18"/>
      <c r="E5642" s="40"/>
      <c r="F5642" s="18"/>
      <c r="G5642" s="40"/>
      <c r="N5642" s="8" t="str">
        <f>IF(R5642="x",1,"")</f>
        <v/>
      </c>
      <c r="O5642" s="18"/>
      <c r="P5642" s="13"/>
      <c r="Q5642" s="13"/>
      <c r="R5642" s="13"/>
      <c r="S5642" s="13"/>
      <c r="T5642" s="15"/>
      <c r="U5642" s="46" t="str">
        <f t="shared" si="2360"/>
        <v/>
      </c>
      <c r="V5642" s="46" t="str">
        <f t="shared" si="2360"/>
        <v/>
      </c>
      <c r="W5642" s="46" t="str">
        <f t="shared" si="2360"/>
        <v/>
      </c>
      <c r="X5642" s="46" t="str">
        <f t="shared" si="2360"/>
        <v/>
      </c>
    </row>
    <row r="5643" spans="2:24" x14ac:dyDescent="0.25">
      <c r="B5643" s="11" t="str">
        <f t="shared" ref="B5643:B5667" si="2402">CONCATENATE("ROTT","-",LEFT(P5643,2),UPPER(MID(P5643,4,3)),RIGHT(P5643,4))</f>
        <v>ROTT-06NOV1891</v>
      </c>
      <c r="C5643" s="11" t="s">
        <v>3462</v>
      </c>
      <c r="D5643" s="11" t="s">
        <v>2102</v>
      </c>
      <c r="F5643" s="11" t="s">
        <v>1700</v>
      </c>
      <c r="G5643" s="39" t="s">
        <v>4407</v>
      </c>
      <c r="H5643" s="7">
        <v>0</v>
      </c>
      <c r="I5643" s="7">
        <v>0</v>
      </c>
      <c r="J5643" s="17">
        <v>4</v>
      </c>
      <c r="K5643" s="17"/>
      <c r="L5643" s="7">
        <f t="shared" ref="L5643:L5667" si="2403">SUM(H5643:K5643)</f>
        <v>4</v>
      </c>
      <c r="M5643" s="8">
        <v>1</v>
      </c>
      <c r="N5643" s="8">
        <f t="shared" ref="N5643:N5667" si="2404">IF(L5643&gt;0,1,"")</f>
        <v>1</v>
      </c>
      <c r="O5643" s="11" t="s">
        <v>1702</v>
      </c>
      <c r="P5643" s="16" t="str">
        <f t="shared" ref="P5643:P5667" si="2405">IF(LEN(G5643)=10,CONCATENATE("0",G5643),G5643)</f>
        <v>06-Nov-1891</v>
      </c>
      <c r="R5643" s="16" t="str">
        <f>IF($L5643&gt;0,"x","")</f>
        <v>x</v>
      </c>
      <c r="S5643" s="16" t="str">
        <f>IF($L5643&gt;0,"x","")</f>
        <v>x</v>
      </c>
      <c r="U5643" s="46" t="str">
        <f t="shared" si="2360"/>
        <v/>
      </c>
      <c r="V5643" s="46">
        <f t="shared" si="2360"/>
        <v>4</v>
      </c>
      <c r="W5643" s="46" t="str">
        <f t="shared" si="2360"/>
        <v/>
      </c>
      <c r="X5643" s="46" t="str">
        <f t="shared" si="2360"/>
        <v/>
      </c>
    </row>
    <row r="5644" spans="2:24" x14ac:dyDescent="0.25">
      <c r="B5644" s="11" t="str">
        <f t="shared" si="2402"/>
        <v>ROTT-13SEP1895</v>
      </c>
      <c r="C5644" s="11" t="s">
        <v>3462</v>
      </c>
      <c r="D5644" s="11" t="s">
        <v>2103</v>
      </c>
      <c r="F5644" s="11" t="s">
        <v>1700</v>
      </c>
      <c r="G5644" s="39" t="s">
        <v>4022</v>
      </c>
      <c r="H5644" s="7">
        <v>0</v>
      </c>
      <c r="J5644" s="17">
        <v>15</v>
      </c>
      <c r="K5644" s="17"/>
      <c r="L5644" s="7">
        <f t="shared" si="2403"/>
        <v>15</v>
      </c>
      <c r="M5644" s="8">
        <v>1</v>
      </c>
      <c r="N5644" s="8">
        <f t="shared" si="2404"/>
        <v>1</v>
      </c>
      <c r="O5644" s="11" t="s">
        <v>1702</v>
      </c>
      <c r="P5644" s="16" t="str">
        <f t="shared" si="2405"/>
        <v>13-Sep-1895</v>
      </c>
      <c r="R5644" s="16" t="str">
        <f t="shared" ref="R5644:S5646" si="2406">IF($L5644&gt;0,"x","")</f>
        <v>x</v>
      </c>
      <c r="S5644" s="16" t="str">
        <f t="shared" si="2406"/>
        <v>x</v>
      </c>
      <c r="U5644" s="46" t="str">
        <f t="shared" si="2360"/>
        <v/>
      </c>
      <c r="V5644" s="46">
        <f t="shared" si="2360"/>
        <v>15</v>
      </c>
      <c r="W5644" s="46" t="str">
        <f t="shared" si="2360"/>
        <v/>
      </c>
      <c r="X5644" s="46" t="str">
        <f t="shared" si="2360"/>
        <v/>
      </c>
    </row>
    <row r="5645" spans="2:24" x14ac:dyDescent="0.25">
      <c r="B5645" s="11" t="str">
        <f t="shared" si="2402"/>
        <v>ROTT-28AUG1897</v>
      </c>
      <c r="C5645" s="11" t="s">
        <v>3462</v>
      </c>
      <c r="D5645" s="11" t="s">
        <v>2103</v>
      </c>
      <c r="E5645" s="39" t="s">
        <v>4139</v>
      </c>
      <c r="F5645" s="11" t="s">
        <v>1700</v>
      </c>
      <c r="G5645" s="39" t="s">
        <v>1711</v>
      </c>
      <c r="J5645" s="17">
        <v>31</v>
      </c>
      <c r="K5645" s="17"/>
      <c r="L5645" s="7">
        <f t="shared" si="2403"/>
        <v>31</v>
      </c>
      <c r="M5645" s="8">
        <v>1</v>
      </c>
      <c r="N5645" s="8">
        <f t="shared" si="2404"/>
        <v>1</v>
      </c>
      <c r="O5645" s="11" t="s">
        <v>1702</v>
      </c>
      <c r="P5645" s="16" t="str">
        <f t="shared" si="2405"/>
        <v>28-Aug-1897</v>
      </c>
      <c r="R5645" s="16" t="str">
        <f t="shared" si="2406"/>
        <v>x</v>
      </c>
      <c r="S5645" s="16" t="str">
        <f t="shared" si="2406"/>
        <v>x</v>
      </c>
      <c r="U5645" s="46" t="str">
        <f t="shared" si="2360"/>
        <v/>
      </c>
      <c r="V5645" s="46">
        <f t="shared" si="2360"/>
        <v>31</v>
      </c>
      <c r="W5645" s="46" t="str">
        <f t="shared" si="2360"/>
        <v/>
      </c>
      <c r="X5645" s="46" t="str">
        <f t="shared" si="2360"/>
        <v/>
      </c>
    </row>
    <row r="5646" spans="2:24" x14ac:dyDescent="0.25">
      <c r="B5646" s="11" t="str">
        <f t="shared" si="2402"/>
        <v>ROTT-03OCT1897</v>
      </c>
      <c r="C5646" s="11" t="s">
        <v>3462</v>
      </c>
      <c r="D5646" s="11" t="s">
        <v>2103</v>
      </c>
      <c r="E5646" s="39" t="s">
        <v>4855</v>
      </c>
      <c r="F5646" s="11" t="s">
        <v>1700</v>
      </c>
      <c r="G5646" s="39" t="s">
        <v>4856</v>
      </c>
      <c r="J5646" s="17">
        <v>12</v>
      </c>
      <c r="K5646" s="17"/>
      <c r="L5646" s="7">
        <f t="shared" si="2403"/>
        <v>12</v>
      </c>
      <c r="M5646" s="8">
        <v>1</v>
      </c>
      <c r="N5646" s="8">
        <f t="shared" si="2404"/>
        <v>1</v>
      </c>
      <c r="O5646" s="11" t="s">
        <v>1702</v>
      </c>
      <c r="P5646" s="16" t="str">
        <f t="shared" si="2405"/>
        <v>03-Oct-1897</v>
      </c>
      <c r="R5646" s="16" t="str">
        <f t="shared" si="2406"/>
        <v>x</v>
      </c>
      <c r="S5646" s="16" t="str">
        <f t="shared" si="2406"/>
        <v>x</v>
      </c>
      <c r="U5646" s="46" t="str">
        <f>IF($O5646=U$5,$L5646,"")</f>
        <v/>
      </c>
      <c r="V5646" s="46">
        <f>IF($O5646=V$5,$L5646,"")</f>
        <v>12</v>
      </c>
      <c r="W5646" s="46" t="str">
        <f>IF($O5646=W$5,$L5646,"")</f>
        <v/>
      </c>
      <c r="X5646" s="46" t="str">
        <f>IF($O5646=X$5,$L5646,"")</f>
        <v/>
      </c>
    </row>
    <row r="5647" spans="2:24" x14ac:dyDescent="0.25">
      <c r="B5647" s="11" t="str">
        <f t="shared" si="2402"/>
        <v>ROTT-06NOV1897</v>
      </c>
      <c r="C5647" s="11" t="s">
        <v>3462</v>
      </c>
      <c r="D5647" s="11" t="s">
        <v>2103</v>
      </c>
      <c r="E5647" s="39" t="s">
        <v>3903</v>
      </c>
      <c r="F5647" s="11" t="s">
        <v>1700</v>
      </c>
      <c r="G5647" s="39" t="s">
        <v>456</v>
      </c>
      <c r="J5647" s="17">
        <v>11</v>
      </c>
      <c r="K5647" s="17"/>
      <c r="L5647" s="7">
        <f t="shared" si="2403"/>
        <v>11</v>
      </c>
      <c r="M5647" s="8">
        <v>1</v>
      </c>
      <c r="N5647" s="8">
        <f t="shared" si="2404"/>
        <v>1</v>
      </c>
      <c r="O5647" s="11" t="s">
        <v>1702</v>
      </c>
      <c r="P5647" s="16" t="str">
        <f t="shared" si="2405"/>
        <v>06-Nov-1897</v>
      </c>
      <c r="R5647" s="16" t="str">
        <f>IF($L5647&gt;0,"x","")</f>
        <v>x</v>
      </c>
      <c r="S5647" s="16" t="str">
        <f>IF($L5647&gt;0,"x","")</f>
        <v>x</v>
      </c>
      <c r="U5647" s="46" t="str">
        <f t="shared" si="2360"/>
        <v/>
      </c>
      <c r="V5647" s="46">
        <f t="shared" si="2360"/>
        <v>11</v>
      </c>
      <c r="W5647" s="46" t="str">
        <f t="shared" si="2360"/>
        <v/>
      </c>
      <c r="X5647" s="46" t="str">
        <f t="shared" si="2360"/>
        <v/>
      </c>
    </row>
    <row r="5648" spans="2:24" x14ac:dyDescent="0.25">
      <c r="B5648" s="11" t="str">
        <f t="shared" si="2402"/>
        <v>ROTT-23DEC1897</v>
      </c>
      <c r="C5648" s="11" t="s">
        <v>3462</v>
      </c>
      <c r="D5648" s="11" t="s">
        <v>2103</v>
      </c>
      <c r="E5648" s="39" t="s">
        <v>3196</v>
      </c>
      <c r="F5648" s="11" t="s">
        <v>1700</v>
      </c>
      <c r="G5648" s="39" t="s">
        <v>2161</v>
      </c>
      <c r="J5648" s="17">
        <v>10</v>
      </c>
      <c r="K5648" s="17"/>
      <c r="L5648" s="7">
        <f t="shared" si="2403"/>
        <v>10</v>
      </c>
      <c r="M5648" s="8">
        <v>1</v>
      </c>
      <c r="N5648" s="8">
        <f t="shared" si="2404"/>
        <v>1</v>
      </c>
      <c r="O5648" s="11" t="s">
        <v>1702</v>
      </c>
      <c r="P5648" s="16" t="str">
        <f t="shared" si="2405"/>
        <v>23-Dec-1897</v>
      </c>
      <c r="R5648" s="16" t="str">
        <f t="shared" ref="R5648:S5673" si="2407">IF($L5648&gt;0,"x","")</f>
        <v>x</v>
      </c>
      <c r="S5648" s="16" t="str">
        <f t="shared" si="2407"/>
        <v>x</v>
      </c>
      <c r="U5648" s="46" t="str">
        <f t="shared" si="2360"/>
        <v/>
      </c>
      <c r="V5648" s="46">
        <f t="shared" si="2360"/>
        <v>10</v>
      </c>
      <c r="W5648" s="46" t="str">
        <f t="shared" si="2360"/>
        <v/>
      </c>
      <c r="X5648" s="46" t="str">
        <f t="shared" si="2360"/>
        <v/>
      </c>
    </row>
    <row r="5649" spans="2:24" x14ac:dyDescent="0.25">
      <c r="B5649" s="11" t="str">
        <f>CONCATENATE("ROTT","-",LEFT(P5649,2),UPPER(MID(P5649,4,3)),RIGHT(P5649,4))</f>
        <v>ROTT-24JAN1898</v>
      </c>
      <c r="C5649" s="11" t="s">
        <v>3462</v>
      </c>
      <c r="D5649" s="11" t="s">
        <v>2103</v>
      </c>
      <c r="E5649" s="39" t="s">
        <v>6205</v>
      </c>
      <c r="F5649" s="11" t="s">
        <v>1700</v>
      </c>
      <c r="G5649" s="39" t="s">
        <v>6206</v>
      </c>
      <c r="J5649" s="17">
        <v>24</v>
      </c>
      <c r="K5649" s="17"/>
      <c r="L5649" s="7">
        <f>SUM(H5649:K5649)</f>
        <v>24</v>
      </c>
      <c r="M5649" s="8">
        <v>1</v>
      </c>
      <c r="N5649" s="8">
        <f>IF(L5649&gt;0,1,"")</f>
        <v>1</v>
      </c>
      <c r="O5649" s="11" t="s">
        <v>1702</v>
      </c>
      <c r="P5649" s="16" t="str">
        <f>IF(LEN(G5649)=10,CONCATENATE("0",G5649),G5649)</f>
        <v>24-Jan-1898</v>
      </c>
      <c r="R5649" s="16" t="str">
        <f t="shared" si="2407"/>
        <v>x</v>
      </c>
      <c r="S5649" s="16" t="str">
        <f t="shared" si="2407"/>
        <v>x</v>
      </c>
      <c r="U5649" s="46" t="str">
        <f>IF($O5649=U$5,$L5649,"")</f>
        <v/>
      </c>
      <c r="V5649" s="46">
        <f>IF($O5649=V$5,$L5649,"")</f>
        <v>24</v>
      </c>
      <c r="W5649" s="46" t="str">
        <f>IF($O5649=W$5,$L5649,"")</f>
        <v/>
      </c>
      <c r="X5649" s="46" t="str">
        <f>IF($O5649=X$5,$L5649,"")</f>
        <v/>
      </c>
    </row>
    <row r="5650" spans="2:24" x14ac:dyDescent="0.25">
      <c r="B5650" s="11" t="str">
        <f t="shared" si="2402"/>
        <v>ROTT-08MAY1898</v>
      </c>
      <c r="C5650" s="11" t="s">
        <v>3462</v>
      </c>
      <c r="D5650" s="11" t="s">
        <v>2103</v>
      </c>
      <c r="E5650" s="39" t="s">
        <v>4103</v>
      </c>
      <c r="F5650" s="11" t="s">
        <v>1700</v>
      </c>
      <c r="G5650" s="39" t="s">
        <v>4104</v>
      </c>
      <c r="J5650" s="17">
        <v>9</v>
      </c>
      <c r="K5650" s="17"/>
      <c r="L5650" s="7">
        <f t="shared" si="2403"/>
        <v>9</v>
      </c>
      <c r="M5650" s="8">
        <v>1</v>
      </c>
      <c r="N5650" s="8">
        <f t="shared" si="2404"/>
        <v>1</v>
      </c>
      <c r="O5650" s="11" t="s">
        <v>1702</v>
      </c>
      <c r="P5650" s="16" t="str">
        <f t="shared" si="2405"/>
        <v>08-May-1898</v>
      </c>
      <c r="R5650" s="16" t="str">
        <f t="shared" si="2407"/>
        <v>x</v>
      </c>
      <c r="S5650" s="16" t="str">
        <f t="shared" si="2407"/>
        <v>x</v>
      </c>
      <c r="U5650" s="46" t="str">
        <f t="shared" si="2360"/>
        <v/>
      </c>
      <c r="V5650" s="46">
        <f t="shared" si="2360"/>
        <v>9</v>
      </c>
      <c r="W5650" s="46" t="str">
        <f t="shared" si="2360"/>
        <v/>
      </c>
      <c r="X5650" s="46" t="str">
        <f t="shared" si="2360"/>
        <v/>
      </c>
    </row>
    <row r="5651" spans="2:24" x14ac:dyDescent="0.25">
      <c r="B5651" s="11" t="str">
        <f>CONCATENATE("ROTT","-",LEFT(P5651,2),UPPER(MID(P5651,4,3)),RIGHT(P5651,4))</f>
        <v>ROTT-31OCT1898</v>
      </c>
      <c r="C5651" s="11" t="s">
        <v>3462</v>
      </c>
      <c r="D5651" s="11" t="s">
        <v>2103</v>
      </c>
      <c r="E5651" s="39" t="s">
        <v>2172</v>
      </c>
      <c r="F5651" s="11" t="s">
        <v>1700</v>
      </c>
      <c r="G5651" s="39" t="s">
        <v>11498</v>
      </c>
      <c r="J5651" s="17">
        <v>3</v>
      </c>
      <c r="K5651" s="17"/>
      <c r="L5651" s="7">
        <f>SUM(H5651:K5651)</f>
        <v>3</v>
      </c>
      <c r="M5651" s="8">
        <v>1</v>
      </c>
      <c r="N5651" s="8">
        <f>IF(L5651&gt;0,1,"")</f>
        <v>1</v>
      </c>
      <c r="O5651" s="11" t="s">
        <v>1702</v>
      </c>
      <c r="P5651" s="16" t="str">
        <f>IF(LEN(G5651)=10,CONCATENATE("0",G5651),G5651)</f>
        <v>31-Oct-1898</v>
      </c>
      <c r="R5651" s="16" t="str">
        <f t="shared" si="2407"/>
        <v>x</v>
      </c>
      <c r="S5651" s="80"/>
      <c r="U5651" s="46" t="str">
        <f>IF($O5651=U$5,$L5651,"")</f>
        <v/>
      </c>
      <c r="V5651" s="46">
        <f>IF($O5651=V$5,$L5651,"")</f>
        <v>3</v>
      </c>
      <c r="W5651" s="46" t="str">
        <f>IF($O5651=W$5,$L5651,"")</f>
        <v/>
      </c>
      <c r="X5651" s="46" t="str">
        <f>IF($O5651=X$5,$L5651,"")</f>
        <v/>
      </c>
    </row>
    <row r="5652" spans="2:24" x14ac:dyDescent="0.25">
      <c r="B5652" s="11" t="str">
        <f t="shared" si="2402"/>
        <v>ROTT-24SEP1899</v>
      </c>
      <c r="C5652" s="11" t="s">
        <v>3462</v>
      </c>
      <c r="D5652" s="11" t="s">
        <v>2103</v>
      </c>
      <c r="E5652" s="39" t="s">
        <v>3197</v>
      </c>
      <c r="F5652" s="11" t="s">
        <v>1700</v>
      </c>
      <c r="G5652" s="39" t="s">
        <v>3198</v>
      </c>
      <c r="J5652" s="17">
        <v>9</v>
      </c>
      <c r="K5652" s="17"/>
      <c r="L5652" s="7">
        <f t="shared" si="2403"/>
        <v>9</v>
      </c>
      <c r="M5652" s="8">
        <v>1</v>
      </c>
      <c r="N5652" s="8">
        <f t="shared" si="2404"/>
        <v>1</v>
      </c>
      <c r="O5652" s="11" t="s">
        <v>1702</v>
      </c>
      <c r="P5652" s="16" t="str">
        <f t="shared" si="2405"/>
        <v>24-Sep-1899</v>
      </c>
      <c r="R5652" s="16" t="str">
        <f t="shared" si="2407"/>
        <v>x</v>
      </c>
      <c r="S5652" s="16" t="str">
        <f t="shared" si="2407"/>
        <v>x</v>
      </c>
      <c r="U5652" s="46" t="str">
        <f t="shared" si="2360"/>
        <v/>
      </c>
      <c r="V5652" s="46">
        <f t="shared" si="2360"/>
        <v>9</v>
      </c>
      <c r="W5652" s="46" t="str">
        <f t="shared" si="2360"/>
        <v/>
      </c>
      <c r="X5652" s="46" t="str">
        <f t="shared" si="2360"/>
        <v/>
      </c>
    </row>
    <row r="5653" spans="2:24" x14ac:dyDescent="0.25">
      <c r="B5653" s="11" t="str">
        <f t="shared" si="2402"/>
        <v>ROTT-04DEC1899</v>
      </c>
      <c r="C5653" s="11" t="s">
        <v>3462</v>
      </c>
      <c r="D5653" s="11" t="s">
        <v>2103</v>
      </c>
      <c r="E5653" s="39" t="s">
        <v>5414</v>
      </c>
      <c r="F5653" s="11" t="s">
        <v>1700</v>
      </c>
      <c r="G5653" s="39" t="s">
        <v>5415</v>
      </c>
      <c r="J5653" s="17">
        <v>17</v>
      </c>
      <c r="K5653" s="17"/>
      <c r="L5653" s="7">
        <f t="shared" si="2403"/>
        <v>17</v>
      </c>
      <c r="M5653" s="8">
        <v>1</v>
      </c>
      <c r="N5653" s="8">
        <f t="shared" si="2404"/>
        <v>1</v>
      </c>
      <c r="O5653" s="11" t="s">
        <v>1702</v>
      </c>
      <c r="P5653" s="16" t="str">
        <f t="shared" si="2405"/>
        <v>04-Dec-1899</v>
      </c>
      <c r="R5653" s="16" t="str">
        <f>IF($L5653&gt;0,"x","")</f>
        <v>x</v>
      </c>
      <c r="S5653" s="16" t="str">
        <f>IF($L5653&gt;0,"x","")</f>
        <v>x</v>
      </c>
      <c r="U5653" s="46" t="str">
        <f t="shared" ref="U5653:X5659" si="2408">IF($O5653=U$5,$L5653,"")</f>
        <v/>
      </c>
      <c r="V5653" s="46">
        <f t="shared" si="2408"/>
        <v>17</v>
      </c>
      <c r="W5653" s="46" t="str">
        <f t="shared" si="2408"/>
        <v/>
      </c>
      <c r="X5653" s="46" t="str">
        <f t="shared" si="2408"/>
        <v/>
      </c>
    </row>
    <row r="5654" spans="2:24" x14ac:dyDescent="0.25">
      <c r="B5654" s="11" t="str">
        <f>CONCATENATE("ROTT","-",LEFT(P5654,2),UPPER(MID(P5654,4,3)),RIGHT(P5654,4))</f>
        <v>ROTT-01OCT1900</v>
      </c>
      <c r="C5654" s="11" t="s">
        <v>3462</v>
      </c>
      <c r="D5654" s="11" t="s">
        <v>2103</v>
      </c>
      <c r="E5654" s="39" t="s">
        <v>11331</v>
      </c>
      <c r="F5654" s="11" t="s">
        <v>1700</v>
      </c>
      <c r="G5654" s="39" t="s">
        <v>11332</v>
      </c>
      <c r="J5654" s="17">
        <v>13</v>
      </c>
      <c r="K5654" s="17"/>
      <c r="L5654" s="7">
        <f>SUM(H5654:K5654)</f>
        <v>13</v>
      </c>
      <c r="M5654" s="8">
        <v>1</v>
      </c>
      <c r="N5654" s="8">
        <f>IF(L5654&gt;0,1,"")</f>
        <v>1</v>
      </c>
      <c r="O5654" s="11" t="s">
        <v>1702</v>
      </c>
      <c r="P5654" s="16" t="str">
        <f>IF(LEN(G5654)=10,CONCATENATE("0",G5654),G5654)</f>
        <v>01-Oct-1900</v>
      </c>
      <c r="R5654" s="16" t="str">
        <f>IF($L5654&gt;0,"x","")</f>
        <v>x</v>
      </c>
      <c r="S5654" s="16" t="str">
        <f>IF($L5654&gt;0,"x","")</f>
        <v>x</v>
      </c>
      <c r="U5654" s="46" t="str">
        <f t="shared" si="2408"/>
        <v/>
      </c>
      <c r="V5654" s="46">
        <f t="shared" si="2408"/>
        <v>13</v>
      </c>
      <c r="W5654" s="46" t="str">
        <f t="shared" si="2408"/>
        <v/>
      </c>
      <c r="X5654" s="46" t="str">
        <f t="shared" si="2408"/>
        <v/>
      </c>
    </row>
    <row r="5655" spans="2:24" x14ac:dyDescent="0.25">
      <c r="B5655" s="11" t="str">
        <f t="shared" si="2402"/>
        <v>ROTT-05NOV1900</v>
      </c>
      <c r="C5655" s="11" t="s">
        <v>3462</v>
      </c>
      <c r="D5655" s="11" t="s">
        <v>2103</v>
      </c>
      <c r="E5655" s="39" t="s">
        <v>5221</v>
      </c>
      <c r="F5655" s="11" t="s">
        <v>1700</v>
      </c>
      <c r="G5655" s="39" t="s">
        <v>5222</v>
      </c>
      <c r="J5655" s="17">
        <v>5</v>
      </c>
      <c r="K5655" s="17"/>
      <c r="L5655" s="7">
        <f t="shared" si="2403"/>
        <v>5</v>
      </c>
      <c r="M5655" s="8">
        <v>1</v>
      </c>
      <c r="N5655" s="8">
        <f t="shared" si="2404"/>
        <v>1</v>
      </c>
      <c r="O5655" s="11" t="s">
        <v>1702</v>
      </c>
      <c r="P5655" s="16" t="str">
        <f t="shared" si="2405"/>
        <v>05-Nov-1900</v>
      </c>
      <c r="R5655" s="16" t="str">
        <f t="shared" si="2407"/>
        <v>x</v>
      </c>
      <c r="S5655" s="16" t="str">
        <f t="shared" si="2407"/>
        <v>x</v>
      </c>
      <c r="U5655" s="46" t="str">
        <f t="shared" si="2408"/>
        <v/>
      </c>
      <c r="V5655" s="46">
        <f t="shared" si="2408"/>
        <v>5</v>
      </c>
      <c r="W5655" s="46" t="str">
        <f t="shared" si="2408"/>
        <v/>
      </c>
      <c r="X5655" s="46" t="str">
        <f t="shared" si="2408"/>
        <v/>
      </c>
    </row>
    <row r="5656" spans="2:24" x14ac:dyDescent="0.25">
      <c r="B5656" s="11" t="str">
        <f>CONCATENATE("ROTT","-",LEFT(P5656,2),UPPER(MID(P5656,4,3)),RIGHT(P5656,4))</f>
        <v>ROTT-01APR1901</v>
      </c>
      <c r="C5656" s="11" t="s">
        <v>3462</v>
      </c>
      <c r="D5656" s="11" t="s">
        <v>2103</v>
      </c>
      <c r="E5656" s="39" t="s">
        <v>3555</v>
      </c>
      <c r="F5656" s="11" t="s">
        <v>1700</v>
      </c>
      <c r="G5656" s="39" t="s">
        <v>3483</v>
      </c>
      <c r="J5656" s="17">
        <v>4</v>
      </c>
      <c r="K5656" s="17"/>
      <c r="L5656" s="7">
        <f>SUM(H5656:K5656)</f>
        <v>4</v>
      </c>
      <c r="M5656" s="8">
        <v>1</v>
      </c>
      <c r="N5656" s="8">
        <f>IF(L5656&gt;0,1,"")</f>
        <v>1</v>
      </c>
      <c r="O5656" s="11" t="s">
        <v>1702</v>
      </c>
      <c r="P5656" s="16" t="str">
        <f>IF(LEN(G5656)=10,CONCATENATE("0",G5656),G5656)</f>
        <v>01-Apr-1901</v>
      </c>
      <c r="R5656" s="16" t="str">
        <f t="shared" si="2407"/>
        <v>x</v>
      </c>
      <c r="S5656" s="16" t="str">
        <f t="shared" si="2407"/>
        <v>x</v>
      </c>
      <c r="U5656" s="46" t="str">
        <f t="shared" si="2408"/>
        <v/>
      </c>
      <c r="V5656" s="46">
        <f t="shared" si="2408"/>
        <v>4</v>
      </c>
      <c r="W5656" s="46" t="str">
        <f t="shared" si="2408"/>
        <v/>
      </c>
      <c r="X5656" s="46" t="str">
        <f t="shared" si="2408"/>
        <v/>
      </c>
    </row>
    <row r="5657" spans="2:24" x14ac:dyDescent="0.25">
      <c r="B5657" s="11" t="str">
        <f t="shared" si="2402"/>
        <v>ROTT-20JAN1902</v>
      </c>
      <c r="C5657" s="11" t="s">
        <v>3462</v>
      </c>
      <c r="D5657" s="11" t="s">
        <v>2103</v>
      </c>
      <c r="E5657" s="39" t="s">
        <v>5251</v>
      </c>
      <c r="F5657" s="11" t="s">
        <v>1700</v>
      </c>
      <c r="G5657" s="39" t="s">
        <v>5252</v>
      </c>
      <c r="J5657" s="17">
        <v>3</v>
      </c>
      <c r="K5657" s="17"/>
      <c r="L5657" s="7">
        <f t="shared" si="2403"/>
        <v>3</v>
      </c>
      <c r="M5657" s="8">
        <v>1</v>
      </c>
      <c r="N5657" s="8">
        <f t="shared" si="2404"/>
        <v>1</v>
      </c>
      <c r="O5657" s="11" t="s">
        <v>1702</v>
      </c>
      <c r="P5657" s="16" t="str">
        <f t="shared" si="2405"/>
        <v>20-Jan-1902</v>
      </c>
      <c r="R5657" s="16" t="str">
        <f t="shared" ref="R5657:S5659" si="2409">IF($L5657&gt;0,"x","")</f>
        <v>x</v>
      </c>
      <c r="S5657" s="16" t="str">
        <f t="shared" si="2409"/>
        <v>x</v>
      </c>
      <c r="U5657" s="46" t="str">
        <f t="shared" si="2408"/>
        <v/>
      </c>
      <c r="V5657" s="46">
        <f t="shared" si="2408"/>
        <v>3</v>
      </c>
      <c r="W5657" s="46" t="str">
        <f t="shared" si="2408"/>
        <v/>
      </c>
      <c r="X5657" s="46" t="str">
        <f t="shared" si="2408"/>
        <v/>
      </c>
    </row>
    <row r="5658" spans="2:24" x14ac:dyDescent="0.25">
      <c r="B5658" s="11" t="str">
        <f t="shared" si="2402"/>
        <v>ROTT-25FEB1902</v>
      </c>
      <c r="C5658" s="11" t="s">
        <v>3462</v>
      </c>
      <c r="D5658" s="11" t="s">
        <v>2103</v>
      </c>
      <c r="E5658" s="39" t="s">
        <v>5616</v>
      </c>
      <c r="F5658" s="11" t="s">
        <v>1700</v>
      </c>
      <c r="G5658" s="39" t="s">
        <v>5617</v>
      </c>
      <c r="J5658" s="17">
        <v>5</v>
      </c>
      <c r="K5658" s="17"/>
      <c r="L5658" s="7">
        <f t="shared" si="2403"/>
        <v>5</v>
      </c>
      <c r="M5658" s="8">
        <v>1</v>
      </c>
      <c r="N5658" s="8">
        <f t="shared" si="2404"/>
        <v>1</v>
      </c>
      <c r="O5658" s="11" t="s">
        <v>1702</v>
      </c>
      <c r="P5658" s="16" t="str">
        <f t="shared" si="2405"/>
        <v>25-Feb-1902</v>
      </c>
      <c r="R5658" s="16" t="str">
        <f t="shared" si="2409"/>
        <v>x</v>
      </c>
      <c r="S5658" s="16" t="str">
        <f t="shared" si="2409"/>
        <v>x</v>
      </c>
      <c r="U5658" s="46" t="str">
        <f t="shared" si="2408"/>
        <v/>
      </c>
      <c r="V5658" s="46">
        <f t="shared" si="2408"/>
        <v>5</v>
      </c>
      <c r="W5658" s="46" t="str">
        <f t="shared" si="2408"/>
        <v/>
      </c>
      <c r="X5658" s="46" t="str">
        <f t="shared" si="2408"/>
        <v/>
      </c>
    </row>
    <row r="5659" spans="2:24" x14ac:dyDescent="0.25">
      <c r="B5659" s="11" t="str">
        <f>CONCATENATE("ROTT","-",LEFT(P5659,2),UPPER(MID(P5659,4,3)),RIGHT(P5659,4))</f>
        <v>ROTT-31MAR1902</v>
      </c>
      <c r="C5659" s="11" t="s">
        <v>3462</v>
      </c>
      <c r="D5659" s="11" t="s">
        <v>2103</v>
      </c>
      <c r="E5659" s="39" t="s">
        <v>11184</v>
      </c>
      <c r="F5659" s="11" t="s">
        <v>1700</v>
      </c>
      <c r="G5659" s="39" t="s">
        <v>11185</v>
      </c>
      <c r="J5659" s="17">
        <v>6</v>
      </c>
      <c r="K5659" s="17"/>
      <c r="L5659" s="7">
        <f>SUM(H5659:K5659)</f>
        <v>6</v>
      </c>
      <c r="M5659" s="8">
        <v>1</v>
      </c>
      <c r="N5659" s="8">
        <f>IF(L5659&gt;0,1,"")</f>
        <v>1</v>
      </c>
      <c r="O5659" s="11" t="s">
        <v>1702</v>
      </c>
      <c r="P5659" s="16" t="str">
        <f>IF(LEN(G5659)=10,CONCATENATE("0",G5659),G5659)</f>
        <v>31-Mar-1902</v>
      </c>
      <c r="R5659" s="16" t="str">
        <f t="shared" si="2409"/>
        <v>x</v>
      </c>
      <c r="S5659" s="16" t="str">
        <f t="shared" si="2409"/>
        <v>x</v>
      </c>
      <c r="U5659" s="46" t="str">
        <f t="shared" si="2408"/>
        <v/>
      </c>
      <c r="V5659" s="46">
        <f t="shared" si="2408"/>
        <v>6</v>
      </c>
      <c r="W5659" s="46" t="str">
        <f t="shared" si="2408"/>
        <v/>
      </c>
      <c r="X5659" s="46" t="str">
        <f t="shared" si="2408"/>
        <v/>
      </c>
    </row>
    <row r="5660" spans="2:24" x14ac:dyDescent="0.25">
      <c r="B5660" s="11" t="str">
        <f t="shared" si="2402"/>
        <v>ROTT-17AUG1902</v>
      </c>
      <c r="C5660" s="11" t="s">
        <v>3462</v>
      </c>
      <c r="D5660" s="11" t="s">
        <v>3462</v>
      </c>
      <c r="E5660" s="39" t="s">
        <v>3962</v>
      </c>
      <c r="F5660" s="11" t="s">
        <v>1700</v>
      </c>
      <c r="G5660" s="39" t="s">
        <v>3963</v>
      </c>
      <c r="J5660" s="17">
        <v>1</v>
      </c>
      <c r="K5660" s="17"/>
      <c r="L5660" s="7">
        <f t="shared" si="2403"/>
        <v>1</v>
      </c>
      <c r="M5660" s="8">
        <v>1</v>
      </c>
      <c r="N5660" s="8">
        <f t="shared" si="2404"/>
        <v>1</v>
      </c>
      <c r="O5660" s="11" t="s">
        <v>1702</v>
      </c>
      <c r="P5660" s="16" t="str">
        <f t="shared" si="2405"/>
        <v>17-Aug-1902</v>
      </c>
      <c r="R5660" s="16" t="str">
        <f t="shared" si="2407"/>
        <v>x</v>
      </c>
      <c r="S5660" s="16" t="str">
        <f t="shared" si="2407"/>
        <v>x</v>
      </c>
      <c r="U5660" s="46" t="str">
        <f t="shared" si="2360"/>
        <v/>
      </c>
      <c r="V5660" s="46">
        <f t="shared" si="2360"/>
        <v>1</v>
      </c>
      <c r="W5660" s="46" t="str">
        <f t="shared" si="2360"/>
        <v/>
      </c>
      <c r="X5660" s="46" t="str">
        <f t="shared" si="2360"/>
        <v/>
      </c>
    </row>
    <row r="5661" spans="2:24" x14ac:dyDescent="0.25">
      <c r="B5661" s="11" t="str">
        <f t="shared" si="2402"/>
        <v>ROTT-08DEC1902</v>
      </c>
      <c r="C5661" s="11" t="s">
        <v>3462</v>
      </c>
      <c r="D5661" s="11" t="s">
        <v>2103</v>
      </c>
      <c r="E5661" s="39" t="s">
        <v>5678</v>
      </c>
      <c r="F5661" s="11" t="s">
        <v>1700</v>
      </c>
      <c r="G5661" s="39" t="s">
        <v>5679</v>
      </c>
      <c r="J5661" s="17">
        <v>18</v>
      </c>
      <c r="K5661" s="17"/>
      <c r="L5661" s="7">
        <f t="shared" si="2403"/>
        <v>18</v>
      </c>
      <c r="M5661" s="8">
        <v>1</v>
      </c>
      <c r="N5661" s="8">
        <f t="shared" si="2404"/>
        <v>1</v>
      </c>
      <c r="O5661" s="11" t="s">
        <v>1702</v>
      </c>
      <c r="P5661" s="16" t="str">
        <f t="shared" si="2405"/>
        <v>08-Dec-1902</v>
      </c>
      <c r="R5661" s="16" t="str">
        <f>IF($L5661&gt;0,"x","")</f>
        <v>x</v>
      </c>
      <c r="S5661" s="16" t="str">
        <f>IF($L5661&gt;0,"x","")</f>
        <v>x</v>
      </c>
      <c r="U5661" s="46" t="str">
        <f t="shared" ref="U5661:X5665" si="2410">IF($O5661=U$5,$L5661,"")</f>
        <v/>
      </c>
      <c r="V5661" s="46">
        <f t="shared" si="2410"/>
        <v>18</v>
      </c>
      <c r="W5661" s="46" t="str">
        <f t="shared" si="2410"/>
        <v/>
      </c>
      <c r="X5661" s="46" t="str">
        <f t="shared" si="2410"/>
        <v/>
      </c>
    </row>
    <row r="5662" spans="2:24" x14ac:dyDescent="0.25">
      <c r="B5662" s="11" t="str">
        <f t="shared" si="2402"/>
        <v>ROTT-26FEB1903</v>
      </c>
      <c r="C5662" s="11" t="s">
        <v>3462</v>
      </c>
      <c r="D5662" s="11" t="s">
        <v>2103</v>
      </c>
      <c r="E5662" s="39" t="s">
        <v>5482</v>
      </c>
      <c r="F5662" s="11" t="s">
        <v>1700</v>
      </c>
      <c r="G5662" s="39" t="s">
        <v>5483</v>
      </c>
      <c r="H5662" s="7">
        <v>0</v>
      </c>
      <c r="I5662" s="7">
        <v>0</v>
      </c>
      <c r="J5662" s="17">
        <v>16</v>
      </c>
      <c r="K5662" s="17"/>
      <c r="L5662" s="7">
        <f t="shared" si="2403"/>
        <v>16</v>
      </c>
      <c r="M5662" s="8">
        <v>1</v>
      </c>
      <c r="N5662" s="8">
        <f t="shared" si="2404"/>
        <v>1</v>
      </c>
      <c r="O5662" s="11" t="s">
        <v>1702</v>
      </c>
      <c r="P5662" s="16" t="str">
        <f t="shared" si="2405"/>
        <v>26-Feb-1903</v>
      </c>
      <c r="R5662" s="16" t="str">
        <f t="shared" si="2407"/>
        <v>x</v>
      </c>
      <c r="S5662" s="16" t="str">
        <f t="shared" si="2407"/>
        <v>x</v>
      </c>
      <c r="U5662" s="46" t="str">
        <f t="shared" si="2410"/>
        <v/>
      </c>
      <c r="V5662" s="46">
        <f t="shared" si="2410"/>
        <v>16</v>
      </c>
      <c r="W5662" s="46" t="str">
        <f t="shared" si="2410"/>
        <v/>
      </c>
      <c r="X5662" s="46" t="str">
        <f t="shared" si="2410"/>
        <v/>
      </c>
    </row>
    <row r="5663" spans="2:24" x14ac:dyDescent="0.25">
      <c r="B5663" s="11" t="str">
        <f t="shared" si="2402"/>
        <v>ROTT-29SEP1903</v>
      </c>
      <c r="C5663" s="11" t="s">
        <v>3462</v>
      </c>
      <c r="D5663" s="11" t="s">
        <v>2103</v>
      </c>
      <c r="E5663" s="39" t="s">
        <v>1655</v>
      </c>
      <c r="F5663" s="11" t="s">
        <v>1700</v>
      </c>
      <c r="G5663" s="39" t="s">
        <v>3541</v>
      </c>
      <c r="H5663" s="7">
        <v>0</v>
      </c>
      <c r="I5663" s="7">
        <v>0</v>
      </c>
      <c r="J5663" s="17">
        <v>12</v>
      </c>
      <c r="K5663" s="17"/>
      <c r="L5663" s="7">
        <f t="shared" si="2403"/>
        <v>12</v>
      </c>
      <c r="M5663" s="8">
        <v>1</v>
      </c>
      <c r="N5663" s="8">
        <f t="shared" si="2404"/>
        <v>1</v>
      </c>
      <c r="O5663" s="11" t="s">
        <v>1702</v>
      </c>
      <c r="P5663" s="16" t="str">
        <f t="shared" si="2405"/>
        <v>29-Sep-1903</v>
      </c>
      <c r="R5663" s="16" t="str">
        <f t="shared" si="2407"/>
        <v>x</v>
      </c>
      <c r="S5663" s="16" t="str">
        <f t="shared" si="2407"/>
        <v>x</v>
      </c>
      <c r="U5663" s="46" t="str">
        <f t="shared" si="2410"/>
        <v/>
      </c>
      <c r="V5663" s="46">
        <f t="shared" si="2410"/>
        <v>12</v>
      </c>
      <c r="W5663" s="46" t="str">
        <f t="shared" si="2410"/>
        <v/>
      </c>
      <c r="X5663" s="46" t="str">
        <f t="shared" si="2410"/>
        <v/>
      </c>
    </row>
    <row r="5664" spans="2:24" ht="12" customHeight="1" x14ac:dyDescent="0.25">
      <c r="B5664" s="11" t="str">
        <f>CONCATENATE("ROTT","-",LEFT(P5664,2),UPPER(MID(P5664,4,3)),RIGHT(P5664,4))</f>
        <v>ROTT-27JAN1904</v>
      </c>
      <c r="C5664" s="11" t="s">
        <v>3462</v>
      </c>
      <c r="D5664" s="11" t="s">
        <v>2103</v>
      </c>
      <c r="E5664" s="39" t="s">
        <v>1755</v>
      </c>
      <c r="F5664" s="11" t="s">
        <v>1700</v>
      </c>
      <c r="G5664" s="39" t="s">
        <v>5997</v>
      </c>
      <c r="H5664" s="7">
        <v>0</v>
      </c>
      <c r="I5664" s="7">
        <v>1</v>
      </c>
      <c r="J5664" s="17">
        <v>5</v>
      </c>
      <c r="K5664" s="17"/>
      <c r="L5664" s="7">
        <f>SUM(H5664:K5664)</f>
        <v>6</v>
      </c>
      <c r="M5664" s="8">
        <v>1</v>
      </c>
      <c r="N5664" s="8">
        <f>IF(L5664&gt;0,1,"")</f>
        <v>1</v>
      </c>
      <c r="O5664" s="11" t="s">
        <v>1702</v>
      </c>
      <c r="P5664" s="16" t="str">
        <f>IF(LEN(G5664)=10,CONCATENATE("0",G5664),G5664)</f>
        <v>27-Jan-1904</v>
      </c>
      <c r="R5664" s="16" t="str">
        <f t="shared" si="2407"/>
        <v>x</v>
      </c>
      <c r="S5664" s="16" t="str">
        <f t="shared" si="2407"/>
        <v>x</v>
      </c>
      <c r="U5664" s="46" t="str">
        <f t="shared" si="2410"/>
        <v/>
      </c>
      <c r="V5664" s="46">
        <f t="shared" si="2410"/>
        <v>6</v>
      </c>
      <c r="W5664" s="46" t="str">
        <f t="shared" si="2410"/>
        <v/>
      </c>
      <c r="X5664" s="46" t="str">
        <f t="shared" si="2410"/>
        <v/>
      </c>
    </row>
    <row r="5665" spans="2:24" ht="12" customHeight="1" x14ac:dyDescent="0.25">
      <c r="B5665" s="11" t="str">
        <f t="shared" si="2402"/>
        <v>ROTT-09NOV1904</v>
      </c>
      <c r="C5665" s="11" t="s">
        <v>3462</v>
      </c>
      <c r="D5665" s="11" t="s">
        <v>2103</v>
      </c>
      <c r="E5665" s="39" t="s">
        <v>1771</v>
      </c>
      <c r="F5665" s="11" t="s">
        <v>1700</v>
      </c>
      <c r="G5665" s="39" t="s">
        <v>5034</v>
      </c>
      <c r="H5665" s="7">
        <v>0</v>
      </c>
      <c r="I5665" s="7">
        <v>0</v>
      </c>
      <c r="J5665" s="17">
        <v>4</v>
      </c>
      <c r="K5665" s="17"/>
      <c r="L5665" s="7">
        <f t="shared" si="2403"/>
        <v>4</v>
      </c>
      <c r="M5665" s="8">
        <v>1</v>
      </c>
      <c r="N5665" s="8">
        <f t="shared" si="2404"/>
        <v>1</v>
      </c>
      <c r="O5665" s="11" t="s">
        <v>1702</v>
      </c>
      <c r="P5665" s="16" t="str">
        <f t="shared" si="2405"/>
        <v>09-Nov-1904</v>
      </c>
      <c r="R5665" s="16" t="str">
        <f>IF($L5665&gt;0,"x","")</f>
        <v>x</v>
      </c>
      <c r="S5665" s="16" t="str">
        <f>IF($L5665&gt;0,"x","")</f>
        <v>x</v>
      </c>
      <c r="U5665" s="46" t="str">
        <f t="shared" si="2410"/>
        <v/>
      </c>
      <c r="V5665" s="46">
        <f t="shared" si="2410"/>
        <v>4</v>
      </c>
      <c r="W5665" s="46" t="str">
        <f t="shared" si="2410"/>
        <v/>
      </c>
      <c r="X5665" s="46" t="str">
        <f t="shared" si="2410"/>
        <v/>
      </c>
    </row>
    <row r="5666" spans="2:24" x14ac:dyDescent="0.25">
      <c r="B5666" s="11" t="str">
        <f t="shared" si="2402"/>
        <v>ROTT-10OCT1911</v>
      </c>
      <c r="C5666" s="11" t="s">
        <v>3462</v>
      </c>
      <c r="D5666" s="11" t="s">
        <v>2103</v>
      </c>
      <c r="E5666" s="39" t="s">
        <v>974</v>
      </c>
      <c r="F5666" s="11" t="s">
        <v>1700</v>
      </c>
      <c r="G5666" s="39" t="s">
        <v>962</v>
      </c>
      <c r="H5666" s="7">
        <v>0</v>
      </c>
      <c r="I5666" s="7">
        <v>4</v>
      </c>
      <c r="J5666" s="17">
        <v>1</v>
      </c>
      <c r="K5666" s="17"/>
      <c r="L5666" s="7">
        <f t="shared" si="2403"/>
        <v>5</v>
      </c>
      <c r="M5666" s="8">
        <v>1</v>
      </c>
      <c r="N5666" s="8">
        <f t="shared" si="2404"/>
        <v>1</v>
      </c>
      <c r="O5666" s="11" t="s">
        <v>1702</v>
      </c>
      <c r="P5666" s="16" t="str">
        <f t="shared" si="2405"/>
        <v>10-Oct-1911</v>
      </c>
      <c r="R5666" s="16" t="str">
        <f t="shared" si="2407"/>
        <v>x</v>
      </c>
      <c r="S5666" s="16" t="str">
        <f t="shared" si="2407"/>
        <v>x</v>
      </c>
      <c r="U5666" s="46" t="str">
        <f t="shared" si="2360"/>
        <v/>
      </c>
      <c r="V5666" s="46">
        <f t="shared" si="2360"/>
        <v>5</v>
      </c>
      <c r="W5666" s="46" t="str">
        <f t="shared" si="2360"/>
        <v/>
      </c>
      <c r="X5666" s="46" t="str">
        <f t="shared" si="2360"/>
        <v/>
      </c>
    </row>
    <row r="5667" spans="2:24" x14ac:dyDescent="0.25">
      <c r="B5667" s="11" t="str">
        <f t="shared" si="2402"/>
        <v>ROTT-25JUN1912</v>
      </c>
      <c r="C5667" s="11" t="s">
        <v>3462</v>
      </c>
      <c r="D5667" s="11" t="s">
        <v>2103</v>
      </c>
      <c r="E5667" s="39" t="s">
        <v>1281</v>
      </c>
      <c r="F5667" s="11" t="s">
        <v>1700</v>
      </c>
      <c r="G5667" s="39" t="s">
        <v>3866</v>
      </c>
      <c r="H5667" s="7">
        <v>0</v>
      </c>
      <c r="I5667" s="7">
        <v>0</v>
      </c>
      <c r="J5667" s="17">
        <v>33</v>
      </c>
      <c r="K5667" s="17"/>
      <c r="L5667" s="7">
        <f t="shared" si="2403"/>
        <v>33</v>
      </c>
      <c r="M5667" s="8">
        <v>1</v>
      </c>
      <c r="N5667" s="8">
        <f t="shared" si="2404"/>
        <v>1</v>
      </c>
      <c r="O5667" s="11" t="s">
        <v>1702</v>
      </c>
      <c r="P5667" s="16" t="str">
        <f t="shared" si="2405"/>
        <v>25-Jun-1912</v>
      </c>
      <c r="R5667" s="16" t="str">
        <f t="shared" si="2407"/>
        <v>x</v>
      </c>
      <c r="S5667" s="16" t="str">
        <f t="shared" si="2407"/>
        <v>x</v>
      </c>
      <c r="U5667" s="46" t="str">
        <f t="shared" si="2360"/>
        <v/>
      </c>
      <c r="V5667" s="46">
        <f t="shared" si="2360"/>
        <v>33</v>
      </c>
      <c r="W5667" s="46" t="str">
        <f t="shared" si="2360"/>
        <v/>
      </c>
      <c r="X5667" s="46" t="str">
        <f t="shared" si="2360"/>
        <v/>
      </c>
    </row>
    <row r="5668" spans="2:24" x14ac:dyDescent="0.25">
      <c r="B5668" s="11" t="str">
        <f t="shared" ref="B5668:B5673" si="2411">CONCATENATE("ROTT","-",LEFT(P5668,2),UPPER(MID(P5668,4,3)),RIGHT(P5668,4))</f>
        <v>ROTT-25MAR1915</v>
      </c>
      <c r="C5668" s="11" t="s">
        <v>3462</v>
      </c>
      <c r="D5668" s="11" t="s">
        <v>3462</v>
      </c>
      <c r="E5668" s="39" t="s">
        <v>4279</v>
      </c>
      <c r="F5668" s="11" t="s">
        <v>1700</v>
      </c>
      <c r="G5668" s="39" t="s">
        <v>4280</v>
      </c>
      <c r="H5668" s="7">
        <v>0</v>
      </c>
      <c r="I5668" s="7">
        <v>1</v>
      </c>
      <c r="J5668" s="17">
        <v>0</v>
      </c>
      <c r="K5668" s="17"/>
      <c r="L5668" s="7">
        <f t="shared" ref="L5668:L5673" si="2412">SUM(H5668:K5668)</f>
        <v>1</v>
      </c>
      <c r="M5668" s="8">
        <v>1</v>
      </c>
      <c r="N5668" s="8">
        <f t="shared" ref="N5668:N5673" si="2413">IF(L5668&gt;0,1,"")</f>
        <v>1</v>
      </c>
      <c r="O5668" s="11" t="s">
        <v>1702</v>
      </c>
      <c r="P5668" s="16" t="str">
        <f t="shared" ref="P5668:P5673" si="2414">IF(LEN(G5668)=10,CONCATENATE("0",G5668),G5668)</f>
        <v>25-Mar-1915</v>
      </c>
      <c r="R5668" s="16" t="str">
        <f t="shared" si="2407"/>
        <v>x</v>
      </c>
      <c r="S5668" s="16" t="str">
        <f t="shared" si="2407"/>
        <v>x</v>
      </c>
      <c r="U5668" s="46" t="str">
        <f t="shared" si="2360"/>
        <v/>
      </c>
      <c r="V5668" s="46">
        <f t="shared" si="2360"/>
        <v>1</v>
      </c>
      <c r="W5668" s="46" t="str">
        <f t="shared" si="2360"/>
        <v/>
      </c>
      <c r="X5668" s="46" t="str">
        <f t="shared" si="2360"/>
        <v/>
      </c>
    </row>
    <row r="5669" spans="2:24" x14ac:dyDescent="0.25">
      <c r="B5669" s="11" t="str">
        <f t="shared" si="2411"/>
        <v>ROTT-07SEP1919</v>
      </c>
      <c r="C5669" s="11" t="s">
        <v>3462</v>
      </c>
      <c r="D5669" s="11" t="s">
        <v>2103</v>
      </c>
      <c r="E5669" s="39" t="s">
        <v>4651</v>
      </c>
      <c r="F5669" s="11" t="s">
        <v>1700</v>
      </c>
      <c r="G5669" s="39" t="s">
        <v>1120</v>
      </c>
      <c r="H5669" s="7">
        <v>1</v>
      </c>
      <c r="I5669" s="7">
        <v>1</v>
      </c>
      <c r="J5669" s="17">
        <v>0</v>
      </c>
      <c r="K5669" s="17"/>
      <c r="L5669" s="7">
        <f t="shared" si="2412"/>
        <v>2</v>
      </c>
      <c r="M5669" s="8">
        <v>1</v>
      </c>
      <c r="N5669" s="8">
        <f t="shared" si="2413"/>
        <v>1</v>
      </c>
      <c r="O5669" s="11" t="s">
        <v>1702</v>
      </c>
      <c r="P5669" s="16" t="str">
        <f t="shared" si="2414"/>
        <v>07-Sep-1919</v>
      </c>
      <c r="R5669" s="16" t="str">
        <f t="shared" si="2407"/>
        <v>x</v>
      </c>
      <c r="S5669" s="16" t="str">
        <f t="shared" si="2407"/>
        <v>x</v>
      </c>
      <c r="U5669" s="46" t="str">
        <f t="shared" ref="U5669:X5670" si="2415">IF($O5669=U$5,$L5669,"")</f>
        <v/>
      </c>
      <c r="V5669" s="46">
        <f t="shared" si="2415"/>
        <v>2</v>
      </c>
      <c r="W5669" s="46" t="str">
        <f t="shared" si="2415"/>
        <v/>
      </c>
      <c r="X5669" s="46" t="str">
        <f t="shared" si="2415"/>
        <v/>
      </c>
    </row>
    <row r="5670" spans="2:24" x14ac:dyDescent="0.25">
      <c r="B5670" s="11" t="str">
        <f t="shared" si="2411"/>
        <v>ROTT-28JAN1920</v>
      </c>
      <c r="C5670" s="11" t="s">
        <v>3462</v>
      </c>
      <c r="D5670" s="11" t="s">
        <v>2103</v>
      </c>
      <c r="E5670" s="39" t="s">
        <v>1581</v>
      </c>
      <c r="F5670" s="11" t="s">
        <v>1700</v>
      </c>
      <c r="G5670" s="39" t="s">
        <v>5239</v>
      </c>
      <c r="H5670" s="7">
        <v>0</v>
      </c>
      <c r="I5670" s="7">
        <f>6+1</f>
        <v>7</v>
      </c>
      <c r="J5670" s="17">
        <v>0</v>
      </c>
      <c r="K5670" s="17"/>
      <c r="L5670" s="7">
        <f t="shared" si="2412"/>
        <v>7</v>
      </c>
      <c r="M5670" s="8">
        <v>1</v>
      </c>
      <c r="N5670" s="8">
        <f t="shared" si="2413"/>
        <v>1</v>
      </c>
      <c r="O5670" s="11" t="s">
        <v>1702</v>
      </c>
      <c r="P5670" s="16" t="str">
        <f t="shared" si="2414"/>
        <v>28-Jan-1920</v>
      </c>
      <c r="R5670" s="16" t="str">
        <f>IF($L5670&gt;0,"x","")</f>
        <v>x</v>
      </c>
      <c r="S5670" s="16" t="str">
        <f>IF($L5670&gt;0,"x","")</f>
        <v>x</v>
      </c>
      <c r="U5670" s="46" t="str">
        <f t="shared" si="2415"/>
        <v/>
      </c>
      <c r="V5670" s="46">
        <f t="shared" si="2415"/>
        <v>7</v>
      </c>
      <c r="W5670" s="46" t="str">
        <f t="shared" si="2415"/>
        <v/>
      </c>
      <c r="X5670" s="46" t="str">
        <f t="shared" si="2415"/>
        <v/>
      </c>
    </row>
    <row r="5671" spans="2:24" x14ac:dyDescent="0.25">
      <c r="B5671" s="11" t="str">
        <f t="shared" si="2411"/>
        <v>ROTT-30MAY1920</v>
      </c>
      <c r="C5671" s="11" t="s">
        <v>3462</v>
      </c>
      <c r="D5671" s="11" t="s">
        <v>2103</v>
      </c>
      <c r="E5671" s="39" t="s">
        <v>1584</v>
      </c>
      <c r="F5671" s="11" t="s">
        <v>1700</v>
      </c>
      <c r="G5671" s="39" t="s">
        <v>1573</v>
      </c>
      <c r="H5671" s="7">
        <v>0</v>
      </c>
      <c r="I5671" s="7">
        <v>0</v>
      </c>
      <c r="J5671" s="17">
        <f>49+4</f>
        <v>53</v>
      </c>
      <c r="K5671" s="17"/>
      <c r="L5671" s="7">
        <f t="shared" si="2412"/>
        <v>53</v>
      </c>
      <c r="M5671" s="8">
        <v>1</v>
      </c>
      <c r="N5671" s="8">
        <f t="shared" si="2413"/>
        <v>1</v>
      </c>
      <c r="O5671" s="11" t="s">
        <v>1702</v>
      </c>
      <c r="P5671" s="16" t="str">
        <f t="shared" si="2414"/>
        <v>30-May-1920</v>
      </c>
      <c r="R5671" s="16" t="str">
        <f t="shared" si="2407"/>
        <v>x</v>
      </c>
      <c r="S5671" s="16" t="str">
        <f t="shared" si="2407"/>
        <v>x</v>
      </c>
      <c r="U5671" s="46" t="str">
        <f t="shared" si="2360"/>
        <v/>
      </c>
      <c r="V5671" s="46">
        <f t="shared" si="2360"/>
        <v>53</v>
      </c>
      <c r="W5671" s="46" t="str">
        <f t="shared" si="2360"/>
        <v/>
      </c>
      <c r="X5671" s="46" t="str">
        <f t="shared" si="2360"/>
        <v/>
      </c>
    </row>
    <row r="5672" spans="2:24" x14ac:dyDescent="0.25">
      <c r="B5672" s="11" t="str">
        <f t="shared" si="2411"/>
        <v>ROTT-12JUL1920</v>
      </c>
      <c r="C5672" s="11" t="s">
        <v>3462</v>
      </c>
      <c r="D5672" s="11" t="s">
        <v>2103</v>
      </c>
      <c r="E5672" s="39" t="s">
        <v>4941</v>
      </c>
      <c r="F5672" s="11" t="s">
        <v>1700</v>
      </c>
      <c r="G5672" s="39" t="s">
        <v>4942</v>
      </c>
      <c r="H5672" s="7">
        <v>0</v>
      </c>
      <c r="I5672" s="7">
        <v>12</v>
      </c>
      <c r="J5672" s="17">
        <v>0</v>
      </c>
      <c r="K5672" s="17"/>
      <c r="L5672" s="7">
        <f t="shared" si="2412"/>
        <v>12</v>
      </c>
      <c r="M5672" s="8">
        <v>1</v>
      </c>
      <c r="N5672" s="8">
        <f t="shared" si="2413"/>
        <v>1</v>
      </c>
      <c r="O5672" s="11" t="s">
        <v>1702</v>
      </c>
      <c r="P5672" s="16" t="str">
        <f t="shared" si="2414"/>
        <v>12-Jul-1920</v>
      </c>
      <c r="R5672" s="16" t="str">
        <f t="shared" si="2407"/>
        <v>x</v>
      </c>
      <c r="S5672" s="16" t="str">
        <f t="shared" si="2407"/>
        <v>x</v>
      </c>
      <c r="U5672" s="46" t="str">
        <f>IF($O5672=U$5,$L5672,"")</f>
        <v/>
      </c>
      <c r="V5672" s="46">
        <f>IF($O5672=V$5,$L5672,"")</f>
        <v>12</v>
      </c>
      <c r="W5672" s="46" t="str">
        <f>IF($O5672=W$5,$L5672,"")</f>
        <v/>
      </c>
      <c r="X5672" s="46" t="str">
        <f>IF($O5672=X$5,$L5672,"")</f>
        <v/>
      </c>
    </row>
    <row r="5673" spans="2:24" x14ac:dyDescent="0.25">
      <c r="B5673" s="11" t="str">
        <f t="shared" si="2411"/>
        <v>ROTT-26AUG1921</v>
      </c>
      <c r="C5673" s="11" t="s">
        <v>3462</v>
      </c>
      <c r="D5673" s="11" t="s">
        <v>2103</v>
      </c>
      <c r="E5673" s="39" t="s">
        <v>4257</v>
      </c>
      <c r="F5673" s="11" t="s">
        <v>1700</v>
      </c>
      <c r="G5673" s="39" t="s">
        <v>4258</v>
      </c>
      <c r="H5673" s="7">
        <v>0</v>
      </c>
      <c r="I5673" s="7">
        <v>0</v>
      </c>
      <c r="J5673" s="17">
        <f>0+2</f>
        <v>2</v>
      </c>
      <c r="K5673" s="17"/>
      <c r="L5673" s="7">
        <f t="shared" si="2412"/>
        <v>2</v>
      </c>
      <c r="M5673" s="8">
        <v>1</v>
      </c>
      <c r="N5673" s="8">
        <f t="shared" si="2413"/>
        <v>1</v>
      </c>
      <c r="O5673" s="11" t="s">
        <v>1702</v>
      </c>
      <c r="P5673" s="16" t="str">
        <f t="shared" si="2414"/>
        <v>26-Aug-1921</v>
      </c>
      <c r="R5673" s="16" t="str">
        <f t="shared" si="2407"/>
        <v>x</v>
      </c>
      <c r="S5673" s="16" t="str">
        <f t="shared" si="2407"/>
        <v>x</v>
      </c>
      <c r="U5673" s="46" t="str">
        <f t="shared" si="2360"/>
        <v/>
      </c>
      <c r="V5673" s="46">
        <f t="shared" si="2360"/>
        <v>2</v>
      </c>
      <c r="W5673" s="46" t="str">
        <f t="shared" si="2360"/>
        <v/>
      </c>
      <c r="X5673" s="46" t="str">
        <f t="shared" si="2360"/>
        <v/>
      </c>
    </row>
    <row r="5674" spans="2:24" x14ac:dyDescent="0.25">
      <c r="N5674" s="8" t="str">
        <f>IF(R5674="x",1,"")</f>
        <v/>
      </c>
      <c r="U5674" s="46" t="str">
        <f t="shared" si="2360"/>
        <v/>
      </c>
      <c r="V5674" s="46" t="str">
        <f t="shared" si="2360"/>
        <v/>
      </c>
      <c r="W5674" s="46" t="str">
        <f t="shared" si="2360"/>
        <v/>
      </c>
      <c r="X5674" s="46" t="str">
        <f>IF($O5674=X$5,$L5674,"")</f>
        <v/>
      </c>
    </row>
    <row r="5675" spans="2:24" x14ac:dyDescent="0.25">
      <c r="B5675" s="18"/>
      <c r="C5675" s="18"/>
      <c r="D5675" s="18"/>
      <c r="E5675" s="40"/>
      <c r="F5675" s="18"/>
      <c r="G5675" s="40"/>
      <c r="H5675" s="7">
        <f t="shared" ref="H5675:N5675" si="2416">SUM(H5643:H5674)</f>
        <v>1</v>
      </c>
      <c r="I5675" s="7">
        <f t="shared" si="2416"/>
        <v>26</v>
      </c>
      <c r="J5675" s="7">
        <f>SUM(J5643:J5674)</f>
        <v>326</v>
      </c>
      <c r="K5675" s="7">
        <f t="shared" si="2416"/>
        <v>0</v>
      </c>
      <c r="L5675" s="7">
        <f t="shared" si="2416"/>
        <v>353</v>
      </c>
      <c r="M5675" s="7">
        <f t="shared" si="2416"/>
        <v>31</v>
      </c>
      <c r="N5675" s="7">
        <f t="shared" si="2416"/>
        <v>31</v>
      </c>
      <c r="O5675" s="18"/>
      <c r="P5675" s="13"/>
      <c r="Q5675" s="13"/>
      <c r="S5675" s="13"/>
      <c r="T5675" s="15"/>
      <c r="U5675" s="46" t="str">
        <f t="shared" ref="U5675:X5786" si="2417">IF($O5675=U$5,$L5675,"")</f>
        <v/>
      </c>
      <c r="V5675" s="46" t="str">
        <f t="shared" si="2417"/>
        <v/>
      </c>
      <c r="W5675" s="46" t="str">
        <f t="shared" si="2417"/>
        <v/>
      </c>
      <c r="X5675" s="46" t="str">
        <f t="shared" si="2417"/>
        <v/>
      </c>
    </row>
    <row r="5676" spans="2:24" x14ac:dyDescent="0.25">
      <c r="B5676" s="18"/>
      <c r="C5676" s="18"/>
      <c r="D5676" s="18"/>
      <c r="E5676" s="40"/>
      <c r="F5676" s="18"/>
      <c r="G5676" s="40"/>
      <c r="N5676" s="8" t="str">
        <f>IF(R5676="x",1,"")</f>
        <v/>
      </c>
      <c r="O5676" s="18"/>
      <c r="P5676" s="13"/>
      <c r="Q5676" s="13"/>
      <c r="R5676" s="13"/>
      <c r="S5676" s="13"/>
      <c r="T5676" s="15"/>
      <c r="U5676" s="46" t="str">
        <f t="shared" si="2417"/>
        <v/>
      </c>
      <c r="V5676" s="46" t="str">
        <f t="shared" si="2417"/>
        <v/>
      </c>
      <c r="W5676" s="46" t="str">
        <f t="shared" si="2417"/>
        <v/>
      </c>
      <c r="X5676" s="46" t="str">
        <f t="shared" si="2417"/>
        <v/>
      </c>
    </row>
    <row r="5677" spans="2:24" x14ac:dyDescent="0.25">
      <c r="B5677" s="18"/>
      <c r="C5677" s="18"/>
      <c r="D5677" s="18"/>
      <c r="E5677" s="40"/>
      <c r="F5677" s="18"/>
      <c r="G5677" s="40"/>
      <c r="N5677" s="8" t="str">
        <f>IF(R5677="x",1,"")</f>
        <v/>
      </c>
      <c r="O5677" s="18"/>
      <c r="P5677" s="13"/>
      <c r="Q5677" s="13"/>
      <c r="R5677" s="13"/>
      <c r="S5677" s="13"/>
      <c r="T5677" s="15"/>
      <c r="U5677" s="46" t="str">
        <f t="shared" si="2417"/>
        <v/>
      </c>
      <c r="V5677" s="46" t="str">
        <f t="shared" si="2417"/>
        <v/>
      </c>
      <c r="W5677" s="46" t="str">
        <f t="shared" si="2417"/>
        <v/>
      </c>
      <c r="X5677" s="46" t="str">
        <f t="shared" si="2417"/>
        <v/>
      </c>
    </row>
    <row r="5678" spans="2:24" x14ac:dyDescent="0.25">
      <c r="B5678" s="11" t="str">
        <f t="shared" ref="B5678:B5683" si="2418">CONCATENATE("ROUS","-",LEFT(P5678,2),UPPER(MID(P5678,4,3)),RIGHT(P5678,4))</f>
        <v>ROUS-24OCT1920</v>
      </c>
      <c r="C5678" s="11" t="s">
        <v>3626</v>
      </c>
      <c r="D5678" s="11" t="s">
        <v>870</v>
      </c>
      <c r="E5678" s="39" t="s">
        <v>3992</v>
      </c>
      <c r="F5678" s="11" t="s">
        <v>1700</v>
      </c>
      <c r="G5678" s="39" t="s">
        <v>3993</v>
      </c>
      <c r="I5678" s="7">
        <f>17+1</f>
        <v>18</v>
      </c>
      <c r="J5678" s="17">
        <v>148</v>
      </c>
      <c r="K5678" s="17"/>
      <c r="L5678" s="7">
        <f t="shared" ref="L5678:L5683" si="2419">SUM(H5678:K5678)</f>
        <v>166</v>
      </c>
      <c r="M5678" s="8">
        <v>1</v>
      </c>
      <c r="N5678" s="8">
        <f t="shared" ref="N5678:N5683" si="2420">IF(L5678&gt;0,1,"")</f>
        <v>1</v>
      </c>
      <c r="O5678" s="11" t="s">
        <v>1702</v>
      </c>
      <c r="P5678" s="16" t="str">
        <f t="shared" ref="P5678:P5683" si="2421">IF(LEN(G5678)=10,CONCATENATE("0",G5678),G5678)</f>
        <v>24-Oct-1920</v>
      </c>
      <c r="R5678" s="16" t="str">
        <f t="shared" ref="R5678:S5683" si="2422">IF($L5678&gt;0,"x","")</f>
        <v>x</v>
      </c>
      <c r="S5678" s="16" t="str">
        <f t="shared" si="2422"/>
        <v>x</v>
      </c>
      <c r="U5678" s="46" t="str">
        <f t="shared" si="2417"/>
        <v/>
      </c>
      <c r="V5678" s="46">
        <f t="shared" si="2417"/>
        <v>166</v>
      </c>
      <c r="W5678" s="46" t="str">
        <f t="shared" si="2417"/>
        <v/>
      </c>
      <c r="X5678" s="46" t="str">
        <f t="shared" si="2417"/>
        <v/>
      </c>
    </row>
    <row r="5679" spans="2:24" x14ac:dyDescent="0.25">
      <c r="B5679" s="11" t="str">
        <f t="shared" si="2418"/>
        <v>ROUS-17DEC1920</v>
      </c>
      <c r="C5679" s="11" t="s">
        <v>3626</v>
      </c>
      <c r="D5679" s="11" t="s">
        <v>1699</v>
      </c>
      <c r="E5679" s="39" t="s">
        <v>1609</v>
      </c>
      <c r="F5679" s="11" t="s">
        <v>1700</v>
      </c>
      <c r="G5679" s="39" t="s">
        <v>2044</v>
      </c>
      <c r="I5679" s="7">
        <v>0</v>
      </c>
      <c r="J5679" s="17">
        <v>189</v>
      </c>
      <c r="K5679" s="17"/>
      <c r="L5679" s="7">
        <f t="shared" si="2419"/>
        <v>189</v>
      </c>
      <c r="M5679" s="8">
        <v>1</v>
      </c>
      <c r="N5679" s="8">
        <f t="shared" si="2420"/>
        <v>1</v>
      </c>
      <c r="O5679" s="11" t="s">
        <v>1702</v>
      </c>
      <c r="P5679" s="16" t="str">
        <f t="shared" si="2421"/>
        <v>17-Dec-1920</v>
      </c>
      <c r="R5679" s="16" t="str">
        <f t="shared" si="2422"/>
        <v>x</v>
      </c>
      <c r="S5679" s="16" t="str">
        <f t="shared" si="2422"/>
        <v>x</v>
      </c>
      <c r="U5679" s="46" t="str">
        <f t="shared" si="2417"/>
        <v/>
      </c>
      <c r="V5679" s="46">
        <f t="shared" si="2417"/>
        <v>189</v>
      </c>
      <c r="W5679" s="46" t="str">
        <f t="shared" si="2417"/>
        <v/>
      </c>
      <c r="X5679" s="46" t="str">
        <f t="shared" si="2417"/>
        <v/>
      </c>
    </row>
    <row r="5680" spans="2:24" x14ac:dyDescent="0.25">
      <c r="B5680" s="11" t="str">
        <f t="shared" si="2418"/>
        <v>ROUS-01FEB1921</v>
      </c>
      <c r="C5680" s="11" t="s">
        <v>3626</v>
      </c>
      <c r="D5680" s="11" t="s">
        <v>1699</v>
      </c>
      <c r="E5680" s="39" t="s">
        <v>5803</v>
      </c>
      <c r="F5680" s="11" t="s">
        <v>1700</v>
      </c>
      <c r="G5680" s="39" t="s">
        <v>5804</v>
      </c>
      <c r="I5680" s="7">
        <v>1</v>
      </c>
      <c r="J5680" s="17">
        <v>12</v>
      </c>
      <c r="K5680" s="17"/>
      <c r="L5680" s="7">
        <f t="shared" si="2419"/>
        <v>13</v>
      </c>
      <c r="M5680" s="8">
        <v>1</v>
      </c>
      <c r="N5680" s="8">
        <f t="shared" si="2420"/>
        <v>1</v>
      </c>
      <c r="O5680" s="11" t="s">
        <v>1702</v>
      </c>
      <c r="P5680" s="16" t="str">
        <f t="shared" si="2421"/>
        <v>01-Feb-1921</v>
      </c>
      <c r="R5680" s="16" t="str">
        <f t="shared" si="2422"/>
        <v>x</v>
      </c>
      <c r="S5680" s="16" t="str">
        <f t="shared" si="2422"/>
        <v>x</v>
      </c>
      <c r="U5680" s="46" t="str">
        <f>IF($O5680=U$5,$L5680,"")</f>
        <v/>
      </c>
      <c r="V5680" s="46">
        <f>IF($O5680=V$5,$L5680,"")</f>
        <v>13</v>
      </c>
      <c r="W5680" s="46" t="str">
        <f>IF($O5680=W$5,$L5680,"")</f>
        <v/>
      </c>
      <c r="X5680" s="46" t="str">
        <f>IF($O5680=X$5,$L5680,"")</f>
        <v/>
      </c>
    </row>
    <row r="5681" spans="2:24" x14ac:dyDescent="0.25">
      <c r="B5681" s="11" t="str">
        <f t="shared" si="2418"/>
        <v>ROUS-14MAR1921</v>
      </c>
      <c r="C5681" s="11" t="s">
        <v>3626</v>
      </c>
      <c r="D5681" s="11" t="s">
        <v>1699</v>
      </c>
      <c r="E5681" s="39" t="s">
        <v>4171</v>
      </c>
      <c r="F5681" s="11" t="s">
        <v>1700</v>
      </c>
      <c r="G5681" s="39" t="s">
        <v>4251</v>
      </c>
      <c r="I5681" s="7">
        <v>3</v>
      </c>
      <c r="J5681" s="17">
        <f>7+2</f>
        <v>9</v>
      </c>
      <c r="K5681" s="17"/>
      <c r="L5681" s="7">
        <f t="shared" si="2419"/>
        <v>12</v>
      </c>
      <c r="M5681" s="8">
        <v>1</v>
      </c>
      <c r="N5681" s="8">
        <f t="shared" si="2420"/>
        <v>1</v>
      </c>
      <c r="O5681" s="11" t="s">
        <v>1702</v>
      </c>
      <c r="P5681" s="16" t="str">
        <f t="shared" si="2421"/>
        <v>14-Mar-1921</v>
      </c>
      <c r="R5681" s="16" t="str">
        <f t="shared" si="2422"/>
        <v>x</v>
      </c>
      <c r="S5681" s="16" t="str">
        <f t="shared" si="2422"/>
        <v>x</v>
      </c>
      <c r="U5681" s="46" t="str">
        <f t="shared" si="2417"/>
        <v/>
      </c>
      <c r="V5681" s="46">
        <f t="shared" si="2417"/>
        <v>12</v>
      </c>
      <c r="W5681" s="46" t="str">
        <f t="shared" si="2417"/>
        <v/>
      </c>
      <c r="X5681" s="46" t="str">
        <f t="shared" si="2417"/>
        <v/>
      </c>
    </row>
    <row r="5682" spans="2:24" x14ac:dyDescent="0.25">
      <c r="B5682" s="11" t="str">
        <f t="shared" si="2418"/>
        <v>ROUS-11AUG1922</v>
      </c>
      <c r="C5682" s="11" t="s">
        <v>3626</v>
      </c>
      <c r="D5682" s="11" t="s">
        <v>1699</v>
      </c>
      <c r="E5682" s="39" t="s">
        <v>3627</v>
      </c>
      <c r="F5682" s="11" t="s">
        <v>1700</v>
      </c>
      <c r="G5682" s="39" t="s">
        <v>4487</v>
      </c>
      <c r="I5682" s="7">
        <v>3</v>
      </c>
      <c r="J5682" s="17">
        <v>1</v>
      </c>
      <c r="K5682" s="17"/>
      <c r="L5682" s="7">
        <f t="shared" si="2419"/>
        <v>4</v>
      </c>
      <c r="M5682" s="8">
        <v>1</v>
      </c>
      <c r="N5682" s="8">
        <f t="shared" si="2420"/>
        <v>1</v>
      </c>
      <c r="O5682" s="11" t="s">
        <v>1702</v>
      </c>
      <c r="P5682" s="16" t="str">
        <f t="shared" si="2421"/>
        <v>11-Aug-1922</v>
      </c>
      <c r="R5682" s="16" t="str">
        <f t="shared" si="2422"/>
        <v>x</v>
      </c>
      <c r="S5682" s="16" t="str">
        <f t="shared" si="2422"/>
        <v>x</v>
      </c>
      <c r="U5682" s="46" t="str">
        <f t="shared" si="2417"/>
        <v/>
      </c>
      <c r="V5682" s="46">
        <f t="shared" si="2417"/>
        <v>4</v>
      </c>
      <c r="W5682" s="46" t="str">
        <f t="shared" si="2417"/>
        <v/>
      </c>
      <c r="X5682" s="46" t="str">
        <f t="shared" si="2417"/>
        <v/>
      </c>
    </row>
    <row r="5683" spans="2:24" x14ac:dyDescent="0.25">
      <c r="B5683" s="11" t="str">
        <f t="shared" si="2418"/>
        <v>ROUS-03APR1925</v>
      </c>
      <c r="C5683" s="11" t="s">
        <v>3626</v>
      </c>
      <c r="D5683" s="11" t="s">
        <v>1956</v>
      </c>
      <c r="E5683" s="39" t="s">
        <v>11412</v>
      </c>
      <c r="F5683" s="11" t="s">
        <v>2904</v>
      </c>
      <c r="G5683" s="39" t="s">
        <v>11408</v>
      </c>
      <c r="H5683" s="7">
        <v>0</v>
      </c>
      <c r="J5683" s="17">
        <v>4</v>
      </c>
      <c r="K5683" s="17"/>
      <c r="L5683" s="7">
        <f t="shared" si="2419"/>
        <v>4</v>
      </c>
      <c r="M5683" s="8">
        <v>1</v>
      </c>
      <c r="N5683" s="8">
        <f t="shared" si="2420"/>
        <v>1</v>
      </c>
      <c r="O5683" s="11" t="s">
        <v>1702</v>
      </c>
      <c r="P5683" s="16" t="str">
        <f t="shared" si="2421"/>
        <v>03-Apr-1925</v>
      </c>
      <c r="Q5683" s="80"/>
      <c r="S5683" s="16" t="str">
        <f t="shared" si="2422"/>
        <v>x</v>
      </c>
      <c r="U5683" s="46" t="str">
        <f>IF($O5683=U$5,$L5683,"")</f>
        <v/>
      </c>
      <c r="V5683" s="46">
        <f>IF($O5683=V$5,$L5683,"")</f>
        <v>4</v>
      </c>
      <c r="W5683" s="46" t="str">
        <f>IF($O5683=W$5,$L5683,"")</f>
        <v/>
      </c>
      <c r="X5683" s="46" t="str">
        <f>IF($O5683=X$5,$L5683,"")</f>
        <v/>
      </c>
    </row>
    <row r="5684" spans="2:24" x14ac:dyDescent="0.25">
      <c r="N5684" s="8" t="str">
        <f>IF(R5684="x",1,"")</f>
        <v/>
      </c>
      <c r="U5684" s="46" t="str">
        <f t="shared" si="2417"/>
        <v/>
      </c>
      <c r="V5684" s="46" t="str">
        <f t="shared" si="2417"/>
        <v/>
      </c>
      <c r="W5684" s="46" t="str">
        <f t="shared" si="2417"/>
        <v/>
      </c>
      <c r="X5684" s="46" t="str">
        <f t="shared" si="2417"/>
        <v/>
      </c>
    </row>
    <row r="5685" spans="2:24" x14ac:dyDescent="0.25">
      <c r="B5685" s="18"/>
      <c r="C5685" s="18"/>
      <c r="D5685" s="18"/>
      <c r="E5685" s="40"/>
      <c r="F5685" s="18"/>
      <c r="G5685" s="40"/>
      <c r="H5685" s="7">
        <f t="shared" ref="H5685:N5685" si="2423">SUM(H5678:H5684)</f>
        <v>0</v>
      </c>
      <c r="I5685" s="7">
        <f t="shared" si="2423"/>
        <v>25</v>
      </c>
      <c r="J5685" s="7">
        <f>SUM(J5678:J5684)</f>
        <v>363</v>
      </c>
      <c r="K5685" s="7">
        <f t="shared" si="2423"/>
        <v>0</v>
      </c>
      <c r="L5685" s="7">
        <f t="shared" si="2423"/>
        <v>388</v>
      </c>
      <c r="M5685" s="7">
        <f t="shared" si="2423"/>
        <v>6</v>
      </c>
      <c r="N5685" s="7">
        <f t="shared" si="2423"/>
        <v>6</v>
      </c>
      <c r="O5685" s="18"/>
      <c r="P5685" s="13"/>
      <c r="Q5685" s="13"/>
      <c r="S5685" s="13"/>
      <c r="T5685" s="15"/>
      <c r="U5685" s="46" t="str">
        <f t="shared" si="2417"/>
        <v/>
      </c>
      <c r="V5685" s="46" t="str">
        <f t="shared" si="2417"/>
        <v/>
      </c>
      <c r="W5685" s="46" t="str">
        <f t="shared" si="2417"/>
        <v/>
      </c>
      <c r="X5685" s="46" t="str">
        <f t="shared" si="2417"/>
        <v/>
      </c>
    </row>
    <row r="5686" spans="2:24" x14ac:dyDescent="0.25">
      <c r="B5686" s="18"/>
      <c r="C5686" s="18"/>
      <c r="D5686" s="18"/>
      <c r="E5686" s="40"/>
      <c r="F5686" s="18"/>
      <c r="G5686" s="40"/>
      <c r="N5686" s="8" t="str">
        <f>IF(R5686="x",1,"")</f>
        <v/>
      </c>
      <c r="O5686" s="18"/>
      <c r="P5686" s="13"/>
      <c r="Q5686" s="13"/>
      <c r="R5686" s="13"/>
      <c r="S5686" s="13"/>
      <c r="T5686" s="15"/>
      <c r="U5686" s="46" t="str">
        <f t="shared" ref="U5686:X5690" si="2424">IF($O5686=U$5,$L5686,"")</f>
        <v/>
      </c>
      <c r="V5686" s="46" t="str">
        <f t="shared" si="2424"/>
        <v/>
      </c>
      <c r="W5686" s="46" t="str">
        <f t="shared" si="2424"/>
        <v/>
      </c>
      <c r="X5686" s="46" t="str">
        <f t="shared" si="2424"/>
        <v/>
      </c>
    </row>
    <row r="5687" spans="2:24" x14ac:dyDescent="0.25">
      <c r="B5687" s="18"/>
      <c r="C5687" s="18"/>
      <c r="D5687" s="18"/>
      <c r="E5687" s="40"/>
      <c r="F5687" s="18"/>
      <c r="G5687" s="40"/>
      <c r="N5687" s="8" t="str">
        <f>IF(R5687="x",1,"")</f>
        <v/>
      </c>
      <c r="O5687" s="18"/>
      <c r="P5687" s="13"/>
      <c r="Q5687" s="13"/>
      <c r="R5687" s="13"/>
      <c r="S5687" s="13"/>
      <c r="T5687" s="15"/>
      <c r="U5687" s="46" t="str">
        <f t="shared" si="2424"/>
        <v/>
      </c>
      <c r="V5687" s="46" t="str">
        <f t="shared" si="2424"/>
        <v/>
      </c>
      <c r="W5687" s="46" t="str">
        <f t="shared" si="2424"/>
        <v/>
      </c>
      <c r="X5687" s="46" t="str">
        <f t="shared" si="2424"/>
        <v/>
      </c>
    </row>
    <row r="5688" spans="2:24" x14ac:dyDescent="0.25">
      <c r="B5688" s="11" t="str">
        <f>CONCATENATE("ROED","-",LEFT(P5688,2),UPPER(MID(P5688,4,3)),RIGHT(P5688,4))</f>
        <v>ROED-22JAN1914</v>
      </c>
      <c r="C5688" s="11" t="s">
        <v>11403</v>
      </c>
      <c r="D5688" s="11" t="s">
        <v>11404</v>
      </c>
      <c r="E5688" s="39" t="s">
        <v>11405</v>
      </c>
      <c r="F5688" s="11" t="s">
        <v>211</v>
      </c>
      <c r="G5688" s="39" t="s">
        <v>5424</v>
      </c>
      <c r="I5688" s="7">
        <v>0</v>
      </c>
      <c r="J5688" s="17">
        <v>2</v>
      </c>
      <c r="K5688" s="17"/>
      <c r="L5688" s="7">
        <f>SUM(H5688:K5688)</f>
        <v>2</v>
      </c>
      <c r="M5688" s="8">
        <v>1</v>
      </c>
      <c r="N5688" s="8">
        <f>IF(L5688&gt;0,1,"")</f>
        <v>1</v>
      </c>
      <c r="O5688" s="11" t="s">
        <v>1702</v>
      </c>
      <c r="P5688" s="16" t="str">
        <f>IF(LEN(G5688)=10,CONCATENATE("0",G5688),G5688)</f>
        <v>22-Jan-1914</v>
      </c>
      <c r="R5688" s="16" t="str">
        <f>IF($L5688&gt;0,"x","")</f>
        <v>x</v>
      </c>
      <c r="S5688" s="16" t="str">
        <f>IF($L5688&gt;0,"x","")</f>
        <v>x</v>
      </c>
      <c r="U5688" s="46" t="str">
        <f t="shared" si="2424"/>
        <v/>
      </c>
      <c r="V5688" s="46">
        <f t="shared" si="2424"/>
        <v>2</v>
      </c>
      <c r="W5688" s="46" t="str">
        <f t="shared" si="2424"/>
        <v/>
      </c>
      <c r="X5688" s="46" t="str">
        <f t="shared" si="2424"/>
        <v/>
      </c>
    </row>
    <row r="5689" spans="2:24" x14ac:dyDescent="0.25">
      <c r="N5689" s="8" t="str">
        <f>IF(R5689="x",1,"")</f>
        <v/>
      </c>
      <c r="U5689" s="46" t="str">
        <f t="shared" si="2424"/>
        <v/>
      </c>
      <c r="V5689" s="46" t="str">
        <f t="shared" si="2424"/>
        <v/>
      </c>
      <c r="W5689" s="46" t="str">
        <f t="shared" si="2424"/>
        <v/>
      </c>
      <c r="X5689" s="46" t="str">
        <f t="shared" si="2424"/>
        <v/>
      </c>
    </row>
    <row r="5690" spans="2:24" x14ac:dyDescent="0.25">
      <c r="B5690" s="18"/>
      <c r="C5690" s="18"/>
      <c r="D5690" s="18"/>
      <c r="E5690" s="40"/>
      <c r="F5690" s="18"/>
      <c r="G5690" s="40"/>
      <c r="H5690" s="7">
        <f t="shared" ref="H5690:N5690" si="2425">SUM(H5688:H5689)</f>
        <v>0</v>
      </c>
      <c r="I5690" s="7">
        <f t="shared" si="2425"/>
        <v>0</v>
      </c>
      <c r="J5690" s="7">
        <f t="shared" si="2425"/>
        <v>2</v>
      </c>
      <c r="K5690" s="7">
        <f t="shared" si="2425"/>
        <v>0</v>
      </c>
      <c r="L5690" s="7">
        <f t="shared" si="2425"/>
        <v>2</v>
      </c>
      <c r="M5690" s="7">
        <f t="shared" si="2425"/>
        <v>1</v>
      </c>
      <c r="N5690" s="7">
        <f t="shared" si="2425"/>
        <v>1</v>
      </c>
      <c r="O5690" s="18"/>
      <c r="P5690" s="13"/>
      <c r="Q5690" s="13"/>
      <c r="S5690" s="13"/>
      <c r="T5690" s="15"/>
      <c r="U5690" s="46" t="str">
        <f t="shared" si="2424"/>
        <v/>
      </c>
      <c r="V5690" s="46" t="str">
        <f t="shared" si="2424"/>
        <v/>
      </c>
      <c r="W5690" s="46" t="str">
        <f t="shared" si="2424"/>
        <v/>
      </c>
      <c r="X5690" s="46" t="str">
        <f t="shared" si="2424"/>
        <v/>
      </c>
    </row>
    <row r="5691" spans="2:24" x14ac:dyDescent="0.25">
      <c r="B5691" s="18"/>
      <c r="C5691" s="18"/>
      <c r="D5691" s="18"/>
      <c r="E5691" s="40"/>
      <c r="F5691" s="18"/>
      <c r="G5691" s="40"/>
      <c r="N5691" s="8" t="str">
        <f>IF(R5691="x",1,"")</f>
        <v/>
      </c>
      <c r="O5691" s="18"/>
      <c r="P5691" s="13"/>
      <c r="Q5691" s="13"/>
      <c r="R5691" s="13"/>
      <c r="S5691" s="13"/>
      <c r="T5691" s="15"/>
      <c r="U5691" s="46" t="str">
        <f t="shared" ref="U5691:X5695" si="2426">IF($O5691=U$5,$L5691,"")</f>
        <v/>
      </c>
      <c r="V5691" s="46" t="str">
        <f t="shared" si="2426"/>
        <v/>
      </c>
      <c r="W5691" s="46" t="str">
        <f t="shared" si="2426"/>
        <v/>
      </c>
      <c r="X5691" s="46" t="str">
        <f t="shared" si="2426"/>
        <v/>
      </c>
    </row>
    <row r="5692" spans="2:24" x14ac:dyDescent="0.25">
      <c r="B5692" s="18"/>
      <c r="C5692" s="18"/>
      <c r="D5692" s="18"/>
      <c r="E5692" s="40"/>
      <c r="F5692" s="18"/>
      <c r="G5692" s="40"/>
      <c r="N5692" s="8" t="str">
        <f>IF(R5692="x",1,"")</f>
        <v/>
      </c>
      <c r="O5692" s="18"/>
      <c r="P5692" s="13"/>
      <c r="Q5692" s="13"/>
      <c r="R5692" s="13"/>
      <c r="S5692" s="13"/>
      <c r="T5692" s="15"/>
      <c r="U5692" s="46" t="str">
        <f t="shared" si="2426"/>
        <v/>
      </c>
      <c r="V5692" s="46" t="str">
        <f t="shared" si="2426"/>
        <v/>
      </c>
      <c r="W5692" s="46" t="str">
        <f t="shared" si="2426"/>
        <v/>
      </c>
      <c r="X5692" s="46" t="str">
        <f t="shared" si="2426"/>
        <v/>
      </c>
    </row>
    <row r="5693" spans="2:24" x14ac:dyDescent="0.25">
      <c r="B5693" s="11" t="str">
        <f>CONCATENATE("ROYG","-",LEFT(P5693,2),UPPER(MID(P5693,4,3)),RIGHT(P5693,4))</f>
        <v>ROYG-18DEC1919</v>
      </c>
      <c r="C5693" s="11" t="s">
        <v>5311</v>
      </c>
      <c r="D5693" s="11" t="s">
        <v>598</v>
      </c>
      <c r="E5693" s="39" t="s">
        <v>5312</v>
      </c>
      <c r="F5693" s="11" t="s">
        <v>1700</v>
      </c>
      <c r="G5693" s="39" t="s">
        <v>4010</v>
      </c>
      <c r="H5693" s="7">
        <v>1</v>
      </c>
      <c r="I5693" s="7">
        <v>0</v>
      </c>
      <c r="J5693" s="17"/>
      <c r="K5693" s="17"/>
      <c r="L5693" s="7">
        <f>SUM(H5693:K5693)</f>
        <v>1</v>
      </c>
      <c r="M5693" s="8">
        <v>1</v>
      </c>
      <c r="N5693" s="8">
        <f>IF(L5693&gt;0,1,"")</f>
        <v>1</v>
      </c>
      <c r="O5693" s="11" t="s">
        <v>1702</v>
      </c>
      <c r="P5693" s="16" t="str">
        <f>IF(LEN(G5693)=10,CONCATENATE("0",G5693),G5693)</f>
        <v>18-Dec-1919</v>
      </c>
      <c r="R5693" s="16" t="str">
        <f>IF($L5693&gt;0,"x","")</f>
        <v>x</v>
      </c>
      <c r="S5693" s="16" t="str">
        <f>IF($L5693&gt;0,"x","")</f>
        <v>x</v>
      </c>
      <c r="U5693" s="46" t="str">
        <f t="shared" si="2426"/>
        <v/>
      </c>
      <c r="V5693" s="46">
        <f t="shared" si="2426"/>
        <v>1</v>
      </c>
      <c r="W5693" s="46" t="str">
        <f t="shared" si="2426"/>
        <v/>
      </c>
      <c r="X5693" s="46" t="str">
        <f t="shared" si="2426"/>
        <v/>
      </c>
    </row>
    <row r="5694" spans="2:24" x14ac:dyDescent="0.25">
      <c r="N5694" s="8" t="str">
        <f>IF(R5694="x",1,"")</f>
        <v/>
      </c>
      <c r="U5694" s="46" t="str">
        <f t="shared" si="2426"/>
        <v/>
      </c>
      <c r="V5694" s="46" t="str">
        <f t="shared" si="2426"/>
        <v/>
      </c>
      <c r="W5694" s="46" t="str">
        <f t="shared" si="2426"/>
        <v/>
      </c>
      <c r="X5694" s="46" t="str">
        <f t="shared" si="2426"/>
        <v/>
      </c>
    </row>
    <row r="5695" spans="2:24" x14ac:dyDescent="0.25">
      <c r="B5695" s="18"/>
      <c r="C5695" s="18"/>
      <c r="D5695" s="18"/>
      <c r="E5695" s="40"/>
      <c r="F5695" s="18"/>
      <c r="G5695" s="40"/>
      <c r="H5695" s="7">
        <f t="shared" ref="H5695:N5695" si="2427">SUM(H5693:H5694)</f>
        <v>1</v>
      </c>
      <c r="I5695" s="7">
        <f t="shared" si="2427"/>
        <v>0</v>
      </c>
      <c r="J5695" s="7">
        <f>SUM(J5693:J5694)</f>
        <v>0</v>
      </c>
      <c r="K5695" s="7">
        <f t="shared" si="2427"/>
        <v>0</v>
      </c>
      <c r="L5695" s="7">
        <f t="shared" si="2427"/>
        <v>1</v>
      </c>
      <c r="M5695" s="7">
        <f t="shared" si="2427"/>
        <v>1</v>
      </c>
      <c r="N5695" s="7">
        <f t="shared" si="2427"/>
        <v>1</v>
      </c>
      <c r="O5695" s="18"/>
      <c r="P5695" s="13"/>
      <c r="Q5695" s="13"/>
      <c r="S5695" s="13"/>
      <c r="T5695" s="15"/>
      <c r="U5695" s="46" t="str">
        <f t="shared" si="2426"/>
        <v/>
      </c>
      <c r="V5695" s="46" t="str">
        <f t="shared" si="2426"/>
        <v/>
      </c>
      <c r="W5695" s="46" t="str">
        <f t="shared" si="2426"/>
        <v/>
      </c>
      <c r="X5695" s="46" t="str">
        <f t="shared" si="2426"/>
        <v/>
      </c>
    </row>
    <row r="5696" spans="2:24" x14ac:dyDescent="0.25">
      <c r="B5696" s="18"/>
      <c r="C5696" s="18"/>
      <c r="D5696" s="18"/>
      <c r="E5696" s="40"/>
      <c r="F5696" s="18"/>
      <c r="G5696" s="40"/>
      <c r="N5696" s="8" t="str">
        <f>IF(R5696="x",1,"")</f>
        <v/>
      </c>
      <c r="O5696" s="18"/>
      <c r="P5696" s="13"/>
      <c r="Q5696" s="13"/>
      <c r="R5696" s="13"/>
      <c r="S5696" s="13"/>
      <c r="T5696" s="15"/>
      <c r="U5696" s="46" t="str">
        <f t="shared" si="2417"/>
        <v/>
      </c>
      <c r="V5696" s="46" t="str">
        <f t="shared" si="2417"/>
        <v/>
      </c>
      <c r="W5696" s="46" t="str">
        <f t="shared" si="2417"/>
        <v/>
      </c>
      <c r="X5696" s="46" t="str">
        <f t="shared" si="2417"/>
        <v/>
      </c>
    </row>
    <row r="5697" spans="2:26" x14ac:dyDescent="0.25">
      <c r="B5697" s="18"/>
      <c r="C5697" s="18"/>
      <c r="D5697" s="18"/>
      <c r="E5697" s="40"/>
      <c r="F5697" s="18"/>
      <c r="G5697" s="40"/>
      <c r="O5697" s="18"/>
      <c r="P5697" s="13"/>
      <c r="Q5697" s="13"/>
      <c r="R5697" s="13"/>
      <c r="S5697" s="13"/>
      <c r="T5697" s="15"/>
      <c r="U5697" s="46" t="str">
        <f t="shared" si="2417"/>
        <v/>
      </c>
      <c r="V5697" s="46" t="str">
        <f t="shared" si="2417"/>
        <v/>
      </c>
      <c r="W5697" s="46" t="str">
        <f t="shared" si="2417"/>
        <v/>
      </c>
      <c r="X5697" s="46" t="str">
        <f t="shared" si="2417"/>
        <v/>
      </c>
    </row>
    <row r="5698" spans="2:26" x14ac:dyDescent="0.25">
      <c r="B5698" s="11" t="str">
        <f t="shared" ref="B5698:B5711" si="2428">CONCATENATE("RUGI","-",LEFT(P5698,2),UPPER(MID(P5698,4,3)),RIGHT(P5698,4))</f>
        <v>RUGI-29APR1889</v>
      </c>
      <c r="C5698" s="11" t="s">
        <v>98</v>
      </c>
      <c r="D5698" s="11" t="s">
        <v>1699</v>
      </c>
      <c r="F5698" s="11" t="s">
        <v>1700</v>
      </c>
      <c r="G5698" s="39" t="s">
        <v>5760</v>
      </c>
      <c r="H5698" s="7">
        <v>0</v>
      </c>
      <c r="I5698" s="7">
        <v>0</v>
      </c>
      <c r="J5698" s="17">
        <v>4</v>
      </c>
      <c r="K5698" s="17"/>
      <c r="L5698" s="7">
        <f t="shared" ref="L5698:L5711" si="2429">SUM(H5698:K5698)</f>
        <v>4</v>
      </c>
      <c r="M5698" s="8">
        <v>1</v>
      </c>
      <c r="N5698" s="8">
        <f t="shared" ref="N5698:N5711" si="2430">IF(L5698&gt;0,1,"")</f>
        <v>1</v>
      </c>
      <c r="O5698" s="11" t="s">
        <v>1702</v>
      </c>
      <c r="P5698" s="16" t="str">
        <f t="shared" ref="P5698:P5711" si="2431">IF(LEN(G5698)=10,CONCATENATE("0",G5698),G5698)</f>
        <v>29-Apr-1889</v>
      </c>
      <c r="R5698" s="16" t="str">
        <f t="shared" ref="R5698:S5700" si="2432">IF($L5698&gt;0,"x","")</f>
        <v>x</v>
      </c>
      <c r="S5698" s="16" t="str">
        <f t="shared" si="2432"/>
        <v>x</v>
      </c>
      <c r="U5698" s="46" t="str">
        <f t="shared" si="2417"/>
        <v/>
      </c>
      <c r="V5698" s="46">
        <f t="shared" si="2417"/>
        <v>4</v>
      </c>
      <c r="W5698" s="46" t="str">
        <f t="shared" si="2417"/>
        <v/>
      </c>
      <c r="X5698" s="46" t="str">
        <f t="shared" si="2417"/>
        <v/>
      </c>
    </row>
    <row r="5699" spans="2:26" x14ac:dyDescent="0.25">
      <c r="B5699" s="11" t="str">
        <f>CONCATENATE("RUGI","-",LEFT(P5699,2),UPPER(MID(P5699,4,3)),RIGHT(P5699,4))</f>
        <v>RUGI-04MAY1891</v>
      </c>
      <c r="C5699" s="11" t="s">
        <v>98</v>
      </c>
      <c r="D5699" s="11" t="s">
        <v>1699</v>
      </c>
      <c r="F5699" s="11" t="s">
        <v>1700</v>
      </c>
      <c r="G5699" s="39" t="s">
        <v>4115</v>
      </c>
      <c r="H5699" s="7">
        <v>0</v>
      </c>
      <c r="I5699" s="7">
        <v>0</v>
      </c>
      <c r="J5699" s="17">
        <v>24</v>
      </c>
      <c r="K5699" s="17"/>
      <c r="L5699" s="7">
        <f>SUM(H5699:K5699)</f>
        <v>24</v>
      </c>
      <c r="M5699" s="8">
        <v>1</v>
      </c>
      <c r="N5699" s="8">
        <f>IF(L5699&gt;0,1,"")</f>
        <v>1</v>
      </c>
      <c r="O5699" s="11" t="s">
        <v>1702</v>
      </c>
      <c r="P5699" s="16" t="str">
        <f>IF(LEN(G5699)=10,CONCATENATE("0",G5699),G5699)</f>
        <v>04-May-1891</v>
      </c>
      <c r="R5699" s="16" t="str">
        <f t="shared" si="2432"/>
        <v>x</v>
      </c>
      <c r="S5699" s="16" t="str">
        <f t="shared" si="2432"/>
        <v>x</v>
      </c>
      <c r="U5699" s="46" t="str">
        <f t="shared" ref="U5699:X5700" si="2433">IF($O5699=U$5,$L5699,"")</f>
        <v/>
      </c>
      <c r="V5699" s="46">
        <f t="shared" si="2433"/>
        <v>24</v>
      </c>
      <c r="W5699" s="46" t="str">
        <f t="shared" si="2433"/>
        <v/>
      </c>
      <c r="X5699" s="46" t="str">
        <f t="shared" si="2433"/>
        <v/>
      </c>
    </row>
    <row r="5700" spans="2:26" x14ac:dyDescent="0.25">
      <c r="B5700" s="11" t="str">
        <f>CONCATENATE("RUGI","-",LEFT(P5700,2),UPPER(MID(P5700,4,3)),RIGHT(P5700,4))</f>
        <v>RUGI-28SEP1891</v>
      </c>
      <c r="C5700" s="11" t="s">
        <v>98</v>
      </c>
      <c r="D5700" s="11" t="s">
        <v>1699</v>
      </c>
      <c r="F5700" s="11" t="s">
        <v>1700</v>
      </c>
      <c r="G5700" s="39" t="s">
        <v>5003</v>
      </c>
      <c r="H5700" s="7">
        <v>0</v>
      </c>
      <c r="J5700" s="17">
        <v>20</v>
      </c>
      <c r="K5700" s="17"/>
      <c r="L5700" s="7">
        <f>SUM(H5700:K5700)</f>
        <v>20</v>
      </c>
      <c r="M5700" s="8">
        <v>1</v>
      </c>
      <c r="N5700" s="8">
        <f>IF(L5700&gt;0,1,"")</f>
        <v>1</v>
      </c>
      <c r="O5700" s="11" t="s">
        <v>1702</v>
      </c>
      <c r="P5700" s="16" t="str">
        <f>IF(LEN(G5700)=10,CONCATENATE("0",G5700),G5700)</f>
        <v>28-Sep-1891</v>
      </c>
      <c r="R5700" s="16" t="str">
        <f t="shared" si="2432"/>
        <v>x</v>
      </c>
      <c r="S5700" s="16" t="str">
        <f t="shared" si="2432"/>
        <v>x</v>
      </c>
      <c r="U5700" s="46" t="str">
        <f t="shared" si="2433"/>
        <v/>
      </c>
      <c r="V5700" s="46">
        <f t="shared" si="2433"/>
        <v>20</v>
      </c>
      <c r="W5700" s="46" t="str">
        <f t="shared" si="2433"/>
        <v/>
      </c>
      <c r="X5700" s="46" t="str">
        <f t="shared" si="2433"/>
        <v/>
      </c>
      <c r="Z5700" s="11" t="s">
        <v>226</v>
      </c>
    </row>
    <row r="5701" spans="2:26" x14ac:dyDescent="0.25">
      <c r="B5701" s="11" t="str">
        <f>CONCATENATE("RUGI","-",LEFT(P5701,2),UPPER(MID(P5701,4,3)),RIGHT(P5701,4))</f>
        <v>RUGI-02FEB1892</v>
      </c>
      <c r="C5701" s="11" t="s">
        <v>98</v>
      </c>
      <c r="D5701" s="11" t="s">
        <v>1699</v>
      </c>
      <c r="F5701" s="11" t="s">
        <v>1700</v>
      </c>
      <c r="G5701" s="39" t="s">
        <v>100</v>
      </c>
      <c r="H5701" s="7">
        <v>0</v>
      </c>
      <c r="I5701" s="7">
        <v>0</v>
      </c>
      <c r="J5701" s="17">
        <v>28</v>
      </c>
      <c r="K5701" s="17"/>
      <c r="L5701" s="7">
        <f>SUM(H5701:K5701)</f>
        <v>28</v>
      </c>
      <c r="M5701" s="8">
        <v>1</v>
      </c>
      <c r="N5701" s="8">
        <f>IF(L5701&gt;0,1,"")</f>
        <v>1</v>
      </c>
      <c r="O5701" s="11" t="s">
        <v>1702</v>
      </c>
      <c r="P5701" s="16" t="str">
        <f>IF(LEN(G5701)=10,CONCATENATE("0",G5701),G5701)</f>
        <v>02-Feb-1892</v>
      </c>
      <c r="R5701" s="16" t="str">
        <f t="shared" ref="R5701:S5711" si="2434">IF($L5701&gt;0,"x","")</f>
        <v>x</v>
      </c>
      <c r="S5701" s="16" t="str">
        <f t="shared" si="2434"/>
        <v>x</v>
      </c>
      <c r="U5701" s="46" t="str">
        <f t="shared" si="2417"/>
        <v/>
      </c>
      <c r="V5701" s="46">
        <f t="shared" si="2417"/>
        <v>28</v>
      </c>
      <c r="W5701" s="46" t="str">
        <f t="shared" si="2417"/>
        <v/>
      </c>
      <c r="X5701" s="46" t="str">
        <f t="shared" si="2417"/>
        <v/>
      </c>
      <c r="Z5701" s="11" t="s">
        <v>226</v>
      </c>
    </row>
    <row r="5702" spans="2:26" x14ac:dyDescent="0.25">
      <c r="B5702" s="11" t="str">
        <f t="shared" si="2428"/>
        <v>RUGI-02MAY1892</v>
      </c>
      <c r="C5702" s="11" t="s">
        <v>98</v>
      </c>
      <c r="D5702" s="11" t="s">
        <v>1699</v>
      </c>
      <c r="F5702" s="11" t="s">
        <v>1700</v>
      </c>
      <c r="G5702" s="39" t="s">
        <v>139</v>
      </c>
      <c r="H5702" s="7">
        <v>0</v>
      </c>
      <c r="I5702" s="7">
        <v>0</v>
      </c>
      <c r="J5702" s="17">
        <v>27</v>
      </c>
      <c r="K5702" s="17"/>
      <c r="L5702" s="7">
        <f t="shared" si="2429"/>
        <v>27</v>
      </c>
      <c r="M5702" s="8">
        <v>1</v>
      </c>
      <c r="N5702" s="8">
        <f t="shared" si="2430"/>
        <v>1</v>
      </c>
      <c r="O5702" s="11" t="s">
        <v>1702</v>
      </c>
      <c r="P5702" s="16" t="str">
        <f t="shared" si="2431"/>
        <v>02-May-1892</v>
      </c>
      <c r="R5702" s="16" t="str">
        <f t="shared" si="2434"/>
        <v>x</v>
      </c>
      <c r="S5702" s="16" t="str">
        <f t="shared" si="2434"/>
        <v>x</v>
      </c>
      <c r="U5702" s="46" t="str">
        <f t="shared" si="2417"/>
        <v/>
      </c>
      <c r="V5702" s="46">
        <f t="shared" si="2417"/>
        <v>27</v>
      </c>
      <c r="W5702" s="46" t="str">
        <f t="shared" si="2417"/>
        <v/>
      </c>
      <c r="X5702" s="46" t="str">
        <f t="shared" si="2417"/>
        <v/>
      </c>
    </row>
    <row r="5703" spans="2:26" x14ac:dyDescent="0.25">
      <c r="B5703" s="11" t="str">
        <f t="shared" si="2428"/>
        <v>RUGI-13JUN1892</v>
      </c>
      <c r="C5703" s="11" t="s">
        <v>98</v>
      </c>
      <c r="D5703" s="11" t="s">
        <v>99</v>
      </c>
      <c r="F5703" s="11" t="s">
        <v>1700</v>
      </c>
      <c r="G5703" s="39" t="s">
        <v>2257</v>
      </c>
      <c r="H5703" s="7">
        <v>0</v>
      </c>
      <c r="I5703" s="7">
        <v>0</v>
      </c>
      <c r="J5703" s="17">
        <v>19</v>
      </c>
      <c r="K5703" s="17"/>
      <c r="L5703" s="7">
        <f t="shared" si="2429"/>
        <v>19</v>
      </c>
      <c r="M5703" s="8">
        <v>1</v>
      </c>
      <c r="N5703" s="8">
        <f t="shared" si="2430"/>
        <v>1</v>
      </c>
      <c r="O5703" s="11" t="s">
        <v>1702</v>
      </c>
      <c r="P5703" s="16" t="str">
        <f t="shared" si="2431"/>
        <v>13-Jun-1892</v>
      </c>
      <c r="R5703" s="16" t="str">
        <f t="shared" si="2434"/>
        <v>x</v>
      </c>
      <c r="S5703" s="16" t="str">
        <f t="shared" si="2434"/>
        <v>x</v>
      </c>
      <c r="U5703" s="46" t="str">
        <f t="shared" si="2417"/>
        <v/>
      </c>
      <c r="V5703" s="46">
        <f t="shared" si="2417"/>
        <v>19</v>
      </c>
      <c r="W5703" s="46" t="str">
        <f t="shared" si="2417"/>
        <v/>
      </c>
      <c r="X5703" s="46" t="str">
        <f t="shared" si="2417"/>
        <v/>
      </c>
    </row>
    <row r="5704" spans="2:26" x14ac:dyDescent="0.25">
      <c r="B5704" s="11" t="str">
        <f t="shared" si="2428"/>
        <v>RUGI-25JUL1892</v>
      </c>
      <c r="C5704" s="11" t="s">
        <v>98</v>
      </c>
      <c r="D5704" s="11" t="s">
        <v>99</v>
      </c>
      <c r="F5704" s="11" t="s">
        <v>1700</v>
      </c>
      <c r="G5704" s="39" t="s">
        <v>101</v>
      </c>
      <c r="H5704" s="7">
        <v>0</v>
      </c>
      <c r="I5704" s="7">
        <v>0</v>
      </c>
      <c r="J5704" s="17">
        <v>25</v>
      </c>
      <c r="K5704" s="17"/>
      <c r="L5704" s="7">
        <f t="shared" si="2429"/>
        <v>25</v>
      </c>
      <c r="M5704" s="8">
        <v>1</v>
      </c>
      <c r="N5704" s="8">
        <f t="shared" si="2430"/>
        <v>1</v>
      </c>
      <c r="O5704" s="11" t="s">
        <v>1702</v>
      </c>
      <c r="P5704" s="16" t="str">
        <f t="shared" si="2431"/>
        <v>25-Jul-1892</v>
      </c>
      <c r="R5704" s="16" t="str">
        <f t="shared" si="2434"/>
        <v>x</v>
      </c>
      <c r="S5704" s="16" t="str">
        <f t="shared" si="2434"/>
        <v>x</v>
      </c>
      <c r="U5704" s="46" t="str">
        <f t="shared" si="2417"/>
        <v/>
      </c>
      <c r="V5704" s="46">
        <f t="shared" si="2417"/>
        <v>25</v>
      </c>
      <c r="W5704" s="46" t="str">
        <f t="shared" si="2417"/>
        <v/>
      </c>
      <c r="X5704" s="46" t="str">
        <f t="shared" si="2417"/>
        <v/>
      </c>
    </row>
    <row r="5705" spans="2:26" x14ac:dyDescent="0.25">
      <c r="B5705" s="11" t="str">
        <f t="shared" si="2428"/>
        <v>RUGI-22SEP1892</v>
      </c>
      <c r="C5705" s="11" t="s">
        <v>98</v>
      </c>
      <c r="D5705" s="11" t="s">
        <v>99</v>
      </c>
      <c r="F5705" s="11" t="s">
        <v>1700</v>
      </c>
      <c r="G5705" s="39" t="s">
        <v>97</v>
      </c>
      <c r="H5705" s="7">
        <v>0</v>
      </c>
      <c r="I5705" s="7">
        <v>0</v>
      </c>
      <c r="J5705" s="17">
        <v>29</v>
      </c>
      <c r="K5705" s="17"/>
      <c r="L5705" s="7">
        <f t="shared" si="2429"/>
        <v>29</v>
      </c>
      <c r="M5705" s="8">
        <v>1</v>
      </c>
      <c r="N5705" s="8">
        <f t="shared" si="2430"/>
        <v>1</v>
      </c>
      <c r="O5705" s="11" t="s">
        <v>1702</v>
      </c>
      <c r="P5705" s="16" t="str">
        <f t="shared" si="2431"/>
        <v>22-Sep-1892</v>
      </c>
      <c r="R5705" s="16" t="str">
        <f t="shared" si="2434"/>
        <v>x</v>
      </c>
      <c r="S5705" s="16" t="str">
        <f t="shared" si="2434"/>
        <v>x</v>
      </c>
      <c r="U5705" s="46" t="str">
        <f t="shared" si="2417"/>
        <v/>
      </c>
      <c r="V5705" s="46">
        <f t="shared" si="2417"/>
        <v>29</v>
      </c>
      <c r="W5705" s="46" t="str">
        <f t="shared" si="2417"/>
        <v/>
      </c>
      <c r="X5705" s="46" t="str">
        <f t="shared" si="2417"/>
        <v/>
      </c>
    </row>
    <row r="5706" spans="2:26" x14ac:dyDescent="0.25">
      <c r="B5706" s="11" t="str">
        <f t="shared" si="2428"/>
        <v>RUGI-17APR1893</v>
      </c>
      <c r="C5706" s="11" t="s">
        <v>98</v>
      </c>
      <c r="D5706" s="11" t="s">
        <v>99</v>
      </c>
      <c r="F5706" s="11" t="s">
        <v>1700</v>
      </c>
      <c r="G5706" s="39" t="s">
        <v>102</v>
      </c>
      <c r="H5706" s="7">
        <v>0</v>
      </c>
      <c r="I5706" s="7">
        <v>0</v>
      </c>
      <c r="J5706" s="17">
        <v>0</v>
      </c>
      <c r="K5706" s="17"/>
      <c r="L5706" s="7">
        <f t="shared" si="2429"/>
        <v>0</v>
      </c>
      <c r="M5706" s="8">
        <v>1</v>
      </c>
      <c r="N5706" s="8" t="str">
        <f t="shared" si="2430"/>
        <v/>
      </c>
      <c r="O5706" s="11" t="s">
        <v>1702</v>
      </c>
      <c r="P5706" s="16" t="str">
        <f t="shared" si="2431"/>
        <v>17-Apr-1893</v>
      </c>
      <c r="R5706" s="16" t="str">
        <f t="shared" si="2434"/>
        <v/>
      </c>
      <c r="S5706" s="16" t="str">
        <f t="shared" si="2434"/>
        <v/>
      </c>
      <c r="U5706" s="46" t="str">
        <f t="shared" si="2417"/>
        <v/>
      </c>
      <c r="V5706" s="46">
        <f t="shared" si="2417"/>
        <v>0</v>
      </c>
      <c r="W5706" s="46" t="str">
        <f t="shared" si="2417"/>
        <v/>
      </c>
      <c r="X5706" s="46" t="str">
        <f t="shared" si="2417"/>
        <v/>
      </c>
    </row>
    <row r="5707" spans="2:26" x14ac:dyDescent="0.25">
      <c r="B5707" s="11" t="str">
        <f t="shared" si="2428"/>
        <v>RUGI-29MAY1893</v>
      </c>
      <c r="C5707" s="11" t="s">
        <v>98</v>
      </c>
      <c r="D5707" s="11" t="s">
        <v>1699</v>
      </c>
      <c r="F5707" s="11" t="s">
        <v>1700</v>
      </c>
      <c r="G5707" s="39" t="s">
        <v>2266</v>
      </c>
      <c r="H5707" s="7">
        <v>0</v>
      </c>
      <c r="I5707" s="7">
        <v>0</v>
      </c>
      <c r="J5707" s="17">
        <v>6</v>
      </c>
      <c r="K5707" s="17"/>
      <c r="L5707" s="7">
        <f t="shared" si="2429"/>
        <v>6</v>
      </c>
      <c r="M5707" s="8">
        <v>1</v>
      </c>
      <c r="N5707" s="8">
        <f t="shared" si="2430"/>
        <v>1</v>
      </c>
      <c r="O5707" s="11" t="s">
        <v>1702</v>
      </c>
      <c r="P5707" s="16" t="str">
        <f t="shared" si="2431"/>
        <v>29-May-1893</v>
      </c>
      <c r="R5707" s="16" t="str">
        <f t="shared" si="2434"/>
        <v>x</v>
      </c>
      <c r="S5707" s="16" t="str">
        <f t="shared" si="2434"/>
        <v>x</v>
      </c>
      <c r="U5707" s="46" t="str">
        <f t="shared" si="2417"/>
        <v/>
      </c>
      <c r="V5707" s="46">
        <f t="shared" si="2417"/>
        <v>6</v>
      </c>
      <c r="W5707" s="46" t="str">
        <f t="shared" si="2417"/>
        <v/>
      </c>
      <c r="X5707" s="46" t="str">
        <f t="shared" si="2417"/>
        <v/>
      </c>
    </row>
    <row r="5708" spans="2:26" x14ac:dyDescent="0.25">
      <c r="B5708" s="11" t="str">
        <f t="shared" si="2428"/>
        <v>RUGI-30DEC1893</v>
      </c>
      <c r="C5708" s="11" t="s">
        <v>98</v>
      </c>
      <c r="D5708" s="11" t="s">
        <v>99</v>
      </c>
      <c r="F5708" s="11" t="s">
        <v>1700</v>
      </c>
      <c r="G5708" s="39" t="s">
        <v>103</v>
      </c>
      <c r="H5708" s="7">
        <v>0</v>
      </c>
      <c r="I5708" s="7">
        <v>0</v>
      </c>
      <c r="J5708" s="17">
        <v>0</v>
      </c>
      <c r="K5708" s="17"/>
      <c r="L5708" s="7">
        <f t="shared" si="2429"/>
        <v>0</v>
      </c>
      <c r="M5708" s="8">
        <v>1</v>
      </c>
      <c r="N5708" s="8" t="str">
        <f t="shared" si="2430"/>
        <v/>
      </c>
      <c r="O5708" s="11" t="s">
        <v>1702</v>
      </c>
      <c r="P5708" s="16" t="str">
        <f t="shared" si="2431"/>
        <v>30-Dec-1893</v>
      </c>
      <c r="R5708" s="16" t="str">
        <f t="shared" si="2434"/>
        <v/>
      </c>
      <c r="S5708" s="16" t="str">
        <f t="shared" si="2434"/>
        <v/>
      </c>
      <c r="U5708" s="46" t="str">
        <f t="shared" si="2417"/>
        <v/>
      </c>
      <c r="V5708" s="46">
        <f t="shared" si="2417"/>
        <v>0</v>
      </c>
      <c r="W5708" s="46" t="str">
        <f t="shared" si="2417"/>
        <v/>
      </c>
      <c r="X5708" s="46" t="str">
        <f t="shared" si="2417"/>
        <v/>
      </c>
    </row>
    <row r="5709" spans="2:26" x14ac:dyDescent="0.25">
      <c r="B5709" s="11" t="str">
        <f t="shared" si="2428"/>
        <v>RUGI-14FEB1894</v>
      </c>
      <c r="C5709" s="11" t="s">
        <v>98</v>
      </c>
      <c r="D5709" s="11" t="s">
        <v>99</v>
      </c>
      <c r="F5709" s="11" t="s">
        <v>1700</v>
      </c>
      <c r="G5709" s="39" t="s">
        <v>105</v>
      </c>
      <c r="H5709" s="7">
        <v>0</v>
      </c>
      <c r="I5709" s="7">
        <v>0</v>
      </c>
      <c r="J5709" s="17">
        <v>1</v>
      </c>
      <c r="K5709" s="17"/>
      <c r="L5709" s="7">
        <f t="shared" si="2429"/>
        <v>1</v>
      </c>
      <c r="M5709" s="8">
        <v>1</v>
      </c>
      <c r="N5709" s="8">
        <f t="shared" si="2430"/>
        <v>1</v>
      </c>
      <c r="O5709" s="11" t="s">
        <v>1702</v>
      </c>
      <c r="P5709" s="16" t="str">
        <f t="shared" si="2431"/>
        <v>14-Feb-1894</v>
      </c>
      <c r="R5709" s="16" t="str">
        <f t="shared" si="2434"/>
        <v>x</v>
      </c>
      <c r="S5709" s="16" t="str">
        <f t="shared" si="2434"/>
        <v>x</v>
      </c>
      <c r="U5709" s="46" t="str">
        <f t="shared" si="2417"/>
        <v/>
      </c>
      <c r="V5709" s="46">
        <f t="shared" si="2417"/>
        <v>1</v>
      </c>
      <c r="W5709" s="46" t="str">
        <f t="shared" si="2417"/>
        <v/>
      </c>
      <c r="X5709" s="46" t="str">
        <f t="shared" si="2417"/>
        <v/>
      </c>
    </row>
    <row r="5710" spans="2:26" x14ac:dyDescent="0.25">
      <c r="B5710" s="11" t="str">
        <f t="shared" si="2428"/>
        <v>RUGI-18JUN1894</v>
      </c>
      <c r="C5710" s="11" t="s">
        <v>98</v>
      </c>
      <c r="D5710" s="11" t="s">
        <v>99</v>
      </c>
      <c r="F5710" s="11" t="s">
        <v>1700</v>
      </c>
      <c r="G5710" s="39" t="s">
        <v>104</v>
      </c>
      <c r="H5710" s="7">
        <v>0</v>
      </c>
      <c r="I5710" s="7">
        <v>0</v>
      </c>
      <c r="J5710" s="17">
        <v>0</v>
      </c>
      <c r="K5710" s="17"/>
      <c r="L5710" s="7">
        <f t="shared" si="2429"/>
        <v>0</v>
      </c>
      <c r="M5710" s="8">
        <v>1</v>
      </c>
      <c r="N5710" s="8" t="str">
        <f t="shared" si="2430"/>
        <v/>
      </c>
      <c r="O5710" s="11" t="s">
        <v>1702</v>
      </c>
      <c r="P5710" s="16" t="str">
        <f t="shared" si="2431"/>
        <v>18-Jun-1894</v>
      </c>
      <c r="R5710" s="16" t="str">
        <f t="shared" si="2434"/>
        <v/>
      </c>
      <c r="S5710" s="16" t="str">
        <f t="shared" si="2434"/>
        <v/>
      </c>
      <c r="U5710" s="46" t="str">
        <f t="shared" si="2417"/>
        <v/>
      </c>
      <c r="V5710" s="46">
        <f t="shared" si="2417"/>
        <v>0</v>
      </c>
      <c r="W5710" s="46" t="str">
        <f t="shared" si="2417"/>
        <v/>
      </c>
      <c r="X5710" s="46" t="str">
        <f t="shared" si="2417"/>
        <v/>
      </c>
    </row>
    <row r="5711" spans="2:26" x14ac:dyDescent="0.25">
      <c r="B5711" s="11" t="str">
        <f t="shared" si="2428"/>
        <v>RUGI-13AUG1894</v>
      </c>
      <c r="C5711" s="11" t="s">
        <v>98</v>
      </c>
      <c r="D5711" s="11" t="s">
        <v>1699</v>
      </c>
      <c r="F5711" s="11" t="s">
        <v>1700</v>
      </c>
      <c r="G5711" s="39" t="s">
        <v>106</v>
      </c>
      <c r="H5711" s="7">
        <v>0</v>
      </c>
      <c r="I5711" s="7">
        <v>0</v>
      </c>
      <c r="J5711" s="17">
        <v>2</v>
      </c>
      <c r="K5711" s="17"/>
      <c r="L5711" s="7">
        <f t="shared" si="2429"/>
        <v>2</v>
      </c>
      <c r="M5711" s="8">
        <v>1</v>
      </c>
      <c r="N5711" s="8">
        <f t="shared" si="2430"/>
        <v>1</v>
      </c>
      <c r="O5711" s="11" t="s">
        <v>1702</v>
      </c>
      <c r="P5711" s="16" t="str">
        <f t="shared" si="2431"/>
        <v>13-Aug-1894</v>
      </c>
      <c r="R5711" s="16" t="str">
        <f t="shared" si="2434"/>
        <v>x</v>
      </c>
      <c r="S5711" s="16" t="str">
        <f t="shared" si="2434"/>
        <v>x</v>
      </c>
      <c r="U5711" s="46" t="str">
        <f t="shared" si="2417"/>
        <v/>
      </c>
      <c r="V5711" s="46">
        <f t="shared" si="2417"/>
        <v>2</v>
      </c>
      <c r="W5711" s="46" t="str">
        <f t="shared" si="2417"/>
        <v/>
      </c>
      <c r="X5711" s="46" t="str">
        <f t="shared" si="2417"/>
        <v/>
      </c>
    </row>
    <row r="5712" spans="2:26" x14ac:dyDescent="0.25">
      <c r="N5712" s="8" t="str">
        <f>IF(R5712="x",1,"")</f>
        <v/>
      </c>
      <c r="U5712" s="46" t="str">
        <f t="shared" si="2417"/>
        <v/>
      </c>
      <c r="V5712" s="46" t="str">
        <f t="shared" si="2417"/>
        <v/>
      </c>
      <c r="W5712" s="46" t="str">
        <f t="shared" si="2417"/>
        <v/>
      </c>
      <c r="X5712" s="46" t="str">
        <f t="shared" si="2417"/>
        <v/>
      </c>
    </row>
    <row r="5713" spans="2:24" x14ac:dyDescent="0.25">
      <c r="B5713" s="18"/>
      <c r="C5713" s="18"/>
      <c r="D5713" s="18"/>
      <c r="E5713" s="40"/>
      <c r="F5713" s="18"/>
      <c r="G5713" s="40"/>
      <c r="H5713" s="7">
        <f t="shared" ref="H5713:N5713" si="2435">SUM(H5698:H5712)</f>
        <v>0</v>
      </c>
      <c r="I5713" s="7">
        <f t="shared" si="2435"/>
        <v>0</v>
      </c>
      <c r="J5713" s="7">
        <f>SUM(J5698:J5712)</f>
        <v>185</v>
      </c>
      <c r="K5713" s="7">
        <f t="shared" si="2435"/>
        <v>0</v>
      </c>
      <c r="L5713" s="7">
        <f t="shared" si="2435"/>
        <v>185</v>
      </c>
      <c r="M5713" s="7">
        <f t="shared" si="2435"/>
        <v>14</v>
      </c>
      <c r="N5713" s="7">
        <f t="shared" si="2435"/>
        <v>11</v>
      </c>
      <c r="O5713" s="18"/>
      <c r="P5713" s="13"/>
      <c r="Q5713" s="13"/>
      <c r="S5713" s="13"/>
      <c r="T5713" s="15"/>
      <c r="U5713" s="46" t="str">
        <f t="shared" si="2417"/>
        <v/>
      </c>
      <c r="V5713" s="46" t="str">
        <f t="shared" si="2417"/>
        <v/>
      </c>
      <c r="W5713" s="46" t="str">
        <f t="shared" si="2417"/>
        <v/>
      </c>
      <c r="X5713" s="46" t="str">
        <f t="shared" si="2417"/>
        <v/>
      </c>
    </row>
    <row r="5714" spans="2:24" x14ac:dyDescent="0.25">
      <c r="B5714" s="18"/>
      <c r="C5714" s="18"/>
      <c r="D5714" s="18"/>
      <c r="E5714" s="40"/>
      <c r="F5714" s="18"/>
      <c r="G5714" s="40"/>
      <c r="N5714" s="8" t="str">
        <f>IF(R5714="x",1,"")</f>
        <v/>
      </c>
      <c r="O5714" s="18"/>
      <c r="P5714" s="13"/>
      <c r="Q5714" s="13"/>
      <c r="R5714" s="13"/>
      <c r="S5714" s="13"/>
      <c r="T5714" s="15"/>
      <c r="U5714" s="46" t="str">
        <f t="shared" si="2417"/>
        <v/>
      </c>
      <c r="V5714" s="46" t="str">
        <f t="shared" si="2417"/>
        <v/>
      </c>
      <c r="W5714" s="46" t="str">
        <f t="shared" si="2417"/>
        <v/>
      </c>
      <c r="X5714" s="46" t="str">
        <f t="shared" si="2417"/>
        <v/>
      </c>
    </row>
    <row r="5715" spans="2:24" x14ac:dyDescent="0.25">
      <c r="B5715" s="18"/>
      <c r="C5715" s="18"/>
      <c r="D5715" s="18"/>
      <c r="E5715" s="40"/>
      <c r="F5715" s="18"/>
      <c r="G5715" s="40"/>
      <c r="N5715" s="8" t="str">
        <f>IF(R5715="x",1,"")</f>
        <v/>
      </c>
      <c r="O5715" s="18"/>
      <c r="P5715" s="13"/>
      <c r="Q5715" s="13"/>
      <c r="R5715" s="13"/>
      <c r="S5715" s="13"/>
      <c r="T5715" s="15"/>
      <c r="U5715" s="46" t="str">
        <f t="shared" si="2417"/>
        <v/>
      </c>
      <c r="V5715" s="46" t="str">
        <f t="shared" si="2417"/>
        <v/>
      </c>
      <c r="W5715" s="46" t="str">
        <f t="shared" si="2417"/>
        <v/>
      </c>
      <c r="X5715" s="46" t="str">
        <f t="shared" si="2417"/>
        <v/>
      </c>
    </row>
    <row r="5716" spans="2:24" x14ac:dyDescent="0.25">
      <c r="B5716" s="11" t="str">
        <f t="shared" ref="B5716:B5721" si="2436">CONCATENATE("RUSS","-",LEFT(P5716,2),UPPER(MID(P5716,4,3)),RIGHT(P5716,4))</f>
        <v>RUSS-23DEC1890</v>
      </c>
      <c r="C5716" s="11" t="s">
        <v>129</v>
      </c>
      <c r="D5716" s="11" t="s">
        <v>1699</v>
      </c>
      <c r="F5716" s="11" t="s">
        <v>1700</v>
      </c>
      <c r="G5716" s="39" t="s">
        <v>5787</v>
      </c>
      <c r="J5716" s="17">
        <v>4</v>
      </c>
      <c r="K5716" s="17"/>
      <c r="L5716" s="7">
        <f t="shared" ref="L5716:L5721" si="2437">SUM(H5716:K5716)</f>
        <v>4</v>
      </c>
      <c r="M5716" s="8">
        <v>1</v>
      </c>
      <c r="N5716" s="8">
        <f t="shared" ref="N5716:N5721" si="2438">IF(L5716&gt;0,1,"")</f>
        <v>1</v>
      </c>
      <c r="O5716" s="11" t="s">
        <v>1702</v>
      </c>
      <c r="P5716" s="16" t="str">
        <f t="shared" ref="P5716:P5721" si="2439">IF(LEN(G5716)=10,CONCATENATE("0",G5716),G5716)</f>
        <v>23-Dec-1890</v>
      </c>
      <c r="R5716" s="16" t="str">
        <f t="shared" ref="R5716:S5722" si="2440">IF($L5716&gt;0,"x","")</f>
        <v>x</v>
      </c>
      <c r="S5716" s="16" t="str">
        <f t="shared" si="2440"/>
        <v>x</v>
      </c>
      <c r="U5716" s="46" t="str">
        <f t="shared" si="2417"/>
        <v/>
      </c>
      <c r="V5716" s="46">
        <f t="shared" si="2417"/>
        <v>4</v>
      </c>
      <c r="W5716" s="46" t="str">
        <f t="shared" si="2417"/>
        <v/>
      </c>
      <c r="X5716" s="46" t="str">
        <f t="shared" si="2417"/>
        <v/>
      </c>
    </row>
    <row r="5717" spans="2:24" x14ac:dyDescent="0.25">
      <c r="B5717" s="11" t="str">
        <f t="shared" si="2436"/>
        <v>RUSS-03AUG1891</v>
      </c>
      <c r="C5717" s="11" t="s">
        <v>129</v>
      </c>
      <c r="D5717" s="11" t="s">
        <v>1699</v>
      </c>
      <c r="F5717" s="11" t="s">
        <v>1700</v>
      </c>
      <c r="G5717" s="39" t="s">
        <v>5966</v>
      </c>
      <c r="J5717" s="17">
        <v>18</v>
      </c>
      <c r="K5717" s="17"/>
      <c r="L5717" s="7">
        <f t="shared" si="2437"/>
        <v>18</v>
      </c>
      <c r="M5717" s="8">
        <v>1</v>
      </c>
      <c r="N5717" s="8">
        <f t="shared" si="2438"/>
        <v>1</v>
      </c>
      <c r="O5717" s="11" t="s">
        <v>1702</v>
      </c>
      <c r="P5717" s="16" t="str">
        <f t="shared" si="2439"/>
        <v>03-Aug-1891</v>
      </c>
      <c r="R5717" s="16" t="str">
        <f t="shared" si="2440"/>
        <v>x</v>
      </c>
      <c r="S5717" s="16" t="str">
        <f t="shared" si="2440"/>
        <v>x</v>
      </c>
      <c r="T5717" s="11"/>
      <c r="U5717" s="46" t="str">
        <f t="shared" ref="U5717:X5719" si="2441">IF($O5717=U$5,$L5717,"")</f>
        <v/>
      </c>
      <c r="V5717" s="46">
        <f t="shared" si="2441"/>
        <v>18</v>
      </c>
      <c r="W5717" s="46" t="str">
        <f t="shared" si="2441"/>
        <v/>
      </c>
      <c r="X5717" s="46" t="str">
        <f t="shared" si="2441"/>
        <v/>
      </c>
    </row>
    <row r="5718" spans="2:24" x14ac:dyDescent="0.25">
      <c r="B5718" s="11" t="str">
        <f t="shared" si="2436"/>
        <v>RUSS-18NOV1891</v>
      </c>
      <c r="C5718" s="11" t="s">
        <v>129</v>
      </c>
      <c r="D5718" s="11" t="s">
        <v>1699</v>
      </c>
      <c r="F5718" s="11" t="s">
        <v>1700</v>
      </c>
      <c r="G5718" s="39" t="s">
        <v>11277</v>
      </c>
      <c r="H5718" s="7">
        <v>0</v>
      </c>
      <c r="J5718" s="17">
        <v>23</v>
      </c>
      <c r="K5718" s="17"/>
      <c r="L5718" s="7">
        <f t="shared" si="2437"/>
        <v>23</v>
      </c>
      <c r="M5718" s="8">
        <v>1</v>
      </c>
      <c r="N5718" s="8">
        <f t="shared" si="2438"/>
        <v>1</v>
      </c>
      <c r="O5718" s="11" t="s">
        <v>1702</v>
      </c>
      <c r="P5718" s="16" t="str">
        <f t="shared" si="2439"/>
        <v>18-Nov-1891</v>
      </c>
      <c r="R5718" s="16" t="str">
        <f t="shared" si="2440"/>
        <v>x</v>
      </c>
      <c r="S5718" s="16" t="str">
        <f t="shared" si="2440"/>
        <v>x</v>
      </c>
      <c r="U5718" s="46" t="str">
        <f t="shared" si="2441"/>
        <v/>
      </c>
      <c r="V5718" s="46">
        <f t="shared" si="2441"/>
        <v>23</v>
      </c>
      <c r="W5718" s="46" t="str">
        <f t="shared" si="2441"/>
        <v/>
      </c>
      <c r="X5718" s="46" t="str">
        <f t="shared" si="2441"/>
        <v/>
      </c>
    </row>
    <row r="5719" spans="2:24" x14ac:dyDescent="0.25">
      <c r="B5719" s="11" t="str">
        <f t="shared" si="2436"/>
        <v>RUSS-03JAN1894</v>
      </c>
      <c r="C5719" s="11" t="s">
        <v>129</v>
      </c>
      <c r="D5719" s="11" t="s">
        <v>1699</v>
      </c>
      <c r="F5719" s="11" t="s">
        <v>1700</v>
      </c>
      <c r="G5719" s="39" t="s">
        <v>4490</v>
      </c>
      <c r="J5719" s="17">
        <v>6</v>
      </c>
      <c r="K5719" s="17"/>
      <c r="L5719" s="7">
        <f t="shared" si="2437"/>
        <v>6</v>
      </c>
      <c r="M5719" s="8">
        <v>1</v>
      </c>
      <c r="N5719" s="8">
        <f t="shared" si="2438"/>
        <v>1</v>
      </c>
      <c r="O5719" s="11" t="s">
        <v>1702</v>
      </c>
      <c r="P5719" s="16" t="str">
        <f t="shared" si="2439"/>
        <v>03-Jan-1894</v>
      </c>
      <c r="R5719" s="16" t="str">
        <f t="shared" si="2440"/>
        <v>x</v>
      </c>
      <c r="S5719" s="16" t="str">
        <f t="shared" si="2440"/>
        <v>x</v>
      </c>
      <c r="U5719" s="46" t="str">
        <f t="shared" si="2441"/>
        <v/>
      </c>
      <c r="V5719" s="46">
        <f t="shared" si="2441"/>
        <v>6</v>
      </c>
      <c r="W5719" s="46" t="str">
        <f t="shared" si="2441"/>
        <v/>
      </c>
      <c r="X5719" s="46" t="str">
        <f t="shared" si="2441"/>
        <v/>
      </c>
    </row>
    <row r="5720" spans="2:24" x14ac:dyDescent="0.25">
      <c r="B5720" s="11" t="str">
        <f t="shared" si="2436"/>
        <v>RUSS-06AUG1894</v>
      </c>
      <c r="C5720" s="11" t="s">
        <v>129</v>
      </c>
      <c r="D5720" s="11" t="s">
        <v>1699</v>
      </c>
      <c r="F5720" s="11" t="s">
        <v>1700</v>
      </c>
      <c r="G5720" s="39" t="s">
        <v>611</v>
      </c>
      <c r="J5720" s="17">
        <v>15</v>
      </c>
      <c r="K5720" s="17"/>
      <c r="L5720" s="7">
        <f t="shared" si="2437"/>
        <v>15</v>
      </c>
      <c r="M5720" s="8">
        <v>1</v>
      </c>
      <c r="N5720" s="8">
        <f t="shared" si="2438"/>
        <v>1</v>
      </c>
      <c r="O5720" s="11" t="s">
        <v>1702</v>
      </c>
      <c r="P5720" s="16" t="str">
        <f t="shared" si="2439"/>
        <v>06-Aug-1894</v>
      </c>
      <c r="R5720" s="16" t="str">
        <f t="shared" si="2440"/>
        <v>x</v>
      </c>
      <c r="S5720" s="16" t="str">
        <f t="shared" si="2440"/>
        <v>x</v>
      </c>
      <c r="U5720" s="46" t="str">
        <f t="shared" si="2417"/>
        <v/>
      </c>
      <c r="V5720" s="46">
        <f t="shared" si="2417"/>
        <v>15</v>
      </c>
      <c r="W5720" s="46" t="str">
        <f t="shared" si="2417"/>
        <v/>
      </c>
      <c r="X5720" s="46" t="str">
        <f t="shared" si="2417"/>
        <v/>
      </c>
    </row>
    <row r="5721" spans="2:24" x14ac:dyDescent="0.25">
      <c r="B5721" s="11" t="str">
        <f t="shared" si="2436"/>
        <v>RUSS-15MAY1913</v>
      </c>
      <c r="C5721" s="11" t="s">
        <v>129</v>
      </c>
      <c r="D5721" s="11" t="s">
        <v>5100</v>
      </c>
      <c r="E5721" s="39" t="s">
        <v>2533</v>
      </c>
      <c r="F5721" s="11" t="s">
        <v>1700</v>
      </c>
      <c r="G5721" s="39" t="s">
        <v>3652</v>
      </c>
      <c r="H5721" s="7">
        <v>0</v>
      </c>
      <c r="I5721" s="7">
        <v>13</v>
      </c>
      <c r="J5721" s="17">
        <v>133</v>
      </c>
      <c r="K5721" s="17"/>
      <c r="L5721" s="7">
        <f t="shared" si="2437"/>
        <v>146</v>
      </c>
      <c r="M5721" s="8">
        <v>1</v>
      </c>
      <c r="N5721" s="8">
        <f t="shared" si="2438"/>
        <v>1</v>
      </c>
      <c r="O5721" s="11" t="s">
        <v>1702</v>
      </c>
      <c r="P5721" s="16" t="str">
        <f t="shared" si="2439"/>
        <v>15-May-1913</v>
      </c>
      <c r="R5721" s="16" t="str">
        <f t="shared" si="2440"/>
        <v>x</v>
      </c>
      <c r="S5721" s="16" t="str">
        <f t="shared" si="2440"/>
        <v>x</v>
      </c>
      <c r="U5721" s="46" t="str">
        <f t="shared" ref="U5721:X5722" si="2442">IF($O5721=U$5,$L5721,"")</f>
        <v/>
      </c>
      <c r="V5721" s="46">
        <f t="shared" si="2442"/>
        <v>146</v>
      </c>
      <c r="W5721" s="46" t="str">
        <f t="shared" si="2442"/>
        <v/>
      </c>
      <c r="X5721" s="46" t="str">
        <f t="shared" si="2442"/>
        <v/>
      </c>
    </row>
    <row r="5722" spans="2:24" x14ac:dyDescent="0.25">
      <c r="B5722" s="11" t="str">
        <f>CONCATENATE("RUSS","-",LEFT(P5722,2),UPPER(MID(P5722,4,3)),RIGHT(P5722,4))</f>
        <v>RUSS-20JAN1914</v>
      </c>
      <c r="C5722" s="11" t="s">
        <v>129</v>
      </c>
      <c r="D5722" s="11" t="s">
        <v>5100</v>
      </c>
      <c r="E5722" s="39" t="s">
        <v>4663</v>
      </c>
      <c r="F5722" s="11" t="s">
        <v>1700</v>
      </c>
      <c r="G5722" s="39" t="s">
        <v>11294</v>
      </c>
      <c r="I5722" s="7">
        <v>0</v>
      </c>
      <c r="J5722" s="17">
        <v>18</v>
      </c>
      <c r="K5722" s="17"/>
      <c r="L5722" s="7">
        <f>SUM(H5722:K5722)</f>
        <v>18</v>
      </c>
      <c r="M5722" s="8">
        <v>1</v>
      </c>
      <c r="N5722" s="8">
        <f>IF(L5722&gt;0,1,"")</f>
        <v>1</v>
      </c>
      <c r="O5722" s="11" t="s">
        <v>1702</v>
      </c>
      <c r="P5722" s="16" t="str">
        <f>IF(LEN(G5722)=10,CONCATENATE("0",G5722),G5722)</f>
        <v>20-Jan-1914</v>
      </c>
      <c r="R5722" s="16" t="str">
        <f t="shared" si="2440"/>
        <v>x</v>
      </c>
      <c r="S5722" s="16" t="str">
        <f t="shared" si="2440"/>
        <v>x</v>
      </c>
      <c r="U5722" s="46" t="str">
        <f t="shared" si="2442"/>
        <v/>
      </c>
      <c r="V5722" s="46">
        <f t="shared" si="2442"/>
        <v>18</v>
      </c>
      <c r="W5722" s="46" t="str">
        <f t="shared" si="2442"/>
        <v/>
      </c>
      <c r="X5722" s="46" t="str">
        <f t="shared" si="2442"/>
        <v/>
      </c>
    </row>
    <row r="5723" spans="2:24" x14ac:dyDescent="0.25">
      <c r="N5723" s="8" t="str">
        <f>IF(R5723="x",1,"")</f>
        <v/>
      </c>
      <c r="U5723" s="46" t="str">
        <f t="shared" si="2417"/>
        <v/>
      </c>
      <c r="V5723" s="46" t="str">
        <f t="shared" si="2417"/>
        <v/>
      </c>
      <c r="W5723" s="46" t="str">
        <f t="shared" si="2417"/>
        <v/>
      </c>
      <c r="X5723" s="46" t="str">
        <f t="shared" si="2417"/>
        <v/>
      </c>
    </row>
    <row r="5724" spans="2:24" x14ac:dyDescent="0.25">
      <c r="B5724" s="18"/>
      <c r="C5724" s="18"/>
      <c r="D5724" s="18"/>
      <c r="E5724" s="40"/>
      <c r="F5724" s="18"/>
      <c r="G5724" s="40"/>
      <c r="H5724" s="7">
        <f t="shared" ref="H5724:N5724" si="2443">SUM(H5716:H5723)</f>
        <v>0</v>
      </c>
      <c r="I5724" s="7">
        <f t="shared" si="2443"/>
        <v>13</v>
      </c>
      <c r="J5724" s="7">
        <f>SUM(J5716:J5723)</f>
        <v>217</v>
      </c>
      <c r="K5724" s="7">
        <f t="shared" si="2443"/>
        <v>0</v>
      </c>
      <c r="L5724" s="7">
        <f t="shared" si="2443"/>
        <v>230</v>
      </c>
      <c r="M5724" s="7">
        <f t="shared" si="2443"/>
        <v>7</v>
      </c>
      <c r="N5724" s="7">
        <f t="shared" si="2443"/>
        <v>7</v>
      </c>
      <c r="O5724" s="18"/>
      <c r="P5724" s="13"/>
      <c r="Q5724" s="13"/>
      <c r="S5724" s="13"/>
      <c r="T5724" s="15"/>
      <c r="U5724" s="46" t="str">
        <f t="shared" si="2417"/>
        <v/>
      </c>
      <c r="V5724" s="46" t="str">
        <f t="shared" si="2417"/>
        <v/>
      </c>
      <c r="W5724" s="46" t="str">
        <f t="shared" si="2417"/>
        <v/>
      </c>
      <c r="X5724" s="46" t="str">
        <f t="shared" si="2417"/>
        <v/>
      </c>
    </row>
    <row r="5725" spans="2:24" x14ac:dyDescent="0.25">
      <c r="B5725" s="18"/>
      <c r="C5725" s="18"/>
      <c r="D5725" s="18"/>
      <c r="E5725" s="40"/>
      <c r="F5725" s="18"/>
      <c r="G5725" s="40"/>
      <c r="N5725" s="8" t="str">
        <f>IF(R5725="x",1,"")</f>
        <v/>
      </c>
      <c r="O5725" s="18"/>
      <c r="P5725" s="13"/>
      <c r="Q5725" s="13"/>
      <c r="R5725" s="13"/>
      <c r="S5725" s="13"/>
      <c r="T5725" s="15"/>
      <c r="U5725" s="46" t="str">
        <f t="shared" si="2417"/>
        <v/>
      </c>
      <c r="V5725" s="46" t="str">
        <f t="shared" si="2417"/>
        <v/>
      </c>
      <c r="W5725" s="46" t="str">
        <f t="shared" si="2417"/>
        <v/>
      </c>
      <c r="X5725" s="46" t="str">
        <f t="shared" si="2417"/>
        <v/>
      </c>
    </row>
    <row r="5726" spans="2:24" x14ac:dyDescent="0.25">
      <c r="B5726" s="18"/>
      <c r="C5726" s="18"/>
      <c r="D5726" s="18"/>
      <c r="E5726" s="40"/>
      <c r="F5726" s="18"/>
      <c r="G5726" s="40"/>
      <c r="N5726" s="8" t="str">
        <f>IF(R5726="x",1,"")</f>
        <v/>
      </c>
      <c r="O5726" s="18"/>
      <c r="P5726" s="13"/>
      <c r="Q5726" s="13"/>
      <c r="R5726" s="13"/>
      <c r="S5726" s="13"/>
      <c r="T5726" s="15"/>
      <c r="U5726" s="46" t="str">
        <f t="shared" si="2417"/>
        <v/>
      </c>
      <c r="V5726" s="46" t="str">
        <f t="shared" si="2417"/>
        <v/>
      </c>
      <c r="W5726" s="46" t="str">
        <f t="shared" si="2417"/>
        <v/>
      </c>
      <c r="X5726" s="46" t="str">
        <f t="shared" si="2417"/>
        <v/>
      </c>
    </row>
    <row r="5727" spans="2:24" x14ac:dyDescent="0.25">
      <c r="B5727" s="11" t="str">
        <f>CONCATENATE("RYDH","-",LEFT(P5727,2),UPPER(MID(P5727,4,3)),RIGHT(P5727,4))</f>
        <v>RYDH-11OCT1873</v>
      </c>
      <c r="C5727" s="11" t="s">
        <v>4135</v>
      </c>
      <c r="D5727" s="11" t="s">
        <v>2814</v>
      </c>
      <c r="F5727" s="11" t="s">
        <v>3039</v>
      </c>
      <c r="G5727" s="39" t="s">
        <v>4136</v>
      </c>
      <c r="H5727" s="7">
        <v>0</v>
      </c>
      <c r="I5727" s="7">
        <v>0</v>
      </c>
      <c r="J5727" s="17">
        <v>2</v>
      </c>
      <c r="K5727" s="17"/>
      <c r="L5727" s="7">
        <f>SUM(H5727:K5727)</f>
        <v>2</v>
      </c>
      <c r="M5727" s="8">
        <v>1</v>
      </c>
      <c r="N5727" s="8">
        <f>IF(L5727&gt;0,1,"")</f>
        <v>1</v>
      </c>
      <c r="O5727" s="11" t="s">
        <v>1702</v>
      </c>
      <c r="P5727" s="16" t="str">
        <f>IF(LEN(G5727)=10,CONCATENATE("0",G5727),G5727)</f>
        <v>11-Oct-1873</v>
      </c>
      <c r="R5727" s="16" t="str">
        <f>IF($L5727&gt;0,"x","")</f>
        <v>x</v>
      </c>
      <c r="S5727" s="16" t="str">
        <f>IF($L5727&gt;0,"x","")</f>
        <v>x</v>
      </c>
      <c r="U5727" s="46" t="str">
        <f t="shared" si="2417"/>
        <v/>
      </c>
      <c r="V5727" s="46">
        <f t="shared" si="2417"/>
        <v>2</v>
      </c>
      <c r="W5727" s="46" t="str">
        <f t="shared" si="2417"/>
        <v/>
      </c>
      <c r="X5727" s="46" t="str">
        <f t="shared" si="2417"/>
        <v/>
      </c>
    </row>
    <row r="5728" spans="2:24" x14ac:dyDescent="0.25">
      <c r="N5728" s="8" t="str">
        <f>IF(R5728="x",1,"")</f>
        <v/>
      </c>
      <c r="U5728" s="46" t="str">
        <f t="shared" si="2417"/>
        <v/>
      </c>
      <c r="V5728" s="46" t="str">
        <f t="shared" si="2417"/>
        <v/>
      </c>
      <c r="W5728" s="46" t="str">
        <f t="shared" si="2417"/>
        <v/>
      </c>
      <c r="X5728" s="46" t="str">
        <f t="shared" si="2417"/>
        <v/>
      </c>
    </row>
    <row r="5729" spans="2:24" x14ac:dyDescent="0.25">
      <c r="B5729" s="18"/>
      <c r="C5729" s="18"/>
      <c r="D5729" s="18"/>
      <c r="E5729" s="40"/>
      <c r="F5729" s="18"/>
      <c r="G5729" s="40"/>
      <c r="H5729" s="7">
        <f t="shared" ref="H5729:N5729" si="2444">SUM(H5727:H5728)</f>
        <v>0</v>
      </c>
      <c r="I5729" s="7">
        <f t="shared" si="2444"/>
        <v>0</v>
      </c>
      <c r="J5729" s="7">
        <f>SUM(J5727:J5728)</f>
        <v>2</v>
      </c>
      <c r="K5729" s="7">
        <f t="shared" si="2444"/>
        <v>0</v>
      </c>
      <c r="L5729" s="7">
        <f t="shared" si="2444"/>
        <v>2</v>
      </c>
      <c r="M5729" s="7">
        <f t="shared" si="2444"/>
        <v>1</v>
      </c>
      <c r="N5729" s="7">
        <f t="shared" si="2444"/>
        <v>1</v>
      </c>
      <c r="O5729" s="18"/>
      <c r="P5729" s="13"/>
      <c r="Q5729" s="13"/>
      <c r="S5729" s="13"/>
      <c r="T5729" s="15"/>
      <c r="U5729" s="46" t="str">
        <f t="shared" si="2417"/>
        <v/>
      </c>
      <c r="V5729" s="46" t="str">
        <f t="shared" si="2417"/>
        <v/>
      </c>
      <c r="W5729" s="46" t="str">
        <f t="shared" si="2417"/>
        <v/>
      </c>
      <c r="X5729" s="46" t="str">
        <f t="shared" si="2417"/>
        <v/>
      </c>
    </row>
    <row r="5730" spans="2:24" x14ac:dyDescent="0.25">
      <c r="B5730" s="18"/>
      <c r="C5730" s="18"/>
      <c r="D5730" s="18"/>
      <c r="E5730" s="40"/>
      <c r="F5730" s="18"/>
      <c r="G5730" s="40"/>
      <c r="N5730" s="8" t="str">
        <f>IF(R5730="x",1,"")</f>
        <v/>
      </c>
      <c r="O5730" s="18"/>
      <c r="P5730" s="13"/>
      <c r="Q5730" s="13"/>
      <c r="R5730" s="13"/>
      <c r="S5730" s="13"/>
      <c r="T5730" s="15"/>
      <c r="U5730" s="46" t="str">
        <f t="shared" si="2417"/>
        <v/>
      </c>
      <c r="V5730" s="46" t="str">
        <f t="shared" si="2417"/>
        <v/>
      </c>
      <c r="W5730" s="46" t="str">
        <f t="shared" si="2417"/>
        <v/>
      </c>
      <c r="X5730" s="46" t="str">
        <f t="shared" si="2417"/>
        <v/>
      </c>
    </row>
    <row r="5731" spans="2:24" x14ac:dyDescent="0.25">
      <c r="B5731" s="18"/>
      <c r="C5731" s="18"/>
      <c r="D5731" s="18"/>
      <c r="E5731" s="40"/>
      <c r="F5731" s="18"/>
      <c r="G5731" s="40"/>
      <c r="N5731" s="8" t="str">
        <f>IF(R5731="x",1,"")</f>
        <v/>
      </c>
      <c r="O5731" s="18"/>
      <c r="P5731" s="13"/>
      <c r="Q5731" s="13"/>
      <c r="R5731" s="13"/>
      <c r="S5731" s="13"/>
      <c r="T5731" s="15"/>
      <c r="U5731" s="46" t="str">
        <f t="shared" si="2417"/>
        <v/>
      </c>
      <c r="V5731" s="46" t="str">
        <f t="shared" si="2417"/>
        <v/>
      </c>
      <c r="W5731" s="46" t="str">
        <f t="shared" si="2417"/>
        <v/>
      </c>
      <c r="X5731" s="46" t="str">
        <f t="shared" si="2417"/>
        <v/>
      </c>
    </row>
    <row r="5732" spans="2:24" x14ac:dyDescent="0.25">
      <c r="B5732" s="11" t="str">
        <f t="shared" ref="B5732:B5745" si="2445">CONCATENATE("RYND","-",LEFT(P5732,2),UPPER(MID(P5732,4,3)),RIGHT(P5732,4))</f>
        <v>RYND-10AUG1902</v>
      </c>
      <c r="C5732" s="11" t="s">
        <v>3278</v>
      </c>
      <c r="D5732" s="11" t="s">
        <v>2103</v>
      </c>
      <c r="E5732" s="39" t="s">
        <v>6283</v>
      </c>
      <c r="F5732" s="11" t="s">
        <v>1700</v>
      </c>
      <c r="G5732" s="39" t="s">
        <v>1746</v>
      </c>
      <c r="J5732" s="17">
        <v>7</v>
      </c>
      <c r="K5732" s="17"/>
      <c r="L5732" s="7">
        <f t="shared" ref="L5732:L5745" si="2446">SUM(H5732:K5732)</f>
        <v>7</v>
      </c>
      <c r="M5732" s="8">
        <v>1</v>
      </c>
      <c r="N5732" s="8">
        <f t="shared" ref="N5732:N5745" si="2447">IF(L5732&gt;0,1,"")</f>
        <v>1</v>
      </c>
      <c r="O5732" s="11" t="s">
        <v>1702</v>
      </c>
      <c r="P5732" s="16" t="str">
        <f t="shared" ref="P5732:P5745" si="2448">IF(LEN(G5732)=10,CONCATENATE("0",G5732),G5732)</f>
        <v>10-Aug-1902</v>
      </c>
      <c r="R5732" s="16" t="str">
        <f>IF($L5732&gt;0,"x","")</f>
        <v>x</v>
      </c>
      <c r="S5732" s="16" t="str">
        <f>IF($L5732&gt;0,"x","")</f>
        <v>x</v>
      </c>
      <c r="U5732" s="46" t="str">
        <f t="shared" si="2417"/>
        <v/>
      </c>
      <c r="V5732" s="46">
        <f t="shared" si="2417"/>
        <v>7</v>
      </c>
      <c r="W5732" s="46" t="str">
        <f t="shared" si="2417"/>
        <v/>
      </c>
      <c r="X5732" s="46" t="str">
        <f t="shared" si="2417"/>
        <v/>
      </c>
    </row>
    <row r="5733" spans="2:24" x14ac:dyDescent="0.25">
      <c r="B5733" s="11" t="str">
        <f t="shared" si="2445"/>
        <v>RYND-19OCT1902</v>
      </c>
      <c r="C5733" s="11" t="s">
        <v>3278</v>
      </c>
      <c r="D5733" s="11" t="s">
        <v>2103</v>
      </c>
      <c r="E5733" s="39" t="s">
        <v>3660</v>
      </c>
      <c r="F5733" s="11" t="s">
        <v>1700</v>
      </c>
      <c r="G5733" s="39" t="s">
        <v>3659</v>
      </c>
      <c r="J5733" s="17">
        <v>8</v>
      </c>
      <c r="K5733" s="17"/>
      <c r="L5733" s="7">
        <f t="shared" si="2446"/>
        <v>8</v>
      </c>
      <c r="M5733" s="8">
        <v>1</v>
      </c>
      <c r="N5733" s="8">
        <f t="shared" si="2447"/>
        <v>1</v>
      </c>
      <c r="O5733" s="11" t="s">
        <v>1702</v>
      </c>
      <c r="P5733" s="16" t="str">
        <f t="shared" si="2448"/>
        <v>19-Oct-1902</v>
      </c>
      <c r="R5733" s="16" t="str">
        <f>IF($L5733&gt;0,"x","")</f>
        <v>x</v>
      </c>
      <c r="S5733" s="16" t="str">
        <f>IF($L5733&gt;0,"x","")</f>
        <v>x</v>
      </c>
      <c r="T5733" s="16"/>
      <c r="U5733" s="46" t="str">
        <f t="shared" ref="U5733:X5734" si="2449">IF($O5733=U$5,$L5733,"")</f>
        <v/>
      </c>
      <c r="V5733" s="46">
        <f t="shared" si="2449"/>
        <v>8</v>
      </c>
      <c r="W5733" s="46" t="str">
        <f t="shared" si="2449"/>
        <v/>
      </c>
      <c r="X5733" s="46" t="str">
        <f t="shared" si="2449"/>
        <v/>
      </c>
    </row>
    <row r="5734" spans="2:24" x14ac:dyDescent="0.25">
      <c r="B5734" s="11" t="str">
        <f t="shared" si="2445"/>
        <v>RYND-01DEC1902</v>
      </c>
      <c r="C5734" s="11" t="s">
        <v>3278</v>
      </c>
      <c r="D5734" s="11" t="s">
        <v>2103</v>
      </c>
      <c r="E5734" s="39" t="s">
        <v>3403</v>
      </c>
      <c r="F5734" s="11" t="s">
        <v>1700</v>
      </c>
      <c r="G5734" s="39" t="s">
        <v>4106</v>
      </c>
      <c r="J5734" s="17">
        <v>17</v>
      </c>
      <c r="K5734" s="17"/>
      <c r="L5734" s="7">
        <f t="shared" si="2446"/>
        <v>17</v>
      </c>
      <c r="M5734" s="8">
        <v>1</v>
      </c>
      <c r="N5734" s="8">
        <f t="shared" si="2447"/>
        <v>1</v>
      </c>
      <c r="O5734" s="11" t="s">
        <v>1702</v>
      </c>
      <c r="P5734" s="16" t="str">
        <f t="shared" si="2448"/>
        <v>01-Dec-1902</v>
      </c>
      <c r="S5734" s="16" t="s">
        <v>1703</v>
      </c>
      <c r="T5734" s="16"/>
      <c r="U5734" s="46" t="str">
        <f t="shared" si="2449"/>
        <v/>
      </c>
      <c r="V5734" s="46">
        <f t="shared" si="2449"/>
        <v>17</v>
      </c>
      <c r="W5734" s="46" t="str">
        <f t="shared" si="2449"/>
        <v/>
      </c>
      <c r="X5734" s="46" t="str">
        <f t="shared" si="2449"/>
        <v/>
      </c>
    </row>
    <row r="5735" spans="2:24" x14ac:dyDescent="0.25">
      <c r="B5735" s="11" t="str">
        <f t="shared" si="2445"/>
        <v>RYND-12FEB1903</v>
      </c>
      <c r="C5735" s="11" t="s">
        <v>3278</v>
      </c>
      <c r="D5735" s="11" t="s">
        <v>2103</v>
      </c>
      <c r="E5735" s="39" t="s">
        <v>1641</v>
      </c>
      <c r="F5735" s="11" t="s">
        <v>1700</v>
      </c>
      <c r="G5735" s="39" t="s">
        <v>3521</v>
      </c>
      <c r="H5735" s="7">
        <v>0</v>
      </c>
      <c r="I5735" s="7">
        <v>0</v>
      </c>
      <c r="J5735" s="17">
        <f>11+2</f>
        <v>13</v>
      </c>
      <c r="K5735" s="17"/>
      <c r="L5735" s="7">
        <f t="shared" si="2446"/>
        <v>13</v>
      </c>
      <c r="M5735" s="8">
        <v>1</v>
      </c>
      <c r="N5735" s="8">
        <f t="shared" si="2447"/>
        <v>1</v>
      </c>
      <c r="O5735" s="11" t="s">
        <v>1702</v>
      </c>
      <c r="P5735" s="16" t="str">
        <f t="shared" si="2448"/>
        <v>12-Feb-1903</v>
      </c>
      <c r="R5735" s="16" t="str">
        <f>IF($L5735&gt;0,"x","")</f>
        <v>x</v>
      </c>
      <c r="S5735" s="16" t="str">
        <f>IF($L5735&gt;0,"x","")</f>
        <v>x</v>
      </c>
      <c r="U5735" s="46" t="str">
        <f t="shared" si="2417"/>
        <v/>
      </c>
      <c r="V5735" s="46">
        <f t="shared" si="2417"/>
        <v>13</v>
      </c>
      <c r="W5735" s="46" t="str">
        <f t="shared" si="2417"/>
        <v/>
      </c>
      <c r="X5735" s="46" t="str">
        <f t="shared" si="2417"/>
        <v/>
      </c>
    </row>
    <row r="5736" spans="2:24" x14ac:dyDescent="0.25">
      <c r="B5736" s="11" t="str">
        <f t="shared" si="2445"/>
        <v>RYND-14SEP1903</v>
      </c>
      <c r="C5736" s="11" t="s">
        <v>3278</v>
      </c>
      <c r="D5736" s="11" t="s">
        <v>2103</v>
      </c>
      <c r="E5736" s="39" t="s">
        <v>1395</v>
      </c>
      <c r="F5736" s="11" t="s">
        <v>1700</v>
      </c>
      <c r="G5736" s="39" t="s">
        <v>2612</v>
      </c>
      <c r="H5736" s="7">
        <v>0</v>
      </c>
      <c r="I5736" s="7">
        <v>0</v>
      </c>
      <c r="J5736" s="17">
        <v>6</v>
      </c>
      <c r="K5736" s="17"/>
      <c r="L5736" s="7">
        <f t="shared" si="2446"/>
        <v>6</v>
      </c>
      <c r="M5736" s="8">
        <v>1</v>
      </c>
      <c r="N5736" s="8">
        <f t="shared" si="2447"/>
        <v>1</v>
      </c>
      <c r="O5736" s="11" t="s">
        <v>1702</v>
      </c>
      <c r="P5736" s="16" t="str">
        <f t="shared" si="2448"/>
        <v>14-Sep-1903</v>
      </c>
      <c r="R5736" s="16" t="str">
        <f>IF($L5736&gt;0,"x","")</f>
        <v>x</v>
      </c>
      <c r="S5736" s="16" t="str">
        <f>IF($L5736&gt;0,"x","")</f>
        <v>x</v>
      </c>
      <c r="U5736" s="46" t="str">
        <f>IF($O5736=U$5,$L5736,"")</f>
        <v/>
      </c>
      <c r="V5736" s="46">
        <f>IF($O5736=V$5,$L5736,"")</f>
        <v>6</v>
      </c>
      <c r="W5736" s="46" t="str">
        <f>IF($O5736=W$5,$L5736,"")</f>
        <v/>
      </c>
      <c r="X5736" s="46" t="str">
        <f>IF($O5736=X$5,$L5736,"")</f>
        <v/>
      </c>
    </row>
    <row r="5737" spans="2:24" x14ac:dyDescent="0.25">
      <c r="B5737" s="11" t="str">
        <f t="shared" si="2445"/>
        <v>RYND-17MAY1904</v>
      </c>
      <c r="C5737" s="11" t="s">
        <v>3278</v>
      </c>
      <c r="D5737" s="11" t="s">
        <v>3462</v>
      </c>
      <c r="E5737" s="39" t="s">
        <v>770</v>
      </c>
      <c r="F5737" s="11" t="s">
        <v>1700</v>
      </c>
      <c r="G5737" s="39" t="s">
        <v>3279</v>
      </c>
      <c r="H5737" s="7">
        <v>0</v>
      </c>
      <c r="I5737" s="7">
        <v>0</v>
      </c>
      <c r="J5737" s="17">
        <v>1</v>
      </c>
      <c r="K5737" s="17"/>
      <c r="L5737" s="7">
        <f t="shared" si="2446"/>
        <v>1</v>
      </c>
      <c r="M5737" s="8">
        <v>1</v>
      </c>
      <c r="N5737" s="8">
        <f t="shared" si="2447"/>
        <v>1</v>
      </c>
      <c r="O5737" s="11" t="s">
        <v>1702</v>
      </c>
      <c r="P5737" s="16" t="str">
        <f t="shared" si="2448"/>
        <v>17-May-1904</v>
      </c>
      <c r="R5737" s="16" t="str">
        <f t="shared" ref="R5737:S5745" si="2450">IF($L5737&gt;0,"x","")</f>
        <v>x</v>
      </c>
      <c r="S5737" s="16" t="str">
        <f t="shared" si="2450"/>
        <v>x</v>
      </c>
      <c r="U5737" s="46" t="str">
        <f t="shared" si="2417"/>
        <v/>
      </c>
      <c r="V5737" s="46">
        <f t="shared" si="2417"/>
        <v>1</v>
      </c>
      <c r="W5737" s="46" t="str">
        <f t="shared" si="2417"/>
        <v/>
      </c>
      <c r="X5737" s="46" t="str">
        <f t="shared" si="2417"/>
        <v/>
      </c>
    </row>
    <row r="5738" spans="2:24" x14ac:dyDescent="0.25">
      <c r="B5738" s="11" t="str">
        <f t="shared" si="2445"/>
        <v>RYND-21FEB1905</v>
      </c>
      <c r="C5738" s="11" t="s">
        <v>3278</v>
      </c>
      <c r="D5738" s="11" t="s">
        <v>2103</v>
      </c>
      <c r="E5738" s="39" t="s">
        <v>2637</v>
      </c>
      <c r="F5738" s="11" t="s">
        <v>1700</v>
      </c>
      <c r="G5738" s="39" t="s">
        <v>5372</v>
      </c>
      <c r="H5738" s="7">
        <v>0</v>
      </c>
      <c r="I5738" s="7">
        <v>0</v>
      </c>
      <c r="J5738" s="17">
        <v>7</v>
      </c>
      <c r="K5738" s="17"/>
      <c r="L5738" s="7">
        <f t="shared" si="2446"/>
        <v>7</v>
      </c>
      <c r="M5738" s="8">
        <v>1</v>
      </c>
      <c r="N5738" s="8">
        <f t="shared" si="2447"/>
        <v>1</v>
      </c>
      <c r="O5738" s="11" t="s">
        <v>1702</v>
      </c>
      <c r="P5738" s="16" t="str">
        <f t="shared" si="2448"/>
        <v>21-Feb-1905</v>
      </c>
      <c r="R5738" s="16" t="str">
        <f t="shared" ref="R5738:S5740" si="2451">IF($L5738&gt;0,"x","")</f>
        <v>x</v>
      </c>
      <c r="S5738" s="16" t="str">
        <f t="shared" si="2451"/>
        <v>x</v>
      </c>
      <c r="T5738" s="16"/>
      <c r="U5738" s="46" t="str">
        <f t="shared" ref="U5738:X5740" si="2452">IF($O5738=U$5,$L5738,"")</f>
        <v/>
      </c>
      <c r="V5738" s="46">
        <f t="shared" si="2452"/>
        <v>7</v>
      </c>
      <c r="W5738" s="46" t="str">
        <f t="shared" si="2452"/>
        <v/>
      </c>
      <c r="X5738" s="46" t="str">
        <f t="shared" si="2452"/>
        <v/>
      </c>
    </row>
    <row r="5739" spans="2:24" x14ac:dyDescent="0.25">
      <c r="B5739" s="11" t="str">
        <f t="shared" si="2445"/>
        <v>RYND-16JAN1907</v>
      </c>
      <c r="C5739" s="11" t="s">
        <v>3278</v>
      </c>
      <c r="D5739" s="11" t="s">
        <v>3462</v>
      </c>
      <c r="E5739" s="39" t="s">
        <v>1452</v>
      </c>
      <c r="F5739" s="11" t="s">
        <v>1700</v>
      </c>
      <c r="G5739" s="39" t="s">
        <v>5429</v>
      </c>
      <c r="H5739" s="7">
        <v>0</v>
      </c>
      <c r="I5739" s="7">
        <v>0</v>
      </c>
      <c r="J5739" s="17">
        <v>2</v>
      </c>
      <c r="K5739" s="17"/>
      <c r="L5739" s="7">
        <f t="shared" si="2446"/>
        <v>2</v>
      </c>
      <c r="M5739" s="8">
        <v>1</v>
      </c>
      <c r="N5739" s="8">
        <f t="shared" si="2447"/>
        <v>1</v>
      </c>
      <c r="O5739" s="11" t="s">
        <v>1702</v>
      </c>
      <c r="P5739" s="16" t="str">
        <f t="shared" si="2448"/>
        <v>16-Jan-1907</v>
      </c>
      <c r="R5739" s="16" t="str">
        <f t="shared" si="2451"/>
        <v>x</v>
      </c>
      <c r="S5739" s="16" t="str">
        <f t="shared" si="2451"/>
        <v>x</v>
      </c>
      <c r="U5739" s="46" t="str">
        <f t="shared" si="2452"/>
        <v/>
      </c>
      <c r="V5739" s="46">
        <f t="shared" si="2452"/>
        <v>2</v>
      </c>
      <c r="W5739" s="46" t="str">
        <f t="shared" si="2452"/>
        <v/>
      </c>
      <c r="X5739" s="46" t="str">
        <f t="shared" si="2452"/>
        <v/>
      </c>
    </row>
    <row r="5740" spans="2:24" x14ac:dyDescent="0.25">
      <c r="B5740" s="11" t="str">
        <f t="shared" si="2445"/>
        <v>RYND-16JAN1907</v>
      </c>
      <c r="C5740" s="11" t="s">
        <v>3278</v>
      </c>
      <c r="D5740" s="11" t="s">
        <v>2103</v>
      </c>
      <c r="E5740" s="39" t="s">
        <v>2715</v>
      </c>
      <c r="F5740" s="11" t="s">
        <v>1700</v>
      </c>
      <c r="G5740" s="39" t="s">
        <v>5429</v>
      </c>
      <c r="H5740" s="7">
        <v>0</v>
      </c>
      <c r="I5740" s="7">
        <v>0</v>
      </c>
      <c r="J5740" s="17">
        <v>9</v>
      </c>
      <c r="K5740" s="17"/>
      <c r="L5740" s="7">
        <f t="shared" si="2446"/>
        <v>9</v>
      </c>
      <c r="M5740" s="8">
        <v>1</v>
      </c>
      <c r="N5740" s="8">
        <f t="shared" si="2447"/>
        <v>1</v>
      </c>
      <c r="O5740" s="11" t="s">
        <v>1702</v>
      </c>
      <c r="P5740" s="16" t="str">
        <f t="shared" si="2448"/>
        <v>16-Jan-1907</v>
      </c>
      <c r="R5740" s="16" t="str">
        <f t="shared" si="2451"/>
        <v>x</v>
      </c>
      <c r="S5740" s="16" t="str">
        <f t="shared" si="2451"/>
        <v>x</v>
      </c>
      <c r="T5740" s="16"/>
      <c r="U5740" s="46" t="str">
        <f t="shared" si="2452"/>
        <v/>
      </c>
      <c r="V5740" s="46">
        <f t="shared" si="2452"/>
        <v>9</v>
      </c>
      <c r="W5740" s="46" t="str">
        <f t="shared" si="2452"/>
        <v/>
      </c>
      <c r="X5740" s="46" t="str">
        <f t="shared" si="2452"/>
        <v/>
      </c>
    </row>
    <row r="5741" spans="2:24" x14ac:dyDescent="0.25">
      <c r="B5741" s="11" t="str">
        <f t="shared" si="2445"/>
        <v>RYND-27DEC1911</v>
      </c>
      <c r="C5741" s="11" t="s">
        <v>3278</v>
      </c>
      <c r="D5741" s="11" t="s">
        <v>3707</v>
      </c>
      <c r="E5741" s="39" t="s">
        <v>1263</v>
      </c>
      <c r="F5741" s="11" t="s">
        <v>1700</v>
      </c>
      <c r="G5741" s="39" t="s">
        <v>2498</v>
      </c>
      <c r="H5741" s="7">
        <v>0</v>
      </c>
      <c r="I5741" s="7">
        <v>0</v>
      </c>
      <c r="J5741" s="17">
        <v>1</v>
      </c>
      <c r="K5741" s="17"/>
      <c r="L5741" s="7">
        <f t="shared" si="2446"/>
        <v>1</v>
      </c>
      <c r="M5741" s="8">
        <v>1</v>
      </c>
      <c r="N5741" s="8">
        <f t="shared" si="2447"/>
        <v>1</v>
      </c>
      <c r="O5741" s="11" t="s">
        <v>1702</v>
      </c>
      <c r="P5741" s="16" t="str">
        <f t="shared" si="2448"/>
        <v>27-Dec-1911</v>
      </c>
      <c r="R5741" s="16" t="str">
        <f t="shared" si="2450"/>
        <v>x</v>
      </c>
      <c r="S5741" s="16" t="str">
        <f t="shared" si="2450"/>
        <v>x</v>
      </c>
      <c r="U5741" s="46" t="str">
        <f t="shared" si="2417"/>
        <v/>
      </c>
      <c r="V5741" s="46">
        <f t="shared" si="2417"/>
        <v>1</v>
      </c>
      <c r="W5741" s="46" t="str">
        <f t="shared" si="2417"/>
        <v/>
      </c>
      <c r="X5741" s="46" t="str">
        <f t="shared" si="2417"/>
        <v/>
      </c>
    </row>
    <row r="5742" spans="2:24" x14ac:dyDescent="0.25">
      <c r="B5742" s="11" t="str">
        <f t="shared" si="2445"/>
        <v>RYND-01JAN1916</v>
      </c>
      <c r="C5742" s="11" t="s">
        <v>3278</v>
      </c>
      <c r="D5742" s="11" t="s">
        <v>3462</v>
      </c>
      <c r="E5742" s="39" t="s">
        <v>4413</v>
      </c>
      <c r="F5742" s="11" t="s">
        <v>1700</v>
      </c>
      <c r="G5742" s="39" t="s">
        <v>4414</v>
      </c>
      <c r="H5742" s="7">
        <f>0+2</f>
        <v>2</v>
      </c>
      <c r="I5742" s="7">
        <v>0</v>
      </c>
      <c r="J5742" s="17">
        <v>0</v>
      </c>
      <c r="K5742" s="17"/>
      <c r="L5742" s="7">
        <f t="shared" si="2446"/>
        <v>2</v>
      </c>
      <c r="M5742" s="8">
        <v>1</v>
      </c>
      <c r="N5742" s="8">
        <f t="shared" si="2447"/>
        <v>1</v>
      </c>
      <c r="O5742" s="11" t="s">
        <v>1702</v>
      </c>
      <c r="P5742" s="16" t="str">
        <f t="shared" si="2448"/>
        <v>01-Jan-1916</v>
      </c>
      <c r="R5742" s="16" t="str">
        <f t="shared" si="2450"/>
        <v>x</v>
      </c>
      <c r="S5742" s="16" t="str">
        <f t="shared" si="2450"/>
        <v>x</v>
      </c>
      <c r="T5742" s="16"/>
      <c r="U5742" s="46" t="str">
        <f t="shared" si="2417"/>
        <v/>
      </c>
      <c r="V5742" s="46">
        <f t="shared" si="2417"/>
        <v>2</v>
      </c>
      <c r="W5742" s="46" t="str">
        <f t="shared" si="2417"/>
        <v/>
      </c>
      <c r="X5742" s="46" t="str">
        <f t="shared" si="2417"/>
        <v/>
      </c>
    </row>
    <row r="5743" spans="2:24" x14ac:dyDescent="0.25">
      <c r="B5743" s="11" t="str">
        <f t="shared" si="2445"/>
        <v>RYND-13JUN1916</v>
      </c>
      <c r="C5743" s="11" t="s">
        <v>3278</v>
      </c>
      <c r="D5743" s="11" t="s">
        <v>3462</v>
      </c>
      <c r="E5743" s="39" t="s">
        <v>5123</v>
      </c>
      <c r="F5743" s="11" t="s">
        <v>1700</v>
      </c>
      <c r="G5743" s="39" t="s">
        <v>1975</v>
      </c>
      <c r="H5743" s="7">
        <v>0</v>
      </c>
      <c r="I5743" s="7">
        <v>0</v>
      </c>
      <c r="J5743" s="17">
        <v>5</v>
      </c>
      <c r="K5743" s="17"/>
      <c r="L5743" s="7">
        <f t="shared" si="2446"/>
        <v>5</v>
      </c>
      <c r="M5743" s="8">
        <v>1</v>
      </c>
      <c r="N5743" s="8">
        <f t="shared" si="2447"/>
        <v>1</v>
      </c>
      <c r="O5743" s="11" t="s">
        <v>1702</v>
      </c>
      <c r="P5743" s="16" t="str">
        <f t="shared" si="2448"/>
        <v>13-Jun-1916</v>
      </c>
      <c r="R5743" s="16" t="str">
        <f t="shared" si="2450"/>
        <v>x</v>
      </c>
      <c r="S5743" s="16" t="str">
        <f t="shared" si="2450"/>
        <v>x</v>
      </c>
      <c r="T5743" s="16"/>
      <c r="U5743" s="46" t="str">
        <f>IF($O5743=U$5,$L5743,"")</f>
        <v/>
      </c>
      <c r="V5743" s="46">
        <f>IF($O5743=V$5,$L5743,"")</f>
        <v>5</v>
      </c>
      <c r="W5743" s="46" t="str">
        <f>IF($O5743=W$5,$L5743,"")</f>
        <v/>
      </c>
      <c r="X5743" s="46" t="str">
        <f>IF($O5743=X$5,$L5743,"")</f>
        <v/>
      </c>
    </row>
    <row r="5744" spans="2:24" x14ac:dyDescent="0.25">
      <c r="B5744" s="11" t="str">
        <f t="shared" si="2445"/>
        <v>RYND-27JUN1921</v>
      </c>
      <c r="C5744" s="11" t="s">
        <v>3278</v>
      </c>
      <c r="D5744" s="11" t="s">
        <v>3707</v>
      </c>
      <c r="E5744" s="39" t="s">
        <v>4504</v>
      </c>
      <c r="F5744" s="11" t="s">
        <v>1700</v>
      </c>
      <c r="G5744" s="39" t="s">
        <v>4505</v>
      </c>
      <c r="H5744" s="7">
        <v>0</v>
      </c>
      <c r="I5744" s="7">
        <v>0</v>
      </c>
      <c r="J5744" s="17">
        <v>3</v>
      </c>
      <c r="K5744" s="17"/>
      <c r="L5744" s="7">
        <f t="shared" si="2446"/>
        <v>3</v>
      </c>
      <c r="M5744" s="8">
        <v>1</v>
      </c>
      <c r="N5744" s="8">
        <f t="shared" si="2447"/>
        <v>1</v>
      </c>
      <c r="O5744" s="11" t="s">
        <v>1702</v>
      </c>
      <c r="P5744" s="16" t="str">
        <f t="shared" si="2448"/>
        <v>27-Jun-1921</v>
      </c>
      <c r="R5744" s="16" t="str">
        <f t="shared" si="2450"/>
        <v>x</v>
      </c>
      <c r="S5744" s="16" t="str">
        <f t="shared" si="2450"/>
        <v>x</v>
      </c>
      <c r="T5744" s="16"/>
      <c r="U5744" s="46" t="str">
        <f t="shared" si="2417"/>
        <v/>
      </c>
      <c r="V5744" s="46">
        <f t="shared" si="2417"/>
        <v>3</v>
      </c>
      <c r="W5744" s="46" t="str">
        <f t="shared" si="2417"/>
        <v/>
      </c>
      <c r="X5744" s="46" t="str">
        <f t="shared" si="2417"/>
        <v/>
      </c>
    </row>
    <row r="5745" spans="2:24" x14ac:dyDescent="0.25">
      <c r="B5745" s="11" t="str">
        <f t="shared" si="2445"/>
        <v>RYND-06OCT1923</v>
      </c>
      <c r="C5745" s="11" t="s">
        <v>3278</v>
      </c>
      <c r="D5745" s="11" t="s">
        <v>2103</v>
      </c>
      <c r="E5745" s="39" t="s">
        <v>4317</v>
      </c>
      <c r="F5745" s="11" t="s">
        <v>1700</v>
      </c>
      <c r="G5745" s="39" t="s">
        <v>1169</v>
      </c>
      <c r="H5745" s="7">
        <v>0</v>
      </c>
      <c r="I5745" s="7">
        <v>0</v>
      </c>
      <c r="J5745" s="17">
        <f>4+2</f>
        <v>6</v>
      </c>
      <c r="K5745" s="17"/>
      <c r="L5745" s="7">
        <f t="shared" si="2446"/>
        <v>6</v>
      </c>
      <c r="M5745" s="8">
        <v>1</v>
      </c>
      <c r="N5745" s="8">
        <f t="shared" si="2447"/>
        <v>1</v>
      </c>
      <c r="O5745" s="11" t="s">
        <v>1702</v>
      </c>
      <c r="P5745" s="16" t="str">
        <f t="shared" si="2448"/>
        <v>06-Oct-1923</v>
      </c>
      <c r="R5745" s="16" t="str">
        <f t="shared" si="2450"/>
        <v>x</v>
      </c>
      <c r="S5745" s="16" t="str">
        <f t="shared" si="2450"/>
        <v>x</v>
      </c>
      <c r="T5745" s="16"/>
      <c r="U5745" s="46" t="str">
        <f t="shared" si="2417"/>
        <v/>
      </c>
      <c r="V5745" s="46">
        <f t="shared" si="2417"/>
        <v>6</v>
      </c>
      <c r="W5745" s="46" t="str">
        <f t="shared" si="2417"/>
        <v/>
      </c>
      <c r="X5745" s="46" t="str">
        <f t="shared" si="2417"/>
        <v/>
      </c>
    </row>
    <row r="5746" spans="2:24" x14ac:dyDescent="0.25">
      <c r="N5746" s="8" t="str">
        <f>IF(R5746="x",1,"")</f>
        <v/>
      </c>
      <c r="U5746" s="46" t="str">
        <f t="shared" si="2417"/>
        <v/>
      </c>
      <c r="V5746" s="46" t="str">
        <f t="shared" si="2417"/>
        <v/>
      </c>
      <c r="W5746" s="46" t="str">
        <f t="shared" si="2417"/>
        <v/>
      </c>
      <c r="X5746" s="46" t="str">
        <f t="shared" si="2417"/>
        <v/>
      </c>
    </row>
    <row r="5747" spans="2:24" x14ac:dyDescent="0.25">
      <c r="B5747" s="18"/>
      <c r="C5747" s="18"/>
      <c r="D5747" s="18"/>
      <c r="E5747" s="40"/>
      <c r="F5747" s="18"/>
      <c r="G5747" s="40"/>
      <c r="H5747" s="7">
        <f t="shared" ref="H5747:N5747" si="2453">SUM(H5732:H5746)</f>
        <v>2</v>
      </c>
      <c r="I5747" s="7">
        <f t="shared" si="2453"/>
        <v>0</v>
      </c>
      <c r="J5747" s="7">
        <f>SUM(J5732:J5746)</f>
        <v>85</v>
      </c>
      <c r="K5747" s="7">
        <f t="shared" si="2453"/>
        <v>0</v>
      </c>
      <c r="L5747" s="7">
        <f t="shared" si="2453"/>
        <v>87</v>
      </c>
      <c r="M5747" s="7">
        <f t="shared" si="2453"/>
        <v>14</v>
      </c>
      <c r="N5747" s="7">
        <f t="shared" si="2453"/>
        <v>14</v>
      </c>
      <c r="O5747" s="18"/>
      <c r="P5747" s="13"/>
      <c r="Q5747" s="13"/>
      <c r="S5747" s="13"/>
      <c r="T5747" s="15"/>
      <c r="U5747" s="46" t="str">
        <f t="shared" si="2417"/>
        <v/>
      </c>
      <c r="V5747" s="46" t="str">
        <f t="shared" si="2417"/>
        <v/>
      </c>
      <c r="W5747" s="46" t="str">
        <f t="shared" si="2417"/>
        <v/>
      </c>
      <c r="X5747" s="46" t="str">
        <f t="shared" si="2417"/>
        <v/>
      </c>
    </row>
    <row r="5748" spans="2:24" x14ac:dyDescent="0.25">
      <c r="B5748" s="18"/>
      <c r="C5748" s="18"/>
      <c r="D5748" s="18"/>
      <c r="E5748" s="40"/>
      <c r="F5748" s="18"/>
      <c r="G5748" s="40"/>
      <c r="N5748" s="8" t="str">
        <f>IF(R5748="x",1,"")</f>
        <v/>
      </c>
      <c r="O5748" s="18"/>
      <c r="P5748" s="13"/>
      <c r="Q5748" s="13"/>
      <c r="R5748" s="13"/>
      <c r="S5748" s="13"/>
      <c r="T5748" s="15"/>
      <c r="U5748" s="46" t="str">
        <f t="shared" ref="U5748:X5752" si="2454">IF($O5748=U$5,$L5748,"")</f>
        <v/>
      </c>
      <c r="V5748" s="46" t="str">
        <f t="shared" si="2454"/>
        <v/>
      </c>
      <c r="W5748" s="46" t="str">
        <f t="shared" si="2454"/>
        <v/>
      </c>
      <c r="X5748" s="46" t="str">
        <f t="shared" si="2454"/>
        <v/>
      </c>
    </row>
    <row r="5749" spans="2:24" x14ac:dyDescent="0.25">
      <c r="B5749" s="18"/>
      <c r="C5749" s="18"/>
      <c r="D5749" s="18"/>
      <c r="E5749" s="40"/>
      <c r="F5749" s="18"/>
      <c r="G5749" s="40"/>
      <c r="N5749" s="8" t="str">
        <f>IF(R5749="x",1,"")</f>
        <v/>
      </c>
      <c r="O5749" s="18"/>
      <c r="P5749" s="13"/>
      <c r="Q5749" s="13"/>
      <c r="R5749" s="13"/>
      <c r="S5749" s="13"/>
      <c r="T5749" s="15"/>
      <c r="U5749" s="46" t="str">
        <f t="shared" si="2454"/>
        <v/>
      </c>
      <c r="V5749" s="46" t="str">
        <f t="shared" si="2454"/>
        <v/>
      </c>
      <c r="W5749" s="46" t="str">
        <f t="shared" si="2454"/>
        <v/>
      </c>
      <c r="X5749" s="46" t="str">
        <f t="shared" si="2454"/>
        <v/>
      </c>
    </row>
    <row r="5750" spans="2:24" x14ac:dyDescent="0.25">
      <c r="B5750" s="11" t="str">
        <f>CONCATENATE("SAAL","-",LEFT(P5750,2),UPPER(MID(P5750,4,3)),RIGHT(P5750,4))</f>
        <v>SAAL-05AUG1897</v>
      </c>
      <c r="C5750" s="11" t="s">
        <v>5870</v>
      </c>
      <c r="D5750" s="11" t="s">
        <v>2224</v>
      </c>
      <c r="E5750" s="39" t="s">
        <v>196</v>
      </c>
      <c r="F5750" s="11" t="s">
        <v>1700</v>
      </c>
      <c r="G5750" s="39" t="s">
        <v>5871</v>
      </c>
      <c r="J5750" s="17">
        <v>14</v>
      </c>
      <c r="K5750" s="17"/>
      <c r="L5750" s="7">
        <f>SUM(H5750:K5750)</f>
        <v>14</v>
      </c>
      <c r="M5750" s="8">
        <v>1</v>
      </c>
      <c r="N5750" s="8">
        <f>IF(L5750&gt;0,1,"")</f>
        <v>1</v>
      </c>
      <c r="O5750" s="11" t="s">
        <v>1702</v>
      </c>
      <c r="P5750" s="16" t="str">
        <f>IF(LEN(G5750)=10,CONCATENATE("0",G5750),G5750)</f>
        <v>05-Aug-1897</v>
      </c>
      <c r="R5750" s="16" t="str">
        <f>IF($L5750&gt;0,"x","")</f>
        <v>x</v>
      </c>
      <c r="S5750" s="16" t="str">
        <f>IF($L5750&gt;0,"x","")</f>
        <v>x</v>
      </c>
      <c r="U5750" s="46" t="str">
        <f t="shared" si="2454"/>
        <v/>
      </c>
      <c r="V5750" s="46">
        <f t="shared" si="2454"/>
        <v>14</v>
      </c>
      <c r="W5750" s="46" t="str">
        <f t="shared" si="2454"/>
        <v/>
      </c>
      <c r="X5750" s="46" t="str">
        <f t="shared" si="2454"/>
        <v/>
      </c>
    </row>
    <row r="5751" spans="2:24" x14ac:dyDescent="0.25">
      <c r="N5751" s="8" t="str">
        <f>IF(R5751="x",1,"")</f>
        <v/>
      </c>
      <c r="U5751" s="46" t="str">
        <f t="shared" si="2454"/>
        <v/>
      </c>
      <c r="V5751" s="46" t="str">
        <f t="shared" si="2454"/>
        <v/>
      </c>
      <c r="W5751" s="46" t="str">
        <f t="shared" si="2454"/>
        <v/>
      </c>
      <c r="X5751" s="46" t="str">
        <f t="shared" si="2454"/>
        <v/>
      </c>
    </row>
    <row r="5752" spans="2:24" x14ac:dyDescent="0.25">
      <c r="B5752" s="18"/>
      <c r="C5752" s="18"/>
      <c r="D5752" s="18"/>
      <c r="E5752" s="40"/>
      <c r="F5752" s="18"/>
      <c r="G5752" s="40"/>
      <c r="H5752" s="7">
        <f t="shared" ref="H5752:N5752" si="2455">SUM(H5750:H5751)</f>
        <v>0</v>
      </c>
      <c r="I5752" s="7">
        <f t="shared" si="2455"/>
        <v>0</v>
      </c>
      <c r="J5752" s="7">
        <f>SUM(J5750:J5751)</f>
        <v>14</v>
      </c>
      <c r="K5752" s="7">
        <f t="shared" si="2455"/>
        <v>0</v>
      </c>
      <c r="L5752" s="7">
        <f t="shared" si="2455"/>
        <v>14</v>
      </c>
      <c r="M5752" s="7">
        <f t="shared" si="2455"/>
        <v>1</v>
      </c>
      <c r="N5752" s="7">
        <f t="shared" si="2455"/>
        <v>1</v>
      </c>
      <c r="O5752" s="18"/>
      <c r="P5752" s="13"/>
      <c r="Q5752" s="13"/>
      <c r="S5752" s="13"/>
      <c r="T5752" s="15"/>
      <c r="U5752" s="46" t="str">
        <f t="shared" si="2454"/>
        <v/>
      </c>
      <c r="V5752" s="46" t="str">
        <f t="shared" si="2454"/>
        <v/>
      </c>
      <c r="W5752" s="46" t="str">
        <f t="shared" si="2454"/>
        <v/>
      </c>
      <c r="X5752" s="46" t="str">
        <f t="shared" si="2454"/>
        <v/>
      </c>
    </row>
    <row r="5753" spans="2:24" x14ac:dyDescent="0.25">
      <c r="B5753" s="18"/>
      <c r="C5753" s="18"/>
      <c r="D5753" s="18"/>
      <c r="E5753" s="40"/>
      <c r="F5753" s="18"/>
      <c r="G5753" s="40"/>
      <c r="N5753" s="8" t="str">
        <f>IF(R5753="x",1,"")</f>
        <v/>
      </c>
      <c r="O5753" s="18"/>
      <c r="P5753" s="13"/>
      <c r="Q5753" s="13"/>
      <c r="R5753" s="13"/>
      <c r="S5753" s="13"/>
      <c r="T5753" s="15"/>
      <c r="U5753" s="46" t="str">
        <f t="shared" si="2417"/>
        <v/>
      </c>
      <c r="V5753" s="46" t="str">
        <f t="shared" si="2417"/>
        <v/>
      </c>
      <c r="W5753" s="46" t="str">
        <f t="shared" si="2417"/>
        <v/>
      </c>
      <c r="X5753" s="46" t="str">
        <f t="shared" si="2417"/>
        <v/>
      </c>
    </row>
    <row r="5754" spans="2:24" x14ac:dyDescent="0.25">
      <c r="B5754" s="18"/>
      <c r="C5754" s="18"/>
      <c r="D5754" s="18"/>
      <c r="E5754" s="40"/>
      <c r="F5754" s="18"/>
      <c r="G5754" s="40"/>
      <c r="N5754" s="8" t="str">
        <f>IF(R5754="x",1,"")</f>
        <v/>
      </c>
      <c r="O5754" s="18"/>
      <c r="P5754" s="13"/>
      <c r="Q5754" s="13"/>
      <c r="R5754" s="13"/>
      <c r="S5754" s="13"/>
      <c r="T5754" s="15"/>
      <c r="U5754" s="46" t="str">
        <f t="shared" si="2417"/>
        <v/>
      </c>
      <c r="V5754" s="46" t="str">
        <f t="shared" si="2417"/>
        <v/>
      </c>
      <c r="W5754" s="46" t="str">
        <f t="shared" si="2417"/>
        <v/>
      </c>
      <c r="X5754" s="46" t="str">
        <f t="shared" si="2417"/>
        <v/>
      </c>
    </row>
    <row r="5755" spans="2:24" x14ac:dyDescent="0.25">
      <c r="B5755" s="11" t="str">
        <f>CONCATENATE("SACH","-",LEFT(P5755,2),UPPER(MID(P5755,4,3)),RIGHT(P5755,4))</f>
        <v>SACH-16DEC1920</v>
      </c>
      <c r="C5755" s="11" t="s">
        <v>3906</v>
      </c>
      <c r="D5755" s="11" t="s">
        <v>2097</v>
      </c>
      <c r="E5755" s="39" t="s">
        <v>3907</v>
      </c>
      <c r="F5755" s="11" t="s">
        <v>2904</v>
      </c>
      <c r="G5755" s="39" t="s">
        <v>3908</v>
      </c>
      <c r="H5755" s="7">
        <v>2</v>
      </c>
      <c r="J5755" s="17"/>
      <c r="K5755" s="17"/>
      <c r="L5755" s="7">
        <f>SUM(H5755:K5755)</f>
        <v>2</v>
      </c>
      <c r="M5755" s="8">
        <v>1</v>
      </c>
      <c r="N5755" s="8">
        <f>IF(L5755&gt;0,1,"")</f>
        <v>1</v>
      </c>
      <c r="O5755" s="11" t="s">
        <v>1702</v>
      </c>
      <c r="P5755" s="16" t="str">
        <f>IF(LEN(G5755)=10,CONCATENATE("0",G5755),G5755)</f>
        <v>16-Dec-1920</v>
      </c>
      <c r="R5755" s="16" t="str">
        <f>IF($L5755&gt;0,"x","")</f>
        <v>x</v>
      </c>
      <c r="S5755" s="16" t="str">
        <f>IF($L5755&gt;0,"x","")</f>
        <v>x</v>
      </c>
      <c r="U5755" s="46" t="str">
        <f t="shared" si="2417"/>
        <v/>
      </c>
      <c r="V5755" s="46">
        <f t="shared" si="2417"/>
        <v>2</v>
      </c>
      <c r="W5755" s="46" t="str">
        <f t="shared" si="2417"/>
        <v/>
      </c>
      <c r="X5755" s="46" t="str">
        <f t="shared" si="2417"/>
        <v/>
      </c>
    </row>
    <row r="5756" spans="2:24" x14ac:dyDescent="0.25">
      <c r="B5756" s="11" t="str">
        <f>CONCATENATE("SACH","-",LEFT(P5756,2),UPPER(MID(P5756,4,3)),RIGHT(P5756,4))</f>
        <v>SACH-28JAN1921</v>
      </c>
      <c r="C5756" s="11" t="s">
        <v>3906</v>
      </c>
      <c r="D5756" s="11" t="s">
        <v>2097</v>
      </c>
      <c r="E5756" s="39" t="s">
        <v>2055</v>
      </c>
      <c r="F5756" s="11" t="s">
        <v>2904</v>
      </c>
      <c r="G5756" s="39" t="s">
        <v>4168</v>
      </c>
      <c r="H5756" s="7">
        <v>6</v>
      </c>
      <c r="J5756" s="17"/>
      <c r="K5756" s="17"/>
      <c r="L5756" s="7">
        <f>SUM(H5756:K5756)</f>
        <v>6</v>
      </c>
      <c r="M5756" s="8">
        <v>1</v>
      </c>
      <c r="N5756" s="8">
        <f>IF(L5756&gt;0,1,"")</f>
        <v>1</v>
      </c>
      <c r="O5756" s="11" t="s">
        <v>1702</v>
      </c>
      <c r="P5756" s="16" t="str">
        <f>IF(LEN(G5756)=10,CONCATENATE("0",G5756),G5756)</f>
        <v>28-Jan-1921</v>
      </c>
      <c r="R5756" s="16" t="str">
        <f>IF($L5756&gt;0,"x","")</f>
        <v>x</v>
      </c>
      <c r="S5756" s="16" t="str">
        <f>IF($L5756&gt;0,"x","")</f>
        <v>x</v>
      </c>
      <c r="U5756" s="46" t="str">
        <f>IF($O5756=U$5,$L5756,"")</f>
        <v/>
      </c>
      <c r="V5756" s="46">
        <f>IF($O5756=V$5,$L5756,"")</f>
        <v>6</v>
      </c>
      <c r="W5756" s="46" t="str">
        <f>IF($O5756=W$5,$L5756,"")</f>
        <v/>
      </c>
      <c r="X5756" s="46" t="str">
        <f>IF($O5756=X$5,$L5756,"")</f>
        <v/>
      </c>
    </row>
    <row r="5757" spans="2:24" x14ac:dyDescent="0.25">
      <c r="N5757" s="8" t="str">
        <f>IF(R5757="x",1,"")</f>
        <v/>
      </c>
      <c r="U5757" s="46" t="str">
        <f t="shared" si="2417"/>
        <v/>
      </c>
      <c r="V5757" s="46" t="str">
        <f t="shared" si="2417"/>
        <v/>
      </c>
      <c r="W5757" s="46" t="str">
        <f t="shared" si="2417"/>
        <v/>
      </c>
      <c r="X5757" s="46" t="str">
        <f t="shared" si="2417"/>
        <v/>
      </c>
    </row>
    <row r="5758" spans="2:24" x14ac:dyDescent="0.25">
      <c r="B5758" s="18"/>
      <c r="C5758" s="18"/>
      <c r="D5758" s="18"/>
      <c r="E5758" s="40"/>
      <c r="F5758" s="18"/>
      <c r="G5758" s="40"/>
      <c r="H5758" s="7">
        <f t="shared" ref="H5758:N5758" si="2456">SUM(H5755:H5757)</f>
        <v>8</v>
      </c>
      <c r="I5758" s="7">
        <f t="shared" si="2456"/>
        <v>0</v>
      </c>
      <c r="J5758" s="7">
        <f>SUM(J5755:J5757)</f>
        <v>0</v>
      </c>
      <c r="K5758" s="7">
        <f t="shared" si="2456"/>
        <v>0</v>
      </c>
      <c r="L5758" s="7">
        <f t="shared" si="2456"/>
        <v>8</v>
      </c>
      <c r="M5758" s="7">
        <f t="shared" si="2456"/>
        <v>2</v>
      </c>
      <c r="N5758" s="7">
        <f t="shared" si="2456"/>
        <v>2</v>
      </c>
      <c r="O5758" s="18"/>
      <c r="P5758" s="13"/>
      <c r="Q5758" s="13"/>
      <c r="S5758" s="13"/>
      <c r="T5758" s="15"/>
      <c r="U5758" s="46" t="str">
        <f t="shared" si="2417"/>
        <v/>
      </c>
      <c r="V5758" s="46" t="str">
        <f t="shared" si="2417"/>
        <v/>
      </c>
      <c r="W5758" s="46" t="str">
        <f t="shared" si="2417"/>
        <v/>
      </c>
      <c r="X5758" s="46" t="str">
        <f t="shared" si="2417"/>
        <v/>
      </c>
    </row>
    <row r="5759" spans="2:24" x14ac:dyDescent="0.25">
      <c r="B5759" s="18"/>
      <c r="C5759" s="18"/>
      <c r="D5759" s="18"/>
      <c r="E5759" s="40"/>
      <c r="F5759" s="18"/>
      <c r="G5759" s="40"/>
      <c r="N5759" s="8" t="str">
        <f>IF(R5759="x",1,"")</f>
        <v/>
      </c>
      <c r="O5759" s="18"/>
      <c r="P5759" s="13"/>
      <c r="Q5759" s="13"/>
      <c r="R5759" s="13"/>
      <c r="S5759" s="13"/>
      <c r="T5759" s="15"/>
      <c r="U5759" s="46" t="str">
        <f t="shared" ref="U5759:X5763" si="2457">IF($O5759=U$5,$L5759,"")</f>
        <v/>
      </c>
      <c r="V5759" s="46" t="str">
        <f t="shared" si="2457"/>
        <v/>
      </c>
      <c r="W5759" s="46" t="str">
        <f t="shared" si="2457"/>
        <v/>
      </c>
      <c r="X5759" s="46" t="str">
        <f t="shared" si="2457"/>
        <v/>
      </c>
    </row>
    <row r="5760" spans="2:24" x14ac:dyDescent="0.25">
      <c r="B5760" s="18"/>
      <c r="C5760" s="18"/>
      <c r="D5760" s="18"/>
      <c r="E5760" s="40"/>
      <c r="F5760" s="18"/>
      <c r="G5760" s="40"/>
      <c r="N5760" s="8" t="str">
        <f>IF(R5760="x",1,"")</f>
        <v/>
      </c>
      <c r="O5760" s="18"/>
      <c r="P5760" s="13"/>
      <c r="Q5760" s="13"/>
      <c r="R5760" s="13"/>
      <c r="S5760" s="13"/>
      <c r="T5760" s="15"/>
      <c r="U5760" s="46" t="str">
        <f t="shared" si="2457"/>
        <v/>
      </c>
      <c r="V5760" s="46" t="str">
        <f t="shared" si="2457"/>
        <v/>
      </c>
      <c r="W5760" s="46" t="str">
        <f t="shared" si="2457"/>
        <v/>
      </c>
      <c r="X5760" s="46" t="str">
        <f t="shared" si="2457"/>
        <v/>
      </c>
    </row>
    <row r="5761" spans="2:24" x14ac:dyDescent="0.25">
      <c r="B5761" s="11" t="str">
        <f>CONCATENATE("SAMR","-",LEFT(P5761,2),UPPER(MID(P5761,4,3)),RIGHT(P5761,4))</f>
        <v>SAMR-05JAN1917</v>
      </c>
      <c r="C5761" s="11" t="s">
        <v>11168</v>
      </c>
      <c r="D5761" s="11" t="s">
        <v>2440</v>
      </c>
      <c r="E5761" s="39" t="s">
        <v>11169</v>
      </c>
      <c r="F5761" s="11" t="s">
        <v>3366</v>
      </c>
      <c r="G5761" s="39" t="s">
        <v>11170</v>
      </c>
      <c r="H5761" s="7">
        <v>0</v>
      </c>
      <c r="J5761" s="17">
        <v>6</v>
      </c>
      <c r="K5761" s="17"/>
      <c r="L5761" s="7">
        <f>SUM(H5761:K5761)</f>
        <v>6</v>
      </c>
      <c r="M5761" s="8">
        <v>1</v>
      </c>
      <c r="N5761" s="8">
        <f>IF(L5761&gt;0,1,"")</f>
        <v>1</v>
      </c>
      <c r="O5761" s="11" t="s">
        <v>1702</v>
      </c>
      <c r="P5761" s="16" t="str">
        <f>IF(LEN(G5761)=10,CONCATENATE("0",G5761),G5761)</f>
        <v>05-Jan-1917</v>
      </c>
      <c r="R5761" s="16" t="str">
        <f>IF($L5761&gt;0,"x","")</f>
        <v>x</v>
      </c>
      <c r="S5761" s="16" t="str">
        <f>IF($L5761&gt;0,"x","")</f>
        <v>x</v>
      </c>
      <c r="U5761" s="46" t="str">
        <f t="shared" si="2457"/>
        <v/>
      </c>
      <c r="V5761" s="46">
        <f t="shared" si="2457"/>
        <v>6</v>
      </c>
      <c r="W5761" s="46" t="str">
        <f t="shared" si="2457"/>
        <v/>
      </c>
      <c r="X5761" s="46" t="str">
        <f t="shared" si="2457"/>
        <v/>
      </c>
    </row>
    <row r="5762" spans="2:24" x14ac:dyDescent="0.25">
      <c r="N5762" s="8" t="str">
        <f>IF(R5762="x",1,"")</f>
        <v/>
      </c>
      <c r="U5762" s="46" t="str">
        <f t="shared" si="2457"/>
        <v/>
      </c>
      <c r="V5762" s="46" t="str">
        <f t="shared" si="2457"/>
        <v/>
      </c>
      <c r="W5762" s="46" t="str">
        <f t="shared" si="2457"/>
        <v/>
      </c>
      <c r="X5762" s="46" t="str">
        <f t="shared" si="2457"/>
        <v/>
      </c>
    </row>
    <row r="5763" spans="2:24" x14ac:dyDescent="0.25">
      <c r="B5763" s="18"/>
      <c r="C5763" s="18"/>
      <c r="D5763" s="18"/>
      <c r="E5763" s="40"/>
      <c r="F5763" s="18"/>
      <c r="G5763" s="40"/>
      <c r="H5763" s="7">
        <f t="shared" ref="H5763:N5763" si="2458">SUM(H5761:H5762)</f>
        <v>0</v>
      </c>
      <c r="I5763" s="7">
        <f t="shared" si="2458"/>
        <v>0</v>
      </c>
      <c r="J5763" s="7">
        <f>SUM(J5761:J5762)</f>
        <v>6</v>
      </c>
      <c r="K5763" s="7">
        <f t="shared" si="2458"/>
        <v>0</v>
      </c>
      <c r="L5763" s="7">
        <f t="shared" si="2458"/>
        <v>6</v>
      </c>
      <c r="M5763" s="7">
        <f t="shared" si="2458"/>
        <v>1</v>
      </c>
      <c r="N5763" s="7">
        <f t="shared" si="2458"/>
        <v>1</v>
      </c>
      <c r="O5763" s="18"/>
      <c r="P5763" s="13"/>
      <c r="Q5763" s="13"/>
      <c r="S5763" s="13"/>
      <c r="T5763" s="15"/>
      <c r="U5763" s="46" t="str">
        <f t="shared" si="2457"/>
        <v/>
      </c>
      <c r="V5763" s="46" t="str">
        <f t="shared" si="2457"/>
        <v/>
      </c>
      <c r="W5763" s="46" t="str">
        <f t="shared" si="2457"/>
        <v/>
      </c>
      <c r="X5763" s="46" t="str">
        <f t="shared" si="2457"/>
        <v/>
      </c>
    </row>
    <row r="5764" spans="2:24" x14ac:dyDescent="0.25">
      <c r="B5764" s="18"/>
      <c r="C5764" s="18"/>
      <c r="D5764" s="18"/>
      <c r="E5764" s="40"/>
      <c r="F5764" s="18"/>
      <c r="G5764" s="40"/>
      <c r="N5764" s="8" t="str">
        <f>IF(R5764="x",1,"")</f>
        <v/>
      </c>
      <c r="O5764" s="18"/>
      <c r="P5764" s="13"/>
      <c r="Q5764" s="13"/>
      <c r="R5764" s="13"/>
      <c r="S5764" s="13"/>
      <c r="T5764" s="15"/>
      <c r="U5764" s="46" t="str">
        <f t="shared" si="2417"/>
        <v/>
      </c>
      <c r="V5764" s="46" t="str">
        <f t="shared" si="2417"/>
        <v/>
      </c>
      <c r="W5764" s="46" t="str">
        <f t="shared" si="2417"/>
        <v/>
      </c>
      <c r="X5764" s="46" t="str">
        <f t="shared" si="2417"/>
        <v/>
      </c>
    </row>
    <row r="5765" spans="2:24" x14ac:dyDescent="0.25">
      <c r="B5765" s="18"/>
      <c r="C5765" s="18"/>
      <c r="D5765" s="18"/>
      <c r="E5765" s="40"/>
      <c r="F5765" s="18"/>
      <c r="G5765" s="40"/>
      <c r="N5765" s="8" t="str">
        <f>IF(R5765="x",1,"")</f>
        <v/>
      </c>
      <c r="O5765" s="18"/>
      <c r="P5765" s="13"/>
      <c r="Q5765" s="13"/>
      <c r="R5765" s="13"/>
      <c r="S5765" s="13"/>
      <c r="T5765" s="15"/>
      <c r="U5765" s="46" t="str">
        <f t="shared" si="2417"/>
        <v/>
      </c>
      <c r="V5765" s="46" t="str">
        <f t="shared" si="2417"/>
        <v/>
      </c>
      <c r="W5765" s="46" t="str">
        <f t="shared" si="2417"/>
        <v/>
      </c>
      <c r="X5765" s="46" t="str">
        <f t="shared" si="2417"/>
        <v/>
      </c>
    </row>
    <row r="5766" spans="2:24" x14ac:dyDescent="0.25">
      <c r="B5766" s="11" t="str">
        <f t="shared" ref="B5766:B5774" si="2459">CONCATENATE("STLR","-",LEFT(P5766,2),UPPER(MID(P5766,4,3)),RIGHT(P5766,4))</f>
        <v>STLR-26FEB1906</v>
      </c>
      <c r="C5766" s="11" t="s">
        <v>3388</v>
      </c>
      <c r="D5766" s="11" t="s">
        <v>1699</v>
      </c>
      <c r="E5766" s="39" t="s">
        <v>805</v>
      </c>
      <c r="F5766" s="11" t="s">
        <v>1700</v>
      </c>
      <c r="G5766" s="39" t="s">
        <v>11494</v>
      </c>
      <c r="J5766" s="17">
        <v>6</v>
      </c>
      <c r="K5766" s="17"/>
      <c r="L5766" s="7">
        <f t="shared" ref="L5766:L5774" si="2460">SUM(H5766:K5766)</f>
        <v>6</v>
      </c>
      <c r="M5766" s="8">
        <v>1</v>
      </c>
      <c r="N5766" s="8">
        <f t="shared" ref="N5766:N5774" si="2461">IF(L5766&gt;0,1,"")</f>
        <v>1</v>
      </c>
      <c r="O5766" s="11" t="s">
        <v>1702</v>
      </c>
      <c r="P5766" s="16" t="str">
        <f t="shared" ref="P5766:P5774" si="2462">IF(LEN(G5766)=10,CONCATENATE("0",G5766),G5766)</f>
        <v>26-Feb-1906</v>
      </c>
      <c r="R5766" s="16" t="str">
        <f>IF($L5766&gt;0,"x","")</f>
        <v>x</v>
      </c>
      <c r="S5766" s="80"/>
      <c r="U5766" s="46" t="str">
        <f t="shared" ref="U5766:X5767" si="2463">IF($O5766=U$5,$L5766,"")</f>
        <v/>
      </c>
      <c r="V5766" s="46">
        <f t="shared" si="2463"/>
        <v>6</v>
      </c>
      <c r="W5766" s="46" t="str">
        <f t="shared" si="2463"/>
        <v/>
      </c>
      <c r="X5766" s="46" t="str">
        <f t="shared" si="2463"/>
        <v/>
      </c>
    </row>
    <row r="5767" spans="2:24" x14ac:dyDescent="0.25">
      <c r="B5767" s="11" t="str">
        <f>CONCATENATE("STLR","-",LEFT(P5767,2),UPPER(MID(P5767,4,3)),RIGHT(P5767,4))</f>
        <v>STLR-15NOV1906</v>
      </c>
      <c r="C5767" s="11" t="s">
        <v>3388</v>
      </c>
      <c r="D5767" s="11" t="s">
        <v>1699</v>
      </c>
      <c r="E5767" s="39" t="s">
        <v>2714</v>
      </c>
      <c r="F5767" s="11" t="s">
        <v>1700</v>
      </c>
      <c r="G5767" s="39" t="s">
        <v>3932</v>
      </c>
      <c r="J5767" s="17">
        <v>6</v>
      </c>
      <c r="K5767" s="17"/>
      <c r="L5767" s="7">
        <f>SUM(H5767:K5767)</f>
        <v>6</v>
      </c>
      <c r="M5767" s="8">
        <v>1</v>
      </c>
      <c r="N5767" s="8">
        <f>IF(L5767&gt;0,1,"")</f>
        <v>1</v>
      </c>
      <c r="O5767" s="11" t="s">
        <v>1702</v>
      </c>
      <c r="P5767" s="16" t="str">
        <f>IF(LEN(G5767)=10,CONCATENATE("0",G5767),G5767)</f>
        <v>15-Nov-1906</v>
      </c>
      <c r="R5767" s="16" t="str">
        <f>IF($L5767&gt;0,"x","")</f>
        <v>x</v>
      </c>
      <c r="S5767" s="16" t="str">
        <f>IF($L5767&gt;0,"x","")</f>
        <v>x</v>
      </c>
      <c r="U5767" s="46" t="str">
        <f t="shared" si="2463"/>
        <v/>
      </c>
      <c r="V5767" s="46">
        <f t="shared" si="2463"/>
        <v>6</v>
      </c>
      <c r="W5767" s="46" t="str">
        <f t="shared" si="2463"/>
        <v/>
      </c>
      <c r="X5767" s="46" t="str">
        <f t="shared" si="2463"/>
        <v/>
      </c>
    </row>
    <row r="5768" spans="2:24" x14ac:dyDescent="0.25">
      <c r="B5768" s="11" t="str">
        <f t="shared" si="2459"/>
        <v>STLR-28DEC1906</v>
      </c>
      <c r="C5768" s="11" t="s">
        <v>3388</v>
      </c>
      <c r="D5768" s="11" t="s">
        <v>1699</v>
      </c>
      <c r="E5768" s="39" t="s">
        <v>1195</v>
      </c>
      <c r="F5768" s="11" t="s">
        <v>1700</v>
      </c>
      <c r="G5768" s="39" t="s">
        <v>3389</v>
      </c>
      <c r="J5768" s="17">
        <v>72</v>
      </c>
      <c r="K5768" s="17"/>
      <c r="L5768" s="7">
        <f t="shared" si="2460"/>
        <v>72</v>
      </c>
      <c r="M5768" s="8">
        <v>1</v>
      </c>
      <c r="N5768" s="8">
        <f t="shared" si="2461"/>
        <v>1</v>
      </c>
      <c r="O5768" s="11" t="s">
        <v>1702</v>
      </c>
      <c r="P5768" s="16" t="str">
        <f t="shared" si="2462"/>
        <v>28-Dec-1906</v>
      </c>
      <c r="R5768" s="16" t="str">
        <f t="shared" ref="R5768:S5774" si="2464">IF($L5768&gt;0,"x","")</f>
        <v>x</v>
      </c>
      <c r="S5768" s="16" t="str">
        <f t="shared" si="2464"/>
        <v>x</v>
      </c>
      <c r="U5768" s="46" t="str">
        <f t="shared" si="2417"/>
        <v/>
      </c>
      <c r="V5768" s="46">
        <f t="shared" si="2417"/>
        <v>72</v>
      </c>
      <c r="W5768" s="46" t="str">
        <f t="shared" si="2417"/>
        <v/>
      </c>
      <c r="X5768" s="46" t="str">
        <f t="shared" si="2417"/>
        <v/>
      </c>
    </row>
    <row r="5769" spans="2:24" x14ac:dyDescent="0.25">
      <c r="B5769" s="11" t="str">
        <f t="shared" si="2459"/>
        <v>STLR-10MAY1907</v>
      </c>
      <c r="C5769" s="11" t="s">
        <v>3388</v>
      </c>
      <c r="D5769" s="11" t="s">
        <v>1699</v>
      </c>
      <c r="E5769" s="39" t="s">
        <v>1455</v>
      </c>
      <c r="F5769" s="11" t="s">
        <v>1700</v>
      </c>
      <c r="G5769" s="39" t="s">
        <v>3685</v>
      </c>
      <c r="J5769" s="17">
        <v>11</v>
      </c>
      <c r="K5769" s="17"/>
      <c r="L5769" s="7">
        <f t="shared" si="2460"/>
        <v>11</v>
      </c>
      <c r="M5769" s="8">
        <v>1</v>
      </c>
      <c r="N5769" s="8">
        <f t="shared" si="2461"/>
        <v>1</v>
      </c>
      <c r="O5769" s="11" t="s">
        <v>1702</v>
      </c>
      <c r="P5769" s="16" t="str">
        <f t="shared" si="2462"/>
        <v>10-May-1907</v>
      </c>
      <c r="R5769" s="16" t="str">
        <f t="shared" si="2464"/>
        <v>x</v>
      </c>
      <c r="S5769" s="16" t="str">
        <f t="shared" si="2464"/>
        <v>x</v>
      </c>
      <c r="U5769" s="46" t="str">
        <f t="shared" si="2417"/>
        <v/>
      </c>
      <c r="V5769" s="46">
        <f t="shared" si="2417"/>
        <v>11</v>
      </c>
      <c r="W5769" s="46" t="str">
        <f t="shared" si="2417"/>
        <v/>
      </c>
      <c r="X5769" s="46" t="str">
        <f t="shared" si="2417"/>
        <v/>
      </c>
    </row>
    <row r="5770" spans="2:24" x14ac:dyDescent="0.25">
      <c r="B5770" s="11" t="str">
        <f>CONCATENATE("STLR","-",LEFT(P5770,2),UPPER(MID(P5770,4,3)),RIGHT(P5770,4))</f>
        <v>STLR-24JUN1907</v>
      </c>
      <c r="C5770" s="11" t="s">
        <v>3388</v>
      </c>
      <c r="D5770" s="11" t="s">
        <v>1699</v>
      </c>
      <c r="E5770" s="39" t="s">
        <v>6051</v>
      </c>
      <c r="F5770" s="11" t="s">
        <v>1700</v>
      </c>
      <c r="G5770" s="39" t="s">
        <v>3621</v>
      </c>
      <c r="J5770" s="17">
        <v>19</v>
      </c>
      <c r="K5770" s="17"/>
      <c r="L5770" s="7">
        <f>SUM(H5770:K5770)</f>
        <v>19</v>
      </c>
      <c r="M5770" s="8">
        <v>1</v>
      </c>
      <c r="N5770" s="8">
        <f>IF(L5770&gt;0,1,"")</f>
        <v>1</v>
      </c>
      <c r="O5770" s="11" t="s">
        <v>1702</v>
      </c>
      <c r="P5770" s="16" t="str">
        <f>IF(LEN(G5770)=10,CONCATENATE("0",G5770),G5770)</f>
        <v>24-Jun-1907</v>
      </c>
      <c r="R5770" s="16" t="str">
        <f t="shared" si="2464"/>
        <v>x</v>
      </c>
      <c r="S5770" s="16" t="str">
        <f t="shared" si="2464"/>
        <v>x</v>
      </c>
      <c r="U5770" s="46" t="str">
        <f t="shared" ref="U5770:X5773" si="2465">IF($O5770=U$5,$L5770,"")</f>
        <v/>
      </c>
      <c r="V5770" s="46">
        <f t="shared" si="2465"/>
        <v>19</v>
      </c>
      <c r="W5770" s="46" t="str">
        <f t="shared" si="2465"/>
        <v/>
      </c>
      <c r="X5770" s="46" t="str">
        <f t="shared" si="2465"/>
        <v/>
      </c>
    </row>
    <row r="5771" spans="2:24" x14ac:dyDescent="0.25">
      <c r="B5771" s="11" t="str">
        <f>CONCATENATE("STLR","-",LEFT(P5771,2),UPPER(MID(P5771,4,3)),RIGHT(P5771,4))</f>
        <v>STLR-01AUG1907</v>
      </c>
      <c r="C5771" s="11" t="s">
        <v>3388</v>
      </c>
      <c r="D5771" s="11" t="s">
        <v>1699</v>
      </c>
      <c r="E5771" s="39" t="s">
        <v>3450</v>
      </c>
      <c r="F5771" s="11" t="s">
        <v>1700</v>
      </c>
      <c r="G5771" s="39" t="s">
        <v>11360</v>
      </c>
      <c r="J5771" s="17">
        <v>30</v>
      </c>
      <c r="K5771" s="17"/>
      <c r="L5771" s="7">
        <f>SUM(H5771:K5771)</f>
        <v>30</v>
      </c>
      <c r="M5771" s="8">
        <v>1</v>
      </c>
      <c r="N5771" s="8">
        <f>IF(L5771&gt;0,1,"")</f>
        <v>1</v>
      </c>
      <c r="O5771" s="11" t="s">
        <v>1702</v>
      </c>
      <c r="P5771" s="16" t="str">
        <f>IF(LEN(G5771)=10,CONCATENATE("0",G5771),G5771)</f>
        <v>01-Aug-1907</v>
      </c>
      <c r="R5771" s="16" t="str">
        <f>IF($L5771&gt;0,"x","")</f>
        <v>x</v>
      </c>
      <c r="S5771" s="16" t="str">
        <f>IF($L5771&gt;0,"x","")</f>
        <v>x</v>
      </c>
      <c r="U5771" s="46" t="str">
        <f t="shared" si="2465"/>
        <v/>
      </c>
      <c r="V5771" s="46">
        <f t="shared" si="2465"/>
        <v>30</v>
      </c>
      <c r="W5771" s="46" t="str">
        <f t="shared" si="2465"/>
        <v/>
      </c>
      <c r="X5771" s="46" t="str">
        <f t="shared" si="2465"/>
        <v/>
      </c>
    </row>
    <row r="5772" spans="2:24" x14ac:dyDescent="0.25">
      <c r="B5772" s="11" t="str">
        <f t="shared" si="2459"/>
        <v>STLR-02NOV1907</v>
      </c>
      <c r="C5772" s="11" t="s">
        <v>3388</v>
      </c>
      <c r="D5772" s="11" t="s">
        <v>1699</v>
      </c>
      <c r="E5772" s="39" t="s">
        <v>1461</v>
      </c>
      <c r="F5772" s="11" t="s">
        <v>1700</v>
      </c>
      <c r="G5772" s="39" t="s">
        <v>1809</v>
      </c>
      <c r="J5772" s="17">
        <v>15</v>
      </c>
      <c r="K5772" s="17"/>
      <c r="L5772" s="7">
        <f t="shared" si="2460"/>
        <v>15</v>
      </c>
      <c r="M5772" s="8">
        <v>1</v>
      </c>
      <c r="N5772" s="8">
        <f t="shared" si="2461"/>
        <v>1</v>
      </c>
      <c r="O5772" s="11" t="s">
        <v>1702</v>
      </c>
      <c r="P5772" s="16" t="str">
        <f t="shared" si="2462"/>
        <v>02-Nov-1907</v>
      </c>
      <c r="R5772" s="16" t="str">
        <f t="shared" si="2464"/>
        <v>x</v>
      </c>
      <c r="S5772" s="16" t="str">
        <f t="shared" si="2464"/>
        <v>x</v>
      </c>
      <c r="U5772" s="46" t="str">
        <f t="shared" si="2465"/>
        <v/>
      </c>
      <c r="V5772" s="46">
        <f t="shared" si="2465"/>
        <v>15</v>
      </c>
      <c r="W5772" s="46" t="str">
        <f t="shared" si="2465"/>
        <v/>
      </c>
      <c r="X5772" s="46" t="str">
        <f t="shared" si="2465"/>
        <v/>
      </c>
    </row>
    <row r="5773" spans="2:24" x14ac:dyDescent="0.25">
      <c r="B5773" s="11" t="str">
        <f t="shared" si="2459"/>
        <v>STLR-05JUN1912</v>
      </c>
      <c r="C5773" s="11" t="s">
        <v>3388</v>
      </c>
      <c r="D5773" s="11" t="s">
        <v>1699</v>
      </c>
      <c r="E5773" s="39" t="s">
        <v>1320</v>
      </c>
      <c r="F5773" s="11" t="s">
        <v>1700</v>
      </c>
      <c r="G5773" s="39" t="s">
        <v>2515</v>
      </c>
      <c r="I5773" s="7">
        <v>0</v>
      </c>
      <c r="J5773" s="17">
        <v>10</v>
      </c>
      <c r="K5773" s="17"/>
      <c r="L5773" s="7">
        <f t="shared" si="2460"/>
        <v>10</v>
      </c>
      <c r="M5773" s="8">
        <v>1</v>
      </c>
      <c r="N5773" s="8">
        <f t="shared" si="2461"/>
        <v>1</v>
      </c>
      <c r="O5773" s="11" t="s">
        <v>1702</v>
      </c>
      <c r="P5773" s="16" t="str">
        <f t="shared" si="2462"/>
        <v>05-Jun-1912</v>
      </c>
      <c r="R5773" s="16" t="str">
        <f t="shared" si="2464"/>
        <v>x</v>
      </c>
      <c r="S5773" s="16" t="str">
        <f t="shared" si="2464"/>
        <v>x</v>
      </c>
      <c r="U5773" s="46" t="str">
        <f t="shared" si="2465"/>
        <v/>
      </c>
      <c r="V5773" s="46">
        <f t="shared" si="2465"/>
        <v>10</v>
      </c>
      <c r="W5773" s="46" t="str">
        <f t="shared" si="2465"/>
        <v/>
      </c>
      <c r="X5773" s="46" t="str">
        <f t="shared" si="2465"/>
        <v/>
      </c>
    </row>
    <row r="5774" spans="2:24" x14ac:dyDescent="0.25">
      <c r="B5774" s="11" t="str">
        <f t="shared" si="2459"/>
        <v>STLR-21JAN1914</v>
      </c>
      <c r="C5774" s="11" t="s">
        <v>3388</v>
      </c>
      <c r="D5774" s="11" t="s">
        <v>1699</v>
      </c>
      <c r="E5774" s="39" t="s">
        <v>2370</v>
      </c>
      <c r="F5774" s="11" t="s">
        <v>1700</v>
      </c>
      <c r="G5774" s="39" t="s">
        <v>2558</v>
      </c>
      <c r="I5774" s="7">
        <v>0</v>
      </c>
      <c r="J5774" s="17">
        <v>15</v>
      </c>
      <c r="K5774" s="17"/>
      <c r="L5774" s="7">
        <f t="shared" si="2460"/>
        <v>15</v>
      </c>
      <c r="M5774" s="8">
        <v>1</v>
      </c>
      <c r="N5774" s="8">
        <f t="shared" si="2461"/>
        <v>1</v>
      </c>
      <c r="O5774" s="11" t="s">
        <v>1702</v>
      </c>
      <c r="P5774" s="16" t="str">
        <f t="shared" si="2462"/>
        <v>21-Jan-1914</v>
      </c>
      <c r="R5774" s="16" t="str">
        <f t="shared" si="2464"/>
        <v>x</v>
      </c>
      <c r="S5774" s="16" t="str">
        <f t="shared" si="2464"/>
        <v>x</v>
      </c>
      <c r="U5774" s="46" t="str">
        <f t="shared" si="2417"/>
        <v/>
      </c>
      <c r="V5774" s="46">
        <f t="shared" si="2417"/>
        <v>15</v>
      </c>
      <c r="W5774" s="46" t="str">
        <f t="shared" si="2417"/>
        <v/>
      </c>
      <c r="X5774" s="46" t="str">
        <f t="shared" si="2417"/>
        <v/>
      </c>
    </row>
    <row r="5775" spans="2:24" x14ac:dyDescent="0.25">
      <c r="N5775" s="8" t="str">
        <f>IF(R5775="x",1,"")</f>
        <v/>
      </c>
      <c r="U5775" s="46" t="str">
        <f t="shared" si="2417"/>
        <v/>
      </c>
      <c r="V5775" s="46" t="str">
        <f t="shared" si="2417"/>
        <v/>
      </c>
      <c r="W5775" s="46" t="str">
        <f t="shared" si="2417"/>
        <v/>
      </c>
      <c r="X5775" s="46" t="str">
        <f t="shared" si="2417"/>
        <v/>
      </c>
    </row>
    <row r="5776" spans="2:24" x14ac:dyDescent="0.25">
      <c r="B5776" s="18"/>
      <c r="C5776" s="18"/>
      <c r="D5776" s="18"/>
      <c r="E5776" s="40"/>
      <c r="F5776" s="18"/>
      <c r="G5776" s="40"/>
      <c r="H5776" s="7">
        <f t="shared" ref="H5776:N5776" si="2466">SUM(H5766:H5775)</f>
        <v>0</v>
      </c>
      <c r="I5776" s="7">
        <f t="shared" si="2466"/>
        <v>0</v>
      </c>
      <c r="J5776" s="7">
        <f>SUM(J5766:J5775)</f>
        <v>184</v>
      </c>
      <c r="K5776" s="7">
        <f t="shared" si="2466"/>
        <v>0</v>
      </c>
      <c r="L5776" s="7">
        <f t="shared" si="2466"/>
        <v>184</v>
      </c>
      <c r="M5776" s="7">
        <f t="shared" si="2466"/>
        <v>9</v>
      </c>
      <c r="N5776" s="7">
        <f t="shared" si="2466"/>
        <v>9</v>
      </c>
      <c r="O5776" s="18"/>
      <c r="P5776" s="13"/>
      <c r="Q5776" s="13"/>
      <c r="S5776" s="13"/>
      <c r="T5776" s="15"/>
      <c r="U5776" s="46" t="str">
        <f t="shared" si="2417"/>
        <v/>
      </c>
      <c r="V5776" s="46" t="str">
        <f t="shared" si="2417"/>
        <v/>
      </c>
      <c r="W5776" s="46" t="str">
        <f t="shared" si="2417"/>
        <v/>
      </c>
      <c r="X5776" s="46" t="str">
        <f t="shared" si="2417"/>
        <v/>
      </c>
    </row>
    <row r="5777" spans="2:24" x14ac:dyDescent="0.25">
      <c r="B5777" s="18"/>
      <c r="C5777" s="18"/>
      <c r="D5777" s="18"/>
      <c r="E5777" s="40"/>
      <c r="F5777" s="18"/>
      <c r="G5777" s="40"/>
      <c r="N5777" s="8" t="str">
        <f>IF(R5777="x",1,"")</f>
        <v/>
      </c>
      <c r="O5777" s="18"/>
      <c r="P5777" s="13"/>
      <c r="Q5777" s="13"/>
      <c r="R5777" s="13"/>
      <c r="S5777" s="13"/>
      <c r="T5777" s="15"/>
      <c r="U5777" s="46" t="str">
        <f t="shared" si="2417"/>
        <v/>
      </c>
      <c r="V5777" s="46" t="str">
        <f t="shared" si="2417"/>
        <v/>
      </c>
      <c r="W5777" s="46" t="str">
        <f t="shared" si="2417"/>
        <v/>
      </c>
      <c r="X5777" s="46" t="str">
        <f t="shared" si="2417"/>
        <v/>
      </c>
    </row>
    <row r="5778" spans="2:24" x14ac:dyDescent="0.25">
      <c r="B5778" s="18"/>
      <c r="C5778" s="18"/>
      <c r="D5778" s="18"/>
      <c r="E5778" s="40"/>
      <c r="F5778" s="18"/>
      <c r="G5778" s="40"/>
      <c r="N5778" s="8" t="str">
        <f>IF(R5778="x",1,"")</f>
        <v/>
      </c>
      <c r="O5778" s="18"/>
      <c r="P5778" s="13"/>
      <c r="Q5778" s="13"/>
      <c r="R5778" s="13"/>
      <c r="S5778" s="13"/>
      <c r="T5778" s="15"/>
      <c r="U5778" s="46" t="str">
        <f t="shared" si="2417"/>
        <v/>
      </c>
      <c r="V5778" s="46" t="str">
        <f t="shared" si="2417"/>
        <v/>
      </c>
      <c r="W5778" s="46" t="str">
        <f t="shared" si="2417"/>
        <v/>
      </c>
      <c r="X5778" s="46" t="str">
        <f t="shared" si="2417"/>
        <v/>
      </c>
    </row>
    <row r="5779" spans="2:24" x14ac:dyDescent="0.25">
      <c r="B5779" s="11" t="str">
        <f t="shared" ref="B5779:B5821" si="2467">CONCATENATE("STLO","-",LEFT(P5779,2),UPPER(MID(P5779,4,3)),RIGHT(P5779,4))</f>
        <v>STLO-13NOV1854</v>
      </c>
      <c r="C5779" s="11" t="s">
        <v>3016</v>
      </c>
      <c r="D5779" s="11" t="s">
        <v>1699</v>
      </c>
      <c r="F5779" s="11" t="s">
        <v>1700</v>
      </c>
      <c r="G5779" s="39" t="s">
        <v>6089</v>
      </c>
      <c r="J5779" s="17">
        <v>4</v>
      </c>
      <c r="K5779" s="17"/>
      <c r="L5779" s="7">
        <f t="shared" ref="L5779:L5821" si="2468">SUM(H5779:K5779)</f>
        <v>4</v>
      </c>
      <c r="M5779" s="8">
        <v>1</v>
      </c>
      <c r="N5779" s="8">
        <f t="shared" ref="N5779:N5821" si="2469">IF(L5779&gt;0,1,"")</f>
        <v>1</v>
      </c>
      <c r="O5779" s="11" t="s">
        <v>1702</v>
      </c>
      <c r="P5779" s="16" t="str">
        <f t="shared" ref="P5779:P5821" si="2470">IF(LEN(G5779)=10,CONCATENATE("0",G5779),G5779)</f>
        <v>13-Nov-1854</v>
      </c>
      <c r="R5779" s="16" t="str">
        <f t="shared" ref="R5779:S5781" si="2471">IF($L5779&gt;0,"x","")</f>
        <v>x</v>
      </c>
      <c r="S5779" s="16" t="str">
        <f t="shared" si="2471"/>
        <v>x</v>
      </c>
      <c r="U5779" s="46" t="str">
        <f t="shared" si="2417"/>
        <v/>
      </c>
      <c r="V5779" s="46">
        <f t="shared" si="2417"/>
        <v>4</v>
      </c>
      <c r="W5779" s="46" t="str">
        <f t="shared" si="2417"/>
        <v/>
      </c>
      <c r="X5779" s="46" t="str">
        <f t="shared" si="2417"/>
        <v/>
      </c>
    </row>
    <row r="5780" spans="2:24" x14ac:dyDescent="0.25">
      <c r="B5780" s="11" t="str">
        <f t="shared" ref="B5780:B5785" si="2472">CONCATENATE("STLO","-",LEFT(P5780,2),UPPER(MID(P5780,4,3)),RIGHT(P5780,4))</f>
        <v>STLO-31OCT1896</v>
      </c>
      <c r="C5780" s="11" t="s">
        <v>3016</v>
      </c>
      <c r="D5780" s="11" t="s">
        <v>598</v>
      </c>
      <c r="F5780" s="11" t="s">
        <v>1700</v>
      </c>
      <c r="G5780" s="39" t="s">
        <v>5682</v>
      </c>
      <c r="H5780" s="7">
        <v>0</v>
      </c>
      <c r="I5780" s="7">
        <v>3</v>
      </c>
      <c r="J5780" s="17">
        <v>7</v>
      </c>
      <c r="K5780" s="17"/>
      <c r="L5780" s="7">
        <f t="shared" ref="L5780:L5785" si="2473">SUM(H5780:K5780)</f>
        <v>10</v>
      </c>
      <c r="M5780" s="8">
        <v>1</v>
      </c>
      <c r="N5780" s="8">
        <f t="shared" ref="N5780:N5785" si="2474">IF(L5780&gt;0,1,"")</f>
        <v>1</v>
      </c>
      <c r="O5780" s="11" t="s">
        <v>1702</v>
      </c>
      <c r="P5780" s="16" t="str">
        <f t="shared" ref="P5780:P5785" si="2475">IF(LEN(G5780)=10,CONCATENATE("0",G5780),G5780)</f>
        <v>31-Oct-1896</v>
      </c>
      <c r="R5780" s="16" t="str">
        <f t="shared" si="2471"/>
        <v>x</v>
      </c>
      <c r="S5780" s="16" t="str">
        <f t="shared" si="2471"/>
        <v>x</v>
      </c>
      <c r="U5780" s="46" t="str">
        <f t="shared" ref="U5780:X5781" si="2476">IF($O5780=U$5,$L5780,"")</f>
        <v/>
      </c>
      <c r="V5780" s="46">
        <f t="shared" si="2476"/>
        <v>10</v>
      </c>
      <c r="W5780" s="46" t="str">
        <f t="shared" si="2476"/>
        <v/>
      </c>
      <c r="X5780" s="46" t="str">
        <f t="shared" si="2476"/>
        <v/>
      </c>
    </row>
    <row r="5781" spans="2:24" x14ac:dyDescent="0.25">
      <c r="B5781" s="11" t="str">
        <f t="shared" si="2472"/>
        <v>STLO-12MAY1901</v>
      </c>
      <c r="C5781" s="11" t="s">
        <v>3016</v>
      </c>
      <c r="D5781" s="11" t="s">
        <v>2224</v>
      </c>
      <c r="E5781" s="39" t="s">
        <v>1623</v>
      </c>
      <c r="F5781" s="11" t="s">
        <v>1700</v>
      </c>
      <c r="G5781" s="39" t="s">
        <v>1624</v>
      </c>
      <c r="J5781" s="17">
        <v>2</v>
      </c>
      <c r="K5781" s="17"/>
      <c r="L5781" s="7">
        <f t="shared" si="2473"/>
        <v>2</v>
      </c>
      <c r="M5781" s="8">
        <v>1</v>
      </c>
      <c r="N5781" s="8">
        <f t="shared" si="2474"/>
        <v>1</v>
      </c>
      <c r="O5781" s="11" t="s">
        <v>1702</v>
      </c>
      <c r="P5781" s="16" t="str">
        <f t="shared" si="2475"/>
        <v>12-May-1901</v>
      </c>
      <c r="R5781" s="16" t="str">
        <f t="shared" si="2471"/>
        <v>x</v>
      </c>
      <c r="S5781" s="16" t="str">
        <f t="shared" si="2471"/>
        <v>x</v>
      </c>
      <c r="U5781" s="46" t="str">
        <f t="shared" si="2476"/>
        <v/>
      </c>
      <c r="V5781" s="46">
        <f t="shared" si="2476"/>
        <v>2</v>
      </c>
      <c r="W5781" s="46" t="str">
        <f t="shared" si="2476"/>
        <v/>
      </c>
      <c r="X5781" s="46" t="str">
        <f t="shared" si="2476"/>
        <v/>
      </c>
    </row>
    <row r="5782" spans="2:24" x14ac:dyDescent="0.25">
      <c r="B5782" s="11" t="str">
        <f t="shared" si="2472"/>
        <v>STLO-01DEC1902</v>
      </c>
      <c r="C5782" s="11" t="s">
        <v>3016</v>
      </c>
      <c r="D5782" s="11" t="s">
        <v>598</v>
      </c>
      <c r="E5782" s="39" t="s">
        <v>4105</v>
      </c>
      <c r="F5782" s="11" t="s">
        <v>1700</v>
      </c>
      <c r="G5782" s="39" t="s">
        <v>4106</v>
      </c>
      <c r="J5782" s="17">
        <v>6</v>
      </c>
      <c r="K5782" s="17"/>
      <c r="L5782" s="7">
        <f t="shared" si="2473"/>
        <v>6</v>
      </c>
      <c r="M5782" s="8">
        <v>1</v>
      </c>
      <c r="N5782" s="8">
        <f t="shared" si="2474"/>
        <v>1</v>
      </c>
      <c r="O5782" s="11" t="s">
        <v>1702</v>
      </c>
      <c r="P5782" s="16" t="str">
        <f t="shared" si="2475"/>
        <v>01-Dec-1902</v>
      </c>
      <c r="R5782" s="16" t="str">
        <f t="shared" ref="R5782:S5785" si="2477">IF($L5782&gt;0,"x","")</f>
        <v>x</v>
      </c>
      <c r="S5782" s="16" t="str">
        <f t="shared" si="2477"/>
        <v>x</v>
      </c>
      <c r="U5782" s="46" t="str">
        <f t="shared" si="2417"/>
        <v/>
      </c>
      <c r="V5782" s="46">
        <f t="shared" si="2417"/>
        <v>6</v>
      </c>
      <c r="W5782" s="46" t="str">
        <f t="shared" si="2417"/>
        <v/>
      </c>
      <c r="X5782" s="46" t="str">
        <f t="shared" si="2417"/>
        <v/>
      </c>
    </row>
    <row r="5783" spans="2:24" x14ac:dyDescent="0.25">
      <c r="B5783" s="11" t="str">
        <f t="shared" si="2472"/>
        <v>STLO-04JAN1904</v>
      </c>
      <c r="C5783" s="11" t="s">
        <v>3016</v>
      </c>
      <c r="D5783" s="11" t="s">
        <v>2224</v>
      </c>
      <c r="E5783" s="39" t="s">
        <v>5164</v>
      </c>
      <c r="F5783" s="11" t="s">
        <v>1700</v>
      </c>
      <c r="G5783" s="39" t="s">
        <v>5165</v>
      </c>
      <c r="H5783" s="7">
        <v>1</v>
      </c>
      <c r="I5783" s="7">
        <v>1</v>
      </c>
      <c r="J5783" s="17">
        <v>2</v>
      </c>
      <c r="K5783" s="17"/>
      <c r="L5783" s="7">
        <f t="shared" si="2473"/>
        <v>4</v>
      </c>
      <c r="M5783" s="8">
        <v>1</v>
      </c>
      <c r="N5783" s="8">
        <f t="shared" si="2474"/>
        <v>1</v>
      </c>
      <c r="O5783" s="11" t="s">
        <v>1702</v>
      </c>
      <c r="P5783" s="16" t="str">
        <f t="shared" si="2475"/>
        <v>04-Jan-1904</v>
      </c>
      <c r="R5783" s="16" t="str">
        <f t="shared" si="2477"/>
        <v>x</v>
      </c>
      <c r="S5783" s="16" t="str">
        <f t="shared" si="2477"/>
        <v>x</v>
      </c>
      <c r="U5783" s="46" t="str">
        <f t="shared" ref="U5783:X5785" si="2478">IF($O5783=U$5,$L5783,"")</f>
        <v/>
      </c>
      <c r="V5783" s="46">
        <f t="shared" si="2478"/>
        <v>4</v>
      </c>
      <c r="W5783" s="46" t="str">
        <f t="shared" si="2478"/>
        <v/>
      </c>
      <c r="X5783" s="46" t="str">
        <f t="shared" si="2478"/>
        <v/>
      </c>
    </row>
    <row r="5784" spans="2:24" x14ac:dyDescent="0.25">
      <c r="B5784" s="11" t="str">
        <f t="shared" si="2472"/>
        <v>STLO-05NOV1905</v>
      </c>
      <c r="C5784" s="11" t="s">
        <v>3016</v>
      </c>
      <c r="D5784" s="11" t="s">
        <v>2224</v>
      </c>
      <c r="E5784" s="39" t="s">
        <v>795</v>
      </c>
      <c r="F5784" s="11" t="s">
        <v>1700</v>
      </c>
      <c r="G5784" s="39" t="s">
        <v>3956</v>
      </c>
      <c r="H5784" s="7">
        <v>0</v>
      </c>
      <c r="I5784" s="7">
        <v>0</v>
      </c>
      <c r="J5784" s="17">
        <v>5</v>
      </c>
      <c r="K5784" s="17"/>
      <c r="L5784" s="7">
        <f t="shared" si="2473"/>
        <v>5</v>
      </c>
      <c r="M5784" s="8">
        <v>1</v>
      </c>
      <c r="N5784" s="8">
        <f t="shared" si="2474"/>
        <v>1</v>
      </c>
      <c r="O5784" s="11" t="s">
        <v>1702</v>
      </c>
      <c r="P5784" s="16" t="str">
        <f t="shared" si="2475"/>
        <v>05-Nov-1905</v>
      </c>
      <c r="R5784" s="16" t="str">
        <f t="shared" si="2477"/>
        <v>x</v>
      </c>
      <c r="S5784" s="16" t="str">
        <f t="shared" si="2477"/>
        <v>x</v>
      </c>
      <c r="U5784" s="46" t="str">
        <f t="shared" si="2478"/>
        <v/>
      </c>
      <c r="V5784" s="46">
        <f t="shared" si="2478"/>
        <v>5</v>
      </c>
      <c r="W5784" s="46" t="str">
        <f t="shared" si="2478"/>
        <v/>
      </c>
      <c r="X5784" s="46" t="str">
        <f t="shared" si="2478"/>
        <v/>
      </c>
    </row>
    <row r="5785" spans="2:24" x14ac:dyDescent="0.25">
      <c r="B5785" s="11" t="str">
        <f t="shared" si="2472"/>
        <v>STLO-23JUN1906</v>
      </c>
      <c r="C5785" s="11" t="s">
        <v>3016</v>
      </c>
      <c r="D5785" s="11" t="s">
        <v>2224</v>
      </c>
      <c r="E5785" s="39" t="s">
        <v>2086</v>
      </c>
      <c r="F5785" s="11" t="s">
        <v>1700</v>
      </c>
      <c r="G5785" s="39" t="s">
        <v>2291</v>
      </c>
      <c r="H5785" s="7">
        <v>0</v>
      </c>
      <c r="I5785" s="7">
        <v>0</v>
      </c>
      <c r="J5785" s="17">
        <v>3</v>
      </c>
      <c r="K5785" s="17"/>
      <c r="L5785" s="7">
        <f t="shared" si="2473"/>
        <v>3</v>
      </c>
      <c r="M5785" s="8">
        <v>1</v>
      </c>
      <c r="N5785" s="8">
        <f t="shared" si="2474"/>
        <v>1</v>
      </c>
      <c r="O5785" s="11" t="s">
        <v>1702</v>
      </c>
      <c r="P5785" s="16" t="str">
        <f t="shared" si="2475"/>
        <v>23-Jun-1906</v>
      </c>
      <c r="R5785" s="16" t="str">
        <f t="shared" si="2477"/>
        <v>x</v>
      </c>
      <c r="S5785" s="16" t="str">
        <f t="shared" si="2477"/>
        <v>x</v>
      </c>
      <c r="U5785" s="46" t="str">
        <f t="shared" si="2478"/>
        <v/>
      </c>
      <c r="V5785" s="46">
        <f t="shared" si="2478"/>
        <v>3</v>
      </c>
      <c r="W5785" s="46" t="str">
        <f t="shared" si="2478"/>
        <v/>
      </c>
      <c r="X5785" s="46" t="str">
        <f t="shared" si="2478"/>
        <v/>
      </c>
    </row>
    <row r="5786" spans="2:24" x14ac:dyDescent="0.25">
      <c r="B5786" s="11" t="str">
        <f t="shared" si="2467"/>
        <v>STLO-16DEC1906</v>
      </c>
      <c r="C5786" s="11" t="s">
        <v>3016</v>
      </c>
      <c r="D5786" s="11" t="s">
        <v>2224</v>
      </c>
      <c r="E5786" s="39" t="s">
        <v>1801</v>
      </c>
      <c r="F5786" s="11" t="s">
        <v>1700</v>
      </c>
      <c r="G5786" s="39" t="s">
        <v>2725</v>
      </c>
      <c r="I5786" s="7">
        <v>5</v>
      </c>
      <c r="J5786" s="17">
        <v>0</v>
      </c>
      <c r="K5786" s="17"/>
      <c r="L5786" s="7">
        <f t="shared" si="2468"/>
        <v>5</v>
      </c>
      <c r="M5786" s="8">
        <v>1</v>
      </c>
      <c r="N5786" s="8">
        <f t="shared" si="2469"/>
        <v>1</v>
      </c>
      <c r="O5786" s="11" t="s">
        <v>1702</v>
      </c>
      <c r="P5786" s="16" t="str">
        <f t="shared" si="2470"/>
        <v>16-Dec-1906</v>
      </c>
      <c r="R5786" s="16" t="str">
        <f t="shared" ref="R5786:S5798" si="2479">IF($L5786&gt;0,"x","")</f>
        <v>x</v>
      </c>
      <c r="S5786" s="16" t="str">
        <f t="shared" si="2479"/>
        <v>x</v>
      </c>
      <c r="U5786" s="46" t="str">
        <f t="shared" si="2417"/>
        <v/>
      </c>
      <c r="V5786" s="46">
        <f t="shared" si="2417"/>
        <v>5</v>
      </c>
      <c r="W5786" s="46" t="str">
        <f t="shared" si="2417"/>
        <v/>
      </c>
      <c r="X5786" s="46" t="str">
        <f t="shared" ref="X5786:X5794" si="2480">IF($O5786=X$5,$L5786,"")</f>
        <v/>
      </c>
    </row>
    <row r="5787" spans="2:24" x14ac:dyDescent="0.25">
      <c r="B5787" s="11" t="str">
        <f>CONCATENATE("STLO","-",LEFT(P5787,2),UPPER(MID(P5787,4,3)),RIGHT(P5787,4))</f>
        <v>STLO-07SEP1907</v>
      </c>
      <c r="C5787" s="11" t="s">
        <v>3016</v>
      </c>
      <c r="D5787" s="11" t="s">
        <v>2224</v>
      </c>
      <c r="E5787" s="39" t="s">
        <v>1459</v>
      </c>
      <c r="F5787" s="11" t="s">
        <v>1700</v>
      </c>
      <c r="G5787" s="39" t="s">
        <v>1206</v>
      </c>
      <c r="H5787" s="7">
        <v>0</v>
      </c>
      <c r="I5787" s="7">
        <v>0</v>
      </c>
      <c r="J5787" s="17">
        <v>10</v>
      </c>
      <c r="K5787" s="17"/>
      <c r="L5787" s="7">
        <f>SUM(H5787:K5787)</f>
        <v>10</v>
      </c>
      <c r="M5787" s="8">
        <v>1</v>
      </c>
      <c r="N5787" s="8">
        <f>IF(L5787&gt;0,1,"")</f>
        <v>1</v>
      </c>
      <c r="O5787" s="11" t="s">
        <v>1702</v>
      </c>
      <c r="P5787" s="16" t="str">
        <f>IF(LEN(G5787)=10,CONCATENATE("0",G5787),G5787)</f>
        <v>07-Sep-1907</v>
      </c>
      <c r="R5787" s="16" t="str">
        <f t="shared" si="2479"/>
        <v>x</v>
      </c>
      <c r="S5787" s="16" t="str">
        <f t="shared" si="2479"/>
        <v>x</v>
      </c>
      <c r="U5787" s="46" t="str">
        <f t="shared" ref="U5787:W5794" si="2481">IF($O5787=U$5,$L5787,"")</f>
        <v/>
      </c>
      <c r="V5787" s="46">
        <f t="shared" si="2481"/>
        <v>10</v>
      </c>
      <c r="W5787" s="46" t="str">
        <f t="shared" si="2481"/>
        <v/>
      </c>
      <c r="X5787" s="46" t="str">
        <f t="shared" si="2480"/>
        <v/>
      </c>
    </row>
    <row r="5788" spans="2:24" x14ac:dyDescent="0.25">
      <c r="B5788" s="11" t="str">
        <f t="shared" si="2467"/>
        <v>STLO-05OCT1907</v>
      </c>
      <c r="C5788" s="11" t="s">
        <v>3016</v>
      </c>
      <c r="D5788" s="11" t="s">
        <v>2224</v>
      </c>
      <c r="E5788" s="39" t="s">
        <v>1207</v>
      </c>
      <c r="F5788" s="11" t="s">
        <v>1700</v>
      </c>
      <c r="G5788" s="39" t="s">
        <v>1807</v>
      </c>
      <c r="H5788" s="7">
        <v>0</v>
      </c>
      <c r="I5788" s="7">
        <v>1</v>
      </c>
      <c r="J5788" s="17">
        <v>7</v>
      </c>
      <c r="K5788" s="17"/>
      <c r="L5788" s="7">
        <f t="shared" si="2468"/>
        <v>8</v>
      </c>
      <c r="M5788" s="8">
        <v>1</v>
      </c>
      <c r="N5788" s="8">
        <f t="shared" si="2469"/>
        <v>1</v>
      </c>
      <c r="O5788" s="11" t="s">
        <v>1702</v>
      </c>
      <c r="P5788" s="16" t="str">
        <f t="shared" si="2470"/>
        <v>05-Oct-1907</v>
      </c>
      <c r="R5788" s="16" t="str">
        <f t="shared" si="2479"/>
        <v>x</v>
      </c>
      <c r="S5788" s="16" t="str">
        <f t="shared" si="2479"/>
        <v>x</v>
      </c>
      <c r="U5788" s="46" t="str">
        <f t="shared" si="2481"/>
        <v/>
      </c>
      <c r="V5788" s="46">
        <f t="shared" si="2481"/>
        <v>8</v>
      </c>
      <c r="W5788" s="46" t="str">
        <f t="shared" si="2481"/>
        <v/>
      </c>
      <c r="X5788" s="46" t="str">
        <f t="shared" si="2480"/>
        <v/>
      </c>
    </row>
    <row r="5789" spans="2:24" x14ac:dyDescent="0.25">
      <c r="B5789" s="11" t="str">
        <f>CONCATENATE("STLO","-",LEFT(P5789,2),UPPER(MID(P5789,4,3)),RIGHT(P5789,4))</f>
        <v>STLO-12JUL1908</v>
      </c>
      <c r="C5789" s="11" t="s">
        <v>3016</v>
      </c>
      <c r="D5789" s="11" t="s">
        <v>2224</v>
      </c>
      <c r="E5789" s="39" t="s">
        <v>1824</v>
      </c>
      <c r="F5789" s="11" t="s">
        <v>1700</v>
      </c>
      <c r="G5789" s="39" t="s">
        <v>5877</v>
      </c>
      <c r="H5789" s="7">
        <v>0</v>
      </c>
      <c r="I5789" s="7">
        <v>0</v>
      </c>
      <c r="J5789" s="17">
        <v>6</v>
      </c>
      <c r="K5789" s="17"/>
      <c r="L5789" s="7">
        <f>SUM(H5789:K5789)</f>
        <v>6</v>
      </c>
      <c r="M5789" s="8">
        <v>1</v>
      </c>
      <c r="N5789" s="8">
        <f>IF(L5789&gt;0,1,"")</f>
        <v>1</v>
      </c>
      <c r="O5789" s="11" t="s">
        <v>1702</v>
      </c>
      <c r="P5789" s="16" t="str">
        <f>IF(LEN(G5789)=10,CONCATENATE("0",G5789),G5789)</f>
        <v>12-Jul-1908</v>
      </c>
      <c r="R5789" s="16" t="str">
        <f t="shared" si="2479"/>
        <v>x</v>
      </c>
      <c r="S5789" s="16" t="str">
        <f t="shared" si="2479"/>
        <v>x</v>
      </c>
      <c r="U5789" s="46" t="str">
        <f t="shared" si="2481"/>
        <v/>
      </c>
      <c r="V5789" s="46">
        <f t="shared" si="2481"/>
        <v>6</v>
      </c>
      <c r="W5789" s="46" t="str">
        <f t="shared" si="2481"/>
        <v/>
      </c>
      <c r="X5789" s="46" t="str">
        <f t="shared" si="2480"/>
        <v/>
      </c>
    </row>
    <row r="5790" spans="2:24" x14ac:dyDescent="0.25">
      <c r="B5790" s="11" t="str">
        <f t="shared" si="2467"/>
        <v>STLO-06DEC1908</v>
      </c>
      <c r="C5790" s="11" t="s">
        <v>3016</v>
      </c>
      <c r="D5790" s="11" t="s">
        <v>2224</v>
      </c>
      <c r="E5790" s="39" t="s">
        <v>1831</v>
      </c>
      <c r="F5790" s="11" t="s">
        <v>1700</v>
      </c>
      <c r="G5790" s="39" t="s">
        <v>1832</v>
      </c>
      <c r="I5790" s="7">
        <v>0</v>
      </c>
      <c r="J5790" s="17">
        <v>6</v>
      </c>
      <c r="K5790" s="17"/>
      <c r="L5790" s="7">
        <f t="shared" si="2468"/>
        <v>6</v>
      </c>
      <c r="M5790" s="8">
        <v>1</v>
      </c>
      <c r="N5790" s="8">
        <f t="shared" si="2469"/>
        <v>1</v>
      </c>
      <c r="O5790" s="11" t="s">
        <v>1702</v>
      </c>
      <c r="P5790" s="16" t="str">
        <f t="shared" si="2470"/>
        <v>06-Dec-1908</v>
      </c>
      <c r="R5790" s="16" t="str">
        <f t="shared" si="2479"/>
        <v>x</v>
      </c>
      <c r="S5790" s="16" t="str">
        <f t="shared" si="2479"/>
        <v>x</v>
      </c>
      <c r="U5790" s="46" t="str">
        <f t="shared" si="2481"/>
        <v/>
      </c>
      <c r="V5790" s="46">
        <f t="shared" si="2481"/>
        <v>6</v>
      </c>
      <c r="W5790" s="46" t="str">
        <f t="shared" si="2481"/>
        <v/>
      </c>
      <c r="X5790" s="46" t="str">
        <f t="shared" si="2480"/>
        <v/>
      </c>
    </row>
    <row r="5791" spans="2:24" x14ac:dyDescent="0.25">
      <c r="B5791" s="11" t="str">
        <f>CONCATENATE("STLO","-",LEFT(P5791,2),UPPER(MID(P5791,4,3)),RIGHT(P5791,4))</f>
        <v>STLO-22AUG1909</v>
      </c>
      <c r="C5791" s="11" t="s">
        <v>3016</v>
      </c>
      <c r="D5791" s="11" t="s">
        <v>2224</v>
      </c>
      <c r="E5791" s="39" t="s">
        <v>2315</v>
      </c>
      <c r="F5791" s="11" t="s">
        <v>1700</v>
      </c>
      <c r="G5791" s="39" t="s">
        <v>5158</v>
      </c>
      <c r="H5791" s="7">
        <v>0</v>
      </c>
      <c r="J5791" s="17">
        <v>11</v>
      </c>
      <c r="K5791" s="17"/>
      <c r="L5791" s="7">
        <f>SUM(H5791:K5791)</f>
        <v>11</v>
      </c>
      <c r="M5791" s="8">
        <v>1</v>
      </c>
      <c r="N5791" s="8">
        <f>IF(L5791&gt;0,1,"")</f>
        <v>1</v>
      </c>
      <c r="O5791" s="11" t="s">
        <v>1702</v>
      </c>
      <c r="P5791" s="16" t="str">
        <f>IF(LEN(G5791)=10,CONCATENATE("0",G5791),G5791)</f>
        <v>22-Aug-1909</v>
      </c>
      <c r="R5791" s="16" t="str">
        <f t="shared" si="2479"/>
        <v>x</v>
      </c>
      <c r="S5791" s="16" t="str">
        <f t="shared" si="2479"/>
        <v>x</v>
      </c>
      <c r="U5791" s="46" t="str">
        <f t="shared" si="2481"/>
        <v/>
      </c>
      <c r="V5791" s="46">
        <f t="shared" si="2481"/>
        <v>11</v>
      </c>
      <c r="W5791" s="46" t="str">
        <f t="shared" si="2481"/>
        <v/>
      </c>
      <c r="X5791" s="46" t="str">
        <f t="shared" si="2480"/>
        <v/>
      </c>
    </row>
    <row r="5792" spans="2:24" x14ac:dyDescent="0.25">
      <c r="B5792" s="11" t="str">
        <f t="shared" si="2467"/>
        <v>STLO-18OCT1909</v>
      </c>
      <c r="C5792" s="11" t="s">
        <v>3016</v>
      </c>
      <c r="D5792" s="11" t="s">
        <v>2224</v>
      </c>
      <c r="E5792" s="39" t="s">
        <v>866</v>
      </c>
      <c r="F5792" s="11" t="s">
        <v>1700</v>
      </c>
      <c r="G5792" s="39" t="s">
        <v>937</v>
      </c>
      <c r="H5792" s="7">
        <v>0</v>
      </c>
      <c r="I5792" s="7">
        <v>4</v>
      </c>
      <c r="J5792" s="17">
        <v>30</v>
      </c>
      <c r="K5792" s="17"/>
      <c r="L5792" s="7">
        <f t="shared" si="2468"/>
        <v>34</v>
      </c>
      <c r="M5792" s="8">
        <v>1</v>
      </c>
      <c r="N5792" s="8">
        <f t="shared" si="2469"/>
        <v>1</v>
      </c>
      <c r="O5792" s="11" t="s">
        <v>1702</v>
      </c>
      <c r="P5792" s="16" t="str">
        <f t="shared" si="2470"/>
        <v>18-Oct-1909</v>
      </c>
      <c r="R5792" s="16" t="str">
        <f t="shared" si="2479"/>
        <v>x</v>
      </c>
      <c r="S5792" s="16" t="str">
        <f t="shared" si="2479"/>
        <v>x</v>
      </c>
      <c r="U5792" s="46" t="str">
        <f t="shared" si="2481"/>
        <v/>
      </c>
      <c r="V5792" s="46">
        <f t="shared" si="2481"/>
        <v>34</v>
      </c>
      <c r="W5792" s="46" t="str">
        <f t="shared" si="2481"/>
        <v/>
      </c>
      <c r="X5792" s="46" t="str">
        <f t="shared" si="2480"/>
        <v/>
      </c>
    </row>
    <row r="5793" spans="2:24" x14ac:dyDescent="0.25">
      <c r="B5793" s="11" t="str">
        <f t="shared" si="2467"/>
        <v>STLO-14NOV1909</v>
      </c>
      <c r="C5793" s="11" t="s">
        <v>3016</v>
      </c>
      <c r="D5793" s="11" t="s">
        <v>2224</v>
      </c>
      <c r="E5793" s="39" t="s">
        <v>3828</v>
      </c>
      <c r="F5793" s="11" t="s">
        <v>1700</v>
      </c>
      <c r="G5793" s="39" t="s">
        <v>3529</v>
      </c>
      <c r="H5793" s="7">
        <v>0</v>
      </c>
      <c r="I5793" s="7">
        <v>0</v>
      </c>
      <c r="J5793" s="17">
        <v>26</v>
      </c>
      <c r="K5793" s="17"/>
      <c r="L5793" s="7">
        <f t="shared" si="2468"/>
        <v>26</v>
      </c>
      <c r="M5793" s="8">
        <v>1</v>
      </c>
      <c r="N5793" s="8">
        <f t="shared" si="2469"/>
        <v>1</v>
      </c>
      <c r="O5793" s="11" t="s">
        <v>1702</v>
      </c>
      <c r="P5793" s="16" t="str">
        <f t="shared" si="2470"/>
        <v>14-Nov-1909</v>
      </c>
      <c r="R5793" s="16" t="str">
        <f t="shared" si="2479"/>
        <v>x</v>
      </c>
      <c r="S5793" s="16" t="str">
        <f t="shared" si="2479"/>
        <v>x</v>
      </c>
      <c r="U5793" s="46" t="str">
        <f t="shared" si="2481"/>
        <v/>
      </c>
      <c r="V5793" s="46">
        <f t="shared" si="2481"/>
        <v>26</v>
      </c>
      <c r="W5793" s="46" t="str">
        <f t="shared" si="2481"/>
        <v/>
      </c>
      <c r="X5793" s="46" t="str">
        <f t="shared" si="2480"/>
        <v/>
      </c>
    </row>
    <row r="5794" spans="2:24" x14ac:dyDescent="0.25">
      <c r="B5794" s="11" t="str">
        <f t="shared" si="2467"/>
        <v>STLO-12DEC1909</v>
      </c>
      <c r="C5794" s="11" t="s">
        <v>3016</v>
      </c>
      <c r="D5794" s="11" t="s">
        <v>2224</v>
      </c>
      <c r="E5794" s="39" t="s">
        <v>2316</v>
      </c>
      <c r="F5794" s="11" t="s">
        <v>1700</v>
      </c>
      <c r="G5794" s="39" t="s">
        <v>2311</v>
      </c>
      <c r="H5794" s="7">
        <v>0</v>
      </c>
      <c r="I5794" s="7">
        <v>2</v>
      </c>
      <c r="J5794" s="17">
        <v>10</v>
      </c>
      <c r="K5794" s="17"/>
      <c r="L5794" s="7">
        <f t="shared" si="2468"/>
        <v>12</v>
      </c>
      <c r="M5794" s="8">
        <v>1</v>
      </c>
      <c r="N5794" s="8">
        <f t="shared" si="2469"/>
        <v>1</v>
      </c>
      <c r="O5794" s="11" t="s">
        <v>1702</v>
      </c>
      <c r="P5794" s="16" t="str">
        <f t="shared" si="2470"/>
        <v>12-Dec-1909</v>
      </c>
      <c r="R5794" s="16" t="str">
        <f t="shared" si="2479"/>
        <v>x</v>
      </c>
      <c r="S5794" s="16" t="str">
        <f t="shared" si="2479"/>
        <v>x</v>
      </c>
      <c r="U5794" s="46" t="str">
        <f t="shared" si="2481"/>
        <v/>
      </c>
      <c r="V5794" s="46">
        <f t="shared" si="2481"/>
        <v>12</v>
      </c>
      <c r="W5794" s="46" t="str">
        <f t="shared" si="2481"/>
        <v/>
      </c>
      <c r="X5794" s="46" t="str">
        <f t="shared" si="2480"/>
        <v/>
      </c>
    </row>
    <row r="5795" spans="2:24" x14ac:dyDescent="0.25">
      <c r="B5795" s="11" t="str">
        <f t="shared" si="2467"/>
        <v>STLO-15JAN1910</v>
      </c>
      <c r="C5795" s="11" t="s">
        <v>3016</v>
      </c>
      <c r="D5795" s="11" t="s">
        <v>2224</v>
      </c>
      <c r="E5795" s="39" t="s">
        <v>4918</v>
      </c>
      <c r="F5795" s="11" t="s">
        <v>1700</v>
      </c>
      <c r="G5795" s="39" t="s">
        <v>1853</v>
      </c>
      <c r="H5795" s="7">
        <v>0</v>
      </c>
      <c r="I5795" s="7">
        <v>1</v>
      </c>
      <c r="J5795" s="17">
        <v>1</v>
      </c>
      <c r="K5795" s="17"/>
      <c r="L5795" s="7">
        <f t="shared" si="2468"/>
        <v>2</v>
      </c>
      <c r="M5795" s="8">
        <v>1</v>
      </c>
      <c r="N5795" s="8">
        <f t="shared" si="2469"/>
        <v>1</v>
      </c>
      <c r="O5795" s="11" t="s">
        <v>1702</v>
      </c>
      <c r="P5795" s="16" t="str">
        <f t="shared" si="2470"/>
        <v>15-Jan-1910</v>
      </c>
      <c r="R5795" s="16" t="str">
        <f t="shared" si="2479"/>
        <v>x</v>
      </c>
      <c r="S5795" s="16" t="str">
        <f t="shared" si="2479"/>
        <v>x</v>
      </c>
      <c r="U5795" s="46" t="str">
        <f t="shared" ref="U5795:X5798" si="2482">IF($O5795=U$5,$L5795,"")</f>
        <v/>
      </c>
      <c r="V5795" s="46">
        <f t="shared" si="2482"/>
        <v>2</v>
      </c>
      <c r="W5795" s="46" t="str">
        <f t="shared" si="2482"/>
        <v/>
      </c>
      <c r="X5795" s="46" t="str">
        <f t="shared" si="2482"/>
        <v/>
      </c>
    </row>
    <row r="5796" spans="2:24" x14ac:dyDescent="0.25">
      <c r="B5796" s="11" t="str">
        <f>CONCATENATE("STLO","-",LEFT(P5796,2),UPPER(MID(P5796,4,3)),RIGHT(P5796,4))</f>
        <v>STLO-07APR1910</v>
      </c>
      <c r="C5796" s="11" t="s">
        <v>3016</v>
      </c>
      <c r="D5796" s="11" t="s">
        <v>2224</v>
      </c>
      <c r="E5796" s="39" t="s">
        <v>5577</v>
      </c>
      <c r="F5796" s="11" t="s">
        <v>1700</v>
      </c>
      <c r="G5796" s="39" t="s">
        <v>5578</v>
      </c>
      <c r="H5796" s="7">
        <v>0</v>
      </c>
      <c r="I5796" s="7">
        <v>0</v>
      </c>
      <c r="J5796" s="17">
        <v>5</v>
      </c>
      <c r="K5796" s="17"/>
      <c r="L5796" s="7">
        <f>SUM(H5796:K5796)</f>
        <v>5</v>
      </c>
      <c r="M5796" s="8">
        <v>1</v>
      </c>
      <c r="N5796" s="8">
        <f>IF(L5796&gt;0,1,"")</f>
        <v>1</v>
      </c>
      <c r="O5796" s="11" t="s">
        <v>1702</v>
      </c>
      <c r="P5796" s="16" t="str">
        <f>IF(LEN(G5796)=10,CONCATENATE("0",G5796),G5796)</f>
        <v>07-Apr-1910</v>
      </c>
      <c r="R5796" s="16" t="str">
        <f t="shared" si="2479"/>
        <v>x</v>
      </c>
      <c r="S5796" s="16" t="str">
        <f t="shared" si="2479"/>
        <v>x</v>
      </c>
      <c r="U5796" s="46" t="str">
        <f t="shared" si="2482"/>
        <v/>
      </c>
      <c r="V5796" s="46">
        <f t="shared" si="2482"/>
        <v>5</v>
      </c>
      <c r="W5796" s="46" t="str">
        <f t="shared" si="2482"/>
        <v/>
      </c>
      <c r="X5796" s="46" t="str">
        <f t="shared" si="2482"/>
        <v/>
      </c>
    </row>
    <row r="5797" spans="2:24" x14ac:dyDescent="0.25">
      <c r="B5797" s="11" t="str">
        <f t="shared" si="2467"/>
        <v>STLO-08MAY1910</v>
      </c>
      <c r="C5797" s="11" t="s">
        <v>3016</v>
      </c>
      <c r="D5797" s="11" t="s">
        <v>2224</v>
      </c>
      <c r="E5797" s="39" t="s">
        <v>1498</v>
      </c>
      <c r="F5797" s="11" t="s">
        <v>1700</v>
      </c>
      <c r="G5797" s="39" t="s">
        <v>4926</v>
      </c>
      <c r="H5797" s="7">
        <v>0</v>
      </c>
      <c r="I5797" s="7">
        <v>1</v>
      </c>
      <c r="J5797" s="17">
        <v>2</v>
      </c>
      <c r="K5797" s="17"/>
      <c r="L5797" s="7">
        <f t="shared" si="2468"/>
        <v>3</v>
      </c>
      <c r="M5797" s="8">
        <v>1</v>
      </c>
      <c r="N5797" s="8">
        <f t="shared" si="2469"/>
        <v>1</v>
      </c>
      <c r="O5797" s="11" t="s">
        <v>1702</v>
      </c>
      <c r="P5797" s="16" t="str">
        <f t="shared" si="2470"/>
        <v>08-May-1910</v>
      </c>
      <c r="R5797" s="16" t="str">
        <f t="shared" si="2479"/>
        <v>x</v>
      </c>
      <c r="S5797" s="16" t="str">
        <f t="shared" si="2479"/>
        <v>x</v>
      </c>
      <c r="U5797" s="46" t="str">
        <f t="shared" si="2482"/>
        <v/>
      </c>
      <c r="V5797" s="46">
        <f t="shared" si="2482"/>
        <v>3</v>
      </c>
      <c r="W5797" s="46" t="str">
        <f t="shared" si="2482"/>
        <v/>
      </c>
      <c r="X5797" s="46" t="str">
        <f t="shared" si="2482"/>
        <v/>
      </c>
    </row>
    <row r="5798" spans="2:24" x14ac:dyDescent="0.25">
      <c r="B5798" s="11" t="str">
        <f t="shared" si="2467"/>
        <v>STLO-05JUN1910</v>
      </c>
      <c r="C5798" s="11" t="s">
        <v>3016</v>
      </c>
      <c r="D5798" s="11" t="s">
        <v>2224</v>
      </c>
      <c r="E5798" s="39" t="s">
        <v>1499</v>
      </c>
      <c r="F5798" s="11" t="s">
        <v>1700</v>
      </c>
      <c r="G5798" s="39" t="s">
        <v>4927</v>
      </c>
      <c r="H5798" s="7">
        <v>0</v>
      </c>
      <c r="I5798" s="7">
        <v>0</v>
      </c>
      <c r="J5798" s="17">
        <v>4</v>
      </c>
      <c r="K5798" s="17"/>
      <c r="L5798" s="7">
        <f t="shared" si="2468"/>
        <v>4</v>
      </c>
      <c r="M5798" s="8">
        <v>1</v>
      </c>
      <c r="N5798" s="8">
        <f t="shared" si="2469"/>
        <v>1</v>
      </c>
      <c r="O5798" s="11" t="s">
        <v>1702</v>
      </c>
      <c r="P5798" s="16" t="str">
        <f t="shared" si="2470"/>
        <v>05-Jun-1910</v>
      </c>
      <c r="R5798" s="16" t="str">
        <f t="shared" si="2479"/>
        <v>x</v>
      </c>
      <c r="S5798" s="16" t="str">
        <f t="shared" si="2479"/>
        <v>x</v>
      </c>
      <c r="U5798" s="46" t="str">
        <f t="shared" si="2482"/>
        <v/>
      </c>
      <c r="V5798" s="46">
        <f t="shared" si="2482"/>
        <v>4</v>
      </c>
      <c r="W5798" s="46" t="str">
        <f t="shared" si="2482"/>
        <v/>
      </c>
      <c r="X5798" s="46" t="str">
        <f t="shared" si="2482"/>
        <v/>
      </c>
    </row>
    <row r="5799" spans="2:24" x14ac:dyDescent="0.25">
      <c r="B5799" s="11" t="str">
        <f t="shared" si="2467"/>
        <v>STLO-05JUL1910</v>
      </c>
      <c r="C5799" s="11" t="s">
        <v>3016</v>
      </c>
      <c r="D5799" s="11" t="s">
        <v>2224</v>
      </c>
      <c r="E5799" s="39" t="s">
        <v>1251</v>
      </c>
      <c r="F5799" s="11" t="s">
        <v>1700</v>
      </c>
      <c r="G5799" s="39" t="s">
        <v>3017</v>
      </c>
      <c r="H5799" s="7">
        <v>0</v>
      </c>
      <c r="I5799" s="7">
        <v>4</v>
      </c>
      <c r="J5799" s="17">
        <v>17</v>
      </c>
      <c r="K5799" s="17"/>
      <c r="L5799" s="7">
        <f t="shared" si="2468"/>
        <v>21</v>
      </c>
      <c r="M5799" s="8">
        <v>1</v>
      </c>
      <c r="N5799" s="8">
        <f t="shared" si="2469"/>
        <v>1</v>
      </c>
      <c r="O5799" s="11" t="s">
        <v>1702</v>
      </c>
      <c r="P5799" s="16" t="str">
        <f t="shared" si="2470"/>
        <v>05-Jul-1910</v>
      </c>
      <c r="R5799" s="16" t="str">
        <f t="shared" ref="R5799:S5818" si="2483">IF($L5799&gt;0,"x","")</f>
        <v>x</v>
      </c>
      <c r="S5799" s="16" t="str">
        <f t="shared" si="2483"/>
        <v>x</v>
      </c>
      <c r="U5799" s="46" t="str">
        <f t="shared" ref="U5799:X5810" si="2484">IF($O5799=U$5,$L5799,"")</f>
        <v/>
      </c>
      <c r="V5799" s="46">
        <f t="shared" si="2484"/>
        <v>21</v>
      </c>
      <c r="W5799" s="46" t="str">
        <f t="shared" si="2484"/>
        <v/>
      </c>
      <c r="X5799" s="46" t="str">
        <f t="shared" si="2484"/>
        <v/>
      </c>
    </row>
    <row r="5800" spans="2:24" x14ac:dyDescent="0.25">
      <c r="B5800" s="11" t="str">
        <f t="shared" si="2467"/>
        <v>STLO-27AUG1910</v>
      </c>
      <c r="C5800" s="11" t="s">
        <v>3016</v>
      </c>
      <c r="D5800" s="11" t="s">
        <v>2224</v>
      </c>
      <c r="E5800" s="39" t="s">
        <v>950</v>
      </c>
      <c r="F5800" s="11" t="s">
        <v>1700</v>
      </c>
      <c r="G5800" s="39" t="s">
        <v>2753</v>
      </c>
      <c r="H5800" s="7">
        <v>0</v>
      </c>
      <c r="I5800" s="7">
        <v>0</v>
      </c>
      <c r="J5800" s="17">
        <v>3</v>
      </c>
      <c r="K5800" s="17"/>
      <c r="L5800" s="7">
        <f t="shared" si="2468"/>
        <v>3</v>
      </c>
      <c r="M5800" s="8">
        <v>1</v>
      </c>
      <c r="N5800" s="8">
        <f t="shared" si="2469"/>
        <v>1</v>
      </c>
      <c r="O5800" s="11" t="s">
        <v>1702</v>
      </c>
      <c r="P5800" s="16" t="str">
        <f t="shared" si="2470"/>
        <v>27-Aug-1910</v>
      </c>
      <c r="R5800" s="16" t="str">
        <f t="shared" si="2483"/>
        <v>x</v>
      </c>
      <c r="S5800" s="16" t="str">
        <f t="shared" si="2483"/>
        <v>x</v>
      </c>
      <c r="U5800" s="46" t="str">
        <f t="shared" si="2484"/>
        <v/>
      </c>
      <c r="V5800" s="46">
        <f t="shared" si="2484"/>
        <v>3</v>
      </c>
      <c r="W5800" s="46" t="str">
        <f t="shared" si="2484"/>
        <v/>
      </c>
      <c r="X5800" s="46" t="str">
        <f t="shared" si="2484"/>
        <v/>
      </c>
    </row>
    <row r="5801" spans="2:24" x14ac:dyDescent="0.25">
      <c r="B5801" s="11" t="str">
        <f>CONCATENATE("STLO","-",LEFT(P5801,2),UPPER(MID(P5801,4,3)),RIGHT(P5801,4))</f>
        <v>STLO-24SEP1910</v>
      </c>
      <c r="C5801" s="11" t="s">
        <v>3016</v>
      </c>
      <c r="D5801" s="11" t="s">
        <v>2224</v>
      </c>
      <c r="E5801" s="39" t="s">
        <v>951</v>
      </c>
      <c r="F5801" s="11" t="s">
        <v>1700</v>
      </c>
      <c r="G5801" s="39" t="s">
        <v>1917</v>
      </c>
      <c r="H5801" s="7">
        <v>0</v>
      </c>
      <c r="I5801" s="7">
        <v>0</v>
      </c>
      <c r="J5801" s="17">
        <v>5</v>
      </c>
      <c r="K5801" s="17"/>
      <c r="L5801" s="7">
        <f>SUM(H5801:K5801)</f>
        <v>5</v>
      </c>
      <c r="M5801" s="8">
        <v>1</v>
      </c>
      <c r="N5801" s="8">
        <f>IF(L5801&gt;0,1,"")</f>
        <v>1</v>
      </c>
      <c r="O5801" s="11" t="s">
        <v>1702</v>
      </c>
      <c r="P5801" s="16" t="str">
        <f>IF(LEN(G5801)=10,CONCATENATE("0",G5801),G5801)</f>
        <v>24-Sep-1910</v>
      </c>
      <c r="R5801" s="16" t="str">
        <f t="shared" si="2483"/>
        <v>x</v>
      </c>
      <c r="S5801" s="16" t="str">
        <f t="shared" si="2483"/>
        <v>x</v>
      </c>
      <c r="U5801" s="46" t="str">
        <f t="shared" si="2484"/>
        <v/>
      </c>
      <c r="V5801" s="46">
        <f t="shared" si="2484"/>
        <v>5</v>
      </c>
      <c r="W5801" s="46" t="str">
        <f t="shared" si="2484"/>
        <v/>
      </c>
      <c r="X5801" s="46" t="str">
        <f t="shared" si="2484"/>
        <v/>
      </c>
    </row>
    <row r="5802" spans="2:24" x14ac:dyDescent="0.25">
      <c r="B5802" s="11" t="str">
        <f t="shared" si="2467"/>
        <v>STLO-22OCT1910</v>
      </c>
      <c r="C5802" s="11" t="s">
        <v>3016</v>
      </c>
      <c r="D5802" s="11" t="s">
        <v>2224</v>
      </c>
      <c r="E5802" s="39" t="s">
        <v>1865</v>
      </c>
      <c r="F5802" s="11" t="s">
        <v>1700</v>
      </c>
      <c r="G5802" s="39" t="s">
        <v>1254</v>
      </c>
      <c r="H5802" s="7">
        <v>2</v>
      </c>
      <c r="I5802" s="7">
        <v>0</v>
      </c>
      <c r="J5802" s="17">
        <v>9</v>
      </c>
      <c r="K5802" s="17"/>
      <c r="L5802" s="7">
        <f t="shared" si="2468"/>
        <v>11</v>
      </c>
      <c r="M5802" s="8">
        <v>1</v>
      </c>
      <c r="N5802" s="8">
        <f t="shared" si="2469"/>
        <v>1</v>
      </c>
      <c r="O5802" s="11" t="s">
        <v>1702</v>
      </c>
      <c r="P5802" s="16" t="str">
        <f t="shared" si="2470"/>
        <v>22-Oct-1910</v>
      </c>
      <c r="R5802" s="16" t="str">
        <f t="shared" si="2483"/>
        <v>x</v>
      </c>
      <c r="S5802" s="16" t="str">
        <f t="shared" si="2483"/>
        <v>x</v>
      </c>
      <c r="U5802" s="46" t="str">
        <f t="shared" si="2484"/>
        <v/>
      </c>
      <c r="V5802" s="46">
        <f t="shared" si="2484"/>
        <v>11</v>
      </c>
      <c r="W5802" s="46" t="str">
        <f t="shared" si="2484"/>
        <v/>
      </c>
      <c r="X5802" s="46" t="str">
        <f t="shared" si="2484"/>
        <v/>
      </c>
    </row>
    <row r="5803" spans="2:24" x14ac:dyDescent="0.25">
      <c r="B5803" s="11" t="str">
        <f t="shared" si="2467"/>
        <v>STLO-23DEC1910</v>
      </c>
      <c r="C5803" s="11" t="s">
        <v>3016</v>
      </c>
      <c r="D5803" s="11" t="s">
        <v>2224</v>
      </c>
      <c r="E5803" s="39" t="s">
        <v>5085</v>
      </c>
      <c r="F5803" s="11" t="s">
        <v>1700</v>
      </c>
      <c r="G5803" s="39" t="s">
        <v>5086</v>
      </c>
      <c r="H5803" s="7">
        <v>0</v>
      </c>
      <c r="I5803" s="7">
        <v>0</v>
      </c>
      <c r="J5803" s="17">
        <v>3</v>
      </c>
      <c r="K5803" s="17"/>
      <c r="L5803" s="7">
        <f t="shared" si="2468"/>
        <v>3</v>
      </c>
      <c r="M5803" s="8">
        <v>1</v>
      </c>
      <c r="N5803" s="8">
        <f t="shared" si="2469"/>
        <v>1</v>
      </c>
      <c r="O5803" s="11" t="s">
        <v>1702</v>
      </c>
      <c r="P5803" s="16" t="str">
        <f t="shared" si="2470"/>
        <v>23-Dec-1910</v>
      </c>
      <c r="R5803" s="16" t="str">
        <f t="shared" si="2483"/>
        <v>x</v>
      </c>
      <c r="S5803" s="16" t="str">
        <f t="shared" si="2483"/>
        <v>x</v>
      </c>
      <c r="U5803" s="46" t="str">
        <f t="shared" si="2484"/>
        <v/>
      </c>
      <c r="V5803" s="46">
        <f t="shared" si="2484"/>
        <v>3</v>
      </c>
      <c r="W5803" s="46" t="str">
        <f t="shared" si="2484"/>
        <v/>
      </c>
      <c r="X5803" s="46" t="str">
        <f t="shared" si="2484"/>
        <v/>
      </c>
    </row>
    <row r="5804" spans="2:24" x14ac:dyDescent="0.25">
      <c r="B5804" s="11" t="str">
        <f t="shared" si="2467"/>
        <v>STLO-13MAY1911</v>
      </c>
      <c r="C5804" s="11" t="s">
        <v>3016</v>
      </c>
      <c r="D5804" s="11" t="s">
        <v>2224</v>
      </c>
      <c r="E5804" s="39" t="s">
        <v>1877</v>
      </c>
      <c r="F5804" s="11" t="s">
        <v>1700</v>
      </c>
      <c r="G5804" s="39" t="s">
        <v>1518</v>
      </c>
      <c r="H5804" s="7">
        <v>0</v>
      </c>
      <c r="I5804" s="7">
        <v>0</v>
      </c>
      <c r="J5804" s="17">
        <v>5</v>
      </c>
      <c r="K5804" s="17"/>
      <c r="L5804" s="7">
        <f t="shared" si="2468"/>
        <v>5</v>
      </c>
      <c r="M5804" s="8">
        <v>1</v>
      </c>
      <c r="N5804" s="8">
        <f t="shared" si="2469"/>
        <v>1</v>
      </c>
      <c r="O5804" s="11" t="s">
        <v>1702</v>
      </c>
      <c r="P5804" s="16" t="str">
        <f t="shared" si="2470"/>
        <v>13-May-1911</v>
      </c>
      <c r="R5804" s="16" t="str">
        <f t="shared" si="2483"/>
        <v>x</v>
      </c>
      <c r="S5804" s="16" t="str">
        <f t="shared" si="2483"/>
        <v>x</v>
      </c>
      <c r="U5804" s="46" t="str">
        <f t="shared" si="2484"/>
        <v/>
      </c>
      <c r="V5804" s="46">
        <f t="shared" si="2484"/>
        <v>5</v>
      </c>
      <c r="W5804" s="46" t="str">
        <f t="shared" si="2484"/>
        <v/>
      </c>
      <c r="X5804" s="46" t="str">
        <f t="shared" si="2484"/>
        <v/>
      </c>
    </row>
    <row r="5805" spans="2:24" x14ac:dyDescent="0.25">
      <c r="B5805" s="11" t="str">
        <f t="shared" si="2467"/>
        <v>STLO-02SEP1911</v>
      </c>
      <c r="C5805" s="11" t="s">
        <v>3016</v>
      </c>
      <c r="D5805" s="11" t="s">
        <v>2224</v>
      </c>
      <c r="E5805" s="39" t="s">
        <v>1270</v>
      </c>
      <c r="F5805" s="11" t="s">
        <v>1700</v>
      </c>
      <c r="G5805" s="39" t="s">
        <v>1259</v>
      </c>
      <c r="H5805" s="7">
        <v>0</v>
      </c>
      <c r="I5805" s="7">
        <v>0</v>
      </c>
      <c r="J5805" s="17">
        <v>26</v>
      </c>
      <c r="K5805" s="17"/>
      <c r="L5805" s="7">
        <f t="shared" si="2468"/>
        <v>26</v>
      </c>
      <c r="M5805" s="8">
        <v>1</v>
      </c>
      <c r="N5805" s="8">
        <f t="shared" si="2469"/>
        <v>1</v>
      </c>
      <c r="O5805" s="11" t="s">
        <v>1702</v>
      </c>
      <c r="P5805" s="16" t="str">
        <f t="shared" si="2470"/>
        <v>02-Sep-1911</v>
      </c>
      <c r="R5805" s="16" t="str">
        <f t="shared" si="2483"/>
        <v>x</v>
      </c>
      <c r="S5805" s="16" t="str">
        <f t="shared" si="2483"/>
        <v>x</v>
      </c>
      <c r="U5805" s="46" t="str">
        <f t="shared" si="2484"/>
        <v/>
      </c>
      <c r="V5805" s="46">
        <f t="shared" si="2484"/>
        <v>26</v>
      </c>
      <c r="W5805" s="46" t="str">
        <f t="shared" si="2484"/>
        <v/>
      </c>
      <c r="X5805" s="46" t="str">
        <f t="shared" si="2484"/>
        <v/>
      </c>
    </row>
    <row r="5806" spans="2:24" x14ac:dyDescent="0.25">
      <c r="B5806" s="11" t="str">
        <f>CONCATENATE("STLO","-",LEFT(P5806,2),UPPER(MID(P5806,4,3)),RIGHT(P5806,4))</f>
        <v>STLO-01OCT1911</v>
      </c>
      <c r="C5806" s="11" t="s">
        <v>3016</v>
      </c>
      <c r="D5806" s="11" t="s">
        <v>2224</v>
      </c>
      <c r="E5806" s="39" t="s">
        <v>1260</v>
      </c>
      <c r="F5806" s="11" t="s">
        <v>1700</v>
      </c>
      <c r="G5806" s="39" t="s">
        <v>11384</v>
      </c>
      <c r="H5806" s="7">
        <v>0</v>
      </c>
      <c r="I5806" s="7">
        <v>0</v>
      </c>
      <c r="J5806" s="17">
        <v>5</v>
      </c>
      <c r="K5806" s="17"/>
      <c r="L5806" s="7">
        <f>SUM(H5806:K5806)</f>
        <v>5</v>
      </c>
      <c r="M5806" s="8">
        <v>1</v>
      </c>
      <c r="N5806" s="8">
        <f>IF(L5806&gt;0,1,"")</f>
        <v>1</v>
      </c>
      <c r="O5806" s="11" t="s">
        <v>1702</v>
      </c>
      <c r="P5806" s="16" t="str">
        <f>IF(LEN(G5806)=10,CONCATENATE("0",G5806),G5806)</f>
        <v>01-Oct-1911</v>
      </c>
      <c r="R5806" s="16" t="str">
        <f>IF($L5806&gt;0,"x","")</f>
        <v>x</v>
      </c>
      <c r="S5806" s="16" t="str">
        <f>IF($L5806&gt;0,"x","")</f>
        <v>x</v>
      </c>
      <c r="U5806" s="46" t="str">
        <f t="shared" si="2484"/>
        <v/>
      </c>
      <c r="V5806" s="46">
        <f t="shared" si="2484"/>
        <v>5</v>
      </c>
      <c r="W5806" s="46" t="str">
        <f t="shared" si="2484"/>
        <v/>
      </c>
      <c r="X5806" s="46" t="str">
        <f t="shared" si="2484"/>
        <v/>
      </c>
    </row>
    <row r="5807" spans="2:24" x14ac:dyDescent="0.25">
      <c r="B5807" s="11" t="str">
        <f t="shared" si="2467"/>
        <v>STLO-29OCT1911</v>
      </c>
      <c r="C5807" s="11" t="s">
        <v>3016</v>
      </c>
      <c r="D5807" s="11" t="s">
        <v>2224</v>
      </c>
      <c r="E5807" s="39" t="s">
        <v>1261</v>
      </c>
      <c r="F5807" s="11" t="s">
        <v>1700</v>
      </c>
      <c r="G5807" s="39" t="s">
        <v>3860</v>
      </c>
      <c r="H5807" s="7">
        <v>0</v>
      </c>
      <c r="I5807" s="7">
        <v>0</v>
      </c>
      <c r="J5807" s="17">
        <v>20</v>
      </c>
      <c r="K5807" s="17"/>
      <c r="L5807" s="7">
        <f t="shared" si="2468"/>
        <v>20</v>
      </c>
      <c r="M5807" s="8">
        <v>1</v>
      </c>
      <c r="N5807" s="8">
        <f t="shared" si="2469"/>
        <v>1</v>
      </c>
      <c r="O5807" s="11" t="s">
        <v>1702</v>
      </c>
      <c r="P5807" s="16" t="str">
        <f t="shared" si="2470"/>
        <v>29-Oct-1911</v>
      </c>
      <c r="R5807" s="16" t="str">
        <f t="shared" si="2483"/>
        <v>x</v>
      </c>
      <c r="S5807" s="16" t="str">
        <f t="shared" si="2483"/>
        <v>x</v>
      </c>
      <c r="U5807" s="46" t="str">
        <f t="shared" si="2484"/>
        <v/>
      </c>
      <c r="V5807" s="46">
        <f t="shared" si="2484"/>
        <v>20</v>
      </c>
      <c r="W5807" s="46" t="str">
        <f t="shared" si="2484"/>
        <v/>
      </c>
      <c r="X5807" s="46" t="str">
        <f t="shared" si="2484"/>
        <v/>
      </c>
    </row>
    <row r="5808" spans="2:24" x14ac:dyDescent="0.25">
      <c r="B5808" s="11" t="str">
        <f>CONCATENATE("STLO","-",LEFT(P5808,2),UPPER(MID(P5808,4,3)),RIGHT(P5808,4))</f>
        <v>STLO-15JAN1912</v>
      </c>
      <c r="C5808" s="11" t="s">
        <v>3016</v>
      </c>
      <c r="D5808" s="11" t="s">
        <v>2224</v>
      </c>
      <c r="E5808" s="39" t="s">
        <v>910</v>
      </c>
      <c r="F5808" s="11" t="s">
        <v>1700</v>
      </c>
      <c r="G5808" s="39" t="s">
        <v>11191</v>
      </c>
      <c r="H5808" s="7">
        <v>0</v>
      </c>
      <c r="I5808" s="7">
        <v>0</v>
      </c>
      <c r="J5808" s="17">
        <v>5</v>
      </c>
      <c r="K5808" s="17"/>
      <c r="L5808" s="7">
        <f>SUM(H5808:K5808)</f>
        <v>5</v>
      </c>
      <c r="M5808" s="8">
        <v>1</v>
      </c>
      <c r="N5808" s="8">
        <f>IF(L5808&gt;0,1,"")</f>
        <v>1</v>
      </c>
      <c r="O5808" s="11" t="s">
        <v>1702</v>
      </c>
      <c r="P5808" s="16" t="str">
        <f>IF(LEN(G5808)=10,CONCATENATE("0",G5808),G5808)</f>
        <v>15-Jan-1912</v>
      </c>
      <c r="R5808" s="16" t="str">
        <f t="shared" si="2483"/>
        <v>x</v>
      </c>
      <c r="S5808" s="16" t="str">
        <f t="shared" si="2483"/>
        <v>x</v>
      </c>
      <c r="U5808" s="46" t="str">
        <f t="shared" si="2484"/>
        <v/>
      </c>
      <c r="V5808" s="46">
        <f t="shared" si="2484"/>
        <v>5</v>
      </c>
      <c r="W5808" s="46" t="str">
        <f t="shared" si="2484"/>
        <v/>
      </c>
      <c r="X5808" s="46" t="str">
        <f t="shared" si="2484"/>
        <v/>
      </c>
    </row>
    <row r="5809" spans="2:24" x14ac:dyDescent="0.25">
      <c r="B5809" s="11" t="str">
        <f t="shared" si="2467"/>
        <v>STLO-10JUN1912</v>
      </c>
      <c r="C5809" s="11" t="s">
        <v>3016</v>
      </c>
      <c r="D5809" s="11" t="s">
        <v>2224</v>
      </c>
      <c r="E5809" s="39" t="s">
        <v>1275</v>
      </c>
      <c r="F5809" s="11" t="s">
        <v>1700</v>
      </c>
      <c r="G5809" s="39" t="s">
        <v>3177</v>
      </c>
      <c r="H5809" s="7">
        <v>0</v>
      </c>
      <c r="J5809" s="17">
        <v>26</v>
      </c>
      <c r="K5809" s="17"/>
      <c r="L5809" s="7">
        <f t="shared" si="2468"/>
        <v>26</v>
      </c>
      <c r="M5809" s="8">
        <v>1</v>
      </c>
      <c r="N5809" s="8">
        <f t="shared" si="2469"/>
        <v>1</v>
      </c>
      <c r="O5809" s="11" t="s">
        <v>1702</v>
      </c>
      <c r="P5809" s="16" t="str">
        <f t="shared" si="2470"/>
        <v>10-Jun-1912</v>
      </c>
      <c r="R5809" s="16" t="str">
        <f t="shared" si="2483"/>
        <v>x</v>
      </c>
      <c r="S5809" s="16" t="str">
        <f t="shared" si="2483"/>
        <v>x</v>
      </c>
      <c r="U5809" s="46" t="str">
        <f t="shared" si="2484"/>
        <v/>
      </c>
      <c r="V5809" s="46">
        <f t="shared" si="2484"/>
        <v>26</v>
      </c>
      <c r="W5809" s="46" t="str">
        <f t="shared" si="2484"/>
        <v/>
      </c>
      <c r="X5809" s="46" t="str">
        <f t="shared" si="2484"/>
        <v/>
      </c>
    </row>
    <row r="5810" spans="2:24" x14ac:dyDescent="0.25">
      <c r="B5810" s="11" t="str">
        <f t="shared" si="2467"/>
        <v>STLO-08JUL1912</v>
      </c>
      <c r="C5810" s="11" t="s">
        <v>3016</v>
      </c>
      <c r="D5810" s="11" t="s">
        <v>2224</v>
      </c>
      <c r="E5810" s="39" t="s">
        <v>3696</v>
      </c>
      <c r="F5810" s="11" t="s">
        <v>1700</v>
      </c>
      <c r="G5810" s="39" t="s">
        <v>3695</v>
      </c>
      <c r="H5810" s="7">
        <v>0</v>
      </c>
      <c r="I5810" s="7">
        <v>1</v>
      </c>
      <c r="J5810" s="17">
        <v>71</v>
      </c>
      <c r="K5810" s="17"/>
      <c r="L5810" s="7">
        <f t="shared" si="2468"/>
        <v>72</v>
      </c>
      <c r="M5810" s="8">
        <v>1</v>
      </c>
      <c r="N5810" s="8">
        <f t="shared" si="2469"/>
        <v>1</v>
      </c>
      <c r="O5810" s="11" t="s">
        <v>1702</v>
      </c>
      <c r="P5810" s="16" t="str">
        <f t="shared" si="2470"/>
        <v>08-Jul-1912</v>
      </c>
      <c r="R5810" s="16" t="str">
        <f t="shared" si="2483"/>
        <v>x</v>
      </c>
      <c r="S5810" s="16" t="str">
        <f t="shared" si="2483"/>
        <v>x</v>
      </c>
      <c r="U5810" s="46" t="str">
        <f t="shared" si="2484"/>
        <v/>
      </c>
      <c r="V5810" s="46">
        <f t="shared" si="2484"/>
        <v>72</v>
      </c>
      <c r="W5810" s="46" t="str">
        <f t="shared" si="2484"/>
        <v/>
      </c>
      <c r="X5810" s="46" t="str">
        <f t="shared" si="2484"/>
        <v/>
      </c>
    </row>
    <row r="5811" spans="2:24" x14ac:dyDescent="0.25">
      <c r="B5811" s="11" t="str">
        <f t="shared" si="2467"/>
        <v>STLO-05AUG1912</v>
      </c>
      <c r="C5811" s="11" t="s">
        <v>3016</v>
      </c>
      <c r="D5811" s="11" t="s">
        <v>2224</v>
      </c>
      <c r="E5811" s="39" t="s">
        <v>1328</v>
      </c>
      <c r="F5811" s="11" t="s">
        <v>1700</v>
      </c>
      <c r="G5811" s="39" t="s">
        <v>11192</v>
      </c>
      <c r="H5811" s="7">
        <v>0</v>
      </c>
      <c r="I5811" s="7">
        <v>5</v>
      </c>
      <c r="J5811" s="17">
        <v>0</v>
      </c>
      <c r="K5811" s="17"/>
      <c r="L5811" s="7">
        <f t="shared" si="2468"/>
        <v>5</v>
      </c>
      <c r="M5811" s="8">
        <v>1</v>
      </c>
      <c r="N5811" s="8">
        <f t="shared" si="2469"/>
        <v>1</v>
      </c>
      <c r="O5811" s="11" t="s">
        <v>1702</v>
      </c>
      <c r="P5811" s="16" t="str">
        <f t="shared" si="2470"/>
        <v>05-Aug-1912</v>
      </c>
      <c r="R5811" s="16" t="str">
        <f t="shared" si="2483"/>
        <v>x</v>
      </c>
      <c r="S5811" s="16" t="str">
        <f t="shared" si="2483"/>
        <v>x</v>
      </c>
      <c r="U5811" s="46" t="str">
        <f t="shared" ref="U5811:X5813" si="2485">IF($O5811=U$5,$L5811,"")</f>
        <v/>
      </c>
      <c r="V5811" s="46">
        <f t="shared" si="2485"/>
        <v>5</v>
      </c>
      <c r="W5811" s="46" t="str">
        <f t="shared" si="2485"/>
        <v/>
      </c>
      <c r="X5811" s="46" t="str">
        <f t="shared" si="2485"/>
        <v/>
      </c>
    </row>
    <row r="5812" spans="2:24" x14ac:dyDescent="0.25">
      <c r="B5812" s="11" t="str">
        <f>CONCATENATE("STLO","-",LEFT(P5812,2),UPPER(MID(P5812,4,3)),RIGHT(P5812,4))</f>
        <v>STLO-29SEP1912</v>
      </c>
      <c r="C5812" s="11" t="s">
        <v>3016</v>
      </c>
      <c r="D5812" s="11" t="s">
        <v>2224</v>
      </c>
      <c r="E5812" s="39" t="s">
        <v>1528</v>
      </c>
      <c r="F5812" s="11" t="s">
        <v>1700</v>
      </c>
      <c r="G5812" s="39" t="s">
        <v>11193</v>
      </c>
      <c r="H5812" s="7">
        <v>0</v>
      </c>
      <c r="I5812" s="7">
        <v>2</v>
      </c>
      <c r="J5812" s="17">
        <v>4</v>
      </c>
      <c r="K5812" s="17"/>
      <c r="L5812" s="7">
        <f>SUM(H5812:K5812)</f>
        <v>6</v>
      </c>
      <c r="M5812" s="8">
        <v>1</v>
      </c>
      <c r="N5812" s="8">
        <f>IF(L5812&gt;0,1,"")</f>
        <v>1</v>
      </c>
      <c r="O5812" s="11" t="s">
        <v>1702</v>
      </c>
      <c r="P5812" s="16" t="str">
        <f>IF(LEN(G5812)=10,CONCATENATE("0",G5812),G5812)</f>
        <v>29-Sep-1912</v>
      </c>
      <c r="R5812" s="16" t="str">
        <f t="shared" si="2483"/>
        <v>x</v>
      </c>
      <c r="S5812" s="16" t="str">
        <f t="shared" si="2483"/>
        <v>x</v>
      </c>
      <c r="U5812" s="46" t="str">
        <f t="shared" si="2485"/>
        <v/>
      </c>
      <c r="V5812" s="46">
        <f t="shared" si="2485"/>
        <v>6</v>
      </c>
      <c r="W5812" s="46" t="str">
        <f t="shared" si="2485"/>
        <v/>
      </c>
      <c r="X5812" s="46" t="str">
        <f t="shared" si="2485"/>
        <v/>
      </c>
    </row>
    <row r="5813" spans="2:24" x14ac:dyDescent="0.25">
      <c r="B5813" s="11" t="str">
        <f>CONCATENATE("STLO","-",LEFT(P5813,2),UPPER(MID(P5813,4,3)),RIGHT(P5813,4))</f>
        <v>STLO-27OCT1912</v>
      </c>
      <c r="C5813" s="11" t="s">
        <v>3016</v>
      </c>
      <c r="D5813" s="11" t="s">
        <v>2224</v>
      </c>
      <c r="E5813" s="39" t="s">
        <v>1531</v>
      </c>
      <c r="F5813" s="11" t="s">
        <v>1700</v>
      </c>
      <c r="G5813" s="39" t="s">
        <v>11278</v>
      </c>
      <c r="H5813" s="7">
        <v>0</v>
      </c>
      <c r="I5813" s="7">
        <v>0</v>
      </c>
      <c r="J5813" s="17">
        <f>4+1</f>
        <v>5</v>
      </c>
      <c r="K5813" s="17"/>
      <c r="L5813" s="7">
        <f>SUM(H5813:K5813)</f>
        <v>5</v>
      </c>
      <c r="M5813" s="8">
        <v>1</v>
      </c>
      <c r="N5813" s="8">
        <f>IF(L5813&gt;0,1,"")</f>
        <v>1</v>
      </c>
      <c r="O5813" s="11" t="s">
        <v>1702</v>
      </c>
      <c r="P5813" s="16" t="str">
        <f>IF(LEN(G5813)=10,CONCATENATE("0",G5813),G5813)</f>
        <v>27-Oct-1912</v>
      </c>
      <c r="R5813" s="16" t="str">
        <f t="shared" si="2483"/>
        <v>x</v>
      </c>
      <c r="S5813" s="16" t="str">
        <f t="shared" si="2483"/>
        <v>x</v>
      </c>
      <c r="U5813" s="46" t="str">
        <f t="shared" si="2485"/>
        <v/>
      </c>
      <c r="V5813" s="46">
        <f t="shared" si="2485"/>
        <v>5</v>
      </c>
      <c r="W5813" s="46" t="str">
        <f t="shared" si="2485"/>
        <v/>
      </c>
      <c r="X5813" s="46" t="str">
        <f t="shared" si="2485"/>
        <v/>
      </c>
    </row>
    <row r="5814" spans="2:24" x14ac:dyDescent="0.25">
      <c r="B5814" s="11" t="str">
        <f t="shared" si="2467"/>
        <v>STLO-29NOV1912</v>
      </c>
      <c r="C5814" s="11" t="s">
        <v>3016</v>
      </c>
      <c r="D5814" s="11" t="s">
        <v>2224</v>
      </c>
      <c r="E5814" s="39" t="s">
        <v>3077</v>
      </c>
      <c r="F5814" s="11" t="s">
        <v>1700</v>
      </c>
      <c r="G5814" s="39" t="s">
        <v>3115</v>
      </c>
      <c r="H5814" s="7">
        <v>0</v>
      </c>
      <c r="I5814" s="7">
        <v>0</v>
      </c>
      <c r="J5814" s="17">
        <v>6</v>
      </c>
      <c r="K5814" s="17"/>
      <c r="L5814" s="7">
        <f t="shared" si="2468"/>
        <v>6</v>
      </c>
      <c r="M5814" s="8">
        <v>1</v>
      </c>
      <c r="N5814" s="8">
        <f t="shared" si="2469"/>
        <v>1</v>
      </c>
      <c r="O5814" s="11" t="s">
        <v>1702</v>
      </c>
      <c r="P5814" s="16" t="str">
        <f t="shared" si="2470"/>
        <v>29-Nov-1912</v>
      </c>
      <c r="R5814" s="16" t="str">
        <f t="shared" si="2483"/>
        <v>x</v>
      </c>
      <c r="S5814" s="16" t="str">
        <f t="shared" si="2483"/>
        <v>x</v>
      </c>
      <c r="U5814" s="46" t="str">
        <f t="shared" ref="U5814:X5818" si="2486">IF($O5814=U$5,$L5814,"")</f>
        <v/>
      </c>
      <c r="V5814" s="46">
        <f t="shared" si="2486"/>
        <v>6</v>
      </c>
      <c r="W5814" s="46" t="str">
        <f t="shared" si="2486"/>
        <v/>
      </c>
      <c r="X5814" s="46" t="str">
        <f t="shared" si="2486"/>
        <v/>
      </c>
    </row>
    <row r="5815" spans="2:24" x14ac:dyDescent="0.25">
      <c r="B5815" s="11" t="str">
        <f>CONCATENATE("STLO","-",LEFT(P5815,2),UPPER(MID(P5815,4,3)),RIGHT(P5815,4))</f>
        <v>STLO-24AUG1913</v>
      </c>
      <c r="C5815" s="11" t="s">
        <v>3016</v>
      </c>
      <c r="D5815" s="11" t="s">
        <v>2224</v>
      </c>
      <c r="E5815" s="39" t="s">
        <v>1024</v>
      </c>
      <c r="F5815" s="11" t="s">
        <v>1700</v>
      </c>
      <c r="G5815" s="39" t="s">
        <v>2355</v>
      </c>
      <c r="H5815" s="7">
        <v>0</v>
      </c>
      <c r="I5815" s="7">
        <v>2</v>
      </c>
      <c r="J5815" s="17">
        <v>6</v>
      </c>
      <c r="K5815" s="17"/>
      <c r="L5815" s="7">
        <f>SUM(H5815:K5815)</f>
        <v>8</v>
      </c>
      <c r="M5815" s="8">
        <v>1</v>
      </c>
      <c r="N5815" s="8">
        <f>IF(L5815&gt;0,1,"")</f>
        <v>1</v>
      </c>
      <c r="O5815" s="11" t="s">
        <v>1702</v>
      </c>
      <c r="P5815" s="16" t="str">
        <f>IF(LEN(G5815)=10,CONCATENATE("0",G5815),G5815)</f>
        <v>24-Aug-1913</v>
      </c>
      <c r="R5815" s="16" t="str">
        <f t="shared" si="2483"/>
        <v>x</v>
      </c>
      <c r="S5815" s="16" t="str">
        <f t="shared" si="2483"/>
        <v>x</v>
      </c>
      <c r="U5815" s="46" t="str">
        <f t="shared" si="2486"/>
        <v/>
      </c>
      <c r="V5815" s="46">
        <f t="shared" si="2486"/>
        <v>8</v>
      </c>
      <c r="W5815" s="46" t="str">
        <f t="shared" si="2486"/>
        <v/>
      </c>
      <c r="X5815" s="46" t="str">
        <f t="shared" si="2486"/>
        <v/>
      </c>
    </row>
    <row r="5816" spans="2:24" x14ac:dyDescent="0.25">
      <c r="B5816" s="11" t="str">
        <f t="shared" si="2467"/>
        <v>STLO-18OCT1913</v>
      </c>
      <c r="C5816" s="11" t="s">
        <v>3016</v>
      </c>
      <c r="D5816" s="11" t="s">
        <v>2224</v>
      </c>
      <c r="E5816" s="39" t="s">
        <v>1026</v>
      </c>
      <c r="F5816" s="11" t="s">
        <v>1700</v>
      </c>
      <c r="G5816" s="39" t="s">
        <v>1932</v>
      </c>
      <c r="H5816" s="7">
        <v>0</v>
      </c>
      <c r="I5816" s="7">
        <v>0</v>
      </c>
      <c r="J5816" s="17">
        <v>7</v>
      </c>
      <c r="K5816" s="17"/>
      <c r="L5816" s="7">
        <f t="shared" si="2468"/>
        <v>7</v>
      </c>
      <c r="M5816" s="8">
        <v>1</v>
      </c>
      <c r="N5816" s="8">
        <f t="shared" si="2469"/>
        <v>1</v>
      </c>
      <c r="O5816" s="11" t="s">
        <v>1702</v>
      </c>
      <c r="P5816" s="16" t="str">
        <f t="shared" si="2470"/>
        <v>18-Oct-1913</v>
      </c>
      <c r="R5816" s="16" t="str">
        <f t="shared" si="2483"/>
        <v>x</v>
      </c>
      <c r="S5816" s="16" t="str">
        <f t="shared" si="2483"/>
        <v>x</v>
      </c>
      <c r="U5816" s="46" t="str">
        <f t="shared" si="2486"/>
        <v/>
      </c>
      <c r="V5816" s="46">
        <f t="shared" si="2486"/>
        <v>7</v>
      </c>
      <c r="W5816" s="46" t="str">
        <f t="shared" si="2486"/>
        <v/>
      </c>
      <c r="X5816" s="46" t="str">
        <f t="shared" si="2486"/>
        <v/>
      </c>
    </row>
    <row r="5817" spans="2:24" x14ac:dyDescent="0.25">
      <c r="B5817" s="11" t="str">
        <f t="shared" si="2467"/>
        <v>STLO-15NOV1913</v>
      </c>
      <c r="C5817" s="11" t="s">
        <v>3016</v>
      </c>
      <c r="D5817" s="11" t="s">
        <v>2224</v>
      </c>
      <c r="E5817" s="39" t="s">
        <v>1027</v>
      </c>
      <c r="F5817" s="11" t="s">
        <v>1700</v>
      </c>
      <c r="G5817" s="39" t="s">
        <v>1291</v>
      </c>
      <c r="I5817" s="7">
        <v>5</v>
      </c>
      <c r="J5817" s="17">
        <f>13+1</f>
        <v>14</v>
      </c>
      <c r="K5817" s="17"/>
      <c r="L5817" s="7">
        <f t="shared" si="2468"/>
        <v>19</v>
      </c>
      <c r="M5817" s="8">
        <v>1</v>
      </c>
      <c r="N5817" s="8">
        <f t="shared" si="2469"/>
        <v>1</v>
      </c>
      <c r="O5817" s="11" t="s">
        <v>1702</v>
      </c>
      <c r="P5817" s="16" t="str">
        <f t="shared" si="2470"/>
        <v>15-Nov-1913</v>
      </c>
      <c r="R5817" s="16" t="str">
        <f t="shared" si="2483"/>
        <v>x</v>
      </c>
      <c r="S5817" s="16" t="str">
        <f t="shared" si="2483"/>
        <v>x</v>
      </c>
      <c r="U5817" s="46" t="str">
        <f t="shared" si="2486"/>
        <v/>
      </c>
      <c r="V5817" s="46">
        <f t="shared" si="2486"/>
        <v>19</v>
      </c>
      <c r="W5817" s="46" t="str">
        <f t="shared" si="2486"/>
        <v/>
      </c>
      <c r="X5817" s="46" t="str">
        <f t="shared" si="2486"/>
        <v/>
      </c>
    </row>
    <row r="5818" spans="2:24" x14ac:dyDescent="0.25">
      <c r="B5818" s="11" t="str">
        <f t="shared" si="2467"/>
        <v>STLO-19DEC1913</v>
      </c>
      <c r="C5818" s="11" t="s">
        <v>3016</v>
      </c>
      <c r="D5818" s="11" t="s">
        <v>2224</v>
      </c>
      <c r="E5818" s="39" t="s">
        <v>4448</v>
      </c>
      <c r="F5818" s="11" t="s">
        <v>1700</v>
      </c>
      <c r="G5818" s="39" t="s">
        <v>3164</v>
      </c>
      <c r="I5818" s="7">
        <v>0</v>
      </c>
      <c r="J5818" s="17">
        <f>11+1</f>
        <v>12</v>
      </c>
      <c r="K5818" s="17"/>
      <c r="L5818" s="7">
        <f t="shared" si="2468"/>
        <v>12</v>
      </c>
      <c r="M5818" s="8">
        <v>1</v>
      </c>
      <c r="N5818" s="8">
        <f t="shared" si="2469"/>
        <v>1</v>
      </c>
      <c r="O5818" s="11" t="s">
        <v>1702</v>
      </c>
      <c r="P5818" s="16" t="str">
        <f t="shared" si="2470"/>
        <v>19-Dec-1913</v>
      </c>
      <c r="R5818" s="16" t="str">
        <f t="shared" si="2483"/>
        <v>x</v>
      </c>
      <c r="S5818" s="16" t="str">
        <f t="shared" si="2483"/>
        <v>x</v>
      </c>
      <c r="U5818" s="46" t="str">
        <f t="shared" si="2486"/>
        <v/>
      </c>
      <c r="V5818" s="46">
        <f t="shared" si="2486"/>
        <v>12</v>
      </c>
      <c r="W5818" s="46" t="str">
        <f t="shared" si="2486"/>
        <v/>
      </c>
      <c r="X5818" s="46" t="str">
        <f t="shared" si="2486"/>
        <v/>
      </c>
    </row>
    <row r="5819" spans="2:24" x14ac:dyDescent="0.25">
      <c r="B5819" s="11" t="str">
        <f>CONCATENATE("STLO","-",LEFT(P5819,2),UPPER(MID(P5819,4,3)),RIGHT(P5819,4))</f>
        <v>STLO-19JAN1914</v>
      </c>
      <c r="C5819" s="11" t="s">
        <v>3016</v>
      </c>
      <c r="D5819" s="11" t="s">
        <v>2224</v>
      </c>
      <c r="E5819" s="39" t="s">
        <v>1306</v>
      </c>
      <c r="F5819" s="11" t="s">
        <v>1700</v>
      </c>
      <c r="G5819" s="39" t="s">
        <v>5216</v>
      </c>
      <c r="I5819" s="7">
        <v>0</v>
      </c>
      <c r="J5819" s="17">
        <v>4</v>
      </c>
      <c r="K5819" s="17"/>
      <c r="L5819" s="7">
        <f>SUM(H5819:K5819)</f>
        <v>4</v>
      </c>
      <c r="M5819" s="8">
        <v>1</v>
      </c>
      <c r="N5819" s="8">
        <f>IF(L5819&gt;0,1,"")</f>
        <v>1</v>
      </c>
      <c r="O5819" s="11" t="s">
        <v>1702</v>
      </c>
      <c r="P5819" s="16" t="str">
        <f>IF(LEN(G5819)=10,CONCATENATE("0",G5819),G5819)</f>
        <v>19-Jan-1914</v>
      </c>
      <c r="R5819" s="16" t="str">
        <f t="shared" ref="R5819:S5821" si="2487">IF($L5819&gt;0,"x","")</f>
        <v>x</v>
      </c>
      <c r="S5819" s="16" t="str">
        <f t="shared" si="2487"/>
        <v>x</v>
      </c>
      <c r="U5819" s="46" t="str">
        <f t="shared" ref="U5819:X5821" si="2488">IF($O5819=U$5,$L5819,"")</f>
        <v/>
      </c>
      <c r="V5819" s="46">
        <f t="shared" si="2488"/>
        <v>4</v>
      </c>
      <c r="W5819" s="46" t="str">
        <f t="shared" si="2488"/>
        <v/>
      </c>
      <c r="X5819" s="46" t="str">
        <f t="shared" si="2488"/>
        <v/>
      </c>
    </row>
    <row r="5820" spans="2:24" x14ac:dyDescent="0.25">
      <c r="B5820" s="11" t="str">
        <f>CONCATENATE("STLO","-",LEFT(P5820,2),UPPER(MID(P5820,4,3)),RIGHT(P5820,4))</f>
        <v>STLO-25JUN1914</v>
      </c>
      <c r="C5820" s="11" t="s">
        <v>3016</v>
      </c>
      <c r="D5820" s="11" t="s">
        <v>2224</v>
      </c>
      <c r="E5820" s="39" t="s">
        <v>2564</v>
      </c>
      <c r="F5820" s="11" t="s">
        <v>1700</v>
      </c>
      <c r="G5820" s="39" t="s">
        <v>4959</v>
      </c>
      <c r="I5820" s="7">
        <v>1</v>
      </c>
      <c r="J5820" s="17">
        <v>3</v>
      </c>
      <c r="K5820" s="17"/>
      <c r="L5820" s="7">
        <f>SUM(H5820:K5820)</f>
        <v>4</v>
      </c>
      <c r="M5820" s="8">
        <v>1</v>
      </c>
      <c r="N5820" s="8">
        <f>IF(L5820&gt;0,1,"")</f>
        <v>1</v>
      </c>
      <c r="O5820" s="11" t="s">
        <v>1702</v>
      </c>
      <c r="P5820" s="16" t="str">
        <f>IF(LEN(G5820)=10,CONCATENATE("0",G5820),G5820)</f>
        <v>25-Jun-1914</v>
      </c>
      <c r="R5820" s="16" t="str">
        <f t="shared" si="2487"/>
        <v>x</v>
      </c>
      <c r="S5820" s="16" t="str">
        <f t="shared" si="2487"/>
        <v>x</v>
      </c>
      <c r="T5820" s="11"/>
      <c r="U5820" s="46" t="str">
        <f t="shared" si="2488"/>
        <v/>
      </c>
      <c r="V5820" s="46">
        <f t="shared" si="2488"/>
        <v>4</v>
      </c>
      <c r="W5820" s="46" t="str">
        <f t="shared" si="2488"/>
        <v/>
      </c>
      <c r="X5820" s="46" t="str">
        <f t="shared" si="2488"/>
        <v/>
      </c>
    </row>
    <row r="5821" spans="2:24" x14ac:dyDescent="0.25">
      <c r="B5821" s="11" t="str">
        <f t="shared" si="2467"/>
        <v>STLO-07JUN1915</v>
      </c>
      <c r="C5821" s="11" t="s">
        <v>3016</v>
      </c>
      <c r="D5821" s="11" t="s">
        <v>2224</v>
      </c>
      <c r="E5821" s="39" t="s">
        <v>5539</v>
      </c>
      <c r="F5821" s="11" t="s">
        <v>1700</v>
      </c>
      <c r="G5821" s="39" t="s">
        <v>5540</v>
      </c>
      <c r="H5821" s="7">
        <v>0</v>
      </c>
      <c r="I5821" s="7">
        <v>1</v>
      </c>
      <c r="J5821" s="17">
        <v>0</v>
      </c>
      <c r="K5821" s="17"/>
      <c r="L5821" s="7">
        <f t="shared" si="2468"/>
        <v>1</v>
      </c>
      <c r="M5821" s="8">
        <v>1</v>
      </c>
      <c r="N5821" s="8">
        <f t="shared" si="2469"/>
        <v>1</v>
      </c>
      <c r="O5821" s="11" t="s">
        <v>1702</v>
      </c>
      <c r="P5821" s="16" t="str">
        <f t="shared" si="2470"/>
        <v>07-Jun-1915</v>
      </c>
      <c r="R5821" s="16" t="str">
        <f t="shared" si="2487"/>
        <v>x</v>
      </c>
      <c r="S5821" s="16" t="str">
        <f t="shared" si="2487"/>
        <v>x</v>
      </c>
      <c r="U5821" s="46" t="str">
        <f t="shared" si="2488"/>
        <v/>
      </c>
      <c r="V5821" s="46">
        <f t="shared" si="2488"/>
        <v>1</v>
      </c>
      <c r="W5821" s="46" t="str">
        <f t="shared" si="2488"/>
        <v/>
      </c>
      <c r="X5821" s="46" t="str">
        <f t="shared" si="2488"/>
        <v/>
      </c>
    </row>
    <row r="5822" spans="2:24" x14ac:dyDescent="0.25">
      <c r="N5822" s="8" t="str">
        <f>IF(R5822="x",1,"")</f>
        <v/>
      </c>
      <c r="U5822" s="46" t="str">
        <f t="shared" ref="U5822:X5827" si="2489">IF($O5822=U$5,$L5822,"")</f>
        <v/>
      </c>
      <c r="V5822" s="46" t="str">
        <f t="shared" si="2489"/>
        <v/>
      </c>
      <c r="W5822" s="46" t="str">
        <f t="shared" si="2489"/>
        <v/>
      </c>
      <c r="X5822" s="46" t="str">
        <f t="shared" si="2489"/>
        <v/>
      </c>
    </row>
    <row r="5823" spans="2:24" x14ac:dyDescent="0.25">
      <c r="B5823" s="18"/>
      <c r="C5823" s="18"/>
      <c r="D5823" s="18"/>
      <c r="E5823" s="40"/>
      <c r="F5823" s="18"/>
      <c r="G5823" s="40"/>
      <c r="H5823" s="7">
        <f t="shared" ref="H5823:N5823" si="2490">SUM(H5779:H5822)</f>
        <v>3</v>
      </c>
      <c r="I5823" s="7">
        <f t="shared" si="2490"/>
        <v>39</v>
      </c>
      <c r="J5823" s="7">
        <f>SUM(J5779:J5822)</f>
        <v>403</v>
      </c>
      <c r="K5823" s="7">
        <f t="shared" si="2490"/>
        <v>0</v>
      </c>
      <c r="L5823" s="7">
        <f t="shared" si="2490"/>
        <v>445</v>
      </c>
      <c r="M5823" s="7">
        <f t="shared" si="2490"/>
        <v>43</v>
      </c>
      <c r="N5823" s="7">
        <f t="shared" si="2490"/>
        <v>43</v>
      </c>
      <c r="O5823" s="18"/>
      <c r="P5823" s="13"/>
      <c r="Q5823" s="13"/>
      <c r="S5823" s="13"/>
      <c r="T5823" s="15"/>
      <c r="U5823" s="46" t="str">
        <f t="shared" si="2489"/>
        <v/>
      </c>
      <c r="V5823" s="46" t="str">
        <f t="shared" si="2489"/>
        <v/>
      </c>
      <c r="W5823" s="46" t="str">
        <f t="shared" si="2489"/>
        <v/>
      </c>
      <c r="X5823" s="46" t="str">
        <f t="shared" si="2489"/>
        <v/>
      </c>
    </row>
    <row r="5824" spans="2:24" x14ac:dyDescent="0.25">
      <c r="B5824" s="18"/>
      <c r="C5824" s="18"/>
      <c r="D5824" s="18"/>
      <c r="E5824" s="40"/>
      <c r="F5824" s="18"/>
      <c r="G5824" s="40"/>
      <c r="N5824" s="8" t="str">
        <f>IF(R5824="x",1,"")</f>
        <v/>
      </c>
      <c r="O5824" s="18"/>
      <c r="P5824" s="13"/>
      <c r="Q5824" s="13"/>
      <c r="R5824" s="13"/>
      <c r="S5824" s="13"/>
      <c r="T5824" s="15"/>
      <c r="U5824" s="46" t="str">
        <f t="shared" si="2489"/>
        <v/>
      </c>
      <c r="V5824" s="46" t="str">
        <f t="shared" si="2489"/>
        <v/>
      </c>
      <c r="W5824" s="46" t="str">
        <f t="shared" si="2489"/>
        <v/>
      </c>
      <c r="X5824" s="46" t="str">
        <f t="shared" si="2489"/>
        <v/>
      </c>
    </row>
    <row r="5825" spans="2:24" x14ac:dyDescent="0.25">
      <c r="B5825" s="18"/>
      <c r="C5825" s="18"/>
      <c r="D5825" s="18"/>
      <c r="E5825" s="40"/>
      <c r="F5825" s="18"/>
      <c r="G5825" s="40"/>
      <c r="N5825" s="8" t="str">
        <f>IF(R5825="x",1,"")</f>
        <v/>
      </c>
      <c r="O5825" s="18"/>
      <c r="P5825" s="13"/>
      <c r="Q5825" s="13"/>
      <c r="R5825" s="13"/>
      <c r="S5825" s="13"/>
      <c r="T5825" s="15"/>
      <c r="U5825" s="46" t="str">
        <f t="shared" si="2489"/>
        <v/>
      </c>
      <c r="V5825" s="46" t="str">
        <f t="shared" si="2489"/>
        <v/>
      </c>
      <c r="W5825" s="46" t="str">
        <f t="shared" si="2489"/>
        <v/>
      </c>
      <c r="X5825" s="46" t="str">
        <f t="shared" si="2489"/>
        <v/>
      </c>
    </row>
    <row r="5826" spans="2:24" x14ac:dyDescent="0.25">
      <c r="B5826" s="11" t="str">
        <f t="shared" ref="B5826:B5841" si="2491">CONCATENATE("STPA","-",LEFT(P5826,2),UPPER(MID(P5826,4,3)),RIGHT(P5826,4))</f>
        <v>STPA-06JUN1896</v>
      </c>
      <c r="C5826" s="11" t="s">
        <v>3070</v>
      </c>
      <c r="D5826" s="11" t="s">
        <v>598</v>
      </c>
      <c r="F5826" s="11" t="s">
        <v>1700</v>
      </c>
      <c r="G5826" s="39" t="s">
        <v>4134</v>
      </c>
      <c r="H5826" s="7">
        <v>0</v>
      </c>
      <c r="I5826" s="7">
        <v>2</v>
      </c>
      <c r="J5826" s="17">
        <v>0</v>
      </c>
      <c r="K5826" s="17"/>
      <c r="L5826" s="7">
        <f t="shared" ref="L5826:L5841" si="2492">SUM(H5826:K5826)</f>
        <v>2</v>
      </c>
      <c r="M5826" s="8">
        <v>1</v>
      </c>
      <c r="N5826" s="8">
        <f t="shared" ref="N5826:N5841" si="2493">IF(L5826&gt;0,1,"")</f>
        <v>1</v>
      </c>
      <c r="O5826" s="11" t="s">
        <v>1702</v>
      </c>
      <c r="P5826" s="16" t="str">
        <f t="shared" ref="P5826:P5841" si="2494">IF(LEN(G5826)=10,CONCATENATE("0",G5826),G5826)</f>
        <v>06-Jun-1896</v>
      </c>
      <c r="R5826" s="16" t="str">
        <f>IF($L5826&gt;0,"x","")</f>
        <v>x</v>
      </c>
      <c r="S5826" s="16" t="str">
        <f>IF($L5826&gt;0,"x","")</f>
        <v>x</v>
      </c>
      <c r="U5826" s="46" t="str">
        <f t="shared" si="2489"/>
        <v/>
      </c>
      <c r="V5826" s="46">
        <f t="shared" si="2489"/>
        <v>2</v>
      </c>
      <c r="W5826" s="46" t="str">
        <f t="shared" si="2489"/>
        <v/>
      </c>
      <c r="X5826" s="46" t="str">
        <f t="shared" si="2489"/>
        <v/>
      </c>
    </row>
    <row r="5827" spans="2:24" x14ac:dyDescent="0.25">
      <c r="B5827" s="11" t="str">
        <f t="shared" si="2491"/>
        <v>STPA-04SEP1896</v>
      </c>
      <c r="C5827" s="11" t="s">
        <v>3070</v>
      </c>
      <c r="D5827" s="11" t="s">
        <v>598</v>
      </c>
      <c r="F5827" s="11" t="s">
        <v>1700</v>
      </c>
      <c r="G5827" s="39" t="s">
        <v>3468</v>
      </c>
      <c r="I5827" s="7">
        <v>0</v>
      </c>
      <c r="J5827" s="17">
        <v>4</v>
      </c>
      <c r="K5827" s="17"/>
      <c r="L5827" s="7">
        <f t="shared" si="2492"/>
        <v>4</v>
      </c>
      <c r="M5827" s="8">
        <v>1</v>
      </c>
      <c r="N5827" s="8">
        <f t="shared" si="2493"/>
        <v>1</v>
      </c>
      <c r="O5827" s="11" t="s">
        <v>1702</v>
      </c>
      <c r="P5827" s="16" t="str">
        <f t="shared" si="2494"/>
        <v>04-Sep-1896</v>
      </c>
      <c r="R5827" s="16" t="str">
        <f t="shared" ref="R5827:S5836" si="2495">IF($L5827&gt;0,"x","")</f>
        <v>x</v>
      </c>
      <c r="S5827" s="16" t="str">
        <f t="shared" si="2495"/>
        <v>x</v>
      </c>
      <c r="U5827" s="46" t="str">
        <f t="shared" si="2489"/>
        <v/>
      </c>
      <c r="V5827" s="46">
        <f t="shared" si="2489"/>
        <v>4</v>
      </c>
      <c r="W5827" s="46" t="str">
        <f t="shared" si="2489"/>
        <v/>
      </c>
      <c r="X5827" s="46" t="str">
        <f t="shared" si="2489"/>
        <v/>
      </c>
    </row>
    <row r="5828" spans="2:24" x14ac:dyDescent="0.25">
      <c r="B5828" s="11" t="str">
        <f>CONCATENATE("STPA","-",LEFT(P5828,2),UPPER(MID(P5828,4,3)),RIGHT(P5828,4))</f>
        <v>STPA-06JUL1901</v>
      </c>
      <c r="C5828" s="11" t="s">
        <v>3070</v>
      </c>
      <c r="D5828" s="11" t="s">
        <v>2224</v>
      </c>
      <c r="E5828" s="39" t="s">
        <v>594</v>
      </c>
      <c r="F5828" s="11" t="s">
        <v>1700</v>
      </c>
      <c r="G5828" s="39" t="s">
        <v>4764</v>
      </c>
      <c r="J5828" s="17">
        <v>7</v>
      </c>
      <c r="K5828" s="17"/>
      <c r="L5828" s="7">
        <f>SUM(H5828:K5828)</f>
        <v>7</v>
      </c>
      <c r="M5828" s="8">
        <v>1</v>
      </c>
      <c r="N5828" s="8">
        <f>IF(L5828&gt;0,1,"")</f>
        <v>1</v>
      </c>
      <c r="O5828" s="11" t="s">
        <v>1702</v>
      </c>
      <c r="P5828" s="16" t="str">
        <f>IF(LEN(G5828)=10,CONCATENATE("0",G5828),G5828)</f>
        <v>06-Jul-1901</v>
      </c>
      <c r="R5828" s="16" t="str">
        <f t="shared" si="2495"/>
        <v>x</v>
      </c>
      <c r="S5828" s="16" t="str">
        <f t="shared" si="2495"/>
        <v>x</v>
      </c>
      <c r="U5828" s="46" t="str">
        <f t="shared" ref="U5828:X5831" si="2496">IF($O5828=U$5,$L5828,"")</f>
        <v/>
      </c>
      <c r="V5828" s="46">
        <f t="shared" si="2496"/>
        <v>7</v>
      </c>
      <c r="W5828" s="46" t="str">
        <f t="shared" si="2496"/>
        <v/>
      </c>
      <c r="X5828" s="46" t="str">
        <f t="shared" si="2496"/>
        <v/>
      </c>
    </row>
    <row r="5829" spans="2:24" x14ac:dyDescent="0.25">
      <c r="B5829" s="11" t="str">
        <f>CONCATENATE("STPA","-",LEFT(P5829,2),UPPER(MID(P5829,4,3)),RIGHT(P5829,4))</f>
        <v>STPA-14SEP1901</v>
      </c>
      <c r="C5829" s="11" t="s">
        <v>3070</v>
      </c>
      <c r="D5829" s="11" t="s">
        <v>2224</v>
      </c>
      <c r="E5829" s="39" t="s">
        <v>6332</v>
      </c>
      <c r="F5829" s="11" t="s">
        <v>1700</v>
      </c>
      <c r="G5829" s="39" t="s">
        <v>5438</v>
      </c>
      <c r="J5829" s="17">
        <v>1</v>
      </c>
      <c r="K5829" s="17"/>
      <c r="L5829" s="7">
        <f>SUM(H5829:K5829)</f>
        <v>1</v>
      </c>
      <c r="M5829" s="8">
        <v>1</v>
      </c>
      <c r="N5829" s="8">
        <f>IF(L5829&gt;0,1,"")</f>
        <v>1</v>
      </c>
      <c r="O5829" s="11" t="s">
        <v>1702</v>
      </c>
      <c r="P5829" s="16" t="str">
        <f>IF(LEN(G5829)=10,CONCATENATE("0",G5829),G5829)</f>
        <v>14-Sep-1901</v>
      </c>
      <c r="R5829" s="16" t="str">
        <f>IF($L5829&gt;0,"x","")</f>
        <v>x</v>
      </c>
      <c r="S5829" s="16" t="str">
        <f>IF($L5829&gt;0,"x","")</f>
        <v>x</v>
      </c>
      <c r="U5829" s="46" t="str">
        <f t="shared" si="2496"/>
        <v/>
      </c>
      <c r="V5829" s="46">
        <f t="shared" si="2496"/>
        <v>1</v>
      </c>
      <c r="W5829" s="46" t="str">
        <f t="shared" si="2496"/>
        <v/>
      </c>
      <c r="X5829" s="46" t="str">
        <f t="shared" si="2496"/>
        <v/>
      </c>
    </row>
    <row r="5830" spans="2:24" x14ac:dyDescent="0.25">
      <c r="B5830" s="11" t="str">
        <f>CONCATENATE("STPA","-",LEFT(P5830,2),UPPER(MID(P5830,4,3)),RIGHT(P5830,4))</f>
        <v>STPA-29MAR1902</v>
      </c>
      <c r="C5830" s="11" t="s">
        <v>3070</v>
      </c>
      <c r="D5830" s="11" t="s">
        <v>2224</v>
      </c>
      <c r="E5830" s="39" t="s">
        <v>726</v>
      </c>
      <c r="F5830" s="11" t="s">
        <v>1700</v>
      </c>
      <c r="G5830" s="39" t="s">
        <v>5517</v>
      </c>
      <c r="J5830" s="17">
        <v>2</v>
      </c>
      <c r="K5830" s="17"/>
      <c r="L5830" s="7">
        <f>SUM(H5830:K5830)</f>
        <v>2</v>
      </c>
      <c r="M5830" s="8">
        <v>1</v>
      </c>
      <c r="N5830" s="8">
        <f>IF(L5830&gt;0,1,"")</f>
        <v>1</v>
      </c>
      <c r="O5830" s="11" t="s">
        <v>1702</v>
      </c>
      <c r="P5830" s="16" t="str">
        <f>IF(LEN(G5830)=10,CONCATENATE("0",G5830),G5830)</f>
        <v>29-Mar-1902</v>
      </c>
      <c r="R5830" s="16" t="str">
        <f t="shared" si="2495"/>
        <v>x</v>
      </c>
      <c r="S5830" s="16" t="str">
        <f t="shared" si="2495"/>
        <v>x</v>
      </c>
      <c r="U5830" s="46" t="str">
        <f t="shared" si="2496"/>
        <v/>
      </c>
      <c r="V5830" s="46">
        <f t="shared" si="2496"/>
        <v>2</v>
      </c>
      <c r="W5830" s="46" t="str">
        <f t="shared" si="2496"/>
        <v/>
      </c>
      <c r="X5830" s="46" t="str">
        <f t="shared" si="2496"/>
        <v/>
      </c>
    </row>
    <row r="5831" spans="2:24" x14ac:dyDescent="0.25">
      <c r="B5831" s="11" t="str">
        <f t="shared" si="2491"/>
        <v>STPA-10MAY1902</v>
      </c>
      <c r="C5831" s="11" t="s">
        <v>3070</v>
      </c>
      <c r="D5831" s="11" t="s">
        <v>2224</v>
      </c>
      <c r="E5831" s="39" t="s">
        <v>1631</v>
      </c>
      <c r="F5831" s="11" t="s">
        <v>1700</v>
      </c>
      <c r="G5831" s="39" t="s">
        <v>1626</v>
      </c>
      <c r="J5831" s="17">
        <v>5</v>
      </c>
      <c r="K5831" s="17"/>
      <c r="L5831" s="7">
        <f t="shared" si="2492"/>
        <v>5</v>
      </c>
      <c r="M5831" s="8">
        <v>1</v>
      </c>
      <c r="N5831" s="8">
        <f t="shared" si="2493"/>
        <v>1</v>
      </c>
      <c r="O5831" s="11" t="s">
        <v>1702</v>
      </c>
      <c r="P5831" s="16" t="str">
        <f t="shared" si="2494"/>
        <v>10-May-1902</v>
      </c>
      <c r="R5831" s="16" t="str">
        <f t="shared" si="2495"/>
        <v>x</v>
      </c>
      <c r="S5831" s="16" t="str">
        <f t="shared" si="2495"/>
        <v>x</v>
      </c>
      <c r="U5831" s="46" t="str">
        <f t="shared" si="2496"/>
        <v/>
      </c>
      <c r="V5831" s="46">
        <f t="shared" si="2496"/>
        <v>5</v>
      </c>
      <c r="W5831" s="46" t="str">
        <f t="shared" si="2496"/>
        <v/>
      </c>
      <c r="X5831" s="46" t="str">
        <f t="shared" si="2496"/>
        <v/>
      </c>
    </row>
    <row r="5832" spans="2:24" x14ac:dyDescent="0.25">
      <c r="B5832" s="11" t="str">
        <f t="shared" si="2491"/>
        <v>STPA-20SEP1902</v>
      </c>
      <c r="C5832" s="11" t="s">
        <v>3070</v>
      </c>
      <c r="D5832" s="11" t="s">
        <v>2224</v>
      </c>
      <c r="E5832" s="39" t="s">
        <v>1628</v>
      </c>
      <c r="F5832" s="11" t="s">
        <v>1700</v>
      </c>
      <c r="G5832" s="39" t="s">
        <v>1378</v>
      </c>
      <c r="J5832" s="17">
        <v>6</v>
      </c>
      <c r="K5832" s="17"/>
      <c r="L5832" s="7">
        <f t="shared" si="2492"/>
        <v>6</v>
      </c>
      <c r="M5832" s="8">
        <v>1</v>
      </c>
      <c r="N5832" s="8">
        <f t="shared" si="2493"/>
        <v>1</v>
      </c>
      <c r="O5832" s="11" t="s">
        <v>1702</v>
      </c>
      <c r="P5832" s="16" t="str">
        <f t="shared" si="2494"/>
        <v>20-Sep-1902</v>
      </c>
      <c r="R5832" s="16" t="str">
        <f t="shared" si="2495"/>
        <v>x</v>
      </c>
      <c r="S5832" s="16" t="str">
        <f t="shared" si="2495"/>
        <v>x</v>
      </c>
      <c r="U5832" s="46" t="str">
        <f t="shared" ref="U5832:X5833" si="2497">IF($O5832=U$5,$L5832,"")</f>
        <v/>
      </c>
      <c r="V5832" s="46">
        <f t="shared" si="2497"/>
        <v>6</v>
      </c>
      <c r="W5832" s="46" t="str">
        <f t="shared" si="2497"/>
        <v/>
      </c>
      <c r="X5832" s="46" t="str">
        <f t="shared" si="2497"/>
        <v/>
      </c>
    </row>
    <row r="5833" spans="2:24" x14ac:dyDescent="0.25">
      <c r="B5833" s="11" t="str">
        <f t="shared" si="2491"/>
        <v>STPA-27JUN1903</v>
      </c>
      <c r="C5833" s="11" t="s">
        <v>3070</v>
      </c>
      <c r="D5833" s="11" t="s">
        <v>3619</v>
      </c>
      <c r="E5833" s="39" t="s">
        <v>1393</v>
      </c>
      <c r="F5833" s="11" t="s">
        <v>1700</v>
      </c>
      <c r="G5833" s="39" t="s">
        <v>1386</v>
      </c>
      <c r="H5833" s="7">
        <v>0</v>
      </c>
      <c r="I5833" s="7">
        <f>5+2</f>
        <v>7</v>
      </c>
      <c r="J5833" s="17">
        <v>2</v>
      </c>
      <c r="K5833" s="17"/>
      <c r="L5833" s="7">
        <f t="shared" si="2492"/>
        <v>9</v>
      </c>
      <c r="M5833" s="8">
        <v>1</v>
      </c>
      <c r="N5833" s="8">
        <f t="shared" si="2493"/>
        <v>1</v>
      </c>
      <c r="O5833" s="11" t="s">
        <v>1702</v>
      </c>
      <c r="P5833" s="16" t="str">
        <f t="shared" si="2494"/>
        <v>27-Jun-1903</v>
      </c>
      <c r="R5833" s="16" t="str">
        <f t="shared" si="2495"/>
        <v>x</v>
      </c>
      <c r="S5833" s="16" t="str">
        <f t="shared" si="2495"/>
        <v>x</v>
      </c>
      <c r="U5833" s="46" t="str">
        <f t="shared" si="2497"/>
        <v/>
      </c>
      <c r="V5833" s="46">
        <f t="shared" si="2497"/>
        <v>9</v>
      </c>
      <c r="W5833" s="46" t="str">
        <f t="shared" si="2497"/>
        <v/>
      </c>
      <c r="X5833" s="46" t="str">
        <f t="shared" si="2497"/>
        <v/>
      </c>
    </row>
    <row r="5834" spans="2:24" x14ac:dyDescent="0.25">
      <c r="B5834" s="11" t="str">
        <f>CONCATENATE("STPA","-",LEFT(P5834,2),UPPER(MID(P5834,4,3)),RIGHT(P5834,4))</f>
        <v>STPA-20DEC1903</v>
      </c>
      <c r="C5834" s="11" t="s">
        <v>3070</v>
      </c>
      <c r="D5834" s="11" t="s">
        <v>3619</v>
      </c>
      <c r="E5834" s="39" t="s">
        <v>758</v>
      </c>
      <c r="F5834" s="11" t="s">
        <v>1700</v>
      </c>
      <c r="G5834" s="39" t="s">
        <v>3568</v>
      </c>
      <c r="H5834" s="7">
        <v>0</v>
      </c>
      <c r="I5834" s="7">
        <v>2</v>
      </c>
      <c r="J5834" s="17">
        <v>12</v>
      </c>
      <c r="K5834" s="17"/>
      <c r="L5834" s="7">
        <f>SUM(H5834:K5834)</f>
        <v>14</v>
      </c>
      <c r="M5834" s="8">
        <v>1</v>
      </c>
      <c r="N5834" s="8">
        <f>IF(L5834&gt;0,1,"")</f>
        <v>1</v>
      </c>
      <c r="O5834" s="11" t="s">
        <v>1702</v>
      </c>
      <c r="P5834" s="16" t="str">
        <f>IF(LEN(G5834)=10,CONCATENATE("0",G5834),G5834)</f>
        <v>20-Dec-1903</v>
      </c>
      <c r="R5834" s="16" t="str">
        <f t="shared" si="2495"/>
        <v>x</v>
      </c>
      <c r="S5834" s="16" t="str">
        <f t="shared" si="2495"/>
        <v>x</v>
      </c>
      <c r="U5834" s="46" t="str">
        <f t="shared" ref="U5834:X5835" si="2498">IF($O5834=U$5,$L5834,"")</f>
        <v/>
      </c>
      <c r="V5834" s="46">
        <f t="shared" si="2498"/>
        <v>14</v>
      </c>
      <c r="W5834" s="46" t="str">
        <f t="shared" si="2498"/>
        <v/>
      </c>
      <c r="X5834" s="46" t="str">
        <f t="shared" si="2498"/>
        <v/>
      </c>
    </row>
    <row r="5835" spans="2:24" x14ac:dyDescent="0.25">
      <c r="B5835" s="11" t="str">
        <f>CONCATENATE("STPA","-",LEFT(P5835,2),UPPER(MID(P5835,4,3)),RIGHT(P5835,4))</f>
        <v>STPA-17JAN1904</v>
      </c>
      <c r="C5835" s="11" t="s">
        <v>3070</v>
      </c>
      <c r="D5835" s="11" t="s">
        <v>2224</v>
      </c>
      <c r="E5835" s="39" t="s">
        <v>765</v>
      </c>
      <c r="F5835" s="11" t="s">
        <v>1700</v>
      </c>
      <c r="G5835" s="39" t="s">
        <v>3448</v>
      </c>
      <c r="H5835" s="7">
        <v>0</v>
      </c>
      <c r="I5835" s="7">
        <v>0</v>
      </c>
      <c r="J5835" s="17">
        <v>7</v>
      </c>
      <c r="K5835" s="17"/>
      <c r="L5835" s="7">
        <f>SUM(H5835:K5835)</f>
        <v>7</v>
      </c>
      <c r="M5835" s="8">
        <v>1</v>
      </c>
      <c r="N5835" s="8">
        <f>IF(L5835&gt;0,1,"")</f>
        <v>1</v>
      </c>
      <c r="O5835" s="11" t="s">
        <v>1702</v>
      </c>
      <c r="P5835" s="16" t="str">
        <f>IF(LEN(G5835)=10,CONCATENATE("0",G5835),G5835)</f>
        <v>17-Jan-1904</v>
      </c>
      <c r="R5835" s="16" t="str">
        <f t="shared" si="2495"/>
        <v>x</v>
      </c>
      <c r="S5835" s="16" t="str">
        <f t="shared" si="2495"/>
        <v>x</v>
      </c>
      <c r="U5835" s="46" t="str">
        <f t="shared" si="2498"/>
        <v/>
      </c>
      <c r="V5835" s="46">
        <f t="shared" si="2498"/>
        <v>7</v>
      </c>
      <c r="W5835" s="46" t="str">
        <f t="shared" si="2498"/>
        <v/>
      </c>
      <c r="X5835" s="46" t="str">
        <f t="shared" si="2498"/>
        <v/>
      </c>
    </row>
    <row r="5836" spans="2:24" x14ac:dyDescent="0.25">
      <c r="B5836" s="11" t="str">
        <f t="shared" si="2491"/>
        <v>STPA-27AUG1905</v>
      </c>
      <c r="C5836" s="11" t="s">
        <v>3070</v>
      </c>
      <c r="D5836" s="11" t="s">
        <v>2224</v>
      </c>
      <c r="E5836" s="39" t="s">
        <v>1781</v>
      </c>
      <c r="F5836" s="11" t="s">
        <v>1700</v>
      </c>
      <c r="G5836" s="39" t="s">
        <v>4158</v>
      </c>
      <c r="H5836" s="7">
        <v>0</v>
      </c>
      <c r="I5836" s="7">
        <v>0</v>
      </c>
      <c r="J5836" s="17">
        <v>4</v>
      </c>
      <c r="K5836" s="17"/>
      <c r="L5836" s="7">
        <f t="shared" si="2492"/>
        <v>4</v>
      </c>
      <c r="M5836" s="8">
        <v>1</v>
      </c>
      <c r="N5836" s="8">
        <f t="shared" si="2493"/>
        <v>1</v>
      </c>
      <c r="O5836" s="11" t="s">
        <v>1702</v>
      </c>
      <c r="P5836" s="16" t="str">
        <f t="shared" si="2494"/>
        <v>27-Aug-1905</v>
      </c>
      <c r="R5836" s="16" t="str">
        <f t="shared" si="2495"/>
        <v>x</v>
      </c>
      <c r="S5836" s="16" t="str">
        <f t="shared" si="2495"/>
        <v>x</v>
      </c>
      <c r="U5836" s="46" t="str">
        <f t="shared" ref="U5836:X5838" si="2499">IF($O5836=U$5,$L5836,"")</f>
        <v/>
      </c>
      <c r="V5836" s="46">
        <f t="shared" si="2499"/>
        <v>4</v>
      </c>
      <c r="W5836" s="46" t="str">
        <f t="shared" si="2499"/>
        <v/>
      </c>
      <c r="X5836" s="46" t="str">
        <f t="shared" si="2499"/>
        <v/>
      </c>
    </row>
    <row r="5837" spans="2:24" x14ac:dyDescent="0.25">
      <c r="B5837" s="11" t="str">
        <f t="shared" si="2491"/>
        <v>STPA-16APR1906</v>
      </c>
      <c r="C5837" s="11" t="s">
        <v>3070</v>
      </c>
      <c r="D5837" s="11" t="s">
        <v>2224</v>
      </c>
      <c r="E5837" s="39" t="s">
        <v>343</v>
      </c>
      <c r="F5837" s="11" t="s">
        <v>1700</v>
      </c>
      <c r="G5837" s="39" t="s">
        <v>3120</v>
      </c>
      <c r="H5837" s="7">
        <v>0</v>
      </c>
      <c r="I5837" s="7">
        <v>0</v>
      </c>
      <c r="J5837" s="17">
        <v>3</v>
      </c>
      <c r="K5837" s="17"/>
      <c r="L5837" s="7">
        <f t="shared" si="2492"/>
        <v>3</v>
      </c>
      <c r="M5837" s="8">
        <v>1</v>
      </c>
      <c r="N5837" s="8">
        <f t="shared" si="2493"/>
        <v>1</v>
      </c>
      <c r="O5837" s="11" t="s">
        <v>1702</v>
      </c>
      <c r="P5837" s="16" t="str">
        <f t="shared" si="2494"/>
        <v>16-Apr-1906</v>
      </c>
      <c r="R5837" s="16" t="str">
        <f t="shared" ref="R5837:S5862" si="2500">IF($L5837&gt;0,"x","")</f>
        <v>x</v>
      </c>
      <c r="S5837" s="16" t="str">
        <f t="shared" si="2500"/>
        <v>x</v>
      </c>
      <c r="U5837" s="46" t="str">
        <f t="shared" si="2499"/>
        <v/>
      </c>
      <c r="V5837" s="46">
        <f t="shared" si="2499"/>
        <v>3</v>
      </c>
      <c r="W5837" s="46" t="str">
        <f t="shared" si="2499"/>
        <v/>
      </c>
      <c r="X5837" s="46" t="str">
        <f t="shared" si="2499"/>
        <v/>
      </c>
    </row>
    <row r="5838" spans="2:24" x14ac:dyDescent="0.25">
      <c r="B5838" s="11" t="str">
        <f t="shared" si="2491"/>
        <v>STPA-29DEC1906</v>
      </c>
      <c r="C5838" s="11" t="s">
        <v>3070</v>
      </c>
      <c r="D5838" s="11" t="s">
        <v>2224</v>
      </c>
      <c r="E5838" s="39" t="s">
        <v>212</v>
      </c>
      <c r="F5838" s="11" t="s">
        <v>1700</v>
      </c>
      <c r="G5838" s="39" t="s">
        <v>823</v>
      </c>
      <c r="H5838" s="7">
        <v>0</v>
      </c>
      <c r="I5838" s="7">
        <v>0</v>
      </c>
      <c r="J5838" s="17">
        <v>7</v>
      </c>
      <c r="K5838" s="17"/>
      <c r="L5838" s="7">
        <f t="shared" si="2492"/>
        <v>7</v>
      </c>
      <c r="M5838" s="8">
        <v>1</v>
      </c>
      <c r="N5838" s="8">
        <f t="shared" si="2493"/>
        <v>1</v>
      </c>
      <c r="O5838" s="11" t="s">
        <v>1702</v>
      </c>
      <c r="P5838" s="16" t="str">
        <f t="shared" si="2494"/>
        <v>29-Dec-1906</v>
      </c>
      <c r="R5838" s="16" t="str">
        <f t="shared" si="2500"/>
        <v>x</v>
      </c>
      <c r="S5838" s="16" t="str">
        <f t="shared" si="2500"/>
        <v>x</v>
      </c>
      <c r="U5838" s="46" t="str">
        <f t="shared" si="2499"/>
        <v/>
      </c>
      <c r="V5838" s="46">
        <f t="shared" si="2499"/>
        <v>7</v>
      </c>
      <c r="W5838" s="46" t="str">
        <f t="shared" si="2499"/>
        <v/>
      </c>
      <c r="X5838" s="46" t="str">
        <f t="shared" si="2499"/>
        <v/>
      </c>
    </row>
    <row r="5839" spans="2:24" x14ac:dyDescent="0.25">
      <c r="B5839" s="11" t="str">
        <f>CONCATENATE("STPA","-",LEFT(P5839,2),UPPER(MID(P5839,4,3)),RIGHT(P5839,4))</f>
        <v>STPA-09FEB1908</v>
      </c>
      <c r="C5839" s="11" t="s">
        <v>3070</v>
      </c>
      <c r="D5839" s="11" t="s">
        <v>2224</v>
      </c>
      <c r="E5839" s="39" t="s">
        <v>2303</v>
      </c>
      <c r="F5839" s="11" t="s">
        <v>1700</v>
      </c>
      <c r="G5839" s="39" t="s">
        <v>5392</v>
      </c>
      <c r="H5839" s="7">
        <v>2</v>
      </c>
      <c r="I5839" s="7">
        <v>0</v>
      </c>
      <c r="J5839" s="17">
        <v>22</v>
      </c>
      <c r="K5839" s="17"/>
      <c r="L5839" s="7">
        <f>SUM(H5839:K5839)</f>
        <v>24</v>
      </c>
      <c r="M5839" s="8">
        <v>1</v>
      </c>
      <c r="N5839" s="8">
        <f>IF(L5839&gt;0,1,"")</f>
        <v>1</v>
      </c>
      <c r="O5839" s="11" t="s">
        <v>1702</v>
      </c>
      <c r="P5839" s="16" t="str">
        <f>IF(LEN(G5839)=10,CONCATENATE("0",G5839),G5839)</f>
        <v>09-Feb-1908</v>
      </c>
      <c r="R5839" s="16" t="str">
        <f t="shared" si="2500"/>
        <v>x</v>
      </c>
      <c r="S5839" s="16" t="str">
        <f t="shared" si="2500"/>
        <v>x</v>
      </c>
      <c r="U5839" s="46" t="str">
        <f t="shared" ref="U5839:X5840" si="2501">IF($O5839=U$5,$L5839,"")</f>
        <v/>
      </c>
      <c r="V5839" s="46">
        <f t="shared" si="2501"/>
        <v>24</v>
      </c>
      <c r="W5839" s="46" t="str">
        <f t="shared" si="2501"/>
        <v/>
      </c>
      <c r="X5839" s="46" t="str">
        <f t="shared" si="2501"/>
        <v/>
      </c>
    </row>
    <row r="5840" spans="2:24" x14ac:dyDescent="0.25">
      <c r="B5840" s="11" t="str">
        <f>CONCATENATE("STPA","-",LEFT(P5840,2),UPPER(MID(P5840,4,3)),RIGHT(P5840,4))</f>
        <v>STPA-08MAR1908</v>
      </c>
      <c r="C5840" s="11" t="s">
        <v>3070</v>
      </c>
      <c r="D5840" s="11" t="s">
        <v>2224</v>
      </c>
      <c r="E5840" s="39" t="s">
        <v>1220</v>
      </c>
      <c r="F5840" s="11" t="s">
        <v>1700</v>
      </c>
      <c r="G5840" s="39" t="s">
        <v>5404</v>
      </c>
      <c r="H5840" s="7">
        <v>0</v>
      </c>
      <c r="I5840" s="7">
        <v>3</v>
      </c>
      <c r="J5840" s="17">
        <v>1</v>
      </c>
      <c r="K5840" s="17"/>
      <c r="L5840" s="7">
        <f>SUM(H5840:K5840)</f>
        <v>4</v>
      </c>
      <c r="M5840" s="8">
        <v>1</v>
      </c>
      <c r="N5840" s="8">
        <f>IF(L5840&gt;0,1,"")</f>
        <v>1</v>
      </c>
      <c r="O5840" s="11" t="s">
        <v>1702</v>
      </c>
      <c r="P5840" s="16" t="str">
        <f>IF(LEN(G5840)=10,CONCATENATE("0",G5840),G5840)</f>
        <v>08-Mar-1908</v>
      </c>
      <c r="R5840" s="16" t="str">
        <f t="shared" si="2500"/>
        <v>x</v>
      </c>
      <c r="S5840" s="16" t="str">
        <f t="shared" si="2500"/>
        <v>x</v>
      </c>
      <c r="U5840" s="46" t="str">
        <f t="shared" si="2501"/>
        <v/>
      </c>
      <c r="V5840" s="46">
        <f t="shared" si="2501"/>
        <v>4</v>
      </c>
      <c r="W5840" s="46" t="str">
        <f t="shared" si="2501"/>
        <v/>
      </c>
      <c r="X5840" s="46" t="str">
        <f t="shared" si="2501"/>
        <v/>
      </c>
    </row>
    <row r="5841" spans="2:24" x14ac:dyDescent="0.25">
      <c r="B5841" s="11" t="str">
        <f t="shared" si="2491"/>
        <v>STPA-27SEP1908</v>
      </c>
      <c r="C5841" s="11" t="s">
        <v>3070</v>
      </c>
      <c r="D5841" s="11" t="s">
        <v>2224</v>
      </c>
      <c r="E5841" s="39" t="s">
        <v>1466</v>
      </c>
      <c r="F5841" s="11" t="s">
        <v>1700</v>
      </c>
      <c r="G5841" s="39" t="s">
        <v>4114</v>
      </c>
      <c r="H5841" s="7">
        <v>0</v>
      </c>
      <c r="I5841" s="7">
        <v>0</v>
      </c>
      <c r="J5841" s="17">
        <v>6</v>
      </c>
      <c r="K5841" s="17"/>
      <c r="L5841" s="7">
        <f t="shared" si="2492"/>
        <v>6</v>
      </c>
      <c r="M5841" s="8">
        <v>1</v>
      </c>
      <c r="N5841" s="8">
        <f t="shared" si="2493"/>
        <v>1</v>
      </c>
      <c r="O5841" s="11" t="s">
        <v>1702</v>
      </c>
      <c r="P5841" s="16" t="str">
        <f t="shared" si="2494"/>
        <v>27-Sep-1908</v>
      </c>
      <c r="R5841" s="16" t="str">
        <f t="shared" si="2500"/>
        <v>x</v>
      </c>
      <c r="S5841" s="16" t="str">
        <f t="shared" si="2500"/>
        <v>x</v>
      </c>
      <c r="U5841" s="46" t="str">
        <f t="shared" ref="U5841:X5845" si="2502">IF($O5841=U$5,$L5841,"")</f>
        <v/>
      </c>
      <c r="V5841" s="46">
        <f t="shared" si="2502"/>
        <v>6</v>
      </c>
      <c r="W5841" s="46" t="str">
        <f t="shared" si="2502"/>
        <v/>
      </c>
      <c r="X5841" s="46" t="str">
        <f t="shared" si="2502"/>
        <v/>
      </c>
    </row>
    <row r="5842" spans="2:24" x14ac:dyDescent="0.25">
      <c r="B5842" s="11" t="str">
        <f t="shared" ref="B5842:B5857" si="2503">CONCATENATE("STPA","-",LEFT(P5842,2),UPPER(MID(P5842,4,3)),RIGHT(P5842,4))</f>
        <v>STPA-14FEB1909</v>
      </c>
      <c r="C5842" s="11" t="s">
        <v>3070</v>
      </c>
      <c r="D5842" s="11" t="s">
        <v>2224</v>
      </c>
      <c r="E5842" s="39" t="s">
        <v>1235</v>
      </c>
      <c r="F5842" s="11" t="s">
        <v>1700</v>
      </c>
      <c r="G5842" s="39" t="s">
        <v>3835</v>
      </c>
      <c r="H5842" s="7">
        <v>0</v>
      </c>
      <c r="I5842" s="7">
        <v>1</v>
      </c>
      <c r="J5842" s="17">
        <v>15</v>
      </c>
      <c r="K5842" s="17"/>
      <c r="L5842" s="7">
        <f t="shared" ref="L5842:L5857" si="2504">SUM(H5842:K5842)</f>
        <v>16</v>
      </c>
      <c r="M5842" s="8">
        <v>1</v>
      </c>
      <c r="N5842" s="8">
        <f t="shared" ref="N5842:N5857" si="2505">IF(L5842&gt;0,1,"")</f>
        <v>1</v>
      </c>
      <c r="O5842" s="11" t="s">
        <v>1702</v>
      </c>
      <c r="P5842" s="16" t="str">
        <f t="shared" ref="P5842:P5857" si="2506">IF(LEN(G5842)=10,CONCATENATE("0",G5842),G5842)</f>
        <v>14-Feb-1909</v>
      </c>
      <c r="R5842" s="16" t="str">
        <f t="shared" si="2500"/>
        <v>x</v>
      </c>
      <c r="S5842" s="16" t="str">
        <f t="shared" si="2500"/>
        <v>x</v>
      </c>
      <c r="U5842" s="46" t="str">
        <f t="shared" si="2502"/>
        <v/>
      </c>
      <c r="V5842" s="46">
        <f t="shared" si="2502"/>
        <v>16</v>
      </c>
      <c r="W5842" s="46" t="str">
        <f t="shared" si="2502"/>
        <v/>
      </c>
      <c r="X5842" s="46" t="str">
        <f t="shared" si="2502"/>
        <v/>
      </c>
    </row>
    <row r="5843" spans="2:24" x14ac:dyDescent="0.25">
      <c r="B5843" s="11" t="str">
        <f t="shared" si="2503"/>
        <v>STPA-04SEP1909</v>
      </c>
      <c r="C5843" s="11" t="s">
        <v>3070</v>
      </c>
      <c r="D5843" s="11" t="s">
        <v>2224</v>
      </c>
      <c r="E5843" s="39" t="s">
        <v>87</v>
      </c>
      <c r="F5843" s="11" t="s">
        <v>1700</v>
      </c>
      <c r="G5843" s="39" t="s">
        <v>1233</v>
      </c>
      <c r="H5843" s="7">
        <v>0</v>
      </c>
      <c r="I5843" s="7">
        <v>0</v>
      </c>
      <c r="J5843" s="17">
        <v>4</v>
      </c>
      <c r="K5843" s="17"/>
      <c r="L5843" s="7">
        <f t="shared" si="2504"/>
        <v>4</v>
      </c>
      <c r="M5843" s="8">
        <v>1</v>
      </c>
      <c r="N5843" s="8">
        <f t="shared" si="2505"/>
        <v>1</v>
      </c>
      <c r="O5843" s="11" t="s">
        <v>1702</v>
      </c>
      <c r="P5843" s="16" t="str">
        <f t="shared" si="2506"/>
        <v>04-Sep-1909</v>
      </c>
      <c r="R5843" s="16" t="str">
        <f t="shared" si="2500"/>
        <v>x</v>
      </c>
      <c r="S5843" s="16" t="str">
        <f t="shared" si="2500"/>
        <v>x</v>
      </c>
      <c r="U5843" s="46" t="str">
        <f t="shared" si="2502"/>
        <v/>
      </c>
      <c r="V5843" s="46">
        <f t="shared" si="2502"/>
        <v>4</v>
      </c>
      <c r="W5843" s="46" t="str">
        <f t="shared" si="2502"/>
        <v/>
      </c>
      <c r="X5843" s="46" t="str">
        <f t="shared" si="2502"/>
        <v/>
      </c>
    </row>
    <row r="5844" spans="2:24" x14ac:dyDescent="0.25">
      <c r="B5844" s="11" t="str">
        <f t="shared" si="2503"/>
        <v>STPA-02OCT1909</v>
      </c>
      <c r="C5844" s="11" t="s">
        <v>3070</v>
      </c>
      <c r="D5844" s="11" t="s">
        <v>2224</v>
      </c>
      <c r="E5844" s="39" t="s">
        <v>1845</v>
      </c>
      <c r="F5844" s="11" t="s">
        <v>1700</v>
      </c>
      <c r="G5844" s="39" t="s">
        <v>1484</v>
      </c>
      <c r="H5844" s="7">
        <v>0</v>
      </c>
      <c r="I5844" s="7">
        <v>0</v>
      </c>
      <c r="J5844" s="17">
        <v>30</v>
      </c>
      <c r="K5844" s="17"/>
      <c r="L5844" s="7">
        <f t="shared" si="2504"/>
        <v>30</v>
      </c>
      <c r="M5844" s="8">
        <v>1</v>
      </c>
      <c r="N5844" s="8">
        <f t="shared" si="2505"/>
        <v>1</v>
      </c>
      <c r="O5844" s="11" t="s">
        <v>1702</v>
      </c>
      <c r="P5844" s="16" t="str">
        <f t="shared" si="2506"/>
        <v>02-Oct-1909</v>
      </c>
      <c r="R5844" s="16" t="str">
        <f t="shared" si="2500"/>
        <v>x</v>
      </c>
      <c r="S5844" s="16" t="str">
        <f t="shared" si="2500"/>
        <v>x</v>
      </c>
      <c r="U5844" s="46" t="str">
        <f t="shared" si="2502"/>
        <v/>
      </c>
      <c r="V5844" s="46">
        <f t="shared" si="2502"/>
        <v>30</v>
      </c>
      <c r="W5844" s="46" t="str">
        <f t="shared" si="2502"/>
        <v/>
      </c>
      <c r="X5844" s="46" t="str">
        <f t="shared" si="2502"/>
        <v/>
      </c>
    </row>
    <row r="5845" spans="2:24" x14ac:dyDescent="0.25">
      <c r="B5845" s="11" t="str">
        <f t="shared" si="2503"/>
        <v>STPA-24DEC1909</v>
      </c>
      <c r="C5845" s="11" t="s">
        <v>3070</v>
      </c>
      <c r="D5845" s="11" t="s">
        <v>2224</v>
      </c>
      <c r="E5845" s="39" t="s">
        <v>3850</v>
      </c>
      <c r="F5845" s="11" t="s">
        <v>1700</v>
      </c>
      <c r="G5845" s="39" t="s">
        <v>3851</v>
      </c>
      <c r="H5845" s="7">
        <v>0</v>
      </c>
      <c r="I5845" s="7">
        <v>0</v>
      </c>
      <c r="J5845" s="17">
        <v>10</v>
      </c>
      <c r="K5845" s="17"/>
      <c r="L5845" s="7">
        <f t="shared" si="2504"/>
        <v>10</v>
      </c>
      <c r="M5845" s="8">
        <v>1</v>
      </c>
      <c r="N5845" s="8">
        <f t="shared" si="2505"/>
        <v>1</v>
      </c>
      <c r="O5845" s="11" t="s">
        <v>1702</v>
      </c>
      <c r="P5845" s="16" t="str">
        <f t="shared" si="2506"/>
        <v>24-Dec-1909</v>
      </c>
      <c r="R5845" s="16" t="str">
        <f t="shared" si="2500"/>
        <v>x</v>
      </c>
      <c r="S5845" s="16" t="str">
        <f t="shared" si="2500"/>
        <v>x</v>
      </c>
      <c r="U5845" s="46" t="str">
        <f t="shared" si="2502"/>
        <v/>
      </c>
      <c r="V5845" s="46">
        <f t="shared" si="2502"/>
        <v>10</v>
      </c>
      <c r="W5845" s="46" t="str">
        <f t="shared" si="2502"/>
        <v/>
      </c>
      <c r="X5845" s="46" t="str">
        <f t="shared" si="2502"/>
        <v/>
      </c>
    </row>
    <row r="5846" spans="2:24" x14ac:dyDescent="0.25">
      <c r="B5846" s="11" t="str">
        <f t="shared" ref="B5846:B5851" si="2507">CONCATENATE("STPA","-",LEFT(P5846,2),UPPER(MID(P5846,4,3)),RIGHT(P5846,4))</f>
        <v>STPA-14AUG1910</v>
      </c>
      <c r="C5846" s="11" t="s">
        <v>3070</v>
      </c>
      <c r="D5846" s="11" t="s">
        <v>2224</v>
      </c>
      <c r="E5846" s="39" t="s">
        <v>1252</v>
      </c>
      <c r="F5846" s="11" t="s">
        <v>1700</v>
      </c>
      <c r="G5846" s="39" t="s">
        <v>4931</v>
      </c>
      <c r="H5846" s="7">
        <v>0</v>
      </c>
      <c r="I5846" s="7">
        <v>0</v>
      </c>
      <c r="J5846" s="17">
        <v>3</v>
      </c>
      <c r="K5846" s="17"/>
      <c r="L5846" s="7">
        <f t="shared" ref="L5846:L5851" si="2508">SUM(H5846:K5846)</f>
        <v>3</v>
      </c>
      <c r="M5846" s="8">
        <v>1</v>
      </c>
      <c r="N5846" s="8">
        <f t="shared" ref="N5846:N5851" si="2509">IF(L5846&gt;0,1,"")</f>
        <v>1</v>
      </c>
      <c r="O5846" s="11" t="s">
        <v>1702</v>
      </c>
      <c r="P5846" s="16" t="str">
        <f t="shared" ref="P5846:P5851" si="2510">IF(LEN(G5846)=10,CONCATENATE("0",G5846),G5846)</f>
        <v>14-Aug-1910</v>
      </c>
      <c r="R5846" s="16" t="str">
        <f t="shared" si="2500"/>
        <v>x</v>
      </c>
      <c r="S5846" s="16" t="str">
        <f t="shared" si="2500"/>
        <v>x</v>
      </c>
      <c r="U5846" s="46" t="str">
        <f t="shared" ref="U5846:X5851" si="2511">IF($O5846=U$5,$L5846,"")</f>
        <v/>
      </c>
      <c r="V5846" s="46">
        <f t="shared" si="2511"/>
        <v>3</v>
      </c>
      <c r="W5846" s="46" t="str">
        <f t="shared" si="2511"/>
        <v/>
      </c>
      <c r="X5846" s="46" t="str">
        <f t="shared" si="2511"/>
        <v/>
      </c>
    </row>
    <row r="5847" spans="2:24" x14ac:dyDescent="0.25">
      <c r="B5847" s="11" t="str">
        <f t="shared" si="2507"/>
        <v>STPA-10SEP1910</v>
      </c>
      <c r="C5847" s="11" t="s">
        <v>3070</v>
      </c>
      <c r="D5847" s="11" t="s">
        <v>2224</v>
      </c>
      <c r="E5847" s="39" t="s">
        <v>1502</v>
      </c>
      <c r="F5847" s="11" t="s">
        <v>1700</v>
      </c>
      <c r="G5847" s="39" t="s">
        <v>1492</v>
      </c>
      <c r="H5847" s="7">
        <v>0</v>
      </c>
      <c r="I5847" s="7">
        <v>0</v>
      </c>
      <c r="J5847" s="17">
        <v>4</v>
      </c>
      <c r="K5847" s="17"/>
      <c r="L5847" s="7">
        <f t="shared" si="2508"/>
        <v>4</v>
      </c>
      <c r="M5847" s="8">
        <v>1</v>
      </c>
      <c r="N5847" s="8">
        <f t="shared" si="2509"/>
        <v>1</v>
      </c>
      <c r="O5847" s="11" t="s">
        <v>1702</v>
      </c>
      <c r="P5847" s="16" t="str">
        <f t="shared" si="2510"/>
        <v>10-Sep-1910</v>
      </c>
      <c r="R5847" s="16" t="str">
        <f t="shared" si="2500"/>
        <v>x</v>
      </c>
      <c r="S5847" s="16" t="str">
        <f t="shared" si="2500"/>
        <v>x</v>
      </c>
      <c r="U5847" s="46" t="str">
        <f t="shared" si="2511"/>
        <v/>
      </c>
      <c r="V5847" s="46">
        <f t="shared" si="2511"/>
        <v>4</v>
      </c>
      <c r="W5847" s="46" t="str">
        <f t="shared" si="2511"/>
        <v/>
      </c>
      <c r="X5847" s="46" t="str">
        <f t="shared" si="2511"/>
        <v/>
      </c>
    </row>
    <row r="5848" spans="2:24" x14ac:dyDescent="0.25">
      <c r="B5848" s="11" t="str">
        <f t="shared" si="2507"/>
        <v>STPA-05NOV1910</v>
      </c>
      <c r="C5848" s="11" t="s">
        <v>3070</v>
      </c>
      <c r="D5848" s="11" t="s">
        <v>2224</v>
      </c>
      <c r="E5848" s="39" t="s">
        <v>1246</v>
      </c>
      <c r="F5848" s="11" t="s">
        <v>1700</v>
      </c>
      <c r="G5848" s="39" t="s">
        <v>1494</v>
      </c>
      <c r="H5848" s="7">
        <v>0</v>
      </c>
      <c r="I5848" s="7">
        <v>1</v>
      </c>
      <c r="J5848" s="17">
        <v>5</v>
      </c>
      <c r="K5848" s="17"/>
      <c r="L5848" s="7">
        <f t="shared" si="2508"/>
        <v>6</v>
      </c>
      <c r="M5848" s="8">
        <v>1</v>
      </c>
      <c r="N5848" s="8">
        <f t="shared" si="2509"/>
        <v>1</v>
      </c>
      <c r="O5848" s="11" t="s">
        <v>1702</v>
      </c>
      <c r="P5848" s="16" t="str">
        <f t="shared" si="2510"/>
        <v>05-Nov-1910</v>
      </c>
      <c r="R5848" s="16" t="str">
        <f t="shared" si="2500"/>
        <v>x</v>
      </c>
      <c r="S5848" s="16" t="str">
        <f t="shared" si="2500"/>
        <v>x</v>
      </c>
      <c r="U5848" s="46" t="str">
        <f t="shared" si="2511"/>
        <v/>
      </c>
      <c r="V5848" s="46">
        <f t="shared" si="2511"/>
        <v>6</v>
      </c>
      <c r="W5848" s="46" t="str">
        <f t="shared" si="2511"/>
        <v/>
      </c>
      <c r="X5848" s="46" t="str">
        <f t="shared" si="2511"/>
        <v/>
      </c>
    </row>
    <row r="5849" spans="2:24" x14ac:dyDescent="0.25">
      <c r="B5849" s="11" t="str">
        <f t="shared" si="2507"/>
        <v>STPA-23JUL1911</v>
      </c>
      <c r="C5849" s="11" t="s">
        <v>3070</v>
      </c>
      <c r="D5849" s="11" t="s">
        <v>2224</v>
      </c>
      <c r="E5849" s="39" t="s">
        <v>2334</v>
      </c>
      <c r="F5849" s="11" t="s">
        <v>1700</v>
      </c>
      <c r="G5849" s="39" t="s">
        <v>5194</v>
      </c>
      <c r="H5849" s="7">
        <v>0</v>
      </c>
      <c r="I5849" s="7">
        <v>0</v>
      </c>
      <c r="J5849" s="17">
        <v>3</v>
      </c>
      <c r="K5849" s="17"/>
      <c r="L5849" s="7">
        <f t="shared" si="2508"/>
        <v>3</v>
      </c>
      <c r="M5849" s="8">
        <v>1</v>
      </c>
      <c r="N5849" s="8">
        <f t="shared" si="2509"/>
        <v>1</v>
      </c>
      <c r="O5849" s="11" t="s">
        <v>1702</v>
      </c>
      <c r="P5849" s="16" t="str">
        <f t="shared" si="2510"/>
        <v>23-Jul-1911</v>
      </c>
      <c r="R5849" s="16" t="str">
        <f t="shared" si="2500"/>
        <v>x</v>
      </c>
      <c r="S5849" s="16" t="str">
        <f t="shared" si="2500"/>
        <v>x</v>
      </c>
      <c r="U5849" s="46" t="str">
        <f t="shared" si="2511"/>
        <v/>
      </c>
      <c r="V5849" s="46">
        <f t="shared" si="2511"/>
        <v>3</v>
      </c>
      <c r="W5849" s="46" t="str">
        <f t="shared" si="2511"/>
        <v/>
      </c>
      <c r="X5849" s="46" t="str">
        <f t="shared" si="2511"/>
        <v/>
      </c>
    </row>
    <row r="5850" spans="2:24" x14ac:dyDescent="0.25">
      <c r="B5850" s="11" t="str">
        <f t="shared" si="2507"/>
        <v>STPA-16SEP1911</v>
      </c>
      <c r="C5850" s="11" t="s">
        <v>3070</v>
      </c>
      <c r="D5850" s="11" t="s">
        <v>2224</v>
      </c>
      <c r="E5850" s="39" t="s">
        <v>1509</v>
      </c>
      <c r="F5850" s="11" t="s">
        <v>1700</v>
      </c>
      <c r="G5850" s="39" t="s">
        <v>1271</v>
      </c>
      <c r="H5850" s="7">
        <v>0</v>
      </c>
      <c r="I5850" s="7">
        <v>3</v>
      </c>
      <c r="J5850" s="17">
        <v>1</v>
      </c>
      <c r="K5850" s="17"/>
      <c r="L5850" s="7">
        <f t="shared" si="2508"/>
        <v>4</v>
      </c>
      <c r="M5850" s="8">
        <v>1</v>
      </c>
      <c r="N5850" s="8">
        <f t="shared" si="2509"/>
        <v>1</v>
      </c>
      <c r="O5850" s="11" t="s">
        <v>1702</v>
      </c>
      <c r="P5850" s="16" t="str">
        <f t="shared" si="2510"/>
        <v>16-Sep-1911</v>
      </c>
      <c r="R5850" s="16" t="str">
        <f t="shared" si="2500"/>
        <v>x</v>
      </c>
      <c r="S5850" s="16" t="str">
        <f t="shared" si="2500"/>
        <v>x</v>
      </c>
      <c r="U5850" s="46" t="str">
        <f t="shared" si="2511"/>
        <v/>
      </c>
      <c r="V5850" s="46">
        <f t="shared" si="2511"/>
        <v>4</v>
      </c>
      <c r="W5850" s="46" t="str">
        <f t="shared" si="2511"/>
        <v/>
      </c>
      <c r="X5850" s="46" t="str">
        <f t="shared" si="2511"/>
        <v/>
      </c>
    </row>
    <row r="5851" spans="2:24" x14ac:dyDescent="0.25">
      <c r="B5851" s="11" t="str">
        <f t="shared" si="2507"/>
        <v>STPA-19OCT1911</v>
      </c>
      <c r="C5851" s="11" t="s">
        <v>3070</v>
      </c>
      <c r="D5851" s="11" t="s">
        <v>2224</v>
      </c>
      <c r="E5851" s="39" t="s">
        <v>5114</v>
      </c>
      <c r="F5851" s="11" t="s">
        <v>1700</v>
      </c>
      <c r="G5851" s="39" t="s">
        <v>5758</v>
      </c>
      <c r="H5851" s="7">
        <v>0</v>
      </c>
      <c r="I5851" s="7">
        <v>1</v>
      </c>
      <c r="J5851" s="17">
        <v>30</v>
      </c>
      <c r="K5851" s="17"/>
      <c r="L5851" s="7">
        <f t="shared" si="2508"/>
        <v>31</v>
      </c>
      <c r="M5851" s="8">
        <v>1</v>
      </c>
      <c r="N5851" s="8">
        <f t="shared" si="2509"/>
        <v>1</v>
      </c>
      <c r="O5851" s="11" t="s">
        <v>1702</v>
      </c>
      <c r="P5851" s="16" t="str">
        <f t="shared" si="2510"/>
        <v>19-Oct-1911</v>
      </c>
      <c r="R5851" s="16" t="str">
        <f t="shared" ref="R5851:S5853" si="2512">IF($L5851&gt;0,"x","")</f>
        <v>x</v>
      </c>
      <c r="S5851" s="16" t="str">
        <f t="shared" si="2512"/>
        <v>x</v>
      </c>
      <c r="U5851" s="46" t="str">
        <f t="shared" si="2511"/>
        <v/>
      </c>
      <c r="V5851" s="46">
        <f t="shared" si="2511"/>
        <v>31</v>
      </c>
      <c r="W5851" s="46" t="str">
        <f t="shared" si="2511"/>
        <v/>
      </c>
      <c r="X5851" s="46" t="str">
        <f t="shared" si="2511"/>
        <v/>
      </c>
    </row>
    <row r="5852" spans="2:24" x14ac:dyDescent="0.25">
      <c r="B5852" s="11" t="str">
        <f t="shared" si="2503"/>
        <v>STPA-21JUL1912</v>
      </c>
      <c r="C5852" s="11" t="s">
        <v>3070</v>
      </c>
      <c r="D5852" s="11" t="s">
        <v>3619</v>
      </c>
      <c r="E5852" s="39" t="s">
        <v>3712</v>
      </c>
      <c r="F5852" s="11" t="s">
        <v>1700</v>
      </c>
      <c r="G5852" s="39" t="s">
        <v>3711</v>
      </c>
      <c r="H5852" s="7">
        <v>0</v>
      </c>
      <c r="I5852" s="7">
        <f>0+2</f>
        <v>2</v>
      </c>
      <c r="J5852" s="17">
        <v>38</v>
      </c>
      <c r="K5852" s="17"/>
      <c r="L5852" s="7">
        <f t="shared" si="2504"/>
        <v>40</v>
      </c>
      <c r="M5852" s="8">
        <v>1</v>
      </c>
      <c r="N5852" s="8">
        <f t="shared" si="2505"/>
        <v>1</v>
      </c>
      <c r="O5852" s="11" t="s">
        <v>1702</v>
      </c>
      <c r="P5852" s="16" t="str">
        <f t="shared" si="2506"/>
        <v>21-Jul-1912</v>
      </c>
      <c r="R5852" s="16" t="str">
        <f t="shared" si="2512"/>
        <v>x</v>
      </c>
      <c r="S5852" s="16" t="str">
        <f t="shared" si="2512"/>
        <v>x</v>
      </c>
      <c r="U5852" s="46" t="str">
        <f t="shared" ref="U5852:X5854" si="2513">IF($O5852=U$5,$L5852,"")</f>
        <v/>
      </c>
      <c r="V5852" s="46">
        <f t="shared" si="2513"/>
        <v>40</v>
      </c>
      <c r="W5852" s="46" t="str">
        <f t="shared" si="2513"/>
        <v/>
      </c>
      <c r="X5852" s="46" t="str">
        <f t="shared" si="2513"/>
        <v/>
      </c>
    </row>
    <row r="5853" spans="2:24" x14ac:dyDescent="0.25">
      <c r="B5853" s="11" t="str">
        <f>CONCATENATE("STPA","-",LEFT(P5853,2),UPPER(MID(P5853,4,3)),RIGHT(P5853,4))</f>
        <v>STPA-15SEP1912</v>
      </c>
      <c r="C5853" s="11" t="s">
        <v>3070</v>
      </c>
      <c r="D5853" s="11" t="s">
        <v>2224</v>
      </c>
      <c r="E5853" s="39" t="s">
        <v>1001</v>
      </c>
      <c r="F5853" s="11" t="s">
        <v>1700</v>
      </c>
      <c r="G5853" s="39" t="s">
        <v>3714</v>
      </c>
      <c r="H5853" s="7">
        <v>0</v>
      </c>
      <c r="I5853" s="7">
        <v>0</v>
      </c>
      <c r="J5853" s="17">
        <v>4</v>
      </c>
      <c r="K5853" s="17"/>
      <c r="L5853" s="7">
        <f>SUM(H5853:K5853)</f>
        <v>4</v>
      </c>
      <c r="M5853" s="8">
        <v>1</v>
      </c>
      <c r="N5853" s="8">
        <f>IF(L5853&gt;0,1,"")</f>
        <v>1</v>
      </c>
      <c r="O5853" s="11" t="s">
        <v>1702</v>
      </c>
      <c r="P5853" s="16" t="str">
        <f>IF(LEN(G5853)=10,CONCATENATE("0",G5853),G5853)</f>
        <v>15-Sep-1912</v>
      </c>
      <c r="R5853" s="16" t="str">
        <f t="shared" si="2512"/>
        <v>x</v>
      </c>
      <c r="S5853" s="16" t="str">
        <f t="shared" si="2512"/>
        <v>x</v>
      </c>
      <c r="U5853" s="46" t="str">
        <f t="shared" si="2513"/>
        <v/>
      </c>
      <c r="V5853" s="46">
        <f t="shared" si="2513"/>
        <v>4</v>
      </c>
      <c r="W5853" s="46" t="str">
        <f t="shared" si="2513"/>
        <v/>
      </c>
      <c r="X5853" s="46" t="str">
        <f t="shared" si="2513"/>
        <v/>
      </c>
    </row>
    <row r="5854" spans="2:24" x14ac:dyDescent="0.25">
      <c r="B5854" s="11" t="str">
        <f t="shared" si="2503"/>
        <v>STPA-17OCT1912</v>
      </c>
      <c r="C5854" s="11" t="s">
        <v>3070</v>
      </c>
      <c r="D5854" s="11" t="s">
        <v>2224</v>
      </c>
      <c r="E5854" s="39" t="s">
        <v>3704</v>
      </c>
      <c r="F5854" s="11" t="s">
        <v>1700</v>
      </c>
      <c r="G5854" s="39" t="s">
        <v>3647</v>
      </c>
      <c r="H5854" s="7">
        <v>0</v>
      </c>
      <c r="I5854" s="7">
        <v>0</v>
      </c>
      <c r="J5854" s="17">
        <v>2</v>
      </c>
      <c r="K5854" s="17"/>
      <c r="L5854" s="7">
        <f t="shared" si="2504"/>
        <v>2</v>
      </c>
      <c r="M5854" s="8">
        <v>1</v>
      </c>
      <c r="N5854" s="8">
        <f t="shared" si="2505"/>
        <v>1</v>
      </c>
      <c r="O5854" s="11" t="s">
        <v>1702</v>
      </c>
      <c r="P5854" s="16" t="str">
        <f t="shared" si="2506"/>
        <v>17-Oct-1912</v>
      </c>
      <c r="R5854" s="16" t="str">
        <f t="shared" si="2500"/>
        <v>x</v>
      </c>
      <c r="S5854" s="16" t="str">
        <f t="shared" si="2500"/>
        <v>x</v>
      </c>
      <c r="U5854" s="46" t="str">
        <f t="shared" si="2513"/>
        <v/>
      </c>
      <c r="V5854" s="46">
        <f t="shared" si="2513"/>
        <v>2</v>
      </c>
      <c r="W5854" s="46" t="str">
        <f t="shared" si="2513"/>
        <v/>
      </c>
      <c r="X5854" s="46" t="str">
        <f t="shared" si="2513"/>
        <v/>
      </c>
    </row>
    <row r="5855" spans="2:24" x14ac:dyDescent="0.25">
      <c r="B5855" s="11" t="str">
        <f t="shared" si="2503"/>
        <v>STPA-09NOV1912</v>
      </c>
      <c r="C5855" s="11" t="s">
        <v>3070</v>
      </c>
      <c r="D5855" s="11" t="s">
        <v>3619</v>
      </c>
      <c r="E5855" s="39" t="s">
        <v>1005</v>
      </c>
      <c r="F5855" s="11" t="s">
        <v>1700</v>
      </c>
      <c r="G5855" s="39" t="s">
        <v>3995</v>
      </c>
      <c r="H5855" s="7">
        <v>0</v>
      </c>
      <c r="I5855" s="7">
        <v>6</v>
      </c>
      <c r="J5855" s="17">
        <f>3+1</f>
        <v>4</v>
      </c>
      <c r="K5855" s="17"/>
      <c r="L5855" s="7">
        <f t="shared" si="2504"/>
        <v>10</v>
      </c>
      <c r="M5855" s="8">
        <v>1</v>
      </c>
      <c r="N5855" s="8">
        <f t="shared" si="2505"/>
        <v>1</v>
      </c>
      <c r="O5855" s="11" t="s">
        <v>1702</v>
      </c>
      <c r="P5855" s="16" t="str">
        <f t="shared" si="2506"/>
        <v>09-Nov-1912</v>
      </c>
      <c r="R5855" s="16" t="str">
        <f t="shared" si="2500"/>
        <v>x</v>
      </c>
      <c r="S5855" s="16" t="str">
        <f t="shared" si="2500"/>
        <v>x</v>
      </c>
      <c r="U5855" s="46" t="str">
        <f t="shared" ref="U5855:X5858" si="2514">IF($O5855=U$5,$L5855,"")</f>
        <v/>
      </c>
      <c r="V5855" s="46">
        <f t="shared" si="2514"/>
        <v>10</v>
      </c>
      <c r="W5855" s="46" t="str">
        <f t="shared" si="2514"/>
        <v/>
      </c>
      <c r="X5855" s="46" t="str">
        <f t="shared" si="2514"/>
        <v/>
      </c>
    </row>
    <row r="5856" spans="2:24" x14ac:dyDescent="0.25">
      <c r="B5856" s="11" t="str">
        <f>CONCATENATE("STPA","-",LEFT(P5856,2),UPPER(MID(P5856,4,3)),RIGHT(P5856,4))</f>
        <v>STPA-08DEC1912</v>
      </c>
      <c r="C5856" s="11" t="s">
        <v>3070</v>
      </c>
      <c r="D5856" s="11" t="s">
        <v>2224</v>
      </c>
      <c r="E5856" s="39" t="s">
        <v>1006</v>
      </c>
      <c r="F5856" s="11" t="s">
        <v>1700</v>
      </c>
      <c r="G5856" s="39" t="s">
        <v>11491</v>
      </c>
      <c r="H5856" s="7">
        <v>0</v>
      </c>
      <c r="I5856" s="7">
        <v>0</v>
      </c>
      <c r="J5856" s="17">
        <v>6</v>
      </c>
      <c r="K5856" s="17"/>
      <c r="L5856" s="7">
        <f>SUM(H5856:K5856)</f>
        <v>6</v>
      </c>
      <c r="M5856" s="8">
        <v>1</v>
      </c>
      <c r="N5856" s="8">
        <f>IF(L5856&gt;0,1,"")</f>
        <v>1</v>
      </c>
      <c r="O5856" s="11" t="s">
        <v>1702</v>
      </c>
      <c r="P5856" s="16" t="str">
        <f>IF(LEN(G5856)=10,CONCATENATE("0",G5856),G5856)</f>
        <v>08-Dec-1912</v>
      </c>
      <c r="R5856" s="16" t="str">
        <f t="shared" si="2500"/>
        <v>x</v>
      </c>
      <c r="S5856" s="80"/>
      <c r="U5856" s="46" t="str">
        <f t="shared" si="2514"/>
        <v/>
      </c>
      <c r="V5856" s="46">
        <f t="shared" si="2514"/>
        <v>6</v>
      </c>
      <c r="W5856" s="46" t="str">
        <f t="shared" si="2514"/>
        <v/>
      </c>
      <c r="X5856" s="46" t="str">
        <f t="shared" si="2514"/>
        <v/>
      </c>
    </row>
    <row r="5857" spans="2:24" x14ac:dyDescent="0.25">
      <c r="B5857" s="11" t="str">
        <f t="shared" si="2503"/>
        <v>STPA-10JAN1913</v>
      </c>
      <c r="C5857" s="11" t="s">
        <v>3070</v>
      </c>
      <c r="D5857" s="11" t="s">
        <v>2224</v>
      </c>
      <c r="E5857" s="39" t="s">
        <v>6223</v>
      </c>
      <c r="F5857" s="11" t="s">
        <v>1700</v>
      </c>
      <c r="G5857" s="39" t="s">
        <v>3923</v>
      </c>
      <c r="H5857" s="7">
        <v>0</v>
      </c>
      <c r="I5857" s="7">
        <v>0</v>
      </c>
      <c r="J5857" s="17">
        <f>11+1</f>
        <v>12</v>
      </c>
      <c r="K5857" s="17"/>
      <c r="L5857" s="7">
        <f t="shared" si="2504"/>
        <v>12</v>
      </c>
      <c r="M5857" s="8">
        <v>1</v>
      </c>
      <c r="N5857" s="8">
        <f t="shared" si="2505"/>
        <v>1</v>
      </c>
      <c r="O5857" s="11" t="s">
        <v>1702</v>
      </c>
      <c r="P5857" s="16" t="str">
        <f t="shared" si="2506"/>
        <v>10-Jan-1913</v>
      </c>
      <c r="R5857" s="16" t="str">
        <f t="shared" si="2500"/>
        <v>x</v>
      </c>
      <c r="S5857" s="16" t="str">
        <f t="shared" si="2500"/>
        <v>x</v>
      </c>
      <c r="U5857" s="46" t="str">
        <f t="shared" si="2514"/>
        <v/>
      </c>
      <c r="V5857" s="46">
        <f t="shared" si="2514"/>
        <v>12</v>
      </c>
      <c r="W5857" s="46" t="str">
        <f t="shared" si="2514"/>
        <v/>
      </c>
      <c r="X5857" s="46" t="str">
        <f t="shared" si="2514"/>
        <v/>
      </c>
    </row>
    <row r="5858" spans="2:24" x14ac:dyDescent="0.25">
      <c r="B5858" s="11" t="str">
        <f t="shared" ref="B5858:B5867" si="2515">CONCATENATE("STPA","-",LEFT(P5858,2),UPPER(MID(P5858,4,3)),RIGHT(P5858,4))</f>
        <v>STPA-25MAY1913</v>
      </c>
      <c r="C5858" s="11" t="s">
        <v>3070</v>
      </c>
      <c r="D5858" s="11" t="s">
        <v>2224</v>
      </c>
      <c r="E5858" s="39" t="s">
        <v>1286</v>
      </c>
      <c r="F5858" s="11" t="s">
        <v>1700</v>
      </c>
      <c r="G5858" s="39" t="s">
        <v>2352</v>
      </c>
      <c r="I5858" s="7">
        <v>0</v>
      </c>
      <c r="J5858" s="17">
        <v>3</v>
      </c>
      <c r="K5858" s="17"/>
      <c r="L5858" s="7">
        <f t="shared" ref="L5858:L5867" si="2516">SUM(H5858:K5858)</f>
        <v>3</v>
      </c>
      <c r="M5858" s="8">
        <v>1</v>
      </c>
      <c r="N5858" s="8">
        <f t="shared" ref="N5858:N5867" si="2517">IF(L5858&gt;0,1,"")</f>
        <v>1</v>
      </c>
      <c r="O5858" s="11" t="s">
        <v>1702</v>
      </c>
      <c r="P5858" s="16" t="str">
        <f t="shared" ref="P5858:P5867" si="2518">IF(LEN(G5858)=10,CONCATENATE("0",G5858),G5858)</f>
        <v>25-May-1913</v>
      </c>
      <c r="R5858" s="16" t="str">
        <f t="shared" si="2500"/>
        <v>x</v>
      </c>
      <c r="S5858" s="16" t="str">
        <f t="shared" si="2500"/>
        <v>x</v>
      </c>
      <c r="U5858" s="46" t="str">
        <f t="shared" si="2514"/>
        <v/>
      </c>
      <c r="V5858" s="46">
        <f t="shared" si="2514"/>
        <v>3</v>
      </c>
      <c r="W5858" s="46" t="str">
        <f t="shared" si="2514"/>
        <v/>
      </c>
      <c r="X5858" s="46" t="str">
        <f t="shared" si="2514"/>
        <v/>
      </c>
    </row>
    <row r="5859" spans="2:24" x14ac:dyDescent="0.25">
      <c r="B5859" s="11" t="str">
        <f t="shared" si="2515"/>
        <v>STPA-22JUN1913</v>
      </c>
      <c r="C5859" s="11" t="s">
        <v>3070</v>
      </c>
      <c r="D5859" s="11" t="s">
        <v>2224</v>
      </c>
      <c r="E5859" s="39" t="s">
        <v>1023</v>
      </c>
      <c r="F5859" s="11" t="s">
        <v>1700</v>
      </c>
      <c r="G5859" s="39" t="s">
        <v>3142</v>
      </c>
      <c r="I5859" s="7">
        <v>0</v>
      </c>
      <c r="J5859" s="17">
        <v>41</v>
      </c>
      <c r="K5859" s="17"/>
      <c r="L5859" s="7">
        <f t="shared" si="2516"/>
        <v>41</v>
      </c>
      <c r="M5859" s="8">
        <v>1</v>
      </c>
      <c r="N5859" s="8">
        <f t="shared" si="2517"/>
        <v>1</v>
      </c>
      <c r="O5859" s="11" t="s">
        <v>1702</v>
      </c>
      <c r="P5859" s="16" t="str">
        <f t="shared" si="2518"/>
        <v>22-Jun-1913</v>
      </c>
      <c r="R5859" s="16" t="str">
        <f t="shared" si="2500"/>
        <v>x</v>
      </c>
      <c r="S5859" s="16" t="str">
        <f t="shared" si="2500"/>
        <v>x</v>
      </c>
      <c r="U5859" s="46" t="str">
        <f>IF($O5859=U$5,$L5859,"")</f>
        <v/>
      </c>
      <c r="V5859" s="46">
        <f>IF($O5859=V$5,$L5859,"")</f>
        <v>41</v>
      </c>
      <c r="W5859" s="46" t="str">
        <f>IF($O5859=W$5,$L5859,"")</f>
        <v/>
      </c>
      <c r="X5859" s="46" t="str">
        <f>IF($O5859=X$5,$L5859,"")</f>
        <v/>
      </c>
    </row>
    <row r="5860" spans="2:24" x14ac:dyDescent="0.25">
      <c r="B5860" s="11" t="str">
        <f>CONCATENATE("STPA","-",LEFT(P5860,2),UPPER(MID(P5860,4,3)),RIGHT(P5860,4))</f>
        <v>STPA-24JUL1913</v>
      </c>
      <c r="C5860" s="11" t="s">
        <v>3070</v>
      </c>
      <c r="D5860" s="11" t="s">
        <v>2224</v>
      </c>
      <c r="E5860" s="39" t="s">
        <v>4563</v>
      </c>
      <c r="F5860" s="11" t="s">
        <v>1700</v>
      </c>
      <c r="G5860" s="39" t="s">
        <v>11469</v>
      </c>
      <c r="I5860" s="7">
        <v>0</v>
      </c>
      <c r="J5860" s="17">
        <f>10+1</f>
        <v>11</v>
      </c>
      <c r="K5860" s="17"/>
      <c r="L5860" s="7">
        <f>SUM(H5860:K5860)</f>
        <v>11</v>
      </c>
      <c r="M5860" s="8">
        <v>1</v>
      </c>
      <c r="N5860" s="8">
        <f>IF(L5860&gt;0,1,"")</f>
        <v>1</v>
      </c>
      <c r="O5860" s="11" t="s">
        <v>1702</v>
      </c>
      <c r="P5860" s="16" t="str">
        <f>IF(LEN(G5860)=10,CONCATENATE("0",G5860),G5860)</f>
        <v>24-Jul-1913</v>
      </c>
      <c r="R5860" s="16" t="str">
        <f t="shared" si="2500"/>
        <v>x</v>
      </c>
      <c r="S5860" s="16" t="str">
        <f t="shared" si="2500"/>
        <v>x</v>
      </c>
      <c r="U5860" s="46" t="str">
        <f t="shared" ref="U5860:X5863" si="2519">IF($O5860=U$5,$L5860,"")</f>
        <v/>
      </c>
      <c r="V5860" s="46">
        <f t="shared" si="2519"/>
        <v>11</v>
      </c>
      <c r="W5860" s="46" t="str">
        <f t="shared" si="2519"/>
        <v/>
      </c>
      <c r="X5860" s="46" t="str">
        <f t="shared" si="2519"/>
        <v/>
      </c>
    </row>
    <row r="5861" spans="2:24" x14ac:dyDescent="0.25">
      <c r="B5861" s="11" t="str">
        <f>CONCATENATE("STPA","-",LEFT(P5861,2),UPPER(MID(P5861,4,3)),RIGHT(P5861,4))</f>
        <v>STPA-17AUG1913</v>
      </c>
      <c r="C5861" s="11" t="s">
        <v>3070</v>
      </c>
      <c r="D5861" s="11" t="s">
        <v>2224</v>
      </c>
      <c r="E5861" s="39" t="s">
        <v>1536</v>
      </c>
      <c r="F5861" s="11" t="s">
        <v>1700</v>
      </c>
      <c r="G5861" s="39" t="s">
        <v>11495</v>
      </c>
      <c r="H5861" s="7">
        <v>0</v>
      </c>
      <c r="I5861" s="7">
        <v>0</v>
      </c>
      <c r="J5861" s="17">
        <v>15</v>
      </c>
      <c r="K5861" s="17"/>
      <c r="L5861" s="7">
        <f>SUM(H5861:K5861)</f>
        <v>15</v>
      </c>
      <c r="M5861" s="8">
        <v>1</v>
      </c>
      <c r="N5861" s="8">
        <f>IF(L5861&gt;0,1,"")</f>
        <v>1</v>
      </c>
      <c r="O5861" s="11" t="s">
        <v>1702</v>
      </c>
      <c r="P5861" s="16" t="str">
        <f>IF(LEN(G5861)=10,CONCATENATE("0",G5861),G5861)</f>
        <v>17-Aug-1913</v>
      </c>
      <c r="R5861" s="16" t="str">
        <f t="shared" si="2500"/>
        <v>x</v>
      </c>
      <c r="S5861" s="80"/>
      <c r="U5861" s="46" t="str">
        <f t="shared" si="2519"/>
        <v/>
      </c>
      <c r="V5861" s="46">
        <f t="shared" si="2519"/>
        <v>15</v>
      </c>
      <c r="W5861" s="46" t="str">
        <f t="shared" si="2519"/>
        <v/>
      </c>
      <c r="X5861" s="46" t="str">
        <f t="shared" si="2519"/>
        <v/>
      </c>
    </row>
    <row r="5862" spans="2:24" x14ac:dyDescent="0.25">
      <c r="B5862" s="11" t="str">
        <f t="shared" si="2515"/>
        <v>STPA-12OCT1913</v>
      </c>
      <c r="C5862" s="11" t="s">
        <v>3070</v>
      </c>
      <c r="D5862" s="11" t="s">
        <v>2224</v>
      </c>
      <c r="E5862" s="39" t="s">
        <v>1678</v>
      </c>
      <c r="F5862" s="11" t="s">
        <v>1700</v>
      </c>
      <c r="G5862" s="39" t="s">
        <v>3760</v>
      </c>
      <c r="I5862" s="7">
        <v>0</v>
      </c>
      <c r="J5862" s="17">
        <v>11</v>
      </c>
      <c r="K5862" s="17"/>
      <c r="L5862" s="7">
        <f t="shared" si="2516"/>
        <v>11</v>
      </c>
      <c r="M5862" s="8">
        <v>1</v>
      </c>
      <c r="N5862" s="8">
        <f t="shared" si="2517"/>
        <v>1</v>
      </c>
      <c r="O5862" s="11" t="s">
        <v>1702</v>
      </c>
      <c r="P5862" s="16" t="str">
        <f t="shared" si="2518"/>
        <v>12-Oct-1913</v>
      </c>
      <c r="R5862" s="16" t="str">
        <f t="shared" si="2500"/>
        <v>x</v>
      </c>
      <c r="S5862" s="16" t="str">
        <f t="shared" si="2500"/>
        <v>x</v>
      </c>
      <c r="U5862" s="46" t="str">
        <f t="shared" si="2519"/>
        <v/>
      </c>
      <c r="V5862" s="46">
        <f t="shared" si="2519"/>
        <v>11</v>
      </c>
      <c r="W5862" s="46" t="str">
        <f t="shared" si="2519"/>
        <v/>
      </c>
      <c r="X5862" s="46" t="str">
        <f t="shared" si="2519"/>
        <v/>
      </c>
    </row>
    <row r="5863" spans="2:24" x14ac:dyDescent="0.25">
      <c r="B5863" s="11" t="str">
        <f>CONCATENATE("STPA","-",LEFT(P5863,2),UPPER(MID(P5863,4,3)),RIGHT(P5863,4))</f>
        <v>STPA-10MAY1914</v>
      </c>
      <c r="C5863" s="11" t="s">
        <v>3070</v>
      </c>
      <c r="D5863" s="11" t="s">
        <v>2224</v>
      </c>
      <c r="E5863" s="39" t="s">
        <v>2373</v>
      </c>
      <c r="F5863" s="11" t="s">
        <v>1700</v>
      </c>
      <c r="G5863" s="39" t="s">
        <v>3069</v>
      </c>
      <c r="I5863" s="7">
        <v>0</v>
      </c>
      <c r="J5863" s="17">
        <v>6</v>
      </c>
      <c r="K5863" s="17"/>
      <c r="L5863" s="7">
        <f>SUM(H5863:K5863)</f>
        <v>6</v>
      </c>
      <c r="M5863" s="8">
        <v>1</v>
      </c>
      <c r="N5863" s="8">
        <f>IF(L5863&gt;0,1,"")</f>
        <v>1</v>
      </c>
      <c r="O5863" s="11" t="s">
        <v>1702</v>
      </c>
      <c r="P5863" s="16" t="str">
        <f>IF(LEN(G5863)=10,CONCATENATE("0",G5863),G5863)</f>
        <v>10-May-1914</v>
      </c>
      <c r="R5863" s="16" t="str">
        <f t="shared" ref="R5863:S5867" si="2520">IF($L5863&gt;0,"x","")</f>
        <v>x</v>
      </c>
      <c r="S5863" s="16" t="str">
        <f t="shared" si="2520"/>
        <v>x</v>
      </c>
      <c r="U5863" s="46" t="str">
        <f t="shared" si="2519"/>
        <v/>
      </c>
      <c r="V5863" s="46">
        <f t="shared" si="2519"/>
        <v>6</v>
      </c>
      <c r="W5863" s="46" t="str">
        <f t="shared" si="2519"/>
        <v/>
      </c>
      <c r="X5863" s="46" t="str">
        <f t="shared" si="2519"/>
        <v/>
      </c>
    </row>
    <row r="5864" spans="2:24" x14ac:dyDescent="0.25">
      <c r="B5864" s="11" t="str">
        <f t="shared" si="2515"/>
        <v>STPA-05JUL1914</v>
      </c>
      <c r="C5864" s="11" t="s">
        <v>3070</v>
      </c>
      <c r="D5864" s="11" t="s">
        <v>2224</v>
      </c>
      <c r="E5864" s="39" t="s">
        <v>2375</v>
      </c>
      <c r="F5864" s="11" t="s">
        <v>1700</v>
      </c>
      <c r="G5864" s="39" t="s">
        <v>2368</v>
      </c>
      <c r="I5864" s="7">
        <v>0</v>
      </c>
      <c r="J5864" s="17">
        <f>1+1</f>
        <v>2</v>
      </c>
      <c r="K5864" s="17"/>
      <c r="L5864" s="7">
        <f t="shared" si="2516"/>
        <v>2</v>
      </c>
      <c r="M5864" s="8">
        <v>1</v>
      </c>
      <c r="N5864" s="8">
        <f t="shared" si="2517"/>
        <v>1</v>
      </c>
      <c r="O5864" s="11" t="s">
        <v>1702</v>
      </c>
      <c r="P5864" s="16" t="str">
        <f t="shared" si="2518"/>
        <v>05-Jul-1914</v>
      </c>
      <c r="R5864" s="16" t="str">
        <f t="shared" si="2520"/>
        <v>x</v>
      </c>
      <c r="S5864" s="16" t="str">
        <f t="shared" si="2520"/>
        <v>x</v>
      </c>
      <c r="U5864" s="46" t="str">
        <f t="shared" ref="U5864:X5869" si="2521">IF($O5864=U$5,$L5864,"")</f>
        <v/>
      </c>
      <c r="V5864" s="46">
        <f t="shared" si="2521"/>
        <v>2</v>
      </c>
      <c r="W5864" s="46" t="str">
        <f t="shared" si="2521"/>
        <v/>
      </c>
      <c r="X5864" s="46" t="str">
        <f t="shared" si="2521"/>
        <v/>
      </c>
    </row>
    <row r="5865" spans="2:24" x14ac:dyDescent="0.25">
      <c r="B5865" s="11" t="str">
        <f>CONCATENATE("STPA","-",LEFT(P5865,2),UPPER(MID(P5865,4,3)),RIGHT(P5865,4))</f>
        <v>STPA-23JUL1916</v>
      </c>
      <c r="C5865" s="11" t="s">
        <v>3070</v>
      </c>
      <c r="D5865" s="11" t="s">
        <v>2097</v>
      </c>
      <c r="E5865" s="39" t="s">
        <v>5959</v>
      </c>
      <c r="F5865" s="11" t="s">
        <v>1700</v>
      </c>
      <c r="G5865" s="39" t="s">
        <v>5960</v>
      </c>
      <c r="H5865" s="7">
        <v>0</v>
      </c>
      <c r="I5865" s="7">
        <v>0</v>
      </c>
      <c r="J5865" s="17">
        <f>0+4</f>
        <v>4</v>
      </c>
      <c r="K5865" s="17"/>
      <c r="L5865" s="7">
        <f>SUM(H5865:K5865)</f>
        <v>4</v>
      </c>
      <c r="M5865" s="8">
        <v>1</v>
      </c>
      <c r="N5865" s="8">
        <f>IF(L5865&gt;0,1,"")</f>
        <v>1</v>
      </c>
      <c r="O5865" s="11" t="s">
        <v>1702</v>
      </c>
      <c r="P5865" s="16" t="str">
        <f>IF(LEN(G5865)=10,CONCATENATE("0",G5865),G5865)</f>
        <v>23-Jul-1916</v>
      </c>
      <c r="R5865" s="16" t="str">
        <f t="shared" si="2520"/>
        <v>x</v>
      </c>
      <c r="S5865" s="16" t="str">
        <f t="shared" si="2520"/>
        <v>x</v>
      </c>
      <c r="T5865" s="11"/>
      <c r="U5865" s="46" t="str">
        <f t="shared" si="2521"/>
        <v/>
      </c>
      <c r="V5865" s="46">
        <f t="shared" si="2521"/>
        <v>4</v>
      </c>
      <c r="W5865" s="46" t="str">
        <f t="shared" si="2521"/>
        <v/>
      </c>
      <c r="X5865" s="46" t="str">
        <f t="shared" si="2521"/>
        <v/>
      </c>
    </row>
    <row r="5866" spans="2:24" x14ac:dyDescent="0.25">
      <c r="B5866" s="11" t="str">
        <f t="shared" si="2515"/>
        <v>STPA-28MAY1920</v>
      </c>
      <c r="C5866" s="11" t="s">
        <v>3070</v>
      </c>
      <c r="D5866" s="11" t="s">
        <v>2224</v>
      </c>
      <c r="E5866" s="39" t="s">
        <v>4249</v>
      </c>
      <c r="F5866" s="11" t="s">
        <v>1700</v>
      </c>
      <c r="G5866" s="39" t="s">
        <v>4250</v>
      </c>
      <c r="I5866" s="7">
        <v>2</v>
      </c>
      <c r="J5866" s="17">
        <f>25+5</f>
        <v>30</v>
      </c>
      <c r="K5866" s="17"/>
      <c r="L5866" s="7">
        <f t="shared" si="2516"/>
        <v>32</v>
      </c>
      <c r="M5866" s="8">
        <v>1</v>
      </c>
      <c r="N5866" s="8">
        <f t="shared" si="2517"/>
        <v>1</v>
      </c>
      <c r="O5866" s="11" t="s">
        <v>1702</v>
      </c>
      <c r="P5866" s="16" t="str">
        <f t="shared" si="2518"/>
        <v>28-May-1920</v>
      </c>
      <c r="R5866" s="16" t="str">
        <f t="shared" si="2520"/>
        <v>x</v>
      </c>
      <c r="S5866" s="16" t="str">
        <f t="shared" si="2520"/>
        <v>x</v>
      </c>
      <c r="U5866" s="46" t="str">
        <f t="shared" si="2521"/>
        <v/>
      </c>
      <c r="V5866" s="46">
        <f t="shared" si="2521"/>
        <v>32</v>
      </c>
      <c r="W5866" s="46" t="str">
        <f t="shared" si="2521"/>
        <v/>
      </c>
      <c r="X5866" s="46" t="str">
        <f t="shared" si="2521"/>
        <v/>
      </c>
    </row>
    <row r="5867" spans="2:24" x14ac:dyDescent="0.25">
      <c r="B5867" s="11" t="str">
        <f t="shared" si="2515"/>
        <v>STPA-25JUN1920</v>
      </c>
      <c r="C5867" s="11" t="s">
        <v>3070</v>
      </c>
      <c r="D5867" s="11" t="s">
        <v>2224</v>
      </c>
      <c r="E5867" s="39" t="s">
        <v>4497</v>
      </c>
      <c r="F5867" s="11" t="s">
        <v>1700</v>
      </c>
      <c r="G5867" s="39" t="s">
        <v>2568</v>
      </c>
      <c r="I5867" s="7">
        <v>0</v>
      </c>
      <c r="J5867" s="17">
        <v>31</v>
      </c>
      <c r="K5867" s="17"/>
      <c r="L5867" s="7">
        <f t="shared" si="2516"/>
        <v>31</v>
      </c>
      <c r="M5867" s="8">
        <v>1</v>
      </c>
      <c r="N5867" s="8">
        <f t="shared" si="2517"/>
        <v>1</v>
      </c>
      <c r="O5867" s="11" t="s">
        <v>1702</v>
      </c>
      <c r="P5867" s="16" t="str">
        <f t="shared" si="2518"/>
        <v>25-Jun-1920</v>
      </c>
      <c r="R5867" s="16" t="str">
        <f t="shared" si="2520"/>
        <v>x</v>
      </c>
      <c r="S5867" s="16" t="str">
        <f t="shared" si="2520"/>
        <v>x</v>
      </c>
      <c r="U5867" s="46" t="str">
        <f t="shared" si="2521"/>
        <v/>
      </c>
      <c r="V5867" s="46">
        <f t="shared" si="2521"/>
        <v>31</v>
      </c>
      <c r="W5867" s="46" t="str">
        <f t="shared" si="2521"/>
        <v/>
      </c>
      <c r="X5867" s="46" t="str">
        <f t="shared" si="2521"/>
        <v/>
      </c>
    </row>
    <row r="5868" spans="2:24" x14ac:dyDescent="0.25">
      <c r="N5868" s="8" t="str">
        <f>IF(R5868="x",1,"")</f>
        <v/>
      </c>
      <c r="U5868" s="46" t="str">
        <f t="shared" si="2521"/>
        <v/>
      </c>
      <c r="V5868" s="46" t="str">
        <f t="shared" si="2521"/>
        <v/>
      </c>
      <c r="W5868" s="46" t="str">
        <f t="shared" si="2521"/>
        <v/>
      </c>
      <c r="X5868" s="46" t="str">
        <f t="shared" si="2521"/>
        <v/>
      </c>
    </row>
    <row r="5869" spans="2:24" x14ac:dyDescent="0.25">
      <c r="B5869" s="18"/>
      <c r="C5869" s="18"/>
      <c r="D5869" s="18"/>
      <c r="E5869" s="40"/>
      <c r="F5869" s="18"/>
      <c r="G5869" s="40"/>
      <c r="H5869" s="7">
        <f t="shared" ref="H5869:N5869" si="2522">SUM(H5826:H5868)</f>
        <v>2</v>
      </c>
      <c r="I5869" s="7">
        <f t="shared" si="2522"/>
        <v>30</v>
      </c>
      <c r="J5869" s="7">
        <f t="shared" si="2522"/>
        <v>414</v>
      </c>
      <c r="K5869" s="7">
        <f t="shared" si="2522"/>
        <v>0</v>
      </c>
      <c r="L5869" s="7">
        <f t="shared" si="2522"/>
        <v>446</v>
      </c>
      <c r="M5869" s="7">
        <f t="shared" si="2522"/>
        <v>42</v>
      </c>
      <c r="N5869" s="7">
        <f t="shared" si="2522"/>
        <v>42</v>
      </c>
      <c r="O5869" s="18"/>
      <c r="P5869" s="13"/>
      <c r="Q5869" s="13"/>
      <c r="S5869" s="13"/>
      <c r="T5869" s="15"/>
      <c r="U5869" s="46" t="str">
        <f t="shared" si="2521"/>
        <v/>
      </c>
      <c r="V5869" s="46" t="str">
        <f t="shared" si="2521"/>
        <v/>
      </c>
      <c r="W5869" s="46" t="str">
        <f t="shared" si="2521"/>
        <v/>
      </c>
      <c r="X5869" s="46" t="str">
        <f t="shared" si="2521"/>
        <v/>
      </c>
    </row>
    <row r="5870" spans="2:24" x14ac:dyDescent="0.25">
      <c r="B5870" s="18"/>
      <c r="C5870" s="18"/>
      <c r="D5870" s="18"/>
      <c r="E5870" s="40"/>
      <c r="F5870" s="18"/>
      <c r="G5870" s="40"/>
      <c r="N5870" s="8" t="str">
        <f>IF(R5870="x",1,"")</f>
        <v/>
      </c>
      <c r="O5870" s="18"/>
      <c r="P5870" s="13"/>
      <c r="Q5870" s="13"/>
      <c r="R5870" s="13"/>
      <c r="S5870" s="13"/>
      <c r="T5870" s="15"/>
      <c r="U5870" s="46" t="str">
        <f t="shared" ref="U5870:X5875" si="2523">IF($O5870=U$5,$L5870,"")</f>
        <v/>
      </c>
      <c r="V5870" s="46" t="str">
        <f t="shared" si="2523"/>
        <v/>
      </c>
      <c r="W5870" s="46" t="str">
        <f t="shared" si="2523"/>
        <v/>
      </c>
      <c r="X5870" s="46" t="str">
        <f t="shared" si="2523"/>
        <v/>
      </c>
    </row>
    <row r="5871" spans="2:24" x14ac:dyDescent="0.25">
      <c r="B5871" s="18"/>
      <c r="C5871" s="18"/>
      <c r="D5871" s="18"/>
      <c r="E5871" s="40"/>
      <c r="F5871" s="18"/>
      <c r="G5871" s="40"/>
      <c r="N5871" s="8" t="str">
        <f>IF(R5871="x",1,"")</f>
        <v/>
      </c>
      <c r="O5871" s="18"/>
      <c r="P5871" s="13"/>
      <c r="Q5871" s="13"/>
      <c r="R5871" s="13"/>
      <c r="S5871" s="13"/>
      <c r="T5871" s="15"/>
      <c r="U5871" s="46" t="str">
        <f t="shared" si="2523"/>
        <v/>
      </c>
      <c r="V5871" s="46" t="str">
        <f t="shared" si="2523"/>
        <v/>
      </c>
      <c r="W5871" s="46" t="str">
        <f t="shared" si="2523"/>
        <v/>
      </c>
      <c r="X5871" s="46" t="str">
        <f t="shared" si="2523"/>
        <v/>
      </c>
    </row>
    <row r="5872" spans="2:24" x14ac:dyDescent="0.25">
      <c r="B5872" s="11" t="str">
        <f>CONCATENATE("SAMA","-",LEFT(P5872,2),UPPER(MID(P5872,4,3)),RIGHT(P5872,4))</f>
        <v>SAMA-23SEP1891</v>
      </c>
      <c r="C5872" s="11" t="s">
        <v>5411</v>
      </c>
      <c r="D5872" s="11" t="s">
        <v>2097</v>
      </c>
      <c r="F5872" s="11" t="s">
        <v>3050</v>
      </c>
      <c r="G5872" s="39" t="s">
        <v>6010</v>
      </c>
      <c r="I5872" s="7">
        <v>0</v>
      </c>
      <c r="J5872" s="17">
        <v>2</v>
      </c>
      <c r="K5872" s="17"/>
      <c r="L5872" s="7">
        <f>SUM(H5872:K5872)</f>
        <v>2</v>
      </c>
      <c r="M5872" s="8">
        <v>1</v>
      </c>
      <c r="N5872" s="8">
        <f>IF(L5872&gt;0,1,"")</f>
        <v>1</v>
      </c>
      <c r="O5872" s="11" t="s">
        <v>1702</v>
      </c>
      <c r="P5872" s="16" t="str">
        <f>IF(LEN(G5872)=10,CONCATENATE("0",G5872),G5872)</f>
        <v>23-Sep-1891</v>
      </c>
      <c r="R5872" s="16" t="str">
        <f>IF($L5872&gt;0,"x","")</f>
        <v>x</v>
      </c>
      <c r="S5872" s="16" t="str">
        <f>IF($L5872&gt;0,"x","")</f>
        <v>x</v>
      </c>
      <c r="U5872" s="46" t="str">
        <f t="shared" si="2523"/>
        <v/>
      </c>
      <c r="V5872" s="46">
        <f t="shared" si="2523"/>
        <v>2</v>
      </c>
      <c r="W5872" s="46" t="str">
        <f t="shared" si="2523"/>
        <v/>
      </c>
      <c r="X5872" s="46" t="str">
        <f t="shared" si="2523"/>
        <v/>
      </c>
    </row>
    <row r="5873" spans="2:24" x14ac:dyDescent="0.25">
      <c r="B5873" s="11" t="str">
        <f>CONCATENATE("SAMA","-",LEFT(P5873,2),UPPER(MID(P5873,4,3)),RIGHT(P5873,4))</f>
        <v>SAMA-01OCT1923</v>
      </c>
      <c r="C5873" s="11" t="s">
        <v>5411</v>
      </c>
      <c r="D5873" s="11" t="s">
        <v>2097</v>
      </c>
      <c r="E5873" s="39" t="s">
        <v>5409</v>
      </c>
      <c r="F5873" s="11" t="s">
        <v>3050</v>
      </c>
      <c r="G5873" s="39" t="s">
        <v>3092</v>
      </c>
      <c r="H5873" s="7">
        <v>0</v>
      </c>
      <c r="I5873" s="7">
        <v>0</v>
      </c>
      <c r="J5873" s="17">
        <v>2</v>
      </c>
      <c r="K5873" s="17"/>
      <c r="L5873" s="7">
        <f>SUM(H5873:K5873)</f>
        <v>2</v>
      </c>
      <c r="M5873" s="8">
        <v>1</v>
      </c>
      <c r="N5873" s="8">
        <f>IF(L5873&gt;0,1,"")</f>
        <v>1</v>
      </c>
      <c r="O5873" s="11" t="s">
        <v>1702</v>
      </c>
      <c r="P5873" s="16" t="str">
        <f>IF(LEN(G5873)=10,CONCATENATE("0",G5873),G5873)</f>
        <v>01-Oct-1923</v>
      </c>
      <c r="R5873" s="16" t="str">
        <f>IF($L5873&gt;0,"x","")</f>
        <v>x</v>
      </c>
      <c r="S5873" s="16" t="str">
        <f>IF($L5873&gt;0,"x","")</f>
        <v>x</v>
      </c>
      <c r="U5873" s="46" t="str">
        <f t="shared" si="2523"/>
        <v/>
      </c>
      <c r="V5873" s="46">
        <f t="shared" si="2523"/>
        <v>2</v>
      </c>
      <c r="W5873" s="46" t="str">
        <f t="shared" si="2523"/>
        <v/>
      </c>
      <c r="X5873" s="46" t="str">
        <f t="shared" si="2523"/>
        <v/>
      </c>
    </row>
    <row r="5874" spans="2:24" x14ac:dyDescent="0.25">
      <c r="N5874" s="8" t="str">
        <f>IF(R5874="x",1,"")</f>
        <v/>
      </c>
      <c r="U5874" s="46" t="str">
        <f t="shared" si="2523"/>
        <v/>
      </c>
      <c r="V5874" s="46" t="str">
        <f t="shared" si="2523"/>
        <v/>
      </c>
      <c r="W5874" s="46" t="str">
        <f t="shared" si="2523"/>
        <v/>
      </c>
      <c r="X5874" s="46" t="str">
        <f t="shared" si="2523"/>
        <v/>
      </c>
    </row>
    <row r="5875" spans="2:24" x14ac:dyDescent="0.25">
      <c r="B5875" s="18"/>
      <c r="C5875" s="18"/>
      <c r="D5875" s="18"/>
      <c r="E5875" s="40"/>
      <c r="F5875" s="18"/>
      <c r="G5875" s="40"/>
      <c r="H5875" s="7">
        <f t="shared" ref="H5875:N5875" si="2524">SUM(H5872:H5874)</f>
        <v>0</v>
      </c>
      <c r="I5875" s="7">
        <f t="shared" si="2524"/>
        <v>0</v>
      </c>
      <c r="J5875" s="7">
        <f>SUM(J5872:J5874)</f>
        <v>4</v>
      </c>
      <c r="K5875" s="7">
        <f t="shared" si="2524"/>
        <v>0</v>
      </c>
      <c r="L5875" s="7">
        <f t="shared" si="2524"/>
        <v>4</v>
      </c>
      <c r="M5875" s="7">
        <f t="shared" si="2524"/>
        <v>2</v>
      </c>
      <c r="N5875" s="7">
        <f t="shared" si="2524"/>
        <v>2</v>
      </c>
      <c r="O5875" s="18"/>
      <c r="P5875" s="13"/>
      <c r="Q5875" s="13"/>
      <c r="S5875" s="13"/>
      <c r="T5875" s="15"/>
      <c r="U5875" s="46" t="str">
        <f t="shared" si="2523"/>
        <v/>
      </c>
      <c r="V5875" s="46" t="str">
        <f t="shared" si="2523"/>
        <v/>
      </c>
      <c r="W5875" s="46" t="str">
        <f t="shared" si="2523"/>
        <v/>
      </c>
      <c r="X5875" s="46" t="str">
        <f t="shared" si="2523"/>
        <v/>
      </c>
    </row>
    <row r="5876" spans="2:24" x14ac:dyDescent="0.25">
      <c r="B5876" s="18"/>
      <c r="C5876" s="18"/>
      <c r="D5876" s="18"/>
      <c r="E5876" s="40"/>
      <c r="F5876" s="18"/>
      <c r="G5876" s="40"/>
      <c r="N5876" s="8" t="str">
        <f>IF(R5876="x",1,"")</f>
        <v/>
      </c>
      <c r="O5876" s="18"/>
      <c r="P5876" s="13"/>
      <c r="Q5876" s="13"/>
      <c r="R5876" s="13"/>
      <c r="S5876" s="13"/>
      <c r="T5876" s="15"/>
      <c r="U5876" s="46" t="str">
        <f t="shared" ref="U5876:X5878" si="2525">IF($O5876=U$5,$L5876,"")</f>
        <v/>
      </c>
      <c r="V5876" s="46" t="str">
        <f t="shared" si="2525"/>
        <v/>
      </c>
      <c r="W5876" s="46" t="str">
        <f t="shared" si="2525"/>
        <v/>
      </c>
      <c r="X5876" s="46" t="str">
        <f t="shared" si="2525"/>
        <v/>
      </c>
    </row>
    <row r="5877" spans="2:24" x14ac:dyDescent="0.25">
      <c r="B5877" s="18"/>
      <c r="C5877" s="18"/>
      <c r="D5877" s="18"/>
      <c r="E5877" s="40"/>
      <c r="F5877" s="18"/>
      <c r="G5877" s="40"/>
      <c r="N5877" s="8" t="str">
        <f>IF(R5877="x",1,"")</f>
        <v/>
      </c>
      <c r="O5877" s="18"/>
      <c r="P5877" s="13"/>
      <c r="Q5877" s="13"/>
      <c r="R5877" s="13"/>
      <c r="S5877" s="13"/>
      <c r="T5877" s="15"/>
      <c r="U5877" s="46" t="str">
        <f t="shared" si="2525"/>
        <v/>
      </c>
      <c r="V5877" s="46" t="str">
        <f t="shared" si="2525"/>
        <v/>
      </c>
      <c r="W5877" s="46" t="str">
        <f t="shared" si="2525"/>
        <v/>
      </c>
      <c r="X5877" s="46" t="str">
        <f t="shared" si="2525"/>
        <v/>
      </c>
    </row>
    <row r="5878" spans="2:24" x14ac:dyDescent="0.25">
      <c r="B5878" s="11" t="str">
        <f>CONCATENATE("SGRG","-",LEFT(P5878,2),UPPER(MID(P5878,4,3)),RIGHT(P5878,4))</f>
        <v>SGRG-14AUG1908</v>
      </c>
      <c r="C5878" s="11" t="s">
        <v>3169</v>
      </c>
      <c r="D5878" s="11" t="s">
        <v>3832</v>
      </c>
      <c r="E5878" s="39" t="s">
        <v>844</v>
      </c>
      <c r="F5878" s="11" t="s">
        <v>1700</v>
      </c>
      <c r="G5878" s="39" t="s">
        <v>3831</v>
      </c>
      <c r="H5878" s="7">
        <v>0</v>
      </c>
      <c r="J5878" s="17">
        <v>1</v>
      </c>
      <c r="K5878" s="17"/>
      <c r="L5878" s="7">
        <f>SUM(H5878:K5878)</f>
        <v>1</v>
      </c>
      <c r="M5878" s="8">
        <v>1</v>
      </c>
      <c r="N5878" s="8">
        <f>IF(L5878&gt;0,1,"")</f>
        <v>1</v>
      </c>
      <c r="O5878" s="11" t="s">
        <v>1702</v>
      </c>
      <c r="P5878" s="16" t="str">
        <f>IF(LEN(G5878)=10,CONCATENATE("0",G5878),G5878)</f>
        <v>14-Aug-1908</v>
      </c>
      <c r="R5878" s="16" t="str">
        <f>IF($L5878&gt;0,"x","")</f>
        <v>x</v>
      </c>
      <c r="S5878" s="16" t="str">
        <f>IF($L5878&gt;0,"x","")</f>
        <v>x</v>
      </c>
      <c r="U5878" s="46" t="str">
        <f t="shared" si="2525"/>
        <v/>
      </c>
      <c r="V5878" s="46">
        <f t="shared" si="2525"/>
        <v>1</v>
      </c>
      <c r="W5878" s="46" t="str">
        <f t="shared" si="2525"/>
        <v/>
      </c>
      <c r="X5878" s="46" t="str">
        <f t="shared" si="2525"/>
        <v/>
      </c>
    </row>
    <row r="5879" spans="2:24" x14ac:dyDescent="0.25">
      <c r="B5879" s="11" t="str">
        <f>CONCATENATE("SGRG","-",LEFT(P5879,2),UPPER(MID(P5879,4,3)),RIGHT(P5879,4))</f>
        <v>SGRG-15JUN1911</v>
      </c>
      <c r="C5879" s="11" t="s">
        <v>3169</v>
      </c>
      <c r="D5879" s="11" t="s">
        <v>3007</v>
      </c>
      <c r="E5879" s="39" t="s">
        <v>5135</v>
      </c>
      <c r="F5879" s="11" t="s">
        <v>1700</v>
      </c>
      <c r="G5879" s="39" t="s">
        <v>5136</v>
      </c>
      <c r="H5879" s="7">
        <v>0</v>
      </c>
      <c r="J5879" s="17">
        <v>5</v>
      </c>
      <c r="K5879" s="17"/>
      <c r="L5879" s="7">
        <f>SUM(H5879:K5879)</f>
        <v>5</v>
      </c>
      <c r="M5879" s="8">
        <v>1</v>
      </c>
      <c r="N5879" s="8">
        <f>IF(L5879&gt;0,1,"")</f>
        <v>1</v>
      </c>
      <c r="O5879" s="11" t="s">
        <v>1702</v>
      </c>
      <c r="P5879" s="16" t="str">
        <f>IF(LEN(G5879)=10,CONCATENATE("0",G5879),G5879)</f>
        <v>15-Jun-1911</v>
      </c>
      <c r="R5879" s="16" t="str">
        <f>IF($L5879&gt;0,"x","")</f>
        <v>x</v>
      </c>
      <c r="S5879" s="16" t="str">
        <f>IF($L5879&gt;0,"x","")</f>
        <v>x</v>
      </c>
      <c r="U5879" s="46" t="str">
        <f t="shared" ref="U5879:X5880" si="2526">IF($O5879=U$5,$L5879,"")</f>
        <v/>
      </c>
      <c r="V5879" s="46">
        <f t="shared" si="2526"/>
        <v>5</v>
      </c>
      <c r="W5879" s="46" t="str">
        <f t="shared" si="2526"/>
        <v/>
      </c>
      <c r="X5879" s="46" t="str">
        <f t="shared" si="2526"/>
        <v/>
      </c>
    </row>
    <row r="5880" spans="2:24" x14ac:dyDescent="0.25">
      <c r="B5880" s="11" t="str">
        <f>CONCATENATE("SGRG","-",LEFT(P5880,2),UPPER(MID(P5880,4,3)),RIGHT(P5880,4))</f>
        <v>SGRG-24MAY1912</v>
      </c>
      <c r="C5880" s="11" t="s">
        <v>3169</v>
      </c>
      <c r="D5880" s="11" t="s">
        <v>3007</v>
      </c>
      <c r="E5880" s="39" t="s">
        <v>4778</v>
      </c>
      <c r="F5880" s="11" t="s">
        <v>1700</v>
      </c>
      <c r="G5880" s="39" t="s">
        <v>4779</v>
      </c>
      <c r="I5880" s="7">
        <v>0</v>
      </c>
      <c r="J5880" s="17">
        <v>21</v>
      </c>
      <c r="K5880" s="17"/>
      <c r="L5880" s="7">
        <f>SUM(H5880:K5880)</f>
        <v>21</v>
      </c>
      <c r="M5880" s="8">
        <v>1</v>
      </c>
      <c r="N5880" s="8">
        <f>IF(L5880&gt;0,1,"")</f>
        <v>1</v>
      </c>
      <c r="O5880" s="11" t="s">
        <v>1702</v>
      </c>
      <c r="P5880" s="16" t="str">
        <f>IF(LEN(G5880)=10,CONCATENATE("0",G5880),G5880)</f>
        <v>24-May-1912</v>
      </c>
      <c r="S5880" s="16" t="s">
        <v>1703</v>
      </c>
      <c r="U5880" s="46" t="str">
        <f t="shared" si="2526"/>
        <v/>
      </c>
      <c r="V5880" s="46">
        <f t="shared" si="2526"/>
        <v>21</v>
      </c>
      <c r="W5880" s="46" t="str">
        <f t="shared" si="2526"/>
        <v/>
      </c>
      <c r="X5880" s="46" t="str">
        <f t="shared" si="2526"/>
        <v/>
      </c>
    </row>
    <row r="5881" spans="2:24" x14ac:dyDescent="0.25">
      <c r="B5881" s="11" t="str">
        <f>CONCATENATE("SGRG","-",LEFT(P5881,2),UPPER(MID(P5881,4,3)),RIGHT(P5881,4))</f>
        <v>SGRG-12JUL1912</v>
      </c>
      <c r="C5881" s="11" t="s">
        <v>3169</v>
      </c>
      <c r="D5881" s="11" t="s">
        <v>3007</v>
      </c>
      <c r="E5881" s="39" t="s">
        <v>3170</v>
      </c>
      <c r="F5881" s="11" t="s">
        <v>1700</v>
      </c>
      <c r="G5881" s="39" t="s">
        <v>3171</v>
      </c>
      <c r="I5881" s="7">
        <v>0</v>
      </c>
      <c r="J5881" s="17">
        <v>27</v>
      </c>
      <c r="K5881" s="17"/>
      <c r="L5881" s="7">
        <f>SUM(H5881:K5881)</f>
        <v>27</v>
      </c>
      <c r="M5881" s="8">
        <v>1</v>
      </c>
      <c r="N5881" s="8">
        <f>IF(L5881&gt;0,1,"")</f>
        <v>1</v>
      </c>
      <c r="O5881" s="11" t="s">
        <v>1702</v>
      </c>
      <c r="P5881" s="16" t="str">
        <f>IF(LEN(G5881)=10,CONCATENATE("0",G5881),G5881)</f>
        <v>12-Jul-1912</v>
      </c>
      <c r="R5881" s="16" t="str">
        <f>IF($L5881&gt;0,"x","")</f>
        <v>x</v>
      </c>
      <c r="S5881" s="16" t="str">
        <f>IF($L5881&gt;0,"x","")</f>
        <v>x</v>
      </c>
      <c r="U5881" s="46" t="str">
        <f t="shared" ref="U5881:X5893" si="2527">IF($O5881=U$5,$L5881,"")</f>
        <v/>
      </c>
      <c r="V5881" s="46">
        <f t="shared" si="2527"/>
        <v>27</v>
      </c>
      <c r="W5881" s="46" t="str">
        <f t="shared" si="2527"/>
        <v/>
      </c>
      <c r="X5881" s="46" t="str">
        <f t="shared" si="2527"/>
        <v/>
      </c>
    </row>
    <row r="5882" spans="2:24" x14ac:dyDescent="0.25">
      <c r="B5882" s="11" t="str">
        <f>CONCATENATE("SGRG","-",LEFT(P5882,2),UPPER(MID(P5882,4,3)),RIGHT(P5882,4))</f>
        <v>SGRG-13OCT1912</v>
      </c>
      <c r="C5882" s="11" t="s">
        <v>3169</v>
      </c>
      <c r="D5882" s="11" t="s">
        <v>3007</v>
      </c>
      <c r="E5882" s="39" t="s">
        <v>5365</v>
      </c>
      <c r="F5882" s="11" t="s">
        <v>1700</v>
      </c>
      <c r="G5882" s="39" t="s">
        <v>5366</v>
      </c>
      <c r="I5882" s="7">
        <v>0</v>
      </c>
      <c r="J5882" s="17">
        <v>13</v>
      </c>
      <c r="K5882" s="17"/>
      <c r="L5882" s="7">
        <f>SUM(H5882:K5882)</f>
        <v>13</v>
      </c>
      <c r="M5882" s="8">
        <v>1</v>
      </c>
      <c r="N5882" s="8">
        <f>IF(L5882&gt;0,1,"")</f>
        <v>1</v>
      </c>
      <c r="O5882" s="11" t="s">
        <v>1702</v>
      </c>
      <c r="P5882" s="16" t="str">
        <f>IF(LEN(G5882)=10,CONCATENATE("0",G5882),G5882)</f>
        <v>13-Oct-1912</v>
      </c>
      <c r="R5882" s="16" t="str">
        <f>IF($L5882&gt;0,"x","")</f>
        <v>x</v>
      </c>
      <c r="S5882" s="16" t="str">
        <f>IF($L5882&gt;0,"x","")</f>
        <v>x</v>
      </c>
      <c r="U5882" s="46" t="str">
        <f t="shared" si="2527"/>
        <v/>
      </c>
      <c r="V5882" s="46">
        <f t="shared" si="2527"/>
        <v>13</v>
      </c>
      <c r="W5882" s="46" t="str">
        <f t="shared" si="2527"/>
        <v/>
      </c>
      <c r="X5882" s="46" t="str">
        <f t="shared" si="2527"/>
        <v/>
      </c>
    </row>
    <row r="5883" spans="2:24" x14ac:dyDescent="0.25">
      <c r="N5883" s="8" t="str">
        <f>IF(R5883="x",1,"")</f>
        <v/>
      </c>
      <c r="U5883" s="46" t="str">
        <f t="shared" si="2527"/>
        <v/>
      </c>
      <c r="V5883" s="46" t="str">
        <f t="shared" si="2527"/>
        <v/>
      </c>
      <c r="W5883" s="46" t="str">
        <f t="shared" si="2527"/>
        <v/>
      </c>
      <c r="X5883" s="46" t="str">
        <f t="shared" si="2527"/>
        <v/>
      </c>
    </row>
    <row r="5884" spans="2:24" x14ac:dyDescent="0.25">
      <c r="B5884" s="18"/>
      <c r="C5884" s="18"/>
      <c r="D5884" s="18"/>
      <c r="E5884" s="40"/>
      <c r="F5884" s="18"/>
      <c r="G5884" s="40"/>
      <c r="H5884" s="7">
        <f t="shared" ref="H5884:N5884" si="2528">SUM(H5878:H5883)</f>
        <v>0</v>
      </c>
      <c r="I5884" s="7">
        <f t="shared" si="2528"/>
        <v>0</v>
      </c>
      <c r="J5884" s="7">
        <f>SUM(J5878:J5883)</f>
        <v>67</v>
      </c>
      <c r="K5884" s="7">
        <f t="shared" si="2528"/>
        <v>0</v>
      </c>
      <c r="L5884" s="7">
        <f t="shared" si="2528"/>
        <v>67</v>
      </c>
      <c r="M5884" s="7">
        <f t="shared" si="2528"/>
        <v>5</v>
      </c>
      <c r="N5884" s="7">
        <f t="shared" si="2528"/>
        <v>5</v>
      </c>
      <c r="O5884" s="18"/>
      <c r="P5884" s="13"/>
      <c r="Q5884" s="13"/>
      <c r="S5884" s="13"/>
      <c r="T5884" s="15"/>
      <c r="U5884" s="46" t="str">
        <f t="shared" si="2527"/>
        <v/>
      </c>
      <c r="V5884" s="46" t="str">
        <f t="shared" si="2527"/>
        <v/>
      </c>
      <c r="W5884" s="46" t="str">
        <f t="shared" si="2527"/>
        <v/>
      </c>
      <c r="X5884" s="46" t="str">
        <f t="shared" si="2527"/>
        <v/>
      </c>
    </row>
    <row r="5885" spans="2:24" x14ac:dyDescent="0.25">
      <c r="B5885" s="18"/>
      <c r="C5885" s="18"/>
      <c r="D5885" s="18"/>
      <c r="E5885" s="40"/>
      <c r="F5885" s="18"/>
      <c r="G5885" s="40"/>
      <c r="N5885" s="8" t="str">
        <f>IF(R5885="x",1,"")</f>
        <v/>
      </c>
      <c r="O5885" s="18"/>
      <c r="P5885" s="13"/>
      <c r="Q5885" s="13"/>
      <c r="R5885" s="13"/>
      <c r="S5885" s="13"/>
      <c r="T5885" s="15"/>
      <c r="U5885" s="46" t="str">
        <f t="shared" si="2527"/>
        <v/>
      </c>
      <c r="V5885" s="46" t="str">
        <f t="shared" si="2527"/>
        <v/>
      </c>
      <c r="W5885" s="46" t="str">
        <f t="shared" si="2527"/>
        <v/>
      </c>
      <c r="X5885" s="46" t="str">
        <f t="shared" si="2527"/>
        <v/>
      </c>
    </row>
    <row r="5886" spans="2:24" x14ac:dyDescent="0.25">
      <c r="B5886" s="18"/>
      <c r="C5886" s="18"/>
      <c r="D5886" s="18"/>
      <c r="E5886" s="40"/>
      <c r="F5886" s="18"/>
      <c r="G5886" s="40"/>
      <c r="N5886" s="8" t="str">
        <f>IF(R5886="x",1,"")</f>
        <v/>
      </c>
      <c r="O5886" s="18"/>
      <c r="P5886" s="13"/>
      <c r="Q5886" s="13"/>
      <c r="R5886" s="13"/>
      <c r="S5886" s="13"/>
      <c r="T5886" s="15"/>
      <c r="U5886" s="46" t="str">
        <f t="shared" si="2527"/>
        <v/>
      </c>
      <c r="V5886" s="46" t="str">
        <f t="shared" si="2527"/>
        <v/>
      </c>
      <c r="W5886" s="46" t="str">
        <f t="shared" si="2527"/>
        <v/>
      </c>
      <c r="X5886" s="46" t="str">
        <f t="shared" si="2527"/>
        <v/>
      </c>
    </row>
    <row r="5887" spans="2:24" x14ac:dyDescent="0.25">
      <c r="B5887" s="11" t="str">
        <f>CONCATENATE("SGVN","-",LEFT(P5887,2),UPPER(MID(P5887,4,3)),RIGHT(P5887,4))</f>
        <v>SGVN-07JUL1911</v>
      </c>
      <c r="C5887" s="11" t="s">
        <v>3281</v>
      </c>
      <c r="D5887" s="11" t="s">
        <v>3007</v>
      </c>
      <c r="E5887" s="39" t="s">
        <v>3282</v>
      </c>
      <c r="F5887" s="11" t="s">
        <v>1700</v>
      </c>
      <c r="G5887" s="39" t="s">
        <v>3283</v>
      </c>
      <c r="H5887" s="7">
        <v>0</v>
      </c>
      <c r="J5887" s="17">
        <v>18</v>
      </c>
      <c r="K5887" s="17"/>
      <c r="L5887" s="7">
        <f>SUM(H5887:K5887)</f>
        <v>18</v>
      </c>
      <c r="M5887" s="8">
        <v>1</v>
      </c>
      <c r="N5887" s="8">
        <f>IF(L5887&gt;0,1,"")</f>
        <v>1</v>
      </c>
      <c r="O5887" s="11" t="s">
        <v>1702</v>
      </c>
      <c r="P5887" s="16" t="str">
        <f>IF(LEN(G5887)=10,CONCATENATE("0",G5887),G5887)</f>
        <v>07-Jul-1911</v>
      </c>
      <c r="R5887" s="16" t="str">
        <f>IF($L5887&gt;0,"x","")</f>
        <v>x</v>
      </c>
      <c r="S5887" s="16" t="str">
        <f>IF($L5887&gt;0,"x","")</f>
        <v>x</v>
      </c>
      <c r="U5887" s="46" t="str">
        <f t="shared" si="2527"/>
        <v/>
      </c>
      <c r="V5887" s="46">
        <f t="shared" si="2527"/>
        <v>18</v>
      </c>
      <c r="W5887" s="46" t="str">
        <f t="shared" si="2527"/>
        <v/>
      </c>
      <c r="X5887" s="46" t="str">
        <f t="shared" si="2527"/>
        <v/>
      </c>
    </row>
    <row r="5888" spans="2:24" x14ac:dyDescent="0.25">
      <c r="N5888" s="8" t="str">
        <f>IF(R5888="x",1,"")</f>
        <v/>
      </c>
      <c r="U5888" s="46" t="str">
        <f t="shared" si="2527"/>
        <v/>
      </c>
      <c r="V5888" s="46" t="str">
        <f t="shared" si="2527"/>
        <v/>
      </c>
      <c r="W5888" s="46" t="str">
        <f t="shared" si="2527"/>
        <v/>
      </c>
      <c r="X5888" s="46" t="str">
        <f t="shared" si="2527"/>
        <v/>
      </c>
    </row>
    <row r="5889" spans="2:24" x14ac:dyDescent="0.25">
      <c r="B5889" s="18"/>
      <c r="C5889" s="18"/>
      <c r="D5889" s="18"/>
      <c r="E5889" s="40"/>
      <c r="F5889" s="18"/>
      <c r="G5889" s="40"/>
      <c r="H5889" s="7">
        <f t="shared" ref="H5889:N5889" si="2529">SUM(H5887:H5888)</f>
        <v>0</v>
      </c>
      <c r="I5889" s="7">
        <f t="shared" si="2529"/>
        <v>0</v>
      </c>
      <c r="J5889" s="7">
        <f>SUM(J5887:J5888)</f>
        <v>18</v>
      </c>
      <c r="K5889" s="7">
        <f t="shared" si="2529"/>
        <v>0</v>
      </c>
      <c r="L5889" s="7">
        <f t="shared" si="2529"/>
        <v>18</v>
      </c>
      <c r="M5889" s="7">
        <f t="shared" si="2529"/>
        <v>1</v>
      </c>
      <c r="N5889" s="7">
        <f t="shared" si="2529"/>
        <v>1</v>
      </c>
      <c r="O5889" s="18"/>
      <c r="P5889" s="13"/>
      <c r="Q5889" s="13"/>
      <c r="S5889" s="13"/>
      <c r="T5889" s="15"/>
      <c r="U5889" s="46" t="str">
        <f t="shared" si="2527"/>
        <v/>
      </c>
      <c r="V5889" s="46" t="str">
        <f t="shared" si="2527"/>
        <v/>
      </c>
      <c r="W5889" s="46" t="str">
        <f t="shared" si="2527"/>
        <v/>
      </c>
      <c r="X5889" s="46" t="str">
        <f t="shared" si="2527"/>
        <v/>
      </c>
    </row>
    <row r="5890" spans="2:24" x14ac:dyDescent="0.25">
      <c r="B5890" s="18"/>
      <c r="C5890" s="18"/>
      <c r="D5890" s="18"/>
      <c r="E5890" s="40"/>
      <c r="F5890" s="18"/>
      <c r="G5890" s="40"/>
      <c r="N5890" s="8" t="str">
        <f>IF(R5890="x",1,"")</f>
        <v/>
      </c>
      <c r="O5890" s="18"/>
      <c r="P5890" s="13"/>
      <c r="Q5890" s="13"/>
      <c r="R5890" s="13"/>
      <c r="S5890" s="13"/>
      <c r="T5890" s="15"/>
      <c r="U5890" s="46" t="str">
        <f t="shared" si="2527"/>
        <v/>
      </c>
      <c r="V5890" s="46" t="str">
        <f t="shared" si="2527"/>
        <v/>
      </c>
      <c r="W5890" s="46" t="str">
        <f t="shared" si="2527"/>
        <v/>
      </c>
      <c r="X5890" s="46" t="str">
        <f t="shared" si="2527"/>
        <v/>
      </c>
    </row>
    <row r="5891" spans="2:24" x14ac:dyDescent="0.25">
      <c r="B5891" s="18"/>
      <c r="C5891" s="18"/>
      <c r="D5891" s="18"/>
      <c r="E5891" s="40"/>
      <c r="F5891" s="18"/>
      <c r="G5891" s="40"/>
      <c r="N5891" s="8" t="str">
        <f>IF(R5891="x",1,"")</f>
        <v/>
      </c>
      <c r="O5891" s="18"/>
      <c r="P5891" s="13"/>
      <c r="Q5891" s="13"/>
      <c r="R5891" s="13"/>
      <c r="S5891" s="13"/>
      <c r="T5891" s="15"/>
      <c r="U5891" s="46" t="str">
        <f t="shared" si="2527"/>
        <v/>
      </c>
      <c r="V5891" s="46" t="str">
        <f t="shared" si="2527"/>
        <v/>
      </c>
      <c r="W5891" s="46" t="str">
        <f t="shared" si="2527"/>
        <v/>
      </c>
      <c r="X5891" s="46" t="str">
        <f t="shared" si="2527"/>
        <v/>
      </c>
    </row>
    <row r="5892" spans="2:24" x14ac:dyDescent="0.25">
      <c r="B5892" s="11" t="str">
        <f>CONCATENATE("SGUG","-",LEFT(P5892,2),UPPER(MID(P5892,4,3)),RIGHT(P5892,4))</f>
        <v>SGUG-13NOV1911</v>
      </c>
      <c r="C5892" s="11" t="s">
        <v>3176</v>
      </c>
      <c r="D5892" s="11" t="s">
        <v>3007</v>
      </c>
      <c r="E5892" s="39" t="s">
        <v>3599</v>
      </c>
      <c r="F5892" s="11" t="s">
        <v>1700</v>
      </c>
      <c r="G5892" s="39" t="s">
        <v>6261</v>
      </c>
      <c r="H5892" s="7">
        <v>0</v>
      </c>
      <c r="I5892" s="7">
        <v>0</v>
      </c>
      <c r="J5892" s="17">
        <v>25</v>
      </c>
      <c r="K5892" s="17"/>
      <c r="L5892" s="7">
        <f>SUM(H5892:K5892)</f>
        <v>25</v>
      </c>
      <c r="M5892" s="8">
        <v>1</v>
      </c>
      <c r="N5892" s="8">
        <f>IF(L5892&gt;0,1,"")</f>
        <v>1</v>
      </c>
      <c r="O5892" s="11" t="s">
        <v>1702</v>
      </c>
      <c r="P5892" s="16" t="str">
        <f>IF(LEN(G5892)=10,CONCATENATE("0",G5892),G5892)</f>
        <v>13-Nov-1911</v>
      </c>
      <c r="R5892" s="16" t="str">
        <f t="shared" ref="R5892:S5895" si="2530">IF($L5892&gt;0,"x","")</f>
        <v>x</v>
      </c>
      <c r="S5892" s="16" t="str">
        <f t="shared" si="2530"/>
        <v>x</v>
      </c>
      <c r="U5892" s="46" t="str">
        <f t="shared" si="2527"/>
        <v/>
      </c>
      <c r="V5892" s="46">
        <f t="shared" si="2527"/>
        <v>25</v>
      </c>
      <c r="W5892" s="46" t="str">
        <f t="shared" si="2527"/>
        <v/>
      </c>
      <c r="X5892" s="46" t="str">
        <f t="shared" si="2527"/>
        <v/>
      </c>
    </row>
    <row r="5893" spans="2:24" x14ac:dyDescent="0.25">
      <c r="B5893" s="11" t="str">
        <f>CONCATENATE("SGUG","-",LEFT(P5893,2),UPPER(MID(P5893,4,3)),RIGHT(P5893,4))</f>
        <v>SGUG-10JUN1912</v>
      </c>
      <c r="C5893" s="11" t="s">
        <v>3176</v>
      </c>
      <c r="D5893" s="11" t="s">
        <v>3007</v>
      </c>
      <c r="E5893" s="39" t="s">
        <v>3178</v>
      </c>
      <c r="F5893" s="11" t="s">
        <v>1700</v>
      </c>
      <c r="G5893" s="39" t="s">
        <v>3177</v>
      </c>
      <c r="H5893" s="7">
        <v>0</v>
      </c>
      <c r="J5893" s="17">
        <v>14</v>
      </c>
      <c r="K5893" s="17"/>
      <c r="L5893" s="7">
        <f>SUM(H5893:K5893)</f>
        <v>14</v>
      </c>
      <c r="M5893" s="8">
        <v>1</v>
      </c>
      <c r="N5893" s="8">
        <f>IF(L5893&gt;0,1,"")</f>
        <v>1</v>
      </c>
      <c r="O5893" s="11" t="s">
        <v>1702</v>
      </c>
      <c r="P5893" s="16" t="str">
        <f>IF(LEN(G5893)=10,CONCATENATE("0",G5893),G5893)</f>
        <v>10-Jun-1912</v>
      </c>
      <c r="R5893" s="16" t="str">
        <f t="shared" si="2530"/>
        <v>x</v>
      </c>
      <c r="S5893" s="16" t="str">
        <f t="shared" si="2530"/>
        <v>x</v>
      </c>
      <c r="U5893" s="46" t="str">
        <f t="shared" si="2527"/>
        <v/>
      </c>
      <c r="V5893" s="46">
        <f t="shared" si="2527"/>
        <v>14</v>
      </c>
      <c r="W5893" s="46" t="str">
        <f t="shared" si="2527"/>
        <v/>
      </c>
      <c r="X5893" s="46" t="str">
        <f t="shared" si="2527"/>
        <v/>
      </c>
    </row>
    <row r="5894" spans="2:24" x14ac:dyDescent="0.25">
      <c r="B5894" s="11" t="str">
        <f>CONCATENATE("SGUG","-",LEFT(P5894,2),UPPER(MID(P5894,4,3)),RIGHT(P5894,4))</f>
        <v>SGUG-02AUG1912</v>
      </c>
      <c r="C5894" s="11" t="s">
        <v>3176</v>
      </c>
      <c r="D5894" s="11" t="s">
        <v>3007</v>
      </c>
      <c r="E5894" s="39" t="s">
        <v>3862</v>
      </c>
      <c r="F5894" s="11" t="s">
        <v>1700</v>
      </c>
      <c r="G5894" s="39" t="s">
        <v>5674</v>
      </c>
      <c r="H5894" s="7">
        <v>0</v>
      </c>
      <c r="J5894" s="17">
        <v>8</v>
      </c>
      <c r="K5894" s="17"/>
      <c r="L5894" s="7">
        <f>SUM(H5894:K5894)</f>
        <v>8</v>
      </c>
      <c r="M5894" s="8">
        <v>1</v>
      </c>
      <c r="N5894" s="8">
        <f>IF(L5894&gt;0,1,"")</f>
        <v>1</v>
      </c>
      <c r="O5894" s="11" t="s">
        <v>1702</v>
      </c>
      <c r="P5894" s="16" t="str">
        <f>IF(LEN(G5894)=10,CONCATENATE("0",G5894),G5894)</f>
        <v>02-Aug-1912</v>
      </c>
      <c r="R5894" s="16" t="str">
        <f t="shared" si="2530"/>
        <v>x</v>
      </c>
      <c r="S5894" s="16" t="str">
        <f t="shared" si="2530"/>
        <v>x</v>
      </c>
      <c r="U5894" s="46" t="str">
        <f t="shared" ref="U5894:X5895" si="2531">IF($O5894=U$5,$L5894,"")</f>
        <v/>
      </c>
      <c r="V5894" s="46">
        <f t="shared" si="2531"/>
        <v>8</v>
      </c>
      <c r="W5894" s="46" t="str">
        <f t="shared" si="2531"/>
        <v/>
      </c>
      <c r="X5894" s="46" t="str">
        <f t="shared" si="2531"/>
        <v/>
      </c>
    </row>
    <row r="5895" spans="2:24" x14ac:dyDescent="0.25">
      <c r="B5895" s="11" t="str">
        <f>CONCATENATE("SGUG","-",LEFT(P5895,2),UPPER(MID(P5895,4,3)),RIGHT(P5895,4))</f>
        <v>SGUG-20SEP1915</v>
      </c>
      <c r="C5895" s="11" t="s">
        <v>3176</v>
      </c>
      <c r="D5895" s="11" t="s">
        <v>3007</v>
      </c>
      <c r="E5895" s="39" t="s">
        <v>6244</v>
      </c>
      <c r="F5895" s="11" t="s">
        <v>1700</v>
      </c>
      <c r="G5895" s="39" t="s">
        <v>6245</v>
      </c>
      <c r="H5895" s="7">
        <v>0</v>
      </c>
      <c r="I5895" s="7">
        <f>3+1</f>
        <v>4</v>
      </c>
      <c r="J5895" s="17">
        <v>0</v>
      </c>
      <c r="K5895" s="17"/>
      <c r="L5895" s="7">
        <f>SUM(H5895:K5895)</f>
        <v>4</v>
      </c>
      <c r="M5895" s="8">
        <v>1</v>
      </c>
      <c r="N5895" s="8">
        <f>IF(L5895&gt;0,1,"")</f>
        <v>1</v>
      </c>
      <c r="O5895" s="11" t="s">
        <v>1702</v>
      </c>
      <c r="P5895" s="16" t="str">
        <f>IF(LEN(G5895)=10,CONCATENATE("0",G5895),G5895)</f>
        <v>20-Sep-1915</v>
      </c>
      <c r="R5895" s="16" t="str">
        <f t="shared" si="2530"/>
        <v>x</v>
      </c>
      <c r="S5895" s="16" t="str">
        <f t="shared" si="2530"/>
        <v>x</v>
      </c>
      <c r="U5895" s="46" t="str">
        <f t="shared" si="2531"/>
        <v/>
      </c>
      <c r="V5895" s="46">
        <f t="shared" si="2531"/>
        <v>4</v>
      </c>
      <c r="W5895" s="46" t="str">
        <f t="shared" si="2531"/>
        <v/>
      </c>
      <c r="X5895" s="46" t="str">
        <f t="shared" si="2531"/>
        <v/>
      </c>
    </row>
    <row r="5896" spans="2:24" x14ac:dyDescent="0.25">
      <c r="N5896" s="8" t="str">
        <f>IF(R5896="x",1,"")</f>
        <v/>
      </c>
      <c r="U5896" s="46" t="str">
        <f t="shared" ref="U5896:X5900" si="2532">IF($O5896=U$5,$L5896,"")</f>
        <v/>
      </c>
      <c r="V5896" s="46" t="str">
        <f t="shared" si="2532"/>
        <v/>
      </c>
      <c r="W5896" s="46" t="str">
        <f t="shared" si="2532"/>
        <v/>
      </c>
      <c r="X5896" s="46" t="str">
        <f t="shared" si="2532"/>
        <v/>
      </c>
    </row>
    <row r="5897" spans="2:24" x14ac:dyDescent="0.25">
      <c r="B5897" s="18"/>
      <c r="C5897" s="18"/>
      <c r="D5897" s="18"/>
      <c r="E5897" s="40"/>
      <c r="F5897" s="18"/>
      <c r="G5897" s="40"/>
      <c r="H5897" s="7">
        <f t="shared" ref="H5897:N5897" si="2533">SUM(H5892:H5896)</f>
        <v>0</v>
      </c>
      <c r="I5897" s="7">
        <f t="shared" si="2533"/>
        <v>4</v>
      </c>
      <c r="J5897" s="7">
        <f>SUM(J5892:J5896)</f>
        <v>47</v>
      </c>
      <c r="K5897" s="7">
        <f t="shared" si="2533"/>
        <v>0</v>
      </c>
      <c r="L5897" s="7">
        <f t="shared" si="2533"/>
        <v>51</v>
      </c>
      <c r="M5897" s="7">
        <f t="shared" si="2533"/>
        <v>4</v>
      </c>
      <c r="N5897" s="7">
        <f t="shared" si="2533"/>
        <v>4</v>
      </c>
      <c r="O5897" s="18"/>
      <c r="P5897" s="13"/>
      <c r="Q5897" s="13"/>
      <c r="S5897" s="13"/>
      <c r="T5897" s="15"/>
      <c r="U5897" s="46" t="str">
        <f t="shared" si="2532"/>
        <v/>
      </c>
      <c r="V5897" s="46" t="str">
        <f t="shared" si="2532"/>
        <v/>
      </c>
      <c r="W5897" s="46" t="str">
        <f t="shared" si="2532"/>
        <v/>
      </c>
      <c r="X5897" s="46" t="str">
        <f t="shared" si="2532"/>
        <v/>
      </c>
    </row>
    <row r="5898" spans="2:24" x14ac:dyDescent="0.25">
      <c r="B5898" s="18"/>
      <c r="C5898" s="18"/>
      <c r="D5898" s="18"/>
      <c r="E5898" s="40"/>
      <c r="F5898" s="18"/>
      <c r="G5898" s="40"/>
      <c r="N5898" s="8" t="str">
        <f>IF(R5898="x",1,"")</f>
        <v/>
      </c>
      <c r="O5898" s="18"/>
      <c r="P5898" s="13"/>
      <c r="Q5898" s="13"/>
      <c r="R5898" s="13"/>
      <c r="S5898" s="13"/>
      <c r="T5898" s="15"/>
      <c r="U5898" s="46" t="str">
        <f t="shared" si="2532"/>
        <v/>
      </c>
      <c r="V5898" s="46" t="str">
        <f t="shared" si="2532"/>
        <v/>
      </c>
      <c r="W5898" s="46" t="str">
        <f t="shared" si="2532"/>
        <v/>
      </c>
      <c r="X5898" s="46" t="str">
        <f t="shared" si="2532"/>
        <v/>
      </c>
    </row>
    <row r="5899" spans="2:24" x14ac:dyDescent="0.25">
      <c r="B5899" s="18"/>
      <c r="C5899" s="18"/>
      <c r="D5899" s="18"/>
      <c r="E5899" s="40"/>
      <c r="F5899" s="18"/>
      <c r="G5899" s="40"/>
      <c r="N5899" s="8" t="str">
        <f>IF(R5899="x",1,"")</f>
        <v/>
      </c>
      <c r="O5899" s="18"/>
      <c r="P5899" s="13"/>
      <c r="Q5899" s="13"/>
      <c r="R5899" s="13"/>
      <c r="S5899" s="13"/>
      <c r="T5899" s="15"/>
      <c r="U5899" s="46" t="str">
        <f t="shared" si="2532"/>
        <v/>
      </c>
      <c r="V5899" s="46" t="str">
        <f t="shared" si="2532"/>
        <v/>
      </c>
      <c r="W5899" s="46" t="str">
        <f t="shared" si="2532"/>
        <v/>
      </c>
      <c r="X5899" s="46" t="str">
        <f t="shared" si="2532"/>
        <v/>
      </c>
    </row>
    <row r="5900" spans="2:24" x14ac:dyDescent="0.25">
      <c r="B5900" s="11" t="str">
        <f>CONCATENATE("SANN","-",LEFT(P5900,2),UPPER(MID(P5900,4,3)),RIGHT(P5900,4))</f>
        <v>SANN-12JUL1906</v>
      </c>
      <c r="C5900" s="11" t="s">
        <v>4058</v>
      </c>
      <c r="D5900" s="11" t="s">
        <v>3007</v>
      </c>
      <c r="E5900" s="39" t="s">
        <v>2645</v>
      </c>
      <c r="F5900" s="11" t="s">
        <v>1700</v>
      </c>
      <c r="G5900" s="39" t="s">
        <v>5908</v>
      </c>
      <c r="I5900" s="7">
        <v>0</v>
      </c>
      <c r="J5900" s="17">
        <v>4</v>
      </c>
      <c r="K5900" s="17"/>
      <c r="L5900" s="7">
        <f>SUM(H5900:K5900)</f>
        <v>4</v>
      </c>
      <c r="M5900" s="8">
        <v>1</v>
      </c>
      <c r="N5900" s="8">
        <f>IF(L5900&gt;0,1,"")</f>
        <v>1</v>
      </c>
      <c r="O5900" s="11" t="s">
        <v>1702</v>
      </c>
      <c r="P5900" s="16" t="str">
        <f>IF(LEN(G5900)=10,CONCATENATE("0",G5900),G5900)</f>
        <v>12-Jul-1906</v>
      </c>
      <c r="R5900" s="16" t="str">
        <f t="shared" ref="R5900:S5902" si="2534">IF($L5900&gt;0,"x","")</f>
        <v>x</v>
      </c>
      <c r="S5900" s="16" t="str">
        <f t="shared" si="2534"/>
        <v>x</v>
      </c>
      <c r="U5900" s="46" t="str">
        <f t="shared" si="2532"/>
        <v/>
      </c>
      <c r="V5900" s="46">
        <f t="shared" si="2532"/>
        <v>4</v>
      </c>
      <c r="W5900" s="46" t="str">
        <f t="shared" si="2532"/>
        <v/>
      </c>
      <c r="X5900" s="46" t="str">
        <f t="shared" si="2532"/>
        <v/>
      </c>
    </row>
    <row r="5901" spans="2:24" x14ac:dyDescent="0.25">
      <c r="B5901" s="11" t="str">
        <f>CONCATENATE("SANN","-",LEFT(P5901,2),UPPER(MID(P5901,4,3)),RIGHT(P5901,4))</f>
        <v>SANN-26SEP1907</v>
      </c>
      <c r="C5901" s="11" t="s">
        <v>4058</v>
      </c>
      <c r="D5901" s="11" t="s">
        <v>3007</v>
      </c>
      <c r="E5901" s="39" t="s">
        <v>4060</v>
      </c>
      <c r="F5901" s="11" t="s">
        <v>1700</v>
      </c>
      <c r="G5901" s="39" t="s">
        <v>4059</v>
      </c>
      <c r="I5901" s="7">
        <v>0</v>
      </c>
      <c r="J5901" s="17">
        <v>6</v>
      </c>
      <c r="K5901" s="17"/>
      <c r="L5901" s="7">
        <f>SUM(H5901:K5901)</f>
        <v>6</v>
      </c>
      <c r="M5901" s="8">
        <v>1</v>
      </c>
      <c r="N5901" s="8">
        <f>IF(L5901&gt;0,1,"")</f>
        <v>1</v>
      </c>
      <c r="O5901" s="11" t="s">
        <v>1702</v>
      </c>
      <c r="P5901" s="16" t="str">
        <f>IF(LEN(G5901)=10,CONCATENATE("0",G5901),G5901)</f>
        <v>26-Sep-1907</v>
      </c>
      <c r="R5901" s="16" t="str">
        <f t="shared" si="2534"/>
        <v>x</v>
      </c>
      <c r="S5901" s="16" t="str">
        <f t="shared" si="2534"/>
        <v>x</v>
      </c>
      <c r="U5901" s="46" t="str">
        <f t="shared" ref="U5901:X5902" si="2535">IF($O5901=U$5,$L5901,"")</f>
        <v/>
      </c>
      <c r="V5901" s="46">
        <f t="shared" si="2535"/>
        <v>6</v>
      </c>
      <c r="W5901" s="46" t="str">
        <f t="shared" si="2535"/>
        <v/>
      </c>
      <c r="X5901" s="46" t="str">
        <f t="shared" si="2535"/>
        <v/>
      </c>
    </row>
    <row r="5902" spans="2:24" x14ac:dyDescent="0.25">
      <c r="B5902" s="11" t="str">
        <f>CONCATENATE("SANN","-",LEFT(P5902,2),UPPER(MID(P5902,4,3)),RIGHT(P5902,4))</f>
        <v>SANN-22NOV1909</v>
      </c>
      <c r="C5902" s="11" t="s">
        <v>4058</v>
      </c>
      <c r="D5902" s="11" t="s">
        <v>3007</v>
      </c>
      <c r="E5902" s="39" t="s">
        <v>2741</v>
      </c>
      <c r="F5902" s="11" t="s">
        <v>1700</v>
      </c>
      <c r="G5902" s="39" t="s">
        <v>5878</v>
      </c>
      <c r="J5902" s="17">
        <v>46</v>
      </c>
      <c r="K5902" s="17"/>
      <c r="L5902" s="7">
        <f>SUM(H5902:K5902)</f>
        <v>46</v>
      </c>
      <c r="M5902" s="8">
        <v>1</v>
      </c>
      <c r="N5902" s="8">
        <f>IF(L5902&gt;0,1,"")</f>
        <v>1</v>
      </c>
      <c r="O5902" s="11" t="s">
        <v>1702</v>
      </c>
      <c r="P5902" s="16" t="str">
        <f>IF(LEN(G5902)=10,CONCATENATE("0",G5902),G5902)</f>
        <v>22-Nov-1909</v>
      </c>
      <c r="R5902" s="16" t="str">
        <f t="shared" si="2534"/>
        <v>x</v>
      </c>
      <c r="S5902" s="16" t="str">
        <f t="shared" si="2534"/>
        <v>x</v>
      </c>
      <c r="U5902" s="46" t="str">
        <f t="shared" si="2535"/>
        <v/>
      </c>
      <c r="V5902" s="46">
        <f t="shared" si="2535"/>
        <v>46</v>
      </c>
      <c r="W5902" s="46" t="str">
        <f t="shared" si="2535"/>
        <v/>
      </c>
      <c r="X5902" s="46" t="str">
        <f t="shared" si="2535"/>
        <v/>
      </c>
    </row>
    <row r="5903" spans="2:24" x14ac:dyDescent="0.25">
      <c r="N5903" s="8" t="str">
        <f>IF(R5903="x",1,"")</f>
        <v/>
      </c>
      <c r="U5903" s="46" t="str">
        <f t="shared" ref="U5903:X5904" si="2536">IF($O5903=U$5,$L5903,"")</f>
        <v/>
      </c>
      <c r="V5903" s="46" t="str">
        <f t="shared" si="2536"/>
        <v/>
      </c>
      <c r="W5903" s="46" t="str">
        <f t="shared" si="2536"/>
        <v/>
      </c>
      <c r="X5903" s="46" t="str">
        <f t="shared" si="2536"/>
        <v/>
      </c>
    </row>
    <row r="5904" spans="2:24" x14ac:dyDescent="0.25">
      <c r="B5904" s="18"/>
      <c r="C5904" s="18"/>
      <c r="D5904" s="18"/>
      <c r="E5904" s="40"/>
      <c r="F5904" s="18"/>
      <c r="G5904" s="40"/>
      <c r="H5904" s="7">
        <f t="shared" ref="H5904:N5904" si="2537">SUM(H5900:H5903)</f>
        <v>0</v>
      </c>
      <c r="I5904" s="7">
        <f t="shared" si="2537"/>
        <v>0</v>
      </c>
      <c r="J5904" s="7">
        <f>SUM(J5900:J5903)</f>
        <v>56</v>
      </c>
      <c r="K5904" s="7">
        <f t="shared" si="2537"/>
        <v>0</v>
      </c>
      <c r="L5904" s="7">
        <f t="shared" si="2537"/>
        <v>56</v>
      </c>
      <c r="M5904" s="7">
        <f t="shared" si="2537"/>
        <v>3</v>
      </c>
      <c r="N5904" s="7">
        <f t="shared" si="2537"/>
        <v>3</v>
      </c>
      <c r="O5904" s="18"/>
      <c r="P5904" s="13"/>
      <c r="Q5904" s="13"/>
      <c r="S5904" s="13"/>
      <c r="T5904" s="15"/>
      <c r="U5904" s="46" t="str">
        <f t="shared" si="2536"/>
        <v/>
      </c>
      <c r="V5904" s="46" t="str">
        <f t="shared" si="2536"/>
        <v/>
      </c>
      <c r="W5904" s="46" t="str">
        <f t="shared" si="2536"/>
        <v/>
      </c>
      <c r="X5904" s="46" t="str">
        <f t="shared" si="2536"/>
        <v/>
      </c>
    </row>
    <row r="5905" spans="2:24" x14ac:dyDescent="0.25">
      <c r="B5905" s="18"/>
      <c r="C5905" s="18"/>
      <c r="D5905" s="18"/>
      <c r="E5905" s="40"/>
      <c r="F5905" s="18"/>
      <c r="G5905" s="40"/>
      <c r="N5905" s="8" t="str">
        <f>IF(R5905="x",1,"")</f>
        <v/>
      </c>
      <c r="O5905" s="18"/>
      <c r="P5905" s="13"/>
      <c r="Q5905" s="13"/>
      <c r="R5905" s="13"/>
      <c r="S5905" s="13"/>
      <c r="T5905" s="15"/>
      <c r="U5905" s="46" t="str">
        <f t="shared" ref="U5905:X5911" si="2538">IF($O5905=U$5,$L5905,"")</f>
        <v/>
      </c>
      <c r="V5905" s="46" t="str">
        <f t="shared" si="2538"/>
        <v/>
      </c>
      <c r="W5905" s="46" t="str">
        <f t="shared" si="2538"/>
        <v/>
      </c>
      <c r="X5905" s="46" t="str">
        <f t="shared" si="2538"/>
        <v/>
      </c>
    </row>
    <row r="5906" spans="2:24" x14ac:dyDescent="0.25">
      <c r="B5906" s="18"/>
      <c r="C5906" s="18"/>
      <c r="D5906" s="18"/>
      <c r="E5906" s="40"/>
      <c r="F5906" s="18"/>
      <c r="G5906" s="40"/>
      <c r="N5906" s="8" t="str">
        <f>IF(R5906="x",1,"")</f>
        <v/>
      </c>
      <c r="O5906" s="18"/>
      <c r="P5906" s="13"/>
      <c r="Q5906" s="13"/>
      <c r="R5906" s="13"/>
      <c r="S5906" s="13"/>
      <c r="T5906" s="15"/>
      <c r="U5906" s="46" t="str">
        <f t="shared" si="2538"/>
        <v/>
      </c>
      <c r="V5906" s="46" t="str">
        <f t="shared" si="2538"/>
        <v/>
      </c>
      <c r="W5906" s="46" t="str">
        <f t="shared" si="2538"/>
        <v/>
      </c>
      <c r="X5906" s="46" t="str">
        <f t="shared" si="2538"/>
        <v/>
      </c>
    </row>
    <row r="5907" spans="2:24" x14ac:dyDescent="0.25">
      <c r="B5907" s="11" t="str">
        <f>CONCATENATE("SANT","-",LEFT(P5907,2),UPPER(MID(P5907,4,3)),RIGHT(P5907,4))</f>
        <v>SANT-14JUL1911</v>
      </c>
      <c r="C5907" s="11" t="s">
        <v>4908</v>
      </c>
      <c r="D5907" s="11" t="s">
        <v>3007</v>
      </c>
      <c r="E5907" s="39" t="s">
        <v>1519</v>
      </c>
      <c r="F5907" s="11" t="s">
        <v>1700</v>
      </c>
      <c r="G5907" s="39" t="s">
        <v>4909</v>
      </c>
      <c r="H5907" s="7">
        <v>0</v>
      </c>
      <c r="I5907" s="7">
        <v>0</v>
      </c>
      <c r="J5907" s="17">
        <v>17</v>
      </c>
      <c r="K5907" s="17"/>
      <c r="L5907" s="7">
        <f>SUM(H5907:K5907)</f>
        <v>17</v>
      </c>
      <c r="M5907" s="8">
        <v>1</v>
      </c>
      <c r="N5907" s="8">
        <f>IF(L5907&gt;0,1,"")</f>
        <v>1</v>
      </c>
      <c r="O5907" s="11" t="s">
        <v>1702</v>
      </c>
      <c r="P5907" s="16" t="str">
        <f>IF(LEN(G5907)=10,CONCATENATE("0",G5907),G5907)</f>
        <v>14-Jul-1911</v>
      </c>
      <c r="R5907" s="16" t="str">
        <f t="shared" ref="R5907:S5909" si="2539">IF($L5907&gt;0,"x","")</f>
        <v>x</v>
      </c>
      <c r="S5907" s="16" t="str">
        <f t="shared" si="2539"/>
        <v>x</v>
      </c>
      <c r="U5907" s="46" t="str">
        <f t="shared" si="2538"/>
        <v/>
      </c>
      <c r="V5907" s="46">
        <f t="shared" si="2538"/>
        <v>17</v>
      </c>
      <c r="W5907" s="46" t="str">
        <f t="shared" si="2538"/>
        <v/>
      </c>
      <c r="X5907" s="46" t="str">
        <f>IF($O5907=X$5,$L5907,"")</f>
        <v/>
      </c>
    </row>
    <row r="5908" spans="2:24" x14ac:dyDescent="0.25">
      <c r="B5908" s="11" t="str">
        <f>CONCATENATE("SANT","-",LEFT(P5908,2),UPPER(MID(P5908,4,3)),RIGHT(P5908,4))</f>
        <v>SANT-14MAR1914</v>
      </c>
      <c r="C5908" s="11" t="s">
        <v>4908</v>
      </c>
      <c r="D5908" s="11" t="s">
        <v>870</v>
      </c>
      <c r="E5908" s="39" t="s">
        <v>2365</v>
      </c>
      <c r="F5908" s="11" t="s">
        <v>1700</v>
      </c>
      <c r="G5908" s="39" t="s">
        <v>1030</v>
      </c>
      <c r="H5908" s="7">
        <v>0</v>
      </c>
      <c r="I5908" s="7">
        <v>0</v>
      </c>
      <c r="J5908" s="17">
        <v>0</v>
      </c>
      <c r="K5908" s="17"/>
      <c r="L5908" s="7">
        <f>SUM(H5908:K5908)</f>
        <v>0</v>
      </c>
      <c r="M5908" s="8">
        <v>1</v>
      </c>
      <c r="N5908" s="8" t="str">
        <f>IF(L5908&gt;0,1,"")</f>
        <v/>
      </c>
      <c r="O5908" s="11" t="s">
        <v>1702</v>
      </c>
      <c r="P5908" s="16" t="str">
        <f>IF(LEN(G5908)=10,CONCATENATE("0",G5908),G5908)</f>
        <v>14-Mar-1914</v>
      </c>
      <c r="R5908" s="16" t="str">
        <f t="shared" si="2539"/>
        <v/>
      </c>
      <c r="S5908" s="16" t="str">
        <f t="shared" si="2539"/>
        <v/>
      </c>
      <c r="U5908" s="46" t="str">
        <f t="shared" si="2538"/>
        <v/>
      </c>
      <c r="V5908" s="46">
        <f t="shared" si="2538"/>
        <v>0</v>
      </c>
      <c r="W5908" s="46" t="str">
        <f t="shared" si="2538"/>
        <v/>
      </c>
      <c r="X5908" s="46" t="str">
        <f>IF($O5908=X$5,$L5908,"")</f>
        <v/>
      </c>
    </row>
    <row r="5909" spans="2:24" x14ac:dyDescent="0.25">
      <c r="B5909" s="11" t="str">
        <f>CONCATENATE("SANT","-",LEFT(P5909,2),UPPER(MID(P5909,4,3)),RIGHT(P5909,4))</f>
        <v>SANT-14MAR1914</v>
      </c>
      <c r="C5909" s="11" t="s">
        <v>4908</v>
      </c>
      <c r="D5909" s="11" t="s">
        <v>3007</v>
      </c>
      <c r="E5909" s="39" t="s">
        <v>1551</v>
      </c>
      <c r="F5909" s="11" t="s">
        <v>1700</v>
      </c>
      <c r="G5909" s="39" t="s">
        <v>1030</v>
      </c>
      <c r="H5909" s="7">
        <v>0</v>
      </c>
      <c r="I5909" s="7">
        <v>2</v>
      </c>
      <c r="J5909" s="17">
        <v>1</v>
      </c>
      <c r="K5909" s="17"/>
      <c r="L5909" s="7">
        <f>SUM(H5909:K5909)</f>
        <v>3</v>
      </c>
      <c r="M5909" s="8">
        <v>1</v>
      </c>
      <c r="N5909" s="8">
        <f>IF(L5909&gt;0,1,"")</f>
        <v>1</v>
      </c>
      <c r="O5909" s="11" t="s">
        <v>1702</v>
      </c>
      <c r="P5909" s="16" t="str">
        <f>IF(LEN(G5909)=10,CONCATENATE("0",G5909),G5909)</f>
        <v>14-Mar-1914</v>
      </c>
      <c r="R5909" s="16" t="str">
        <f t="shared" si="2539"/>
        <v>x</v>
      </c>
      <c r="S5909" s="16" t="str">
        <f t="shared" si="2539"/>
        <v>x</v>
      </c>
      <c r="U5909" s="46" t="str">
        <f t="shared" si="2538"/>
        <v/>
      </c>
      <c r="V5909" s="46">
        <f t="shared" si="2538"/>
        <v>3</v>
      </c>
      <c r="W5909" s="46" t="str">
        <f t="shared" si="2538"/>
        <v/>
      </c>
      <c r="X5909" s="46" t="str">
        <f>IF($O5909=X$5,$L5909,"")</f>
        <v/>
      </c>
    </row>
    <row r="5910" spans="2:24" x14ac:dyDescent="0.25">
      <c r="N5910" s="8" t="str">
        <f>IF(R5910="x",1,"")</f>
        <v/>
      </c>
      <c r="U5910" s="46" t="str">
        <f t="shared" si="2538"/>
        <v/>
      </c>
      <c r="V5910" s="46" t="str">
        <f t="shared" si="2538"/>
        <v/>
      </c>
      <c r="W5910" s="46" t="str">
        <f t="shared" si="2538"/>
        <v/>
      </c>
      <c r="X5910" s="46" t="str">
        <f t="shared" si="2538"/>
        <v/>
      </c>
    </row>
    <row r="5911" spans="2:24" x14ac:dyDescent="0.25">
      <c r="B5911" s="18"/>
      <c r="C5911" s="18"/>
      <c r="D5911" s="18"/>
      <c r="E5911" s="40"/>
      <c r="F5911" s="18"/>
      <c r="G5911" s="40"/>
      <c r="H5911" s="7">
        <f t="shared" ref="H5911:N5911" si="2540">SUM(H5907:H5910)</f>
        <v>0</v>
      </c>
      <c r="I5911" s="7">
        <f t="shared" si="2540"/>
        <v>2</v>
      </c>
      <c r="J5911" s="7">
        <f>SUM(J5907:J5910)</f>
        <v>18</v>
      </c>
      <c r="K5911" s="7">
        <f t="shared" si="2540"/>
        <v>0</v>
      </c>
      <c r="L5911" s="7">
        <f t="shared" si="2540"/>
        <v>20</v>
      </c>
      <c r="M5911" s="7">
        <f t="shared" si="2540"/>
        <v>3</v>
      </c>
      <c r="N5911" s="7">
        <f t="shared" si="2540"/>
        <v>2</v>
      </c>
      <c r="O5911" s="18"/>
      <c r="P5911" s="13"/>
      <c r="Q5911" s="13"/>
      <c r="S5911" s="13"/>
      <c r="T5911" s="15"/>
      <c r="U5911" s="46" t="str">
        <f t="shared" si="2538"/>
        <v/>
      </c>
      <c r="V5911" s="46" t="str">
        <f t="shared" si="2538"/>
        <v/>
      </c>
      <c r="W5911" s="46" t="str">
        <f t="shared" si="2538"/>
        <v/>
      </c>
      <c r="X5911" s="46" t="str">
        <f t="shared" si="2538"/>
        <v/>
      </c>
    </row>
    <row r="5912" spans="2:24" x14ac:dyDescent="0.25">
      <c r="B5912" s="18"/>
      <c r="C5912" s="18"/>
      <c r="D5912" s="18"/>
      <c r="E5912" s="40"/>
      <c r="F5912" s="18"/>
      <c r="G5912" s="40"/>
      <c r="N5912" s="8" t="str">
        <f>IF(R5912="x",1,"")</f>
        <v/>
      </c>
      <c r="O5912" s="18"/>
      <c r="P5912" s="13"/>
      <c r="Q5912" s="13"/>
      <c r="R5912" s="13"/>
      <c r="S5912" s="13"/>
      <c r="T5912" s="15"/>
      <c r="U5912" s="46" t="str">
        <f t="shared" ref="U5912:X5916" si="2541">IF($O5912=U$5,$L5912,"")</f>
        <v/>
      </c>
      <c r="V5912" s="46" t="str">
        <f t="shared" si="2541"/>
        <v/>
      </c>
      <c r="W5912" s="46" t="str">
        <f t="shared" si="2541"/>
        <v/>
      </c>
      <c r="X5912" s="46" t="str">
        <f t="shared" si="2541"/>
        <v/>
      </c>
    </row>
    <row r="5913" spans="2:24" x14ac:dyDescent="0.25">
      <c r="B5913" s="18"/>
      <c r="C5913" s="18"/>
      <c r="D5913" s="18"/>
      <c r="E5913" s="40"/>
      <c r="F5913" s="18"/>
      <c r="G5913" s="40"/>
      <c r="N5913" s="8" t="str">
        <f>IF(R5913="x",1,"")</f>
        <v/>
      </c>
      <c r="O5913" s="18"/>
      <c r="P5913" s="13"/>
      <c r="Q5913" s="13"/>
      <c r="R5913" s="13"/>
      <c r="S5913" s="13"/>
      <c r="T5913" s="15"/>
      <c r="U5913" s="46" t="str">
        <f t="shared" si="2541"/>
        <v/>
      </c>
      <c r="V5913" s="46" t="str">
        <f t="shared" si="2541"/>
        <v/>
      </c>
      <c r="W5913" s="46" t="str">
        <f t="shared" si="2541"/>
        <v/>
      </c>
      <c r="X5913" s="46" t="str">
        <f t="shared" si="2541"/>
        <v/>
      </c>
    </row>
    <row r="5914" spans="2:24" x14ac:dyDescent="0.25">
      <c r="B5914" s="11" t="str">
        <f>CONCATENATE("SNTR","-",LEFT(P5914,2),UPPER(MID(P5914,4,3)),RIGHT(P5914,4))</f>
        <v>SNTR-31MAY1920</v>
      </c>
      <c r="C5914" s="11" t="s">
        <v>5506</v>
      </c>
      <c r="D5914" s="11" t="s">
        <v>1699</v>
      </c>
      <c r="E5914" s="39" t="s">
        <v>5507</v>
      </c>
      <c r="F5914" s="11" t="s">
        <v>1700</v>
      </c>
      <c r="G5914" s="39" t="s">
        <v>2415</v>
      </c>
      <c r="H5914" s="7">
        <v>0</v>
      </c>
      <c r="J5914" s="17">
        <v>2</v>
      </c>
      <c r="K5914" s="17"/>
      <c r="L5914" s="7">
        <f>SUM(H5914:K5914)</f>
        <v>2</v>
      </c>
      <c r="M5914" s="8">
        <v>1</v>
      </c>
      <c r="N5914" s="8">
        <f>IF(L5914&gt;0,1,"")</f>
        <v>1</v>
      </c>
      <c r="O5914" s="11" t="s">
        <v>1702</v>
      </c>
      <c r="P5914" s="16" t="str">
        <f>IF(LEN(G5914)=10,CONCATENATE("0",G5914),G5914)</f>
        <v>31-May-1920</v>
      </c>
      <c r="R5914" s="16" t="str">
        <f>IF($L5914&gt;0,"x","")</f>
        <v>x</v>
      </c>
      <c r="S5914" s="16" t="str">
        <f>IF($L5914&gt;0,"x","")</f>
        <v>x</v>
      </c>
      <c r="U5914" s="46" t="str">
        <f t="shared" si="2541"/>
        <v/>
      </c>
      <c r="V5914" s="46">
        <f t="shared" si="2541"/>
        <v>2</v>
      </c>
      <c r="W5914" s="46" t="str">
        <f t="shared" si="2541"/>
        <v/>
      </c>
      <c r="X5914" s="46" t="str">
        <f>IF($O5914=X$5,$L5914,"")</f>
        <v/>
      </c>
    </row>
    <row r="5915" spans="2:24" x14ac:dyDescent="0.25">
      <c r="N5915" s="8" t="str">
        <f>IF(R5915="x",1,"")</f>
        <v/>
      </c>
      <c r="U5915" s="46" t="str">
        <f t="shared" si="2541"/>
        <v/>
      </c>
      <c r="V5915" s="46" t="str">
        <f t="shared" si="2541"/>
        <v/>
      </c>
      <c r="W5915" s="46" t="str">
        <f t="shared" si="2541"/>
        <v/>
      </c>
      <c r="X5915" s="46" t="str">
        <f t="shared" si="2541"/>
        <v/>
      </c>
    </row>
    <row r="5916" spans="2:24" x14ac:dyDescent="0.25">
      <c r="B5916" s="18"/>
      <c r="C5916" s="18"/>
      <c r="D5916" s="18"/>
      <c r="E5916" s="40"/>
      <c r="F5916" s="18"/>
      <c r="G5916" s="40"/>
      <c r="H5916" s="7">
        <f t="shared" ref="H5916:N5916" si="2542">SUM(H5914:H5915)</f>
        <v>0</v>
      </c>
      <c r="I5916" s="7">
        <f t="shared" si="2542"/>
        <v>0</v>
      </c>
      <c r="J5916" s="7">
        <f>SUM(J5914:J5915)</f>
        <v>2</v>
      </c>
      <c r="K5916" s="7">
        <f t="shared" si="2542"/>
        <v>0</v>
      </c>
      <c r="L5916" s="7">
        <f t="shared" si="2542"/>
        <v>2</v>
      </c>
      <c r="M5916" s="7">
        <f t="shared" si="2542"/>
        <v>1</v>
      </c>
      <c r="N5916" s="7">
        <f t="shared" si="2542"/>
        <v>1</v>
      </c>
      <c r="O5916" s="18"/>
      <c r="P5916" s="13"/>
      <c r="Q5916" s="13"/>
      <c r="S5916" s="13"/>
      <c r="T5916" s="15"/>
      <c r="U5916" s="46" t="str">
        <f t="shared" si="2541"/>
        <v/>
      </c>
      <c r="V5916" s="46" t="str">
        <f t="shared" si="2541"/>
        <v/>
      </c>
      <c r="W5916" s="46" t="str">
        <f t="shared" si="2541"/>
        <v/>
      </c>
      <c r="X5916" s="46" t="str">
        <f t="shared" si="2541"/>
        <v/>
      </c>
    </row>
    <row r="5917" spans="2:24" x14ac:dyDescent="0.25">
      <c r="B5917" s="18"/>
      <c r="C5917" s="18"/>
      <c r="D5917" s="18"/>
      <c r="E5917" s="40"/>
      <c r="F5917" s="18"/>
      <c r="G5917" s="40"/>
      <c r="N5917" s="8" t="str">
        <f>IF(R5917="x",1,"")</f>
        <v/>
      </c>
      <c r="O5917" s="18"/>
      <c r="P5917" s="13"/>
      <c r="Q5917" s="13"/>
      <c r="R5917" s="13"/>
      <c r="S5917" s="13"/>
      <c r="T5917" s="15"/>
      <c r="U5917" s="46" t="str">
        <f t="shared" ref="U5917:X5919" si="2543">IF($O5917=U$5,$L5917,"")</f>
        <v/>
      </c>
      <c r="V5917" s="46" t="str">
        <f t="shared" si="2543"/>
        <v/>
      </c>
      <c r="W5917" s="46" t="str">
        <f t="shared" si="2543"/>
        <v/>
      </c>
      <c r="X5917" s="46" t="str">
        <f t="shared" si="2543"/>
        <v/>
      </c>
    </row>
    <row r="5918" spans="2:24" x14ac:dyDescent="0.25">
      <c r="B5918" s="18"/>
      <c r="C5918" s="18"/>
      <c r="D5918" s="18"/>
      <c r="E5918" s="40"/>
      <c r="F5918" s="18"/>
      <c r="G5918" s="40"/>
      <c r="N5918" s="8" t="str">
        <f>IF(R5918="x",1,"")</f>
        <v/>
      </c>
      <c r="O5918" s="18"/>
      <c r="P5918" s="13"/>
      <c r="Q5918" s="13"/>
      <c r="R5918" s="13"/>
      <c r="S5918" s="13"/>
      <c r="T5918" s="15"/>
      <c r="U5918" s="46" t="str">
        <f t="shared" si="2543"/>
        <v/>
      </c>
      <c r="V5918" s="46" t="str">
        <f t="shared" si="2543"/>
        <v/>
      </c>
      <c r="W5918" s="46" t="str">
        <f t="shared" si="2543"/>
        <v/>
      </c>
      <c r="X5918" s="46" t="str">
        <f t="shared" si="2543"/>
        <v/>
      </c>
    </row>
    <row r="5919" spans="2:24" x14ac:dyDescent="0.25">
      <c r="B5919" s="11" t="str">
        <f>CONCATENATE("SARD","-",LEFT(P5919,2),UPPER(MID(P5919,4,3)),RIGHT(P5919,4))</f>
        <v>SARD-24DEC1906</v>
      </c>
      <c r="C5919" s="11" t="s">
        <v>3588</v>
      </c>
      <c r="D5919" s="11" t="s">
        <v>1699</v>
      </c>
      <c r="E5919" s="39" t="s">
        <v>5072</v>
      </c>
      <c r="F5919" s="11" t="s">
        <v>2904</v>
      </c>
      <c r="G5919" s="39" t="s">
        <v>3400</v>
      </c>
      <c r="I5919" s="7">
        <v>10</v>
      </c>
      <c r="J5919" s="17">
        <v>0</v>
      </c>
      <c r="K5919" s="17"/>
      <c r="L5919" s="7">
        <f>SUM(H5919:K5919)</f>
        <v>10</v>
      </c>
      <c r="M5919" s="8">
        <v>1</v>
      </c>
      <c r="N5919" s="8">
        <f>IF(L5919&gt;0,1,"")</f>
        <v>1</v>
      </c>
      <c r="O5919" s="11" t="s">
        <v>1702</v>
      </c>
      <c r="P5919" s="16" t="str">
        <f>IF(LEN(G5919)=10,CONCATENATE("0",G5919),G5919)</f>
        <v>24-Dec-1906</v>
      </c>
      <c r="R5919" s="16" t="str">
        <f t="shared" ref="R5919:S5921" si="2544">IF($L5919&gt;0,"x","")</f>
        <v>x</v>
      </c>
      <c r="S5919" s="16" t="str">
        <f t="shared" si="2544"/>
        <v>x</v>
      </c>
      <c r="U5919" s="46" t="str">
        <f t="shared" si="2543"/>
        <v/>
      </c>
      <c r="V5919" s="46">
        <f t="shared" si="2543"/>
        <v>10</v>
      </c>
      <c r="W5919" s="46" t="str">
        <f t="shared" si="2543"/>
        <v/>
      </c>
      <c r="X5919" s="46" t="str">
        <f t="shared" si="2543"/>
        <v/>
      </c>
    </row>
    <row r="5920" spans="2:24" x14ac:dyDescent="0.25">
      <c r="B5920" s="11" t="str">
        <f>CONCATENATE("SARD","-",LEFT(P5920,2),UPPER(MID(P5920,4,3)),RIGHT(P5920,4))</f>
        <v>SARD-17OCT1908</v>
      </c>
      <c r="C5920" s="11" t="s">
        <v>3588</v>
      </c>
      <c r="D5920" s="11" t="s">
        <v>1699</v>
      </c>
      <c r="E5920" s="39" t="s">
        <v>1827</v>
      </c>
      <c r="F5920" s="11" t="s">
        <v>2813</v>
      </c>
      <c r="G5920" s="39" t="s">
        <v>924</v>
      </c>
      <c r="J5920" s="17">
        <v>5</v>
      </c>
      <c r="K5920" s="17"/>
      <c r="L5920" s="7">
        <f>SUM(H5920:K5920)</f>
        <v>5</v>
      </c>
      <c r="M5920" s="8">
        <v>1</v>
      </c>
      <c r="N5920" s="8">
        <f>IF(L5920&gt;0,1,"")</f>
        <v>1</v>
      </c>
      <c r="O5920" s="11" t="s">
        <v>1702</v>
      </c>
      <c r="P5920" s="16" t="str">
        <f>IF(LEN(G5920)=10,CONCATENATE("0",G5920),G5920)</f>
        <v>17-Oct-1908</v>
      </c>
      <c r="R5920" s="16" t="str">
        <f t="shared" si="2544"/>
        <v>x</v>
      </c>
      <c r="S5920" s="16" t="str">
        <f t="shared" si="2544"/>
        <v>x</v>
      </c>
      <c r="U5920" s="46" t="str">
        <f t="shared" ref="U5920:W5921" si="2545">IF($O5920=U$5,$L5920,"")</f>
        <v/>
      </c>
      <c r="V5920" s="46">
        <f t="shared" si="2545"/>
        <v>5</v>
      </c>
      <c r="W5920" s="46" t="str">
        <f t="shared" si="2545"/>
        <v/>
      </c>
      <c r="X5920" s="46" t="str">
        <f>IF($O5920=X$5,$L5920,"")</f>
        <v/>
      </c>
    </row>
    <row r="5921" spans="2:24" x14ac:dyDescent="0.25">
      <c r="B5921" s="11" t="str">
        <f>CONCATENATE("SARD","-",LEFT(P5921,2),UPPER(MID(P5921,4,3)),RIGHT(P5921,4))</f>
        <v>SARD-07NOV1909</v>
      </c>
      <c r="C5921" s="11" t="s">
        <v>3588</v>
      </c>
      <c r="D5921" s="11" t="s">
        <v>1699</v>
      </c>
      <c r="E5921" s="39" t="s">
        <v>3535</v>
      </c>
      <c r="F5921" s="11" t="s">
        <v>2813</v>
      </c>
      <c r="G5921" s="39" t="s">
        <v>2741</v>
      </c>
      <c r="I5921" s="7">
        <v>0</v>
      </c>
      <c r="J5921" s="17">
        <v>7</v>
      </c>
      <c r="K5921" s="17"/>
      <c r="L5921" s="7">
        <f>SUM(H5921:K5921)</f>
        <v>7</v>
      </c>
      <c r="M5921" s="8">
        <v>1</v>
      </c>
      <c r="N5921" s="8">
        <f>IF(L5921&gt;0,1,"")</f>
        <v>1</v>
      </c>
      <c r="O5921" s="11" t="s">
        <v>1702</v>
      </c>
      <c r="P5921" s="16" t="str">
        <f>IF(LEN(G5921)=10,CONCATENATE("0",G5921),G5921)</f>
        <v>07-Nov-1909</v>
      </c>
      <c r="R5921" s="16" t="str">
        <f t="shared" si="2544"/>
        <v>x</v>
      </c>
      <c r="S5921" s="16" t="str">
        <f t="shared" si="2544"/>
        <v>x</v>
      </c>
      <c r="U5921" s="46" t="str">
        <f t="shared" si="2545"/>
        <v/>
      </c>
      <c r="V5921" s="46">
        <f t="shared" si="2545"/>
        <v>7</v>
      </c>
      <c r="W5921" s="46" t="str">
        <f t="shared" si="2545"/>
        <v/>
      </c>
      <c r="X5921" s="46" t="str">
        <f>IF($O5921=X$5,$L5921,"")</f>
        <v/>
      </c>
    </row>
    <row r="5922" spans="2:24" x14ac:dyDescent="0.25">
      <c r="N5922" s="8" t="str">
        <f>IF(R5922="x",1,"")</f>
        <v/>
      </c>
      <c r="U5922" s="46" t="str">
        <f t="shared" ref="U5922:W5923" si="2546">IF($O5922=U$5,$L5922,"")</f>
        <v/>
      </c>
      <c r="V5922" s="46" t="str">
        <f t="shared" si="2546"/>
        <v/>
      </c>
      <c r="W5922" s="46" t="str">
        <f t="shared" si="2546"/>
        <v/>
      </c>
      <c r="X5922" s="46" t="str">
        <f>IF($O5922=X$5,$L5922,"")</f>
        <v/>
      </c>
    </row>
    <row r="5923" spans="2:24" x14ac:dyDescent="0.25">
      <c r="B5923" s="18"/>
      <c r="C5923" s="18"/>
      <c r="D5923" s="18"/>
      <c r="E5923" s="40"/>
      <c r="F5923" s="18"/>
      <c r="G5923" s="40"/>
      <c r="H5923" s="7">
        <f t="shared" ref="H5923:N5923" si="2547">SUM(H5919:H5922)</f>
        <v>0</v>
      </c>
      <c r="I5923" s="7">
        <f t="shared" si="2547"/>
        <v>10</v>
      </c>
      <c r="J5923" s="7">
        <f>SUM(J5919:J5922)</f>
        <v>12</v>
      </c>
      <c r="K5923" s="7">
        <f t="shared" si="2547"/>
        <v>0</v>
      </c>
      <c r="L5923" s="7">
        <f t="shared" si="2547"/>
        <v>22</v>
      </c>
      <c r="M5923" s="7">
        <f t="shared" si="2547"/>
        <v>3</v>
      </c>
      <c r="N5923" s="7">
        <f t="shared" si="2547"/>
        <v>3</v>
      </c>
      <c r="O5923" s="18"/>
      <c r="P5923" s="13"/>
      <c r="Q5923" s="13"/>
      <c r="S5923" s="13"/>
      <c r="T5923" s="15"/>
      <c r="U5923" s="46" t="str">
        <f t="shared" si="2546"/>
        <v/>
      </c>
      <c r="V5923" s="46" t="str">
        <f t="shared" si="2546"/>
        <v/>
      </c>
      <c r="W5923" s="46" t="str">
        <f t="shared" si="2546"/>
        <v/>
      </c>
      <c r="X5923" s="46" t="str">
        <f>IF($O5923=X$5,$L5923,"")</f>
        <v/>
      </c>
    </row>
    <row r="5924" spans="2:24" x14ac:dyDescent="0.25">
      <c r="B5924" s="18"/>
      <c r="C5924" s="18"/>
      <c r="D5924" s="18"/>
      <c r="E5924" s="40"/>
      <c r="F5924" s="18"/>
      <c r="G5924" s="40"/>
      <c r="N5924" s="8" t="str">
        <f>IF(R5924="x",1,"")</f>
        <v/>
      </c>
      <c r="O5924" s="18"/>
      <c r="P5924" s="13"/>
      <c r="Q5924" s="13"/>
      <c r="R5924" s="13"/>
      <c r="S5924" s="13"/>
      <c r="T5924" s="15"/>
      <c r="U5924" s="46" t="str">
        <f t="shared" ref="U5924:X5933" si="2548">IF($O5924=U$5,$L5924,"")</f>
        <v/>
      </c>
      <c r="V5924" s="46" t="str">
        <f t="shared" si="2548"/>
        <v/>
      </c>
      <c r="W5924" s="46" t="str">
        <f t="shared" si="2548"/>
        <v/>
      </c>
      <c r="X5924" s="46" t="str">
        <f t="shared" si="2548"/>
        <v/>
      </c>
    </row>
    <row r="5925" spans="2:24" x14ac:dyDescent="0.25">
      <c r="B5925" s="18"/>
      <c r="C5925" s="18"/>
      <c r="D5925" s="18"/>
      <c r="E5925" s="40"/>
      <c r="F5925" s="18"/>
      <c r="G5925" s="40"/>
      <c r="N5925" s="8" t="str">
        <f>IF(R5925="x",1,"")</f>
        <v/>
      </c>
      <c r="O5925" s="18"/>
      <c r="P5925" s="13"/>
      <c r="Q5925" s="13"/>
      <c r="R5925" s="13"/>
      <c r="S5925" s="13"/>
      <c r="T5925" s="15"/>
      <c r="U5925" s="46" t="str">
        <f t="shared" si="2548"/>
        <v/>
      </c>
      <c r="V5925" s="46" t="str">
        <f t="shared" si="2548"/>
        <v/>
      </c>
      <c r="W5925" s="46" t="str">
        <f t="shared" si="2548"/>
        <v/>
      </c>
      <c r="X5925" s="46" t="str">
        <f t="shared" si="2548"/>
        <v/>
      </c>
    </row>
    <row r="5926" spans="2:24" x14ac:dyDescent="0.25">
      <c r="B5926" s="11" t="str">
        <f t="shared" ref="B5926:B5931" si="2549">CONCATENATE("SATU","-",LEFT(P5926,2),UPPER(MID(P5926,4,3)),RIGHT(P5926,4))</f>
        <v>SATU-10JUL1928</v>
      </c>
      <c r="C5926" s="11" t="s">
        <v>6112</v>
      </c>
      <c r="D5926" s="11" t="s">
        <v>3007</v>
      </c>
      <c r="E5926" s="39" t="s">
        <v>6113</v>
      </c>
      <c r="F5926" s="11" t="s">
        <v>1700</v>
      </c>
      <c r="G5926" s="39" t="s">
        <v>4819</v>
      </c>
      <c r="H5926" s="7">
        <v>0</v>
      </c>
      <c r="I5926" s="7">
        <v>0</v>
      </c>
      <c r="J5926" s="17">
        <v>6</v>
      </c>
      <c r="K5926" s="17"/>
      <c r="L5926" s="7">
        <f t="shared" ref="L5926:L5931" si="2550">SUM(H5926:K5926)</f>
        <v>6</v>
      </c>
      <c r="M5926" s="8">
        <v>1</v>
      </c>
      <c r="N5926" s="8">
        <f t="shared" ref="N5926:N5931" si="2551">IF(L5926&gt;0,1,"")</f>
        <v>1</v>
      </c>
      <c r="O5926" s="11" t="s">
        <v>1702</v>
      </c>
      <c r="P5926" s="16" t="str">
        <f t="shared" ref="P5926:P5931" si="2552">IF(LEN(G5926)=10,CONCATENATE("0",G5926),G5926)</f>
        <v>10-Jul-1928</v>
      </c>
      <c r="R5926" s="16" t="str">
        <f t="shared" ref="R5926:S5931" si="2553">IF($L5926&gt;0,"x","")</f>
        <v>x</v>
      </c>
      <c r="S5926" s="16" t="str">
        <f t="shared" si="2553"/>
        <v>x</v>
      </c>
      <c r="U5926" s="46" t="str">
        <f t="shared" si="2548"/>
        <v/>
      </c>
      <c r="V5926" s="46">
        <f t="shared" si="2548"/>
        <v>6</v>
      </c>
      <c r="W5926" s="46" t="str">
        <f t="shared" si="2548"/>
        <v/>
      </c>
      <c r="X5926" s="46" t="str">
        <f t="shared" ref="X5926:X5931" si="2554">IF($O5926=X$5,$L5926,"")</f>
        <v/>
      </c>
    </row>
    <row r="5927" spans="2:24" x14ac:dyDescent="0.25">
      <c r="B5927" s="11" t="str">
        <f t="shared" si="2549"/>
        <v>SATU-10JUL1928</v>
      </c>
      <c r="C5927" s="11" t="s">
        <v>6112</v>
      </c>
      <c r="D5927" s="11" t="s">
        <v>870</v>
      </c>
      <c r="E5927" s="39" t="s">
        <v>6114</v>
      </c>
      <c r="F5927" s="11" t="s">
        <v>1700</v>
      </c>
      <c r="G5927" s="39" t="s">
        <v>4819</v>
      </c>
      <c r="H5927" s="7">
        <v>0</v>
      </c>
      <c r="I5927" s="7">
        <v>5</v>
      </c>
      <c r="J5927" s="17">
        <v>0</v>
      </c>
      <c r="K5927" s="17"/>
      <c r="L5927" s="7">
        <f t="shared" si="2550"/>
        <v>5</v>
      </c>
      <c r="M5927" s="8">
        <v>1</v>
      </c>
      <c r="N5927" s="8">
        <f t="shared" si="2551"/>
        <v>1</v>
      </c>
      <c r="O5927" s="11" t="s">
        <v>1702</v>
      </c>
      <c r="P5927" s="16" t="str">
        <f t="shared" si="2552"/>
        <v>10-Jul-1928</v>
      </c>
      <c r="R5927" s="16" t="str">
        <f t="shared" si="2553"/>
        <v>x</v>
      </c>
      <c r="S5927" s="16" t="str">
        <f t="shared" si="2553"/>
        <v>x</v>
      </c>
      <c r="U5927" s="46" t="str">
        <f t="shared" si="2548"/>
        <v/>
      </c>
      <c r="V5927" s="46">
        <f t="shared" si="2548"/>
        <v>5</v>
      </c>
      <c r="W5927" s="46" t="str">
        <f t="shared" si="2548"/>
        <v/>
      </c>
      <c r="X5927" s="46" t="str">
        <f t="shared" si="2554"/>
        <v/>
      </c>
    </row>
    <row r="5928" spans="2:24" x14ac:dyDescent="0.25">
      <c r="B5928" s="11" t="str">
        <f t="shared" si="2549"/>
        <v>SATU-17SEP1928</v>
      </c>
      <c r="C5928" s="11" t="s">
        <v>6112</v>
      </c>
      <c r="D5928" s="11" t="s">
        <v>3007</v>
      </c>
      <c r="E5928" s="39" t="s">
        <v>6119</v>
      </c>
      <c r="F5928" s="11" t="s">
        <v>1700</v>
      </c>
      <c r="G5928" s="39" t="s">
        <v>6120</v>
      </c>
      <c r="H5928" s="7">
        <v>0</v>
      </c>
      <c r="I5928" s="7">
        <v>0</v>
      </c>
      <c r="J5928" s="17">
        <v>2</v>
      </c>
      <c r="K5928" s="17"/>
      <c r="L5928" s="7">
        <f t="shared" si="2550"/>
        <v>2</v>
      </c>
      <c r="M5928" s="8">
        <v>1</v>
      </c>
      <c r="N5928" s="8">
        <f t="shared" si="2551"/>
        <v>1</v>
      </c>
      <c r="O5928" s="11" t="s">
        <v>1702</v>
      </c>
      <c r="P5928" s="16" t="str">
        <f t="shared" si="2552"/>
        <v>17-Sep-1928</v>
      </c>
      <c r="R5928" s="16" t="str">
        <f t="shared" si="2553"/>
        <v>x</v>
      </c>
      <c r="S5928" s="16" t="str">
        <f t="shared" si="2553"/>
        <v>x</v>
      </c>
      <c r="U5928" s="46" t="str">
        <f t="shared" si="2548"/>
        <v/>
      </c>
      <c r="V5928" s="46">
        <f t="shared" si="2548"/>
        <v>2</v>
      </c>
      <c r="W5928" s="46" t="str">
        <f t="shared" si="2548"/>
        <v/>
      </c>
      <c r="X5928" s="46" t="str">
        <f t="shared" si="2554"/>
        <v/>
      </c>
    </row>
    <row r="5929" spans="2:24" x14ac:dyDescent="0.25">
      <c r="B5929" s="11" t="str">
        <f t="shared" si="2549"/>
        <v>SATU-17SEP1928</v>
      </c>
      <c r="C5929" s="11" t="s">
        <v>6112</v>
      </c>
      <c r="D5929" s="11" t="s">
        <v>870</v>
      </c>
      <c r="E5929" s="39" t="s">
        <v>6121</v>
      </c>
      <c r="F5929" s="11" t="s">
        <v>1700</v>
      </c>
      <c r="G5929" s="39" t="s">
        <v>6120</v>
      </c>
      <c r="H5929" s="7">
        <v>0</v>
      </c>
      <c r="I5929" s="7">
        <f>0+3</f>
        <v>3</v>
      </c>
      <c r="J5929" s="17">
        <v>0</v>
      </c>
      <c r="K5929" s="17"/>
      <c r="L5929" s="7">
        <f t="shared" si="2550"/>
        <v>3</v>
      </c>
      <c r="M5929" s="8">
        <v>1</v>
      </c>
      <c r="N5929" s="8">
        <f t="shared" si="2551"/>
        <v>1</v>
      </c>
      <c r="O5929" s="11" t="s">
        <v>1702</v>
      </c>
      <c r="P5929" s="16" t="str">
        <f t="shared" si="2552"/>
        <v>17-Sep-1928</v>
      </c>
      <c r="R5929" s="16" t="str">
        <f t="shared" si="2553"/>
        <v>x</v>
      </c>
      <c r="S5929" s="16" t="str">
        <f t="shared" si="2553"/>
        <v>x</v>
      </c>
      <c r="U5929" s="46" t="str">
        <f t="shared" si="2548"/>
        <v/>
      </c>
      <c r="V5929" s="46">
        <f t="shared" si="2548"/>
        <v>3</v>
      </c>
      <c r="W5929" s="46" t="str">
        <f t="shared" si="2548"/>
        <v/>
      </c>
      <c r="X5929" s="46" t="str">
        <f t="shared" si="2554"/>
        <v/>
      </c>
    </row>
    <row r="5930" spans="2:24" x14ac:dyDescent="0.25">
      <c r="B5930" s="11" t="str">
        <f t="shared" si="2549"/>
        <v>SATU-01JAN1930</v>
      </c>
      <c r="C5930" s="11" t="s">
        <v>6112</v>
      </c>
      <c r="D5930" s="11" t="s">
        <v>1906</v>
      </c>
      <c r="E5930" s="39" t="s">
        <v>11222</v>
      </c>
      <c r="F5930" s="11" t="s">
        <v>1700</v>
      </c>
      <c r="G5930" s="39" t="s">
        <v>11223</v>
      </c>
      <c r="H5930" s="7">
        <v>0</v>
      </c>
      <c r="I5930" s="7">
        <v>0</v>
      </c>
      <c r="J5930" s="17">
        <v>5</v>
      </c>
      <c r="K5930" s="17"/>
      <c r="L5930" s="7">
        <f t="shared" si="2550"/>
        <v>5</v>
      </c>
      <c r="M5930" s="8">
        <v>1</v>
      </c>
      <c r="N5930" s="8">
        <f t="shared" si="2551"/>
        <v>1</v>
      </c>
      <c r="O5930" s="11" t="s">
        <v>1702</v>
      </c>
      <c r="P5930" s="16" t="str">
        <f t="shared" si="2552"/>
        <v>01-Jan-1930</v>
      </c>
      <c r="R5930" s="16" t="str">
        <f t="shared" si="2553"/>
        <v>x</v>
      </c>
      <c r="S5930" s="16" t="str">
        <f t="shared" si="2553"/>
        <v>x</v>
      </c>
      <c r="U5930" s="46" t="str">
        <f t="shared" si="2548"/>
        <v/>
      </c>
      <c r="V5930" s="46">
        <f t="shared" si="2548"/>
        <v>5</v>
      </c>
      <c r="W5930" s="46" t="str">
        <f t="shared" si="2548"/>
        <v/>
      </c>
      <c r="X5930" s="46" t="str">
        <f t="shared" si="2554"/>
        <v/>
      </c>
    </row>
    <row r="5931" spans="2:24" x14ac:dyDescent="0.25">
      <c r="B5931" s="11" t="str">
        <f t="shared" si="2549"/>
        <v>SATU-13OCT1936</v>
      </c>
      <c r="C5931" s="11" t="s">
        <v>6112</v>
      </c>
      <c r="D5931" s="11" t="s">
        <v>3064</v>
      </c>
      <c r="E5931" s="39" t="s">
        <v>11160</v>
      </c>
      <c r="F5931" s="11" t="s">
        <v>1700</v>
      </c>
      <c r="G5931" s="39" t="s">
        <v>11159</v>
      </c>
      <c r="H5931" s="7">
        <v>0</v>
      </c>
      <c r="I5931" s="7">
        <f>0+1</f>
        <v>1</v>
      </c>
      <c r="J5931" s="17">
        <v>4</v>
      </c>
      <c r="K5931" s="17"/>
      <c r="L5931" s="7">
        <f t="shared" si="2550"/>
        <v>5</v>
      </c>
      <c r="M5931" s="8">
        <v>1</v>
      </c>
      <c r="N5931" s="8">
        <f t="shared" si="2551"/>
        <v>1</v>
      </c>
      <c r="O5931" s="11" t="s">
        <v>1702</v>
      </c>
      <c r="P5931" s="16" t="str">
        <f t="shared" si="2552"/>
        <v>13-Oct-1936</v>
      </c>
      <c r="R5931" s="16" t="str">
        <f t="shared" si="2553"/>
        <v>x</v>
      </c>
      <c r="S5931" s="16" t="str">
        <f t="shared" si="2553"/>
        <v>x</v>
      </c>
      <c r="U5931" s="46" t="str">
        <f t="shared" si="2548"/>
        <v/>
      </c>
      <c r="V5931" s="46">
        <f t="shared" si="2548"/>
        <v>5</v>
      </c>
      <c r="W5931" s="46" t="str">
        <f t="shared" si="2548"/>
        <v/>
      </c>
      <c r="X5931" s="46" t="str">
        <f t="shared" si="2554"/>
        <v/>
      </c>
    </row>
    <row r="5932" spans="2:24" x14ac:dyDescent="0.25">
      <c r="N5932" s="8" t="str">
        <f>IF(R5932="x",1,"")</f>
        <v/>
      </c>
      <c r="U5932" s="46" t="str">
        <f t="shared" si="2548"/>
        <v/>
      </c>
      <c r="V5932" s="46" t="str">
        <f t="shared" si="2548"/>
        <v/>
      </c>
      <c r="W5932" s="46" t="str">
        <f t="shared" si="2548"/>
        <v/>
      </c>
      <c r="X5932" s="46" t="str">
        <f t="shared" si="2548"/>
        <v/>
      </c>
    </row>
    <row r="5933" spans="2:24" x14ac:dyDescent="0.25">
      <c r="B5933" s="18"/>
      <c r="C5933" s="18"/>
      <c r="D5933" s="18"/>
      <c r="E5933" s="40"/>
      <c r="F5933" s="18"/>
      <c r="G5933" s="40"/>
      <c r="H5933" s="7">
        <f t="shared" ref="H5933:N5933" si="2555">SUM(H5926:H5932)</f>
        <v>0</v>
      </c>
      <c r="I5933" s="7">
        <f t="shared" si="2555"/>
        <v>9</v>
      </c>
      <c r="J5933" s="7">
        <f>SUM(J5926:J5932)</f>
        <v>17</v>
      </c>
      <c r="K5933" s="7">
        <f t="shared" si="2555"/>
        <v>0</v>
      </c>
      <c r="L5933" s="7">
        <f t="shared" si="2555"/>
        <v>26</v>
      </c>
      <c r="M5933" s="7">
        <f t="shared" si="2555"/>
        <v>6</v>
      </c>
      <c r="N5933" s="7">
        <f t="shared" si="2555"/>
        <v>6</v>
      </c>
      <c r="O5933" s="18"/>
      <c r="P5933" s="13"/>
      <c r="Q5933" s="13"/>
      <c r="S5933" s="13"/>
      <c r="T5933" s="15"/>
      <c r="U5933" s="46" t="str">
        <f t="shared" si="2548"/>
        <v/>
      </c>
      <c r="V5933" s="46" t="str">
        <f t="shared" si="2548"/>
        <v/>
      </c>
      <c r="W5933" s="46" t="str">
        <f t="shared" si="2548"/>
        <v/>
      </c>
      <c r="X5933" s="46" t="str">
        <f t="shared" si="2548"/>
        <v/>
      </c>
    </row>
    <row r="5934" spans="2:24" x14ac:dyDescent="0.25">
      <c r="B5934" s="18"/>
      <c r="C5934" s="18"/>
      <c r="D5934" s="18"/>
      <c r="E5934" s="40"/>
      <c r="F5934" s="18"/>
      <c r="G5934" s="40"/>
      <c r="N5934" s="8" t="str">
        <f>IF(R5934="x",1,"")</f>
        <v/>
      </c>
      <c r="O5934" s="18"/>
      <c r="P5934" s="13"/>
      <c r="Q5934" s="13"/>
      <c r="R5934" s="13"/>
      <c r="S5934" s="13"/>
      <c r="T5934" s="15"/>
      <c r="U5934" s="46" t="str">
        <f t="shared" ref="U5934:X5939" si="2556">IF($O5934=U$5,$L5934,"")</f>
        <v/>
      </c>
      <c r="V5934" s="46" t="str">
        <f t="shared" si="2556"/>
        <v/>
      </c>
      <c r="W5934" s="46" t="str">
        <f t="shared" si="2556"/>
        <v/>
      </c>
      <c r="X5934" s="46" t="str">
        <f t="shared" si="2556"/>
        <v/>
      </c>
    </row>
    <row r="5935" spans="2:24" x14ac:dyDescent="0.25">
      <c r="B5935" s="18"/>
      <c r="C5935" s="18"/>
      <c r="D5935" s="18"/>
      <c r="E5935" s="40"/>
      <c r="F5935" s="18"/>
      <c r="G5935" s="40"/>
      <c r="N5935" s="8" t="str">
        <f>IF(R5935="x",1,"")</f>
        <v/>
      </c>
      <c r="O5935" s="18"/>
      <c r="P5935" s="13"/>
      <c r="Q5935" s="13"/>
      <c r="R5935" s="13"/>
      <c r="S5935" s="13"/>
      <c r="T5935" s="15"/>
      <c r="U5935" s="46" t="str">
        <f t="shared" si="2556"/>
        <v/>
      </c>
      <c r="V5935" s="46" t="str">
        <f t="shared" si="2556"/>
        <v/>
      </c>
      <c r="W5935" s="46" t="str">
        <f t="shared" si="2556"/>
        <v/>
      </c>
      <c r="X5935" s="46" t="str">
        <f t="shared" si="2556"/>
        <v/>
      </c>
    </row>
    <row r="5936" spans="2:24" x14ac:dyDescent="0.25">
      <c r="B5936" s="11" t="str">
        <f t="shared" ref="B5936:B5950" si="2557">CONCATENATE("SAXO","-",LEFT(P5936,2),UPPER(MID(P5936,4,3)),RIGHT(P5936,4))</f>
        <v>SAXO-12MAY1902</v>
      </c>
      <c r="C5936" s="11" t="s">
        <v>3066</v>
      </c>
      <c r="D5936" s="11" t="s">
        <v>2097</v>
      </c>
      <c r="E5936" s="39" t="s">
        <v>1631</v>
      </c>
      <c r="F5936" s="11" t="s">
        <v>1700</v>
      </c>
      <c r="G5936" s="39" t="s">
        <v>11382</v>
      </c>
      <c r="J5936" s="17">
        <v>2</v>
      </c>
      <c r="K5936" s="17"/>
      <c r="L5936" s="7">
        <f t="shared" ref="L5936:L5950" si="2558">SUM(H5936:K5936)</f>
        <v>2</v>
      </c>
      <c r="M5936" s="8">
        <v>1</v>
      </c>
      <c r="N5936" s="8">
        <f t="shared" ref="N5936:N5950" si="2559">IF(L5936&gt;0,1,"")</f>
        <v>1</v>
      </c>
      <c r="O5936" s="11" t="s">
        <v>1702</v>
      </c>
      <c r="P5936" s="16" t="str">
        <f t="shared" ref="P5936:P5950" si="2560">IF(LEN(G5936)=10,CONCATENATE("0",G5936),G5936)</f>
        <v>12-May-1902</v>
      </c>
      <c r="R5936" s="16" t="str">
        <f>IF($L5936&gt;0,"x","")</f>
        <v>x</v>
      </c>
      <c r="S5936" s="16" t="str">
        <f>IF($L5936&gt;0,"x","")</f>
        <v>x</v>
      </c>
      <c r="U5936" s="46" t="str">
        <f t="shared" si="2556"/>
        <v/>
      </c>
      <c r="V5936" s="46">
        <f t="shared" si="2556"/>
        <v>2</v>
      </c>
      <c r="W5936" s="46" t="str">
        <f t="shared" si="2556"/>
        <v/>
      </c>
      <c r="X5936" s="46" t="str">
        <f t="shared" si="2556"/>
        <v/>
      </c>
    </row>
    <row r="5937" spans="2:24" x14ac:dyDescent="0.25">
      <c r="B5937" s="11" t="str">
        <f>CONCATENATE("SAXO","-",LEFT(P5937,2),UPPER(MID(P5937,4,3)),RIGHT(P5937,4))</f>
        <v>SAXO-15OCT1903</v>
      </c>
      <c r="C5937" s="11" t="s">
        <v>3066</v>
      </c>
      <c r="D5937" s="11" t="s">
        <v>2097</v>
      </c>
      <c r="E5937" s="39" t="s">
        <v>5795</v>
      </c>
      <c r="F5937" s="11" t="s">
        <v>3050</v>
      </c>
      <c r="G5937" s="39" t="s">
        <v>5796</v>
      </c>
      <c r="H5937" s="7">
        <v>0</v>
      </c>
      <c r="I5937" s="7">
        <v>3</v>
      </c>
      <c r="J5937" s="17">
        <v>3</v>
      </c>
      <c r="K5937" s="17"/>
      <c r="L5937" s="7">
        <f>SUM(H5937:K5937)</f>
        <v>6</v>
      </c>
      <c r="M5937" s="8">
        <v>1</v>
      </c>
      <c r="N5937" s="8">
        <f>IF(L5937&gt;0,1,"")</f>
        <v>1</v>
      </c>
      <c r="O5937" s="11" t="s">
        <v>1702</v>
      </c>
      <c r="P5937" s="16" t="str">
        <f>IF(LEN(G5937)=10,CONCATENATE("0",G5937),G5937)</f>
        <v>15-Oct-1903</v>
      </c>
      <c r="R5937" s="16" t="str">
        <f>IF($L5937&gt;0,"x","")</f>
        <v>x</v>
      </c>
      <c r="S5937" s="16" t="str">
        <f>IF($L5937&gt;0,"x","")</f>
        <v>x</v>
      </c>
      <c r="U5937" s="46" t="str">
        <f t="shared" si="2556"/>
        <v/>
      </c>
      <c r="V5937" s="46">
        <f t="shared" si="2556"/>
        <v>6</v>
      </c>
      <c r="W5937" s="46" t="str">
        <f t="shared" si="2556"/>
        <v/>
      </c>
      <c r="X5937" s="46" t="str">
        <f t="shared" si="2556"/>
        <v/>
      </c>
    </row>
    <row r="5938" spans="2:24" x14ac:dyDescent="0.25">
      <c r="B5938" s="11" t="str">
        <f>CONCATENATE("SAXO","-",LEFT(P5938,2),UPPER(MID(P5938,4,3)),RIGHT(P5938,4))</f>
        <v>SAXO-19NOV1903</v>
      </c>
      <c r="C5938" s="11" t="s">
        <v>3066</v>
      </c>
      <c r="D5938" s="11" t="s">
        <v>2097</v>
      </c>
      <c r="E5938" s="39" t="s">
        <v>3067</v>
      </c>
      <c r="F5938" s="11" t="s">
        <v>3050</v>
      </c>
      <c r="G5938" s="39" t="s">
        <v>3068</v>
      </c>
      <c r="H5938" s="7">
        <v>0</v>
      </c>
      <c r="I5938" s="7">
        <v>1</v>
      </c>
      <c r="J5938" s="17">
        <v>2</v>
      </c>
      <c r="K5938" s="17"/>
      <c r="L5938" s="7">
        <f>SUM(H5938:K5938)</f>
        <v>3</v>
      </c>
      <c r="M5938" s="8">
        <v>1</v>
      </c>
      <c r="N5938" s="8">
        <f>IF(L5938&gt;0,1,"")</f>
        <v>1</v>
      </c>
      <c r="O5938" s="11" t="s">
        <v>1702</v>
      </c>
      <c r="P5938" s="16" t="str">
        <f>IF(LEN(G5938)=10,CONCATENATE("0",G5938),G5938)</f>
        <v>19-Nov-1903</v>
      </c>
      <c r="R5938" s="16" t="str">
        <f t="shared" ref="R5938:S5960" si="2561">IF($L5938&gt;0,"x","")</f>
        <v>x</v>
      </c>
      <c r="S5938" s="16" t="str">
        <f t="shared" si="2561"/>
        <v>x</v>
      </c>
      <c r="U5938" s="46" t="str">
        <f t="shared" si="2556"/>
        <v/>
      </c>
      <c r="V5938" s="46">
        <f t="shared" si="2556"/>
        <v>3</v>
      </c>
      <c r="W5938" s="46" t="str">
        <f t="shared" si="2556"/>
        <v/>
      </c>
      <c r="X5938" s="46" t="str">
        <f t="shared" si="2556"/>
        <v/>
      </c>
    </row>
    <row r="5939" spans="2:24" x14ac:dyDescent="0.25">
      <c r="B5939" s="11" t="str">
        <f t="shared" si="2557"/>
        <v>SAXO-26FEB1904</v>
      </c>
      <c r="C5939" s="11" t="s">
        <v>3066</v>
      </c>
      <c r="D5939" s="11" t="s">
        <v>2097</v>
      </c>
      <c r="E5939" s="39" t="s">
        <v>4084</v>
      </c>
      <c r="F5939" s="11" t="s">
        <v>3050</v>
      </c>
      <c r="G5939" s="39" t="s">
        <v>4085</v>
      </c>
      <c r="H5939" s="7">
        <v>0</v>
      </c>
      <c r="I5939" s="7">
        <v>0</v>
      </c>
      <c r="J5939" s="17">
        <v>36</v>
      </c>
      <c r="K5939" s="17"/>
      <c r="L5939" s="7">
        <f t="shared" si="2558"/>
        <v>36</v>
      </c>
      <c r="M5939" s="8">
        <v>1</v>
      </c>
      <c r="N5939" s="8">
        <f t="shared" si="2559"/>
        <v>1</v>
      </c>
      <c r="O5939" s="11" t="s">
        <v>1702</v>
      </c>
      <c r="P5939" s="16" t="str">
        <f t="shared" si="2560"/>
        <v>26-Feb-1904</v>
      </c>
      <c r="R5939" s="16" t="str">
        <f t="shared" si="2561"/>
        <v>x</v>
      </c>
      <c r="S5939" s="16" t="str">
        <f t="shared" si="2561"/>
        <v>x</v>
      </c>
      <c r="U5939" s="46" t="str">
        <f t="shared" si="2556"/>
        <v/>
      </c>
      <c r="V5939" s="46">
        <f t="shared" si="2556"/>
        <v>36</v>
      </c>
      <c r="W5939" s="46" t="str">
        <f t="shared" si="2556"/>
        <v/>
      </c>
      <c r="X5939" s="46" t="str">
        <f t="shared" si="2556"/>
        <v/>
      </c>
    </row>
    <row r="5940" spans="2:24" x14ac:dyDescent="0.25">
      <c r="B5940" s="11" t="str">
        <f>CONCATENATE("SAXO","-",LEFT(P5940,2),UPPER(MID(P5940,4,3)),RIGHT(P5940,4))</f>
        <v>SAXO-xxJUN1904</v>
      </c>
      <c r="C5940" s="11" t="s">
        <v>3066</v>
      </c>
      <c r="D5940" s="11" t="s">
        <v>2097</v>
      </c>
      <c r="E5940" s="39" t="s">
        <v>11424</v>
      </c>
      <c r="F5940" s="11" t="s">
        <v>3050</v>
      </c>
      <c r="G5940" s="39" t="s">
        <v>11425</v>
      </c>
      <c r="H5940" s="7">
        <v>0</v>
      </c>
      <c r="I5940" s="7">
        <v>0</v>
      </c>
      <c r="J5940" s="17">
        <v>1</v>
      </c>
      <c r="K5940" s="17"/>
      <c r="L5940" s="7">
        <f>SUM(H5940:K5940)</f>
        <v>1</v>
      </c>
      <c r="M5940" s="8">
        <v>1</v>
      </c>
      <c r="N5940" s="8">
        <f>IF(L5940&gt;0,1,"")</f>
        <v>1</v>
      </c>
      <c r="O5940" s="11" t="s">
        <v>1702</v>
      </c>
      <c r="P5940" s="16" t="str">
        <f>IF(LEN(G5940)=10,CONCATENATE("0",G5940),G5940)</f>
        <v>xx-Jun-1904</v>
      </c>
      <c r="Q5940" s="80"/>
      <c r="S5940" s="16" t="str">
        <f t="shared" si="2561"/>
        <v>x</v>
      </c>
      <c r="U5940" s="46" t="str">
        <f t="shared" ref="U5940:X5942" si="2562">IF($O5940=U$5,$L5940,"")</f>
        <v/>
      </c>
      <c r="V5940" s="46">
        <f t="shared" si="2562"/>
        <v>1</v>
      </c>
      <c r="W5940" s="46" t="str">
        <f t="shared" si="2562"/>
        <v/>
      </c>
      <c r="X5940" s="46" t="str">
        <f t="shared" si="2562"/>
        <v/>
      </c>
    </row>
    <row r="5941" spans="2:24" x14ac:dyDescent="0.25">
      <c r="B5941" s="11" t="str">
        <f>CONCATENATE("SAXO","-",LEFT(P5941,2),UPPER(MID(P5941,4,3)),RIGHT(P5941,4))</f>
        <v>SAXO-06OCT1904</v>
      </c>
      <c r="C5941" s="11" t="s">
        <v>3066</v>
      </c>
      <c r="D5941" s="11" t="s">
        <v>2097</v>
      </c>
      <c r="E5941" s="39" t="s">
        <v>5667</v>
      </c>
      <c r="F5941" s="11" t="s">
        <v>3050</v>
      </c>
      <c r="G5941" s="39" t="s">
        <v>5668</v>
      </c>
      <c r="H5941" s="7">
        <v>0</v>
      </c>
      <c r="I5941" s="7">
        <v>0</v>
      </c>
      <c r="J5941" s="17">
        <v>4</v>
      </c>
      <c r="K5941" s="17"/>
      <c r="L5941" s="7">
        <f>SUM(H5941:K5941)</f>
        <v>4</v>
      </c>
      <c r="M5941" s="8">
        <v>1</v>
      </c>
      <c r="N5941" s="8">
        <f>IF(L5941&gt;0,1,"")</f>
        <v>1</v>
      </c>
      <c r="O5941" s="11" t="s">
        <v>1702</v>
      </c>
      <c r="P5941" s="16" t="str">
        <f>IF(LEN(G5941)=10,CONCATENATE("0",G5941),G5941)</f>
        <v>06-Oct-1904</v>
      </c>
      <c r="R5941" s="16" t="str">
        <f>IF($L5941&gt;0,"x","")</f>
        <v>x</v>
      </c>
      <c r="S5941" s="16" t="str">
        <f>IF($L5941&gt;0,"x","")</f>
        <v>x</v>
      </c>
      <c r="U5941" s="46" t="str">
        <f t="shared" si="2562"/>
        <v/>
      </c>
      <c r="V5941" s="46">
        <f t="shared" si="2562"/>
        <v>4</v>
      </c>
      <c r="W5941" s="46" t="str">
        <f t="shared" si="2562"/>
        <v/>
      </c>
      <c r="X5941" s="46" t="str">
        <f t="shared" si="2562"/>
        <v/>
      </c>
    </row>
    <row r="5942" spans="2:24" x14ac:dyDescent="0.25">
      <c r="B5942" s="11" t="str">
        <f>CONCATENATE("SAXO","-",LEFT(P5942,2),UPPER(MID(P5942,4,3)),RIGHT(P5942,4))</f>
        <v>SAXO-02NOV1904</v>
      </c>
      <c r="C5942" s="11" t="s">
        <v>3066</v>
      </c>
      <c r="D5942" s="11" t="s">
        <v>2097</v>
      </c>
      <c r="E5942" s="39" t="s">
        <v>6080</v>
      </c>
      <c r="F5942" s="11" t="s">
        <v>3050</v>
      </c>
      <c r="G5942" s="39" t="s">
        <v>6081</v>
      </c>
      <c r="H5942" s="7">
        <v>0</v>
      </c>
      <c r="I5942" s="7">
        <v>4</v>
      </c>
      <c r="J5942" s="17">
        <v>18</v>
      </c>
      <c r="K5942" s="17"/>
      <c r="L5942" s="7">
        <f>SUM(H5942:K5942)</f>
        <v>22</v>
      </c>
      <c r="M5942" s="8">
        <v>1</v>
      </c>
      <c r="N5942" s="8">
        <f>IF(L5942&gt;0,1,"")</f>
        <v>1</v>
      </c>
      <c r="O5942" s="11" t="s">
        <v>1702</v>
      </c>
      <c r="P5942" s="16" t="str">
        <f>IF(LEN(G5942)=10,CONCATENATE("0",G5942),G5942)</f>
        <v>02-Nov-1904</v>
      </c>
      <c r="R5942" s="16" t="str">
        <f>IF($L5942&gt;0,"x","")</f>
        <v>x</v>
      </c>
      <c r="S5942" s="16" t="str">
        <f>IF($L5942&gt;0,"x","")</f>
        <v>x</v>
      </c>
      <c r="U5942" s="46" t="str">
        <f t="shared" si="2562"/>
        <v/>
      </c>
      <c r="V5942" s="46">
        <f t="shared" si="2562"/>
        <v>22</v>
      </c>
      <c r="W5942" s="46" t="str">
        <f t="shared" si="2562"/>
        <v/>
      </c>
      <c r="X5942" s="46" t="str">
        <f t="shared" si="2562"/>
        <v/>
      </c>
    </row>
    <row r="5943" spans="2:24" x14ac:dyDescent="0.25">
      <c r="B5943" s="11" t="str">
        <f t="shared" si="2557"/>
        <v>SAXO-09DEC1904</v>
      </c>
      <c r="C5943" s="11" t="s">
        <v>3066</v>
      </c>
      <c r="D5943" s="11" t="s">
        <v>2097</v>
      </c>
      <c r="E5943" s="39" t="s">
        <v>3244</v>
      </c>
      <c r="F5943" s="11" t="s">
        <v>3050</v>
      </c>
      <c r="G5943" s="39" t="s">
        <v>3243</v>
      </c>
      <c r="H5943" s="7">
        <v>0</v>
      </c>
      <c r="I5943" s="7">
        <v>1</v>
      </c>
      <c r="J5943" s="17">
        <v>21</v>
      </c>
      <c r="K5943" s="17"/>
      <c r="L5943" s="7">
        <f t="shared" si="2558"/>
        <v>22</v>
      </c>
      <c r="M5943" s="8">
        <v>1</v>
      </c>
      <c r="N5943" s="8">
        <f t="shared" si="2559"/>
        <v>1</v>
      </c>
      <c r="O5943" s="11" t="s">
        <v>1702</v>
      </c>
      <c r="P5943" s="16" t="str">
        <f t="shared" si="2560"/>
        <v>09-Dec-1904</v>
      </c>
      <c r="R5943" s="16" t="str">
        <f t="shared" si="2561"/>
        <v>x</v>
      </c>
      <c r="S5943" s="16" t="str">
        <f t="shared" si="2561"/>
        <v>x</v>
      </c>
      <c r="U5943" s="46" t="str">
        <f t="shared" ref="U5943:X5945" si="2563">IF($O5943=U$5,$L5943,"")</f>
        <v/>
      </c>
      <c r="V5943" s="46">
        <f t="shared" si="2563"/>
        <v>22</v>
      </c>
      <c r="W5943" s="46" t="str">
        <f t="shared" si="2563"/>
        <v/>
      </c>
      <c r="X5943" s="46" t="str">
        <f t="shared" si="2563"/>
        <v/>
      </c>
    </row>
    <row r="5944" spans="2:24" x14ac:dyDescent="0.25">
      <c r="B5944" s="11" t="str">
        <f t="shared" si="2557"/>
        <v>SAXO-12JAN1905</v>
      </c>
      <c r="C5944" s="11" t="s">
        <v>3066</v>
      </c>
      <c r="D5944" s="11" t="s">
        <v>2097</v>
      </c>
      <c r="E5944" s="39" t="s">
        <v>5182</v>
      </c>
      <c r="F5944" s="11" t="s">
        <v>3050</v>
      </c>
      <c r="G5944" s="39" t="s">
        <v>5183</v>
      </c>
      <c r="H5944" s="7">
        <v>0</v>
      </c>
      <c r="I5944" s="7">
        <v>0</v>
      </c>
      <c r="J5944" s="17">
        <v>8</v>
      </c>
      <c r="K5944" s="17"/>
      <c r="L5944" s="7">
        <f t="shared" si="2558"/>
        <v>8</v>
      </c>
      <c r="M5944" s="8">
        <v>1</v>
      </c>
      <c r="N5944" s="8">
        <f t="shared" si="2559"/>
        <v>1</v>
      </c>
      <c r="O5944" s="11" t="s">
        <v>1702</v>
      </c>
      <c r="P5944" s="16" t="str">
        <f t="shared" si="2560"/>
        <v>12-Jan-1905</v>
      </c>
      <c r="R5944" s="16" t="str">
        <f t="shared" si="2561"/>
        <v>x</v>
      </c>
      <c r="S5944" s="16" t="str">
        <f t="shared" si="2561"/>
        <v>x</v>
      </c>
      <c r="U5944" s="46" t="str">
        <f t="shared" si="2563"/>
        <v/>
      </c>
      <c r="V5944" s="46">
        <f t="shared" si="2563"/>
        <v>8</v>
      </c>
      <c r="W5944" s="46" t="str">
        <f t="shared" si="2563"/>
        <v/>
      </c>
      <c r="X5944" s="46" t="str">
        <f t="shared" si="2563"/>
        <v/>
      </c>
    </row>
    <row r="5945" spans="2:24" x14ac:dyDescent="0.25">
      <c r="B5945" s="11" t="str">
        <f t="shared" si="2557"/>
        <v>SAXO-07SEP1905</v>
      </c>
      <c r="C5945" s="11" t="s">
        <v>3066</v>
      </c>
      <c r="D5945" s="11" t="s">
        <v>2097</v>
      </c>
      <c r="E5945" s="39" t="s">
        <v>4365</v>
      </c>
      <c r="F5945" s="11" t="s">
        <v>3050</v>
      </c>
      <c r="G5945" s="39" t="s">
        <v>3624</v>
      </c>
      <c r="H5945" s="7">
        <v>2</v>
      </c>
      <c r="I5945" s="7">
        <v>0</v>
      </c>
      <c r="J5945" s="17">
        <v>4</v>
      </c>
      <c r="K5945" s="17"/>
      <c r="L5945" s="7">
        <f t="shared" si="2558"/>
        <v>6</v>
      </c>
      <c r="M5945" s="8">
        <v>1</v>
      </c>
      <c r="N5945" s="8">
        <f t="shared" si="2559"/>
        <v>1</v>
      </c>
      <c r="O5945" s="11" t="s">
        <v>1702</v>
      </c>
      <c r="P5945" s="16" t="str">
        <f t="shared" si="2560"/>
        <v>07-Sep-1905</v>
      </c>
      <c r="R5945" s="16" t="str">
        <f t="shared" si="2561"/>
        <v>x</v>
      </c>
      <c r="S5945" s="16" t="str">
        <f t="shared" si="2561"/>
        <v>x</v>
      </c>
      <c r="U5945" s="46" t="str">
        <f t="shared" si="2563"/>
        <v/>
      </c>
      <c r="V5945" s="46">
        <f t="shared" si="2563"/>
        <v>6</v>
      </c>
      <c r="W5945" s="46" t="str">
        <f t="shared" si="2563"/>
        <v/>
      </c>
      <c r="X5945" s="46" t="str">
        <f t="shared" si="2563"/>
        <v/>
      </c>
    </row>
    <row r="5946" spans="2:24" x14ac:dyDescent="0.25">
      <c r="B5946" s="11" t="str">
        <f t="shared" si="2557"/>
        <v>SAXO-21JUN1906</v>
      </c>
      <c r="C5946" s="11" t="s">
        <v>3066</v>
      </c>
      <c r="D5946" s="11" t="s">
        <v>2097</v>
      </c>
      <c r="E5946" s="39" t="s">
        <v>4520</v>
      </c>
      <c r="F5946" s="11" t="s">
        <v>3050</v>
      </c>
      <c r="G5946" s="39" t="s">
        <v>4521</v>
      </c>
      <c r="H5946" s="7">
        <v>0</v>
      </c>
      <c r="I5946" s="7">
        <v>0</v>
      </c>
      <c r="J5946" s="17">
        <v>2</v>
      </c>
      <c r="K5946" s="17"/>
      <c r="L5946" s="7">
        <f t="shared" si="2558"/>
        <v>2</v>
      </c>
      <c r="M5946" s="8">
        <v>1</v>
      </c>
      <c r="N5946" s="8">
        <f t="shared" si="2559"/>
        <v>1</v>
      </c>
      <c r="O5946" s="11" t="s">
        <v>1702</v>
      </c>
      <c r="P5946" s="16" t="str">
        <f t="shared" si="2560"/>
        <v>21-Jun-1906</v>
      </c>
      <c r="R5946" s="16" t="str">
        <f t="shared" si="2561"/>
        <v>x</v>
      </c>
      <c r="S5946" s="16" t="str">
        <f t="shared" si="2561"/>
        <v>x</v>
      </c>
      <c r="U5946" s="46" t="str">
        <f t="shared" ref="U5946:X5949" si="2564">IF($O5946=U$5,$L5946,"")</f>
        <v/>
      </c>
      <c r="V5946" s="46">
        <f t="shared" si="2564"/>
        <v>2</v>
      </c>
      <c r="W5946" s="46" t="str">
        <f t="shared" si="2564"/>
        <v/>
      </c>
      <c r="X5946" s="46" t="str">
        <f t="shared" si="2564"/>
        <v/>
      </c>
    </row>
    <row r="5947" spans="2:24" x14ac:dyDescent="0.25">
      <c r="B5947" s="11" t="str">
        <f t="shared" si="2557"/>
        <v>SAXO-06JUN1907</v>
      </c>
      <c r="C5947" s="11" t="s">
        <v>3066</v>
      </c>
      <c r="D5947" s="11" t="s">
        <v>2097</v>
      </c>
      <c r="E5947" s="39" t="s">
        <v>818</v>
      </c>
      <c r="F5947" s="11" t="s">
        <v>3050</v>
      </c>
      <c r="G5947" s="39" t="s">
        <v>1203</v>
      </c>
      <c r="H5947" s="7">
        <v>0</v>
      </c>
      <c r="I5947" s="7">
        <v>0</v>
      </c>
      <c r="J5947" s="17">
        <v>19</v>
      </c>
      <c r="K5947" s="17"/>
      <c r="L5947" s="7">
        <f t="shared" si="2558"/>
        <v>19</v>
      </c>
      <c r="M5947" s="8">
        <v>1</v>
      </c>
      <c r="N5947" s="8">
        <f t="shared" si="2559"/>
        <v>1</v>
      </c>
      <c r="O5947" s="11" t="s">
        <v>1702</v>
      </c>
      <c r="P5947" s="16" t="str">
        <f t="shared" si="2560"/>
        <v>06-Jun-1907</v>
      </c>
      <c r="R5947" s="16" t="str">
        <f t="shared" si="2561"/>
        <v>x</v>
      </c>
      <c r="S5947" s="16" t="str">
        <f t="shared" si="2561"/>
        <v>x</v>
      </c>
      <c r="U5947" s="46" t="str">
        <f t="shared" si="2564"/>
        <v/>
      </c>
      <c r="V5947" s="46">
        <f t="shared" si="2564"/>
        <v>19</v>
      </c>
      <c r="W5947" s="46" t="str">
        <f t="shared" si="2564"/>
        <v/>
      </c>
      <c r="X5947" s="46" t="str">
        <f t="shared" si="2564"/>
        <v/>
      </c>
    </row>
    <row r="5948" spans="2:24" x14ac:dyDescent="0.25">
      <c r="B5948" s="11" t="str">
        <f>CONCATENATE("SAXO","-",LEFT(P5948,2),UPPER(MID(P5948,4,3)),RIGHT(P5948,4))</f>
        <v>SAXO-30APR1908</v>
      </c>
      <c r="C5948" s="11" t="s">
        <v>3066</v>
      </c>
      <c r="D5948" s="11" t="s">
        <v>2097</v>
      </c>
      <c r="E5948" s="39" t="s">
        <v>5916</v>
      </c>
      <c r="F5948" s="11" t="s">
        <v>3050</v>
      </c>
      <c r="G5948" s="39" t="s">
        <v>5917</v>
      </c>
      <c r="H5948" s="7">
        <v>0</v>
      </c>
      <c r="I5948" s="7">
        <v>0</v>
      </c>
      <c r="J5948" s="17">
        <v>2</v>
      </c>
      <c r="K5948" s="17"/>
      <c r="L5948" s="7">
        <f>SUM(H5948:K5948)</f>
        <v>2</v>
      </c>
      <c r="M5948" s="8">
        <v>1</v>
      </c>
      <c r="N5948" s="8">
        <f>IF(L5948&gt;0,1,"")</f>
        <v>1</v>
      </c>
      <c r="O5948" s="11" t="s">
        <v>1702</v>
      </c>
      <c r="P5948" s="16" t="str">
        <f>IF(LEN(G5948)=10,CONCATENATE("0",G5948),G5948)</f>
        <v>30-Apr-1908</v>
      </c>
      <c r="R5948" s="16" t="str">
        <f t="shared" si="2561"/>
        <v>x</v>
      </c>
      <c r="S5948" s="16" t="str">
        <f t="shared" si="2561"/>
        <v>x</v>
      </c>
      <c r="U5948" s="46" t="str">
        <f t="shared" si="2564"/>
        <v/>
      </c>
      <c r="V5948" s="46">
        <f t="shared" si="2564"/>
        <v>2</v>
      </c>
      <c r="W5948" s="46" t="str">
        <f t="shared" si="2564"/>
        <v/>
      </c>
      <c r="X5948" s="46" t="str">
        <f t="shared" si="2564"/>
        <v/>
      </c>
    </row>
    <row r="5949" spans="2:24" x14ac:dyDescent="0.25">
      <c r="B5949" s="11" t="str">
        <f t="shared" si="2557"/>
        <v>SAXO-23JUL1908</v>
      </c>
      <c r="C5949" s="11" t="s">
        <v>3066</v>
      </c>
      <c r="D5949" s="11" t="s">
        <v>2097</v>
      </c>
      <c r="E5949" s="39" t="s">
        <v>4072</v>
      </c>
      <c r="F5949" s="11" t="s">
        <v>3050</v>
      </c>
      <c r="G5949" s="39" t="s">
        <v>4073</v>
      </c>
      <c r="H5949" s="7">
        <v>0</v>
      </c>
      <c r="I5949" s="7">
        <v>2</v>
      </c>
      <c r="J5949" s="17">
        <v>0</v>
      </c>
      <c r="K5949" s="17"/>
      <c r="L5949" s="7">
        <f t="shared" si="2558"/>
        <v>2</v>
      </c>
      <c r="M5949" s="8">
        <v>1</v>
      </c>
      <c r="N5949" s="8">
        <f t="shared" si="2559"/>
        <v>1</v>
      </c>
      <c r="O5949" s="11" t="s">
        <v>1702</v>
      </c>
      <c r="P5949" s="16" t="str">
        <f t="shared" si="2560"/>
        <v>23-Jul-1908</v>
      </c>
      <c r="R5949" s="16" t="str">
        <f t="shared" si="2561"/>
        <v>x</v>
      </c>
      <c r="S5949" s="16" t="str">
        <f t="shared" si="2561"/>
        <v>x</v>
      </c>
      <c r="U5949" s="46" t="str">
        <f t="shared" si="2564"/>
        <v/>
      </c>
      <c r="V5949" s="46">
        <f t="shared" si="2564"/>
        <v>2</v>
      </c>
      <c r="W5949" s="46" t="str">
        <f t="shared" si="2564"/>
        <v/>
      </c>
      <c r="X5949" s="46" t="str">
        <f t="shared" si="2564"/>
        <v/>
      </c>
    </row>
    <row r="5950" spans="2:24" x14ac:dyDescent="0.25">
      <c r="B5950" s="11" t="str">
        <f t="shared" si="2557"/>
        <v>SAXO-23JAN1909</v>
      </c>
      <c r="C5950" s="11" t="s">
        <v>3066</v>
      </c>
      <c r="D5950" s="11" t="s">
        <v>2097</v>
      </c>
      <c r="E5950" s="39" t="s">
        <v>5184</v>
      </c>
      <c r="F5950" s="11" t="s">
        <v>3050</v>
      </c>
      <c r="G5950" s="39" t="s">
        <v>2674</v>
      </c>
      <c r="H5950" s="7">
        <v>0</v>
      </c>
      <c r="I5950" s="7">
        <v>6</v>
      </c>
      <c r="J5950" s="17">
        <v>4</v>
      </c>
      <c r="K5950" s="17"/>
      <c r="L5950" s="7">
        <f t="shared" si="2558"/>
        <v>10</v>
      </c>
      <c r="M5950" s="8">
        <v>1</v>
      </c>
      <c r="N5950" s="8">
        <f t="shared" si="2559"/>
        <v>1</v>
      </c>
      <c r="O5950" s="11" t="s">
        <v>1702</v>
      </c>
      <c r="P5950" s="16" t="str">
        <f t="shared" si="2560"/>
        <v>23-Jan-1909</v>
      </c>
      <c r="R5950" s="16" t="str">
        <f t="shared" si="2561"/>
        <v>x</v>
      </c>
      <c r="S5950" s="16" t="str">
        <f t="shared" si="2561"/>
        <v>x</v>
      </c>
      <c r="U5950" s="46" t="str">
        <f>IF($O5950=U$5,$L5950,"")</f>
        <v/>
      </c>
      <c r="V5950" s="46">
        <f>IF($O5950=V$5,$L5950,"")</f>
        <v>10</v>
      </c>
      <c r="W5950" s="46" t="str">
        <f>IF($O5950=W$5,$L5950,"")</f>
        <v/>
      </c>
      <c r="X5950" s="46" t="str">
        <f>IF($O5950=X$5,$L5950,"")</f>
        <v/>
      </c>
    </row>
    <row r="5951" spans="2:24" x14ac:dyDescent="0.25">
      <c r="B5951" s="11" t="str">
        <f t="shared" ref="B5951:B5959" si="2565">CONCATENATE("SAXO","-",LEFT(P5951,2),UPPER(MID(P5951,4,3)),RIGHT(P5951,4))</f>
        <v>SAXO-04JUN1912</v>
      </c>
      <c r="C5951" s="11" t="s">
        <v>3066</v>
      </c>
      <c r="D5951" s="11" t="s">
        <v>3007</v>
      </c>
      <c r="E5951" s="39" t="s">
        <v>5095</v>
      </c>
      <c r="F5951" s="11" t="s">
        <v>1700</v>
      </c>
      <c r="G5951" s="39" t="s">
        <v>993</v>
      </c>
      <c r="H5951" s="7">
        <v>0</v>
      </c>
      <c r="I5951" s="7">
        <v>11</v>
      </c>
      <c r="J5951" s="17"/>
      <c r="K5951" s="17"/>
      <c r="L5951" s="7">
        <f t="shared" ref="L5951:L5959" si="2566">SUM(H5951:K5951)</f>
        <v>11</v>
      </c>
      <c r="M5951" s="8">
        <v>1</v>
      </c>
      <c r="N5951" s="8">
        <f t="shared" ref="N5951:N5959" si="2567">IF(L5951&gt;0,1,"")</f>
        <v>1</v>
      </c>
      <c r="O5951" s="11" t="s">
        <v>1702</v>
      </c>
      <c r="P5951" s="16" t="str">
        <f t="shared" ref="P5951:P5959" si="2568">IF(LEN(G5951)=10,CONCATENATE("0",G5951),G5951)</f>
        <v>04-Jun-1912</v>
      </c>
      <c r="R5951" s="16" t="str">
        <f t="shared" si="2561"/>
        <v>x</v>
      </c>
      <c r="S5951" s="16" t="str">
        <f t="shared" si="2561"/>
        <v>x</v>
      </c>
      <c r="U5951" s="46" t="str">
        <f t="shared" ref="U5951:X5959" si="2569">IF($O5951=U$5,$L5951,"")</f>
        <v/>
      </c>
      <c r="V5951" s="46">
        <f t="shared" si="2569"/>
        <v>11</v>
      </c>
      <c r="W5951" s="46" t="str">
        <f t="shared" si="2569"/>
        <v/>
      </c>
      <c r="X5951" s="46" t="str">
        <f t="shared" si="2569"/>
        <v/>
      </c>
    </row>
    <row r="5952" spans="2:24" x14ac:dyDescent="0.25">
      <c r="B5952" s="11" t="str">
        <f t="shared" si="2565"/>
        <v>SAXO-25JUL1912</v>
      </c>
      <c r="C5952" s="11" t="s">
        <v>3066</v>
      </c>
      <c r="D5952" s="11" t="s">
        <v>3064</v>
      </c>
      <c r="E5952" s="39" t="s">
        <v>2769</v>
      </c>
      <c r="F5952" s="11" t="s">
        <v>1700</v>
      </c>
      <c r="G5952" s="39" t="s">
        <v>5223</v>
      </c>
      <c r="H5952" s="7">
        <v>0</v>
      </c>
      <c r="I5952" s="7">
        <v>0</v>
      </c>
      <c r="J5952" s="17">
        <v>15</v>
      </c>
      <c r="K5952" s="17"/>
      <c r="L5952" s="7">
        <f t="shared" si="2566"/>
        <v>15</v>
      </c>
      <c r="M5952" s="8">
        <v>1</v>
      </c>
      <c r="N5952" s="8">
        <f t="shared" si="2567"/>
        <v>1</v>
      </c>
      <c r="O5952" s="11" t="s">
        <v>1702</v>
      </c>
      <c r="P5952" s="16" t="str">
        <f t="shared" si="2568"/>
        <v>25-Jul-1912</v>
      </c>
      <c r="R5952" s="16" t="str">
        <f t="shared" si="2561"/>
        <v>x</v>
      </c>
      <c r="S5952" s="16" t="str">
        <f t="shared" si="2561"/>
        <v>x</v>
      </c>
      <c r="U5952" s="46" t="str">
        <f t="shared" si="2569"/>
        <v/>
      </c>
      <c r="V5952" s="46">
        <f t="shared" si="2569"/>
        <v>15</v>
      </c>
      <c r="W5952" s="46" t="str">
        <f t="shared" si="2569"/>
        <v/>
      </c>
      <c r="X5952" s="46" t="str">
        <f t="shared" si="2569"/>
        <v/>
      </c>
    </row>
    <row r="5953" spans="2:24" x14ac:dyDescent="0.25">
      <c r="B5953" s="11" t="str">
        <f t="shared" si="2565"/>
        <v>SAXO-12SEP1912</v>
      </c>
      <c r="C5953" s="11" t="s">
        <v>3066</v>
      </c>
      <c r="D5953" s="11" t="s">
        <v>3064</v>
      </c>
      <c r="E5953" s="39" t="s">
        <v>5265</v>
      </c>
      <c r="F5953" s="11" t="s">
        <v>1700</v>
      </c>
      <c r="G5953" s="39" t="s">
        <v>5266</v>
      </c>
      <c r="H5953" s="7">
        <v>0</v>
      </c>
      <c r="I5953" s="7">
        <v>0</v>
      </c>
      <c r="J5953" s="17">
        <v>34</v>
      </c>
      <c r="K5953" s="17"/>
      <c r="L5953" s="7">
        <f t="shared" si="2566"/>
        <v>34</v>
      </c>
      <c r="M5953" s="8">
        <v>1</v>
      </c>
      <c r="N5953" s="8">
        <f t="shared" si="2567"/>
        <v>1</v>
      </c>
      <c r="O5953" s="11" t="s">
        <v>1702</v>
      </c>
      <c r="P5953" s="16" t="str">
        <f t="shared" si="2568"/>
        <v>12-Sep-1912</v>
      </c>
      <c r="R5953" s="16" t="str">
        <f t="shared" ref="R5953:S5956" si="2570">IF($L5953&gt;0,"x","")</f>
        <v>x</v>
      </c>
      <c r="S5953" s="16" t="str">
        <f t="shared" si="2570"/>
        <v>x</v>
      </c>
      <c r="U5953" s="46" t="str">
        <f t="shared" si="2569"/>
        <v/>
      </c>
      <c r="V5953" s="46">
        <f t="shared" si="2569"/>
        <v>34</v>
      </c>
      <c r="W5953" s="46" t="str">
        <f t="shared" si="2569"/>
        <v/>
      </c>
      <c r="X5953" s="46" t="str">
        <f t="shared" si="2569"/>
        <v/>
      </c>
    </row>
    <row r="5954" spans="2:24" x14ac:dyDescent="0.25">
      <c r="B5954" s="11" t="str">
        <f>CONCATENATE("SAXO","-",LEFT(P5954,2),UPPER(MID(P5954,4,3)),RIGHT(P5954,4))</f>
        <v>SAXO-02NOV1912</v>
      </c>
      <c r="C5954" s="11" t="s">
        <v>3066</v>
      </c>
      <c r="D5954" s="11" t="s">
        <v>3064</v>
      </c>
      <c r="E5954" s="39" t="s">
        <v>5236</v>
      </c>
      <c r="F5954" s="11" t="s">
        <v>1700</v>
      </c>
      <c r="G5954" s="39" t="s">
        <v>1005</v>
      </c>
      <c r="H5954" s="7">
        <v>0</v>
      </c>
      <c r="I5954" s="7">
        <v>0</v>
      </c>
      <c r="J5954" s="17">
        <v>41</v>
      </c>
      <c r="K5954" s="17"/>
      <c r="L5954" s="7">
        <f>SUM(H5954:K5954)</f>
        <v>41</v>
      </c>
      <c r="M5954" s="8">
        <v>1</v>
      </c>
      <c r="N5954" s="8">
        <f>IF(L5954&gt;0,1,"")</f>
        <v>1</v>
      </c>
      <c r="O5954" s="11" t="s">
        <v>1702</v>
      </c>
      <c r="P5954" s="16" t="str">
        <f>IF(LEN(G5954)=10,CONCATENATE("0",G5954),G5954)</f>
        <v>02-Nov-1912</v>
      </c>
      <c r="R5954" s="16" t="str">
        <f t="shared" si="2570"/>
        <v>x</v>
      </c>
      <c r="S5954" s="16" t="str">
        <f t="shared" si="2570"/>
        <v>x</v>
      </c>
      <c r="U5954" s="46" t="str">
        <f t="shared" si="2569"/>
        <v/>
      </c>
      <c r="V5954" s="46">
        <f t="shared" si="2569"/>
        <v>41</v>
      </c>
      <c r="W5954" s="46" t="str">
        <f t="shared" si="2569"/>
        <v/>
      </c>
      <c r="X5954" s="46" t="str">
        <f t="shared" si="2569"/>
        <v/>
      </c>
    </row>
    <row r="5955" spans="2:24" x14ac:dyDescent="0.25">
      <c r="B5955" s="11" t="str">
        <f>CONCATENATE("SAXO","-",LEFT(P5955,2),UPPER(MID(P5955,4,3)),RIGHT(P5955,4))</f>
        <v>SAXO-07JUN1913</v>
      </c>
      <c r="C5955" s="11" t="s">
        <v>3066</v>
      </c>
      <c r="D5955" s="11" t="s">
        <v>3064</v>
      </c>
      <c r="E5955" s="39" t="s">
        <v>3173</v>
      </c>
      <c r="F5955" s="11" t="s">
        <v>1700</v>
      </c>
      <c r="G5955" s="39" t="s">
        <v>2783</v>
      </c>
      <c r="I5955" s="7">
        <v>3</v>
      </c>
      <c r="J5955" s="17">
        <v>27</v>
      </c>
      <c r="K5955" s="17"/>
      <c r="L5955" s="7">
        <f>SUM(H5955:K5955)</f>
        <v>30</v>
      </c>
      <c r="M5955" s="8">
        <v>1</v>
      </c>
      <c r="N5955" s="8">
        <f>IF(L5955&gt;0,1,"")</f>
        <v>1</v>
      </c>
      <c r="O5955" s="11" t="s">
        <v>1702</v>
      </c>
      <c r="P5955" s="16" t="str">
        <f>IF(LEN(G5955)=10,CONCATENATE("0",G5955),G5955)</f>
        <v>07-Jun-1913</v>
      </c>
      <c r="R5955" s="16" t="str">
        <f t="shared" si="2570"/>
        <v>x</v>
      </c>
      <c r="S5955" s="16" t="str">
        <f t="shared" si="2570"/>
        <v>x</v>
      </c>
      <c r="U5955" s="46" t="str">
        <f t="shared" si="2569"/>
        <v/>
      </c>
      <c r="V5955" s="46">
        <f t="shared" si="2569"/>
        <v>30</v>
      </c>
      <c r="W5955" s="46" t="str">
        <f t="shared" si="2569"/>
        <v/>
      </c>
      <c r="X5955" s="46" t="str">
        <f t="shared" si="2569"/>
        <v/>
      </c>
    </row>
    <row r="5956" spans="2:24" x14ac:dyDescent="0.25">
      <c r="B5956" s="11" t="str">
        <f>CONCATENATE("SAXO","-",LEFT(P5956,2),UPPER(MID(P5956,4,3)),RIGHT(P5956,4))</f>
        <v>SAXO-25JUL1913</v>
      </c>
      <c r="C5956" s="11" t="s">
        <v>3066</v>
      </c>
      <c r="D5956" s="11" t="s">
        <v>3064</v>
      </c>
      <c r="E5956" s="39" t="s">
        <v>6198</v>
      </c>
      <c r="F5956" s="11" t="s">
        <v>1700</v>
      </c>
      <c r="G5956" s="39" t="s">
        <v>4492</v>
      </c>
      <c r="I5956" s="7">
        <v>0</v>
      </c>
      <c r="J5956" s="17">
        <v>40</v>
      </c>
      <c r="K5956" s="17"/>
      <c r="L5956" s="7">
        <f>SUM(H5956:K5956)</f>
        <v>40</v>
      </c>
      <c r="M5956" s="8">
        <v>1</v>
      </c>
      <c r="N5956" s="8">
        <f>IF(L5956&gt;0,1,"")</f>
        <v>1</v>
      </c>
      <c r="O5956" s="11" t="s">
        <v>1702</v>
      </c>
      <c r="P5956" s="16" t="str">
        <f>IF(LEN(G5956)=10,CONCATENATE("0",G5956),G5956)</f>
        <v>25-Jul-1913</v>
      </c>
      <c r="R5956" s="16" t="str">
        <f t="shared" si="2570"/>
        <v>x</v>
      </c>
      <c r="S5956" s="16" t="str">
        <f t="shared" si="2570"/>
        <v>x</v>
      </c>
      <c r="U5956" s="46" t="str">
        <f t="shared" si="2569"/>
        <v/>
      </c>
      <c r="V5956" s="46">
        <f t="shared" si="2569"/>
        <v>40</v>
      </c>
      <c r="W5956" s="46" t="str">
        <f t="shared" si="2569"/>
        <v/>
      </c>
      <c r="X5956" s="46" t="str">
        <f t="shared" si="2569"/>
        <v/>
      </c>
    </row>
    <row r="5957" spans="2:24" x14ac:dyDescent="0.25">
      <c r="B5957" s="11" t="str">
        <f t="shared" si="2565"/>
        <v>SAXO-13SEP1913</v>
      </c>
      <c r="C5957" s="11" t="s">
        <v>3066</v>
      </c>
      <c r="D5957" s="11" t="s">
        <v>3064</v>
      </c>
      <c r="E5957" s="39" t="s">
        <v>2355</v>
      </c>
      <c r="F5957" s="11" t="s">
        <v>1700</v>
      </c>
      <c r="G5957" s="39" t="s">
        <v>1025</v>
      </c>
      <c r="H5957" s="7">
        <v>0</v>
      </c>
      <c r="I5957" s="7">
        <v>0</v>
      </c>
      <c r="J5957" s="17">
        <v>18</v>
      </c>
      <c r="K5957" s="17"/>
      <c r="L5957" s="7">
        <f t="shared" si="2566"/>
        <v>18</v>
      </c>
      <c r="M5957" s="8">
        <v>1</v>
      </c>
      <c r="N5957" s="8">
        <f t="shared" si="2567"/>
        <v>1</v>
      </c>
      <c r="O5957" s="11" t="s">
        <v>1702</v>
      </c>
      <c r="P5957" s="16" t="str">
        <f t="shared" si="2568"/>
        <v>13-Sep-1913</v>
      </c>
      <c r="R5957" s="16" t="str">
        <f t="shared" si="2561"/>
        <v>x</v>
      </c>
      <c r="S5957" s="16" t="str">
        <f t="shared" si="2561"/>
        <v>x</v>
      </c>
      <c r="U5957" s="46" t="str">
        <f t="shared" si="2569"/>
        <v/>
      </c>
      <c r="V5957" s="46">
        <f t="shared" si="2569"/>
        <v>18</v>
      </c>
      <c r="W5957" s="46" t="str">
        <f t="shared" si="2569"/>
        <v/>
      </c>
      <c r="X5957" s="46" t="str">
        <f t="shared" si="2569"/>
        <v/>
      </c>
    </row>
    <row r="5958" spans="2:24" x14ac:dyDescent="0.25">
      <c r="B5958" s="11" t="str">
        <f t="shared" si="2565"/>
        <v>SAXO-02FEB1914</v>
      </c>
      <c r="C5958" s="11" t="s">
        <v>3066</v>
      </c>
      <c r="D5958" s="11" t="s">
        <v>3064</v>
      </c>
      <c r="E5958" s="39" t="s">
        <v>1306</v>
      </c>
      <c r="F5958" s="11" t="s">
        <v>1700</v>
      </c>
      <c r="G5958" s="39" t="s">
        <v>3151</v>
      </c>
      <c r="J5958" s="17">
        <v>9</v>
      </c>
      <c r="K5958" s="17"/>
      <c r="L5958" s="7">
        <f t="shared" si="2566"/>
        <v>9</v>
      </c>
      <c r="M5958" s="8">
        <v>1</v>
      </c>
      <c r="N5958" s="8">
        <f t="shared" si="2567"/>
        <v>1</v>
      </c>
      <c r="O5958" s="11" t="s">
        <v>1702</v>
      </c>
      <c r="P5958" s="16" t="str">
        <f t="shared" si="2568"/>
        <v>02-Feb-1914</v>
      </c>
      <c r="R5958" s="16" t="str">
        <f t="shared" si="2561"/>
        <v>x</v>
      </c>
      <c r="S5958" s="16" t="str">
        <f t="shared" si="2561"/>
        <v>x</v>
      </c>
      <c r="U5958" s="46" t="str">
        <f t="shared" si="2569"/>
        <v/>
      </c>
      <c r="V5958" s="46">
        <f t="shared" si="2569"/>
        <v>9</v>
      </c>
      <c r="W5958" s="46" t="str">
        <f t="shared" si="2569"/>
        <v/>
      </c>
      <c r="X5958" s="46" t="str">
        <f t="shared" si="2569"/>
        <v/>
      </c>
    </row>
    <row r="5959" spans="2:24" x14ac:dyDescent="0.25">
      <c r="B5959" s="11" t="str">
        <f t="shared" si="2565"/>
        <v>SAXO-02FEB1914</v>
      </c>
      <c r="C5959" s="11" t="s">
        <v>3066</v>
      </c>
      <c r="D5959" s="11" t="s">
        <v>1906</v>
      </c>
      <c r="E5959" s="39" t="s">
        <v>5357</v>
      </c>
      <c r="F5959" s="11" t="s">
        <v>1700</v>
      </c>
      <c r="G5959" s="39" t="s">
        <v>3151</v>
      </c>
      <c r="H5959" s="7">
        <v>0</v>
      </c>
      <c r="I5959" s="7">
        <v>5</v>
      </c>
      <c r="J5959" s="17">
        <v>11</v>
      </c>
      <c r="K5959" s="17"/>
      <c r="L5959" s="7">
        <f t="shared" si="2566"/>
        <v>16</v>
      </c>
      <c r="M5959" s="8">
        <v>1</v>
      </c>
      <c r="N5959" s="8">
        <f t="shared" si="2567"/>
        <v>1</v>
      </c>
      <c r="O5959" s="11" t="s">
        <v>1702</v>
      </c>
      <c r="P5959" s="16" t="str">
        <f t="shared" si="2568"/>
        <v>02-Feb-1914</v>
      </c>
      <c r="R5959" s="16" t="str">
        <f>IF($L5959&gt;0,"x","")</f>
        <v>x</v>
      </c>
      <c r="S5959" s="16" t="str">
        <f>IF($L5959&gt;0,"x","")</f>
        <v>x</v>
      </c>
      <c r="U5959" s="46" t="str">
        <f t="shared" si="2569"/>
        <v/>
      </c>
      <c r="V5959" s="46">
        <f t="shared" si="2569"/>
        <v>16</v>
      </c>
      <c r="W5959" s="46" t="str">
        <f t="shared" si="2569"/>
        <v/>
      </c>
      <c r="X5959" s="46" t="str">
        <f t="shared" si="2569"/>
        <v/>
      </c>
    </row>
    <row r="5960" spans="2:24" x14ac:dyDescent="0.25">
      <c r="B5960" s="11" t="str">
        <f>CONCATENATE("SAXO","-",LEFT(P5960,2),UPPER(MID(P5960,4,3)),RIGHT(P5960,4))</f>
        <v>SAXO-03JUN1914</v>
      </c>
      <c r="C5960" s="11" t="s">
        <v>3066</v>
      </c>
      <c r="D5960" s="11" t="s">
        <v>1906</v>
      </c>
      <c r="E5960" s="39" t="s">
        <v>4823</v>
      </c>
      <c r="F5960" s="11" t="s">
        <v>1700</v>
      </c>
      <c r="G5960" s="39" t="s">
        <v>4824</v>
      </c>
      <c r="H5960" s="7">
        <v>0</v>
      </c>
      <c r="I5960" s="7">
        <v>1</v>
      </c>
      <c r="J5960" s="17">
        <f>8+1</f>
        <v>9</v>
      </c>
      <c r="K5960" s="17"/>
      <c r="L5960" s="7">
        <f>SUM(H5960:K5960)</f>
        <v>10</v>
      </c>
      <c r="M5960" s="8">
        <v>1</v>
      </c>
      <c r="N5960" s="8">
        <f>IF(L5960&gt;0,1,"")</f>
        <v>1</v>
      </c>
      <c r="O5960" s="11" t="s">
        <v>1702</v>
      </c>
      <c r="P5960" s="16" t="str">
        <f>IF(LEN(G5960)=10,CONCATENATE("0",G5960),G5960)</f>
        <v>03-Jun-1914</v>
      </c>
      <c r="R5960" s="16" t="str">
        <f t="shared" si="2561"/>
        <v>x</v>
      </c>
      <c r="S5960" s="16" t="str">
        <f t="shared" si="2561"/>
        <v>x</v>
      </c>
      <c r="U5960" s="46" t="str">
        <f>IF($O5960=U$5,$L5960,"")</f>
        <v/>
      </c>
      <c r="V5960" s="46">
        <f>IF($O5960=V$5,$L5960,"")</f>
        <v>10</v>
      </c>
      <c r="W5960" s="46" t="str">
        <f>IF($O5960=W$5,$L5960,"")</f>
        <v/>
      </c>
      <c r="X5960" s="46" t="str">
        <f>IF($O5960=X$5,$L5960,"")</f>
        <v/>
      </c>
    </row>
    <row r="5961" spans="2:24" x14ac:dyDescent="0.25">
      <c r="B5961" s="11" t="str">
        <f>CONCATENATE("SAXO","-",LEFT(P5961,2),UPPER(MID(P5961,4,3)),RIGHT(P5961,4))</f>
        <v>SAXO-27JUL1914</v>
      </c>
      <c r="C5961" s="11" t="s">
        <v>3066</v>
      </c>
      <c r="D5961" s="11" t="s">
        <v>1906</v>
      </c>
      <c r="E5961" s="39" t="s">
        <v>4932</v>
      </c>
      <c r="F5961" s="11" t="s">
        <v>1700</v>
      </c>
      <c r="G5961" s="39" t="s">
        <v>5416</v>
      </c>
      <c r="I5961" s="7">
        <v>13</v>
      </c>
      <c r="J5961" s="17">
        <v>7</v>
      </c>
      <c r="K5961" s="17"/>
      <c r="L5961" s="7">
        <f>SUM(H5961:K5961)</f>
        <v>20</v>
      </c>
      <c r="M5961" s="8">
        <v>1</v>
      </c>
      <c r="N5961" s="8">
        <f>IF(L5961&gt;0,1,"")</f>
        <v>1</v>
      </c>
      <c r="O5961" s="11" t="s">
        <v>1702</v>
      </c>
      <c r="P5961" s="16" t="str">
        <f>IF(LEN(G5961)=10,CONCATENATE("0",G5961),G5961)</f>
        <v>27-Jul-1914</v>
      </c>
      <c r="R5961" s="16" t="str">
        <f t="shared" ref="R5961:S5963" si="2571">IF($L5961&gt;0,"x","")</f>
        <v>x</v>
      </c>
      <c r="S5961" s="16" t="str">
        <f t="shared" si="2571"/>
        <v>x</v>
      </c>
      <c r="U5961" s="46" t="str">
        <f t="shared" ref="U5961:X5963" si="2572">IF($O5961=U$5,$L5961,"")</f>
        <v/>
      </c>
      <c r="V5961" s="46">
        <f t="shared" si="2572"/>
        <v>20</v>
      </c>
      <c r="W5961" s="46" t="str">
        <f t="shared" si="2572"/>
        <v/>
      </c>
      <c r="X5961" s="46" t="str">
        <f t="shared" si="2572"/>
        <v/>
      </c>
    </row>
    <row r="5962" spans="2:24" x14ac:dyDescent="0.25">
      <c r="B5962" s="11" t="str">
        <f>CONCATENATE("SAXO","-",LEFT(P5962,2),UPPER(MID(P5962,4,3)),RIGHT(P5962,4))</f>
        <v>SAXO-18FEB1923</v>
      </c>
      <c r="C5962" s="11" t="s">
        <v>3066</v>
      </c>
      <c r="D5962" s="11" t="s">
        <v>2224</v>
      </c>
      <c r="E5962" s="39" t="s">
        <v>5575</v>
      </c>
      <c r="F5962" s="11" t="s">
        <v>1700</v>
      </c>
      <c r="G5962" s="39" t="s">
        <v>5775</v>
      </c>
      <c r="I5962" s="7">
        <v>0</v>
      </c>
      <c r="J5962" s="17">
        <f>0+1</f>
        <v>1</v>
      </c>
      <c r="K5962" s="17"/>
      <c r="L5962" s="7">
        <f>SUM(H5962:K5962)</f>
        <v>1</v>
      </c>
      <c r="M5962" s="8">
        <v>1</v>
      </c>
      <c r="N5962" s="8">
        <f>IF(L5962&gt;0,1,"")</f>
        <v>1</v>
      </c>
      <c r="O5962" s="11" t="s">
        <v>1702</v>
      </c>
      <c r="P5962" s="16" t="str">
        <f>IF(LEN(G5962)=10,CONCATENATE("0",G5962),G5962)</f>
        <v>18-Feb-1923</v>
      </c>
      <c r="R5962" s="16" t="str">
        <f t="shared" si="2571"/>
        <v>x</v>
      </c>
      <c r="S5962" s="16" t="str">
        <f t="shared" si="2571"/>
        <v>x</v>
      </c>
      <c r="U5962" s="46" t="str">
        <f t="shared" si="2572"/>
        <v/>
      </c>
      <c r="V5962" s="46">
        <f t="shared" si="2572"/>
        <v>1</v>
      </c>
      <c r="W5962" s="46" t="str">
        <f t="shared" si="2572"/>
        <v/>
      </c>
      <c r="X5962" s="46" t="str">
        <f t="shared" si="2572"/>
        <v/>
      </c>
    </row>
    <row r="5963" spans="2:24" x14ac:dyDescent="0.25">
      <c r="B5963" s="11" t="str">
        <f>CONCATENATE("SAXO","-",LEFT(P5963,2),UPPER(MID(P5963,4,3)),RIGHT(P5963,4))</f>
        <v>SAXO-06NOV1924</v>
      </c>
      <c r="C5963" s="11" t="s">
        <v>3066</v>
      </c>
      <c r="D5963" s="11" t="s">
        <v>2224</v>
      </c>
      <c r="E5963" s="39" t="s">
        <v>3985</v>
      </c>
      <c r="F5963" s="11" t="s">
        <v>1700</v>
      </c>
      <c r="G5963" s="39" t="s">
        <v>5569</v>
      </c>
      <c r="I5963" s="7">
        <v>0</v>
      </c>
      <c r="J5963" s="17">
        <v>5</v>
      </c>
      <c r="K5963" s="17"/>
      <c r="L5963" s="7">
        <f>SUM(H5963:K5963)</f>
        <v>5</v>
      </c>
      <c r="M5963" s="8">
        <v>1</v>
      </c>
      <c r="N5963" s="8">
        <f>IF(L5963&gt;0,1,"")</f>
        <v>1</v>
      </c>
      <c r="O5963" s="11" t="s">
        <v>1702</v>
      </c>
      <c r="P5963" s="16" t="str">
        <f>IF(LEN(G5963)=10,CONCATENATE("0",G5963),G5963)</f>
        <v>06-Nov-1924</v>
      </c>
      <c r="R5963" s="16" t="str">
        <f t="shared" si="2571"/>
        <v>x</v>
      </c>
      <c r="S5963" s="16" t="str">
        <f t="shared" si="2571"/>
        <v>x</v>
      </c>
      <c r="U5963" s="46" t="str">
        <f t="shared" si="2572"/>
        <v/>
      </c>
      <c r="V5963" s="46">
        <f t="shared" si="2572"/>
        <v>5</v>
      </c>
      <c r="W5963" s="46" t="str">
        <f t="shared" si="2572"/>
        <v/>
      </c>
      <c r="X5963" s="46" t="str">
        <f t="shared" si="2572"/>
        <v/>
      </c>
    </row>
    <row r="5964" spans="2:24" x14ac:dyDescent="0.25">
      <c r="N5964" s="8" t="str">
        <f>IF(R5964="x",1,"")</f>
        <v/>
      </c>
      <c r="U5964" s="46" t="str">
        <f t="shared" ref="U5964:X5968" si="2573">IF($O5964=U$5,$L5964,"")</f>
        <v/>
      </c>
      <c r="V5964" s="46" t="str">
        <f t="shared" si="2573"/>
        <v/>
      </c>
      <c r="W5964" s="46" t="str">
        <f t="shared" si="2573"/>
        <v/>
      </c>
      <c r="X5964" s="46" t="str">
        <f t="shared" si="2573"/>
        <v/>
      </c>
    </row>
    <row r="5965" spans="2:24" x14ac:dyDescent="0.25">
      <c r="B5965" s="18"/>
      <c r="C5965" s="18"/>
      <c r="D5965" s="18"/>
      <c r="E5965" s="40"/>
      <c r="F5965" s="18"/>
      <c r="G5965" s="40"/>
      <c r="H5965" s="7">
        <f t="shared" ref="H5965:N5965" si="2574">SUM(H5936:H5964)</f>
        <v>2</v>
      </c>
      <c r="I5965" s="7">
        <f t="shared" si="2574"/>
        <v>50</v>
      </c>
      <c r="J5965" s="7">
        <f>SUM(J5936:J5964)</f>
        <v>343</v>
      </c>
      <c r="K5965" s="7">
        <f t="shared" si="2574"/>
        <v>0</v>
      </c>
      <c r="L5965" s="7">
        <f t="shared" si="2574"/>
        <v>395</v>
      </c>
      <c r="M5965" s="7">
        <f t="shared" si="2574"/>
        <v>28</v>
      </c>
      <c r="N5965" s="7">
        <f t="shared" si="2574"/>
        <v>28</v>
      </c>
      <c r="O5965" s="18"/>
      <c r="P5965" s="13"/>
      <c r="Q5965" s="13"/>
      <c r="S5965" s="13"/>
      <c r="T5965" s="15"/>
      <c r="U5965" s="46" t="str">
        <f t="shared" si="2573"/>
        <v/>
      </c>
      <c r="V5965" s="46" t="str">
        <f t="shared" si="2573"/>
        <v/>
      </c>
      <c r="W5965" s="46" t="str">
        <f t="shared" si="2573"/>
        <v/>
      </c>
      <c r="X5965" s="46" t="str">
        <f t="shared" si="2573"/>
        <v/>
      </c>
    </row>
    <row r="5966" spans="2:24" x14ac:dyDescent="0.25">
      <c r="B5966" s="18"/>
      <c r="C5966" s="18"/>
      <c r="D5966" s="18"/>
      <c r="E5966" s="40"/>
      <c r="F5966" s="18"/>
      <c r="G5966" s="40"/>
      <c r="N5966" s="8" t="str">
        <f>IF(R5966="x",1,"")</f>
        <v/>
      </c>
      <c r="O5966" s="18"/>
      <c r="P5966" s="13"/>
      <c r="Q5966" s="13"/>
      <c r="R5966" s="13"/>
      <c r="S5966" s="13"/>
      <c r="T5966" s="15"/>
      <c r="U5966" s="46" t="str">
        <f t="shared" si="2573"/>
        <v/>
      </c>
      <c r="V5966" s="46" t="str">
        <f t="shared" si="2573"/>
        <v/>
      </c>
      <c r="W5966" s="46" t="str">
        <f t="shared" si="2573"/>
        <v/>
      </c>
      <c r="X5966" s="46" t="str">
        <f t="shared" si="2573"/>
        <v/>
      </c>
    </row>
    <row r="5967" spans="2:24" x14ac:dyDescent="0.25">
      <c r="B5967" s="18"/>
      <c r="C5967" s="18"/>
      <c r="D5967" s="18"/>
      <c r="E5967" s="40"/>
      <c r="F5967" s="18"/>
      <c r="G5967" s="40"/>
      <c r="N5967" s="8" t="str">
        <f>IF(R5967="x",1,"")</f>
        <v/>
      </c>
      <c r="O5967" s="18"/>
      <c r="P5967" s="13"/>
      <c r="Q5967" s="13"/>
      <c r="R5967" s="13"/>
      <c r="S5967" s="13"/>
      <c r="T5967" s="15"/>
      <c r="U5967" s="46" t="str">
        <f t="shared" si="2573"/>
        <v/>
      </c>
      <c r="V5967" s="46" t="str">
        <f t="shared" si="2573"/>
        <v/>
      </c>
      <c r="W5967" s="46" t="str">
        <f t="shared" si="2573"/>
        <v/>
      </c>
      <c r="X5967" s="46" t="str">
        <f t="shared" si="2573"/>
        <v/>
      </c>
    </row>
    <row r="5968" spans="2:24" x14ac:dyDescent="0.25">
      <c r="B5968" s="11" t="str">
        <f>CONCATENATE("SCAN","-",LEFT(P5968,2),UPPER(MID(P5968,4,3)),RIGHT(P5968,4))</f>
        <v>SCAN-19JUL1890</v>
      </c>
      <c r="C5968" s="11" t="s">
        <v>130</v>
      </c>
      <c r="D5968" s="11" t="s">
        <v>1699</v>
      </c>
      <c r="F5968" s="11" t="s">
        <v>1700</v>
      </c>
      <c r="G5968" s="39" t="s">
        <v>3550</v>
      </c>
      <c r="J5968" s="17">
        <v>17</v>
      </c>
      <c r="K5968" s="17"/>
      <c r="L5968" s="7">
        <f>SUM(H5968:K5968)</f>
        <v>17</v>
      </c>
      <c r="M5968" s="8">
        <v>1</v>
      </c>
      <c r="N5968" s="8">
        <f>IF(L5968&gt;0,1,"")</f>
        <v>1</v>
      </c>
      <c r="O5968" s="11" t="s">
        <v>1702</v>
      </c>
      <c r="P5968" s="16" t="str">
        <f>IF(LEN(G5968)=10,CONCATENATE("0",G5968),G5968)</f>
        <v>19-Jul-1890</v>
      </c>
      <c r="R5968" s="16" t="str">
        <f t="shared" ref="R5968:S5971" si="2575">IF($L5968&gt;0,"x","")</f>
        <v>x</v>
      </c>
      <c r="S5968" s="16" t="str">
        <f t="shared" si="2575"/>
        <v>x</v>
      </c>
      <c r="U5968" s="46" t="str">
        <f t="shared" si="2573"/>
        <v/>
      </c>
      <c r="V5968" s="46">
        <f t="shared" si="2573"/>
        <v>17</v>
      </c>
      <c r="W5968" s="46" t="str">
        <f t="shared" si="2573"/>
        <v/>
      </c>
      <c r="X5968" s="46" t="str">
        <f t="shared" si="2573"/>
        <v/>
      </c>
    </row>
    <row r="5969" spans="2:24" x14ac:dyDescent="0.25">
      <c r="B5969" s="11" t="str">
        <f>CONCATENATE("SCAN","-",LEFT(P5969,2),UPPER(MID(P5969,4,3)),RIGHT(P5969,4))</f>
        <v>SCAN-05JAN1891</v>
      </c>
      <c r="C5969" s="11" t="s">
        <v>130</v>
      </c>
      <c r="D5969" s="11" t="s">
        <v>1699</v>
      </c>
      <c r="F5969" s="11" t="s">
        <v>1700</v>
      </c>
      <c r="G5969" s="39" t="s">
        <v>11429</v>
      </c>
      <c r="H5969" s="7">
        <v>0</v>
      </c>
      <c r="J5969" s="17">
        <v>14</v>
      </c>
      <c r="K5969" s="17"/>
      <c r="L5969" s="7">
        <f>SUM(H5969:K5969)</f>
        <v>14</v>
      </c>
      <c r="M5969" s="8">
        <v>1</v>
      </c>
      <c r="N5969" s="8">
        <f>IF(L5969&gt;0,1,"")</f>
        <v>1</v>
      </c>
      <c r="O5969" s="11" t="s">
        <v>1702</v>
      </c>
      <c r="P5969" s="16" t="str">
        <f>IF(LEN(G5969)=10,CONCATENATE("0",G5969),G5969)</f>
        <v>05-Jan-1891</v>
      </c>
      <c r="R5969" s="16" t="str">
        <f t="shared" si="2575"/>
        <v>x</v>
      </c>
      <c r="S5969" s="16" t="str">
        <f t="shared" si="2575"/>
        <v>x</v>
      </c>
      <c r="U5969" s="46" t="str">
        <f t="shared" ref="U5969:X5972" si="2576">IF($O5969=U$5,$L5969,"")</f>
        <v/>
      </c>
      <c r="V5969" s="46">
        <f t="shared" si="2576"/>
        <v>14</v>
      </c>
      <c r="W5969" s="46" t="str">
        <f t="shared" si="2576"/>
        <v/>
      </c>
      <c r="X5969" s="46" t="str">
        <f t="shared" si="2576"/>
        <v/>
      </c>
    </row>
    <row r="5970" spans="2:24" x14ac:dyDescent="0.25">
      <c r="B5970" s="11" t="str">
        <f>CONCATENATE("SCAN","-",LEFT(P5970,2),UPPER(MID(P5970,4,3)),RIGHT(P5970,4))</f>
        <v>SCAN-11MAY1891</v>
      </c>
      <c r="C5970" s="11" t="s">
        <v>130</v>
      </c>
      <c r="D5970" s="11" t="s">
        <v>1699</v>
      </c>
      <c r="F5970" s="11" t="s">
        <v>1700</v>
      </c>
      <c r="G5970" s="39" t="s">
        <v>4811</v>
      </c>
      <c r="H5970" s="7">
        <v>0</v>
      </c>
      <c r="J5970" s="17">
        <v>35</v>
      </c>
      <c r="K5970" s="17"/>
      <c r="L5970" s="7">
        <f>SUM(H5970:K5970)</f>
        <v>35</v>
      </c>
      <c r="M5970" s="8">
        <v>1</v>
      </c>
      <c r="N5970" s="8">
        <f>IF(L5970&gt;0,1,"")</f>
        <v>1</v>
      </c>
      <c r="O5970" s="11" t="s">
        <v>1702</v>
      </c>
      <c r="P5970" s="16" t="str">
        <f>IF(LEN(G5970)=10,CONCATENATE("0",G5970),G5970)</f>
        <v>11-May-1891</v>
      </c>
      <c r="R5970" s="16" t="str">
        <f t="shared" si="2575"/>
        <v>x</v>
      </c>
      <c r="S5970" s="16" t="str">
        <f t="shared" si="2575"/>
        <v>x</v>
      </c>
      <c r="U5970" s="46" t="str">
        <f t="shared" si="2576"/>
        <v/>
      </c>
      <c r="V5970" s="46">
        <f t="shared" si="2576"/>
        <v>35</v>
      </c>
      <c r="W5970" s="46" t="str">
        <f t="shared" si="2576"/>
        <v/>
      </c>
      <c r="X5970" s="46" t="str">
        <f t="shared" si="2576"/>
        <v/>
      </c>
    </row>
    <row r="5971" spans="2:24" x14ac:dyDescent="0.25">
      <c r="B5971" s="11" t="str">
        <f>CONCATENATE("SCAN","-",LEFT(P5971,2),UPPER(MID(P5971,4,3)),RIGHT(P5971,4))</f>
        <v>SCAN-28NOV1891</v>
      </c>
      <c r="C5971" s="11" t="s">
        <v>130</v>
      </c>
      <c r="D5971" s="11" t="s">
        <v>1699</v>
      </c>
      <c r="F5971" s="11" t="s">
        <v>1700</v>
      </c>
      <c r="G5971" s="39" t="s">
        <v>4693</v>
      </c>
      <c r="H5971" s="7">
        <v>0</v>
      </c>
      <c r="J5971" s="17">
        <v>9</v>
      </c>
      <c r="K5971" s="17"/>
      <c r="L5971" s="7">
        <f>SUM(H5971:K5971)</f>
        <v>9</v>
      </c>
      <c r="M5971" s="8">
        <v>1</v>
      </c>
      <c r="N5971" s="8">
        <f>IF(L5971&gt;0,1,"")</f>
        <v>1</v>
      </c>
      <c r="O5971" s="11" t="s">
        <v>1702</v>
      </c>
      <c r="P5971" s="16" t="str">
        <f>IF(LEN(G5971)=10,CONCATENATE("0",G5971),G5971)</f>
        <v>28-Nov-1891</v>
      </c>
      <c r="R5971" s="16" t="str">
        <f t="shared" si="2575"/>
        <v>x</v>
      </c>
      <c r="S5971" s="16" t="str">
        <f t="shared" si="2575"/>
        <v>x</v>
      </c>
      <c r="U5971" s="46" t="str">
        <f t="shared" si="2576"/>
        <v/>
      </c>
      <c r="V5971" s="46">
        <f t="shared" si="2576"/>
        <v>9</v>
      </c>
      <c r="W5971" s="46" t="str">
        <f t="shared" si="2576"/>
        <v/>
      </c>
      <c r="X5971" s="46" t="str">
        <f t="shared" si="2576"/>
        <v/>
      </c>
    </row>
    <row r="5972" spans="2:24" x14ac:dyDescent="0.25">
      <c r="B5972" s="11" t="str">
        <f>CONCATENATE("SCAN","-",LEFT(P5972,2),UPPER(MID(P5972,4,3)),RIGHT(P5972,4))</f>
        <v>SCAN-10APR1893</v>
      </c>
      <c r="C5972" s="11" t="s">
        <v>130</v>
      </c>
      <c r="D5972" s="11" t="s">
        <v>1699</v>
      </c>
      <c r="F5972" s="11" t="s">
        <v>1700</v>
      </c>
      <c r="G5972" s="39" t="s">
        <v>415</v>
      </c>
      <c r="J5972" s="17">
        <v>4</v>
      </c>
      <c r="K5972" s="17"/>
      <c r="L5972" s="7">
        <f>SUM(H5972:K5972)</f>
        <v>4</v>
      </c>
      <c r="M5972" s="8">
        <v>1</v>
      </c>
      <c r="N5972" s="8">
        <f>IF(L5972&gt;0,1,"")</f>
        <v>1</v>
      </c>
      <c r="O5972" s="11" t="s">
        <v>1702</v>
      </c>
      <c r="P5972" s="16" t="str">
        <f>IF(LEN(G5972)=10,CONCATENATE("0",G5972),G5972)</f>
        <v>10-Apr-1893</v>
      </c>
      <c r="R5972" s="16" t="str">
        <f>IF($L5972&gt;0,"x","")</f>
        <v>x</v>
      </c>
      <c r="S5972" s="16" t="str">
        <f>IF($L5972&gt;0,"x","")</f>
        <v>x</v>
      </c>
      <c r="U5972" s="46" t="str">
        <f t="shared" si="2576"/>
        <v/>
      </c>
      <c r="V5972" s="46">
        <f t="shared" si="2576"/>
        <v>4</v>
      </c>
      <c r="W5972" s="46" t="str">
        <f t="shared" si="2576"/>
        <v/>
      </c>
      <c r="X5972" s="46" t="str">
        <f t="shared" si="2576"/>
        <v/>
      </c>
    </row>
    <row r="5973" spans="2:24" x14ac:dyDescent="0.25">
      <c r="N5973" s="8" t="str">
        <f>IF(R5973="x",1,"")</f>
        <v/>
      </c>
      <c r="U5973" s="46" t="str">
        <f t="shared" ref="U5973:X5974" si="2577">IF($O5973=U$5,$L5973,"")</f>
        <v/>
      </c>
      <c r="V5973" s="46" t="str">
        <f t="shared" si="2577"/>
        <v/>
      </c>
      <c r="W5973" s="46" t="str">
        <f t="shared" si="2577"/>
        <v/>
      </c>
      <c r="X5973" s="46" t="str">
        <f t="shared" si="2577"/>
        <v/>
      </c>
    </row>
    <row r="5974" spans="2:24" x14ac:dyDescent="0.25">
      <c r="B5974" s="18"/>
      <c r="C5974" s="18"/>
      <c r="D5974" s="18"/>
      <c r="E5974" s="40"/>
      <c r="F5974" s="18"/>
      <c r="G5974" s="40"/>
      <c r="H5974" s="7">
        <f t="shared" ref="H5974:N5974" si="2578">SUM(H5968:H5973)</f>
        <v>0</v>
      </c>
      <c r="I5974" s="7">
        <f t="shared" si="2578"/>
        <v>0</v>
      </c>
      <c r="J5974" s="7">
        <f>SUM(J5968:J5973)</f>
        <v>79</v>
      </c>
      <c r="K5974" s="7">
        <f t="shared" si="2578"/>
        <v>0</v>
      </c>
      <c r="L5974" s="7">
        <f t="shared" si="2578"/>
        <v>79</v>
      </c>
      <c r="M5974" s="7">
        <f t="shared" si="2578"/>
        <v>5</v>
      </c>
      <c r="N5974" s="7">
        <f t="shared" si="2578"/>
        <v>5</v>
      </c>
      <c r="O5974" s="18"/>
      <c r="P5974" s="13"/>
      <c r="Q5974" s="13"/>
      <c r="S5974" s="13"/>
      <c r="T5974" s="15"/>
      <c r="U5974" s="46" t="str">
        <f t="shared" si="2577"/>
        <v/>
      </c>
      <c r="V5974" s="46" t="str">
        <f t="shared" si="2577"/>
        <v/>
      </c>
      <c r="W5974" s="46" t="str">
        <f t="shared" si="2577"/>
        <v/>
      </c>
      <c r="X5974" s="46" t="str">
        <f t="shared" si="2577"/>
        <v/>
      </c>
    </row>
    <row r="5975" spans="2:24" x14ac:dyDescent="0.25">
      <c r="B5975" s="18"/>
      <c r="C5975" s="18"/>
      <c r="D5975" s="18"/>
      <c r="E5975" s="40"/>
      <c r="F5975" s="18"/>
      <c r="G5975" s="40"/>
      <c r="N5975" s="8" t="str">
        <f>IF(R5975="x",1,"")</f>
        <v/>
      </c>
      <c r="O5975" s="18"/>
      <c r="P5975" s="13"/>
      <c r="Q5975" s="13"/>
      <c r="R5975" s="13"/>
      <c r="S5975" s="13"/>
      <c r="T5975" s="15"/>
      <c r="U5975" s="46" t="str">
        <f t="shared" ref="U5975:X5987" si="2579">IF($O5975=U$5,$L5975,"")</f>
        <v/>
      </c>
      <c r="V5975" s="46" t="str">
        <f t="shared" si="2579"/>
        <v/>
      </c>
      <c r="W5975" s="46" t="str">
        <f t="shared" si="2579"/>
        <v/>
      </c>
      <c r="X5975" s="46" t="str">
        <f t="shared" si="2579"/>
        <v/>
      </c>
    </row>
    <row r="5976" spans="2:24" x14ac:dyDescent="0.25">
      <c r="B5976" s="18"/>
      <c r="C5976" s="18"/>
      <c r="D5976" s="18"/>
      <c r="E5976" s="40"/>
      <c r="F5976" s="18"/>
      <c r="G5976" s="40"/>
      <c r="N5976" s="8" t="str">
        <f>IF(R5976="x",1,"")</f>
        <v/>
      </c>
      <c r="O5976" s="18"/>
      <c r="P5976" s="13"/>
      <c r="Q5976" s="13"/>
      <c r="R5976" s="13"/>
      <c r="S5976" s="13"/>
      <c r="T5976" s="15"/>
      <c r="U5976" s="46" t="str">
        <f t="shared" si="2579"/>
        <v/>
      </c>
      <c r="V5976" s="46" t="str">
        <f t="shared" si="2579"/>
        <v/>
      </c>
      <c r="W5976" s="46" t="str">
        <f t="shared" si="2579"/>
        <v/>
      </c>
      <c r="X5976" s="46" t="str">
        <f t="shared" si="2579"/>
        <v/>
      </c>
    </row>
    <row r="5977" spans="2:24" x14ac:dyDescent="0.25">
      <c r="B5977" s="11" t="str">
        <f>CONCATENATE("SCND","-",LEFT(P5977,2),UPPER(MID(P5977,4,3)),RIGHT(P5977,4))</f>
        <v>SCND-22AUG1920</v>
      </c>
      <c r="C5977" s="11" t="s">
        <v>4785</v>
      </c>
      <c r="D5977" s="11" t="s">
        <v>2814</v>
      </c>
      <c r="E5977" s="39" t="s">
        <v>4549</v>
      </c>
      <c r="F5977" s="11" t="s">
        <v>2813</v>
      </c>
      <c r="G5977" s="39" t="s">
        <v>4853</v>
      </c>
      <c r="I5977" s="7">
        <f>3+1</f>
        <v>4</v>
      </c>
      <c r="J5977" s="17">
        <v>33</v>
      </c>
      <c r="K5977" s="17"/>
      <c r="L5977" s="7">
        <f>SUM(H5977:K5977)</f>
        <v>37</v>
      </c>
      <c r="M5977" s="8">
        <v>1</v>
      </c>
      <c r="N5977" s="8">
        <f>IF(L5977&gt;0,1,"")</f>
        <v>1</v>
      </c>
      <c r="O5977" s="11" t="s">
        <v>1702</v>
      </c>
      <c r="P5977" s="16" t="str">
        <f>IF(LEN(G5977)=10,CONCATENATE("0",G5977),G5977)</f>
        <v>22-Aug-1920</v>
      </c>
      <c r="R5977" s="16" t="str">
        <f>IF($L5977&gt;0,"x","")</f>
        <v>x</v>
      </c>
      <c r="S5977" s="16" t="str">
        <f>IF($L5977&gt;0,"x","")</f>
        <v>x</v>
      </c>
      <c r="U5977" s="46" t="str">
        <f t="shared" si="2579"/>
        <v/>
      </c>
      <c r="V5977" s="46">
        <f t="shared" si="2579"/>
        <v>37</v>
      </c>
      <c r="W5977" s="46" t="str">
        <f t="shared" si="2579"/>
        <v/>
      </c>
      <c r="X5977" s="46" t="str">
        <f t="shared" si="2579"/>
        <v/>
      </c>
    </row>
    <row r="5978" spans="2:24" x14ac:dyDescent="0.25">
      <c r="B5978" s="11" t="str">
        <f>CONCATENATE("SCND","-",LEFT(P5978,2),UPPER(MID(P5978,4,3)),RIGHT(P5978,4))</f>
        <v>SCND-14MAY1921</v>
      </c>
      <c r="C5978" s="11" t="s">
        <v>4785</v>
      </c>
      <c r="D5978" s="11" t="s">
        <v>2814</v>
      </c>
      <c r="E5978" s="39" t="s">
        <v>4789</v>
      </c>
      <c r="F5978" s="11" t="s">
        <v>2813</v>
      </c>
      <c r="G5978" s="39" t="s">
        <v>4790</v>
      </c>
      <c r="J5978" s="17">
        <v>1</v>
      </c>
      <c r="K5978" s="17"/>
      <c r="L5978" s="7">
        <f>SUM(H5978:K5978)</f>
        <v>1</v>
      </c>
      <c r="M5978" s="8">
        <v>1</v>
      </c>
      <c r="N5978" s="8">
        <f>IF(L5978&gt;0,1,"")</f>
        <v>1</v>
      </c>
      <c r="O5978" s="11" t="s">
        <v>1702</v>
      </c>
      <c r="P5978" s="16" t="str">
        <f>IF(LEN(G5978)=10,CONCATENATE("0",G5978),G5978)</f>
        <v>14-May-1921</v>
      </c>
      <c r="R5978" s="16" t="str">
        <f t="shared" ref="R5978:S5980" si="2580">IF($L5978&gt;0,"x","")</f>
        <v>x</v>
      </c>
      <c r="S5978" s="16" t="str">
        <f t="shared" si="2580"/>
        <v>x</v>
      </c>
      <c r="U5978" s="46" t="str">
        <f t="shared" si="2579"/>
        <v/>
      </c>
      <c r="V5978" s="46">
        <f t="shared" si="2579"/>
        <v>1</v>
      </c>
      <c r="W5978" s="46" t="str">
        <f t="shared" si="2579"/>
        <v/>
      </c>
      <c r="X5978" s="46" t="str">
        <f t="shared" si="2579"/>
        <v/>
      </c>
    </row>
    <row r="5979" spans="2:24" x14ac:dyDescent="0.25">
      <c r="B5979" s="11" t="str">
        <f>CONCATENATE("SCND","-",LEFT(P5979,2),UPPER(MID(P5979,4,3)),RIGHT(P5979,4))</f>
        <v>SCND-18JUL1921</v>
      </c>
      <c r="C5979" s="11" t="s">
        <v>4785</v>
      </c>
      <c r="D5979" s="11" t="s">
        <v>2814</v>
      </c>
      <c r="E5979" s="39" t="s">
        <v>4786</v>
      </c>
      <c r="F5979" s="11" t="s">
        <v>2813</v>
      </c>
      <c r="G5979" s="39" t="s">
        <v>2063</v>
      </c>
      <c r="J5979" s="17">
        <v>4</v>
      </c>
      <c r="K5979" s="17"/>
      <c r="L5979" s="7">
        <f>SUM(H5979:K5979)</f>
        <v>4</v>
      </c>
      <c r="M5979" s="8">
        <v>1</v>
      </c>
      <c r="N5979" s="8">
        <f>IF(L5979&gt;0,1,"")</f>
        <v>1</v>
      </c>
      <c r="O5979" s="11" t="s">
        <v>1702</v>
      </c>
      <c r="P5979" s="16" t="str">
        <f>IF(LEN(G5979)=10,CONCATENATE("0",G5979),G5979)</f>
        <v>18-Jul-1921</v>
      </c>
      <c r="R5979" s="16" t="str">
        <f t="shared" si="2580"/>
        <v>x</v>
      </c>
      <c r="S5979" s="16" t="str">
        <f t="shared" si="2580"/>
        <v>x</v>
      </c>
      <c r="U5979" s="46" t="str">
        <f t="shared" si="2579"/>
        <v/>
      </c>
      <c r="V5979" s="46">
        <f t="shared" si="2579"/>
        <v>4</v>
      </c>
      <c r="W5979" s="46" t="str">
        <f t="shared" si="2579"/>
        <v/>
      </c>
      <c r="X5979" s="46" t="str">
        <f t="shared" si="2579"/>
        <v/>
      </c>
    </row>
    <row r="5980" spans="2:24" x14ac:dyDescent="0.25">
      <c r="B5980" s="11" t="str">
        <f>CONCATENATE("SCND","-",LEFT(P5980,2),UPPER(MID(P5980,4,3)),RIGHT(P5980,4))</f>
        <v>SCND-20AUG1921</v>
      </c>
      <c r="C5980" s="11" t="s">
        <v>4785</v>
      </c>
      <c r="D5980" s="11" t="s">
        <v>1699</v>
      </c>
      <c r="E5980" s="39" t="s">
        <v>4787</v>
      </c>
      <c r="F5980" s="11" t="s">
        <v>2813</v>
      </c>
      <c r="G5980" s="39" t="s">
        <v>4788</v>
      </c>
      <c r="J5980" s="17">
        <v>8</v>
      </c>
      <c r="K5980" s="17"/>
      <c r="L5980" s="7">
        <f>SUM(H5980:K5980)</f>
        <v>8</v>
      </c>
      <c r="M5980" s="8">
        <v>1</v>
      </c>
      <c r="N5980" s="8">
        <f>IF(L5980&gt;0,1,"")</f>
        <v>1</v>
      </c>
      <c r="O5980" s="11" t="s">
        <v>1702</v>
      </c>
      <c r="P5980" s="16" t="str">
        <f>IF(LEN(G5980)=10,CONCATENATE("0",G5980),G5980)</f>
        <v>20-Aug-1921</v>
      </c>
      <c r="R5980" s="16" t="str">
        <f t="shared" si="2580"/>
        <v>x</v>
      </c>
      <c r="S5980" s="16" t="str">
        <f t="shared" si="2580"/>
        <v>x</v>
      </c>
      <c r="U5980" s="46" t="str">
        <f t="shared" si="2579"/>
        <v/>
      </c>
      <c r="V5980" s="46">
        <f t="shared" si="2579"/>
        <v>8</v>
      </c>
      <c r="W5980" s="46" t="str">
        <f t="shared" si="2579"/>
        <v/>
      </c>
      <c r="X5980" s="46" t="str">
        <f t="shared" si="2579"/>
        <v/>
      </c>
    </row>
    <row r="5981" spans="2:24" x14ac:dyDescent="0.25">
      <c r="N5981" s="8" t="str">
        <f>IF(R5981="x",1,"")</f>
        <v/>
      </c>
      <c r="U5981" s="46" t="str">
        <f t="shared" si="2579"/>
        <v/>
      </c>
      <c r="V5981" s="46" t="str">
        <f t="shared" si="2579"/>
        <v/>
      </c>
      <c r="W5981" s="46" t="str">
        <f t="shared" si="2579"/>
        <v/>
      </c>
      <c r="X5981" s="46" t="str">
        <f t="shared" si="2579"/>
        <v/>
      </c>
    </row>
    <row r="5982" spans="2:24" x14ac:dyDescent="0.25">
      <c r="B5982" s="18"/>
      <c r="C5982" s="18"/>
      <c r="D5982" s="18"/>
      <c r="E5982" s="40"/>
      <c r="F5982" s="18"/>
      <c r="G5982" s="40"/>
      <c r="H5982" s="7">
        <f t="shared" ref="H5982:N5982" si="2581">SUM(H5977:H5981)</f>
        <v>0</v>
      </c>
      <c r="I5982" s="7">
        <f t="shared" si="2581"/>
        <v>4</v>
      </c>
      <c r="J5982" s="7">
        <f>SUM(J5977:J5981)</f>
        <v>46</v>
      </c>
      <c r="K5982" s="7">
        <f t="shared" si="2581"/>
        <v>0</v>
      </c>
      <c r="L5982" s="7">
        <f>SUM(L5977:L5981)</f>
        <v>50</v>
      </c>
      <c r="M5982" s="7">
        <f t="shared" si="2581"/>
        <v>4</v>
      </c>
      <c r="N5982" s="7">
        <f t="shared" si="2581"/>
        <v>4</v>
      </c>
      <c r="O5982" s="18"/>
      <c r="P5982" s="13"/>
      <c r="Q5982" s="13"/>
      <c r="S5982" s="13"/>
      <c r="T5982" s="15"/>
      <c r="U5982" s="46" t="str">
        <f t="shared" si="2579"/>
        <v/>
      </c>
      <c r="V5982" s="46" t="str">
        <f t="shared" si="2579"/>
        <v/>
      </c>
      <c r="W5982" s="46" t="str">
        <f t="shared" si="2579"/>
        <v/>
      </c>
      <c r="X5982" s="46" t="str">
        <f t="shared" si="2579"/>
        <v/>
      </c>
    </row>
    <row r="5983" spans="2:24" x14ac:dyDescent="0.25">
      <c r="B5983" s="18"/>
      <c r="C5983" s="18"/>
      <c r="D5983" s="18"/>
      <c r="E5983" s="40"/>
      <c r="F5983" s="18"/>
      <c r="G5983" s="40"/>
      <c r="N5983" s="8" t="str">
        <f>IF(R5983="x",1,"")</f>
        <v/>
      </c>
      <c r="O5983" s="18"/>
      <c r="P5983" s="13"/>
      <c r="Q5983" s="13"/>
      <c r="R5983" s="13"/>
      <c r="S5983" s="13"/>
      <c r="T5983" s="15"/>
      <c r="U5983" s="46" t="str">
        <f t="shared" si="2579"/>
        <v/>
      </c>
      <c r="V5983" s="46" t="str">
        <f t="shared" si="2579"/>
        <v/>
      </c>
      <c r="W5983" s="46" t="str">
        <f t="shared" si="2579"/>
        <v/>
      </c>
      <c r="X5983" s="46" t="str">
        <f t="shared" si="2579"/>
        <v/>
      </c>
    </row>
    <row r="5984" spans="2:24" x14ac:dyDescent="0.25">
      <c r="B5984" s="18"/>
      <c r="C5984" s="18"/>
      <c r="D5984" s="18"/>
      <c r="E5984" s="40"/>
      <c r="F5984" s="18"/>
      <c r="G5984" s="40"/>
      <c r="N5984" s="8" t="str">
        <f>IF(R5984="x",1,"")</f>
        <v/>
      </c>
      <c r="O5984" s="18"/>
      <c r="P5984" s="13"/>
      <c r="Q5984" s="13"/>
      <c r="R5984" s="13"/>
      <c r="S5984" s="13"/>
      <c r="T5984" s="15"/>
      <c r="U5984" s="46" t="str">
        <f t="shared" si="2579"/>
        <v/>
      </c>
      <c r="V5984" s="46" t="str">
        <f t="shared" si="2579"/>
        <v/>
      </c>
      <c r="W5984" s="46" t="str">
        <f t="shared" si="2579"/>
        <v/>
      </c>
      <c r="X5984" s="46" t="str">
        <f t="shared" si="2579"/>
        <v/>
      </c>
    </row>
    <row r="5985" spans="2:24" x14ac:dyDescent="0.25">
      <c r="B5985" s="11" t="str">
        <f>CONCATENATE("SCOT","-",LEFT(P5985,2),UPPER(MID(P5985,4,3)),RIGHT(P5985,4))</f>
        <v>SCOT-08AUG1920</v>
      </c>
      <c r="C5985" s="11" t="s">
        <v>4491</v>
      </c>
      <c r="D5985" s="11" t="s">
        <v>3225</v>
      </c>
      <c r="E5985" s="39" t="s">
        <v>3288</v>
      </c>
      <c r="F5985" s="11" t="s">
        <v>2813</v>
      </c>
      <c r="G5985" s="39" t="s">
        <v>3784</v>
      </c>
      <c r="I5985" s="7">
        <v>0</v>
      </c>
      <c r="J5985" s="17">
        <v>19</v>
      </c>
      <c r="K5985" s="17"/>
      <c r="L5985" s="7">
        <f>SUM(H5985:K5985)</f>
        <v>19</v>
      </c>
      <c r="M5985" s="8">
        <v>1</v>
      </c>
      <c r="N5985" s="8">
        <f>IF(L5985&gt;0,1,"")</f>
        <v>1</v>
      </c>
      <c r="O5985" s="11" t="s">
        <v>1702</v>
      </c>
      <c r="P5985" s="16" t="str">
        <f>IF(LEN(G5985)=10,CONCATENATE("0",G5985),G5985)</f>
        <v>08-Aug-1920</v>
      </c>
      <c r="R5985" s="16" t="str">
        <f>IF($L5985&gt;0,"x","")</f>
        <v>x</v>
      </c>
      <c r="S5985" s="16" t="str">
        <f>IF($L5985&gt;0,"x","")</f>
        <v>x</v>
      </c>
      <c r="U5985" s="46" t="str">
        <f t="shared" si="2579"/>
        <v/>
      </c>
      <c r="V5985" s="46">
        <f t="shared" si="2579"/>
        <v>19</v>
      </c>
      <c r="W5985" s="46" t="str">
        <f t="shared" si="2579"/>
        <v/>
      </c>
      <c r="X5985" s="46" t="str">
        <f t="shared" si="2579"/>
        <v/>
      </c>
    </row>
    <row r="5986" spans="2:24" x14ac:dyDescent="0.25">
      <c r="N5986" s="8" t="str">
        <f>IF(R5986="x",1,"")</f>
        <v/>
      </c>
      <c r="U5986" s="46" t="str">
        <f t="shared" si="2579"/>
        <v/>
      </c>
      <c r="V5986" s="46" t="str">
        <f t="shared" si="2579"/>
        <v/>
      </c>
      <c r="W5986" s="46" t="str">
        <f t="shared" si="2579"/>
        <v/>
      </c>
      <c r="X5986" s="46" t="str">
        <f t="shared" si="2579"/>
        <v/>
      </c>
    </row>
    <row r="5987" spans="2:24" x14ac:dyDescent="0.25">
      <c r="B5987" s="18"/>
      <c r="C5987" s="18"/>
      <c r="D5987" s="18"/>
      <c r="E5987" s="40"/>
      <c r="F5987" s="18"/>
      <c r="G5987" s="40"/>
      <c r="H5987" s="7">
        <f t="shared" ref="H5987:N5987" si="2582">SUM(H5985:H5986)</f>
        <v>0</v>
      </c>
      <c r="I5987" s="7">
        <f t="shared" si="2582"/>
        <v>0</v>
      </c>
      <c r="J5987" s="7">
        <f>SUM(J5985:J5986)</f>
        <v>19</v>
      </c>
      <c r="K5987" s="7">
        <f t="shared" si="2582"/>
        <v>0</v>
      </c>
      <c r="L5987" s="7">
        <f t="shared" si="2582"/>
        <v>19</v>
      </c>
      <c r="M5987" s="7">
        <f t="shared" si="2582"/>
        <v>1</v>
      </c>
      <c r="N5987" s="7">
        <f t="shared" si="2582"/>
        <v>1</v>
      </c>
      <c r="O5987" s="18"/>
      <c r="P5987" s="13"/>
      <c r="Q5987" s="13"/>
      <c r="S5987" s="13"/>
      <c r="T5987" s="15"/>
      <c r="U5987" s="46" t="str">
        <f t="shared" si="2579"/>
        <v/>
      </c>
      <c r="V5987" s="46" t="str">
        <f t="shared" si="2579"/>
        <v/>
      </c>
      <c r="W5987" s="46" t="str">
        <f t="shared" si="2579"/>
        <v/>
      </c>
      <c r="X5987" s="46" t="str">
        <f t="shared" si="2579"/>
        <v/>
      </c>
    </row>
    <row r="5988" spans="2:24" x14ac:dyDescent="0.25">
      <c r="B5988" s="18"/>
      <c r="C5988" s="18"/>
      <c r="D5988" s="18"/>
      <c r="E5988" s="40"/>
      <c r="F5988" s="18"/>
      <c r="G5988" s="40"/>
      <c r="N5988" s="8" t="str">
        <f>IF(R5988="x",1,"")</f>
        <v/>
      </c>
      <c r="O5988" s="18"/>
      <c r="P5988" s="13"/>
      <c r="Q5988" s="13"/>
      <c r="R5988" s="13"/>
      <c r="S5988" s="13"/>
      <c r="T5988" s="15"/>
      <c r="U5988" s="46" t="str">
        <f t="shared" ref="U5988:X6003" si="2583">IF($O5988=U$5,$L5988,"")</f>
        <v/>
      </c>
      <c r="V5988" s="46" t="str">
        <f t="shared" si="2583"/>
        <v/>
      </c>
      <c r="W5988" s="46" t="str">
        <f t="shared" si="2583"/>
        <v/>
      </c>
      <c r="X5988" s="46" t="str">
        <f t="shared" si="2583"/>
        <v/>
      </c>
    </row>
    <row r="5989" spans="2:24" x14ac:dyDescent="0.25">
      <c r="B5989" s="18"/>
      <c r="C5989" s="18"/>
      <c r="D5989" s="18"/>
      <c r="E5989" s="40"/>
      <c r="F5989" s="18"/>
      <c r="G5989" s="40"/>
      <c r="N5989" s="8" t="str">
        <f>IF(R5989="x",1,"")</f>
        <v/>
      </c>
      <c r="O5989" s="18"/>
      <c r="P5989" s="13"/>
      <c r="Q5989" s="13"/>
      <c r="R5989" s="13"/>
      <c r="S5989" s="13"/>
      <c r="T5989" s="15"/>
      <c r="U5989" s="46" t="str">
        <f t="shared" si="2583"/>
        <v/>
      </c>
      <c r="V5989" s="46" t="str">
        <f t="shared" si="2583"/>
        <v/>
      </c>
      <c r="W5989" s="46" t="str">
        <f t="shared" si="2583"/>
        <v/>
      </c>
      <c r="X5989" s="46" t="str">
        <f t="shared" si="2583"/>
        <v/>
      </c>
    </row>
    <row r="5990" spans="2:24" x14ac:dyDescent="0.25">
      <c r="B5990" s="11" t="str">
        <f>CONCATENATE("SCTM","-",LEFT(P5990,2),UPPER(MID(P5990,4,3)),RIGHT(P5990,4))</f>
        <v>SCTM-06MAY1897</v>
      </c>
      <c r="C5990" s="11" t="s">
        <v>5110</v>
      </c>
      <c r="D5990" s="11" t="s">
        <v>2097</v>
      </c>
      <c r="E5990" s="39" t="s">
        <v>5111</v>
      </c>
      <c r="F5990" s="11" t="s">
        <v>2813</v>
      </c>
      <c r="G5990" s="39" t="s">
        <v>5112</v>
      </c>
      <c r="J5990" s="17">
        <v>4</v>
      </c>
      <c r="K5990" s="17"/>
      <c r="L5990" s="7">
        <f>SUM(H5990:K5990)</f>
        <v>4</v>
      </c>
      <c r="M5990" s="8">
        <v>1</v>
      </c>
      <c r="N5990" s="8">
        <f>IF(L5990&gt;0,1,"")</f>
        <v>1</v>
      </c>
      <c r="O5990" s="11" t="s">
        <v>1702</v>
      </c>
      <c r="P5990" s="16" t="str">
        <f>IF(LEN(G5990)=10,CONCATENATE("0",G5990),G5990)</f>
        <v>06-May-1897</v>
      </c>
      <c r="R5990" s="16" t="str">
        <f>IF($L5990&gt;0,"x","")</f>
        <v>x</v>
      </c>
      <c r="S5990" s="16" t="str">
        <f>IF($L5990&gt;0,"x","")</f>
        <v>x</v>
      </c>
      <c r="U5990" s="46" t="str">
        <f t="shared" si="2583"/>
        <v/>
      </c>
      <c r="V5990" s="46">
        <f t="shared" si="2583"/>
        <v>4</v>
      </c>
      <c r="W5990" s="46" t="str">
        <f t="shared" si="2583"/>
        <v/>
      </c>
      <c r="X5990" s="46" t="str">
        <f t="shared" si="2583"/>
        <v/>
      </c>
    </row>
    <row r="5991" spans="2:24" x14ac:dyDescent="0.25">
      <c r="N5991" s="8" t="str">
        <f>IF(R5991="x",1,"")</f>
        <v/>
      </c>
      <c r="U5991" s="46" t="str">
        <f t="shared" si="2583"/>
        <v/>
      </c>
      <c r="V5991" s="46" t="str">
        <f t="shared" si="2583"/>
        <v/>
      </c>
      <c r="W5991" s="46" t="str">
        <f t="shared" si="2583"/>
        <v/>
      </c>
      <c r="X5991" s="46" t="str">
        <f t="shared" si="2583"/>
        <v/>
      </c>
    </row>
    <row r="5992" spans="2:24" x14ac:dyDescent="0.25">
      <c r="B5992" s="18"/>
      <c r="C5992" s="18"/>
      <c r="D5992" s="18"/>
      <c r="E5992" s="40"/>
      <c r="F5992" s="18"/>
      <c r="G5992" s="40"/>
      <c r="H5992" s="7">
        <f t="shared" ref="H5992:N5992" si="2584">SUM(H5990:H5991)</f>
        <v>0</v>
      </c>
      <c r="I5992" s="7">
        <f t="shared" si="2584"/>
        <v>0</v>
      </c>
      <c r="J5992" s="7">
        <f>SUM(J5990:J5991)</f>
        <v>4</v>
      </c>
      <c r="K5992" s="7">
        <f t="shared" si="2584"/>
        <v>0</v>
      </c>
      <c r="L5992" s="7">
        <f t="shared" si="2584"/>
        <v>4</v>
      </c>
      <c r="M5992" s="7">
        <f t="shared" si="2584"/>
        <v>1</v>
      </c>
      <c r="N5992" s="7">
        <f t="shared" si="2584"/>
        <v>1</v>
      </c>
      <c r="O5992" s="18"/>
      <c r="P5992" s="13"/>
      <c r="Q5992" s="13"/>
      <c r="S5992" s="13"/>
      <c r="T5992" s="15"/>
      <c r="U5992" s="46" t="str">
        <f t="shared" si="2583"/>
        <v/>
      </c>
      <c r="V5992" s="46" t="str">
        <f t="shared" si="2583"/>
        <v/>
      </c>
      <c r="W5992" s="46" t="str">
        <f t="shared" si="2583"/>
        <v/>
      </c>
      <c r="X5992" s="46" t="str">
        <f t="shared" si="2583"/>
        <v/>
      </c>
    </row>
    <row r="5993" spans="2:24" x14ac:dyDescent="0.25">
      <c r="B5993" s="18"/>
      <c r="C5993" s="18"/>
      <c r="D5993" s="18"/>
      <c r="E5993" s="40"/>
      <c r="F5993" s="18"/>
      <c r="G5993" s="40"/>
      <c r="N5993" s="8" t="str">
        <f>IF(R5993="x",1,"")</f>
        <v/>
      </c>
      <c r="O5993" s="18"/>
      <c r="P5993" s="13"/>
      <c r="Q5993" s="13"/>
      <c r="R5993" s="13"/>
      <c r="S5993" s="13"/>
      <c r="T5993" s="15"/>
      <c r="U5993" s="46" t="str">
        <f t="shared" si="2583"/>
        <v/>
      </c>
      <c r="V5993" s="46" t="str">
        <f t="shared" si="2583"/>
        <v/>
      </c>
      <c r="W5993" s="46" t="str">
        <f t="shared" si="2583"/>
        <v/>
      </c>
      <c r="X5993" s="46" t="str">
        <f t="shared" si="2583"/>
        <v/>
      </c>
    </row>
    <row r="5994" spans="2:24" x14ac:dyDescent="0.25">
      <c r="B5994" s="18"/>
      <c r="C5994" s="18"/>
      <c r="D5994" s="18"/>
      <c r="E5994" s="40"/>
      <c r="F5994" s="18"/>
      <c r="G5994" s="40"/>
      <c r="N5994" s="8" t="str">
        <f>IF(R5994="x",1,"")</f>
        <v/>
      </c>
      <c r="O5994" s="18"/>
      <c r="P5994" s="13"/>
      <c r="Q5994" s="13"/>
      <c r="R5994" s="13"/>
      <c r="S5994" s="13"/>
      <c r="T5994" s="15"/>
      <c r="U5994" s="46" t="str">
        <f t="shared" si="2583"/>
        <v/>
      </c>
      <c r="V5994" s="46" t="str">
        <f t="shared" si="2583"/>
        <v/>
      </c>
      <c r="W5994" s="46" t="str">
        <f t="shared" si="2583"/>
        <v/>
      </c>
      <c r="X5994" s="46" t="str">
        <f t="shared" si="2583"/>
        <v/>
      </c>
    </row>
    <row r="5995" spans="2:24" x14ac:dyDescent="0.25">
      <c r="B5995" s="11" t="str">
        <f>CONCATENATE("SCYT","-",LEFT(P5995,2),UPPER(MID(P5995,4,3)),RIGHT(P5995,4))</f>
        <v>SCYT-15OCT1888</v>
      </c>
      <c r="C5995" s="11" t="s">
        <v>4090</v>
      </c>
      <c r="D5995" s="11" t="s">
        <v>2097</v>
      </c>
      <c r="F5995" s="11" t="s">
        <v>3050</v>
      </c>
      <c r="G5995" s="39" t="s">
        <v>4091</v>
      </c>
      <c r="H5995" s="7">
        <v>0</v>
      </c>
      <c r="I5995" s="7">
        <v>0</v>
      </c>
      <c r="J5995" s="17">
        <v>2</v>
      </c>
      <c r="K5995" s="17"/>
      <c r="L5995" s="7">
        <f>SUM(H5995:K5995)</f>
        <v>2</v>
      </c>
      <c r="M5995" s="8">
        <v>1</v>
      </c>
      <c r="N5995" s="8">
        <f>IF(L5995&gt;0,1,"")</f>
        <v>1</v>
      </c>
      <c r="O5995" s="11" t="s">
        <v>1702</v>
      </c>
      <c r="P5995" s="16" t="str">
        <f>IF(LEN(G5995)=10,CONCATENATE("0",G5995),G5995)</f>
        <v>15-Oct-1888</v>
      </c>
      <c r="R5995" s="16" t="str">
        <f>IF($L5995&gt;0,"x","")</f>
        <v>x</v>
      </c>
      <c r="S5995" s="16" t="str">
        <f>IF($L5995&gt;0,"x","")</f>
        <v>x</v>
      </c>
      <c r="U5995" s="46" t="str">
        <f t="shared" si="2583"/>
        <v/>
      </c>
      <c r="V5995" s="46">
        <f t="shared" si="2583"/>
        <v>2</v>
      </c>
      <c r="W5995" s="46" t="str">
        <f t="shared" si="2583"/>
        <v/>
      </c>
      <c r="X5995" s="46" t="str">
        <f t="shared" si="2583"/>
        <v/>
      </c>
    </row>
    <row r="5996" spans="2:24" x14ac:dyDescent="0.25">
      <c r="B5996" s="11" t="str">
        <f>CONCATENATE("SCYT","-",LEFT(P5996,2),UPPER(MID(P5996,4,3)),RIGHT(P5996,4))</f>
        <v>SCYT-06SEP1896</v>
      </c>
      <c r="C5996" s="11" t="s">
        <v>4090</v>
      </c>
      <c r="D5996" s="11" t="s">
        <v>2097</v>
      </c>
      <c r="F5996" s="11" t="s">
        <v>3050</v>
      </c>
      <c r="G5996" s="39" t="s">
        <v>4470</v>
      </c>
      <c r="H5996" s="7">
        <v>2</v>
      </c>
      <c r="I5996" s="7">
        <v>0</v>
      </c>
      <c r="J5996" s="17">
        <v>1</v>
      </c>
      <c r="K5996" s="17"/>
      <c r="L5996" s="7">
        <f>SUM(H5996:K5996)</f>
        <v>3</v>
      </c>
      <c r="M5996" s="8">
        <v>1</v>
      </c>
      <c r="N5996" s="8">
        <f>IF(L5996&gt;0,1,"")</f>
        <v>1</v>
      </c>
      <c r="O5996" s="11" t="s">
        <v>1702</v>
      </c>
      <c r="P5996" s="16" t="str">
        <f>IF(LEN(G5996)=10,CONCATENATE("0",G5996),G5996)</f>
        <v>06-Sep-1896</v>
      </c>
      <c r="R5996" s="16" t="str">
        <f>IF($L5996&gt;0,"x","")</f>
        <v>x</v>
      </c>
      <c r="S5996" s="16" t="str">
        <f>IF($L5996&gt;0,"x","")</f>
        <v>x</v>
      </c>
      <c r="U5996" s="46" t="str">
        <f t="shared" si="2583"/>
        <v/>
      </c>
      <c r="V5996" s="46">
        <f t="shared" si="2583"/>
        <v>3</v>
      </c>
      <c r="W5996" s="46" t="str">
        <f t="shared" si="2583"/>
        <v/>
      </c>
      <c r="X5996" s="46" t="str">
        <f t="shared" si="2583"/>
        <v/>
      </c>
    </row>
    <row r="5997" spans="2:24" x14ac:dyDescent="0.25">
      <c r="N5997" s="8" t="str">
        <f>IF(R5997="x",1,"")</f>
        <v/>
      </c>
      <c r="U5997" s="46" t="str">
        <f t="shared" si="2583"/>
        <v/>
      </c>
      <c r="V5997" s="46" t="str">
        <f t="shared" si="2583"/>
        <v/>
      </c>
      <c r="W5997" s="46" t="str">
        <f t="shared" si="2583"/>
        <v/>
      </c>
      <c r="X5997" s="46" t="str">
        <f t="shared" si="2583"/>
        <v/>
      </c>
    </row>
    <row r="5998" spans="2:24" x14ac:dyDescent="0.25">
      <c r="B5998" s="18"/>
      <c r="C5998" s="18"/>
      <c r="D5998" s="18"/>
      <c r="E5998" s="40"/>
      <c r="F5998" s="18"/>
      <c r="G5998" s="40"/>
      <c r="H5998" s="7">
        <f t="shared" ref="H5998:N5998" si="2585">SUM(H5995:H5997)</f>
        <v>2</v>
      </c>
      <c r="I5998" s="7">
        <f t="shared" si="2585"/>
        <v>0</v>
      </c>
      <c r="J5998" s="7">
        <f>SUM(J5995:J5997)</f>
        <v>3</v>
      </c>
      <c r="K5998" s="7">
        <f t="shared" si="2585"/>
        <v>0</v>
      </c>
      <c r="L5998" s="7">
        <f t="shared" si="2585"/>
        <v>5</v>
      </c>
      <c r="M5998" s="7">
        <f t="shared" si="2585"/>
        <v>2</v>
      </c>
      <c r="N5998" s="7">
        <f t="shared" si="2585"/>
        <v>2</v>
      </c>
      <c r="O5998" s="18"/>
      <c r="P5998" s="13"/>
      <c r="Q5998" s="13"/>
      <c r="S5998" s="13"/>
      <c r="T5998" s="15"/>
      <c r="U5998" s="46" t="str">
        <f t="shared" si="2583"/>
        <v/>
      </c>
      <c r="V5998" s="46" t="str">
        <f t="shared" si="2583"/>
        <v/>
      </c>
      <c r="W5998" s="46" t="str">
        <f t="shared" si="2583"/>
        <v/>
      </c>
      <c r="X5998" s="46" t="str">
        <f t="shared" si="2583"/>
        <v/>
      </c>
    </row>
    <row r="5999" spans="2:24" x14ac:dyDescent="0.25">
      <c r="B5999" s="18"/>
      <c r="C5999" s="18"/>
      <c r="D5999" s="18"/>
      <c r="E5999" s="40"/>
      <c r="F5999" s="18"/>
      <c r="G5999" s="40"/>
      <c r="N5999" s="8" t="str">
        <f>IF(R5999="x",1,"")</f>
        <v/>
      </c>
      <c r="O5999" s="18"/>
      <c r="P5999" s="13"/>
      <c r="Q5999" s="13"/>
      <c r="R5999" s="13"/>
      <c r="S5999" s="13"/>
      <c r="T5999" s="15"/>
      <c r="U5999" s="46" t="str">
        <f t="shared" si="2583"/>
        <v/>
      </c>
      <c r="V5999" s="46" t="str">
        <f t="shared" si="2583"/>
        <v/>
      </c>
      <c r="W5999" s="46" t="str">
        <f t="shared" si="2583"/>
        <v/>
      </c>
      <c r="X5999" s="46" t="str">
        <f t="shared" si="2583"/>
        <v/>
      </c>
    </row>
    <row r="6000" spans="2:24" x14ac:dyDescent="0.25">
      <c r="B6000" s="18"/>
      <c r="C6000" s="18"/>
      <c r="D6000" s="18"/>
      <c r="E6000" s="40"/>
      <c r="F6000" s="18"/>
      <c r="G6000" s="40"/>
      <c r="N6000" s="8" t="str">
        <f>IF(R6000="x",1,"")</f>
        <v/>
      </c>
      <c r="O6000" s="18"/>
      <c r="P6000" s="13"/>
      <c r="Q6000" s="13"/>
      <c r="R6000" s="13"/>
      <c r="S6000" s="13"/>
      <c r="T6000" s="15"/>
      <c r="U6000" s="46" t="str">
        <f t="shared" si="2583"/>
        <v/>
      </c>
      <c r="V6000" s="46" t="str">
        <f t="shared" si="2583"/>
        <v/>
      </c>
      <c r="W6000" s="46" t="str">
        <f t="shared" si="2583"/>
        <v/>
      </c>
      <c r="X6000" s="46" t="str">
        <f t="shared" si="2583"/>
        <v/>
      </c>
    </row>
    <row r="6001" spans="2:24" x14ac:dyDescent="0.25">
      <c r="B6001" s="11" t="str">
        <f>CONCATENATE("SBRD","-",LEFT(P6001,2),UPPER(MID(P6001,4,3)),RIGHT(P6001,4))</f>
        <v>SBRD-11SEP1854</v>
      </c>
      <c r="C6001" s="11" t="s">
        <v>4037</v>
      </c>
      <c r="D6001" s="11" t="s">
        <v>2808</v>
      </c>
      <c r="F6001" s="11" t="s">
        <v>3050</v>
      </c>
      <c r="G6001" s="39" t="s">
        <v>4038</v>
      </c>
      <c r="J6001" s="17">
        <v>1</v>
      </c>
      <c r="K6001" s="17"/>
      <c r="L6001" s="7">
        <f>SUM(H6001:K6001)</f>
        <v>1</v>
      </c>
      <c r="M6001" s="8">
        <v>1</v>
      </c>
      <c r="N6001" s="8">
        <f>IF(L6001&gt;0,1,"")</f>
        <v>1</v>
      </c>
      <c r="O6001" s="11" t="s">
        <v>1702</v>
      </c>
      <c r="P6001" s="16" t="str">
        <f>IF(LEN(G6001)=10,CONCATENATE("0",G6001),G6001)</f>
        <v>11-Sep-1854</v>
      </c>
      <c r="R6001" s="16" t="str">
        <f>IF($L6001&gt;0,"x","")</f>
        <v>x</v>
      </c>
      <c r="S6001" s="16" t="str">
        <f>IF($L6001&gt;0,"x","")</f>
        <v>x</v>
      </c>
      <c r="U6001" s="46" t="str">
        <f t="shared" si="2583"/>
        <v/>
      </c>
      <c r="V6001" s="46">
        <f t="shared" si="2583"/>
        <v>1</v>
      </c>
      <c r="W6001" s="46" t="str">
        <f t="shared" si="2583"/>
        <v/>
      </c>
      <c r="X6001" s="46" t="str">
        <f t="shared" si="2583"/>
        <v/>
      </c>
    </row>
    <row r="6002" spans="2:24" x14ac:dyDescent="0.25">
      <c r="N6002" s="8" t="str">
        <f>IF(R6002="x",1,"")</f>
        <v/>
      </c>
      <c r="U6002" s="46" t="str">
        <f t="shared" si="2583"/>
        <v/>
      </c>
      <c r="V6002" s="46" t="str">
        <f t="shared" si="2583"/>
        <v/>
      </c>
      <c r="W6002" s="46" t="str">
        <f t="shared" si="2583"/>
        <v/>
      </c>
      <c r="X6002" s="46" t="str">
        <f t="shared" si="2583"/>
        <v/>
      </c>
    </row>
    <row r="6003" spans="2:24" x14ac:dyDescent="0.25">
      <c r="B6003" s="18"/>
      <c r="C6003" s="18"/>
      <c r="D6003" s="18"/>
      <c r="E6003" s="40"/>
      <c r="F6003" s="18"/>
      <c r="G6003" s="40"/>
      <c r="H6003" s="7">
        <f t="shared" ref="H6003:N6003" si="2586">SUM(H6001:H6002)</f>
        <v>0</v>
      </c>
      <c r="I6003" s="7">
        <f t="shared" si="2586"/>
        <v>0</v>
      </c>
      <c r="J6003" s="7">
        <f>SUM(J6001:J6002)</f>
        <v>1</v>
      </c>
      <c r="K6003" s="7">
        <f t="shared" si="2586"/>
        <v>0</v>
      </c>
      <c r="L6003" s="7">
        <f t="shared" si="2586"/>
        <v>1</v>
      </c>
      <c r="M6003" s="7">
        <f t="shared" si="2586"/>
        <v>1</v>
      </c>
      <c r="N6003" s="7">
        <f t="shared" si="2586"/>
        <v>1</v>
      </c>
      <c r="O6003" s="18"/>
      <c r="P6003" s="13"/>
      <c r="Q6003" s="13"/>
      <c r="S6003" s="13"/>
      <c r="T6003" s="15"/>
      <c r="U6003" s="46" t="str">
        <f t="shared" si="2583"/>
        <v/>
      </c>
      <c r="V6003" s="46" t="str">
        <f t="shared" si="2583"/>
        <v/>
      </c>
      <c r="W6003" s="46" t="str">
        <f t="shared" si="2583"/>
        <v/>
      </c>
      <c r="X6003" s="46" t="str">
        <f t="shared" si="2583"/>
        <v/>
      </c>
    </row>
    <row r="6004" spans="2:24" x14ac:dyDescent="0.25">
      <c r="B6004" s="18"/>
      <c r="C6004" s="18"/>
      <c r="D6004" s="18"/>
      <c r="E6004" s="40"/>
      <c r="F6004" s="18"/>
      <c r="G6004" s="40"/>
      <c r="N6004" s="8" t="str">
        <f>IF(R6004="x",1,"")</f>
        <v/>
      </c>
      <c r="O6004" s="18"/>
      <c r="P6004" s="13"/>
      <c r="Q6004" s="13"/>
      <c r="R6004" s="13"/>
      <c r="S6004" s="13"/>
      <c r="T6004" s="15"/>
      <c r="U6004" s="46" t="str">
        <f t="shared" ref="U6004:X6008" si="2587">IF($O6004=U$5,$L6004,"")</f>
        <v/>
      </c>
      <c r="V6004" s="46" t="str">
        <f t="shared" si="2587"/>
        <v/>
      </c>
      <c r="W6004" s="46" t="str">
        <f t="shared" si="2587"/>
        <v/>
      </c>
      <c r="X6004" s="46" t="str">
        <f t="shared" si="2587"/>
        <v/>
      </c>
    </row>
    <row r="6005" spans="2:24" x14ac:dyDescent="0.25">
      <c r="B6005" s="18"/>
      <c r="C6005" s="18"/>
      <c r="D6005" s="18"/>
      <c r="E6005" s="40"/>
      <c r="F6005" s="18"/>
      <c r="G6005" s="40"/>
      <c r="N6005" s="8" t="str">
        <f>IF(R6005="x",1,"")</f>
        <v/>
      </c>
      <c r="O6005" s="18"/>
      <c r="P6005" s="13"/>
      <c r="Q6005" s="13"/>
      <c r="R6005" s="13"/>
      <c r="S6005" s="13"/>
      <c r="T6005" s="15"/>
      <c r="U6005" s="46" t="str">
        <f t="shared" si="2587"/>
        <v/>
      </c>
      <c r="V6005" s="46" t="str">
        <f t="shared" si="2587"/>
        <v/>
      </c>
      <c r="W6005" s="46" t="str">
        <f t="shared" si="2587"/>
        <v/>
      </c>
      <c r="X6005" s="46" t="str">
        <f t="shared" si="2587"/>
        <v/>
      </c>
    </row>
    <row r="6006" spans="2:24" x14ac:dyDescent="0.25">
      <c r="B6006" s="11" t="str">
        <f>CONCATENATE("SERI","-",LEFT(P6006,2),UPPER(MID(P6006,4,3)),RIGHT(P6006,4))</f>
        <v>SERI-04AUG1904</v>
      </c>
      <c r="C6006" s="11" t="s">
        <v>3318</v>
      </c>
      <c r="D6006" s="11" t="s">
        <v>1906</v>
      </c>
      <c r="E6006" s="39" t="s">
        <v>3319</v>
      </c>
      <c r="F6006" s="11" t="s">
        <v>1700</v>
      </c>
      <c r="G6006" s="39" t="s">
        <v>3320</v>
      </c>
      <c r="J6006" s="17">
        <v>33</v>
      </c>
      <c r="K6006" s="17"/>
      <c r="L6006" s="7">
        <f>SUM(H6006:K6006)</f>
        <v>33</v>
      </c>
      <c r="M6006" s="8">
        <v>1</v>
      </c>
      <c r="N6006" s="8">
        <f>IF(L6006&gt;0,1,"")</f>
        <v>1</v>
      </c>
      <c r="O6006" s="11" t="s">
        <v>1702</v>
      </c>
      <c r="P6006" s="16" t="str">
        <f>IF(LEN(G6006)=10,CONCATENATE("0",G6006),G6006)</f>
        <v>04-Aug-1904</v>
      </c>
      <c r="R6006" s="16" t="str">
        <f>IF($L6006&gt;0,"x","")</f>
        <v>x</v>
      </c>
      <c r="S6006" s="16" t="str">
        <f>IF($L6006&gt;0,"x","")</f>
        <v>x</v>
      </c>
      <c r="U6006" s="46" t="str">
        <f t="shared" si="2587"/>
        <v/>
      </c>
      <c r="V6006" s="46">
        <f t="shared" si="2587"/>
        <v>33</v>
      </c>
      <c r="W6006" s="46" t="str">
        <f t="shared" si="2587"/>
        <v/>
      </c>
      <c r="X6006" s="46" t="str">
        <f t="shared" si="2587"/>
        <v/>
      </c>
    </row>
    <row r="6007" spans="2:24" x14ac:dyDescent="0.25">
      <c r="N6007" s="8" t="str">
        <f>IF(R6007="x",1,"")</f>
        <v/>
      </c>
      <c r="U6007" s="46" t="str">
        <f t="shared" si="2587"/>
        <v/>
      </c>
      <c r="V6007" s="46" t="str">
        <f t="shared" si="2587"/>
        <v/>
      </c>
      <c r="W6007" s="46" t="str">
        <f t="shared" si="2587"/>
        <v/>
      </c>
      <c r="X6007" s="46" t="str">
        <f t="shared" si="2587"/>
        <v/>
      </c>
    </row>
    <row r="6008" spans="2:24" x14ac:dyDescent="0.25">
      <c r="B6008" s="18"/>
      <c r="C6008" s="18"/>
      <c r="D6008" s="18"/>
      <c r="E6008" s="40"/>
      <c r="F6008" s="18"/>
      <c r="G6008" s="40"/>
      <c r="H6008" s="7">
        <f t="shared" ref="H6008:N6008" si="2588">SUM(H6006:H6007)</f>
        <v>0</v>
      </c>
      <c r="I6008" s="7">
        <f t="shared" si="2588"/>
        <v>0</v>
      </c>
      <c r="J6008" s="7">
        <f>SUM(J6006:J6007)</f>
        <v>33</v>
      </c>
      <c r="K6008" s="7">
        <f t="shared" si="2588"/>
        <v>0</v>
      </c>
      <c r="L6008" s="7">
        <f t="shared" si="2588"/>
        <v>33</v>
      </c>
      <c r="M6008" s="7">
        <f t="shared" si="2588"/>
        <v>1</v>
      </c>
      <c r="N6008" s="7">
        <f t="shared" si="2588"/>
        <v>1</v>
      </c>
      <c r="O6008" s="18"/>
      <c r="P6008" s="13"/>
      <c r="Q6008" s="13"/>
      <c r="S6008" s="13"/>
      <c r="T6008" s="15"/>
      <c r="U6008" s="46" t="str">
        <f t="shared" si="2587"/>
        <v/>
      </c>
      <c r="V6008" s="46" t="str">
        <f t="shared" si="2587"/>
        <v/>
      </c>
      <c r="W6008" s="46" t="str">
        <f t="shared" si="2587"/>
        <v/>
      </c>
      <c r="X6008" s="46" t="str">
        <f t="shared" si="2587"/>
        <v/>
      </c>
    </row>
    <row r="6009" spans="2:24" x14ac:dyDescent="0.25">
      <c r="B6009" s="18"/>
      <c r="C6009" s="18"/>
      <c r="D6009" s="18"/>
      <c r="E6009" s="40"/>
      <c r="F6009" s="18"/>
      <c r="G6009" s="40"/>
      <c r="N6009" s="8" t="str">
        <f>IF(R6009="x",1,"")</f>
        <v/>
      </c>
      <c r="O6009" s="18"/>
      <c r="P6009" s="13"/>
      <c r="Q6009" s="13"/>
      <c r="R6009" s="13"/>
      <c r="S6009" s="13"/>
      <c r="T6009" s="15"/>
      <c r="U6009" s="46" t="str">
        <f t="shared" ref="U6009:X6011" si="2589">IF($O6009=U$5,$L6009,"")</f>
        <v/>
      </c>
      <c r="V6009" s="46" t="str">
        <f t="shared" si="2589"/>
        <v/>
      </c>
      <c r="W6009" s="46" t="str">
        <f t="shared" si="2589"/>
        <v/>
      </c>
      <c r="X6009" s="46" t="str">
        <f t="shared" si="2589"/>
        <v/>
      </c>
    </row>
    <row r="6010" spans="2:24" x14ac:dyDescent="0.25">
      <c r="B6010" s="18"/>
      <c r="C6010" s="18"/>
      <c r="D6010" s="18"/>
      <c r="E6010" s="40"/>
      <c r="F6010" s="18"/>
      <c r="G6010" s="40"/>
      <c r="N6010" s="8" t="str">
        <f>IF(R6010="x",1,"")</f>
        <v/>
      </c>
      <c r="O6010" s="18"/>
      <c r="P6010" s="13"/>
      <c r="Q6010" s="13"/>
      <c r="R6010" s="13"/>
      <c r="S6010" s="13"/>
      <c r="T6010" s="15"/>
      <c r="U6010" s="46" t="str">
        <f t="shared" si="2589"/>
        <v/>
      </c>
      <c r="V6010" s="46" t="str">
        <f t="shared" si="2589"/>
        <v/>
      </c>
      <c r="W6010" s="46" t="str">
        <f t="shared" si="2589"/>
        <v/>
      </c>
      <c r="X6010" s="46" t="str">
        <f t="shared" si="2589"/>
        <v/>
      </c>
    </row>
    <row r="6011" spans="2:24" x14ac:dyDescent="0.25">
      <c r="B6011" s="11" t="str">
        <f>CONCATENATE("SERV","-",LEFT(P6011,2),UPPER(MID(P6011,4,3)),RIGHT(P6011,4))</f>
        <v>SERV-25SEP1882</v>
      </c>
      <c r="C6011" s="11" t="s">
        <v>5847</v>
      </c>
      <c r="D6011" s="11" t="s">
        <v>2097</v>
      </c>
      <c r="F6011" s="11" t="s">
        <v>1700</v>
      </c>
      <c r="G6011" s="39" t="s">
        <v>5848</v>
      </c>
      <c r="I6011" s="7">
        <v>1</v>
      </c>
      <c r="J6011" s="17">
        <v>0</v>
      </c>
      <c r="K6011" s="17"/>
      <c r="L6011" s="7">
        <f>SUM(H6011:K6011)</f>
        <v>1</v>
      </c>
      <c r="M6011" s="8">
        <v>1</v>
      </c>
      <c r="N6011" s="8">
        <f>IF(L6011&gt;0,1,"")</f>
        <v>1</v>
      </c>
      <c r="O6011" s="11" t="s">
        <v>1702</v>
      </c>
      <c r="P6011" s="16" t="str">
        <f>IF(LEN(G6011)=10,CONCATENATE("0",G6011),G6011)</f>
        <v>25-Sep-1882</v>
      </c>
      <c r="R6011" s="16" t="str">
        <f t="shared" ref="R6011:S6013" si="2590">IF($L6011&gt;0,"x","")</f>
        <v>x</v>
      </c>
      <c r="S6011" s="16" t="str">
        <f t="shared" si="2590"/>
        <v>x</v>
      </c>
      <c r="U6011" s="46" t="str">
        <f t="shared" si="2589"/>
        <v/>
      </c>
      <c r="V6011" s="46">
        <f t="shared" si="2589"/>
        <v>1</v>
      </c>
      <c r="W6011" s="46" t="str">
        <f t="shared" si="2589"/>
        <v/>
      </c>
      <c r="X6011" s="46" t="str">
        <f t="shared" si="2589"/>
        <v/>
      </c>
    </row>
    <row r="6012" spans="2:24" x14ac:dyDescent="0.25">
      <c r="B6012" s="11" t="str">
        <f>CONCATENATE("SERV","-",LEFT(P6012,2),UPPER(MID(P6012,4,3)),RIGHT(P6012,4))</f>
        <v>SERV-16NOV1891</v>
      </c>
      <c r="C6012" s="11" t="s">
        <v>5847</v>
      </c>
      <c r="D6012" s="11" t="s">
        <v>2097</v>
      </c>
      <c r="F6012" s="11" t="s">
        <v>1700</v>
      </c>
      <c r="G6012" s="39" t="s">
        <v>6086</v>
      </c>
      <c r="H6012" s="7">
        <v>5</v>
      </c>
      <c r="I6012" s="7">
        <v>0</v>
      </c>
      <c r="J6012" s="17">
        <v>0</v>
      </c>
      <c r="K6012" s="17"/>
      <c r="L6012" s="7">
        <f>SUM(H6012:K6012)</f>
        <v>5</v>
      </c>
      <c r="M6012" s="8">
        <v>1</v>
      </c>
      <c r="N6012" s="8">
        <f>IF(L6012&gt;0,1,"")</f>
        <v>1</v>
      </c>
      <c r="O6012" s="11" t="s">
        <v>1702</v>
      </c>
      <c r="P6012" s="16" t="str">
        <f>IF(LEN(G6012)=10,CONCATENATE("0",G6012),G6012)</f>
        <v>16-Nov-1891</v>
      </c>
      <c r="R6012" s="16" t="str">
        <f t="shared" si="2590"/>
        <v>x</v>
      </c>
      <c r="S6012" s="16" t="str">
        <f t="shared" si="2590"/>
        <v>x</v>
      </c>
      <c r="U6012" s="46" t="str">
        <f t="shared" ref="U6012:X6013" si="2591">IF($O6012=U$5,$L6012,"")</f>
        <v/>
      </c>
      <c r="V6012" s="46">
        <f t="shared" si="2591"/>
        <v>5</v>
      </c>
      <c r="W6012" s="46" t="str">
        <f t="shared" si="2591"/>
        <v/>
      </c>
      <c r="X6012" s="46" t="str">
        <f t="shared" si="2591"/>
        <v/>
      </c>
    </row>
    <row r="6013" spans="2:24" x14ac:dyDescent="0.25">
      <c r="B6013" s="11" t="str">
        <f>CONCATENATE("SERV","-",LEFT(P6013,2),UPPER(MID(P6013,4,3)),RIGHT(P6013,4))</f>
        <v>SERV-21NOV1892</v>
      </c>
      <c r="C6013" s="11" t="s">
        <v>5847</v>
      </c>
      <c r="D6013" s="11" t="s">
        <v>2097</v>
      </c>
      <c r="F6013" s="11" t="s">
        <v>1700</v>
      </c>
      <c r="G6013" s="39" t="s">
        <v>238</v>
      </c>
      <c r="H6013" s="7">
        <v>0</v>
      </c>
      <c r="I6013" s="7">
        <v>7</v>
      </c>
      <c r="J6013" s="17">
        <v>0</v>
      </c>
      <c r="K6013" s="17"/>
      <c r="L6013" s="7">
        <f>SUM(H6013:K6013)</f>
        <v>7</v>
      </c>
      <c r="M6013" s="8">
        <v>1</v>
      </c>
      <c r="N6013" s="8">
        <f>IF(L6013&gt;0,1,"")</f>
        <v>1</v>
      </c>
      <c r="O6013" s="11" t="s">
        <v>1702</v>
      </c>
      <c r="P6013" s="16" t="str">
        <f>IF(LEN(G6013)=10,CONCATENATE("0",G6013),G6013)</f>
        <v>21-Nov-1892</v>
      </c>
      <c r="R6013" s="16" t="str">
        <f t="shared" si="2590"/>
        <v>x</v>
      </c>
      <c r="S6013" s="16" t="str">
        <f t="shared" si="2590"/>
        <v>x</v>
      </c>
      <c r="U6013" s="46" t="str">
        <f t="shared" si="2591"/>
        <v/>
      </c>
      <c r="V6013" s="46">
        <f t="shared" si="2591"/>
        <v>7</v>
      </c>
      <c r="W6013" s="46" t="str">
        <f t="shared" si="2591"/>
        <v/>
      </c>
      <c r="X6013" s="46" t="str">
        <f t="shared" si="2591"/>
        <v/>
      </c>
    </row>
    <row r="6014" spans="2:24" x14ac:dyDescent="0.25">
      <c r="N6014" s="8" t="str">
        <f>IF(R6014="x",1,"")</f>
        <v/>
      </c>
      <c r="U6014" s="46" t="str">
        <f t="shared" ref="U6014:X6027" si="2592">IF($O6014=U$5,$L6014,"")</f>
        <v/>
      </c>
      <c r="V6014" s="46" t="str">
        <f t="shared" si="2592"/>
        <v/>
      </c>
      <c r="W6014" s="46" t="str">
        <f t="shared" si="2592"/>
        <v/>
      </c>
      <c r="X6014" s="46" t="str">
        <f t="shared" si="2592"/>
        <v/>
      </c>
    </row>
    <row r="6015" spans="2:24" x14ac:dyDescent="0.25">
      <c r="B6015" s="18"/>
      <c r="C6015" s="18"/>
      <c r="D6015" s="18"/>
      <c r="E6015" s="40"/>
      <c r="F6015" s="18"/>
      <c r="G6015" s="40"/>
      <c r="H6015" s="7">
        <f t="shared" ref="H6015:N6015" si="2593">SUM(H6011:H6014)</f>
        <v>5</v>
      </c>
      <c r="I6015" s="7">
        <f t="shared" si="2593"/>
        <v>8</v>
      </c>
      <c r="J6015" s="7">
        <f>SUM(J6011:J6014)</f>
        <v>0</v>
      </c>
      <c r="K6015" s="7">
        <f t="shared" si="2593"/>
        <v>0</v>
      </c>
      <c r="L6015" s="7">
        <f t="shared" si="2593"/>
        <v>13</v>
      </c>
      <c r="M6015" s="7">
        <f t="shared" si="2593"/>
        <v>3</v>
      </c>
      <c r="N6015" s="7">
        <f t="shared" si="2593"/>
        <v>3</v>
      </c>
      <c r="O6015" s="18"/>
      <c r="P6015" s="13"/>
      <c r="Q6015" s="13"/>
      <c r="S6015" s="13"/>
      <c r="T6015" s="15"/>
      <c r="U6015" s="46" t="str">
        <f t="shared" si="2592"/>
        <v/>
      </c>
      <c r="V6015" s="46" t="str">
        <f t="shared" si="2592"/>
        <v/>
      </c>
      <c r="W6015" s="46" t="str">
        <f t="shared" si="2592"/>
        <v/>
      </c>
      <c r="X6015" s="46" t="str">
        <f t="shared" si="2592"/>
        <v/>
      </c>
    </row>
    <row r="6016" spans="2:24" x14ac:dyDescent="0.25">
      <c r="B6016" s="18"/>
      <c r="C6016" s="18"/>
      <c r="D6016" s="18"/>
      <c r="E6016" s="40"/>
      <c r="F6016" s="18"/>
      <c r="G6016" s="40"/>
      <c r="N6016" s="8" t="str">
        <f>IF(R6016="x",1,"")</f>
        <v/>
      </c>
      <c r="O6016" s="18"/>
      <c r="P6016" s="13"/>
      <c r="Q6016" s="13"/>
      <c r="R6016" s="13"/>
      <c r="S6016" s="13"/>
      <c r="T6016" s="15"/>
      <c r="U6016" s="46" t="str">
        <f t="shared" si="2592"/>
        <v/>
      </c>
      <c r="V6016" s="46" t="str">
        <f t="shared" si="2592"/>
        <v/>
      </c>
      <c r="W6016" s="46" t="str">
        <f t="shared" si="2592"/>
        <v/>
      </c>
      <c r="X6016" s="46" t="str">
        <f t="shared" si="2592"/>
        <v/>
      </c>
    </row>
    <row r="6017" spans="2:24" x14ac:dyDescent="0.25">
      <c r="B6017" s="18"/>
      <c r="C6017" s="18"/>
      <c r="D6017" s="18"/>
      <c r="E6017" s="40"/>
      <c r="F6017" s="18"/>
      <c r="G6017" s="40"/>
      <c r="N6017" s="8" t="str">
        <f>IF(R6017="x",1,"")</f>
        <v/>
      </c>
      <c r="O6017" s="18"/>
      <c r="P6017" s="13"/>
      <c r="Q6017" s="13"/>
      <c r="R6017" s="13"/>
      <c r="S6017" s="13"/>
      <c r="T6017" s="15"/>
      <c r="U6017" s="46" t="str">
        <f t="shared" si="2592"/>
        <v/>
      </c>
      <c r="V6017" s="46" t="str">
        <f t="shared" si="2592"/>
        <v/>
      </c>
      <c r="W6017" s="46" t="str">
        <f t="shared" si="2592"/>
        <v/>
      </c>
      <c r="X6017" s="46" t="str">
        <f t="shared" si="2592"/>
        <v/>
      </c>
    </row>
    <row r="6018" spans="2:24" x14ac:dyDescent="0.25">
      <c r="B6018" s="11" t="str">
        <f>CONCATENATE("SHMR","-",LEFT(P6018,2),UPPER(MID(P6018,4,3)),RIGHT(P6018,4))</f>
        <v>SHMR-20JUN1919</v>
      </c>
      <c r="C6018" s="11" t="s">
        <v>3640</v>
      </c>
      <c r="D6018" s="11" t="s">
        <v>2440</v>
      </c>
      <c r="E6018" s="39" t="s">
        <v>5316</v>
      </c>
      <c r="F6018" s="11" t="s">
        <v>2441</v>
      </c>
      <c r="G6018" s="39" t="s">
        <v>5317</v>
      </c>
      <c r="H6018" s="7">
        <v>0</v>
      </c>
      <c r="I6018" s="7">
        <v>0</v>
      </c>
      <c r="J6018" s="17">
        <v>7</v>
      </c>
      <c r="K6018" s="17"/>
      <c r="L6018" s="7">
        <f>SUM(H6018:K6018)</f>
        <v>7</v>
      </c>
      <c r="M6018" s="8">
        <v>1</v>
      </c>
      <c r="N6018" s="8">
        <f>IF(L6018&gt;0,1,"")</f>
        <v>1</v>
      </c>
      <c r="O6018" s="11" t="s">
        <v>1702</v>
      </c>
      <c r="P6018" s="16" t="str">
        <f>IF(LEN(G6018)=10,CONCATENATE("0",G6018),G6018)</f>
        <v>20-Jun-1919</v>
      </c>
      <c r="R6018" s="16" t="str">
        <f>IF($L6018&gt;0,"x","")</f>
        <v>x</v>
      </c>
      <c r="S6018" s="16" t="str">
        <f>IF($L6018&gt;0,"x","")</f>
        <v>x</v>
      </c>
      <c r="U6018" s="46" t="str">
        <f t="shared" si="2592"/>
        <v/>
      </c>
      <c r="V6018" s="46">
        <f t="shared" si="2592"/>
        <v>7</v>
      </c>
      <c r="W6018" s="46" t="str">
        <f t="shared" si="2592"/>
        <v/>
      </c>
      <c r="X6018" s="46" t="str">
        <f t="shared" si="2592"/>
        <v/>
      </c>
    </row>
    <row r="6019" spans="2:24" x14ac:dyDescent="0.25">
      <c r="B6019" s="11" t="str">
        <f>CONCATENATE("SHMR","-",LEFT(P6019,2),UPPER(MID(P6019,4,3)),RIGHT(P6019,4))</f>
        <v>SHMR-10SEP1919</v>
      </c>
      <c r="C6019" s="11" t="s">
        <v>3640</v>
      </c>
      <c r="D6019" s="11" t="s">
        <v>2440</v>
      </c>
      <c r="E6019" s="39" t="s">
        <v>2397</v>
      </c>
      <c r="F6019" s="11" t="s">
        <v>2441</v>
      </c>
      <c r="G6019" s="39" t="s">
        <v>3641</v>
      </c>
      <c r="H6019" s="7">
        <v>0</v>
      </c>
      <c r="I6019" s="7">
        <v>0</v>
      </c>
      <c r="J6019" s="17">
        <v>10</v>
      </c>
      <c r="K6019" s="17"/>
      <c r="L6019" s="7">
        <f>SUM(H6019:K6019)</f>
        <v>10</v>
      </c>
      <c r="M6019" s="8">
        <v>1</v>
      </c>
      <c r="N6019" s="8">
        <f>IF(L6019&gt;0,1,"")</f>
        <v>1</v>
      </c>
      <c r="O6019" s="11" t="s">
        <v>1702</v>
      </c>
      <c r="P6019" s="16" t="str">
        <f>IF(LEN(G6019)=10,CONCATENATE("0",G6019),G6019)</f>
        <v>10-Sep-1919</v>
      </c>
      <c r="R6019" s="16" t="str">
        <f>IF($L6019&gt;0,"x","")</f>
        <v>x</v>
      </c>
      <c r="S6019" s="16" t="str">
        <f>IF($L6019&gt;0,"x","")</f>
        <v>x</v>
      </c>
      <c r="U6019" s="46" t="str">
        <f t="shared" si="2592"/>
        <v/>
      </c>
      <c r="V6019" s="46">
        <f t="shared" si="2592"/>
        <v>10</v>
      </c>
      <c r="W6019" s="46" t="str">
        <f t="shared" si="2592"/>
        <v/>
      </c>
      <c r="X6019" s="46" t="str">
        <f t="shared" si="2592"/>
        <v/>
      </c>
    </row>
    <row r="6020" spans="2:24" x14ac:dyDescent="0.25">
      <c r="N6020" s="8" t="str">
        <f>IF(R6020="x",1,"")</f>
        <v/>
      </c>
      <c r="U6020" s="46" t="str">
        <f t="shared" si="2592"/>
        <v/>
      </c>
      <c r="V6020" s="46" t="str">
        <f t="shared" si="2592"/>
        <v/>
      </c>
      <c r="W6020" s="46" t="str">
        <f t="shared" si="2592"/>
        <v/>
      </c>
      <c r="X6020" s="46" t="str">
        <f t="shared" si="2592"/>
        <v/>
      </c>
    </row>
    <row r="6021" spans="2:24" x14ac:dyDescent="0.25">
      <c r="B6021" s="18"/>
      <c r="C6021" s="18"/>
      <c r="D6021" s="18"/>
      <c r="E6021" s="40"/>
      <c r="F6021" s="18"/>
      <c r="G6021" s="40"/>
      <c r="H6021" s="7">
        <f t="shared" ref="H6021:N6021" si="2594">SUM(H6018:H6020)</f>
        <v>0</v>
      </c>
      <c r="I6021" s="7">
        <f t="shared" si="2594"/>
        <v>0</v>
      </c>
      <c r="J6021" s="7">
        <f>SUM(J6018:J6020)</f>
        <v>17</v>
      </c>
      <c r="K6021" s="7">
        <f t="shared" si="2594"/>
        <v>0</v>
      </c>
      <c r="L6021" s="7">
        <f t="shared" si="2594"/>
        <v>17</v>
      </c>
      <c r="M6021" s="7">
        <f t="shared" si="2594"/>
        <v>2</v>
      </c>
      <c r="N6021" s="7">
        <f t="shared" si="2594"/>
        <v>2</v>
      </c>
      <c r="O6021" s="18"/>
      <c r="P6021" s="13"/>
      <c r="Q6021" s="13"/>
      <c r="S6021" s="13"/>
      <c r="T6021" s="15"/>
      <c r="U6021" s="46" t="str">
        <f t="shared" si="2592"/>
        <v/>
      </c>
      <c r="V6021" s="46" t="str">
        <f t="shared" si="2592"/>
        <v/>
      </c>
      <c r="W6021" s="46" t="str">
        <f t="shared" si="2592"/>
        <v/>
      </c>
      <c r="X6021" s="46" t="str">
        <f t="shared" si="2592"/>
        <v/>
      </c>
    </row>
    <row r="6022" spans="2:24" x14ac:dyDescent="0.25">
      <c r="B6022" s="18"/>
      <c r="C6022" s="18"/>
      <c r="D6022" s="18"/>
      <c r="E6022" s="40"/>
      <c r="F6022" s="18"/>
      <c r="G6022" s="40"/>
      <c r="N6022" s="8" t="str">
        <f>IF(R6022="x",1,"")</f>
        <v/>
      </c>
      <c r="O6022" s="18"/>
      <c r="P6022" s="13"/>
      <c r="Q6022" s="13"/>
      <c r="R6022" s="13"/>
      <c r="S6022" s="13"/>
      <c r="T6022" s="15"/>
      <c r="U6022" s="46" t="str">
        <f t="shared" si="2592"/>
        <v/>
      </c>
      <c r="V6022" s="46" t="str">
        <f t="shared" si="2592"/>
        <v/>
      </c>
      <c r="W6022" s="46" t="str">
        <f t="shared" si="2592"/>
        <v/>
      </c>
      <c r="X6022" s="46" t="str">
        <f t="shared" si="2592"/>
        <v/>
      </c>
    </row>
    <row r="6023" spans="2:24" x14ac:dyDescent="0.25">
      <c r="B6023" s="18"/>
      <c r="C6023" s="18"/>
      <c r="D6023" s="18"/>
      <c r="E6023" s="40"/>
      <c r="F6023" s="18"/>
      <c r="G6023" s="40"/>
      <c r="N6023" s="8" t="str">
        <f>IF(R6023="x",1,"")</f>
        <v/>
      </c>
      <c r="O6023" s="18"/>
      <c r="P6023" s="13"/>
      <c r="Q6023" s="13"/>
      <c r="R6023" s="13"/>
      <c r="S6023" s="13"/>
      <c r="T6023" s="15"/>
      <c r="U6023" s="46" t="str">
        <f t="shared" si="2592"/>
        <v/>
      </c>
      <c r="V6023" s="46" t="str">
        <f t="shared" si="2592"/>
        <v/>
      </c>
      <c r="W6023" s="46" t="str">
        <f t="shared" si="2592"/>
        <v/>
      </c>
      <c r="X6023" s="46" t="str">
        <f t="shared" si="2592"/>
        <v/>
      </c>
    </row>
    <row r="6024" spans="2:24" x14ac:dyDescent="0.25">
      <c r="B6024" s="11" t="str">
        <f t="shared" ref="B6024:B6030" si="2595">CONCATENATE("SIMR","-",LEFT(P6024,2),UPPER(MID(P6024,4,3)),RIGHT(P6024,4))</f>
        <v>SIMR-01MAR1919</v>
      </c>
      <c r="C6024" s="11" t="s">
        <v>3920</v>
      </c>
      <c r="D6024" s="11" t="s">
        <v>2440</v>
      </c>
      <c r="E6024" s="39" t="s">
        <v>3921</v>
      </c>
      <c r="F6024" s="11" t="s">
        <v>2441</v>
      </c>
      <c r="G6024" s="39" t="s">
        <v>3922</v>
      </c>
      <c r="J6024" s="17">
        <v>17</v>
      </c>
      <c r="K6024" s="17"/>
      <c r="L6024" s="7">
        <f t="shared" ref="L6024:L6030" si="2596">SUM(H6024:K6024)</f>
        <v>17</v>
      </c>
      <c r="M6024" s="8">
        <v>1</v>
      </c>
      <c r="N6024" s="8">
        <f t="shared" ref="N6024:N6030" si="2597">IF(L6024&gt;0,1,"")</f>
        <v>1</v>
      </c>
      <c r="O6024" s="11" t="s">
        <v>1702</v>
      </c>
      <c r="P6024" s="16" t="str">
        <f t="shared" ref="P6024:P6030" si="2598">IF(LEN(G6024)=10,CONCATENATE("0",G6024),G6024)</f>
        <v>01-Mar-1919</v>
      </c>
      <c r="R6024" s="16" t="str">
        <f t="shared" ref="R6024:S6030" si="2599">IF($L6024&gt;0,"x","")</f>
        <v>x</v>
      </c>
      <c r="S6024" s="16" t="str">
        <f t="shared" si="2599"/>
        <v>x</v>
      </c>
      <c r="U6024" s="46" t="str">
        <f t="shared" si="2592"/>
        <v/>
      </c>
      <c r="V6024" s="46">
        <f t="shared" si="2592"/>
        <v>17</v>
      </c>
      <c r="W6024" s="46" t="str">
        <f t="shared" si="2592"/>
        <v/>
      </c>
      <c r="X6024" s="46" t="str">
        <f t="shared" si="2592"/>
        <v/>
      </c>
    </row>
    <row r="6025" spans="2:24" x14ac:dyDescent="0.25">
      <c r="B6025" s="11" t="str">
        <f t="shared" si="2595"/>
        <v>SIMR-09JUN1919</v>
      </c>
      <c r="C6025" s="11" t="s">
        <v>3920</v>
      </c>
      <c r="D6025" s="11" t="s">
        <v>2440</v>
      </c>
      <c r="E6025" s="39" t="s">
        <v>2405</v>
      </c>
      <c r="F6025" s="11" t="s">
        <v>2441</v>
      </c>
      <c r="G6025" s="39" t="s">
        <v>1556</v>
      </c>
      <c r="H6025" s="7">
        <v>0</v>
      </c>
      <c r="I6025" s="7">
        <v>0</v>
      </c>
      <c r="J6025" s="17">
        <v>12</v>
      </c>
      <c r="K6025" s="17"/>
      <c r="L6025" s="7">
        <f t="shared" si="2596"/>
        <v>12</v>
      </c>
      <c r="M6025" s="8">
        <v>1</v>
      </c>
      <c r="N6025" s="8">
        <f t="shared" si="2597"/>
        <v>1</v>
      </c>
      <c r="O6025" s="11" t="s">
        <v>1702</v>
      </c>
      <c r="P6025" s="16" t="str">
        <f t="shared" si="2598"/>
        <v>09-Jun-1919</v>
      </c>
      <c r="R6025" s="16" t="str">
        <f t="shared" si="2599"/>
        <v>x</v>
      </c>
      <c r="S6025" s="16" t="str">
        <f t="shared" si="2599"/>
        <v>x</v>
      </c>
      <c r="U6025" s="46" t="str">
        <f t="shared" si="2592"/>
        <v/>
      </c>
      <c r="V6025" s="46">
        <f t="shared" si="2592"/>
        <v>12</v>
      </c>
      <c r="W6025" s="46" t="str">
        <f t="shared" si="2592"/>
        <v/>
      </c>
      <c r="X6025" s="46" t="str">
        <f t="shared" si="2592"/>
        <v/>
      </c>
    </row>
    <row r="6026" spans="2:24" x14ac:dyDescent="0.25">
      <c r="B6026" s="11" t="str">
        <f>CONCATENATE("SIMR","-",LEFT(P6026,2),UPPER(MID(P6026,4,3)),RIGHT(P6026,4))</f>
        <v>SIMR-09NOV1920</v>
      </c>
      <c r="C6026" s="11" t="s">
        <v>3920</v>
      </c>
      <c r="D6026" s="11" t="s">
        <v>2440</v>
      </c>
      <c r="E6026" s="39" t="s">
        <v>3993</v>
      </c>
      <c r="F6026" s="11" t="s">
        <v>2441</v>
      </c>
      <c r="G6026" s="39" t="s">
        <v>2041</v>
      </c>
      <c r="H6026" s="7">
        <v>0</v>
      </c>
      <c r="J6026" s="17">
        <v>4</v>
      </c>
      <c r="K6026" s="17"/>
      <c r="L6026" s="7">
        <f>SUM(H6026:K6026)</f>
        <v>4</v>
      </c>
      <c r="M6026" s="8">
        <v>1</v>
      </c>
      <c r="N6026" s="8">
        <f>IF(L6026&gt;0,1,"")</f>
        <v>1</v>
      </c>
      <c r="O6026" s="11" t="s">
        <v>1702</v>
      </c>
      <c r="P6026" s="16" t="str">
        <f>IF(LEN(G6026)=10,CONCATENATE("0",G6026),G6026)</f>
        <v>09-Nov-1920</v>
      </c>
      <c r="R6026" s="16" t="str">
        <f t="shared" si="2599"/>
        <v>x</v>
      </c>
      <c r="S6026" s="16" t="str">
        <f t="shared" si="2599"/>
        <v>x</v>
      </c>
      <c r="U6026" s="46" t="str">
        <f t="shared" si="2592"/>
        <v/>
      </c>
      <c r="V6026" s="46">
        <f t="shared" si="2592"/>
        <v>4</v>
      </c>
      <c r="W6026" s="46" t="str">
        <f t="shared" si="2592"/>
        <v/>
      </c>
      <c r="X6026" s="46" t="str">
        <f t="shared" si="2592"/>
        <v/>
      </c>
    </row>
    <row r="6027" spans="2:24" x14ac:dyDescent="0.25">
      <c r="B6027" s="11" t="str">
        <f t="shared" si="2595"/>
        <v>SIMR-01MAR1922</v>
      </c>
      <c r="C6027" s="11" t="s">
        <v>3920</v>
      </c>
      <c r="D6027" s="11" t="s">
        <v>2440</v>
      </c>
      <c r="E6027" s="39" t="s">
        <v>4264</v>
      </c>
      <c r="F6027" s="11" t="s">
        <v>2441</v>
      </c>
      <c r="G6027" s="39" t="s">
        <v>11347</v>
      </c>
      <c r="H6027" s="7">
        <v>0</v>
      </c>
      <c r="I6027" s="7">
        <v>2</v>
      </c>
      <c r="J6027" s="17">
        <v>0</v>
      </c>
      <c r="K6027" s="17"/>
      <c r="L6027" s="7">
        <f t="shared" si="2596"/>
        <v>2</v>
      </c>
      <c r="M6027" s="8">
        <v>1</v>
      </c>
      <c r="N6027" s="8">
        <f t="shared" si="2597"/>
        <v>1</v>
      </c>
      <c r="O6027" s="11" t="s">
        <v>1702</v>
      </c>
      <c r="P6027" s="16" t="str">
        <f t="shared" si="2598"/>
        <v>01-Mar-1922</v>
      </c>
      <c r="R6027" s="16" t="str">
        <f t="shared" si="2599"/>
        <v>x</v>
      </c>
      <c r="S6027" s="16" t="str">
        <f t="shared" si="2599"/>
        <v>x</v>
      </c>
      <c r="U6027" s="46" t="str">
        <f t="shared" si="2592"/>
        <v/>
      </c>
      <c r="V6027" s="46">
        <f t="shared" si="2592"/>
        <v>2</v>
      </c>
      <c r="W6027" s="46" t="str">
        <f t="shared" si="2592"/>
        <v/>
      </c>
      <c r="X6027" s="46" t="str">
        <f t="shared" si="2592"/>
        <v/>
      </c>
    </row>
    <row r="6028" spans="2:24" x14ac:dyDescent="0.25">
      <c r="B6028" s="11" t="str">
        <f t="shared" si="2595"/>
        <v>SIMR-17OCT1925</v>
      </c>
      <c r="C6028" s="11" t="s">
        <v>3920</v>
      </c>
      <c r="D6028" s="11" t="s">
        <v>4884</v>
      </c>
      <c r="E6028" s="39" t="s">
        <v>6132</v>
      </c>
      <c r="F6028" s="11" t="s">
        <v>2441</v>
      </c>
      <c r="G6028" s="39" t="s">
        <v>4591</v>
      </c>
      <c r="H6028" s="7">
        <v>0</v>
      </c>
      <c r="I6028" s="7">
        <v>0</v>
      </c>
      <c r="J6028" s="17">
        <v>3</v>
      </c>
      <c r="K6028" s="17"/>
      <c r="L6028" s="7">
        <f t="shared" si="2596"/>
        <v>3</v>
      </c>
      <c r="M6028" s="8">
        <v>1</v>
      </c>
      <c r="N6028" s="8">
        <f t="shared" si="2597"/>
        <v>1</v>
      </c>
      <c r="O6028" s="11" t="s">
        <v>1702</v>
      </c>
      <c r="P6028" s="16" t="str">
        <f t="shared" si="2598"/>
        <v>17-Oct-1925</v>
      </c>
      <c r="R6028" s="16" t="str">
        <f t="shared" si="2599"/>
        <v>x</v>
      </c>
      <c r="S6028" s="16" t="str">
        <f t="shared" si="2599"/>
        <v>x</v>
      </c>
      <c r="U6028" s="46" t="str">
        <f t="shared" ref="U6028:X6030" si="2600">IF($O6028=U$5,$L6028,"")</f>
        <v/>
      </c>
      <c r="V6028" s="46">
        <f t="shared" si="2600"/>
        <v>3</v>
      </c>
      <c r="W6028" s="46" t="str">
        <f t="shared" si="2600"/>
        <v/>
      </c>
      <c r="X6028" s="46" t="str">
        <f t="shared" si="2600"/>
        <v/>
      </c>
    </row>
    <row r="6029" spans="2:24" x14ac:dyDescent="0.25">
      <c r="B6029" s="11" t="str">
        <f t="shared" si="2595"/>
        <v>SIMR-17OCT1925</v>
      </c>
      <c r="C6029" s="11" t="s">
        <v>3920</v>
      </c>
      <c r="D6029" s="11" t="s">
        <v>2440</v>
      </c>
      <c r="E6029" s="39" t="s">
        <v>4606</v>
      </c>
      <c r="F6029" s="11" t="s">
        <v>2441</v>
      </c>
      <c r="G6029" s="39" t="s">
        <v>4591</v>
      </c>
      <c r="H6029" s="7">
        <v>0</v>
      </c>
      <c r="I6029" s="7">
        <v>0</v>
      </c>
      <c r="J6029" s="17">
        <v>5</v>
      </c>
      <c r="K6029" s="17"/>
      <c r="L6029" s="7">
        <f t="shared" si="2596"/>
        <v>5</v>
      </c>
      <c r="M6029" s="8">
        <v>1</v>
      </c>
      <c r="N6029" s="8">
        <f t="shared" si="2597"/>
        <v>1</v>
      </c>
      <c r="O6029" s="11" t="s">
        <v>1702</v>
      </c>
      <c r="P6029" s="16" t="str">
        <f t="shared" si="2598"/>
        <v>17-Oct-1925</v>
      </c>
      <c r="R6029" s="16" t="str">
        <f t="shared" si="2599"/>
        <v>x</v>
      </c>
      <c r="S6029" s="16" t="str">
        <f t="shared" si="2599"/>
        <v>x</v>
      </c>
      <c r="U6029" s="46" t="str">
        <f t="shared" si="2600"/>
        <v/>
      </c>
      <c r="V6029" s="46">
        <f t="shared" si="2600"/>
        <v>5</v>
      </c>
      <c r="W6029" s="46" t="str">
        <f t="shared" si="2600"/>
        <v/>
      </c>
      <c r="X6029" s="46" t="str">
        <f t="shared" si="2600"/>
        <v/>
      </c>
    </row>
    <row r="6030" spans="2:24" x14ac:dyDescent="0.25">
      <c r="B6030" s="11" t="str">
        <f t="shared" si="2595"/>
        <v>SIMR-10JUN1927</v>
      </c>
      <c r="C6030" s="11" t="s">
        <v>3920</v>
      </c>
      <c r="D6030" s="11" t="s">
        <v>2440</v>
      </c>
      <c r="E6030" s="39" t="s">
        <v>6153</v>
      </c>
      <c r="F6030" s="11" t="s">
        <v>2441</v>
      </c>
      <c r="G6030" s="39" t="s">
        <v>6154</v>
      </c>
      <c r="H6030" s="7">
        <v>0</v>
      </c>
      <c r="I6030" s="7">
        <v>0</v>
      </c>
      <c r="J6030" s="17">
        <v>5</v>
      </c>
      <c r="K6030" s="17"/>
      <c r="L6030" s="7">
        <f t="shared" si="2596"/>
        <v>5</v>
      </c>
      <c r="M6030" s="8">
        <v>1</v>
      </c>
      <c r="N6030" s="8">
        <f t="shared" si="2597"/>
        <v>1</v>
      </c>
      <c r="O6030" s="11" t="s">
        <v>1702</v>
      </c>
      <c r="P6030" s="16" t="str">
        <f t="shared" si="2598"/>
        <v>10-Jun-1927</v>
      </c>
      <c r="R6030" s="16" t="str">
        <f t="shared" si="2599"/>
        <v>x</v>
      </c>
      <c r="S6030" s="16" t="str">
        <f t="shared" si="2599"/>
        <v>x</v>
      </c>
      <c r="U6030" s="46" t="str">
        <f t="shared" si="2600"/>
        <v/>
      </c>
      <c r="V6030" s="46">
        <f t="shared" si="2600"/>
        <v>5</v>
      </c>
      <c r="W6030" s="46" t="str">
        <f t="shared" si="2600"/>
        <v/>
      </c>
      <c r="X6030" s="46" t="str">
        <f t="shared" si="2600"/>
        <v/>
      </c>
    </row>
    <row r="6031" spans="2:24" x14ac:dyDescent="0.25">
      <c r="N6031" s="8" t="str">
        <f>IF(R6031="x",1,"")</f>
        <v/>
      </c>
      <c r="U6031" s="46" t="str">
        <f t="shared" ref="U6031:X6035" si="2601">IF($O6031=U$5,$L6031,"")</f>
        <v/>
      </c>
      <c r="V6031" s="46" t="str">
        <f t="shared" si="2601"/>
        <v/>
      </c>
      <c r="W6031" s="46" t="str">
        <f t="shared" si="2601"/>
        <v/>
      </c>
      <c r="X6031" s="46" t="str">
        <f t="shared" si="2601"/>
        <v/>
      </c>
    </row>
    <row r="6032" spans="2:24" x14ac:dyDescent="0.25">
      <c r="B6032" s="18"/>
      <c r="C6032" s="18"/>
      <c r="D6032" s="18"/>
      <c r="E6032" s="40"/>
      <c r="F6032" s="18"/>
      <c r="G6032" s="40"/>
      <c r="H6032" s="7">
        <f t="shared" ref="H6032:N6032" si="2602">SUM(H6024:H6031)</f>
        <v>0</v>
      </c>
      <c r="I6032" s="7">
        <f t="shared" si="2602"/>
        <v>2</v>
      </c>
      <c r="J6032" s="7">
        <f>SUM(J6024:J6031)</f>
        <v>46</v>
      </c>
      <c r="K6032" s="7">
        <f t="shared" si="2602"/>
        <v>0</v>
      </c>
      <c r="L6032" s="7">
        <f t="shared" si="2602"/>
        <v>48</v>
      </c>
      <c r="M6032" s="7">
        <f t="shared" si="2602"/>
        <v>7</v>
      </c>
      <c r="N6032" s="7">
        <f t="shared" si="2602"/>
        <v>7</v>
      </c>
      <c r="O6032" s="18"/>
      <c r="P6032" s="13"/>
      <c r="Q6032" s="13"/>
      <c r="S6032" s="13"/>
      <c r="T6032" s="15"/>
      <c r="U6032" s="46" t="str">
        <f t="shared" si="2601"/>
        <v/>
      </c>
      <c r="V6032" s="46" t="str">
        <f t="shared" si="2601"/>
        <v/>
      </c>
      <c r="W6032" s="46" t="str">
        <f t="shared" si="2601"/>
        <v/>
      </c>
      <c r="X6032" s="46" t="str">
        <f t="shared" si="2601"/>
        <v/>
      </c>
    </row>
    <row r="6033" spans="2:24" x14ac:dyDescent="0.25">
      <c r="B6033" s="18"/>
      <c r="C6033" s="18"/>
      <c r="D6033" s="18"/>
      <c r="E6033" s="40"/>
      <c r="F6033" s="18"/>
      <c r="G6033" s="40"/>
      <c r="N6033" s="8" t="str">
        <f>IF(R6033="x",1,"")</f>
        <v/>
      </c>
      <c r="O6033" s="18"/>
      <c r="P6033" s="13"/>
      <c r="Q6033" s="13"/>
      <c r="R6033" s="13"/>
      <c r="S6033" s="13"/>
      <c r="T6033" s="15"/>
      <c r="U6033" s="46" t="str">
        <f t="shared" si="2601"/>
        <v/>
      </c>
      <c r="V6033" s="46" t="str">
        <f t="shared" si="2601"/>
        <v/>
      </c>
      <c r="W6033" s="46" t="str">
        <f t="shared" si="2601"/>
        <v/>
      </c>
      <c r="X6033" s="46" t="str">
        <f t="shared" si="2601"/>
        <v/>
      </c>
    </row>
    <row r="6034" spans="2:24" x14ac:dyDescent="0.25">
      <c r="B6034" s="18"/>
      <c r="C6034" s="18"/>
      <c r="D6034" s="18"/>
      <c r="E6034" s="40"/>
      <c r="F6034" s="18"/>
      <c r="G6034" s="40"/>
      <c r="N6034" s="8" t="str">
        <f>IF(R6034="x",1,"")</f>
        <v/>
      </c>
      <c r="O6034" s="18"/>
      <c r="P6034" s="13"/>
      <c r="Q6034" s="13"/>
      <c r="R6034" s="13"/>
      <c r="S6034" s="13"/>
      <c r="T6034" s="15"/>
      <c r="U6034" s="46" t="str">
        <f t="shared" si="2601"/>
        <v/>
      </c>
      <c r="V6034" s="46" t="str">
        <f t="shared" si="2601"/>
        <v/>
      </c>
      <c r="W6034" s="46" t="str">
        <f t="shared" si="2601"/>
        <v/>
      </c>
      <c r="X6034" s="46" t="str">
        <f t="shared" si="2601"/>
        <v/>
      </c>
    </row>
    <row r="6035" spans="2:24" x14ac:dyDescent="0.25">
      <c r="B6035" s="11" t="str">
        <f>CONCATENATE("SIBE","-",LEFT(P6035,2),UPPER(MID(P6035,4,3)),RIGHT(P6035,4))</f>
        <v>SIBE-31JUL1906</v>
      </c>
      <c r="C6035" s="11" t="s">
        <v>3613</v>
      </c>
      <c r="D6035" s="11" t="s">
        <v>2097</v>
      </c>
      <c r="E6035" s="39" t="s">
        <v>5406</v>
      </c>
      <c r="F6035" s="11" t="s">
        <v>4880</v>
      </c>
      <c r="G6035" s="39" t="s">
        <v>4881</v>
      </c>
      <c r="J6035" s="17">
        <v>5</v>
      </c>
      <c r="K6035" s="17"/>
      <c r="L6035" s="7">
        <f>SUM(H6035:K6035)</f>
        <v>5</v>
      </c>
      <c r="M6035" s="8">
        <v>1</v>
      </c>
      <c r="N6035" s="8">
        <f>IF(L6035&gt;0,1,"")</f>
        <v>1</v>
      </c>
      <c r="O6035" s="11" t="s">
        <v>1702</v>
      </c>
      <c r="P6035" s="16" t="str">
        <f>IF(LEN(G6035)=10,CONCATENATE("0",G6035),G6035)</f>
        <v>31-Jul-1906</v>
      </c>
      <c r="R6035" s="16" t="str">
        <f t="shared" ref="R6035:S6039" si="2603">IF($L6035&gt;0,"x","")</f>
        <v>x</v>
      </c>
      <c r="S6035" s="16" t="str">
        <f t="shared" si="2603"/>
        <v>x</v>
      </c>
      <c r="U6035" s="46" t="str">
        <f t="shared" si="2601"/>
        <v/>
      </c>
      <c r="V6035" s="46">
        <f t="shared" si="2601"/>
        <v>5</v>
      </c>
      <c r="W6035" s="46" t="str">
        <f t="shared" si="2601"/>
        <v/>
      </c>
      <c r="X6035" s="46" t="str">
        <f t="shared" si="2601"/>
        <v/>
      </c>
    </row>
    <row r="6036" spans="2:24" x14ac:dyDescent="0.25">
      <c r="B6036" s="11" t="str">
        <f>CONCATENATE("SIBE","-",LEFT(P6036,2),UPPER(MID(P6036,4,3)),RIGHT(P6036,4))</f>
        <v>SIBE-07AUG1906</v>
      </c>
      <c r="C6036" s="11" t="s">
        <v>3613</v>
      </c>
      <c r="D6036" s="11" t="s">
        <v>2097</v>
      </c>
      <c r="E6036" s="39" t="s">
        <v>5406</v>
      </c>
      <c r="F6036" s="11" t="s">
        <v>2904</v>
      </c>
      <c r="G6036" s="39" t="s">
        <v>5407</v>
      </c>
      <c r="I6036" s="7">
        <v>0</v>
      </c>
      <c r="J6036" s="17">
        <v>13</v>
      </c>
      <c r="K6036" s="17"/>
      <c r="L6036" s="7">
        <f>SUM(H6036:K6036)</f>
        <v>13</v>
      </c>
      <c r="M6036" s="8">
        <v>1</v>
      </c>
      <c r="N6036" s="8">
        <f>IF(L6036&gt;0,1,"")</f>
        <v>1</v>
      </c>
      <c r="O6036" s="11" t="s">
        <v>1702</v>
      </c>
      <c r="P6036" s="16" t="str">
        <f>IF(LEN(G6036)=10,CONCATENATE("0",G6036),G6036)</f>
        <v>07-Aug-1906</v>
      </c>
      <c r="R6036" s="16" t="str">
        <f>IF($L6036&gt;0,"x","")</f>
        <v>x</v>
      </c>
      <c r="S6036" s="16" t="str">
        <f>IF($L6036&gt;0,"x","")</f>
        <v>x</v>
      </c>
      <c r="U6036" s="46" t="str">
        <f t="shared" ref="U6036:X6037" si="2604">IF($O6036=U$5,$L6036,"")</f>
        <v/>
      </c>
      <c r="V6036" s="46">
        <f t="shared" si="2604"/>
        <v>13</v>
      </c>
      <c r="W6036" s="46" t="str">
        <f t="shared" si="2604"/>
        <v/>
      </c>
      <c r="X6036" s="46" t="str">
        <f t="shared" si="2604"/>
        <v/>
      </c>
    </row>
    <row r="6037" spans="2:24" x14ac:dyDescent="0.25">
      <c r="B6037" s="11" t="str">
        <f>CONCATENATE("SIBE","-",LEFT(P6037,2),UPPER(MID(P6037,4,3)),RIGHT(P6037,4))</f>
        <v>SIBE-27JUN1907</v>
      </c>
      <c r="C6037" s="11" t="s">
        <v>3613</v>
      </c>
      <c r="D6037" s="11" t="s">
        <v>2097</v>
      </c>
      <c r="E6037" s="39" t="s">
        <v>1197</v>
      </c>
      <c r="F6037" s="11" t="s">
        <v>2904</v>
      </c>
      <c r="G6037" s="39" t="s">
        <v>4049</v>
      </c>
      <c r="J6037" s="17">
        <v>12</v>
      </c>
      <c r="K6037" s="17"/>
      <c r="L6037" s="7">
        <f>SUM(H6037:K6037)</f>
        <v>12</v>
      </c>
      <c r="M6037" s="8">
        <v>1</v>
      </c>
      <c r="N6037" s="8">
        <f>IF(L6037&gt;0,1,"")</f>
        <v>1</v>
      </c>
      <c r="O6037" s="11" t="s">
        <v>1702</v>
      </c>
      <c r="P6037" s="16" t="str">
        <f>IF(LEN(G6037)=10,CONCATENATE("0",G6037),G6037)</f>
        <v>27-Jun-1907</v>
      </c>
      <c r="R6037" s="16" t="str">
        <f t="shared" si="2603"/>
        <v>x</v>
      </c>
      <c r="S6037" s="16" t="str">
        <f t="shared" si="2603"/>
        <v>x</v>
      </c>
      <c r="U6037" s="46" t="str">
        <f t="shared" si="2604"/>
        <v/>
      </c>
      <c r="V6037" s="46">
        <f t="shared" si="2604"/>
        <v>12</v>
      </c>
      <c r="W6037" s="46" t="str">
        <f t="shared" si="2604"/>
        <v/>
      </c>
      <c r="X6037" s="46" t="str">
        <f t="shared" si="2604"/>
        <v/>
      </c>
    </row>
    <row r="6038" spans="2:24" x14ac:dyDescent="0.25">
      <c r="B6038" s="11" t="str">
        <f>CONCATENATE("SIBE","-",LEFT(P6038,2),UPPER(MID(P6038,4,3)),RIGHT(P6038,4))</f>
        <v>SIBE-10AUG1907</v>
      </c>
      <c r="C6038" s="11" t="s">
        <v>3613</v>
      </c>
      <c r="D6038" s="11" t="s">
        <v>2097</v>
      </c>
      <c r="E6038" s="39" t="s">
        <v>3614</v>
      </c>
      <c r="F6038" s="11" t="s">
        <v>2904</v>
      </c>
      <c r="G6038" s="39" t="s">
        <v>1205</v>
      </c>
      <c r="H6038" s="7">
        <v>0</v>
      </c>
      <c r="I6038" s="7">
        <v>0</v>
      </c>
      <c r="J6038" s="17">
        <v>6</v>
      </c>
      <c r="K6038" s="17"/>
      <c r="L6038" s="7">
        <f>SUM(H6038:K6038)</f>
        <v>6</v>
      </c>
      <c r="M6038" s="8">
        <v>1</v>
      </c>
      <c r="N6038" s="8">
        <f>IF(L6038&gt;0,1,"")</f>
        <v>1</v>
      </c>
      <c r="O6038" s="11" t="s">
        <v>1702</v>
      </c>
      <c r="P6038" s="16" t="str">
        <f>IF(LEN(G6038)=10,CONCATENATE("0",G6038),G6038)</f>
        <v>10-Aug-1907</v>
      </c>
      <c r="R6038" s="16" t="str">
        <f t="shared" si="2603"/>
        <v>x</v>
      </c>
      <c r="S6038" s="16" t="str">
        <f t="shared" si="2603"/>
        <v>x</v>
      </c>
      <c r="U6038" s="46" t="str">
        <f t="shared" ref="U6038:X6041" si="2605">IF($O6038=U$5,$L6038,"")</f>
        <v/>
      </c>
      <c r="V6038" s="46">
        <f t="shared" si="2605"/>
        <v>6</v>
      </c>
      <c r="W6038" s="46" t="str">
        <f t="shared" si="2605"/>
        <v/>
      </c>
      <c r="X6038" s="46" t="str">
        <f t="shared" si="2605"/>
        <v/>
      </c>
    </row>
    <row r="6039" spans="2:24" x14ac:dyDescent="0.25">
      <c r="B6039" s="11" t="str">
        <f>CONCATENATE("SIBE","-",LEFT(P6039,2),UPPER(MID(P6039,4,3)),RIGHT(P6039,4))</f>
        <v>SIBE-12OCT1907</v>
      </c>
      <c r="C6039" s="11" t="s">
        <v>3613</v>
      </c>
      <c r="D6039" s="11" t="s">
        <v>2097</v>
      </c>
      <c r="E6039" s="39" t="s">
        <v>1207</v>
      </c>
      <c r="F6039" s="11" t="s">
        <v>2904</v>
      </c>
      <c r="G6039" s="39" t="s">
        <v>1808</v>
      </c>
      <c r="H6039" s="7">
        <v>0</v>
      </c>
      <c r="I6039" s="7">
        <v>0</v>
      </c>
      <c r="J6039" s="17">
        <v>6</v>
      </c>
      <c r="K6039" s="17"/>
      <c r="L6039" s="7">
        <f>SUM(H6039:K6039)</f>
        <v>6</v>
      </c>
      <c r="M6039" s="8">
        <v>1</v>
      </c>
      <c r="N6039" s="8">
        <f>IF(L6039&gt;0,1,"")</f>
        <v>1</v>
      </c>
      <c r="O6039" s="11" t="s">
        <v>1702</v>
      </c>
      <c r="P6039" s="16" t="str">
        <f>IF(LEN(G6039)=10,CONCATENATE("0",G6039),G6039)</f>
        <v>12-Oct-1907</v>
      </c>
      <c r="R6039" s="16" t="str">
        <f t="shared" si="2603"/>
        <v>x</v>
      </c>
      <c r="S6039" s="16" t="str">
        <f t="shared" si="2603"/>
        <v>x</v>
      </c>
      <c r="U6039" s="46" t="str">
        <f t="shared" si="2605"/>
        <v/>
      </c>
      <c r="V6039" s="46">
        <f t="shared" si="2605"/>
        <v>6</v>
      </c>
      <c r="W6039" s="46" t="str">
        <f t="shared" si="2605"/>
        <v/>
      </c>
      <c r="X6039" s="46" t="str">
        <f t="shared" si="2605"/>
        <v/>
      </c>
    </row>
    <row r="6040" spans="2:24" x14ac:dyDescent="0.25">
      <c r="N6040" s="8" t="str">
        <f>IF(R6040="x",1,"")</f>
        <v/>
      </c>
      <c r="U6040" s="46" t="str">
        <f t="shared" si="2605"/>
        <v/>
      </c>
      <c r="V6040" s="46" t="str">
        <f t="shared" si="2605"/>
        <v/>
      </c>
      <c r="W6040" s="46" t="str">
        <f t="shared" si="2605"/>
        <v/>
      </c>
      <c r="X6040" s="46" t="str">
        <f t="shared" si="2605"/>
        <v/>
      </c>
    </row>
    <row r="6041" spans="2:24" x14ac:dyDescent="0.25">
      <c r="B6041" s="18"/>
      <c r="C6041" s="18"/>
      <c r="D6041" s="18"/>
      <c r="E6041" s="40"/>
      <c r="F6041" s="18"/>
      <c r="G6041" s="40"/>
      <c r="H6041" s="7">
        <f t="shared" ref="H6041:N6041" si="2606">SUM(H6035:H6040)</f>
        <v>0</v>
      </c>
      <c r="I6041" s="7">
        <f t="shared" si="2606"/>
        <v>0</v>
      </c>
      <c r="J6041" s="7">
        <f>SUM(J6035:J6040)</f>
        <v>42</v>
      </c>
      <c r="K6041" s="7">
        <f t="shared" si="2606"/>
        <v>0</v>
      </c>
      <c r="L6041" s="7">
        <f t="shared" si="2606"/>
        <v>42</v>
      </c>
      <c r="M6041" s="7">
        <f t="shared" si="2606"/>
        <v>5</v>
      </c>
      <c r="N6041" s="7">
        <f t="shared" si="2606"/>
        <v>5</v>
      </c>
      <c r="O6041" s="18"/>
      <c r="P6041" s="13"/>
      <c r="Q6041" s="13"/>
      <c r="S6041" s="13"/>
      <c r="T6041" s="15"/>
      <c r="U6041" s="46" t="str">
        <f t="shared" si="2605"/>
        <v/>
      </c>
      <c r="V6041" s="46" t="str">
        <f t="shared" si="2605"/>
        <v/>
      </c>
      <c r="W6041" s="46" t="str">
        <f t="shared" si="2605"/>
        <v/>
      </c>
      <c r="X6041" s="46" t="str">
        <f t="shared" si="2605"/>
        <v/>
      </c>
    </row>
    <row r="6042" spans="2:24" x14ac:dyDescent="0.25">
      <c r="B6042" s="18"/>
      <c r="C6042" s="18"/>
      <c r="D6042" s="18"/>
      <c r="E6042" s="40"/>
      <c r="F6042" s="18"/>
      <c r="G6042" s="40"/>
      <c r="N6042" s="8" t="str">
        <f>IF(R6042="x",1,"")</f>
        <v/>
      </c>
      <c r="O6042" s="18"/>
      <c r="P6042" s="13"/>
      <c r="Q6042" s="13"/>
      <c r="R6042" s="13"/>
      <c r="S6042" s="13"/>
      <c r="T6042" s="15"/>
      <c r="U6042" s="46" t="str">
        <f t="shared" ref="U6042:X6046" si="2607">IF($O6042=U$5,$L6042,"")</f>
        <v/>
      </c>
      <c r="V6042" s="46" t="str">
        <f t="shared" si="2607"/>
        <v/>
      </c>
      <c r="W6042" s="46" t="str">
        <f t="shared" si="2607"/>
        <v/>
      </c>
      <c r="X6042" s="46" t="str">
        <f t="shared" si="2607"/>
        <v/>
      </c>
    </row>
    <row r="6043" spans="2:24" x14ac:dyDescent="0.25">
      <c r="B6043" s="18"/>
      <c r="C6043" s="18"/>
      <c r="D6043" s="18"/>
      <c r="E6043" s="40"/>
      <c r="F6043" s="18"/>
      <c r="G6043" s="40"/>
      <c r="N6043" s="8" t="str">
        <f>IF(R6043="x",1,"")</f>
        <v/>
      </c>
      <c r="O6043" s="18"/>
      <c r="P6043" s="13"/>
      <c r="Q6043" s="13"/>
      <c r="R6043" s="13"/>
      <c r="S6043" s="13"/>
      <c r="T6043" s="15"/>
      <c r="U6043" s="46" t="str">
        <f t="shared" si="2607"/>
        <v/>
      </c>
      <c r="V6043" s="46" t="str">
        <f t="shared" si="2607"/>
        <v/>
      </c>
      <c r="W6043" s="46" t="str">
        <f t="shared" si="2607"/>
        <v/>
      </c>
      <c r="X6043" s="46" t="str">
        <f t="shared" si="2607"/>
        <v/>
      </c>
    </row>
    <row r="6044" spans="2:24" x14ac:dyDescent="0.25">
      <c r="B6044" s="11" t="str">
        <f>CONCATENATE("SIBO","-",LEFT(P6044,2),UPPER(MID(P6044,4,3)),RIGHT(P6044,4))</f>
        <v>SIBO-23MAR1926</v>
      </c>
      <c r="C6044" s="11" t="s">
        <v>11138</v>
      </c>
      <c r="D6044" s="11" t="s">
        <v>3122</v>
      </c>
      <c r="E6044" s="39" t="s">
        <v>5707</v>
      </c>
      <c r="F6044" s="11" t="s">
        <v>1700</v>
      </c>
      <c r="G6044" s="39" t="s">
        <v>11139</v>
      </c>
      <c r="H6044" s="7">
        <v>0</v>
      </c>
      <c r="J6044" s="17">
        <v>1</v>
      </c>
      <c r="K6044" s="17"/>
      <c r="L6044" s="7">
        <f>SUM(H6044:K6044)</f>
        <v>1</v>
      </c>
      <c r="M6044" s="8">
        <v>1</v>
      </c>
      <c r="N6044" s="8">
        <f>IF(L6044&gt;0,1,"")</f>
        <v>1</v>
      </c>
      <c r="O6044" s="11" t="s">
        <v>1702</v>
      </c>
      <c r="P6044" s="16" t="str">
        <f>IF(LEN(G6044)=10,CONCATENATE("0",G6044),G6044)</f>
        <v>23-Mar-1926</v>
      </c>
      <c r="R6044" s="16" t="str">
        <f>IF($L6044&gt;0,"x","")</f>
        <v>x</v>
      </c>
      <c r="S6044" s="16" t="str">
        <f>IF($L6044&gt;0,"x","")</f>
        <v>x</v>
      </c>
      <c r="U6044" s="46" t="str">
        <f t="shared" si="2607"/>
        <v/>
      </c>
      <c r="V6044" s="46">
        <f t="shared" si="2607"/>
        <v>1</v>
      </c>
      <c r="W6044" s="46" t="str">
        <f t="shared" si="2607"/>
        <v/>
      </c>
      <c r="X6044" s="46" t="str">
        <f t="shared" si="2607"/>
        <v/>
      </c>
    </row>
    <row r="6045" spans="2:24" x14ac:dyDescent="0.25">
      <c r="N6045" s="8" t="str">
        <f>IF(R6045="x",1,"")</f>
        <v/>
      </c>
      <c r="U6045" s="46" t="str">
        <f t="shared" si="2607"/>
        <v/>
      </c>
      <c r="V6045" s="46" t="str">
        <f t="shared" si="2607"/>
        <v/>
      </c>
      <c r="W6045" s="46" t="str">
        <f t="shared" si="2607"/>
        <v/>
      </c>
      <c r="X6045" s="46" t="str">
        <f t="shared" si="2607"/>
        <v/>
      </c>
    </row>
    <row r="6046" spans="2:24" x14ac:dyDescent="0.25">
      <c r="B6046" s="18"/>
      <c r="C6046" s="18"/>
      <c r="D6046" s="18"/>
      <c r="E6046" s="40"/>
      <c r="F6046" s="18"/>
      <c r="G6046" s="40"/>
      <c r="H6046" s="7">
        <f t="shared" ref="H6046:N6046" si="2608">SUM(H6044:H6045)</f>
        <v>0</v>
      </c>
      <c r="I6046" s="7">
        <f t="shared" si="2608"/>
        <v>0</v>
      </c>
      <c r="J6046" s="7">
        <f>SUM(J6044:J6045)</f>
        <v>1</v>
      </c>
      <c r="K6046" s="7">
        <f t="shared" si="2608"/>
        <v>0</v>
      </c>
      <c r="L6046" s="7">
        <f t="shared" si="2608"/>
        <v>1</v>
      </c>
      <c r="M6046" s="7">
        <f t="shared" si="2608"/>
        <v>1</v>
      </c>
      <c r="N6046" s="7">
        <f t="shared" si="2608"/>
        <v>1</v>
      </c>
      <c r="O6046" s="18"/>
      <c r="P6046" s="13"/>
      <c r="Q6046" s="13"/>
      <c r="S6046" s="13"/>
      <c r="T6046" s="15"/>
      <c r="U6046" s="46" t="str">
        <f t="shared" si="2607"/>
        <v/>
      </c>
      <c r="V6046" s="46" t="str">
        <f t="shared" si="2607"/>
        <v/>
      </c>
      <c r="W6046" s="46" t="str">
        <f t="shared" si="2607"/>
        <v/>
      </c>
      <c r="X6046" s="46" t="str">
        <f t="shared" si="2607"/>
        <v/>
      </c>
    </row>
    <row r="6047" spans="2:24" x14ac:dyDescent="0.25">
      <c r="B6047" s="18"/>
      <c r="C6047" s="18"/>
      <c r="D6047" s="18"/>
      <c r="E6047" s="40"/>
      <c r="F6047" s="18"/>
      <c r="G6047" s="40"/>
      <c r="N6047" s="8" t="str">
        <f>IF(R6047="x",1,"")</f>
        <v/>
      </c>
      <c r="O6047" s="18"/>
      <c r="P6047" s="13"/>
      <c r="Q6047" s="13"/>
      <c r="R6047" s="13"/>
      <c r="S6047" s="13"/>
      <c r="T6047" s="15"/>
      <c r="U6047" s="46" t="str">
        <f t="shared" ref="U6047:X6056" si="2609">IF($O6047=U$5,$L6047,"")</f>
        <v/>
      </c>
      <c r="V6047" s="46" t="str">
        <f t="shared" si="2609"/>
        <v/>
      </c>
      <c r="W6047" s="46" t="str">
        <f t="shared" si="2609"/>
        <v/>
      </c>
      <c r="X6047" s="46" t="str">
        <f t="shared" si="2609"/>
        <v/>
      </c>
    </row>
    <row r="6048" spans="2:24" x14ac:dyDescent="0.25">
      <c r="B6048" s="18"/>
      <c r="C6048" s="18"/>
      <c r="D6048" s="18"/>
      <c r="E6048" s="40"/>
      <c r="F6048" s="18"/>
      <c r="G6048" s="40"/>
      <c r="N6048" s="8" t="str">
        <f>IF(R6048="x",1,"")</f>
        <v/>
      </c>
      <c r="O6048" s="18"/>
      <c r="P6048" s="13"/>
      <c r="Q6048" s="13"/>
      <c r="R6048" s="13"/>
      <c r="S6048" s="13"/>
      <c r="T6048" s="15"/>
      <c r="U6048" s="46" t="str">
        <f t="shared" si="2609"/>
        <v/>
      </c>
      <c r="V6048" s="46" t="str">
        <f t="shared" si="2609"/>
        <v/>
      </c>
      <c r="W6048" s="46" t="str">
        <f t="shared" si="2609"/>
        <v/>
      </c>
      <c r="X6048" s="46" t="str">
        <f t="shared" si="2609"/>
        <v/>
      </c>
    </row>
    <row r="6049" spans="2:24" x14ac:dyDescent="0.25">
      <c r="B6049" s="11" t="str">
        <f>CONCATENATE("SICI","-",LEFT(P6049,2),UPPER(MID(P6049,4,3)),RIGHT(P6049,4))</f>
        <v>SICI-11NOV1895</v>
      </c>
      <c r="C6049" s="11" t="s">
        <v>131</v>
      </c>
      <c r="D6049" s="11" t="s">
        <v>1699</v>
      </c>
      <c r="F6049" s="11" t="s">
        <v>1700</v>
      </c>
      <c r="G6049" s="39" t="s">
        <v>432</v>
      </c>
      <c r="J6049" s="17">
        <v>27</v>
      </c>
      <c r="K6049" s="17"/>
      <c r="L6049" s="7">
        <f>SUM(H6049:K6049)</f>
        <v>27</v>
      </c>
      <c r="M6049" s="8">
        <v>1</v>
      </c>
      <c r="N6049" s="8">
        <f>IF(L6049&gt;0,1,"")</f>
        <v>1</v>
      </c>
      <c r="O6049" s="11" t="s">
        <v>1702</v>
      </c>
      <c r="P6049" s="16" t="str">
        <f>IF(LEN(G6049)=10,CONCATENATE("0",G6049),G6049)</f>
        <v>11-Nov-1895</v>
      </c>
      <c r="R6049" s="16" t="str">
        <f t="shared" ref="R6049:S6052" si="2610">IF($L6049&gt;0,"x","")</f>
        <v>x</v>
      </c>
      <c r="S6049" s="16" t="str">
        <f t="shared" si="2610"/>
        <v>x</v>
      </c>
      <c r="U6049" s="46" t="str">
        <f t="shared" si="2609"/>
        <v/>
      </c>
      <c r="V6049" s="46">
        <f t="shared" si="2609"/>
        <v>27</v>
      </c>
      <c r="W6049" s="46" t="str">
        <f t="shared" si="2609"/>
        <v/>
      </c>
      <c r="X6049" s="46" t="str">
        <f t="shared" si="2609"/>
        <v/>
      </c>
    </row>
    <row r="6050" spans="2:24" x14ac:dyDescent="0.25">
      <c r="B6050" s="11" t="str">
        <f>CONCATENATE("SICI","-",LEFT(P6050,2),UPPER(MID(P6050,4,3)),RIGHT(P6050,4))</f>
        <v>SICI-29DEC1897</v>
      </c>
      <c r="C6050" s="11" t="s">
        <v>131</v>
      </c>
      <c r="D6050" s="11" t="s">
        <v>1699</v>
      </c>
      <c r="E6050" s="39" t="s">
        <v>449</v>
      </c>
      <c r="F6050" s="11" t="s">
        <v>1700</v>
      </c>
      <c r="G6050" s="39" t="s">
        <v>3338</v>
      </c>
      <c r="J6050" s="17">
        <v>6</v>
      </c>
      <c r="K6050" s="17"/>
      <c r="L6050" s="7">
        <f>SUM(H6050:K6050)</f>
        <v>6</v>
      </c>
      <c r="M6050" s="8">
        <v>1</v>
      </c>
      <c r="N6050" s="8">
        <f>IF(L6050&gt;0,1,"")</f>
        <v>1</v>
      </c>
      <c r="O6050" s="11" t="s">
        <v>1702</v>
      </c>
      <c r="P6050" s="16" t="str">
        <f>IF(LEN(G6050)=10,CONCATENATE("0",G6050),G6050)</f>
        <v>29-Dec-1897</v>
      </c>
      <c r="R6050" s="16" t="str">
        <f t="shared" si="2610"/>
        <v>x</v>
      </c>
      <c r="S6050" s="16" t="str">
        <f t="shared" si="2610"/>
        <v>x</v>
      </c>
      <c r="U6050" s="46" t="str">
        <f t="shared" si="2609"/>
        <v/>
      </c>
      <c r="V6050" s="46">
        <f t="shared" si="2609"/>
        <v>6</v>
      </c>
      <c r="W6050" s="46" t="str">
        <f t="shared" si="2609"/>
        <v/>
      </c>
      <c r="X6050" s="46" t="str">
        <f t="shared" si="2609"/>
        <v/>
      </c>
    </row>
    <row r="6051" spans="2:24" x14ac:dyDescent="0.25">
      <c r="B6051" s="11" t="str">
        <f>CONCATENATE("SICI","-",LEFT(P6051,2),UPPER(MID(P6051,4,3)),RIGHT(P6051,4))</f>
        <v>SICI-18OCT1901</v>
      </c>
      <c r="C6051" s="11" t="s">
        <v>131</v>
      </c>
      <c r="D6051" s="11" t="s">
        <v>3832</v>
      </c>
      <c r="E6051" s="39" t="s">
        <v>718</v>
      </c>
      <c r="F6051" s="11" t="s">
        <v>1700</v>
      </c>
      <c r="G6051" s="39" t="s">
        <v>5043</v>
      </c>
      <c r="J6051" s="17">
        <v>2</v>
      </c>
      <c r="K6051" s="17"/>
      <c r="L6051" s="7">
        <f>SUM(H6051:K6051)</f>
        <v>2</v>
      </c>
      <c r="M6051" s="8">
        <v>1</v>
      </c>
      <c r="N6051" s="8">
        <f>IF(L6051&gt;0,1,"")</f>
        <v>1</v>
      </c>
      <c r="O6051" s="11" t="s">
        <v>1702</v>
      </c>
      <c r="P6051" s="16" t="str">
        <f>IF(LEN(G6051)=10,CONCATENATE("0",G6051),G6051)</f>
        <v>18-Oct-1901</v>
      </c>
      <c r="R6051" s="16" t="str">
        <f t="shared" si="2610"/>
        <v>x</v>
      </c>
      <c r="S6051" s="16" t="str">
        <f t="shared" si="2610"/>
        <v>x</v>
      </c>
      <c r="U6051" s="46" t="str">
        <f t="shared" si="2609"/>
        <v/>
      </c>
      <c r="V6051" s="46">
        <f t="shared" si="2609"/>
        <v>2</v>
      </c>
      <c r="W6051" s="46" t="str">
        <f t="shared" si="2609"/>
        <v/>
      </c>
      <c r="X6051" s="46" t="str">
        <f t="shared" si="2609"/>
        <v/>
      </c>
    </row>
    <row r="6052" spans="2:24" x14ac:dyDescent="0.25">
      <c r="B6052" s="11" t="str">
        <f>CONCATENATE("SICI","-",LEFT(P6052,2),UPPER(MID(P6052,4,3)),RIGHT(P6052,4))</f>
        <v>SICI-15SEP1904</v>
      </c>
      <c r="C6052" s="11" t="s">
        <v>131</v>
      </c>
      <c r="D6052" s="11" t="s">
        <v>3698</v>
      </c>
      <c r="E6052" s="39" t="s">
        <v>3320</v>
      </c>
      <c r="F6052" s="11" t="s">
        <v>1700</v>
      </c>
      <c r="G6052" s="39" t="s">
        <v>3699</v>
      </c>
      <c r="J6052" s="17">
        <v>15</v>
      </c>
      <c r="K6052" s="17"/>
      <c r="L6052" s="7">
        <f>SUM(H6052:K6052)</f>
        <v>15</v>
      </c>
      <c r="M6052" s="8">
        <v>1</v>
      </c>
      <c r="N6052" s="8">
        <f>IF(L6052&gt;0,1,"")</f>
        <v>1</v>
      </c>
      <c r="O6052" s="11" t="s">
        <v>1702</v>
      </c>
      <c r="P6052" s="16" t="str">
        <f>IF(LEN(G6052)=10,CONCATENATE("0",G6052),G6052)</f>
        <v>15-Sep-1904</v>
      </c>
      <c r="R6052" s="16" t="str">
        <f t="shared" si="2610"/>
        <v>x</v>
      </c>
      <c r="S6052" s="16" t="str">
        <f t="shared" si="2610"/>
        <v>x</v>
      </c>
      <c r="U6052" s="46" t="str">
        <f t="shared" si="2609"/>
        <v/>
      </c>
      <c r="V6052" s="46">
        <f t="shared" si="2609"/>
        <v>15</v>
      </c>
      <c r="W6052" s="46" t="str">
        <f t="shared" si="2609"/>
        <v/>
      </c>
      <c r="X6052" s="46" t="str">
        <f t="shared" si="2609"/>
        <v/>
      </c>
    </row>
    <row r="6053" spans="2:24" x14ac:dyDescent="0.25">
      <c r="N6053" s="8" t="str">
        <f>IF(R6053="x",1,"")</f>
        <v/>
      </c>
      <c r="U6053" s="46" t="str">
        <f t="shared" si="2609"/>
        <v/>
      </c>
      <c r="V6053" s="46" t="str">
        <f t="shared" si="2609"/>
        <v/>
      </c>
      <c r="W6053" s="46" t="str">
        <f t="shared" si="2609"/>
        <v/>
      </c>
      <c r="X6053" s="46" t="str">
        <f t="shared" si="2609"/>
        <v/>
      </c>
    </row>
    <row r="6054" spans="2:24" x14ac:dyDescent="0.25">
      <c r="B6054" s="18"/>
      <c r="C6054" s="18"/>
      <c r="D6054" s="18"/>
      <c r="E6054" s="40"/>
      <c r="F6054" s="18"/>
      <c r="G6054" s="40"/>
      <c r="H6054" s="7">
        <f t="shared" ref="H6054:N6054" si="2611">SUM(H6049:H6053)</f>
        <v>0</v>
      </c>
      <c r="I6054" s="7">
        <f t="shared" si="2611"/>
        <v>0</v>
      </c>
      <c r="J6054" s="7">
        <f>SUM(J6049:J6053)</f>
        <v>50</v>
      </c>
      <c r="K6054" s="7">
        <f t="shared" si="2611"/>
        <v>0</v>
      </c>
      <c r="L6054" s="7">
        <f t="shared" si="2611"/>
        <v>50</v>
      </c>
      <c r="M6054" s="7">
        <f t="shared" si="2611"/>
        <v>4</v>
      </c>
      <c r="N6054" s="7">
        <f t="shared" si="2611"/>
        <v>4</v>
      </c>
      <c r="O6054" s="18"/>
      <c r="P6054" s="13"/>
      <c r="Q6054" s="13"/>
      <c r="S6054" s="13"/>
      <c r="T6054" s="15"/>
      <c r="U6054" s="46" t="str">
        <f t="shared" si="2609"/>
        <v/>
      </c>
      <c r="V6054" s="46" t="str">
        <f t="shared" si="2609"/>
        <v/>
      </c>
      <c r="W6054" s="46" t="str">
        <f t="shared" si="2609"/>
        <v/>
      </c>
      <c r="X6054" s="46" t="str">
        <f t="shared" si="2609"/>
        <v/>
      </c>
    </row>
    <row r="6055" spans="2:24" x14ac:dyDescent="0.25">
      <c r="B6055" s="18"/>
      <c r="C6055" s="18"/>
      <c r="D6055" s="18"/>
      <c r="E6055" s="40"/>
      <c r="F6055" s="18"/>
      <c r="G6055" s="40"/>
      <c r="N6055" s="8" t="str">
        <f>IF(R6055="x",1,"")</f>
        <v/>
      </c>
      <c r="O6055" s="18"/>
      <c r="P6055" s="13"/>
      <c r="Q6055" s="13"/>
      <c r="R6055" s="13"/>
      <c r="S6055" s="13"/>
      <c r="T6055" s="15"/>
      <c r="U6055" s="46" t="str">
        <f t="shared" si="2609"/>
        <v/>
      </c>
      <c r="V6055" s="46" t="str">
        <f t="shared" si="2609"/>
        <v/>
      </c>
      <c r="W6055" s="46" t="str">
        <f t="shared" si="2609"/>
        <v/>
      </c>
      <c r="X6055" s="46" t="str">
        <f t="shared" si="2609"/>
        <v/>
      </c>
    </row>
    <row r="6056" spans="2:24" x14ac:dyDescent="0.25">
      <c r="B6056" s="18"/>
      <c r="C6056" s="18"/>
      <c r="D6056" s="18"/>
      <c r="E6056" s="40"/>
      <c r="F6056" s="18"/>
      <c r="G6056" s="40"/>
      <c r="N6056" s="8" t="str">
        <f>IF(R6056="x",1,"")</f>
        <v/>
      </c>
      <c r="O6056" s="18"/>
      <c r="P6056" s="13"/>
      <c r="Q6056" s="13"/>
      <c r="R6056" s="13"/>
      <c r="S6056" s="13"/>
      <c r="T6056" s="15"/>
      <c r="U6056" s="46" t="str">
        <f t="shared" si="2609"/>
        <v/>
      </c>
      <c r="V6056" s="46" t="str">
        <f t="shared" si="2609"/>
        <v/>
      </c>
      <c r="W6056" s="46" t="str">
        <f t="shared" si="2609"/>
        <v/>
      </c>
      <c r="X6056" s="46" t="str">
        <f t="shared" si="2609"/>
        <v/>
      </c>
    </row>
    <row r="6057" spans="2:24" x14ac:dyDescent="0.25">
      <c r="B6057" s="11" t="str">
        <f>CONCATENATE("SICN","-",LEFT(P6057,2),UPPER(MID(P6057,4,3)),RIGHT(P6057,4))</f>
        <v>SICN-08SEP1903</v>
      </c>
      <c r="C6057" s="11" t="s">
        <v>3620</v>
      </c>
      <c r="D6057" s="11" t="s">
        <v>3249</v>
      </c>
      <c r="E6057" s="39" t="s">
        <v>1646</v>
      </c>
      <c r="F6057" s="11" t="s">
        <v>2813</v>
      </c>
      <c r="G6057" s="39" t="s">
        <v>3465</v>
      </c>
      <c r="H6057" s="7">
        <v>0</v>
      </c>
      <c r="I6057" s="7">
        <v>0</v>
      </c>
      <c r="J6057" s="17">
        <v>2</v>
      </c>
      <c r="K6057" s="17"/>
      <c r="L6057" s="7">
        <f>SUM(H6057:K6057)</f>
        <v>2</v>
      </c>
      <c r="M6057" s="8">
        <v>1</v>
      </c>
      <c r="N6057" s="8">
        <f>IF(L6057&gt;0,1,"")</f>
        <v>1</v>
      </c>
      <c r="O6057" s="11" t="s">
        <v>1702</v>
      </c>
      <c r="P6057" s="16" t="str">
        <f>IF(LEN(G6057)=10,CONCATENATE("0",G6057),G6057)</f>
        <v>08-Sep-1903</v>
      </c>
      <c r="R6057" s="16" t="str">
        <f t="shared" ref="R6057:S6060" si="2612">IF($L6057&gt;0,"x","")</f>
        <v>x</v>
      </c>
      <c r="S6057" s="16" t="str">
        <f t="shared" si="2612"/>
        <v>x</v>
      </c>
      <c r="U6057" s="46" t="str">
        <f t="shared" ref="U6057:X6166" si="2613">IF($O6057=U$5,$L6057,"")</f>
        <v/>
      </c>
      <c r="V6057" s="46">
        <f t="shared" si="2613"/>
        <v>2</v>
      </c>
      <c r="W6057" s="46" t="str">
        <f t="shared" si="2613"/>
        <v/>
      </c>
      <c r="X6057" s="46" t="str">
        <f t="shared" si="2613"/>
        <v/>
      </c>
    </row>
    <row r="6058" spans="2:24" x14ac:dyDescent="0.25">
      <c r="B6058" s="11" t="str">
        <f>CONCATENATE("SICN","-",LEFT(P6058,2),UPPER(MID(P6058,4,3)),RIGHT(P6058,4))</f>
        <v>SICN-03JAN1908</v>
      </c>
      <c r="C6058" s="11" t="s">
        <v>3620</v>
      </c>
      <c r="D6058" s="11" t="s">
        <v>2097</v>
      </c>
      <c r="E6058" s="39" t="s">
        <v>2294</v>
      </c>
      <c r="F6058" s="11" t="s">
        <v>2904</v>
      </c>
      <c r="G6058" s="39" t="s">
        <v>5599</v>
      </c>
      <c r="H6058" s="7">
        <v>0</v>
      </c>
      <c r="I6058" s="7">
        <v>0</v>
      </c>
      <c r="J6058" s="17">
        <v>6</v>
      </c>
      <c r="K6058" s="17"/>
      <c r="L6058" s="7">
        <f>SUM(H6058:K6058)</f>
        <v>6</v>
      </c>
      <c r="M6058" s="8">
        <v>1</v>
      </c>
      <c r="N6058" s="8">
        <f>IF(L6058&gt;0,1,"")</f>
        <v>1</v>
      </c>
      <c r="O6058" s="11" t="s">
        <v>1702</v>
      </c>
      <c r="P6058" s="16" t="str">
        <f>IF(LEN(G6058)=10,CONCATENATE("0",G6058),G6058)</f>
        <v>03-Jan-1908</v>
      </c>
      <c r="R6058" s="16" t="str">
        <f t="shared" si="2612"/>
        <v>x</v>
      </c>
      <c r="S6058" s="16" t="str">
        <f t="shared" si="2612"/>
        <v>x</v>
      </c>
      <c r="U6058" s="46" t="str">
        <f t="shared" ref="U6058:X6061" si="2614">IF($O6058=U$5,$L6058,"")</f>
        <v/>
      </c>
      <c r="V6058" s="46">
        <f t="shared" si="2614"/>
        <v>6</v>
      </c>
      <c r="W6058" s="46" t="str">
        <f t="shared" si="2614"/>
        <v/>
      </c>
      <c r="X6058" s="46" t="str">
        <f t="shared" si="2614"/>
        <v/>
      </c>
    </row>
    <row r="6059" spans="2:24" x14ac:dyDescent="0.25">
      <c r="B6059" s="11" t="str">
        <f>CONCATENATE("SICN","-",LEFT(P6059,2),UPPER(MID(P6059,4,3)),RIGHT(P6059,4))</f>
        <v>SICN-30SEP1908</v>
      </c>
      <c r="C6059" s="11" t="s">
        <v>3620</v>
      </c>
      <c r="D6059" s="11" t="s">
        <v>6066</v>
      </c>
      <c r="E6059" s="39" t="s">
        <v>6067</v>
      </c>
      <c r="F6059" s="11" t="s">
        <v>2813</v>
      </c>
      <c r="G6059" s="39" t="s">
        <v>6068</v>
      </c>
      <c r="I6059" s="7">
        <v>0</v>
      </c>
      <c r="J6059" s="17">
        <v>7</v>
      </c>
      <c r="K6059" s="17"/>
      <c r="L6059" s="7">
        <f>SUM(H6059:K6059)</f>
        <v>7</v>
      </c>
      <c r="M6059" s="8">
        <v>1</v>
      </c>
      <c r="N6059" s="8">
        <f>IF(L6059&gt;0,1,"")</f>
        <v>1</v>
      </c>
      <c r="O6059" s="11" t="s">
        <v>1702</v>
      </c>
      <c r="P6059" s="16" t="str">
        <f>IF(LEN(G6059)=10,CONCATENATE("0",G6059),G6059)</f>
        <v>30-Sep-1908</v>
      </c>
      <c r="R6059" s="16" t="str">
        <f t="shared" si="2612"/>
        <v>x</v>
      </c>
      <c r="S6059" s="16" t="str">
        <f t="shared" si="2612"/>
        <v>x</v>
      </c>
      <c r="U6059" s="46" t="str">
        <f t="shared" si="2614"/>
        <v/>
      </c>
      <c r="V6059" s="46">
        <f t="shared" si="2614"/>
        <v>7</v>
      </c>
      <c r="W6059" s="46" t="str">
        <f t="shared" si="2614"/>
        <v/>
      </c>
      <c r="X6059" s="46" t="str">
        <f t="shared" si="2614"/>
        <v/>
      </c>
    </row>
    <row r="6060" spans="2:24" x14ac:dyDescent="0.25">
      <c r="B6060" s="11" t="str">
        <f>CONCATENATE("SICN","-",LEFT(P6060,2),UPPER(MID(P6060,4,3)),RIGHT(P6060,4))</f>
        <v>SICN-28MAY1913</v>
      </c>
      <c r="C6060" s="11" t="s">
        <v>3620</v>
      </c>
      <c r="D6060" s="11" t="s">
        <v>1699</v>
      </c>
      <c r="E6060" s="39" t="s">
        <v>1286</v>
      </c>
      <c r="F6060" s="11" t="s">
        <v>2813</v>
      </c>
      <c r="G6060" s="39" t="s">
        <v>3141</v>
      </c>
      <c r="H6060" s="7">
        <v>0</v>
      </c>
      <c r="I6060" s="7">
        <v>0</v>
      </c>
      <c r="J6060" s="17">
        <v>3</v>
      </c>
      <c r="K6060" s="17"/>
      <c r="L6060" s="7">
        <f>SUM(H6060:K6060)</f>
        <v>3</v>
      </c>
      <c r="M6060" s="8">
        <v>1</v>
      </c>
      <c r="N6060" s="8">
        <f>IF(L6060&gt;0,1,"")</f>
        <v>1</v>
      </c>
      <c r="O6060" s="11" t="s">
        <v>1702</v>
      </c>
      <c r="P6060" s="16" t="str">
        <f>IF(LEN(G6060)=10,CONCATENATE("0",G6060),G6060)</f>
        <v>28-May-1913</v>
      </c>
      <c r="R6060" s="16" t="str">
        <f t="shared" si="2612"/>
        <v>x</v>
      </c>
      <c r="S6060" s="16" t="str">
        <f t="shared" si="2612"/>
        <v>x</v>
      </c>
      <c r="U6060" s="46" t="str">
        <f t="shared" si="2614"/>
        <v/>
      </c>
      <c r="V6060" s="46">
        <f t="shared" si="2614"/>
        <v>3</v>
      </c>
      <c r="W6060" s="46" t="str">
        <f t="shared" si="2614"/>
        <v/>
      </c>
      <c r="X6060" s="46" t="str">
        <f t="shared" si="2614"/>
        <v/>
      </c>
    </row>
    <row r="6061" spans="2:24" x14ac:dyDescent="0.25">
      <c r="B6061" s="11" t="str">
        <f>CONCATENATE("SICN","-",LEFT(P6061,2),UPPER(MID(P6061,4,3)),RIGHT(P6061,4))</f>
        <v>SICN-02JUL1913</v>
      </c>
      <c r="C6061" s="11" t="s">
        <v>3620</v>
      </c>
      <c r="D6061" s="11" t="s">
        <v>1699</v>
      </c>
      <c r="E6061" s="39" t="s">
        <v>3648</v>
      </c>
      <c r="F6061" s="11" t="s">
        <v>2813</v>
      </c>
      <c r="G6061" s="39" t="s">
        <v>2524</v>
      </c>
      <c r="I6061" s="7">
        <v>0</v>
      </c>
      <c r="J6061" s="17">
        <v>17</v>
      </c>
      <c r="K6061" s="17"/>
      <c r="L6061" s="7">
        <f>SUM(H6061:K6061)</f>
        <v>17</v>
      </c>
      <c r="M6061" s="8">
        <v>1</v>
      </c>
      <c r="N6061" s="8">
        <f>IF(L6061&gt;0,1,"")</f>
        <v>1</v>
      </c>
      <c r="O6061" s="11" t="s">
        <v>1702</v>
      </c>
      <c r="P6061" s="16" t="str">
        <f>IF(LEN(G6061)=10,CONCATENATE("0",G6061),G6061)</f>
        <v>02-Jul-1913</v>
      </c>
      <c r="R6061" s="16" t="str">
        <f>IF($L6061&gt;0,"x","")</f>
        <v>x</v>
      </c>
      <c r="S6061" s="16" t="str">
        <f>IF($L6061&gt;0,"x","")</f>
        <v>x</v>
      </c>
      <c r="U6061" s="46" t="str">
        <f t="shared" si="2614"/>
        <v/>
      </c>
      <c r="V6061" s="46">
        <f t="shared" si="2614"/>
        <v>17</v>
      </c>
      <c r="W6061" s="46" t="str">
        <f t="shared" si="2614"/>
        <v/>
      </c>
      <c r="X6061" s="46" t="str">
        <f t="shared" si="2614"/>
        <v/>
      </c>
    </row>
    <row r="6062" spans="2:24" x14ac:dyDescent="0.25">
      <c r="N6062" s="8" t="str">
        <f>IF(R6062="x",1,"")</f>
        <v/>
      </c>
      <c r="U6062" s="46" t="str">
        <f t="shared" si="2613"/>
        <v/>
      </c>
      <c r="V6062" s="46" t="str">
        <f t="shared" si="2613"/>
        <v/>
      </c>
      <c r="W6062" s="46" t="str">
        <f t="shared" si="2613"/>
        <v/>
      </c>
      <c r="X6062" s="46" t="str">
        <f t="shared" si="2613"/>
        <v/>
      </c>
    </row>
    <row r="6063" spans="2:24" x14ac:dyDescent="0.25">
      <c r="B6063" s="18"/>
      <c r="C6063" s="18"/>
      <c r="D6063" s="18"/>
      <c r="E6063" s="40"/>
      <c r="F6063" s="18"/>
      <c r="G6063" s="40"/>
      <c r="H6063" s="7">
        <f t="shared" ref="H6063:N6063" si="2615">SUM(H6057:H6062)</f>
        <v>0</v>
      </c>
      <c r="I6063" s="7">
        <f t="shared" si="2615"/>
        <v>0</v>
      </c>
      <c r="J6063" s="7">
        <f>SUM(J6057:J6062)</f>
        <v>35</v>
      </c>
      <c r="K6063" s="7">
        <f t="shared" si="2615"/>
        <v>0</v>
      </c>
      <c r="L6063" s="7">
        <f t="shared" si="2615"/>
        <v>35</v>
      </c>
      <c r="M6063" s="7">
        <f t="shared" si="2615"/>
        <v>5</v>
      </c>
      <c r="N6063" s="7">
        <f t="shared" si="2615"/>
        <v>5</v>
      </c>
      <c r="O6063" s="18"/>
      <c r="P6063" s="13"/>
      <c r="Q6063" s="13"/>
      <c r="S6063" s="13"/>
      <c r="T6063" s="15"/>
      <c r="U6063" s="46" t="str">
        <f t="shared" si="2613"/>
        <v/>
      </c>
      <c r="V6063" s="46" t="str">
        <f t="shared" si="2613"/>
        <v/>
      </c>
      <c r="W6063" s="46" t="str">
        <f t="shared" si="2613"/>
        <v/>
      </c>
      <c r="X6063" s="46" t="str">
        <f t="shared" si="2613"/>
        <v/>
      </c>
    </row>
    <row r="6064" spans="2:24" x14ac:dyDescent="0.25">
      <c r="B6064" s="18"/>
      <c r="C6064" s="18"/>
      <c r="D6064" s="18"/>
      <c r="E6064" s="40"/>
      <c r="F6064" s="18"/>
      <c r="G6064" s="40"/>
      <c r="N6064" s="8" t="str">
        <f>IF(R6064="x",1,"")</f>
        <v/>
      </c>
      <c r="O6064" s="18"/>
      <c r="P6064" s="13"/>
      <c r="Q6064" s="13"/>
      <c r="R6064" s="13"/>
      <c r="S6064" s="13"/>
      <c r="T6064" s="15"/>
      <c r="U6064" s="46" t="str">
        <f t="shared" si="2613"/>
        <v/>
      </c>
      <c r="V6064" s="46" t="str">
        <f t="shared" si="2613"/>
        <v/>
      </c>
      <c r="W6064" s="46" t="str">
        <f t="shared" si="2613"/>
        <v/>
      </c>
      <c r="X6064" s="46" t="str">
        <f t="shared" si="2613"/>
        <v/>
      </c>
    </row>
    <row r="6065" spans="2:26" x14ac:dyDescent="0.25">
      <c r="B6065" s="18"/>
      <c r="C6065" s="18"/>
      <c r="D6065" s="18"/>
      <c r="E6065" s="40"/>
      <c r="F6065" s="18"/>
      <c r="G6065" s="40"/>
      <c r="N6065" s="8" t="str">
        <f>IF(R6065="x",1,"")</f>
        <v/>
      </c>
      <c r="O6065" s="18"/>
      <c r="P6065" s="13"/>
      <c r="Q6065" s="13"/>
      <c r="R6065" s="13"/>
      <c r="S6065" s="13"/>
      <c r="T6065" s="15"/>
      <c r="U6065" s="46" t="str">
        <f t="shared" si="2613"/>
        <v/>
      </c>
      <c r="V6065" s="46" t="str">
        <f t="shared" si="2613"/>
        <v/>
      </c>
      <c r="W6065" s="46" t="str">
        <f t="shared" si="2613"/>
        <v/>
      </c>
      <c r="X6065" s="46" t="str">
        <f t="shared" si="2613"/>
        <v/>
      </c>
    </row>
    <row r="6066" spans="2:26" x14ac:dyDescent="0.25">
      <c r="B6066" s="11" t="str">
        <f>CONCATENATE("SICP","-",LEFT(P6066,2),UPPER(MID(P6066,4,3)),RIGHT(P6066,4))</f>
        <v>SICP-25SEP1903</v>
      </c>
      <c r="C6066" s="11" t="s">
        <v>3472</v>
      </c>
      <c r="D6066" s="11" t="s">
        <v>3007</v>
      </c>
      <c r="E6066" s="39" t="s">
        <v>11375</v>
      </c>
      <c r="F6066" s="11" t="s">
        <v>1700</v>
      </c>
      <c r="G6066" s="39" t="s">
        <v>11376</v>
      </c>
      <c r="H6066" s="7">
        <v>0</v>
      </c>
      <c r="J6066" s="17">
        <v>2</v>
      </c>
      <c r="K6066" s="17"/>
      <c r="L6066" s="7">
        <f>SUM(H6066:K6066)</f>
        <v>2</v>
      </c>
      <c r="M6066" s="8">
        <v>1</v>
      </c>
      <c r="N6066" s="8">
        <f>IF(L6066&gt;0,1,"")</f>
        <v>1</v>
      </c>
      <c r="O6066" s="11" t="s">
        <v>1702</v>
      </c>
      <c r="P6066" s="16" t="str">
        <f>IF(LEN(G6066)=10,CONCATENATE("0",G6066),G6066)</f>
        <v>25-Sep-1903</v>
      </c>
      <c r="R6066" s="16" t="str">
        <f t="shared" ref="R6066:S6068" si="2616">IF($L6066&gt;0,"x","")</f>
        <v>x</v>
      </c>
      <c r="S6066" s="16" t="str">
        <f t="shared" si="2616"/>
        <v>x</v>
      </c>
      <c r="U6066" s="46" t="str">
        <f t="shared" si="2613"/>
        <v/>
      </c>
      <c r="V6066" s="46">
        <f t="shared" si="2613"/>
        <v>2</v>
      </c>
      <c r="W6066" s="46" t="str">
        <f t="shared" si="2613"/>
        <v/>
      </c>
      <c r="X6066" s="46" t="str">
        <f t="shared" si="2613"/>
        <v/>
      </c>
    </row>
    <row r="6067" spans="2:26" x14ac:dyDescent="0.25">
      <c r="B6067" s="11" t="str">
        <f>CONCATENATE("SICP","-",LEFT(P6067,2),UPPER(MID(P6067,4,3)),RIGHT(P6067,4))</f>
        <v>SICP-28NOV1907</v>
      </c>
      <c r="C6067" s="11" t="s">
        <v>3472</v>
      </c>
      <c r="D6067" s="11" t="s">
        <v>847</v>
      </c>
      <c r="E6067" s="39" t="s">
        <v>3473</v>
      </c>
      <c r="F6067" s="11" t="s">
        <v>1700</v>
      </c>
      <c r="G6067" s="39" t="s">
        <v>3454</v>
      </c>
      <c r="H6067" s="7">
        <v>0</v>
      </c>
      <c r="J6067" s="17">
        <v>1</v>
      </c>
      <c r="K6067" s="17"/>
      <c r="L6067" s="7">
        <f>SUM(H6067:K6067)</f>
        <v>1</v>
      </c>
      <c r="M6067" s="8">
        <v>1</v>
      </c>
      <c r="N6067" s="8">
        <f>IF(L6067&gt;0,1,"")</f>
        <v>1</v>
      </c>
      <c r="O6067" s="11" t="s">
        <v>1702</v>
      </c>
      <c r="P6067" s="16" t="str">
        <f>IF(LEN(G6067)=10,CONCATENATE("0",G6067),G6067)</f>
        <v>28-Nov-1907</v>
      </c>
      <c r="R6067" s="16" t="str">
        <f t="shared" si="2616"/>
        <v>x</v>
      </c>
      <c r="S6067" s="16" t="str">
        <f t="shared" si="2616"/>
        <v>x</v>
      </c>
      <c r="U6067" s="46" t="str">
        <f t="shared" ref="U6067:X6068" si="2617">IF($O6067=U$5,$L6067,"")</f>
        <v/>
      </c>
      <c r="V6067" s="46">
        <f t="shared" si="2617"/>
        <v>1</v>
      </c>
      <c r="W6067" s="46" t="str">
        <f t="shared" si="2617"/>
        <v/>
      </c>
      <c r="X6067" s="46" t="str">
        <f t="shared" si="2617"/>
        <v/>
      </c>
    </row>
    <row r="6068" spans="2:26" x14ac:dyDescent="0.25">
      <c r="B6068" s="11" t="str">
        <f>CONCATENATE("SICP","-",LEFT(P6068,2),UPPER(MID(P6068,4,3)),RIGHT(P6068,4))</f>
        <v>SICP-17DEC1909</v>
      </c>
      <c r="C6068" s="11" t="s">
        <v>3472</v>
      </c>
      <c r="D6068" s="11" t="s">
        <v>3462</v>
      </c>
      <c r="E6068" s="39" t="s">
        <v>857</v>
      </c>
      <c r="F6068" s="11" t="s">
        <v>2904</v>
      </c>
      <c r="G6068" s="39" t="s">
        <v>3850</v>
      </c>
      <c r="J6068" s="17">
        <f>19+1</f>
        <v>20</v>
      </c>
      <c r="K6068" s="17"/>
      <c r="L6068" s="7">
        <f>SUM(H6068:K6068)</f>
        <v>20</v>
      </c>
      <c r="M6068" s="8">
        <v>1</v>
      </c>
      <c r="N6068" s="8">
        <f>IF(L6068&gt;0,1,"")</f>
        <v>1</v>
      </c>
      <c r="O6068" s="11" t="s">
        <v>1702</v>
      </c>
      <c r="P6068" s="16" t="str">
        <f>IF(LEN(G6068)=10,CONCATENATE("0",G6068),G6068)</f>
        <v>17-Dec-1909</v>
      </c>
      <c r="R6068" s="16" t="str">
        <f t="shared" si="2616"/>
        <v>x</v>
      </c>
      <c r="S6068" s="16" t="str">
        <f t="shared" si="2616"/>
        <v>x</v>
      </c>
      <c r="U6068" s="46" t="str">
        <f t="shared" si="2617"/>
        <v/>
      </c>
      <c r="V6068" s="46">
        <f t="shared" si="2617"/>
        <v>20</v>
      </c>
      <c r="W6068" s="46" t="str">
        <f t="shared" si="2617"/>
        <v/>
      </c>
      <c r="X6068" s="46" t="str">
        <f t="shared" si="2617"/>
        <v/>
      </c>
      <c r="Z6068" s="11" t="s">
        <v>4555</v>
      </c>
    </row>
    <row r="6069" spans="2:26" x14ac:dyDescent="0.25">
      <c r="N6069" s="8" t="str">
        <f>IF(R6069="x",1,"")</f>
        <v/>
      </c>
      <c r="U6069" s="46" t="str">
        <f t="shared" si="2613"/>
        <v/>
      </c>
      <c r="V6069" s="46" t="str">
        <f t="shared" si="2613"/>
        <v/>
      </c>
      <c r="W6069" s="46" t="str">
        <f t="shared" si="2613"/>
        <v/>
      </c>
      <c r="X6069" s="46" t="str">
        <f t="shared" si="2613"/>
        <v/>
      </c>
    </row>
    <row r="6070" spans="2:26" x14ac:dyDescent="0.25">
      <c r="B6070" s="18"/>
      <c r="C6070" s="18"/>
      <c r="D6070" s="18"/>
      <c r="E6070" s="40"/>
      <c r="F6070" s="18"/>
      <c r="G6070" s="40"/>
      <c r="H6070" s="7">
        <f t="shared" ref="H6070:N6070" si="2618">SUM(H6066:H6069)</f>
        <v>0</v>
      </c>
      <c r="I6070" s="7">
        <f t="shared" si="2618"/>
        <v>0</v>
      </c>
      <c r="J6070" s="7">
        <f>SUM(J6066:J6069)</f>
        <v>23</v>
      </c>
      <c r="K6070" s="7">
        <f t="shared" si="2618"/>
        <v>0</v>
      </c>
      <c r="L6070" s="7">
        <f t="shared" si="2618"/>
        <v>23</v>
      </c>
      <c r="M6070" s="7">
        <f t="shared" si="2618"/>
        <v>3</v>
      </c>
      <c r="N6070" s="7">
        <f t="shared" si="2618"/>
        <v>3</v>
      </c>
      <c r="O6070" s="18"/>
      <c r="P6070" s="13"/>
      <c r="Q6070" s="13"/>
      <c r="S6070" s="13"/>
      <c r="T6070" s="15"/>
      <c r="U6070" s="46" t="str">
        <f t="shared" si="2613"/>
        <v/>
      </c>
      <c r="V6070" s="46" t="str">
        <f t="shared" si="2613"/>
        <v/>
      </c>
      <c r="W6070" s="46" t="str">
        <f t="shared" si="2613"/>
        <v/>
      </c>
      <c r="X6070" s="46" t="str">
        <f t="shared" si="2613"/>
        <v/>
      </c>
    </row>
    <row r="6071" spans="2:26" x14ac:dyDescent="0.25">
      <c r="B6071" s="18"/>
      <c r="C6071" s="18"/>
      <c r="D6071" s="18"/>
      <c r="E6071" s="40"/>
      <c r="F6071" s="18"/>
      <c r="G6071" s="40"/>
      <c r="N6071" s="8" t="str">
        <f>IF(R6071="x",1,"")</f>
        <v/>
      </c>
      <c r="O6071" s="18"/>
      <c r="P6071" s="13"/>
      <c r="Q6071" s="13"/>
      <c r="R6071" s="13"/>
      <c r="S6071" s="13"/>
      <c r="T6071" s="15"/>
      <c r="U6071" s="46" t="str">
        <f t="shared" ref="U6071:X6095" si="2619">IF($O6071=U$5,$L6071,"")</f>
        <v/>
      </c>
      <c r="V6071" s="46" t="str">
        <f t="shared" si="2619"/>
        <v/>
      </c>
      <c r="W6071" s="46" t="str">
        <f t="shared" si="2619"/>
        <v/>
      </c>
      <c r="X6071" s="46" t="str">
        <f t="shared" si="2619"/>
        <v/>
      </c>
    </row>
    <row r="6072" spans="2:26" x14ac:dyDescent="0.25">
      <c r="B6072" s="18"/>
      <c r="C6072" s="18"/>
      <c r="D6072" s="18"/>
      <c r="E6072" s="40"/>
      <c r="F6072" s="18"/>
      <c r="G6072" s="40"/>
      <c r="N6072" s="8" t="str">
        <f>IF(R6072="x",1,"")</f>
        <v/>
      </c>
      <c r="O6072" s="18"/>
      <c r="P6072" s="13"/>
      <c r="Q6072" s="13"/>
      <c r="R6072" s="13"/>
      <c r="S6072" s="13"/>
      <c r="T6072" s="15"/>
      <c r="U6072" s="46" t="str">
        <f t="shared" si="2619"/>
        <v/>
      </c>
      <c r="V6072" s="46" t="str">
        <f t="shared" si="2619"/>
        <v/>
      </c>
      <c r="W6072" s="46" t="str">
        <f t="shared" si="2619"/>
        <v/>
      </c>
      <c r="X6072" s="46" t="str">
        <f t="shared" si="2619"/>
        <v/>
      </c>
    </row>
    <row r="6073" spans="2:26" x14ac:dyDescent="0.25">
      <c r="B6073" s="11" t="str">
        <f t="shared" ref="B6073:B6086" si="2620">CONCATENATE("SINA","-",LEFT(P6073,2),UPPER(MID(P6073,4,3)),RIGHT(P6073,4))</f>
        <v>SINA-28JUN1925</v>
      </c>
      <c r="C6073" s="11" t="s">
        <v>4593</v>
      </c>
      <c r="D6073" s="11" t="s">
        <v>847</v>
      </c>
      <c r="E6073" s="39" t="s">
        <v>11371</v>
      </c>
      <c r="F6073" s="11" t="s">
        <v>1602</v>
      </c>
      <c r="G6073" s="39" t="s">
        <v>11372</v>
      </c>
      <c r="H6073" s="7">
        <v>5</v>
      </c>
      <c r="J6073" s="17">
        <f>1+1</f>
        <v>2</v>
      </c>
      <c r="K6073" s="17"/>
      <c r="L6073" s="7">
        <f t="shared" ref="L6073:L6086" si="2621">SUM(H6073:K6073)</f>
        <v>7</v>
      </c>
      <c r="M6073" s="8">
        <v>1</v>
      </c>
      <c r="N6073" s="8">
        <f t="shared" ref="N6073:N6086" si="2622">IF(L6073&gt;0,1,"")</f>
        <v>1</v>
      </c>
      <c r="O6073" s="11" t="s">
        <v>1702</v>
      </c>
      <c r="P6073" s="16" t="str">
        <f t="shared" ref="P6073:P6086" si="2623">IF(LEN(G6073)=10,CONCATENATE("0",G6073),G6073)</f>
        <v>28-Jun-1925</v>
      </c>
      <c r="R6073" s="16" t="str">
        <f>IF($L6073&gt;0,"x","")</f>
        <v>x</v>
      </c>
      <c r="S6073" s="16" t="str">
        <f>IF($L6073&gt;0,"x","")</f>
        <v>x</v>
      </c>
      <c r="U6073" s="46" t="str">
        <f t="shared" si="2619"/>
        <v/>
      </c>
      <c r="V6073" s="46">
        <f t="shared" si="2619"/>
        <v>7</v>
      </c>
      <c r="W6073" s="46" t="str">
        <f t="shared" si="2619"/>
        <v/>
      </c>
      <c r="X6073" s="46" t="str">
        <f t="shared" si="2619"/>
        <v/>
      </c>
    </row>
    <row r="6074" spans="2:26" x14ac:dyDescent="0.25">
      <c r="B6074" s="11" t="str">
        <f>CONCATENATE("SINA","-",LEFT(P6074,2),UPPER(MID(P6074,4,3)),RIGHT(P6074,4))</f>
        <v>SINA-01OCT1925</v>
      </c>
      <c r="C6074" s="11" t="s">
        <v>4593</v>
      </c>
      <c r="D6074" s="11" t="s">
        <v>3056</v>
      </c>
      <c r="E6074" s="39" t="s">
        <v>4594</v>
      </c>
      <c r="F6074" s="11" t="s">
        <v>1602</v>
      </c>
      <c r="G6074" s="39" t="s">
        <v>4595</v>
      </c>
      <c r="H6074" s="7">
        <v>3</v>
      </c>
      <c r="J6074" s="17">
        <f>2+1</f>
        <v>3</v>
      </c>
      <c r="K6074" s="17"/>
      <c r="L6074" s="7">
        <f>SUM(H6074:K6074)</f>
        <v>6</v>
      </c>
      <c r="M6074" s="8">
        <v>1</v>
      </c>
      <c r="N6074" s="8">
        <f>IF(L6074&gt;0,1,"")</f>
        <v>1</v>
      </c>
      <c r="O6074" s="11" t="s">
        <v>1702</v>
      </c>
      <c r="P6074" s="16" t="str">
        <f>IF(LEN(G6074)=10,CONCATENATE("0",G6074),G6074)</f>
        <v>01-Oct-1925</v>
      </c>
      <c r="R6074" s="16" t="str">
        <f t="shared" ref="R6074:S6090" si="2624">IF($L6074&gt;0,"x","")</f>
        <v>x</v>
      </c>
      <c r="S6074" s="16" t="str">
        <f t="shared" si="2624"/>
        <v>x</v>
      </c>
      <c r="U6074" s="46" t="str">
        <f t="shared" si="2619"/>
        <v/>
      </c>
      <c r="V6074" s="46">
        <f t="shared" si="2619"/>
        <v>6</v>
      </c>
      <c r="W6074" s="46" t="str">
        <f t="shared" si="2619"/>
        <v/>
      </c>
      <c r="X6074" s="46" t="str">
        <f t="shared" si="2619"/>
        <v/>
      </c>
    </row>
    <row r="6075" spans="2:26" x14ac:dyDescent="0.25">
      <c r="B6075" s="11" t="str">
        <f>CONCATENATE("SINA","-",LEFT(P6075,2),UPPER(MID(P6075,4,3)),RIGHT(P6075,4))</f>
        <v>SINA-05APR1926</v>
      </c>
      <c r="C6075" s="11" t="s">
        <v>4593</v>
      </c>
      <c r="D6075" s="11" t="s">
        <v>3056</v>
      </c>
      <c r="E6075" s="39" t="s">
        <v>6092</v>
      </c>
      <c r="F6075" s="11" t="s">
        <v>1602</v>
      </c>
      <c r="G6075" s="39" t="s">
        <v>6093</v>
      </c>
      <c r="H6075" s="7">
        <v>1</v>
      </c>
      <c r="J6075" s="17">
        <f>6+3</f>
        <v>9</v>
      </c>
      <c r="K6075" s="17"/>
      <c r="L6075" s="7">
        <f>SUM(H6075:K6075)</f>
        <v>10</v>
      </c>
      <c r="M6075" s="8">
        <v>1</v>
      </c>
      <c r="N6075" s="8">
        <f>IF(L6075&gt;0,1,"")</f>
        <v>1</v>
      </c>
      <c r="O6075" s="11" t="s">
        <v>1702</v>
      </c>
      <c r="P6075" s="16" t="str">
        <f>IF(LEN(G6075)=10,CONCATENATE("0",G6075),G6075)</f>
        <v>05-Apr-1926</v>
      </c>
      <c r="R6075" s="16" t="str">
        <f t="shared" si="2624"/>
        <v>x</v>
      </c>
      <c r="S6075" s="16" t="str">
        <f t="shared" si="2624"/>
        <v>x</v>
      </c>
      <c r="U6075" s="46" t="str">
        <f t="shared" si="2619"/>
        <v/>
      </c>
      <c r="V6075" s="46">
        <f t="shared" si="2619"/>
        <v>10</v>
      </c>
      <c r="W6075" s="46" t="str">
        <f t="shared" si="2619"/>
        <v/>
      </c>
      <c r="X6075" s="46" t="str">
        <f t="shared" si="2619"/>
        <v/>
      </c>
    </row>
    <row r="6076" spans="2:26" x14ac:dyDescent="0.25">
      <c r="B6076" s="11" t="str">
        <f>CONCATENATE("SINA","-",LEFT(P6076,2),UPPER(MID(P6076,4,3)),RIGHT(P6076,4))</f>
        <v>SINA-05APR1926</v>
      </c>
      <c r="C6076" s="11" t="s">
        <v>4593</v>
      </c>
      <c r="D6076" s="11" t="s">
        <v>2808</v>
      </c>
      <c r="E6076" s="39" t="s">
        <v>6094</v>
      </c>
      <c r="F6076" s="11" t="s">
        <v>1602</v>
      </c>
      <c r="G6076" s="39" t="s">
        <v>6093</v>
      </c>
      <c r="H6076" s="7">
        <v>1</v>
      </c>
      <c r="J6076" s="17">
        <v>1</v>
      </c>
      <c r="K6076" s="17"/>
      <c r="L6076" s="7">
        <f>SUM(H6076:K6076)</f>
        <v>2</v>
      </c>
      <c r="M6076" s="8">
        <v>1</v>
      </c>
      <c r="N6076" s="8">
        <f>IF(L6076&gt;0,1,"")</f>
        <v>1</v>
      </c>
      <c r="O6076" s="11" t="s">
        <v>1702</v>
      </c>
      <c r="P6076" s="16" t="str">
        <f>IF(LEN(G6076)=10,CONCATENATE("0",G6076),G6076)</f>
        <v>05-Apr-1926</v>
      </c>
      <c r="R6076" s="16" t="str">
        <f t="shared" si="2624"/>
        <v>x</v>
      </c>
      <c r="S6076" s="16" t="str">
        <f t="shared" si="2624"/>
        <v>x</v>
      </c>
      <c r="U6076" s="46" t="str">
        <f t="shared" si="2619"/>
        <v/>
      </c>
      <c r="V6076" s="46">
        <f t="shared" si="2619"/>
        <v>2</v>
      </c>
      <c r="W6076" s="46" t="str">
        <f t="shared" si="2619"/>
        <v/>
      </c>
      <c r="X6076" s="46" t="str">
        <f t="shared" si="2619"/>
        <v/>
      </c>
    </row>
    <row r="6077" spans="2:26" x14ac:dyDescent="0.25">
      <c r="B6077" s="11" t="str">
        <f>CONCATENATE("SINA","-",LEFT(P6077,2),UPPER(MID(P6077,4,3)),RIGHT(P6077,4))</f>
        <v>SINA-04OCT1926</v>
      </c>
      <c r="C6077" s="11" t="s">
        <v>4593</v>
      </c>
      <c r="D6077" s="11" t="s">
        <v>870</v>
      </c>
      <c r="E6077" s="39" t="s">
        <v>6250</v>
      </c>
      <c r="F6077" s="11" t="s">
        <v>1602</v>
      </c>
      <c r="G6077" s="39" t="s">
        <v>6249</v>
      </c>
      <c r="H6077" s="7">
        <v>0</v>
      </c>
      <c r="J6077" s="17">
        <v>0</v>
      </c>
      <c r="K6077" s="17"/>
      <c r="L6077" s="7">
        <f>SUM(H6077:K6077)</f>
        <v>0</v>
      </c>
      <c r="M6077" s="8">
        <v>1</v>
      </c>
      <c r="N6077" s="8" t="str">
        <f>IF(L6077&gt;0,1,"")</f>
        <v/>
      </c>
      <c r="O6077" s="11" t="s">
        <v>1702</v>
      </c>
      <c r="P6077" s="16" t="str">
        <f>IF(LEN(G6077)=10,CONCATENATE("0",G6077),G6077)</f>
        <v>04-Oct-1926</v>
      </c>
      <c r="R6077" s="16" t="str">
        <f t="shared" si="2624"/>
        <v/>
      </c>
      <c r="S6077" s="16" t="str">
        <f t="shared" si="2624"/>
        <v/>
      </c>
      <c r="U6077" s="46" t="str">
        <f t="shared" si="2619"/>
        <v/>
      </c>
      <c r="V6077" s="46">
        <f t="shared" si="2619"/>
        <v>0</v>
      </c>
      <c r="W6077" s="46" t="str">
        <f t="shared" si="2619"/>
        <v/>
      </c>
      <c r="X6077" s="46" t="str">
        <f t="shared" si="2619"/>
        <v/>
      </c>
    </row>
    <row r="6078" spans="2:26" x14ac:dyDescent="0.25">
      <c r="B6078" s="11" t="str">
        <f>CONCATENATE("SINA","-",LEFT(P6078,2),UPPER(MID(P6078,4,3)),RIGHT(P6078,4))</f>
        <v>SINA-04OCT1926</v>
      </c>
      <c r="C6078" s="11" t="s">
        <v>4593</v>
      </c>
      <c r="D6078" s="11" t="s">
        <v>3056</v>
      </c>
      <c r="E6078" s="39" t="s">
        <v>6248</v>
      </c>
      <c r="F6078" s="11" t="s">
        <v>1602</v>
      </c>
      <c r="G6078" s="39" t="s">
        <v>6249</v>
      </c>
      <c r="H6078" s="7">
        <v>0</v>
      </c>
      <c r="J6078" s="17">
        <v>4</v>
      </c>
      <c r="K6078" s="17"/>
      <c r="L6078" s="7">
        <f>SUM(H6078:K6078)</f>
        <v>4</v>
      </c>
      <c r="M6078" s="8">
        <v>1</v>
      </c>
      <c r="N6078" s="8">
        <f>IF(L6078&gt;0,1,"")</f>
        <v>1</v>
      </c>
      <c r="O6078" s="11" t="s">
        <v>1702</v>
      </c>
      <c r="P6078" s="16" t="str">
        <f>IF(LEN(G6078)=10,CONCATENATE("0",G6078),G6078)</f>
        <v>04-Oct-1926</v>
      </c>
      <c r="R6078" s="16" t="str">
        <f t="shared" si="2624"/>
        <v>x</v>
      </c>
      <c r="S6078" s="16" t="str">
        <f t="shared" si="2624"/>
        <v>x</v>
      </c>
      <c r="U6078" s="46" t="str">
        <f t="shared" si="2619"/>
        <v/>
      </c>
      <c r="V6078" s="46">
        <f t="shared" si="2619"/>
        <v>4</v>
      </c>
      <c r="W6078" s="46" t="str">
        <f t="shared" si="2619"/>
        <v/>
      </c>
      <c r="X6078" s="46" t="str">
        <f t="shared" si="2619"/>
        <v/>
      </c>
    </row>
    <row r="6079" spans="2:26" x14ac:dyDescent="0.25">
      <c r="B6079" s="11" t="str">
        <f t="shared" si="2620"/>
        <v>SINA-31DEC1926</v>
      </c>
      <c r="C6079" s="11" t="s">
        <v>4593</v>
      </c>
      <c r="D6079" s="11" t="s">
        <v>3395</v>
      </c>
      <c r="E6079" s="39" t="s">
        <v>4619</v>
      </c>
      <c r="F6079" s="11" t="s">
        <v>1602</v>
      </c>
      <c r="G6079" s="39" t="s">
        <v>4618</v>
      </c>
      <c r="H6079" s="7">
        <v>4</v>
      </c>
      <c r="J6079" s="17">
        <v>0</v>
      </c>
      <c r="K6079" s="17"/>
      <c r="L6079" s="7">
        <f t="shared" si="2621"/>
        <v>4</v>
      </c>
      <c r="M6079" s="8">
        <v>1</v>
      </c>
      <c r="N6079" s="8">
        <f t="shared" si="2622"/>
        <v>1</v>
      </c>
      <c r="O6079" s="11" t="s">
        <v>1702</v>
      </c>
      <c r="P6079" s="16" t="str">
        <f t="shared" si="2623"/>
        <v>31-Dec-1926</v>
      </c>
      <c r="R6079" s="16" t="str">
        <f t="shared" si="2624"/>
        <v>x</v>
      </c>
      <c r="S6079" s="16" t="str">
        <f t="shared" si="2624"/>
        <v>x</v>
      </c>
      <c r="U6079" s="46" t="str">
        <f t="shared" si="2619"/>
        <v/>
      </c>
      <c r="V6079" s="46">
        <f t="shared" si="2619"/>
        <v>4</v>
      </c>
      <c r="W6079" s="46" t="str">
        <f t="shared" si="2619"/>
        <v/>
      </c>
      <c r="X6079" s="46" t="str">
        <f t="shared" si="2619"/>
        <v/>
      </c>
    </row>
    <row r="6080" spans="2:26" x14ac:dyDescent="0.25">
      <c r="B6080" s="11" t="str">
        <f t="shared" si="2620"/>
        <v>SINA-31DEC1926</v>
      </c>
      <c r="C6080" s="11" t="s">
        <v>4593</v>
      </c>
      <c r="D6080" s="11" t="s">
        <v>3056</v>
      </c>
      <c r="E6080" s="39" t="s">
        <v>4620</v>
      </c>
      <c r="F6080" s="11" t="s">
        <v>1602</v>
      </c>
      <c r="G6080" s="39" t="s">
        <v>4618</v>
      </c>
      <c r="H6080" s="7">
        <v>1</v>
      </c>
      <c r="J6080" s="17">
        <f>8+2</f>
        <v>10</v>
      </c>
      <c r="K6080" s="17"/>
      <c r="L6080" s="7">
        <f t="shared" si="2621"/>
        <v>11</v>
      </c>
      <c r="M6080" s="8">
        <v>1</v>
      </c>
      <c r="N6080" s="8">
        <f t="shared" si="2622"/>
        <v>1</v>
      </c>
      <c r="O6080" s="11" t="s">
        <v>1702</v>
      </c>
      <c r="P6080" s="16" t="str">
        <f t="shared" si="2623"/>
        <v>31-Dec-1926</v>
      </c>
      <c r="R6080" s="16" t="str">
        <f t="shared" si="2624"/>
        <v>x</v>
      </c>
      <c r="S6080" s="16" t="str">
        <f t="shared" si="2624"/>
        <v>x</v>
      </c>
      <c r="U6080" s="46" t="str">
        <f t="shared" si="2619"/>
        <v/>
      </c>
      <c r="V6080" s="46">
        <f t="shared" si="2619"/>
        <v>11</v>
      </c>
      <c r="W6080" s="46" t="str">
        <f t="shared" si="2619"/>
        <v/>
      </c>
      <c r="X6080" s="46" t="str">
        <f t="shared" si="2619"/>
        <v/>
      </c>
    </row>
    <row r="6081" spans="2:24" x14ac:dyDescent="0.25">
      <c r="B6081" s="11" t="str">
        <f t="shared" si="2620"/>
        <v>SINA-31DEC1926</v>
      </c>
      <c r="C6081" s="11" t="s">
        <v>4593</v>
      </c>
      <c r="D6081" s="11" t="s">
        <v>2808</v>
      </c>
      <c r="E6081" s="39" t="s">
        <v>4617</v>
      </c>
      <c r="F6081" s="11" t="s">
        <v>1602</v>
      </c>
      <c r="G6081" s="39" t="s">
        <v>4618</v>
      </c>
      <c r="H6081" s="7">
        <v>0</v>
      </c>
      <c r="J6081" s="17">
        <v>4</v>
      </c>
      <c r="K6081" s="17"/>
      <c r="L6081" s="7">
        <f t="shared" si="2621"/>
        <v>4</v>
      </c>
      <c r="M6081" s="8">
        <v>1</v>
      </c>
      <c r="N6081" s="8">
        <f t="shared" si="2622"/>
        <v>1</v>
      </c>
      <c r="O6081" s="11" t="s">
        <v>1702</v>
      </c>
      <c r="P6081" s="16" t="str">
        <f t="shared" si="2623"/>
        <v>31-Dec-1926</v>
      </c>
      <c r="R6081" s="16" t="str">
        <f t="shared" si="2624"/>
        <v>x</v>
      </c>
      <c r="S6081" s="16" t="str">
        <f t="shared" si="2624"/>
        <v>x</v>
      </c>
      <c r="U6081" s="46" t="str">
        <f t="shared" si="2619"/>
        <v/>
      </c>
      <c r="V6081" s="46">
        <f t="shared" si="2619"/>
        <v>4</v>
      </c>
      <c r="W6081" s="46" t="str">
        <f t="shared" si="2619"/>
        <v/>
      </c>
      <c r="X6081" s="46" t="str">
        <f t="shared" si="2619"/>
        <v/>
      </c>
    </row>
    <row r="6082" spans="2:24" x14ac:dyDescent="0.25">
      <c r="B6082" s="11" t="str">
        <f t="shared" si="2620"/>
        <v>SINA-31DEC1926</v>
      </c>
      <c r="C6082" s="11" t="s">
        <v>4593</v>
      </c>
      <c r="D6082" s="11" t="s">
        <v>847</v>
      </c>
      <c r="E6082" s="39" t="s">
        <v>4621</v>
      </c>
      <c r="F6082" s="11" t="s">
        <v>1602</v>
      </c>
      <c r="G6082" s="39" t="s">
        <v>4618</v>
      </c>
      <c r="H6082" s="7">
        <v>0</v>
      </c>
      <c r="J6082" s="17">
        <v>1</v>
      </c>
      <c r="K6082" s="17"/>
      <c r="L6082" s="7">
        <f t="shared" si="2621"/>
        <v>1</v>
      </c>
      <c r="M6082" s="8">
        <v>1</v>
      </c>
      <c r="N6082" s="8">
        <f t="shared" si="2622"/>
        <v>1</v>
      </c>
      <c r="O6082" s="11" t="s">
        <v>1702</v>
      </c>
      <c r="P6082" s="16" t="str">
        <f t="shared" si="2623"/>
        <v>31-Dec-1926</v>
      </c>
      <c r="R6082" s="16" t="str">
        <f t="shared" si="2624"/>
        <v>x</v>
      </c>
      <c r="S6082" s="16" t="str">
        <f t="shared" si="2624"/>
        <v>x</v>
      </c>
      <c r="U6082" s="46" t="str">
        <f t="shared" si="2619"/>
        <v/>
      </c>
      <c r="V6082" s="46">
        <f t="shared" si="2619"/>
        <v>1</v>
      </c>
      <c r="W6082" s="46" t="str">
        <f t="shared" si="2619"/>
        <v/>
      </c>
      <c r="X6082" s="46" t="str">
        <f t="shared" si="2619"/>
        <v/>
      </c>
    </row>
    <row r="6083" spans="2:24" x14ac:dyDescent="0.25">
      <c r="B6083" s="11" t="str">
        <f t="shared" si="2620"/>
        <v>SINA-03NOV1927</v>
      </c>
      <c r="C6083" s="11" t="s">
        <v>4593</v>
      </c>
      <c r="D6083" s="11" t="s">
        <v>3395</v>
      </c>
      <c r="E6083" s="39" t="s">
        <v>5584</v>
      </c>
      <c r="F6083" s="11" t="s">
        <v>1602</v>
      </c>
      <c r="G6083" s="39" t="s">
        <v>5581</v>
      </c>
      <c r="H6083" s="7">
        <v>0</v>
      </c>
      <c r="J6083" s="17">
        <v>1</v>
      </c>
      <c r="K6083" s="17"/>
      <c r="L6083" s="7">
        <f t="shared" si="2621"/>
        <v>1</v>
      </c>
      <c r="M6083" s="8">
        <v>1</v>
      </c>
      <c r="N6083" s="8">
        <f t="shared" si="2622"/>
        <v>1</v>
      </c>
      <c r="O6083" s="11" t="s">
        <v>1702</v>
      </c>
      <c r="P6083" s="16" t="str">
        <f t="shared" si="2623"/>
        <v>03-Nov-1927</v>
      </c>
      <c r="R6083" s="16" t="str">
        <f t="shared" si="2624"/>
        <v>x</v>
      </c>
      <c r="S6083" s="16" t="str">
        <f t="shared" si="2624"/>
        <v>x</v>
      </c>
      <c r="U6083" s="46" t="str">
        <f t="shared" si="2619"/>
        <v/>
      </c>
      <c r="V6083" s="46">
        <f t="shared" si="2619"/>
        <v>1</v>
      </c>
      <c r="W6083" s="46" t="str">
        <f t="shared" si="2619"/>
        <v/>
      </c>
      <c r="X6083" s="46" t="str">
        <f t="shared" si="2619"/>
        <v/>
      </c>
    </row>
    <row r="6084" spans="2:24" x14ac:dyDescent="0.25">
      <c r="B6084" s="11" t="str">
        <f t="shared" si="2620"/>
        <v>SINA-03NOV1927</v>
      </c>
      <c r="C6084" s="11" t="s">
        <v>4593</v>
      </c>
      <c r="D6084" s="11" t="s">
        <v>3056</v>
      </c>
      <c r="E6084" s="39" t="s">
        <v>5537</v>
      </c>
      <c r="F6084" s="11" t="s">
        <v>1602</v>
      </c>
      <c r="G6084" s="39" t="s">
        <v>5581</v>
      </c>
      <c r="H6084" s="7">
        <v>3</v>
      </c>
      <c r="J6084" s="17">
        <v>4</v>
      </c>
      <c r="K6084" s="17"/>
      <c r="L6084" s="7">
        <f t="shared" si="2621"/>
        <v>7</v>
      </c>
      <c r="M6084" s="8">
        <v>1</v>
      </c>
      <c r="N6084" s="8">
        <f t="shared" si="2622"/>
        <v>1</v>
      </c>
      <c r="O6084" s="11" t="s">
        <v>1702</v>
      </c>
      <c r="P6084" s="16" t="str">
        <f t="shared" si="2623"/>
        <v>03-Nov-1927</v>
      </c>
      <c r="R6084" s="16" t="str">
        <f t="shared" si="2624"/>
        <v>x</v>
      </c>
      <c r="S6084" s="16" t="str">
        <f t="shared" si="2624"/>
        <v>x</v>
      </c>
      <c r="U6084" s="46" t="str">
        <f t="shared" si="2619"/>
        <v/>
      </c>
      <c r="V6084" s="46">
        <f t="shared" si="2619"/>
        <v>7</v>
      </c>
      <c r="W6084" s="46" t="str">
        <f t="shared" si="2619"/>
        <v/>
      </c>
      <c r="X6084" s="46" t="str">
        <f t="shared" si="2619"/>
        <v/>
      </c>
    </row>
    <row r="6085" spans="2:24" x14ac:dyDescent="0.25">
      <c r="B6085" s="11" t="str">
        <f t="shared" si="2620"/>
        <v>SINA-03NOV1927</v>
      </c>
      <c r="C6085" s="11" t="s">
        <v>4593</v>
      </c>
      <c r="D6085" s="11" t="s">
        <v>2808</v>
      </c>
      <c r="E6085" s="39" t="s">
        <v>5582</v>
      </c>
      <c r="F6085" s="11" t="s">
        <v>1602</v>
      </c>
      <c r="G6085" s="39" t="s">
        <v>5581</v>
      </c>
      <c r="H6085" s="7">
        <v>0</v>
      </c>
      <c r="J6085" s="17">
        <v>15</v>
      </c>
      <c r="K6085" s="17"/>
      <c r="L6085" s="7">
        <f t="shared" si="2621"/>
        <v>15</v>
      </c>
      <c r="M6085" s="8">
        <v>1</v>
      </c>
      <c r="N6085" s="8">
        <f t="shared" si="2622"/>
        <v>1</v>
      </c>
      <c r="O6085" s="11" t="s">
        <v>1702</v>
      </c>
      <c r="P6085" s="16" t="str">
        <f t="shared" si="2623"/>
        <v>03-Nov-1927</v>
      </c>
      <c r="R6085" s="16" t="str">
        <f t="shared" si="2624"/>
        <v>x</v>
      </c>
      <c r="S6085" s="16" t="str">
        <f t="shared" si="2624"/>
        <v>x</v>
      </c>
      <c r="U6085" s="46" t="str">
        <f t="shared" si="2619"/>
        <v/>
      </c>
      <c r="V6085" s="46">
        <f t="shared" si="2619"/>
        <v>15</v>
      </c>
      <c r="W6085" s="46" t="str">
        <f t="shared" si="2619"/>
        <v/>
      </c>
      <c r="X6085" s="46" t="str">
        <f t="shared" si="2619"/>
        <v/>
      </c>
    </row>
    <row r="6086" spans="2:24" x14ac:dyDescent="0.25">
      <c r="B6086" s="11" t="str">
        <f t="shared" si="2620"/>
        <v>SINA-03NOV1927</v>
      </c>
      <c r="C6086" s="11" t="s">
        <v>4593</v>
      </c>
      <c r="D6086" s="11" t="s">
        <v>847</v>
      </c>
      <c r="E6086" s="39" t="s">
        <v>5583</v>
      </c>
      <c r="F6086" s="11" t="s">
        <v>1602</v>
      </c>
      <c r="G6086" s="39" t="s">
        <v>5581</v>
      </c>
      <c r="H6086" s="7">
        <v>2</v>
      </c>
      <c r="J6086" s="17">
        <v>1</v>
      </c>
      <c r="K6086" s="17"/>
      <c r="L6086" s="7">
        <f t="shared" si="2621"/>
        <v>3</v>
      </c>
      <c r="M6086" s="8">
        <v>1</v>
      </c>
      <c r="N6086" s="8">
        <f t="shared" si="2622"/>
        <v>1</v>
      </c>
      <c r="O6086" s="11" t="s">
        <v>1702</v>
      </c>
      <c r="P6086" s="16" t="str">
        <f t="shared" si="2623"/>
        <v>03-Nov-1927</v>
      </c>
      <c r="R6086" s="16" t="str">
        <f t="shared" si="2624"/>
        <v>x</v>
      </c>
      <c r="S6086" s="16" t="str">
        <f t="shared" si="2624"/>
        <v>x</v>
      </c>
      <c r="U6086" s="46" t="str">
        <f t="shared" si="2619"/>
        <v/>
      </c>
      <c r="V6086" s="46">
        <f t="shared" si="2619"/>
        <v>3</v>
      </c>
      <c r="W6086" s="46" t="str">
        <f t="shared" si="2619"/>
        <v/>
      </c>
      <c r="X6086" s="46" t="str">
        <f t="shared" si="2619"/>
        <v/>
      </c>
    </row>
    <row r="6087" spans="2:24" x14ac:dyDescent="0.25">
      <c r="B6087" s="11" t="str">
        <f>CONCATENATE("SINA","-",LEFT(P6087,2),UPPER(MID(P6087,4,3)),RIGHT(P6087,4))</f>
        <v>SINA-11DEC1928</v>
      </c>
      <c r="C6087" s="11" t="s">
        <v>4593</v>
      </c>
      <c r="D6087" s="11" t="s">
        <v>3056</v>
      </c>
      <c r="E6087" s="39" t="s">
        <v>6331</v>
      </c>
      <c r="F6087" s="11" t="s">
        <v>1602</v>
      </c>
      <c r="G6087" s="39" t="s">
        <v>6330</v>
      </c>
      <c r="H6087" s="7">
        <v>3</v>
      </c>
      <c r="J6087" s="17">
        <v>6</v>
      </c>
      <c r="K6087" s="17"/>
      <c r="L6087" s="7">
        <f>SUM(H6087:K6087)</f>
        <v>9</v>
      </c>
      <c r="M6087" s="8">
        <v>1</v>
      </c>
      <c r="N6087" s="8">
        <f>IF(L6087&gt;0,1,"")</f>
        <v>1</v>
      </c>
      <c r="O6087" s="11" t="s">
        <v>1702</v>
      </c>
      <c r="P6087" s="16" t="str">
        <f>IF(LEN(G6087)=10,CONCATENATE("0",G6087),G6087)</f>
        <v>11-Dec-1928</v>
      </c>
      <c r="R6087" s="16" t="str">
        <f t="shared" si="2624"/>
        <v>x</v>
      </c>
      <c r="S6087" s="16" t="str">
        <f t="shared" si="2624"/>
        <v>x</v>
      </c>
      <c r="U6087" s="46" t="str">
        <f t="shared" si="2619"/>
        <v/>
      </c>
      <c r="V6087" s="46">
        <f t="shared" si="2619"/>
        <v>9</v>
      </c>
      <c r="W6087" s="46" t="str">
        <f t="shared" si="2619"/>
        <v/>
      </c>
      <c r="X6087" s="46" t="str">
        <f t="shared" si="2619"/>
        <v/>
      </c>
    </row>
    <row r="6088" spans="2:24" x14ac:dyDescent="0.25">
      <c r="B6088" s="11" t="str">
        <f>CONCATENATE("SINA","-",LEFT(P6088,2),UPPER(MID(P6088,4,3)),RIGHT(P6088,4))</f>
        <v>SINA-07JUL1929</v>
      </c>
      <c r="C6088" s="11" t="s">
        <v>4593</v>
      </c>
      <c r="D6088" s="11" t="s">
        <v>2808</v>
      </c>
      <c r="E6088" s="39" t="s">
        <v>11152</v>
      </c>
      <c r="F6088" s="11" t="s">
        <v>1602</v>
      </c>
      <c r="G6088" s="39" t="s">
        <v>11151</v>
      </c>
      <c r="H6088" s="7">
        <v>4</v>
      </c>
      <c r="J6088" s="17">
        <v>2</v>
      </c>
      <c r="K6088" s="17"/>
      <c r="L6088" s="7">
        <f>SUM(H6088:K6088)</f>
        <v>6</v>
      </c>
      <c r="M6088" s="8">
        <v>1</v>
      </c>
      <c r="N6088" s="8">
        <f>IF(L6088&gt;0,1,"")</f>
        <v>1</v>
      </c>
      <c r="O6088" s="11" t="s">
        <v>1702</v>
      </c>
      <c r="P6088" s="16" t="str">
        <f>IF(LEN(G6088)=10,CONCATENATE("0",G6088),G6088)</f>
        <v>07-Jul-1929</v>
      </c>
      <c r="R6088" s="16" t="str">
        <f t="shared" si="2624"/>
        <v>x</v>
      </c>
      <c r="S6088" s="16" t="str">
        <f t="shared" si="2624"/>
        <v>x</v>
      </c>
      <c r="U6088" s="46" t="str">
        <f t="shared" si="2619"/>
        <v/>
      </c>
      <c r="V6088" s="46">
        <f t="shared" si="2619"/>
        <v>6</v>
      </c>
      <c r="W6088" s="46" t="str">
        <f t="shared" si="2619"/>
        <v/>
      </c>
      <c r="X6088" s="46" t="str">
        <f t="shared" si="2619"/>
        <v/>
      </c>
    </row>
    <row r="6089" spans="2:24" x14ac:dyDescent="0.25">
      <c r="B6089" s="11" t="str">
        <f>CONCATENATE("SINA","-",LEFT(P6089,2),UPPER(MID(P6089,4,3)),RIGHT(P6089,4))</f>
        <v>SINA-25MAY1932</v>
      </c>
      <c r="C6089" s="11" t="s">
        <v>4593</v>
      </c>
      <c r="D6089" s="11" t="s">
        <v>3056</v>
      </c>
      <c r="E6089" s="39" t="s">
        <v>11207</v>
      </c>
      <c r="F6089" s="11" t="s">
        <v>1602</v>
      </c>
      <c r="G6089" s="39" t="s">
        <v>11265</v>
      </c>
      <c r="H6089" s="7">
        <v>1</v>
      </c>
      <c r="J6089" s="17">
        <v>2</v>
      </c>
      <c r="K6089" s="17"/>
      <c r="L6089" s="7">
        <f>SUM(H6089:K6089)</f>
        <v>3</v>
      </c>
      <c r="M6089" s="8">
        <v>1</v>
      </c>
      <c r="N6089" s="8">
        <f>IF(L6089&gt;0,1,"")</f>
        <v>1</v>
      </c>
      <c r="O6089" s="11" t="s">
        <v>1702</v>
      </c>
      <c r="P6089" s="16" t="str">
        <f>IF(LEN(G6089)=10,CONCATENATE("0",G6089),G6089)</f>
        <v>25-May-1932</v>
      </c>
      <c r="R6089" s="16" t="str">
        <f t="shared" si="2624"/>
        <v>x</v>
      </c>
      <c r="S6089" s="16" t="str">
        <f t="shared" si="2624"/>
        <v>x</v>
      </c>
      <c r="U6089" s="46" t="str">
        <f t="shared" si="2619"/>
        <v/>
      </c>
      <c r="V6089" s="46">
        <f t="shared" si="2619"/>
        <v>3</v>
      </c>
      <c r="W6089" s="46" t="str">
        <f t="shared" si="2619"/>
        <v/>
      </c>
      <c r="X6089" s="46" t="str">
        <f t="shared" si="2619"/>
        <v/>
      </c>
    </row>
    <row r="6090" spans="2:24" x14ac:dyDescent="0.25">
      <c r="B6090" s="11" t="str">
        <f>CONCATENATE("SINA","-",LEFT(P6090,2),UPPER(MID(P6090,4,3)),RIGHT(P6090,4))</f>
        <v>SINA-26MAY1932</v>
      </c>
      <c r="C6090" s="11" t="s">
        <v>4593</v>
      </c>
      <c r="D6090" s="11" t="s">
        <v>3056</v>
      </c>
      <c r="E6090" s="39" t="s">
        <v>11207</v>
      </c>
      <c r="F6090" s="11" t="s">
        <v>1700</v>
      </c>
      <c r="G6090" s="39" t="s">
        <v>11206</v>
      </c>
      <c r="J6090" s="17">
        <v>1</v>
      </c>
      <c r="K6090" s="17"/>
      <c r="L6090" s="7">
        <f>SUM(H6090:K6090)</f>
        <v>1</v>
      </c>
      <c r="M6090" s="8">
        <v>1</v>
      </c>
      <c r="N6090" s="8">
        <f>IF(L6090&gt;0,1,"")</f>
        <v>1</v>
      </c>
      <c r="O6090" s="11" t="s">
        <v>1702</v>
      </c>
      <c r="P6090" s="16" t="str">
        <f>IF(LEN(G6090)=10,CONCATENATE("0",G6090),G6090)</f>
        <v>26-May-1932</v>
      </c>
      <c r="R6090" s="16" t="str">
        <f t="shared" si="2624"/>
        <v>x</v>
      </c>
      <c r="S6090" s="16" t="str">
        <f t="shared" si="2624"/>
        <v>x</v>
      </c>
      <c r="U6090" s="46" t="str">
        <f t="shared" si="2619"/>
        <v/>
      </c>
      <c r="V6090" s="46">
        <f t="shared" si="2619"/>
        <v>1</v>
      </c>
      <c r="W6090" s="46" t="str">
        <f t="shared" si="2619"/>
        <v/>
      </c>
      <c r="X6090" s="46" t="str">
        <f t="shared" si="2619"/>
        <v/>
      </c>
    </row>
    <row r="6091" spans="2:24" x14ac:dyDescent="0.25">
      <c r="N6091" s="8" t="str">
        <f>IF(R6091="x",1,"")</f>
        <v/>
      </c>
      <c r="U6091" s="46" t="str">
        <f t="shared" si="2619"/>
        <v/>
      </c>
      <c r="V6091" s="46" t="str">
        <f t="shared" si="2619"/>
        <v/>
      </c>
      <c r="W6091" s="46" t="str">
        <f t="shared" si="2619"/>
        <v/>
      </c>
      <c r="X6091" s="46" t="str">
        <f t="shared" si="2619"/>
        <v/>
      </c>
    </row>
    <row r="6092" spans="2:24" x14ac:dyDescent="0.25">
      <c r="B6092" s="18"/>
      <c r="C6092" s="18"/>
      <c r="D6092" s="18"/>
      <c r="E6092" s="40"/>
      <c r="F6092" s="18"/>
      <c r="G6092" s="40"/>
      <c r="H6092" s="7">
        <f t="shared" ref="H6092:N6092" si="2625">SUM(H6073:H6091)</f>
        <v>28</v>
      </c>
      <c r="I6092" s="7">
        <f t="shared" si="2625"/>
        <v>0</v>
      </c>
      <c r="J6092" s="7">
        <f>SUM(J6073:J6091)</f>
        <v>66</v>
      </c>
      <c r="K6092" s="7">
        <f t="shared" si="2625"/>
        <v>0</v>
      </c>
      <c r="L6092" s="7">
        <f t="shared" si="2625"/>
        <v>94</v>
      </c>
      <c r="M6092" s="7">
        <f t="shared" si="2625"/>
        <v>18</v>
      </c>
      <c r="N6092" s="7">
        <f t="shared" si="2625"/>
        <v>17</v>
      </c>
      <c r="O6092" s="18"/>
      <c r="P6092" s="13"/>
      <c r="Q6092" s="13"/>
      <c r="S6092" s="13"/>
      <c r="T6092" s="15"/>
      <c r="U6092" s="46" t="str">
        <f t="shared" si="2619"/>
        <v/>
      </c>
      <c r="V6092" s="46" t="str">
        <f t="shared" si="2619"/>
        <v/>
      </c>
      <c r="W6092" s="46" t="str">
        <f t="shared" si="2619"/>
        <v/>
      </c>
      <c r="X6092" s="46" t="str">
        <f t="shared" si="2619"/>
        <v/>
      </c>
    </row>
    <row r="6093" spans="2:24" x14ac:dyDescent="0.25">
      <c r="B6093" s="18"/>
      <c r="C6093" s="18"/>
      <c r="D6093" s="18"/>
      <c r="E6093" s="40"/>
      <c r="F6093" s="18"/>
      <c r="G6093" s="40"/>
      <c r="N6093" s="8" t="str">
        <f>IF(R6093="x",1,"")</f>
        <v/>
      </c>
      <c r="O6093" s="18"/>
      <c r="P6093" s="13"/>
      <c r="Q6093" s="13"/>
      <c r="R6093" s="13"/>
      <c r="S6093" s="13"/>
      <c r="T6093" s="15"/>
      <c r="U6093" s="46" t="str">
        <f t="shared" si="2619"/>
        <v/>
      </c>
      <c r="V6093" s="46" t="str">
        <f t="shared" si="2619"/>
        <v/>
      </c>
      <c r="W6093" s="46" t="str">
        <f t="shared" si="2619"/>
        <v/>
      </c>
      <c r="X6093" s="46" t="str">
        <f t="shared" si="2619"/>
        <v/>
      </c>
    </row>
    <row r="6094" spans="2:24" x14ac:dyDescent="0.25">
      <c r="B6094" s="18"/>
      <c r="C6094" s="18"/>
      <c r="D6094" s="18"/>
      <c r="E6094" s="40"/>
      <c r="F6094" s="18"/>
      <c r="G6094" s="40"/>
      <c r="N6094" s="8" t="str">
        <f>IF(R6094="x",1,"")</f>
        <v/>
      </c>
      <c r="O6094" s="18"/>
      <c r="P6094" s="13"/>
      <c r="Q6094" s="13"/>
      <c r="R6094" s="13"/>
      <c r="S6094" s="13"/>
      <c r="T6094" s="15"/>
      <c r="U6094" s="46" t="str">
        <f t="shared" si="2619"/>
        <v/>
      </c>
      <c r="V6094" s="46" t="str">
        <f t="shared" si="2619"/>
        <v/>
      </c>
      <c r="W6094" s="46" t="str">
        <f t="shared" si="2619"/>
        <v/>
      </c>
      <c r="X6094" s="46" t="str">
        <f t="shared" si="2619"/>
        <v/>
      </c>
    </row>
    <row r="6095" spans="2:24" x14ac:dyDescent="0.25">
      <c r="B6095" s="11" t="str">
        <f>CONCATENATE("SLAV","-",LEFT(P6095,2),UPPER(MID(P6095,4,3)),RIGHT(P6095,4))</f>
        <v>SLAV-20AUG1905</v>
      </c>
      <c r="C6095" s="11" t="s">
        <v>132</v>
      </c>
      <c r="D6095" s="11" t="s">
        <v>3064</v>
      </c>
      <c r="E6095" s="39" t="s">
        <v>1780</v>
      </c>
      <c r="F6095" s="11" t="s">
        <v>1700</v>
      </c>
      <c r="G6095" s="39" t="s">
        <v>5618</v>
      </c>
      <c r="I6095" s="7">
        <v>0</v>
      </c>
      <c r="J6095" s="17">
        <v>2</v>
      </c>
      <c r="K6095" s="17"/>
      <c r="L6095" s="7">
        <f>SUM(H6095:K6095)</f>
        <v>2</v>
      </c>
      <c r="M6095" s="8">
        <v>1</v>
      </c>
      <c r="N6095" s="8">
        <f>IF(L6095&gt;0,1,"")</f>
        <v>1</v>
      </c>
      <c r="O6095" s="11" t="s">
        <v>1702</v>
      </c>
      <c r="P6095" s="16" t="str">
        <f>IF(LEN(G6095)=10,CONCATENATE("0",G6095),G6095)</f>
        <v>20-Aug-1905</v>
      </c>
      <c r="R6095" s="16" t="str">
        <f>IF($L6095&gt;0,"x","")</f>
        <v>x</v>
      </c>
      <c r="S6095" s="16" t="str">
        <f>IF($L6095&gt;0,"x","")</f>
        <v>x</v>
      </c>
      <c r="U6095" s="46" t="str">
        <f t="shared" si="2619"/>
        <v/>
      </c>
      <c r="V6095" s="46">
        <f t="shared" si="2619"/>
        <v>2</v>
      </c>
      <c r="W6095" s="46" t="str">
        <f t="shared" si="2619"/>
        <v/>
      </c>
      <c r="X6095" s="46" t="str">
        <f t="shared" si="2619"/>
        <v/>
      </c>
    </row>
    <row r="6096" spans="2:24" x14ac:dyDescent="0.25">
      <c r="N6096" s="8" t="str">
        <f>IF(R6096="x",1,"")</f>
        <v/>
      </c>
      <c r="U6096" s="46" t="str">
        <f t="shared" ref="U6096:X6097" si="2626">IF($O6096=U$5,$L6096,"")</f>
        <v/>
      </c>
      <c r="V6096" s="46" t="str">
        <f t="shared" si="2626"/>
        <v/>
      </c>
      <c r="W6096" s="46" t="str">
        <f t="shared" si="2626"/>
        <v/>
      </c>
      <c r="X6096" s="46" t="str">
        <f t="shared" si="2626"/>
        <v/>
      </c>
    </row>
    <row r="6097" spans="2:24" x14ac:dyDescent="0.25">
      <c r="B6097" s="18"/>
      <c r="C6097" s="18"/>
      <c r="D6097" s="18"/>
      <c r="E6097" s="40"/>
      <c r="F6097" s="18"/>
      <c r="G6097" s="40"/>
      <c r="H6097" s="7">
        <f t="shared" ref="H6097:N6097" si="2627">SUM(H6095:H6096)</f>
        <v>0</v>
      </c>
      <c r="I6097" s="7">
        <f t="shared" si="2627"/>
        <v>0</v>
      </c>
      <c r="J6097" s="7">
        <f>SUM(J6095:J6096)</f>
        <v>2</v>
      </c>
      <c r="K6097" s="7">
        <f t="shared" si="2627"/>
        <v>0</v>
      </c>
      <c r="L6097" s="7">
        <f>SUM(L6095:L6096)</f>
        <v>2</v>
      </c>
      <c r="M6097" s="7">
        <f t="shared" si="2627"/>
        <v>1</v>
      </c>
      <c r="N6097" s="7">
        <f t="shared" si="2627"/>
        <v>1</v>
      </c>
      <c r="O6097" s="18"/>
      <c r="P6097" s="13"/>
      <c r="Q6097" s="13"/>
      <c r="S6097" s="13"/>
      <c r="T6097" s="15"/>
      <c r="U6097" s="46" t="str">
        <f t="shared" si="2626"/>
        <v/>
      </c>
      <c r="V6097" s="46" t="str">
        <f t="shared" si="2626"/>
        <v/>
      </c>
      <c r="W6097" s="46" t="str">
        <f t="shared" si="2626"/>
        <v/>
      </c>
      <c r="X6097" s="46" t="str">
        <f t="shared" si="2626"/>
        <v/>
      </c>
    </row>
    <row r="6098" spans="2:24" x14ac:dyDescent="0.25">
      <c r="B6098" s="18"/>
      <c r="C6098" s="18"/>
      <c r="D6098" s="18"/>
      <c r="E6098" s="40"/>
      <c r="F6098" s="18"/>
      <c r="G6098" s="40"/>
      <c r="N6098" s="8" t="str">
        <f>IF(R6098="x",1,"")</f>
        <v/>
      </c>
      <c r="O6098" s="18"/>
      <c r="P6098" s="13"/>
      <c r="Q6098" s="13"/>
      <c r="R6098" s="13"/>
      <c r="S6098" s="13"/>
      <c r="T6098" s="15"/>
      <c r="U6098" s="46" t="str">
        <f t="shared" si="2613"/>
        <v/>
      </c>
      <c r="V6098" s="46" t="str">
        <f t="shared" si="2613"/>
        <v/>
      </c>
      <c r="W6098" s="46" t="str">
        <f t="shared" si="2613"/>
        <v/>
      </c>
      <c r="X6098" s="46" t="str">
        <f t="shared" si="2613"/>
        <v/>
      </c>
    </row>
    <row r="6099" spans="2:24" x14ac:dyDescent="0.25">
      <c r="B6099" s="18"/>
      <c r="C6099" s="18"/>
      <c r="D6099" s="18"/>
      <c r="E6099" s="40"/>
      <c r="F6099" s="18"/>
      <c r="G6099" s="40"/>
      <c r="N6099" s="8" t="str">
        <f>IF(R6099="x",1,"")</f>
        <v/>
      </c>
      <c r="O6099" s="18"/>
      <c r="P6099" s="13"/>
      <c r="Q6099" s="13"/>
      <c r="R6099" s="13"/>
      <c r="S6099" s="13"/>
      <c r="T6099" s="15"/>
      <c r="U6099" s="46" t="str">
        <f t="shared" si="2613"/>
        <v/>
      </c>
      <c r="V6099" s="46" t="str">
        <f t="shared" si="2613"/>
        <v/>
      </c>
      <c r="W6099" s="46" t="str">
        <f t="shared" si="2613"/>
        <v/>
      </c>
      <c r="X6099" s="46" t="str">
        <f t="shared" si="2613"/>
        <v/>
      </c>
    </row>
    <row r="6100" spans="2:24" x14ac:dyDescent="0.25">
      <c r="B6100" s="11" t="str">
        <f>CONCATENATE("SOFH","-",LEFT(P6100,2),UPPER(MID(P6100,4,3)),RIGHT(P6100,4))</f>
        <v>SOFH-11AUG1906</v>
      </c>
      <c r="C6100" s="11" t="s">
        <v>3387</v>
      </c>
      <c r="D6100" s="11" t="s">
        <v>1906</v>
      </c>
      <c r="E6100" s="39" t="s">
        <v>5470</v>
      </c>
      <c r="F6100" s="11" t="s">
        <v>1700</v>
      </c>
      <c r="G6100" s="39" t="s">
        <v>2713</v>
      </c>
      <c r="H6100" s="7">
        <v>0</v>
      </c>
      <c r="I6100" s="7">
        <v>3</v>
      </c>
      <c r="J6100" s="17">
        <f>4+2</f>
        <v>6</v>
      </c>
      <c r="K6100" s="17"/>
      <c r="L6100" s="7">
        <f>SUM(H6100:K6100)</f>
        <v>9</v>
      </c>
      <c r="M6100" s="8">
        <v>1</v>
      </c>
      <c r="N6100" s="8">
        <f>IF(L6100&gt;0,1,"")</f>
        <v>1</v>
      </c>
      <c r="O6100" s="11" t="s">
        <v>1702</v>
      </c>
      <c r="P6100" s="16" t="str">
        <f>IF(LEN(G6100)=10,CONCATENATE("0",G6100),G6100)</f>
        <v>11-Aug-1906</v>
      </c>
      <c r="R6100" s="16" t="str">
        <f>IF($L6100&gt;0,"x","")</f>
        <v>x</v>
      </c>
      <c r="S6100" s="16" t="str">
        <f>IF($L6100&gt;0,"x","")</f>
        <v>x</v>
      </c>
      <c r="U6100" s="46" t="str">
        <f t="shared" si="2613"/>
        <v/>
      </c>
      <c r="V6100" s="46">
        <f t="shared" si="2613"/>
        <v>9</v>
      </c>
      <c r="W6100" s="46" t="str">
        <f t="shared" si="2613"/>
        <v/>
      </c>
      <c r="X6100" s="46" t="str">
        <f t="shared" si="2613"/>
        <v/>
      </c>
    </row>
    <row r="6101" spans="2:24" x14ac:dyDescent="0.25">
      <c r="B6101" s="11" t="str">
        <f>CONCATENATE("SOFH","-",LEFT(P6101,2),UPPER(MID(P6101,4,3)),RIGHT(P6101,4))</f>
        <v>SOFH-28SEP1906</v>
      </c>
      <c r="C6101" s="11" t="s">
        <v>3387</v>
      </c>
      <c r="D6101" s="11" t="s">
        <v>1906</v>
      </c>
      <c r="E6101" s="39" t="s">
        <v>3490</v>
      </c>
      <c r="F6101" s="11" t="s">
        <v>1700</v>
      </c>
      <c r="G6101" s="39" t="s">
        <v>3489</v>
      </c>
      <c r="H6101" s="7">
        <v>0</v>
      </c>
      <c r="I6101" s="7">
        <v>0</v>
      </c>
      <c r="J6101" s="17">
        <v>12</v>
      </c>
      <c r="K6101" s="17"/>
      <c r="L6101" s="7">
        <f>SUM(H6101:K6101)</f>
        <v>12</v>
      </c>
      <c r="M6101" s="8">
        <v>1</v>
      </c>
      <c r="N6101" s="8">
        <f>IF(L6101&gt;0,1,"")</f>
        <v>1</v>
      </c>
      <c r="O6101" s="11" t="s">
        <v>1702</v>
      </c>
      <c r="P6101" s="16" t="str">
        <f>IF(LEN(G6101)=10,CONCATENATE("0",G6101),G6101)</f>
        <v>28-Sep-1906</v>
      </c>
      <c r="R6101" s="16" t="str">
        <f t="shared" ref="R6101:S6103" si="2628">IF($L6101&gt;0,"x","")</f>
        <v>x</v>
      </c>
      <c r="S6101" s="16" t="str">
        <f t="shared" si="2628"/>
        <v>x</v>
      </c>
      <c r="U6101" s="46" t="str">
        <f t="shared" ref="U6101:X6102" si="2629">IF($O6101=U$5,$L6101,"")</f>
        <v/>
      </c>
      <c r="V6101" s="46">
        <f t="shared" si="2629"/>
        <v>12</v>
      </c>
      <c r="W6101" s="46" t="str">
        <f t="shared" si="2629"/>
        <v/>
      </c>
      <c r="X6101" s="46" t="str">
        <f t="shared" si="2629"/>
        <v/>
      </c>
    </row>
    <row r="6102" spans="2:24" x14ac:dyDescent="0.25">
      <c r="B6102" s="11" t="str">
        <f>CONCATENATE("SOFH","-",LEFT(P6102,2),UPPER(MID(P6102,4,3)),RIGHT(P6102,4))</f>
        <v>SOFH-21NOV1906</v>
      </c>
      <c r="C6102" s="11" t="s">
        <v>3387</v>
      </c>
      <c r="D6102" s="11" t="s">
        <v>1906</v>
      </c>
      <c r="E6102" s="39" t="s">
        <v>2714</v>
      </c>
      <c r="F6102" s="11" t="s">
        <v>1700</v>
      </c>
      <c r="G6102" s="39" t="s">
        <v>5340</v>
      </c>
      <c r="H6102" s="7">
        <v>0</v>
      </c>
      <c r="I6102" s="7">
        <v>0</v>
      </c>
      <c r="J6102" s="17">
        <v>17</v>
      </c>
      <c r="K6102" s="17"/>
      <c r="L6102" s="7">
        <f>SUM(H6102:K6102)</f>
        <v>17</v>
      </c>
      <c r="M6102" s="8">
        <v>1</v>
      </c>
      <c r="N6102" s="8">
        <f>IF(L6102&gt;0,1,"")</f>
        <v>1</v>
      </c>
      <c r="O6102" s="11" t="s">
        <v>1702</v>
      </c>
      <c r="P6102" s="16" t="str">
        <f>IF(LEN(G6102)=10,CONCATENATE("0",G6102),G6102)</f>
        <v>21-Nov-1906</v>
      </c>
      <c r="R6102" s="16" t="str">
        <f>IF($L6102&gt;0,"x","")</f>
        <v>x</v>
      </c>
      <c r="S6102" s="16" t="str">
        <f>IF($L6102&gt;0,"x","")</f>
        <v>x</v>
      </c>
      <c r="U6102" s="46" t="str">
        <f t="shared" si="2629"/>
        <v/>
      </c>
      <c r="V6102" s="46">
        <f t="shared" si="2629"/>
        <v>17</v>
      </c>
      <c r="W6102" s="46" t="str">
        <f t="shared" si="2629"/>
        <v/>
      </c>
      <c r="X6102" s="46" t="str">
        <f t="shared" si="2629"/>
        <v/>
      </c>
    </row>
    <row r="6103" spans="2:24" x14ac:dyDescent="0.25">
      <c r="B6103" s="11" t="str">
        <f>CONCATENATE("SOFH","-",LEFT(P6103,2),UPPER(MID(P6103,4,3)),RIGHT(P6103,4))</f>
        <v>SOFH-14JAN1907</v>
      </c>
      <c r="C6103" s="11" t="s">
        <v>3387</v>
      </c>
      <c r="D6103" s="11" t="s">
        <v>1906</v>
      </c>
      <c r="E6103" s="39" t="s">
        <v>3400</v>
      </c>
      <c r="F6103" s="11" t="s">
        <v>1700</v>
      </c>
      <c r="G6103" s="39" t="s">
        <v>1442</v>
      </c>
      <c r="I6103" s="7">
        <v>0</v>
      </c>
      <c r="J6103" s="17">
        <v>2</v>
      </c>
      <c r="K6103" s="17"/>
      <c r="L6103" s="7">
        <f>SUM(H6103:K6103)</f>
        <v>2</v>
      </c>
      <c r="M6103" s="8">
        <v>1</v>
      </c>
      <c r="N6103" s="8">
        <f>IF(L6103&gt;0,1,"")</f>
        <v>1</v>
      </c>
      <c r="O6103" s="11" t="s">
        <v>1702</v>
      </c>
      <c r="P6103" s="16" t="str">
        <f>IF(LEN(G6103)=10,CONCATENATE("0",G6103),G6103)</f>
        <v>14-Jan-1907</v>
      </c>
      <c r="R6103" s="16" t="str">
        <f t="shared" si="2628"/>
        <v>x</v>
      </c>
      <c r="S6103" s="16" t="str">
        <f t="shared" si="2628"/>
        <v>x</v>
      </c>
      <c r="U6103" s="46" t="str">
        <f t="shared" si="2613"/>
        <v/>
      </c>
      <c r="V6103" s="46">
        <f t="shared" si="2613"/>
        <v>2</v>
      </c>
      <c r="W6103" s="46" t="str">
        <f t="shared" si="2613"/>
        <v/>
      </c>
      <c r="X6103" s="46" t="str">
        <f t="shared" si="2613"/>
        <v/>
      </c>
    </row>
    <row r="6104" spans="2:24" x14ac:dyDescent="0.25">
      <c r="N6104" s="8" t="str">
        <f>IF(R6104="x",1,"")</f>
        <v/>
      </c>
      <c r="U6104" s="46" t="str">
        <f t="shared" si="2613"/>
        <v/>
      </c>
      <c r="V6104" s="46" t="str">
        <f t="shared" si="2613"/>
        <v/>
      </c>
      <c r="W6104" s="46" t="str">
        <f t="shared" si="2613"/>
        <v/>
      </c>
      <c r="X6104" s="46" t="str">
        <f t="shared" si="2613"/>
        <v/>
      </c>
    </row>
    <row r="6105" spans="2:24" x14ac:dyDescent="0.25">
      <c r="B6105" s="18"/>
      <c r="C6105" s="18"/>
      <c r="D6105" s="18"/>
      <c r="E6105" s="40"/>
      <c r="F6105" s="18"/>
      <c r="G6105" s="40"/>
      <c r="H6105" s="7">
        <f t="shared" ref="H6105:N6105" si="2630">SUM(H6100:H6104)</f>
        <v>0</v>
      </c>
      <c r="I6105" s="7">
        <f t="shared" si="2630"/>
        <v>3</v>
      </c>
      <c r="J6105" s="7">
        <f>SUM(J6100:J6104)</f>
        <v>37</v>
      </c>
      <c r="K6105" s="7">
        <f t="shared" si="2630"/>
        <v>0</v>
      </c>
      <c r="L6105" s="7">
        <f t="shared" si="2630"/>
        <v>40</v>
      </c>
      <c r="M6105" s="7">
        <f t="shared" si="2630"/>
        <v>4</v>
      </c>
      <c r="N6105" s="7">
        <f t="shared" si="2630"/>
        <v>4</v>
      </c>
      <c r="O6105" s="18"/>
      <c r="P6105" s="13"/>
      <c r="Q6105" s="13"/>
      <c r="S6105" s="13"/>
      <c r="T6105" s="15"/>
      <c r="U6105" s="46" t="str">
        <f t="shared" si="2613"/>
        <v/>
      </c>
      <c r="V6105" s="46" t="str">
        <f t="shared" si="2613"/>
        <v/>
      </c>
      <c r="W6105" s="46" t="str">
        <f t="shared" si="2613"/>
        <v/>
      </c>
      <c r="X6105" s="46" t="str">
        <f t="shared" si="2613"/>
        <v/>
      </c>
    </row>
    <row r="6106" spans="2:24" x14ac:dyDescent="0.25">
      <c r="B6106" s="18"/>
      <c r="C6106" s="18"/>
      <c r="D6106" s="18"/>
      <c r="E6106" s="40"/>
      <c r="F6106" s="18"/>
      <c r="G6106" s="40"/>
      <c r="N6106" s="8" t="str">
        <f>IF(R6106="x",1,"")</f>
        <v/>
      </c>
      <c r="O6106" s="18"/>
      <c r="P6106" s="13"/>
      <c r="Q6106" s="13"/>
      <c r="R6106" s="13"/>
      <c r="S6106" s="13"/>
      <c r="T6106" s="15"/>
      <c r="U6106" s="46" t="str">
        <f t="shared" si="2613"/>
        <v/>
      </c>
      <c r="V6106" s="46" t="str">
        <f t="shared" si="2613"/>
        <v/>
      </c>
      <c r="W6106" s="46" t="str">
        <f t="shared" si="2613"/>
        <v/>
      </c>
      <c r="X6106" s="46" t="str">
        <f t="shared" si="2613"/>
        <v/>
      </c>
    </row>
    <row r="6107" spans="2:24" x14ac:dyDescent="0.25">
      <c r="B6107" s="18"/>
      <c r="C6107" s="18"/>
      <c r="D6107" s="18"/>
      <c r="E6107" s="40"/>
      <c r="F6107" s="18"/>
      <c r="G6107" s="40"/>
      <c r="N6107" s="8" t="str">
        <f>IF(R6107="x",1,"")</f>
        <v/>
      </c>
      <c r="O6107" s="18"/>
      <c r="P6107" s="13"/>
      <c r="Q6107" s="13"/>
      <c r="R6107" s="13"/>
      <c r="S6107" s="13"/>
      <c r="T6107" s="15"/>
      <c r="U6107" s="46" t="str">
        <f t="shared" si="2613"/>
        <v/>
      </c>
      <c r="V6107" s="46" t="str">
        <f t="shared" si="2613"/>
        <v/>
      </c>
      <c r="W6107" s="46" t="str">
        <f t="shared" si="2613"/>
        <v/>
      </c>
      <c r="X6107" s="46" t="str">
        <f t="shared" si="2613"/>
        <v/>
      </c>
    </row>
    <row r="6108" spans="2:24" x14ac:dyDescent="0.25">
      <c r="B6108" s="11" t="str">
        <f>CONCATENATE("SORR","-",LEFT(P6108,2),UPPER(MID(P6108,4,3)),RIGHT(P6108,4))</f>
        <v>SORR-29JUN1896</v>
      </c>
      <c r="C6108" s="11" t="s">
        <v>688</v>
      </c>
      <c r="D6108" s="11" t="s">
        <v>1699</v>
      </c>
      <c r="F6108" s="11" t="s">
        <v>1700</v>
      </c>
      <c r="G6108" s="39" t="s">
        <v>390</v>
      </c>
      <c r="J6108" s="17">
        <v>17</v>
      </c>
      <c r="K6108" s="17"/>
      <c r="L6108" s="7">
        <f>SUM(H6108:K6108)</f>
        <v>17</v>
      </c>
      <c r="M6108" s="8">
        <v>1</v>
      </c>
      <c r="N6108" s="8">
        <f>IF(L6108&gt;0,1,"")</f>
        <v>1</v>
      </c>
      <c r="O6108" s="11" t="s">
        <v>1702</v>
      </c>
      <c r="P6108" s="16" t="str">
        <f>IF(LEN(G6108)=10,CONCATENATE("0",G6108),G6108)</f>
        <v>29-Jun-1896</v>
      </c>
      <c r="R6108" s="16" t="str">
        <f t="shared" ref="R6108:S6111" si="2631">IF($L6108&gt;0,"x","")</f>
        <v>x</v>
      </c>
      <c r="S6108" s="16" t="str">
        <f t="shared" si="2631"/>
        <v>x</v>
      </c>
      <c r="U6108" s="46" t="str">
        <f t="shared" si="2613"/>
        <v/>
      </c>
      <c r="V6108" s="46">
        <f t="shared" si="2613"/>
        <v>17</v>
      </c>
      <c r="W6108" s="46" t="str">
        <f t="shared" si="2613"/>
        <v/>
      </c>
      <c r="X6108" s="46" t="str">
        <f t="shared" si="2613"/>
        <v/>
      </c>
    </row>
    <row r="6109" spans="2:24" x14ac:dyDescent="0.25">
      <c r="B6109" s="11" t="str">
        <f>CONCATENATE("SORR","-",LEFT(P6109,2),UPPER(MID(P6109,4,3)),RIGHT(P6109,4))</f>
        <v>SORR-06MAR1897</v>
      </c>
      <c r="C6109" s="11" t="s">
        <v>688</v>
      </c>
      <c r="D6109" s="11" t="s">
        <v>3134</v>
      </c>
      <c r="F6109" s="11" t="s">
        <v>1700</v>
      </c>
      <c r="G6109" s="39" t="s">
        <v>5603</v>
      </c>
      <c r="J6109" s="17">
        <v>2</v>
      </c>
      <c r="K6109" s="17"/>
      <c r="L6109" s="7">
        <f>SUM(H6109:K6109)</f>
        <v>2</v>
      </c>
      <c r="M6109" s="8">
        <v>1</v>
      </c>
      <c r="N6109" s="8">
        <f>IF(L6109&gt;0,1,"")</f>
        <v>1</v>
      </c>
      <c r="O6109" s="11" t="s">
        <v>1702</v>
      </c>
      <c r="P6109" s="16" t="str">
        <f>IF(LEN(G6109)=10,CONCATENATE("0",G6109),G6109)</f>
        <v>06-Mar-1897</v>
      </c>
      <c r="R6109" s="16" t="str">
        <f t="shared" si="2631"/>
        <v>x</v>
      </c>
      <c r="S6109" s="16" t="str">
        <f t="shared" si="2631"/>
        <v>x</v>
      </c>
      <c r="U6109" s="46" t="str">
        <f t="shared" ref="U6109:X6110" si="2632">IF($O6109=U$5,$L6109,"")</f>
        <v/>
      </c>
      <c r="V6109" s="46">
        <f t="shared" si="2632"/>
        <v>2</v>
      </c>
      <c r="W6109" s="46" t="str">
        <f t="shared" si="2632"/>
        <v/>
      </c>
      <c r="X6109" s="46" t="str">
        <f t="shared" si="2632"/>
        <v/>
      </c>
    </row>
    <row r="6110" spans="2:24" x14ac:dyDescent="0.25">
      <c r="B6110" s="11" t="str">
        <f>CONCATENATE("SORR","-",LEFT(P6110,2),UPPER(MID(P6110,4,3)),RIGHT(P6110,4))</f>
        <v>SORR-06MAR1897</v>
      </c>
      <c r="C6110" s="11" t="s">
        <v>688</v>
      </c>
      <c r="D6110" s="11" t="s">
        <v>1699</v>
      </c>
      <c r="F6110" s="11" t="s">
        <v>1700</v>
      </c>
      <c r="G6110" s="39" t="s">
        <v>5603</v>
      </c>
      <c r="J6110" s="17">
        <v>21</v>
      </c>
      <c r="K6110" s="17"/>
      <c r="L6110" s="7">
        <f>SUM(H6110:K6110)</f>
        <v>21</v>
      </c>
      <c r="M6110" s="8">
        <v>1</v>
      </c>
      <c r="N6110" s="8">
        <f>IF(L6110&gt;0,1,"")</f>
        <v>1</v>
      </c>
      <c r="O6110" s="11" t="s">
        <v>1702</v>
      </c>
      <c r="P6110" s="16" t="str">
        <f>IF(LEN(G6110)=10,CONCATENATE("0",G6110),G6110)</f>
        <v>06-Mar-1897</v>
      </c>
      <c r="R6110" s="16" t="str">
        <f t="shared" si="2631"/>
        <v>x</v>
      </c>
      <c r="S6110" s="16" t="str">
        <f t="shared" si="2631"/>
        <v>x</v>
      </c>
      <c r="U6110" s="46" t="str">
        <f t="shared" si="2632"/>
        <v/>
      </c>
      <c r="V6110" s="46">
        <f t="shared" si="2632"/>
        <v>21</v>
      </c>
      <c r="W6110" s="46" t="str">
        <f t="shared" si="2632"/>
        <v/>
      </c>
      <c r="X6110" s="46" t="str">
        <f t="shared" si="2632"/>
        <v/>
      </c>
    </row>
    <row r="6111" spans="2:24" x14ac:dyDescent="0.25">
      <c r="B6111" s="11" t="str">
        <f>CONCATENATE("SORR","-",LEFT(P6111,2),UPPER(MID(P6111,4,3)),RIGHT(P6111,4))</f>
        <v>SORR-10MAY1897</v>
      </c>
      <c r="C6111" s="11" t="s">
        <v>688</v>
      </c>
      <c r="D6111" s="11" t="s">
        <v>1699</v>
      </c>
      <c r="F6111" s="11" t="s">
        <v>1700</v>
      </c>
      <c r="G6111" s="39" t="s">
        <v>2155</v>
      </c>
      <c r="J6111" s="17">
        <v>25</v>
      </c>
      <c r="K6111" s="17"/>
      <c r="L6111" s="7">
        <f>SUM(H6111:K6111)</f>
        <v>25</v>
      </c>
      <c r="M6111" s="8">
        <v>1</v>
      </c>
      <c r="N6111" s="8">
        <f>IF(L6111&gt;0,1,"")</f>
        <v>1</v>
      </c>
      <c r="O6111" s="11" t="s">
        <v>1702</v>
      </c>
      <c r="P6111" s="16" t="str">
        <f>IF(LEN(G6111)=10,CONCATENATE("0",G6111),G6111)</f>
        <v>10-May-1897</v>
      </c>
      <c r="R6111" s="16" t="str">
        <f t="shared" si="2631"/>
        <v>x</v>
      </c>
      <c r="S6111" s="16" t="str">
        <f t="shared" si="2631"/>
        <v>x</v>
      </c>
      <c r="U6111" s="46" t="str">
        <f t="shared" si="2613"/>
        <v/>
      </c>
      <c r="V6111" s="46">
        <f t="shared" si="2613"/>
        <v>25</v>
      </c>
      <c r="W6111" s="46" t="str">
        <f t="shared" si="2613"/>
        <v/>
      </c>
      <c r="X6111" s="46" t="str">
        <f t="shared" si="2613"/>
        <v/>
      </c>
    </row>
    <row r="6112" spans="2:24" x14ac:dyDescent="0.25">
      <c r="N6112" s="8" t="str">
        <f>IF(R6112="x",1,"")</f>
        <v/>
      </c>
      <c r="U6112" s="46" t="str">
        <f t="shared" si="2613"/>
        <v/>
      </c>
      <c r="V6112" s="46" t="str">
        <f t="shared" si="2613"/>
        <v/>
      </c>
      <c r="W6112" s="46" t="str">
        <f t="shared" si="2613"/>
        <v/>
      </c>
      <c r="X6112" s="46" t="str">
        <f t="shared" si="2613"/>
        <v/>
      </c>
    </row>
    <row r="6113" spans="2:24" x14ac:dyDescent="0.25">
      <c r="B6113" s="18"/>
      <c r="C6113" s="18"/>
      <c r="D6113" s="18"/>
      <c r="E6113" s="40"/>
      <c r="F6113" s="18"/>
      <c r="G6113" s="40"/>
      <c r="H6113" s="7">
        <f t="shared" ref="H6113:N6113" si="2633">SUM(H6108:H6112)</f>
        <v>0</v>
      </c>
      <c r="I6113" s="7">
        <f t="shared" si="2633"/>
        <v>0</v>
      </c>
      <c r="J6113" s="7">
        <f>SUM(J6108:J6112)</f>
        <v>65</v>
      </c>
      <c r="K6113" s="7">
        <f t="shared" si="2633"/>
        <v>0</v>
      </c>
      <c r="L6113" s="7">
        <f t="shared" si="2633"/>
        <v>65</v>
      </c>
      <c r="M6113" s="7">
        <f t="shared" si="2633"/>
        <v>4</v>
      </c>
      <c r="N6113" s="7">
        <f t="shared" si="2633"/>
        <v>4</v>
      </c>
      <c r="O6113" s="18"/>
      <c r="P6113" s="13"/>
      <c r="Q6113" s="13"/>
      <c r="S6113" s="13"/>
      <c r="T6113" s="15"/>
      <c r="U6113" s="46" t="str">
        <f t="shared" si="2613"/>
        <v/>
      </c>
      <c r="V6113" s="46" t="str">
        <f t="shared" si="2613"/>
        <v/>
      </c>
      <c r="W6113" s="46" t="str">
        <f t="shared" si="2613"/>
        <v/>
      </c>
      <c r="X6113" s="46" t="str">
        <f t="shared" si="2613"/>
        <v/>
      </c>
    </row>
    <row r="6114" spans="2:24" x14ac:dyDescent="0.25">
      <c r="B6114" s="18"/>
      <c r="C6114" s="18"/>
      <c r="D6114" s="18"/>
      <c r="E6114" s="40"/>
      <c r="F6114" s="18"/>
      <c r="G6114" s="40"/>
      <c r="N6114" s="8" t="str">
        <f>IF(R6114="x",1,"")</f>
        <v/>
      </c>
      <c r="O6114" s="18"/>
      <c r="P6114" s="13"/>
      <c r="Q6114" s="13"/>
      <c r="R6114" s="13"/>
      <c r="S6114" s="13"/>
      <c r="T6114" s="15"/>
      <c r="U6114" s="46" t="str">
        <f t="shared" ref="U6114:X6118" si="2634">IF($O6114=U$5,$L6114,"")</f>
        <v/>
      </c>
      <c r="V6114" s="46" t="str">
        <f t="shared" si="2634"/>
        <v/>
      </c>
      <c r="W6114" s="46" t="str">
        <f t="shared" si="2634"/>
        <v/>
      </c>
      <c r="X6114" s="46" t="str">
        <f t="shared" si="2634"/>
        <v/>
      </c>
    </row>
    <row r="6115" spans="2:24" x14ac:dyDescent="0.25">
      <c r="B6115" s="18"/>
      <c r="C6115" s="18"/>
      <c r="D6115" s="18"/>
      <c r="E6115" s="40"/>
      <c r="F6115" s="18"/>
      <c r="G6115" s="40"/>
      <c r="N6115" s="8" t="str">
        <f>IF(R6115="x",1,"")</f>
        <v/>
      </c>
      <c r="O6115" s="18"/>
      <c r="P6115" s="13"/>
      <c r="Q6115" s="13"/>
      <c r="R6115" s="13"/>
      <c r="S6115" s="13"/>
      <c r="T6115" s="15"/>
      <c r="U6115" s="46" t="str">
        <f t="shared" si="2634"/>
        <v/>
      </c>
      <c r="V6115" s="46" t="str">
        <f t="shared" si="2634"/>
        <v/>
      </c>
      <c r="W6115" s="46" t="str">
        <f t="shared" si="2634"/>
        <v/>
      </c>
      <c r="X6115" s="46" t="str">
        <f t="shared" si="2634"/>
        <v/>
      </c>
    </row>
    <row r="6116" spans="2:24" x14ac:dyDescent="0.25">
      <c r="B6116" s="11" t="str">
        <f>CONCATENATE("STHL","-",LEFT(P6116,2),UPPER(MID(P6116,4,3)),RIGHT(P6116,4))</f>
        <v>STHL-06JAN1917</v>
      </c>
      <c r="C6116" s="11" t="s">
        <v>3947</v>
      </c>
      <c r="D6116" s="11" t="s">
        <v>2097</v>
      </c>
      <c r="E6116" s="39" t="s">
        <v>1985</v>
      </c>
      <c r="F6116" s="11" t="s">
        <v>2922</v>
      </c>
      <c r="G6116" s="39" t="s">
        <v>3948</v>
      </c>
      <c r="I6116" s="7">
        <v>0</v>
      </c>
      <c r="J6116" s="17">
        <v>3</v>
      </c>
      <c r="K6116" s="17"/>
      <c r="L6116" s="7">
        <f>SUM(H6116:K6116)</f>
        <v>3</v>
      </c>
      <c r="M6116" s="8">
        <v>1</v>
      </c>
      <c r="N6116" s="8">
        <f>IF(L6116&gt;0,1,"")</f>
        <v>1</v>
      </c>
      <c r="O6116" s="11" t="s">
        <v>1702</v>
      </c>
      <c r="P6116" s="16" t="str">
        <f>IF(LEN(G6116)=10,CONCATENATE("0",G6116),G6116)</f>
        <v>06-Jan-1917</v>
      </c>
      <c r="R6116" s="16" t="str">
        <f>IF($L6116&gt;0,"x","")</f>
        <v>x</v>
      </c>
      <c r="S6116" s="16" t="str">
        <f>IF($L6116&gt;0,"x","")</f>
        <v>x</v>
      </c>
      <c r="U6116" s="46" t="str">
        <f t="shared" si="2634"/>
        <v/>
      </c>
      <c r="V6116" s="46">
        <f t="shared" si="2634"/>
        <v>3</v>
      </c>
      <c r="W6116" s="46" t="str">
        <f t="shared" si="2634"/>
        <v/>
      </c>
      <c r="X6116" s="46" t="str">
        <f t="shared" si="2634"/>
        <v/>
      </c>
    </row>
    <row r="6117" spans="2:24" x14ac:dyDescent="0.25">
      <c r="N6117" s="8" t="str">
        <f>IF(R6117="x",1,"")</f>
        <v/>
      </c>
      <c r="U6117" s="46" t="str">
        <f t="shared" si="2634"/>
        <v/>
      </c>
      <c r="V6117" s="46" t="str">
        <f t="shared" si="2634"/>
        <v/>
      </c>
      <c r="W6117" s="46" t="str">
        <f t="shared" si="2634"/>
        <v/>
      </c>
      <c r="X6117" s="46" t="str">
        <f t="shared" si="2634"/>
        <v/>
      </c>
    </row>
    <row r="6118" spans="2:24" x14ac:dyDescent="0.25">
      <c r="B6118" s="18"/>
      <c r="C6118" s="18"/>
      <c r="D6118" s="18"/>
      <c r="E6118" s="40"/>
      <c r="F6118" s="18"/>
      <c r="G6118" s="40"/>
      <c r="H6118" s="7">
        <f t="shared" ref="H6118:N6118" si="2635">SUM(H6116:H6117)</f>
        <v>0</v>
      </c>
      <c r="I6118" s="7">
        <f t="shared" si="2635"/>
        <v>0</v>
      </c>
      <c r="J6118" s="7">
        <f>SUM(J6116:J6117)</f>
        <v>3</v>
      </c>
      <c r="K6118" s="7">
        <f t="shared" si="2635"/>
        <v>0</v>
      </c>
      <c r="L6118" s="7">
        <f t="shared" si="2635"/>
        <v>3</v>
      </c>
      <c r="M6118" s="7">
        <f t="shared" si="2635"/>
        <v>1</v>
      </c>
      <c r="N6118" s="7">
        <f t="shared" si="2635"/>
        <v>1</v>
      </c>
      <c r="O6118" s="18"/>
      <c r="P6118" s="13"/>
      <c r="Q6118" s="13"/>
      <c r="S6118" s="13"/>
      <c r="T6118" s="15"/>
      <c r="U6118" s="46" t="str">
        <f t="shared" si="2634"/>
        <v/>
      </c>
      <c r="V6118" s="46" t="str">
        <f t="shared" si="2634"/>
        <v/>
      </c>
      <c r="W6118" s="46" t="str">
        <f t="shared" si="2634"/>
        <v/>
      </c>
      <c r="X6118" s="46" t="str">
        <f t="shared" si="2634"/>
        <v/>
      </c>
    </row>
    <row r="6119" spans="2:24" x14ac:dyDescent="0.25">
      <c r="B6119" s="18"/>
      <c r="C6119" s="18"/>
      <c r="D6119" s="18"/>
      <c r="E6119" s="40"/>
      <c r="F6119" s="18"/>
      <c r="G6119" s="40"/>
      <c r="N6119" s="8" t="str">
        <f>IF(R6119="x",1,"")</f>
        <v/>
      </c>
      <c r="O6119" s="18"/>
      <c r="P6119" s="13"/>
      <c r="Q6119" s="13"/>
      <c r="R6119" s="13"/>
      <c r="S6119" s="13"/>
      <c r="T6119" s="15"/>
      <c r="U6119" s="46" t="str">
        <f t="shared" si="2613"/>
        <v/>
      </c>
      <c r="V6119" s="46" t="str">
        <f t="shared" si="2613"/>
        <v/>
      </c>
      <c r="W6119" s="46" t="str">
        <f t="shared" si="2613"/>
        <v/>
      </c>
      <c r="X6119" s="46" t="str">
        <f t="shared" si="2613"/>
        <v/>
      </c>
    </row>
    <row r="6120" spans="2:24" x14ac:dyDescent="0.25">
      <c r="B6120" s="18"/>
      <c r="C6120" s="18"/>
      <c r="D6120" s="18"/>
      <c r="E6120" s="40"/>
      <c r="F6120" s="18"/>
      <c r="G6120" s="40"/>
      <c r="N6120" s="8" t="str">
        <f>IF(R6120="x",1,"")</f>
        <v/>
      </c>
      <c r="O6120" s="18"/>
      <c r="P6120" s="13"/>
      <c r="Q6120" s="13"/>
      <c r="R6120" s="13"/>
      <c r="S6120" s="13"/>
      <c r="T6120" s="15"/>
      <c r="U6120" s="46" t="str">
        <f t="shared" si="2613"/>
        <v/>
      </c>
      <c r="V6120" s="46" t="str">
        <f t="shared" si="2613"/>
        <v/>
      </c>
      <c r="W6120" s="46" t="str">
        <f t="shared" si="2613"/>
        <v/>
      </c>
      <c r="X6120" s="46" t="str">
        <f t="shared" si="2613"/>
        <v/>
      </c>
    </row>
    <row r="6121" spans="2:24" x14ac:dyDescent="0.25">
      <c r="B6121" s="11" t="str">
        <f>CONCATENATE("STHW","-",LEFT(P6121,2),UPPER(MID(P6121,4,3)),RIGHT(P6121,4))</f>
        <v>STHW-21DEC1894</v>
      </c>
      <c r="C6121" s="11" t="s">
        <v>5330</v>
      </c>
      <c r="D6121" s="11" t="s">
        <v>2097</v>
      </c>
      <c r="E6121" s="39" t="s">
        <v>6043</v>
      </c>
      <c r="F6121" s="11" t="s">
        <v>3039</v>
      </c>
      <c r="G6121" s="39" t="s">
        <v>6044</v>
      </c>
      <c r="I6121" s="7">
        <v>0</v>
      </c>
      <c r="J6121" s="17">
        <v>7</v>
      </c>
      <c r="K6121" s="17"/>
      <c r="L6121" s="7">
        <f>SUM(H6121:K6121)</f>
        <v>7</v>
      </c>
      <c r="M6121" s="8">
        <v>1</v>
      </c>
      <c r="N6121" s="8">
        <f>IF(L6121&gt;0,1,"")</f>
        <v>1</v>
      </c>
      <c r="O6121" s="11" t="s">
        <v>1702</v>
      </c>
      <c r="P6121" s="16" t="str">
        <f>IF(LEN(G6121)=10,CONCATENATE("0",G6121),G6121)</f>
        <v>21-Dec-1894</v>
      </c>
      <c r="R6121" s="16" t="str">
        <f t="shared" ref="R6121:S6124" si="2636">IF($L6121&gt;0,"x","")</f>
        <v>x</v>
      </c>
      <c r="S6121" s="16" t="str">
        <f t="shared" si="2636"/>
        <v>x</v>
      </c>
      <c r="U6121" s="46" t="str">
        <f t="shared" si="2613"/>
        <v/>
      </c>
      <c r="V6121" s="46">
        <f t="shared" si="2613"/>
        <v>7</v>
      </c>
      <c r="W6121" s="46" t="str">
        <f t="shared" si="2613"/>
        <v/>
      </c>
      <c r="X6121" s="46" t="str">
        <f t="shared" si="2613"/>
        <v/>
      </c>
    </row>
    <row r="6122" spans="2:24" x14ac:dyDescent="0.25">
      <c r="B6122" s="11" t="str">
        <f>CONCATENATE("STHW","-",LEFT(P6122,2),UPPER(MID(P6122,4,3)),RIGHT(P6122,4))</f>
        <v>STHW-06MAY1906</v>
      </c>
      <c r="C6122" s="11" t="s">
        <v>5330</v>
      </c>
      <c r="D6122" s="11" t="s">
        <v>2097</v>
      </c>
      <c r="E6122" s="39" t="s">
        <v>11464</v>
      </c>
      <c r="F6122" s="11" t="s">
        <v>2813</v>
      </c>
      <c r="G6122" s="39" t="s">
        <v>2281</v>
      </c>
      <c r="J6122" s="17">
        <v>5</v>
      </c>
      <c r="K6122" s="17"/>
      <c r="L6122" s="7">
        <f>SUM(H6122:K6122)</f>
        <v>5</v>
      </c>
      <c r="M6122" s="8">
        <v>1</v>
      </c>
      <c r="N6122" s="8">
        <f>IF(L6122&gt;0,1,"")</f>
        <v>1</v>
      </c>
      <c r="O6122" s="11" t="s">
        <v>1702</v>
      </c>
      <c r="P6122" s="16" t="str">
        <f>IF(LEN(G6122)=10,CONCATENATE("0",G6122),G6122)</f>
        <v>06-May-1906</v>
      </c>
      <c r="R6122" s="16" t="str">
        <f t="shared" si="2636"/>
        <v>x</v>
      </c>
      <c r="S6122" s="16" t="str">
        <f t="shared" si="2636"/>
        <v>x</v>
      </c>
      <c r="U6122" s="46" t="str">
        <f t="shared" ref="U6122:X6124" si="2637">IF($O6122=U$5,$L6122,"")</f>
        <v/>
      </c>
      <c r="V6122" s="46">
        <f t="shared" si="2637"/>
        <v>5</v>
      </c>
      <c r="W6122" s="46" t="str">
        <f t="shared" si="2637"/>
        <v/>
      </c>
      <c r="X6122" s="46" t="str">
        <f t="shared" si="2637"/>
        <v/>
      </c>
    </row>
    <row r="6123" spans="2:24" x14ac:dyDescent="0.25">
      <c r="B6123" s="11" t="str">
        <f>CONCATENATE("STHW","-",LEFT(P6123,2),UPPER(MID(P6123,4,3)),RIGHT(P6123,4))</f>
        <v>STHW-09JUN1906</v>
      </c>
      <c r="C6123" s="11" t="s">
        <v>5330</v>
      </c>
      <c r="D6123" s="11" t="s">
        <v>2097</v>
      </c>
      <c r="E6123" s="39" t="s">
        <v>5161</v>
      </c>
      <c r="F6123" s="11" t="s">
        <v>2813</v>
      </c>
      <c r="G6123" s="39" t="s">
        <v>1437</v>
      </c>
      <c r="J6123" s="17">
        <v>8</v>
      </c>
      <c r="K6123" s="17"/>
      <c r="L6123" s="7">
        <f>SUM(H6123:K6123)</f>
        <v>8</v>
      </c>
      <c r="M6123" s="8">
        <v>1</v>
      </c>
      <c r="N6123" s="8">
        <f>IF(L6123&gt;0,1,"")</f>
        <v>1</v>
      </c>
      <c r="O6123" s="11" t="s">
        <v>1702</v>
      </c>
      <c r="P6123" s="16" t="str">
        <f>IF(LEN(G6123)=10,CONCATENATE("0",G6123),G6123)</f>
        <v>09-Jun-1906</v>
      </c>
      <c r="R6123" s="16" t="str">
        <f t="shared" si="2636"/>
        <v>x</v>
      </c>
      <c r="S6123" s="16" t="str">
        <f t="shared" si="2636"/>
        <v>x</v>
      </c>
      <c r="U6123" s="46" t="str">
        <f t="shared" si="2637"/>
        <v/>
      </c>
      <c r="V6123" s="46">
        <f t="shared" si="2637"/>
        <v>8</v>
      </c>
      <c r="W6123" s="46" t="str">
        <f t="shared" si="2637"/>
        <v/>
      </c>
      <c r="X6123" s="46" t="str">
        <f t="shared" si="2637"/>
        <v/>
      </c>
    </row>
    <row r="6124" spans="2:24" x14ac:dyDescent="0.25">
      <c r="B6124" s="11" t="str">
        <f>CONCATENATE("STHW","-",LEFT(P6124,2),UPPER(MID(P6124,4,3)),RIGHT(P6124,4))</f>
        <v>STHW-30AUG1907</v>
      </c>
      <c r="C6124" s="11" t="s">
        <v>5330</v>
      </c>
      <c r="D6124" s="11" t="s">
        <v>2097</v>
      </c>
      <c r="E6124" s="39" t="s">
        <v>5331</v>
      </c>
      <c r="F6124" s="11" t="s">
        <v>2813</v>
      </c>
      <c r="G6124" s="39" t="s">
        <v>5332</v>
      </c>
      <c r="H6124" s="7">
        <v>0</v>
      </c>
      <c r="I6124" s="7">
        <v>0</v>
      </c>
      <c r="J6124" s="17">
        <v>1</v>
      </c>
      <c r="K6124" s="17"/>
      <c r="L6124" s="7">
        <f>SUM(H6124:K6124)</f>
        <v>1</v>
      </c>
      <c r="M6124" s="8">
        <v>1</v>
      </c>
      <c r="N6124" s="8">
        <f>IF(L6124&gt;0,1,"")</f>
        <v>1</v>
      </c>
      <c r="O6124" s="11" t="s">
        <v>1702</v>
      </c>
      <c r="P6124" s="16" t="str">
        <f>IF(LEN(G6124)=10,CONCATENATE("0",G6124),G6124)</f>
        <v>30-Aug-1907</v>
      </c>
      <c r="R6124" s="16" t="str">
        <f t="shared" si="2636"/>
        <v>x</v>
      </c>
      <c r="S6124" s="16" t="str">
        <f t="shared" si="2636"/>
        <v>x</v>
      </c>
      <c r="U6124" s="46" t="str">
        <f t="shared" si="2637"/>
        <v/>
      </c>
      <c r="V6124" s="46">
        <f t="shared" si="2637"/>
        <v>1</v>
      </c>
      <c r="W6124" s="46" t="str">
        <f t="shared" si="2637"/>
        <v/>
      </c>
      <c r="X6124" s="46" t="str">
        <f t="shared" si="2637"/>
        <v/>
      </c>
    </row>
    <row r="6125" spans="2:24" x14ac:dyDescent="0.25">
      <c r="N6125" s="8" t="str">
        <f>IF(R6125="x",1,"")</f>
        <v/>
      </c>
      <c r="U6125" s="46" t="str">
        <f t="shared" si="2613"/>
        <v/>
      </c>
      <c r="V6125" s="46" t="str">
        <f t="shared" si="2613"/>
        <v/>
      </c>
      <c r="W6125" s="46" t="str">
        <f t="shared" si="2613"/>
        <v/>
      </c>
      <c r="X6125" s="46" t="str">
        <f t="shared" si="2613"/>
        <v/>
      </c>
    </row>
    <row r="6126" spans="2:24" x14ac:dyDescent="0.25">
      <c r="B6126" s="18"/>
      <c r="C6126" s="18"/>
      <c r="D6126" s="18"/>
      <c r="E6126" s="40"/>
      <c r="F6126" s="18"/>
      <c r="G6126" s="40"/>
      <c r="H6126" s="7">
        <f t="shared" ref="H6126:N6126" si="2638">SUM(H6121:H6125)</f>
        <v>0</v>
      </c>
      <c r="I6126" s="7">
        <f t="shared" si="2638"/>
        <v>0</v>
      </c>
      <c r="J6126" s="7">
        <f>SUM(J6121:J6125)</f>
        <v>21</v>
      </c>
      <c r="K6126" s="7">
        <f t="shared" si="2638"/>
        <v>0</v>
      </c>
      <c r="L6126" s="7">
        <f t="shared" si="2638"/>
        <v>21</v>
      </c>
      <c r="M6126" s="7">
        <f t="shared" si="2638"/>
        <v>4</v>
      </c>
      <c r="N6126" s="7">
        <f t="shared" si="2638"/>
        <v>4</v>
      </c>
      <c r="O6126" s="18"/>
      <c r="P6126" s="13"/>
      <c r="Q6126" s="13"/>
      <c r="S6126" s="13"/>
      <c r="T6126" s="15"/>
      <c r="U6126" s="46" t="str">
        <f t="shared" si="2613"/>
        <v/>
      </c>
      <c r="V6126" s="46" t="str">
        <f t="shared" si="2613"/>
        <v/>
      </c>
      <c r="W6126" s="46" t="str">
        <f t="shared" si="2613"/>
        <v/>
      </c>
      <c r="X6126" s="46" t="str">
        <f t="shared" si="2613"/>
        <v/>
      </c>
    </row>
    <row r="6127" spans="2:24" x14ac:dyDescent="0.25">
      <c r="B6127" s="18"/>
      <c r="C6127" s="18"/>
      <c r="D6127" s="18"/>
      <c r="E6127" s="40"/>
      <c r="F6127" s="18"/>
      <c r="G6127" s="40"/>
      <c r="N6127" s="8" t="str">
        <f>IF(R6127="x",1,"")</f>
        <v/>
      </c>
      <c r="O6127" s="18"/>
      <c r="P6127" s="13"/>
      <c r="Q6127" s="13"/>
      <c r="R6127" s="13"/>
      <c r="S6127" s="13"/>
      <c r="T6127" s="15"/>
      <c r="U6127" s="46" t="str">
        <f t="shared" si="2613"/>
        <v/>
      </c>
      <c r="V6127" s="46" t="str">
        <f t="shared" si="2613"/>
        <v/>
      </c>
      <c r="W6127" s="46" t="str">
        <f t="shared" si="2613"/>
        <v/>
      </c>
      <c r="X6127" s="46" t="str">
        <f t="shared" si="2613"/>
        <v/>
      </c>
    </row>
    <row r="6128" spans="2:24" x14ac:dyDescent="0.25">
      <c r="B6128" s="18"/>
      <c r="C6128" s="18"/>
      <c r="D6128" s="18"/>
      <c r="E6128" s="40"/>
      <c r="F6128" s="18"/>
      <c r="G6128" s="40"/>
      <c r="N6128" s="8" t="str">
        <f>IF(R6128="x",1,"")</f>
        <v/>
      </c>
      <c r="O6128" s="18"/>
      <c r="P6128" s="13"/>
      <c r="Q6128" s="13"/>
      <c r="R6128" s="13"/>
      <c r="S6128" s="13"/>
      <c r="T6128" s="15"/>
      <c r="U6128" s="46" t="str">
        <f t="shared" si="2613"/>
        <v/>
      </c>
      <c r="V6128" s="46" t="str">
        <f t="shared" si="2613"/>
        <v/>
      </c>
      <c r="W6128" s="46" t="str">
        <f t="shared" si="2613"/>
        <v/>
      </c>
      <c r="X6128" s="46" t="str">
        <f t="shared" si="2613"/>
        <v/>
      </c>
    </row>
    <row r="6129" spans="2:26" x14ac:dyDescent="0.25">
      <c r="B6129" s="11" t="str">
        <f t="shared" ref="B6129:B6141" si="2639">CONCATENATE("SPRN","-",LEFT(P6129,2),UPPER(MID(P6129,4,3)),RIGHT(P6129,4))</f>
        <v>SPRN-03JUL1890</v>
      </c>
      <c r="C6129" s="11" t="s">
        <v>599</v>
      </c>
      <c r="D6129" s="11" t="s">
        <v>2103</v>
      </c>
      <c r="F6129" s="11" t="s">
        <v>1700</v>
      </c>
      <c r="G6129" s="39" t="s">
        <v>4092</v>
      </c>
      <c r="H6129" s="7">
        <v>0</v>
      </c>
      <c r="I6129" s="7">
        <v>0</v>
      </c>
      <c r="J6129" s="17">
        <v>5</v>
      </c>
      <c r="K6129" s="17"/>
      <c r="L6129" s="7">
        <f t="shared" ref="L6129:L6141" si="2640">SUM(H6129:K6129)</f>
        <v>5</v>
      </c>
      <c r="M6129" s="8">
        <v>1</v>
      </c>
      <c r="N6129" s="8">
        <f t="shared" ref="N6129:N6141" si="2641">IF(L6129&gt;0,1,"")</f>
        <v>1</v>
      </c>
      <c r="O6129" s="11" t="s">
        <v>1702</v>
      </c>
      <c r="P6129" s="16" t="str">
        <f t="shared" ref="P6129:P6141" si="2642">IF(LEN(G6129)=10,CONCATENATE("0",G6129),G6129)</f>
        <v>03-Jul-1890</v>
      </c>
      <c r="R6129" s="16" t="str">
        <f>IF($L6129&gt;0,"x","")</f>
        <v>x</v>
      </c>
      <c r="S6129" s="16" t="str">
        <f>IF($L6129&gt;0,"x","")</f>
        <v>x</v>
      </c>
      <c r="U6129" s="46" t="str">
        <f t="shared" si="2613"/>
        <v/>
      </c>
      <c r="V6129" s="46">
        <f t="shared" si="2613"/>
        <v>5</v>
      </c>
      <c r="W6129" s="46" t="str">
        <f t="shared" si="2613"/>
        <v/>
      </c>
      <c r="X6129" s="46" t="str">
        <f t="shared" si="2613"/>
        <v/>
      </c>
    </row>
    <row r="6130" spans="2:26" x14ac:dyDescent="0.25">
      <c r="B6130" s="11" t="str">
        <f>CONCATENATE("SPRN","-",LEFT(P6130,2),UPPER(MID(P6130,4,3)),RIGHT(P6130,4))</f>
        <v>SPRN-19FEB1892</v>
      </c>
      <c r="C6130" s="11" t="s">
        <v>599</v>
      </c>
      <c r="D6130" s="11" t="s">
        <v>2103</v>
      </c>
      <c r="F6130" s="11" t="s">
        <v>1700</v>
      </c>
      <c r="G6130" s="39" t="s">
        <v>600</v>
      </c>
      <c r="H6130" s="7">
        <v>0</v>
      </c>
      <c r="I6130" s="7">
        <v>0</v>
      </c>
      <c r="J6130" s="17">
        <v>6</v>
      </c>
      <c r="K6130" s="17"/>
      <c r="L6130" s="7">
        <f>SUM(H6130:K6130)</f>
        <v>6</v>
      </c>
      <c r="M6130" s="8">
        <v>1</v>
      </c>
      <c r="N6130" s="8">
        <f>IF(L6130&gt;0,1,"")</f>
        <v>1</v>
      </c>
      <c r="O6130" s="11" t="s">
        <v>1702</v>
      </c>
      <c r="P6130" s="16" t="str">
        <f>IF(LEN(G6130)=10,CONCATENATE("0",G6130),G6130)</f>
        <v>19-Feb-1892</v>
      </c>
      <c r="R6130" s="16" t="str">
        <f t="shared" ref="R6130:S6194" si="2643">IF($L6130&gt;0,"x","")</f>
        <v>x</v>
      </c>
      <c r="S6130" s="16" t="str">
        <f t="shared" si="2643"/>
        <v>x</v>
      </c>
      <c r="U6130" s="46" t="str">
        <f t="shared" si="2613"/>
        <v/>
      </c>
      <c r="V6130" s="46">
        <f t="shared" si="2613"/>
        <v>6</v>
      </c>
      <c r="W6130" s="46" t="str">
        <f t="shared" si="2613"/>
        <v/>
      </c>
      <c r="X6130" s="46" t="str">
        <f t="shared" si="2613"/>
        <v/>
      </c>
      <c r="Z6130" s="11" t="s">
        <v>682</v>
      </c>
    </row>
    <row r="6131" spans="2:26" x14ac:dyDescent="0.25">
      <c r="B6131" s="11" t="str">
        <f t="shared" si="2639"/>
        <v>SPRN-07APR1892</v>
      </c>
      <c r="C6131" s="11" t="s">
        <v>599</v>
      </c>
      <c r="D6131" s="11" t="s">
        <v>2103</v>
      </c>
      <c r="F6131" s="11" t="s">
        <v>1700</v>
      </c>
      <c r="G6131" s="39" t="s">
        <v>601</v>
      </c>
      <c r="H6131" s="7">
        <v>0</v>
      </c>
      <c r="I6131" s="7">
        <v>0</v>
      </c>
      <c r="J6131" s="17">
        <v>0</v>
      </c>
      <c r="K6131" s="17"/>
      <c r="L6131" s="7">
        <f t="shared" si="2640"/>
        <v>0</v>
      </c>
      <c r="M6131" s="8">
        <v>1</v>
      </c>
      <c r="N6131" s="8" t="str">
        <f t="shared" si="2641"/>
        <v/>
      </c>
      <c r="O6131" s="11" t="s">
        <v>1702</v>
      </c>
      <c r="P6131" s="16" t="str">
        <f t="shared" si="2642"/>
        <v>07-Apr-1892</v>
      </c>
      <c r="R6131" s="16" t="str">
        <f t="shared" si="2643"/>
        <v/>
      </c>
      <c r="S6131" s="16" t="str">
        <f t="shared" si="2643"/>
        <v/>
      </c>
      <c r="U6131" s="46" t="str">
        <f t="shared" si="2613"/>
        <v/>
      </c>
      <c r="V6131" s="46">
        <f t="shared" si="2613"/>
        <v>0</v>
      </c>
      <c r="W6131" s="46" t="str">
        <f t="shared" si="2613"/>
        <v/>
      </c>
      <c r="X6131" s="46" t="str">
        <f t="shared" si="2613"/>
        <v/>
      </c>
    </row>
    <row r="6132" spans="2:26" x14ac:dyDescent="0.25">
      <c r="B6132" s="11" t="str">
        <f t="shared" si="2639"/>
        <v>SPRN-19MAY1892</v>
      </c>
      <c r="C6132" s="11" t="s">
        <v>599</v>
      </c>
      <c r="D6132" s="11" t="s">
        <v>2103</v>
      </c>
      <c r="F6132" s="11" t="s">
        <v>1700</v>
      </c>
      <c r="G6132" s="39" t="s">
        <v>602</v>
      </c>
      <c r="H6132" s="7">
        <v>0</v>
      </c>
      <c r="I6132" s="7">
        <v>0</v>
      </c>
      <c r="J6132" s="17">
        <v>0</v>
      </c>
      <c r="K6132" s="17"/>
      <c r="L6132" s="7">
        <f t="shared" si="2640"/>
        <v>0</v>
      </c>
      <c r="M6132" s="8">
        <v>1</v>
      </c>
      <c r="N6132" s="8" t="str">
        <f t="shared" si="2641"/>
        <v/>
      </c>
      <c r="O6132" s="11" t="s">
        <v>1702</v>
      </c>
      <c r="P6132" s="16" t="str">
        <f t="shared" si="2642"/>
        <v>19-May-1892</v>
      </c>
      <c r="R6132" s="16" t="str">
        <f t="shared" si="2643"/>
        <v/>
      </c>
      <c r="S6132" s="16" t="str">
        <f t="shared" si="2643"/>
        <v/>
      </c>
      <c r="U6132" s="46" t="str">
        <f t="shared" si="2613"/>
        <v/>
      </c>
      <c r="V6132" s="46">
        <f t="shared" si="2613"/>
        <v>0</v>
      </c>
      <c r="W6132" s="46" t="str">
        <f t="shared" si="2613"/>
        <v/>
      </c>
      <c r="X6132" s="46" t="str">
        <f t="shared" si="2613"/>
        <v/>
      </c>
    </row>
    <row r="6133" spans="2:26" x14ac:dyDescent="0.25">
      <c r="B6133" s="11" t="str">
        <f t="shared" si="2639"/>
        <v>SPRN-30JUN1892</v>
      </c>
      <c r="C6133" s="11" t="s">
        <v>599</v>
      </c>
      <c r="D6133" s="11" t="s">
        <v>2103</v>
      </c>
      <c r="F6133" s="11" t="s">
        <v>1700</v>
      </c>
      <c r="G6133" s="39" t="s">
        <v>603</v>
      </c>
      <c r="H6133" s="7">
        <v>0</v>
      </c>
      <c r="I6133" s="7">
        <v>0</v>
      </c>
      <c r="J6133" s="17">
        <v>0</v>
      </c>
      <c r="K6133" s="17"/>
      <c r="L6133" s="7">
        <f t="shared" si="2640"/>
        <v>0</v>
      </c>
      <c r="M6133" s="8">
        <v>1</v>
      </c>
      <c r="N6133" s="8" t="str">
        <f t="shared" si="2641"/>
        <v/>
      </c>
      <c r="O6133" s="11" t="s">
        <v>1702</v>
      </c>
      <c r="P6133" s="16" t="str">
        <f t="shared" si="2642"/>
        <v>30-Jun-1892</v>
      </c>
      <c r="R6133" s="16" t="str">
        <f t="shared" si="2643"/>
        <v/>
      </c>
      <c r="S6133" s="16" t="str">
        <f t="shared" si="2643"/>
        <v/>
      </c>
      <c r="U6133" s="46" t="str">
        <f t="shared" si="2613"/>
        <v/>
      </c>
      <c r="V6133" s="46">
        <f t="shared" si="2613"/>
        <v>0</v>
      </c>
      <c r="W6133" s="46" t="str">
        <f t="shared" si="2613"/>
        <v/>
      </c>
      <c r="X6133" s="46" t="str">
        <f t="shared" si="2613"/>
        <v/>
      </c>
    </row>
    <row r="6134" spans="2:26" x14ac:dyDescent="0.25">
      <c r="B6134" s="11" t="str">
        <f t="shared" si="2639"/>
        <v>SPRN-22SEP1892</v>
      </c>
      <c r="C6134" s="11" t="s">
        <v>599</v>
      </c>
      <c r="D6134" s="11" t="s">
        <v>2103</v>
      </c>
      <c r="F6134" s="11" t="s">
        <v>1700</v>
      </c>
      <c r="G6134" s="39" t="s">
        <v>97</v>
      </c>
      <c r="H6134" s="7">
        <v>0</v>
      </c>
      <c r="I6134" s="7">
        <v>0</v>
      </c>
      <c r="J6134" s="17">
        <v>0</v>
      </c>
      <c r="K6134" s="17"/>
      <c r="L6134" s="7">
        <f t="shared" si="2640"/>
        <v>0</v>
      </c>
      <c r="M6134" s="8">
        <v>1</v>
      </c>
      <c r="N6134" s="8" t="str">
        <f t="shared" si="2641"/>
        <v/>
      </c>
      <c r="O6134" s="11" t="s">
        <v>1702</v>
      </c>
      <c r="P6134" s="16" t="str">
        <f t="shared" si="2642"/>
        <v>22-Sep-1892</v>
      </c>
      <c r="R6134" s="16" t="str">
        <f t="shared" si="2643"/>
        <v/>
      </c>
      <c r="S6134" s="16" t="str">
        <f t="shared" si="2643"/>
        <v/>
      </c>
      <c r="U6134" s="46" t="str">
        <f t="shared" si="2613"/>
        <v/>
      </c>
      <c r="V6134" s="46">
        <f t="shared" si="2613"/>
        <v>0</v>
      </c>
      <c r="W6134" s="46" t="str">
        <f t="shared" si="2613"/>
        <v/>
      </c>
      <c r="X6134" s="46" t="str">
        <f t="shared" si="2613"/>
        <v/>
      </c>
    </row>
    <row r="6135" spans="2:26" x14ac:dyDescent="0.25">
      <c r="B6135" s="11" t="str">
        <f t="shared" si="2639"/>
        <v>SPRN-05NOV1892</v>
      </c>
      <c r="C6135" s="11" t="s">
        <v>599</v>
      </c>
      <c r="D6135" s="11" t="s">
        <v>2103</v>
      </c>
      <c r="F6135" s="11" t="s">
        <v>1700</v>
      </c>
      <c r="G6135" s="39" t="s">
        <v>604</v>
      </c>
      <c r="H6135" s="7">
        <v>0</v>
      </c>
      <c r="I6135" s="7">
        <v>0</v>
      </c>
      <c r="J6135" s="17">
        <v>9</v>
      </c>
      <c r="K6135" s="17"/>
      <c r="L6135" s="7">
        <f t="shared" si="2640"/>
        <v>9</v>
      </c>
      <c r="M6135" s="8">
        <v>1</v>
      </c>
      <c r="N6135" s="8">
        <f t="shared" si="2641"/>
        <v>1</v>
      </c>
      <c r="O6135" s="11" t="s">
        <v>1702</v>
      </c>
      <c r="P6135" s="16" t="str">
        <f t="shared" si="2642"/>
        <v>05-Nov-1892</v>
      </c>
      <c r="R6135" s="16" t="str">
        <f t="shared" si="2643"/>
        <v>x</v>
      </c>
      <c r="S6135" s="16" t="str">
        <f t="shared" si="2643"/>
        <v>x</v>
      </c>
      <c r="T6135" s="11"/>
      <c r="U6135" s="46" t="str">
        <f t="shared" si="2613"/>
        <v/>
      </c>
      <c r="V6135" s="46">
        <f t="shared" si="2613"/>
        <v>9</v>
      </c>
      <c r="W6135" s="46" t="str">
        <f t="shared" si="2613"/>
        <v/>
      </c>
      <c r="X6135" s="46" t="str">
        <f t="shared" si="2613"/>
        <v/>
      </c>
    </row>
    <row r="6136" spans="2:26" x14ac:dyDescent="0.25">
      <c r="B6136" s="11" t="str">
        <f>CONCATENATE("SPRN","-",LEFT(P6136,2),UPPER(MID(P6136,4,3)),RIGHT(P6136,4))</f>
        <v>SPRN-15DEC1892</v>
      </c>
      <c r="C6136" s="11" t="s">
        <v>599</v>
      </c>
      <c r="D6136" s="11" t="s">
        <v>2103</v>
      </c>
      <c r="F6136" s="11" t="s">
        <v>1700</v>
      </c>
      <c r="G6136" s="39" t="s">
        <v>6045</v>
      </c>
      <c r="H6136" s="7">
        <v>0</v>
      </c>
      <c r="I6136" s="7">
        <v>5</v>
      </c>
      <c r="J6136" s="17">
        <v>7</v>
      </c>
      <c r="K6136" s="17"/>
      <c r="L6136" s="7">
        <f>SUM(H6136:K6136)</f>
        <v>12</v>
      </c>
      <c r="M6136" s="8">
        <v>1</v>
      </c>
      <c r="N6136" s="8">
        <f>IF(L6136&gt;0,1,"")</f>
        <v>1</v>
      </c>
      <c r="O6136" s="11" t="s">
        <v>1702</v>
      </c>
      <c r="P6136" s="16" t="str">
        <f>IF(LEN(G6136)=10,CONCATENATE("0",G6136),G6136)</f>
        <v>15-Dec-1892</v>
      </c>
      <c r="R6136" s="16" t="str">
        <f t="shared" si="2643"/>
        <v>x</v>
      </c>
      <c r="S6136" s="16" t="str">
        <f t="shared" si="2643"/>
        <v>x</v>
      </c>
      <c r="U6136" s="46" t="str">
        <f>IF($O6136=U$5,$L6136,"")</f>
        <v/>
      </c>
      <c r="V6136" s="46">
        <f>IF($O6136=V$5,$L6136,"")</f>
        <v>12</v>
      </c>
      <c r="W6136" s="46" t="str">
        <f>IF($O6136=W$5,$L6136,"")</f>
        <v/>
      </c>
      <c r="X6136" s="46" t="str">
        <f>IF($O6136=X$5,$L6136,"")</f>
        <v/>
      </c>
    </row>
    <row r="6137" spans="2:26" x14ac:dyDescent="0.25">
      <c r="B6137" s="11" t="str">
        <f t="shared" si="2639"/>
        <v>SPRN-04FEB1893</v>
      </c>
      <c r="C6137" s="11" t="s">
        <v>599</v>
      </c>
      <c r="D6137" s="11" t="s">
        <v>2103</v>
      </c>
      <c r="F6137" s="11" t="s">
        <v>1700</v>
      </c>
      <c r="G6137" s="39" t="s">
        <v>605</v>
      </c>
      <c r="H6137" s="7">
        <v>0</v>
      </c>
      <c r="I6137" s="7">
        <v>0</v>
      </c>
      <c r="J6137" s="17">
        <v>0</v>
      </c>
      <c r="K6137" s="17"/>
      <c r="L6137" s="7">
        <f t="shared" si="2640"/>
        <v>0</v>
      </c>
      <c r="M6137" s="8">
        <v>1</v>
      </c>
      <c r="N6137" s="8" t="str">
        <f t="shared" si="2641"/>
        <v/>
      </c>
      <c r="O6137" s="11" t="s">
        <v>1702</v>
      </c>
      <c r="P6137" s="16" t="str">
        <f t="shared" si="2642"/>
        <v>04-Feb-1893</v>
      </c>
      <c r="R6137" s="16" t="str">
        <f t="shared" si="2643"/>
        <v/>
      </c>
      <c r="S6137" s="16" t="str">
        <f t="shared" si="2643"/>
        <v/>
      </c>
      <c r="T6137" s="11"/>
      <c r="U6137" s="46" t="str">
        <f t="shared" si="2613"/>
        <v/>
      </c>
      <c r="V6137" s="46">
        <f t="shared" si="2613"/>
        <v>0</v>
      </c>
      <c r="W6137" s="46" t="str">
        <f t="shared" si="2613"/>
        <v/>
      </c>
      <c r="X6137" s="46" t="str">
        <f t="shared" si="2613"/>
        <v/>
      </c>
    </row>
    <row r="6138" spans="2:26" x14ac:dyDescent="0.25">
      <c r="B6138" s="11" t="str">
        <f t="shared" si="2639"/>
        <v>SPRN-16MAR1893</v>
      </c>
      <c r="C6138" s="11" t="s">
        <v>599</v>
      </c>
      <c r="D6138" s="11" t="s">
        <v>2103</v>
      </c>
      <c r="F6138" s="11" t="s">
        <v>1700</v>
      </c>
      <c r="G6138" s="39" t="s">
        <v>606</v>
      </c>
      <c r="H6138" s="7">
        <v>0</v>
      </c>
      <c r="I6138" s="7">
        <v>0</v>
      </c>
      <c r="J6138" s="17">
        <v>6</v>
      </c>
      <c r="K6138" s="17"/>
      <c r="L6138" s="7">
        <f t="shared" si="2640"/>
        <v>6</v>
      </c>
      <c r="M6138" s="8">
        <v>1</v>
      </c>
      <c r="N6138" s="8">
        <f t="shared" si="2641"/>
        <v>1</v>
      </c>
      <c r="O6138" s="11" t="s">
        <v>1702</v>
      </c>
      <c r="P6138" s="16" t="str">
        <f t="shared" si="2642"/>
        <v>16-Mar-1893</v>
      </c>
      <c r="R6138" s="16" t="str">
        <f t="shared" si="2643"/>
        <v>x</v>
      </c>
      <c r="S6138" s="16" t="str">
        <f t="shared" si="2643"/>
        <v>x</v>
      </c>
      <c r="T6138" s="11"/>
      <c r="U6138" s="46" t="str">
        <f t="shared" si="2613"/>
        <v/>
      </c>
      <c r="V6138" s="46">
        <f t="shared" si="2613"/>
        <v>6</v>
      </c>
      <c r="W6138" s="46" t="str">
        <f t="shared" si="2613"/>
        <v/>
      </c>
      <c r="X6138" s="46" t="str">
        <f t="shared" si="2613"/>
        <v/>
      </c>
    </row>
    <row r="6139" spans="2:26" x14ac:dyDescent="0.25">
      <c r="B6139" s="11" t="str">
        <f t="shared" si="2639"/>
        <v>SPRN-04MAY1893</v>
      </c>
      <c r="C6139" s="11" t="s">
        <v>599</v>
      </c>
      <c r="D6139" s="11" t="s">
        <v>2103</v>
      </c>
      <c r="F6139" s="11" t="s">
        <v>1700</v>
      </c>
      <c r="G6139" s="39" t="s">
        <v>607</v>
      </c>
      <c r="H6139" s="7">
        <v>0</v>
      </c>
      <c r="I6139" s="7">
        <v>0</v>
      </c>
      <c r="J6139" s="17">
        <v>0</v>
      </c>
      <c r="K6139" s="17"/>
      <c r="L6139" s="7">
        <f t="shared" si="2640"/>
        <v>0</v>
      </c>
      <c r="M6139" s="8">
        <v>1</v>
      </c>
      <c r="N6139" s="8" t="str">
        <f t="shared" si="2641"/>
        <v/>
      </c>
      <c r="O6139" s="11" t="s">
        <v>1702</v>
      </c>
      <c r="P6139" s="16" t="str">
        <f t="shared" si="2642"/>
        <v>04-May-1893</v>
      </c>
      <c r="R6139" s="16" t="str">
        <f t="shared" si="2643"/>
        <v/>
      </c>
      <c r="S6139" s="16" t="str">
        <f t="shared" si="2643"/>
        <v/>
      </c>
      <c r="T6139" s="11"/>
      <c r="U6139" s="46" t="str">
        <f t="shared" si="2613"/>
        <v/>
      </c>
      <c r="V6139" s="46">
        <f t="shared" si="2613"/>
        <v>0</v>
      </c>
      <c r="W6139" s="46" t="str">
        <f t="shared" si="2613"/>
        <v/>
      </c>
      <c r="X6139" s="46" t="str">
        <f t="shared" si="2613"/>
        <v/>
      </c>
    </row>
    <row r="6140" spans="2:26" x14ac:dyDescent="0.25">
      <c r="B6140" s="11" t="str">
        <f t="shared" si="2639"/>
        <v>SPRN-14JUN1893</v>
      </c>
      <c r="C6140" s="11" t="s">
        <v>599</v>
      </c>
      <c r="D6140" s="11" t="s">
        <v>2103</v>
      </c>
      <c r="F6140" s="11" t="s">
        <v>1700</v>
      </c>
      <c r="G6140" s="39" t="s">
        <v>608</v>
      </c>
      <c r="H6140" s="7">
        <v>0</v>
      </c>
      <c r="I6140" s="7">
        <v>0</v>
      </c>
      <c r="J6140" s="17">
        <v>2</v>
      </c>
      <c r="K6140" s="17"/>
      <c r="L6140" s="7">
        <f t="shared" si="2640"/>
        <v>2</v>
      </c>
      <c r="M6140" s="8">
        <v>1</v>
      </c>
      <c r="N6140" s="8">
        <f t="shared" si="2641"/>
        <v>1</v>
      </c>
      <c r="O6140" s="11" t="s">
        <v>1702</v>
      </c>
      <c r="P6140" s="16" t="str">
        <f t="shared" si="2642"/>
        <v>14-Jun-1893</v>
      </c>
      <c r="R6140" s="16" t="str">
        <f t="shared" si="2643"/>
        <v>x</v>
      </c>
      <c r="S6140" s="16" t="str">
        <f t="shared" si="2643"/>
        <v>x</v>
      </c>
      <c r="T6140" s="11"/>
      <c r="U6140" s="46" t="str">
        <f t="shared" si="2613"/>
        <v/>
      </c>
      <c r="V6140" s="46">
        <f t="shared" si="2613"/>
        <v>2</v>
      </c>
      <c r="W6140" s="46" t="str">
        <f t="shared" si="2613"/>
        <v/>
      </c>
      <c r="X6140" s="46" t="str">
        <f t="shared" si="2613"/>
        <v/>
      </c>
    </row>
    <row r="6141" spans="2:26" x14ac:dyDescent="0.25">
      <c r="B6141" s="11" t="str">
        <f t="shared" si="2639"/>
        <v>SPRN-24JUL1893</v>
      </c>
      <c r="C6141" s="11" t="s">
        <v>599</v>
      </c>
      <c r="D6141" s="11" t="s">
        <v>2103</v>
      </c>
      <c r="F6141" s="11" t="s">
        <v>1700</v>
      </c>
      <c r="G6141" s="39" t="s">
        <v>2268</v>
      </c>
      <c r="H6141" s="7">
        <v>0</v>
      </c>
      <c r="I6141" s="7">
        <v>0</v>
      </c>
      <c r="J6141" s="17">
        <v>0</v>
      </c>
      <c r="K6141" s="17"/>
      <c r="L6141" s="7">
        <f t="shared" si="2640"/>
        <v>0</v>
      </c>
      <c r="M6141" s="8">
        <v>1</v>
      </c>
      <c r="N6141" s="8" t="str">
        <f t="shared" si="2641"/>
        <v/>
      </c>
      <c r="O6141" s="11" t="s">
        <v>1702</v>
      </c>
      <c r="P6141" s="16" t="str">
        <f t="shared" si="2642"/>
        <v>24-Jul-1893</v>
      </c>
      <c r="R6141" s="16" t="str">
        <f t="shared" si="2643"/>
        <v/>
      </c>
      <c r="S6141" s="16" t="str">
        <f t="shared" si="2643"/>
        <v/>
      </c>
      <c r="T6141" s="11"/>
      <c r="U6141" s="46" t="str">
        <f t="shared" si="2613"/>
        <v/>
      </c>
      <c r="V6141" s="46">
        <f t="shared" si="2613"/>
        <v>0</v>
      </c>
      <c r="W6141" s="46" t="str">
        <f t="shared" si="2613"/>
        <v/>
      </c>
      <c r="X6141" s="46" t="str">
        <f t="shared" si="2613"/>
        <v/>
      </c>
    </row>
    <row r="6142" spans="2:26" x14ac:dyDescent="0.25">
      <c r="B6142" s="11" t="str">
        <f t="shared" ref="B6142:B6163" si="2644">CONCATENATE("SPRN","-",LEFT(P6142,2),UPPER(MID(P6142,4,3)),RIGHT(P6142,4))</f>
        <v>SPRN-28AUG1893</v>
      </c>
      <c r="C6142" s="11" t="s">
        <v>599</v>
      </c>
      <c r="D6142" s="11" t="s">
        <v>2103</v>
      </c>
      <c r="F6142" s="11" t="s">
        <v>1700</v>
      </c>
      <c r="G6142" s="39" t="s">
        <v>364</v>
      </c>
      <c r="H6142" s="7">
        <v>0</v>
      </c>
      <c r="I6142" s="7">
        <v>0</v>
      </c>
      <c r="J6142" s="17">
        <v>0</v>
      </c>
      <c r="K6142" s="17"/>
      <c r="L6142" s="7">
        <f t="shared" ref="L6142:L6163" si="2645">SUM(H6142:K6142)</f>
        <v>0</v>
      </c>
      <c r="M6142" s="8">
        <v>1</v>
      </c>
      <c r="N6142" s="8" t="str">
        <f t="shared" ref="N6142:N6163" si="2646">IF(L6142&gt;0,1,"")</f>
        <v/>
      </c>
      <c r="O6142" s="11" t="s">
        <v>1702</v>
      </c>
      <c r="P6142" s="16" t="str">
        <f t="shared" ref="P6142:P6163" si="2647">IF(LEN(G6142)=10,CONCATENATE("0",G6142),G6142)</f>
        <v>28-Aug-1893</v>
      </c>
      <c r="R6142" s="16" t="str">
        <f t="shared" si="2643"/>
        <v/>
      </c>
      <c r="S6142" s="16" t="str">
        <f t="shared" si="2643"/>
        <v/>
      </c>
      <c r="T6142" s="11"/>
      <c r="U6142" s="46" t="str">
        <f t="shared" si="2613"/>
        <v/>
      </c>
      <c r="V6142" s="46">
        <f t="shared" si="2613"/>
        <v>0</v>
      </c>
      <c r="W6142" s="46" t="str">
        <f t="shared" si="2613"/>
        <v/>
      </c>
      <c r="X6142" s="46" t="str">
        <f t="shared" si="2613"/>
        <v/>
      </c>
    </row>
    <row r="6143" spans="2:26" x14ac:dyDescent="0.25">
      <c r="B6143" s="11" t="str">
        <f t="shared" si="2644"/>
        <v>SPRN-02OCT1893</v>
      </c>
      <c r="C6143" s="11" t="s">
        <v>599</v>
      </c>
      <c r="D6143" s="11" t="s">
        <v>2103</v>
      </c>
      <c r="F6143" s="11" t="s">
        <v>1700</v>
      </c>
      <c r="G6143" s="39" t="s">
        <v>2269</v>
      </c>
      <c r="H6143" s="7">
        <v>0</v>
      </c>
      <c r="I6143" s="7">
        <v>0</v>
      </c>
      <c r="J6143" s="17">
        <v>0</v>
      </c>
      <c r="K6143" s="17"/>
      <c r="L6143" s="7">
        <f t="shared" si="2645"/>
        <v>0</v>
      </c>
      <c r="M6143" s="8">
        <v>1</v>
      </c>
      <c r="N6143" s="8" t="str">
        <f t="shared" si="2646"/>
        <v/>
      </c>
      <c r="O6143" s="11" t="s">
        <v>1702</v>
      </c>
      <c r="P6143" s="16" t="str">
        <f t="shared" si="2647"/>
        <v>02-Oct-1893</v>
      </c>
      <c r="R6143" s="16" t="str">
        <f t="shared" si="2643"/>
        <v/>
      </c>
      <c r="S6143" s="16" t="str">
        <f t="shared" si="2643"/>
        <v/>
      </c>
      <c r="T6143" s="11"/>
      <c r="U6143" s="46" t="str">
        <f t="shared" si="2613"/>
        <v/>
      </c>
      <c r="V6143" s="46">
        <f t="shared" si="2613"/>
        <v>0</v>
      </c>
      <c r="W6143" s="46" t="str">
        <f t="shared" si="2613"/>
        <v/>
      </c>
      <c r="X6143" s="46" t="str">
        <f t="shared" si="2613"/>
        <v/>
      </c>
    </row>
    <row r="6144" spans="2:26" x14ac:dyDescent="0.25">
      <c r="B6144" s="11" t="str">
        <f t="shared" si="2644"/>
        <v>SPRN-07NOV1893</v>
      </c>
      <c r="C6144" s="11" t="s">
        <v>599</v>
      </c>
      <c r="D6144" s="11" t="s">
        <v>2103</v>
      </c>
      <c r="F6144" s="11" t="s">
        <v>1700</v>
      </c>
      <c r="G6144" s="39" t="s">
        <v>609</v>
      </c>
      <c r="H6144" s="7">
        <v>0</v>
      </c>
      <c r="I6144" s="7">
        <v>0</v>
      </c>
      <c r="J6144" s="17">
        <v>8</v>
      </c>
      <c r="K6144" s="17"/>
      <c r="L6144" s="7">
        <f t="shared" si="2645"/>
        <v>8</v>
      </c>
      <c r="M6144" s="8">
        <v>1</v>
      </c>
      <c r="N6144" s="8">
        <f t="shared" si="2646"/>
        <v>1</v>
      </c>
      <c r="O6144" s="11" t="s">
        <v>1702</v>
      </c>
      <c r="P6144" s="16" t="str">
        <f t="shared" si="2647"/>
        <v>07-Nov-1893</v>
      </c>
      <c r="R6144" s="16" t="str">
        <f t="shared" si="2643"/>
        <v>x</v>
      </c>
      <c r="S6144" s="16" t="str">
        <f t="shared" si="2643"/>
        <v>x</v>
      </c>
      <c r="T6144" s="11"/>
      <c r="U6144" s="46" t="str">
        <f t="shared" si="2613"/>
        <v/>
      </c>
      <c r="V6144" s="46">
        <f t="shared" si="2613"/>
        <v>8</v>
      </c>
      <c r="W6144" s="46" t="str">
        <f t="shared" si="2613"/>
        <v/>
      </c>
      <c r="X6144" s="46" t="str">
        <f t="shared" si="2613"/>
        <v/>
      </c>
    </row>
    <row r="6145" spans="2:24" x14ac:dyDescent="0.25">
      <c r="B6145" s="11" t="str">
        <f t="shared" si="2644"/>
        <v>SPRN-20DEC1893</v>
      </c>
      <c r="C6145" s="11" t="s">
        <v>599</v>
      </c>
      <c r="D6145" s="11" t="s">
        <v>2103</v>
      </c>
      <c r="F6145" s="11" t="s">
        <v>1700</v>
      </c>
      <c r="G6145" s="39" t="s">
        <v>218</v>
      </c>
      <c r="H6145" s="7">
        <v>0</v>
      </c>
      <c r="I6145" s="7">
        <v>0</v>
      </c>
      <c r="J6145" s="17">
        <v>0</v>
      </c>
      <c r="K6145" s="17"/>
      <c r="L6145" s="7">
        <f t="shared" si="2645"/>
        <v>0</v>
      </c>
      <c r="M6145" s="8">
        <v>1</v>
      </c>
      <c r="N6145" s="8" t="str">
        <f t="shared" si="2646"/>
        <v/>
      </c>
      <c r="O6145" s="11" t="s">
        <v>1702</v>
      </c>
      <c r="P6145" s="16" t="str">
        <f t="shared" si="2647"/>
        <v>20-Dec-1893</v>
      </c>
      <c r="R6145" s="16" t="str">
        <f t="shared" si="2643"/>
        <v/>
      </c>
      <c r="S6145" s="16" t="str">
        <f t="shared" si="2643"/>
        <v/>
      </c>
      <c r="T6145" s="11"/>
      <c r="U6145" s="46" t="str">
        <f t="shared" si="2613"/>
        <v/>
      </c>
      <c r="V6145" s="46">
        <f t="shared" si="2613"/>
        <v>0</v>
      </c>
      <c r="W6145" s="46" t="str">
        <f t="shared" si="2613"/>
        <v/>
      </c>
      <c r="X6145" s="46" t="str">
        <f t="shared" si="2613"/>
        <v/>
      </c>
    </row>
    <row r="6146" spans="2:24" x14ac:dyDescent="0.25">
      <c r="B6146" s="11" t="str">
        <f t="shared" si="2644"/>
        <v>SPRN-31JAN1894</v>
      </c>
      <c r="C6146" s="11" t="s">
        <v>599</v>
      </c>
      <c r="D6146" s="11" t="s">
        <v>2103</v>
      </c>
      <c r="F6146" s="11" t="s">
        <v>1700</v>
      </c>
      <c r="G6146" s="39" t="s">
        <v>610</v>
      </c>
      <c r="H6146" s="7">
        <v>0</v>
      </c>
      <c r="I6146" s="7">
        <v>0</v>
      </c>
      <c r="J6146" s="17">
        <v>4</v>
      </c>
      <c r="K6146" s="17"/>
      <c r="L6146" s="7">
        <f t="shared" si="2645"/>
        <v>4</v>
      </c>
      <c r="M6146" s="8">
        <v>1</v>
      </c>
      <c r="N6146" s="8">
        <f t="shared" si="2646"/>
        <v>1</v>
      </c>
      <c r="O6146" s="11" t="s">
        <v>1702</v>
      </c>
      <c r="P6146" s="16" t="str">
        <f t="shared" si="2647"/>
        <v>31-Jan-1894</v>
      </c>
      <c r="R6146" s="16" t="str">
        <f t="shared" si="2643"/>
        <v>x</v>
      </c>
      <c r="S6146" s="16" t="str">
        <f t="shared" si="2643"/>
        <v>x</v>
      </c>
      <c r="T6146" s="11"/>
      <c r="U6146" s="46" t="str">
        <f t="shared" si="2613"/>
        <v/>
      </c>
      <c r="V6146" s="46">
        <f t="shared" si="2613"/>
        <v>4</v>
      </c>
      <c r="W6146" s="46" t="str">
        <f t="shared" si="2613"/>
        <v/>
      </c>
      <c r="X6146" s="46" t="str">
        <f t="shared" si="2613"/>
        <v/>
      </c>
    </row>
    <row r="6147" spans="2:24" x14ac:dyDescent="0.25">
      <c r="B6147" s="11" t="str">
        <f t="shared" si="2644"/>
        <v>SPRN-23APR1894</v>
      </c>
      <c r="C6147" s="11" t="s">
        <v>599</v>
      </c>
      <c r="D6147" s="11" t="s">
        <v>2103</v>
      </c>
      <c r="F6147" s="11" t="s">
        <v>1700</v>
      </c>
      <c r="G6147" s="39" t="s">
        <v>2234</v>
      </c>
      <c r="H6147" s="7">
        <v>0</v>
      </c>
      <c r="I6147" s="7">
        <v>0</v>
      </c>
      <c r="J6147" s="17">
        <v>0</v>
      </c>
      <c r="K6147" s="17"/>
      <c r="L6147" s="7">
        <f t="shared" si="2645"/>
        <v>0</v>
      </c>
      <c r="M6147" s="8">
        <v>1</v>
      </c>
      <c r="N6147" s="8" t="str">
        <f t="shared" si="2646"/>
        <v/>
      </c>
      <c r="O6147" s="11" t="s">
        <v>1702</v>
      </c>
      <c r="P6147" s="16" t="str">
        <f t="shared" si="2647"/>
        <v>23-Apr-1894</v>
      </c>
      <c r="R6147" s="16" t="str">
        <f t="shared" si="2643"/>
        <v/>
      </c>
      <c r="S6147" s="16" t="str">
        <f t="shared" si="2643"/>
        <v/>
      </c>
      <c r="T6147" s="11"/>
      <c r="U6147" s="46" t="str">
        <f t="shared" si="2613"/>
        <v/>
      </c>
      <c r="V6147" s="46">
        <f t="shared" si="2613"/>
        <v>0</v>
      </c>
      <c r="W6147" s="46" t="str">
        <f t="shared" si="2613"/>
        <v/>
      </c>
      <c r="X6147" s="46" t="str">
        <f t="shared" si="2613"/>
        <v/>
      </c>
    </row>
    <row r="6148" spans="2:24" x14ac:dyDescent="0.25">
      <c r="B6148" s="11" t="str">
        <f t="shared" si="2644"/>
        <v>SPRN-28MAY1894</v>
      </c>
      <c r="C6148" s="11" t="s">
        <v>599</v>
      </c>
      <c r="D6148" s="11" t="s">
        <v>2103</v>
      </c>
      <c r="F6148" s="11" t="s">
        <v>1700</v>
      </c>
      <c r="G6148" s="39" t="s">
        <v>368</v>
      </c>
      <c r="H6148" s="7">
        <v>0</v>
      </c>
      <c r="I6148" s="7">
        <v>0</v>
      </c>
      <c r="J6148" s="17">
        <v>1</v>
      </c>
      <c r="K6148" s="17"/>
      <c r="L6148" s="7">
        <f t="shared" si="2645"/>
        <v>1</v>
      </c>
      <c r="M6148" s="8">
        <v>1</v>
      </c>
      <c r="N6148" s="8">
        <f t="shared" si="2646"/>
        <v>1</v>
      </c>
      <c r="O6148" s="11" t="s">
        <v>1702</v>
      </c>
      <c r="P6148" s="16" t="str">
        <f t="shared" si="2647"/>
        <v>28-May-1894</v>
      </c>
      <c r="R6148" s="16" t="str">
        <f t="shared" si="2643"/>
        <v>x</v>
      </c>
      <c r="S6148" s="16" t="str">
        <f t="shared" si="2643"/>
        <v>x</v>
      </c>
      <c r="T6148" s="11"/>
      <c r="U6148" s="46" t="str">
        <f t="shared" si="2613"/>
        <v/>
      </c>
      <c r="V6148" s="46">
        <f t="shared" si="2613"/>
        <v>1</v>
      </c>
      <c r="W6148" s="46" t="str">
        <f t="shared" si="2613"/>
        <v/>
      </c>
      <c r="X6148" s="46" t="str">
        <f t="shared" si="2613"/>
        <v/>
      </c>
    </row>
    <row r="6149" spans="2:24" x14ac:dyDescent="0.25">
      <c r="B6149" s="11" t="str">
        <f t="shared" si="2644"/>
        <v>SPRN-02JUL1894</v>
      </c>
      <c r="C6149" s="11" t="s">
        <v>599</v>
      </c>
      <c r="D6149" s="11" t="s">
        <v>2103</v>
      </c>
      <c r="F6149" s="11" t="s">
        <v>1700</v>
      </c>
      <c r="G6149" s="39" t="s">
        <v>524</v>
      </c>
      <c r="H6149" s="7">
        <v>0</v>
      </c>
      <c r="I6149" s="7">
        <v>0</v>
      </c>
      <c r="J6149" s="17">
        <v>0</v>
      </c>
      <c r="K6149" s="17"/>
      <c r="L6149" s="7">
        <f t="shared" si="2645"/>
        <v>0</v>
      </c>
      <c r="M6149" s="8">
        <v>1</v>
      </c>
      <c r="N6149" s="8" t="str">
        <f t="shared" si="2646"/>
        <v/>
      </c>
      <c r="O6149" s="11" t="s">
        <v>1702</v>
      </c>
      <c r="P6149" s="16" t="str">
        <f t="shared" si="2647"/>
        <v>02-Jul-1894</v>
      </c>
      <c r="R6149" s="16" t="str">
        <f t="shared" si="2643"/>
        <v/>
      </c>
      <c r="S6149" s="16" t="str">
        <f t="shared" si="2643"/>
        <v/>
      </c>
      <c r="T6149" s="11"/>
      <c r="U6149" s="46" t="str">
        <f t="shared" si="2613"/>
        <v/>
      </c>
      <c r="V6149" s="46">
        <f t="shared" si="2613"/>
        <v>0</v>
      </c>
      <c r="W6149" s="46" t="str">
        <f t="shared" si="2613"/>
        <v/>
      </c>
      <c r="X6149" s="46" t="str">
        <f t="shared" si="2613"/>
        <v/>
      </c>
    </row>
    <row r="6150" spans="2:24" x14ac:dyDescent="0.25">
      <c r="B6150" s="11" t="str">
        <f t="shared" ref="B6150:B6160" si="2648">CONCATENATE("SPRN","-",LEFT(P6150,2),UPPER(MID(P6150,4,3)),RIGHT(P6150,4))</f>
        <v>SPRN-06AUG1894</v>
      </c>
      <c r="C6150" s="11" t="s">
        <v>599</v>
      </c>
      <c r="D6150" s="11" t="s">
        <v>2103</v>
      </c>
      <c r="F6150" s="11" t="s">
        <v>1700</v>
      </c>
      <c r="G6150" s="39" t="s">
        <v>611</v>
      </c>
      <c r="H6150" s="7">
        <v>0</v>
      </c>
      <c r="I6150" s="7">
        <v>0</v>
      </c>
      <c r="J6150" s="17">
        <v>0</v>
      </c>
      <c r="K6150" s="17"/>
      <c r="L6150" s="7">
        <f t="shared" ref="L6150:L6160" si="2649">SUM(H6150:K6150)</f>
        <v>0</v>
      </c>
      <c r="M6150" s="8">
        <v>1</v>
      </c>
      <c r="N6150" s="8" t="str">
        <f t="shared" ref="N6150:N6160" si="2650">IF(L6150&gt;0,1,"")</f>
        <v/>
      </c>
      <c r="O6150" s="11" t="s">
        <v>1702</v>
      </c>
      <c r="P6150" s="16" t="str">
        <f t="shared" ref="P6150:P6160" si="2651">IF(LEN(G6150)=10,CONCATENATE("0",G6150),G6150)</f>
        <v>06-Aug-1894</v>
      </c>
      <c r="R6150" s="16" t="str">
        <f t="shared" si="2643"/>
        <v/>
      </c>
      <c r="S6150" s="16" t="str">
        <f t="shared" si="2643"/>
        <v/>
      </c>
      <c r="T6150" s="11"/>
      <c r="U6150" s="46" t="str">
        <f t="shared" si="2613"/>
        <v/>
      </c>
      <c r="V6150" s="46">
        <f t="shared" si="2613"/>
        <v>0</v>
      </c>
      <c r="W6150" s="46" t="str">
        <f t="shared" si="2613"/>
        <v/>
      </c>
      <c r="X6150" s="46" t="str">
        <f t="shared" si="2613"/>
        <v/>
      </c>
    </row>
    <row r="6151" spans="2:24" x14ac:dyDescent="0.25">
      <c r="B6151" s="11" t="str">
        <f t="shared" si="2648"/>
        <v>SPRN-10SEP1894</v>
      </c>
      <c r="C6151" s="11" t="s">
        <v>599</v>
      </c>
      <c r="D6151" s="11" t="s">
        <v>2103</v>
      </c>
      <c r="F6151" s="11" t="s">
        <v>1700</v>
      </c>
      <c r="G6151" s="39" t="s">
        <v>371</v>
      </c>
      <c r="H6151" s="7">
        <v>0</v>
      </c>
      <c r="I6151" s="7">
        <v>0</v>
      </c>
      <c r="J6151" s="17">
        <v>4</v>
      </c>
      <c r="K6151" s="17"/>
      <c r="L6151" s="7">
        <f t="shared" si="2649"/>
        <v>4</v>
      </c>
      <c r="M6151" s="8">
        <v>1</v>
      </c>
      <c r="N6151" s="8">
        <f t="shared" si="2650"/>
        <v>1</v>
      </c>
      <c r="O6151" s="11" t="s">
        <v>1702</v>
      </c>
      <c r="P6151" s="16" t="str">
        <f t="shared" si="2651"/>
        <v>10-Sep-1894</v>
      </c>
      <c r="R6151" s="16" t="str">
        <f t="shared" si="2643"/>
        <v>x</v>
      </c>
      <c r="S6151" s="16" t="str">
        <f t="shared" si="2643"/>
        <v>x</v>
      </c>
      <c r="T6151" s="11"/>
      <c r="U6151" s="46" t="str">
        <f t="shared" si="2613"/>
        <v/>
      </c>
      <c r="V6151" s="46">
        <f t="shared" si="2613"/>
        <v>4</v>
      </c>
      <c r="W6151" s="46" t="str">
        <f t="shared" si="2613"/>
        <v/>
      </c>
      <c r="X6151" s="46" t="str">
        <f t="shared" si="2613"/>
        <v/>
      </c>
    </row>
    <row r="6152" spans="2:24" x14ac:dyDescent="0.25">
      <c r="B6152" s="11" t="str">
        <f t="shared" si="2648"/>
        <v>SPRN-16OCT1894</v>
      </c>
      <c r="C6152" s="11" t="s">
        <v>599</v>
      </c>
      <c r="D6152" s="11" t="s">
        <v>2103</v>
      </c>
      <c r="F6152" s="11" t="s">
        <v>1700</v>
      </c>
      <c r="G6152" s="39" t="s">
        <v>612</v>
      </c>
      <c r="H6152" s="7">
        <v>0</v>
      </c>
      <c r="I6152" s="7">
        <v>0</v>
      </c>
      <c r="J6152" s="17">
        <v>5</v>
      </c>
      <c r="K6152" s="17"/>
      <c r="L6152" s="7">
        <f t="shared" si="2649"/>
        <v>5</v>
      </c>
      <c r="M6152" s="8">
        <v>1</v>
      </c>
      <c r="N6152" s="8">
        <f t="shared" si="2650"/>
        <v>1</v>
      </c>
      <c r="O6152" s="11" t="s">
        <v>1702</v>
      </c>
      <c r="P6152" s="16" t="str">
        <f t="shared" si="2651"/>
        <v>16-Oct-1894</v>
      </c>
      <c r="R6152" s="16" t="str">
        <f t="shared" si="2643"/>
        <v>x</v>
      </c>
      <c r="S6152" s="16" t="str">
        <f t="shared" si="2643"/>
        <v>x</v>
      </c>
      <c r="T6152" s="11"/>
      <c r="U6152" s="46" t="str">
        <f t="shared" si="2613"/>
        <v/>
      </c>
      <c r="V6152" s="46">
        <f t="shared" si="2613"/>
        <v>5</v>
      </c>
      <c r="W6152" s="46" t="str">
        <f t="shared" si="2613"/>
        <v/>
      </c>
      <c r="X6152" s="46" t="str">
        <f t="shared" si="2613"/>
        <v/>
      </c>
    </row>
    <row r="6153" spans="2:24" x14ac:dyDescent="0.25">
      <c r="B6153" s="11" t="str">
        <f t="shared" si="2648"/>
        <v>SPRN-22NOV1894</v>
      </c>
      <c r="C6153" s="11" t="s">
        <v>599</v>
      </c>
      <c r="D6153" s="11" t="s">
        <v>2103</v>
      </c>
      <c r="F6153" s="11" t="s">
        <v>1700</v>
      </c>
      <c r="G6153" s="39" t="s">
        <v>224</v>
      </c>
      <c r="H6153" s="7">
        <v>0</v>
      </c>
      <c r="I6153" s="7">
        <v>0</v>
      </c>
      <c r="J6153" s="17">
        <v>0</v>
      </c>
      <c r="K6153" s="17"/>
      <c r="L6153" s="7">
        <f t="shared" si="2649"/>
        <v>0</v>
      </c>
      <c r="M6153" s="8">
        <v>1</v>
      </c>
      <c r="N6153" s="8" t="str">
        <f t="shared" si="2650"/>
        <v/>
      </c>
      <c r="O6153" s="11" t="s">
        <v>1702</v>
      </c>
      <c r="P6153" s="16" t="str">
        <f t="shared" si="2651"/>
        <v>22-Nov-1894</v>
      </c>
      <c r="R6153" s="16" t="str">
        <f t="shared" si="2643"/>
        <v/>
      </c>
      <c r="S6153" s="16" t="str">
        <f t="shared" si="2643"/>
        <v/>
      </c>
      <c r="T6153" s="11"/>
      <c r="U6153" s="46" t="str">
        <f t="shared" si="2613"/>
        <v/>
      </c>
      <c r="V6153" s="46">
        <f t="shared" si="2613"/>
        <v>0</v>
      </c>
      <c r="W6153" s="46" t="str">
        <f t="shared" si="2613"/>
        <v/>
      </c>
      <c r="X6153" s="46" t="str">
        <f t="shared" si="2613"/>
        <v/>
      </c>
    </row>
    <row r="6154" spans="2:24" x14ac:dyDescent="0.25">
      <c r="B6154" s="11" t="str">
        <f t="shared" si="2648"/>
        <v>SPRN-08APR1895</v>
      </c>
      <c r="C6154" s="11" t="s">
        <v>599</v>
      </c>
      <c r="D6154" s="11" t="s">
        <v>2103</v>
      </c>
      <c r="F6154" s="11" t="s">
        <v>1700</v>
      </c>
      <c r="G6154" s="39" t="s">
        <v>530</v>
      </c>
      <c r="H6154" s="7">
        <v>0</v>
      </c>
      <c r="I6154" s="7">
        <v>0</v>
      </c>
      <c r="J6154" s="17">
        <v>2</v>
      </c>
      <c r="K6154" s="17"/>
      <c r="L6154" s="7">
        <f t="shared" si="2649"/>
        <v>2</v>
      </c>
      <c r="M6154" s="8">
        <v>1</v>
      </c>
      <c r="N6154" s="8">
        <f t="shared" si="2650"/>
        <v>1</v>
      </c>
      <c r="O6154" s="11" t="s">
        <v>1702</v>
      </c>
      <c r="P6154" s="16" t="str">
        <f t="shared" si="2651"/>
        <v>08-Apr-1895</v>
      </c>
      <c r="R6154" s="16" t="str">
        <f t="shared" si="2643"/>
        <v>x</v>
      </c>
      <c r="S6154" s="16" t="str">
        <f t="shared" si="2643"/>
        <v>x</v>
      </c>
      <c r="T6154" s="11"/>
      <c r="U6154" s="46" t="str">
        <f t="shared" si="2613"/>
        <v/>
      </c>
      <c r="V6154" s="46">
        <f t="shared" si="2613"/>
        <v>2</v>
      </c>
      <c r="W6154" s="46" t="str">
        <f t="shared" si="2613"/>
        <v/>
      </c>
      <c r="X6154" s="46" t="str">
        <f t="shared" si="2613"/>
        <v/>
      </c>
    </row>
    <row r="6155" spans="2:24" x14ac:dyDescent="0.25">
      <c r="B6155" s="11" t="str">
        <f t="shared" si="2648"/>
        <v>SPRN-13MAY1895</v>
      </c>
      <c r="C6155" s="11" t="s">
        <v>599</v>
      </c>
      <c r="D6155" s="11" t="s">
        <v>2103</v>
      </c>
      <c r="F6155" s="11" t="s">
        <v>1700</v>
      </c>
      <c r="G6155" s="39" t="s">
        <v>613</v>
      </c>
      <c r="H6155" s="7">
        <v>0</v>
      </c>
      <c r="I6155" s="7">
        <v>0</v>
      </c>
      <c r="J6155" s="17">
        <v>3</v>
      </c>
      <c r="K6155" s="17"/>
      <c r="L6155" s="7">
        <f t="shared" si="2649"/>
        <v>3</v>
      </c>
      <c r="M6155" s="8">
        <v>1</v>
      </c>
      <c r="N6155" s="8">
        <f t="shared" si="2650"/>
        <v>1</v>
      </c>
      <c r="O6155" s="11" t="s">
        <v>1702</v>
      </c>
      <c r="P6155" s="16" t="str">
        <f t="shared" si="2651"/>
        <v>13-May-1895</v>
      </c>
      <c r="R6155" s="16" t="str">
        <f t="shared" si="2643"/>
        <v>x</v>
      </c>
      <c r="S6155" s="16" t="str">
        <f t="shared" si="2643"/>
        <v>x</v>
      </c>
      <c r="T6155" s="11"/>
      <c r="U6155" s="46" t="str">
        <f t="shared" si="2613"/>
        <v/>
      </c>
      <c r="V6155" s="46">
        <f t="shared" si="2613"/>
        <v>3</v>
      </c>
      <c r="W6155" s="46" t="str">
        <f t="shared" si="2613"/>
        <v/>
      </c>
      <c r="X6155" s="46" t="str">
        <f t="shared" si="2613"/>
        <v/>
      </c>
    </row>
    <row r="6156" spans="2:24" x14ac:dyDescent="0.25">
      <c r="B6156" s="11" t="str">
        <f t="shared" si="2648"/>
        <v>SPRN-17JUN1895</v>
      </c>
      <c r="C6156" s="11" t="s">
        <v>599</v>
      </c>
      <c r="D6156" s="11" t="s">
        <v>2103</v>
      </c>
      <c r="F6156" s="11" t="s">
        <v>1700</v>
      </c>
      <c r="G6156" s="39" t="s">
        <v>532</v>
      </c>
      <c r="H6156" s="7">
        <v>0</v>
      </c>
      <c r="I6156" s="7">
        <v>0</v>
      </c>
      <c r="J6156" s="17">
        <v>0</v>
      </c>
      <c r="K6156" s="17"/>
      <c r="L6156" s="7">
        <f t="shared" si="2649"/>
        <v>0</v>
      </c>
      <c r="M6156" s="8">
        <v>1</v>
      </c>
      <c r="N6156" s="8" t="str">
        <f t="shared" si="2650"/>
        <v/>
      </c>
      <c r="O6156" s="11" t="s">
        <v>1702</v>
      </c>
      <c r="P6156" s="16" t="str">
        <f t="shared" si="2651"/>
        <v>17-Jun-1895</v>
      </c>
      <c r="R6156" s="16" t="str">
        <f t="shared" si="2643"/>
        <v/>
      </c>
      <c r="S6156" s="16" t="str">
        <f t="shared" si="2643"/>
        <v/>
      </c>
      <c r="T6156" s="11"/>
      <c r="U6156" s="46" t="str">
        <f t="shared" si="2613"/>
        <v/>
      </c>
      <c r="V6156" s="46">
        <f t="shared" si="2613"/>
        <v>0</v>
      </c>
      <c r="W6156" s="46" t="str">
        <f t="shared" si="2613"/>
        <v/>
      </c>
      <c r="X6156" s="46" t="str">
        <f t="shared" si="2613"/>
        <v/>
      </c>
    </row>
    <row r="6157" spans="2:24" x14ac:dyDescent="0.25">
      <c r="B6157" s="11" t="str">
        <f t="shared" si="2648"/>
        <v>SPRN-22JUL1895</v>
      </c>
      <c r="C6157" s="11" t="s">
        <v>599</v>
      </c>
      <c r="D6157" s="11" t="s">
        <v>2103</v>
      </c>
      <c r="F6157" s="11" t="s">
        <v>1700</v>
      </c>
      <c r="G6157" s="39" t="s">
        <v>262</v>
      </c>
      <c r="H6157" s="7">
        <v>0</v>
      </c>
      <c r="I6157" s="7">
        <v>0</v>
      </c>
      <c r="J6157" s="17">
        <v>0</v>
      </c>
      <c r="K6157" s="17"/>
      <c r="L6157" s="7">
        <f t="shared" si="2649"/>
        <v>0</v>
      </c>
      <c r="M6157" s="8">
        <v>1</v>
      </c>
      <c r="N6157" s="8" t="str">
        <f t="shared" si="2650"/>
        <v/>
      </c>
      <c r="O6157" s="11" t="s">
        <v>1702</v>
      </c>
      <c r="P6157" s="16" t="str">
        <f t="shared" si="2651"/>
        <v>22-Jul-1895</v>
      </c>
      <c r="R6157" s="16" t="str">
        <f t="shared" si="2643"/>
        <v/>
      </c>
      <c r="S6157" s="16" t="str">
        <f t="shared" si="2643"/>
        <v/>
      </c>
      <c r="T6157" s="11"/>
      <c r="U6157" s="46" t="str">
        <f t="shared" si="2613"/>
        <v/>
      </c>
      <c r="V6157" s="46">
        <f t="shared" si="2613"/>
        <v>0</v>
      </c>
      <c r="W6157" s="46" t="str">
        <f t="shared" si="2613"/>
        <v/>
      </c>
      <c r="X6157" s="46" t="str">
        <f t="shared" si="2613"/>
        <v/>
      </c>
    </row>
    <row r="6158" spans="2:24" x14ac:dyDescent="0.25">
      <c r="B6158" s="11" t="str">
        <f t="shared" si="2648"/>
        <v>SPRN-26AUG1895</v>
      </c>
      <c r="C6158" s="11" t="s">
        <v>599</v>
      </c>
      <c r="D6158" s="11" t="s">
        <v>2103</v>
      </c>
      <c r="F6158" s="11" t="s">
        <v>1700</v>
      </c>
      <c r="G6158" s="39" t="s">
        <v>263</v>
      </c>
      <c r="H6158" s="7">
        <v>0</v>
      </c>
      <c r="I6158" s="7">
        <v>0</v>
      </c>
      <c r="J6158" s="17">
        <v>4</v>
      </c>
      <c r="K6158" s="17"/>
      <c r="L6158" s="7">
        <f t="shared" si="2649"/>
        <v>4</v>
      </c>
      <c r="M6158" s="8">
        <v>1</v>
      </c>
      <c r="N6158" s="8">
        <f t="shared" si="2650"/>
        <v>1</v>
      </c>
      <c r="O6158" s="11" t="s">
        <v>1702</v>
      </c>
      <c r="P6158" s="16" t="str">
        <f t="shared" si="2651"/>
        <v>26-Aug-1895</v>
      </c>
      <c r="R6158" s="16" t="str">
        <f t="shared" si="2643"/>
        <v>x</v>
      </c>
      <c r="S6158" s="16" t="str">
        <f t="shared" si="2643"/>
        <v>x</v>
      </c>
      <c r="T6158" s="11"/>
      <c r="U6158" s="46" t="str">
        <f t="shared" si="2613"/>
        <v/>
      </c>
      <c r="V6158" s="46">
        <f t="shared" si="2613"/>
        <v>4</v>
      </c>
      <c r="W6158" s="46" t="str">
        <f t="shared" si="2613"/>
        <v/>
      </c>
      <c r="X6158" s="46" t="str">
        <f t="shared" si="2613"/>
        <v/>
      </c>
    </row>
    <row r="6159" spans="2:24" x14ac:dyDescent="0.25">
      <c r="B6159" s="11" t="str">
        <f t="shared" si="2648"/>
        <v>SPRN-30SEP1895</v>
      </c>
      <c r="C6159" s="11" t="s">
        <v>599</v>
      </c>
      <c r="D6159" s="11" t="s">
        <v>2103</v>
      </c>
      <c r="F6159" s="11" t="s">
        <v>1700</v>
      </c>
      <c r="G6159" s="39" t="s">
        <v>381</v>
      </c>
      <c r="H6159" s="7">
        <v>0</v>
      </c>
      <c r="I6159" s="7">
        <v>0</v>
      </c>
      <c r="J6159" s="17">
        <v>5</v>
      </c>
      <c r="K6159" s="17"/>
      <c r="L6159" s="7">
        <f t="shared" si="2649"/>
        <v>5</v>
      </c>
      <c r="M6159" s="8">
        <v>1</v>
      </c>
      <c r="N6159" s="8">
        <f t="shared" si="2650"/>
        <v>1</v>
      </c>
      <c r="O6159" s="11" t="s">
        <v>1702</v>
      </c>
      <c r="P6159" s="16" t="str">
        <f t="shared" si="2651"/>
        <v>30-Sep-1895</v>
      </c>
      <c r="R6159" s="16" t="str">
        <f t="shared" si="2643"/>
        <v>x</v>
      </c>
      <c r="S6159" s="16" t="str">
        <f t="shared" si="2643"/>
        <v>x</v>
      </c>
      <c r="T6159" s="11"/>
      <c r="U6159" s="46" t="str">
        <f t="shared" si="2613"/>
        <v/>
      </c>
      <c r="V6159" s="46">
        <f t="shared" si="2613"/>
        <v>5</v>
      </c>
      <c r="W6159" s="46" t="str">
        <f t="shared" si="2613"/>
        <v/>
      </c>
      <c r="X6159" s="46" t="str">
        <f t="shared" si="2613"/>
        <v/>
      </c>
    </row>
    <row r="6160" spans="2:24" x14ac:dyDescent="0.25">
      <c r="B6160" s="11" t="str">
        <f t="shared" si="2648"/>
        <v>SPRN-04NOV1895</v>
      </c>
      <c r="C6160" s="11" t="s">
        <v>599</v>
      </c>
      <c r="D6160" s="11" t="s">
        <v>2103</v>
      </c>
      <c r="F6160" s="11" t="s">
        <v>1700</v>
      </c>
      <c r="G6160" s="39" t="s">
        <v>1704</v>
      </c>
      <c r="H6160" s="7">
        <v>0</v>
      </c>
      <c r="I6160" s="7">
        <v>0</v>
      </c>
      <c r="J6160" s="17">
        <v>0</v>
      </c>
      <c r="K6160" s="17"/>
      <c r="L6160" s="7">
        <f t="shared" si="2649"/>
        <v>0</v>
      </c>
      <c r="M6160" s="8">
        <v>1</v>
      </c>
      <c r="N6160" s="8" t="str">
        <f t="shared" si="2650"/>
        <v/>
      </c>
      <c r="O6160" s="11" t="s">
        <v>1702</v>
      </c>
      <c r="P6160" s="16" t="str">
        <f t="shared" si="2651"/>
        <v>04-Nov-1895</v>
      </c>
      <c r="R6160" s="16" t="str">
        <f t="shared" si="2643"/>
        <v/>
      </c>
      <c r="S6160" s="16" t="str">
        <f t="shared" si="2643"/>
        <v/>
      </c>
      <c r="T6160" s="11"/>
      <c r="U6160" s="46" t="str">
        <f t="shared" si="2613"/>
        <v/>
      </c>
      <c r="V6160" s="46">
        <f t="shared" si="2613"/>
        <v>0</v>
      </c>
      <c r="W6160" s="46" t="str">
        <f t="shared" si="2613"/>
        <v/>
      </c>
      <c r="X6160" s="46" t="str">
        <f t="shared" si="2613"/>
        <v/>
      </c>
    </row>
    <row r="6161" spans="2:24" x14ac:dyDescent="0.25">
      <c r="B6161" s="11" t="str">
        <f t="shared" si="2644"/>
        <v>SPRN-07APR1896</v>
      </c>
      <c r="C6161" s="11" t="s">
        <v>599</v>
      </c>
      <c r="D6161" s="11" t="s">
        <v>2103</v>
      </c>
      <c r="F6161" s="11" t="s">
        <v>1700</v>
      </c>
      <c r="G6161" s="39" t="s">
        <v>614</v>
      </c>
      <c r="H6161" s="7">
        <v>0</v>
      </c>
      <c r="I6161" s="7">
        <v>0</v>
      </c>
      <c r="J6161" s="17">
        <v>0</v>
      </c>
      <c r="K6161" s="17"/>
      <c r="L6161" s="7">
        <f t="shared" si="2645"/>
        <v>0</v>
      </c>
      <c r="M6161" s="8">
        <v>1</v>
      </c>
      <c r="N6161" s="8" t="str">
        <f t="shared" si="2646"/>
        <v/>
      </c>
      <c r="O6161" s="11" t="s">
        <v>1702</v>
      </c>
      <c r="P6161" s="16" t="str">
        <f t="shared" si="2647"/>
        <v>07-Apr-1896</v>
      </c>
      <c r="R6161" s="16" t="str">
        <f t="shared" si="2643"/>
        <v/>
      </c>
      <c r="S6161" s="16" t="str">
        <f t="shared" si="2643"/>
        <v/>
      </c>
      <c r="T6161" s="11"/>
      <c r="U6161" s="46" t="str">
        <f t="shared" si="2613"/>
        <v/>
      </c>
      <c r="V6161" s="46">
        <f t="shared" si="2613"/>
        <v>0</v>
      </c>
      <c r="W6161" s="46" t="str">
        <f t="shared" si="2613"/>
        <v/>
      </c>
      <c r="X6161" s="46" t="str">
        <f t="shared" si="2613"/>
        <v/>
      </c>
    </row>
    <row r="6162" spans="2:24" x14ac:dyDescent="0.25">
      <c r="B6162" s="11" t="str">
        <f t="shared" si="2644"/>
        <v>SPRN-11MAY1896</v>
      </c>
      <c r="C6162" s="11" t="s">
        <v>599</v>
      </c>
      <c r="D6162" s="11" t="s">
        <v>2103</v>
      </c>
      <c r="F6162" s="11" t="s">
        <v>1700</v>
      </c>
      <c r="G6162" s="39" t="s">
        <v>615</v>
      </c>
      <c r="H6162" s="7">
        <v>0</v>
      </c>
      <c r="I6162" s="7">
        <v>0</v>
      </c>
      <c r="J6162" s="17">
        <v>0</v>
      </c>
      <c r="K6162" s="17"/>
      <c r="L6162" s="7">
        <f t="shared" si="2645"/>
        <v>0</v>
      </c>
      <c r="M6162" s="8">
        <v>1</v>
      </c>
      <c r="N6162" s="8" t="str">
        <f t="shared" si="2646"/>
        <v/>
      </c>
      <c r="O6162" s="11" t="s">
        <v>1702</v>
      </c>
      <c r="P6162" s="16" t="str">
        <f t="shared" si="2647"/>
        <v>11-May-1896</v>
      </c>
      <c r="R6162" s="16" t="str">
        <f t="shared" si="2643"/>
        <v/>
      </c>
      <c r="S6162" s="16" t="str">
        <f t="shared" si="2643"/>
        <v/>
      </c>
      <c r="T6162" s="11"/>
      <c r="U6162" s="46" t="str">
        <f t="shared" si="2613"/>
        <v/>
      </c>
      <c r="V6162" s="46">
        <f t="shared" si="2613"/>
        <v>0</v>
      </c>
      <c r="W6162" s="46" t="str">
        <f t="shared" si="2613"/>
        <v/>
      </c>
      <c r="X6162" s="46" t="str">
        <f t="shared" si="2613"/>
        <v/>
      </c>
    </row>
    <row r="6163" spans="2:24" x14ac:dyDescent="0.25">
      <c r="B6163" s="11" t="str">
        <f t="shared" si="2644"/>
        <v>SPRN-15JUN1896</v>
      </c>
      <c r="C6163" s="11" t="s">
        <v>599</v>
      </c>
      <c r="D6163" s="11" t="s">
        <v>2103</v>
      </c>
      <c r="F6163" s="11" t="s">
        <v>1700</v>
      </c>
      <c r="G6163" s="39" t="s">
        <v>443</v>
      </c>
      <c r="H6163" s="7">
        <v>0</v>
      </c>
      <c r="I6163" s="7">
        <v>0</v>
      </c>
      <c r="J6163" s="17">
        <v>0</v>
      </c>
      <c r="K6163" s="17"/>
      <c r="L6163" s="7">
        <f t="shared" si="2645"/>
        <v>0</v>
      </c>
      <c r="M6163" s="8">
        <v>1</v>
      </c>
      <c r="N6163" s="8" t="str">
        <f t="shared" si="2646"/>
        <v/>
      </c>
      <c r="O6163" s="11" t="s">
        <v>1702</v>
      </c>
      <c r="P6163" s="16" t="str">
        <f t="shared" si="2647"/>
        <v>15-Jun-1896</v>
      </c>
      <c r="R6163" s="16" t="str">
        <f t="shared" si="2643"/>
        <v/>
      </c>
      <c r="S6163" s="16" t="str">
        <f t="shared" si="2643"/>
        <v/>
      </c>
      <c r="T6163" s="11"/>
      <c r="U6163" s="46" t="str">
        <f t="shared" si="2613"/>
        <v/>
      </c>
      <c r="V6163" s="46">
        <f t="shared" si="2613"/>
        <v>0</v>
      </c>
      <c r="W6163" s="46" t="str">
        <f t="shared" si="2613"/>
        <v/>
      </c>
      <c r="X6163" s="46" t="str">
        <f t="shared" si="2613"/>
        <v/>
      </c>
    </row>
    <row r="6164" spans="2:24" x14ac:dyDescent="0.25">
      <c r="B6164" s="11" t="str">
        <f>CONCATENATE("SPRN","-",LEFT(P6164,2),UPPER(MID(P6164,4,3)),RIGHT(P6164,4))</f>
        <v>SPRN-20JUL1896</v>
      </c>
      <c r="C6164" s="11" t="s">
        <v>599</v>
      </c>
      <c r="D6164" s="11" t="s">
        <v>2103</v>
      </c>
      <c r="F6164" s="11" t="s">
        <v>1700</v>
      </c>
      <c r="G6164" s="39" t="s">
        <v>438</v>
      </c>
      <c r="H6164" s="7">
        <v>0</v>
      </c>
      <c r="I6164" s="7">
        <v>0</v>
      </c>
      <c r="J6164" s="17">
        <v>4</v>
      </c>
      <c r="K6164" s="17"/>
      <c r="L6164" s="7">
        <f>SUM(H6164:K6164)</f>
        <v>4</v>
      </c>
      <c r="M6164" s="8">
        <v>1</v>
      </c>
      <c r="N6164" s="8">
        <f>IF(L6164&gt;0,1,"")</f>
        <v>1</v>
      </c>
      <c r="O6164" s="11" t="s">
        <v>1702</v>
      </c>
      <c r="P6164" s="16" t="str">
        <f>IF(LEN(G6164)=10,CONCATENATE("0",G6164),G6164)</f>
        <v>20-Jul-1896</v>
      </c>
      <c r="R6164" s="16" t="str">
        <f t="shared" si="2643"/>
        <v>x</v>
      </c>
      <c r="S6164" s="16" t="str">
        <f t="shared" si="2643"/>
        <v>x</v>
      </c>
      <c r="T6164" s="11"/>
      <c r="U6164" s="46" t="str">
        <f t="shared" si="2613"/>
        <v/>
      </c>
      <c r="V6164" s="46">
        <f t="shared" si="2613"/>
        <v>4</v>
      </c>
      <c r="W6164" s="46" t="str">
        <f t="shared" si="2613"/>
        <v/>
      </c>
      <c r="X6164" s="46" t="str">
        <f t="shared" si="2613"/>
        <v/>
      </c>
    </row>
    <row r="6165" spans="2:24" x14ac:dyDescent="0.25">
      <c r="B6165" s="11" t="str">
        <f>CONCATENATE("SPRN","-",LEFT(P6165,2),UPPER(MID(P6165,4,3)),RIGHT(P6165,4))</f>
        <v>SPRN-24AUG1896</v>
      </c>
      <c r="C6165" s="11" t="s">
        <v>599</v>
      </c>
      <c r="D6165" s="11" t="s">
        <v>2103</v>
      </c>
      <c r="F6165" s="11" t="s">
        <v>1700</v>
      </c>
      <c r="G6165" s="39" t="s">
        <v>14</v>
      </c>
      <c r="H6165" s="7">
        <v>0</v>
      </c>
      <c r="I6165" s="7">
        <v>0</v>
      </c>
      <c r="J6165" s="17">
        <v>13</v>
      </c>
      <c r="K6165" s="17"/>
      <c r="L6165" s="7">
        <f>SUM(H6165:K6165)</f>
        <v>13</v>
      </c>
      <c r="M6165" s="8">
        <v>1</v>
      </c>
      <c r="N6165" s="8">
        <f>IF(L6165&gt;0,1,"")</f>
        <v>1</v>
      </c>
      <c r="O6165" s="11" t="s">
        <v>1702</v>
      </c>
      <c r="P6165" s="16" t="str">
        <f>IF(LEN(G6165)=10,CONCATENATE("0",G6165),G6165)</f>
        <v>24-Aug-1896</v>
      </c>
      <c r="R6165" s="16" t="str">
        <f t="shared" si="2643"/>
        <v>x</v>
      </c>
      <c r="S6165" s="16" t="str">
        <f t="shared" si="2643"/>
        <v>x</v>
      </c>
      <c r="T6165" s="11"/>
      <c r="U6165" s="46" t="str">
        <f t="shared" si="2613"/>
        <v/>
      </c>
      <c r="V6165" s="46">
        <f t="shared" si="2613"/>
        <v>13</v>
      </c>
      <c r="W6165" s="46" t="str">
        <f t="shared" si="2613"/>
        <v/>
      </c>
      <c r="X6165" s="46" t="str">
        <f t="shared" si="2613"/>
        <v/>
      </c>
    </row>
    <row r="6166" spans="2:24" x14ac:dyDescent="0.25">
      <c r="B6166" s="11" t="str">
        <f>CONCATENATE("SPRN","-",LEFT(P6166,2),UPPER(MID(P6166,4,3)),RIGHT(P6166,4))</f>
        <v>SPRN-28SEP1896</v>
      </c>
      <c r="C6166" s="11" t="s">
        <v>599</v>
      </c>
      <c r="D6166" s="11" t="s">
        <v>2103</v>
      </c>
      <c r="F6166" s="11" t="s">
        <v>1700</v>
      </c>
      <c r="G6166" s="39" t="s">
        <v>15</v>
      </c>
      <c r="H6166" s="7">
        <v>0</v>
      </c>
      <c r="I6166" s="7">
        <v>0</v>
      </c>
      <c r="J6166" s="17">
        <v>0</v>
      </c>
      <c r="K6166" s="17"/>
      <c r="L6166" s="7">
        <f>SUM(H6166:K6166)</f>
        <v>0</v>
      </c>
      <c r="M6166" s="8">
        <v>1</v>
      </c>
      <c r="N6166" s="8" t="str">
        <f>IF(L6166&gt;0,1,"")</f>
        <v/>
      </c>
      <c r="O6166" s="11" t="s">
        <v>1702</v>
      </c>
      <c r="P6166" s="16" t="str">
        <f>IF(LEN(G6166)=10,CONCATENATE("0",G6166),G6166)</f>
        <v>28-Sep-1896</v>
      </c>
      <c r="R6166" s="16" t="str">
        <f t="shared" si="2643"/>
        <v/>
      </c>
      <c r="S6166" s="16" t="str">
        <f t="shared" si="2643"/>
        <v/>
      </c>
      <c r="T6166" s="11"/>
      <c r="U6166" s="46" t="str">
        <f t="shared" si="2613"/>
        <v/>
      </c>
      <c r="V6166" s="46">
        <f t="shared" si="2613"/>
        <v>0</v>
      </c>
      <c r="W6166" s="46" t="str">
        <f t="shared" si="2613"/>
        <v/>
      </c>
      <c r="X6166" s="46" t="str">
        <f>IF($O6166=X$5,$L6166,"")</f>
        <v/>
      </c>
    </row>
    <row r="6167" spans="2:24" x14ac:dyDescent="0.25">
      <c r="B6167" s="11" t="str">
        <f t="shared" ref="B6167:B6174" si="2652">CONCATENATE("SPRN","-",LEFT(P6167,2),UPPER(MID(P6167,4,3)),RIGHT(P6167,4))</f>
        <v>SPRN-02NOV1896</v>
      </c>
      <c r="C6167" s="11" t="s">
        <v>599</v>
      </c>
      <c r="D6167" s="11" t="s">
        <v>2103</v>
      </c>
      <c r="F6167" s="11" t="s">
        <v>1700</v>
      </c>
      <c r="G6167" s="39" t="s">
        <v>393</v>
      </c>
      <c r="H6167" s="7">
        <v>0</v>
      </c>
      <c r="I6167" s="7">
        <v>0</v>
      </c>
      <c r="J6167" s="17">
        <v>0</v>
      </c>
      <c r="K6167" s="17"/>
      <c r="L6167" s="7">
        <f t="shared" ref="L6167:L6174" si="2653">SUM(H6167:K6167)</f>
        <v>0</v>
      </c>
      <c r="M6167" s="8">
        <v>1</v>
      </c>
      <c r="N6167" s="8" t="str">
        <f t="shared" ref="N6167:N6174" si="2654">IF(L6167&gt;0,1,"")</f>
        <v/>
      </c>
      <c r="O6167" s="11" t="s">
        <v>1702</v>
      </c>
      <c r="P6167" s="16" t="str">
        <f t="shared" ref="P6167:P6174" si="2655">IF(LEN(G6167)=10,CONCATENATE("0",G6167),G6167)</f>
        <v>02-Nov-1896</v>
      </c>
      <c r="R6167" s="16" t="str">
        <f t="shared" si="2643"/>
        <v/>
      </c>
      <c r="S6167" s="16" t="str">
        <f t="shared" si="2643"/>
        <v/>
      </c>
      <c r="T6167" s="11"/>
      <c r="U6167" s="46" t="str">
        <f t="shared" ref="U6167:X6255" si="2656">IF($O6167=U$5,$L6167,"")</f>
        <v/>
      </c>
      <c r="V6167" s="46">
        <f t="shared" si="2656"/>
        <v>0</v>
      </c>
      <c r="W6167" s="46" t="str">
        <f t="shared" si="2656"/>
        <v/>
      </c>
      <c r="X6167" s="46" t="str">
        <f t="shared" si="2656"/>
        <v/>
      </c>
    </row>
    <row r="6168" spans="2:24" x14ac:dyDescent="0.25">
      <c r="B6168" s="11" t="str">
        <f t="shared" si="2652"/>
        <v>SPRN-29MAR1897</v>
      </c>
      <c r="C6168" s="11" t="s">
        <v>599</v>
      </c>
      <c r="D6168" s="11" t="s">
        <v>2103</v>
      </c>
      <c r="F6168" s="11" t="s">
        <v>1700</v>
      </c>
      <c r="G6168" s="39" t="s">
        <v>616</v>
      </c>
      <c r="H6168" s="7">
        <v>0</v>
      </c>
      <c r="I6168" s="7">
        <v>0</v>
      </c>
      <c r="J6168" s="17">
        <v>3</v>
      </c>
      <c r="K6168" s="17"/>
      <c r="L6168" s="7">
        <f t="shared" si="2653"/>
        <v>3</v>
      </c>
      <c r="M6168" s="8">
        <v>1</v>
      </c>
      <c r="N6168" s="8">
        <f t="shared" si="2654"/>
        <v>1</v>
      </c>
      <c r="O6168" s="11" t="s">
        <v>1702</v>
      </c>
      <c r="P6168" s="16" t="str">
        <f t="shared" si="2655"/>
        <v>29-Mar-1897</v>
      </c>
      <c r="R6168" s="16" t="str">
        <f t="shared" si="2643"/>
        <v>x</v>
      </c>
      <c r="S6168" s="16" t="str">
        <f t="shared" si="2643"/>
        <v>x</v>
      </c>
      <c r="U6168" s="46" t="str">
        <f t="shared" si="2656"/>
        <v/>
      </c>
      <c r="V6168" s="46">
        <f t="shared" si="2656"/>
        <v>3</v>
      </c>
      <c r="W6168" s="46" t="str">
        <f t="shared" si="2656"/>
        <v/>
      </c>
      <c r="X6168" s="46" t="str">
        <f t="shared" si="2656"/>
        <v/>
      </c>
    </row>
    <row r="6169" spans="2:24" x14ac:dyDescent="0.25">
      <c r="B6169" s="11" t="str">
        <f t="shared" si="2652"/>
        <v>SPRN-30APR1897</v>
      </c>
      <c r="C6169" s="11" t="s">
        <v>599</v>
      </c>
      <c r="D6169" s="11" t="s">
        <v>2103</v>
      </c>
      <c r="F6169" s="11" t="s">
        <v>1700</v>
      </c>
      <c r="G6169" s="39" t="s">
        <v>617</v>
      </c>
      <c r="H6169" s="7">
        <v>0</v>
      </c>
      <c r="I6169" s="7">
        <v>0</v>
      </c>
      <c r="J6169" s="17">
        <v>1</v>
      </c>
      <c r="K6169" s="17"/>
      <c r="L6169" s="7">
        <f t="shared" si="2653"/>
        <v>1</v>
      </c>
      <c r="M6169" s="8">
        <v>1</v>
      </c>
      <c r="N6169" s="8">
        <f t="shared" si="2654"/>
        <v>1</v>
      </c>
      <c r="O6169" s="11" t="s">
        <v>1702</v>
      </c>
      <c r="P6169" s="16" t="str">
        <f t="shared" si="2655"/>
        <v>30-Apr-1897</v>
      </c>
      <c r="R6169" s="16" t="str">
        <f t="shared" si="2643"/>
        <v>x</v>
      </c>
      <c r="S6169" s="16" t="str">
        <f t="shared" si="2643"/>
        <v>x</v>
      </c>
      <c r="U6169" s="46" t="str">
        <f t="shared" si="2656"/>
        <v/>
      </c>
      <c r="V6169" s="46">
        <f t="shared" si="2656"/>
        <v>1</v>
      </c>
      <c r="W6169" s="46" t="str">
        <f t="shared" si="2656"/>
        <v/>
      </c>
      <c r="X6169" s="46" t="str">
        <f t="shared" si="2656"/>
        <v/>
      </c>
    </row>
    <row r="6170" spans="2:24" x14ac:dyDescent="0.25">
      <c r="B6170" s="11" t="str">
        <f t="shared" si="2652"/>
        <v>SPRN-14JUN1897</v>
      </c>
      <c r="C6170" s="11" t="s">
        <v>599</v>
      </c>
      <c r="D6170" s="11" t="s">
        <v>2103</v>
      </c>
      <c r="F6170" s="11" t="s">
        <v>1700</v>
      </c>
      <c r="G6170" s="39" t="s">
        <v>276</v>
      </c>
      <c r="H6170" s="7">
        <v>0</v>
      </c>
      <c r="I6170" s="7">
        <v>0</v>
      </c>
      <c r="J6170" s="17">
        <v>10</v>
      </c>
      <c r="K6170" s="17"/>
      <c r="L6170" s="7">
        <f t="shared" si="2653"/>
        <v>10</v>
      </c>
      <c r="M6170" s="8">
        <v>1</v>
      </c>
      <c r="N6170" s="8">
        <f t="shared" si="2654"/>
        <v>1</v>
      </c>
      <c r="O6170" s="11" t="s">
        <v>1702</v>
      </c>
      <c r="P6170" s="16" t="str">
        <f t="shared" si="2655"/>
        <v>14-Jun-1897</v>
      </c>
      <c r="R6170" s="16" t="str">
        <f t="shared" si="2643"/>
        <v>x</v>
      </c>
      <c r="S6170" s="16" t="str">
        <f t="shared" si="2643"/>
        <v>x</v>
      </c>
      <c r="U6170" s="46" t="str">
        <f t="shared" si="2656"/>
        <v/>
      </c>
      <c r="V6170" s="46">
        <f t="shared" si="2656"/>
        <v>10</v>
      </c>
      <c r="W6170" s="46" t="str">
        <f t="shared" si="2656"/>
        <v/>
      </c>
      <c r="X6170" s="46" t="str">
        <f t="shared" si="2656"/>
        <v/>
      </c>
    </row>
    <row r="6171" spans="2:24" x14ac:dyDescent="0.25">
      <c r="B6171" s="11" t="str">
        <f t="shared" si="2652"/>
        <v>SPRN-19JUL1897</v>
      </c>
      <c r="C6171" s="11" t="s">
        <v>599</v>
      </c>
      <c r="D6171" s="11" t="s">
        <v>2103</v>
      </c>
      <c r="E6171" s="39" t="s">
        <v>622</v>
      </c>
      <c r="F6171" s="11" t="s">
        <v>1700</v>
      </c>
      <c r="G6171" s="39" t="s">
        <v>618</v>
      </c>
      <c r="J6171" s="17">
        <v>37</v>
      </c>
      <c r="K6171" s="17"/>
      <c r="L6171" s="7">
        <f t="shared" si="2653"/>
        <v>37</v>
      </c>
      <c r="M6171" s="8">
        <v>1</v>
      </c>
      <c r="N6171" s="8">
        <f t="shared" si="2654"/>
        <v>1</v>
      </c>
      <c r="O6171" s="11" t="s">
        <v>1702</v>
      </c>
      <c r="P6171" s="16" t="str">
        <f t="shared" si="2655"/>
        <v>19-Jul-1897</v>
      </c>
      <c r="R6171" s="16" t="str">
        <f t="shared" si="2643"/>
        <v>x</v>
      </c>
      <c r="S6171" s="16" t="str">
        <f t="shared" si="2643"/>
        <v>x</v>
      </c>
      <c r="U6171" s="46" t="str">
        <f t="shared" si="2656"/>
        <v/>
      </c>
      <c r="V6171" s="46">
        <f t="shared" si="2656"/>
        <v>37</v>
      </c>
      <c r="W6171" s="46" t="str">
        <f t="shared" si="2656"/>
        <v/>
      </c>
      <c r="X6171" s="46" t="str">
        <f t="shared" si="2656"/>
        <v/>
      </c>
    </row>
    <row r="6172" spans="2:24" x14ac:dyDescent="0.25">
      <c r="B6172" s="11" t="str">
        <f t="shared" si="2652"/>
        <v>SPRN-23AUG1897</v>
      </c>
      <c r="C6172" s="11" t="s">
        <v>599</v>
      </c>
      <c r="D6172" s="11" t="s">
        <v>2103</v>
      </c>
      <c r="E6172" s="39" t="s">
        <v>623</v>
      </c>
      <c r="F6172" s="11" t="s">
        <v>1700</v>
      </c>
      <c r="G6172" s="39" t="s">
        <v>619</v>
      </c>
      <c r="J6172" s="17">
        <v>39</v>
      </c>
      <c r="K6172" s="17"/>
      <c r="L6172" s="7">
        <f t="shared" si="2653"/>
        <v>39</v>
      </c>
      <c r="M6172" s="8">
        <v>1</v>
      </c>
      <c r="N6172" s="8">
        <f t="shared" si="2654"/>
        <v>1</v>
      </c>
      <c r="O6172" s="11" t="s">
        <v>1702</v>
      </c>
      <c r="P6172" s="16" t="str">
        <f t="shared" si="2655"/>
        <v>23-Aug-1897</v>
      </c>
      <c r="R6172" s="16" t="str">
        <f t="shared" si="2643"/>
        <v>x</v>
      </c>
      <c r="S6172" s="16" t="str">
        <f t="shared" si="2643"/>
        <v>x</v>
      </c>
      <c r="U6172" s="46" t="str">
        <f t="shared" si="2656"/>
        <v/>
      </c>
      <c r="V6172" s="46">
        <f t="shared" si="2656"/>
        <v>39</v>
      </c>
      <c r="W6172" s="46" t="str">
        <f t="shared" si="2656"/>
        <v/>
      </c>
      <c r="X6172" s="46" t="str">
        <f t="shared" si="2656"/>
        <v/>
      </c>
    </row>
    <row r="6173" spans="2:24" x14ac:dyDescent="0.25">
      <c r="B6173" s="11" t="str">
        <f t="shared" si="2652"/>
        <v>SPRN-27SEP1897</v>
      </c>
      <c r="C6173" s="11" t="s">
        <v>599</v>
      </c>
      <c r="D6173" s="11" t="s">
        <v>2103</v>
      </c>
      <c r="E6173" s="39" t="s">
        <v>624</v>
      </c>
      <c r="F6173" s="11" t="s">
        <v>1700</v>
      </c>
      <c r="G6173" s="39" t="s">
        <v>620</v>
      </c>
      <c r="J6173" s="17">
        <v>12</v>
      </c>
      <c r="K6173" s="17"/>
      <c r="L6173" s="7">
        <f t="shared" si="2653"/>
        <v>12</v>
      </c>
      <c r="M6173" s="8">
        <v>1</v>
      </c>
      <c r="N6173" s="8">
        <f t="shared" si="2654"/>
        <v>1</v>
      </c>
      <c r="O6173" s="11" t="s">
        <v>1702</v>
      </c>
      <c r="P6173" s="16" t="str">
        <f t="shared" si="2655"/>
        <v>27-Sep-1897</v>
      </c>
      <c r="R6173" s="16" t="str">
        <f t="shared" si="2643"/>
        <v>x</v>
      </c>
      <c r="S6173" s="16" t="str">
        <f t="shared" si="2643"/>
        <v>x</v>
      </c>
      <c r="U6173" s="46" t="str">
        <f t="shared" si="2656"/>
        <v/>
      </c>
      <c r="V6173" s="46">
        <f t="shared" si="2656"/>
        <v>12</v>
      </c>
      <c r="W6173" s="46" t="str">
        <f t="shared" si="2656"/>
        <v/>
      </c>
      <c r="X6173" s="46" t="str">
        <f t="shared" si="2656"/>
        <v/>
      </c>
    </row>
    <row r="6174" spans="2:24" x14ac:dyDescent="0.25">
      <c r="B6174" s="11" t="str">
        <f t="shared" si="2652"/>
        <v>SPRN-01NOV1897</v>
      </c>
      <c r="C6174" s="11" t="s">
        <v>599</v>
      </c>
      <c r="D6174" s="11" t="s">
        <v>2103</v>
      </c>
      <c r="E6174" s="39" t="s">
        <v>625</v>
      </c>
      <c r="F6174" s="11" t="s">
        <v>1700</v>
      </c>
      <c r="G6174" s="39" t="s">
        <v>621</v>
      </c>
      <c r="J6174" s="17">
        <v>30</v>
      </c>
      <c r="K6174" s="17"/>
      <c r="L6174" s="7">
        <f t="shared" si="2653"/>
        <v>30</v>
      </c>
      <c r="M6174" s="8">
        <v>1</v>
      </c>
      <c r="N6174" s="8">
        <f t="shared" si="2654"/>
        <v>1</v>
      </c>
      <c r="O6174" s="11" t="s">
        <v>1702</v>
      </c>
      <c r="P6174" s="16" t="str">
        <f t="shared" si="2655"/>
        <v>01-Nov-1897</v>
      </c>
      <c r="R6174" s="16" t="str">
        <f t="shared" si="2643"/>
        <v>x</v>
      </c>
      <c r="S6174" s="16" t="str">
        <f t="shared" si="2643"/>
        <v>x</v>
      </c>
      <c r="U6174" s="46" t="str">
        <f t="shared" si="2656"/>
        <v/>
      </c>
      <c r="V6174" s="46">
        <f t="shared" si="2656"/>
        <v>30</v>
      </c>
      <c r="W6174" s="46" t="str">
        <f t="shared" si="2656"/>
        <v/>
      </c>
      <c r="X6174" s="46" t="str">
        <f t="shared" si="2656"/>
        <v/>
      </c>
    </row>
    <row r="6175" spans="2:24" x14ac:dyDescent="0.25">
      <c r="B6175" s="11" t="str">
        <f t="shared" ref="B6175:B6186" si="2657">CONCATENATE("SPRN","-",LEFT(P6175,2),UPPER(MID(P6175,4,3)),RIGHT(P6175,4))</f>
        <v>SPRN-10FEB1898</v>
      </c>
      <c r="C6175" s="11" t="s">
        <v>599</v>
      </c>
      <c r="D6175" s="11" t="s">
        <v>2103</v>
      </c>
      <c r="E6175" s="39" t="s">
        <v>634</v>
      </c>
      <c r="F6175" s="11" t="s">
        <v>1700</v>
      </c>
      <c r="G6175" s="39" t="s">
        <v>626</v>
      </c>
      <c r="J6175" s="17">
        <v>5</v>
      </c>
      <c r="K6175" s="17"/>
      <c r="L6175" s="7">
        <f t="shared" ref="L6175:L6186" si="2658">SUM(H6175:K6175)</f>
        <v>5</v>
      </c>
      <c r="M6175" s="8">
        <v>1</v>
      </c>
      <c r="N6175" s="8">
        <f t="shared" ref="N6175:N6186" si="2659">IF(L6175&gt;0,1,"")</f>
        <v>1</v>
      </c>
      <c r="O6175" s="11" t="s">
        <v>1702</v>
      </c>
      <c r="P6175" s="16" t="str">
        <f t="shared" ref="P6175:P6186" si="2660">IF(LEN(G6175)=10,CONCATENATE("0",G6175),G6175)</f>
        <v>10-Feb-1898</v>
      </c>
      <c r="R6175" s="16" t="str">
        <f t="shared" si="2643"/>
        <v>x</v>
      </c>
      <c r="S6175" s="16" t="str">
        <f t="shared" si="2643"/>
        <v>x</v>
      </c>
      <c r="U6175" s="46" t="str">
        <f t="shared" si="2656"/>
        <v/>
      </c>
      <c r="V6175" s="46">
        <f t="shared" si="2656"/>
        <v>5</v>
      </c>
      <c r="W6175" s="46" t="str">
        <f t="shared" si="2656"/>
        <v/>
      </c>
      <c r="X6175" s="46" t="str">
        <f t="shared" si="2656"/>
        <v/>
      </c>
    </row>
    <row r="6176" spans="2:24" x14ac:dyDescent="0.25">
      <c r="B6176" s="11" t="str">
        <f t="shared" si="2657"/>
        <v>SPRN-14MAR1898</v>
      </c>
      <c r="C6176" s="11" t="s">
        <v>599</v>
      </c>
      <c r="D6176" s="11" t="s">
        <v>2103</v>
      </c>
      <c r="E6176" s="39" t="s">
        <v>635</v>
      </c>
      <c r="F6176" s="11" t="s">
        <v>1700</v>
      </c>
      <c r="G6176" s="39" t="s">
        <v>553</v>
      </c>
      <c r="J6176" s="17">
        <v>0</v>
      </c>
      <c r="K6176" s="17"/>
      <c r="L6176" s="7">
        <f t="shared" si="2658"/>
        <v>0</v>
      </c>
      <c r="M6176" s="8">
        <v>1</v>
      </c>
      <c r="N6176" s="8" t="str">
        <f t="shared" si="2659"/>
        <v/>
      </c>
      <c r="O6176" s="11" t="s">
        <v>1702</v>
      </c>
      <c r="P6176" s="16" t="str">
        <f t="shared" si="2660"/>
        <v>14-Mar-1898</v>
      </c>
      <c r="R6176" s="16" t="str">
        <f t="shared" si="2643"/>
        <v/>
      </c>
      <c r="S6176" s="16" t="str">
        <f t="shared" si="2643"/>
        <v/>
      </c>
      <c r="U6176" s="46" t="str">
        <f t="shared" si="2656"/>
        <v/>
      </c>
      <c r="V6176" s="46">
        <f t="shared" si="2656"/>
        <v>0</v>
      </c>
      <c r="W6176" s="46" t="str">
        <f t="shared" si="2656"/>
        <v/>
      </c>
      <c r="X6176" s="46" t="str">
        <f t="shared" si="2656"/>
        <v/>
      </c>
    </row>
    <row r="6177" spans="2:26" x14ac:dyDescent="0.25">
      <c r="B6177" s="11" t="str">
        <f t="shared" si="2657"/>
        <v>SPRN-27APR1898</v>
      </c>
      <c r="C6177" s="11" t="s">
        <v>599</v>
      </c>
      <c r="D6177" s="11" t="s">
        <v>2103</v>
      </c>
      <c r="E6177" s="39" t="s">
        <v>636</v>
      </c>
      <c r="F6177" s="11" t="s">
        <v>1700</v>
      </c>
      <c r="G6177" s="39" t="s">
        <v>627</v>
      </c>
      <c r="J6177" s="17">
        <v>0</v>
      </c>
      <c r="K6177" s="17"/>
      <c r="L6177" s="7">
        <f t="shared" si="2658"/>
        <v>0</v>
      </c>
      <c r="M6177" s="8">
        <v>1</v>
      </c>
      <c r="N6177" s="8" t="str">
        <f t="shared" si="2659"/>
        <v/>
      </c>
      <c r="O6177" s="11" t="s">
        <v>1702</v>
      </c>
      <c r="P6177" s="16" t="str">
        <f t="shared" si="2660"/>
        <v>27-Apr-1898</v>
      </c>
      <c r="R6177" s="16" t="str">
        <f t="shared" si="2643"/>
        <v/>
      </c>
      <c r="S6177" s="16" t="str">
        <f t="shared" si="2643"/>
        <v/>
      </c>
      <c r="U6177" s="46" t="str">
        <f t="shared" si="2656"/>
        <v/>
      </c>
      <c r="V6177" s="46">
        <f t="shared" si="2656"/>
        <v>0</v>
      </c>
      <c r="W6177" s="46" t="str">
        <f t="shared" si="2656"/>
        <v/>
      </c>
      <c r="X6177" s="46" t="str">
        <f t="shared" si="2656"/>
        <v/>
      </c>
    </row>
    <row r="6178" spans="2:26" x14ac:dyDescent="0.25">
      <c r="B6178" s="11" t="str">
        <f t="shared" si="2657"/>
        <v>SPRN-31MAY1898</v>
      </c>
      <c r="C6178" s="11" t="s">
        <v>599</v>
      </c>
      <c r="D6178" s="11" t="s">
        <v>2103</v>
      </c>
      <c r="E6178" s="39" t="s">
        <v>637</v>
      </c>
      <c r="F6178" s="11" t="s">
        <v>1700</v>
      </c>
      <c r="G6178" s="39" t="s">
        <v>628</v>
      </c>
      <c r="J6178" s="17">
        <v>0</v>
      </c>
      <c r="K6178" s="17"/>
      <c r="L6178" s="7">
        <f t="shared" si="2658"/>
        <v>0</v>
      </c>
      <c r="M6178" s="8">
        <v>1</v>
      </c>
      <c r="N6178" s="8" t="str">
        <f t="shared" si="2659"/>
        <v/>
      </c>
      <c r="O6178" s="11" t="s">
        <v>1702</v>
      </c>
      <c r="P6178" s="16" t="str">
        <f t="shared" si="2660"/>
        <v>31-May-1898</v>
      </c>
      <c r="R6178" s="16" t="str">
        <f t="shared" si="2643"/>
        <v/>
      </c>
      <c r="S6178" s="16" t="str">
        <f t="shared" si="2643"/>
        <v/>
      </c>
      <c r="U6178" s="46" t="str">
        <f t="shared" si="2656"/>
        <v/>
      </c>
      <c r="V6178" s="46">
        <f t="shared" si="2656"/>
        <v>0</v>
      </c>
      <c r="W6178" s="46" t="str">
        <f t="shared" si="2656"/>
        <v/>
      </c>
      <c r="X6178" s="46" t="str">
        <f t="shared" si="2656"/>
        <v/>
      </c>
    </row>
    <row r="6179" spans="2:26" x14ac:dyDescent="0.25">
      <c r="B6179" s="11" t="str">
        <f t="shared" si="2657"/>
        <v>SPRN-05JUL1898</v>
      </c>
      <c r="C6179" s="11" t="s">
        <v>599</v>
      </c>
      <c r="D6179" s="11" t="s">
        <v>2103</v>
      </c>
      <c r="E6179" s="39" t="s">
        <v>638</v>
      </c>
      <c r="F6179" s="11" t="s">
        <v>1700</v>
      </c>
      <c r="G6179" s="39" t="s">
        <v>629</v>
      </c>
      <c r="J6179" s="17">
        <v>2</v>
      </c>
      <c r="K6179" s="17"/>
      <c r="L6179" s="7">
        <f t="shared" si="2658"/>
        <v>2</v>
      </c>
      <c r="M6179" s="8">
        <v>1</v>
      </c>
      <c r="N6179" s="8">
        <f t="shared" si="2659"/>
        <v>1</v>
      </c>
      <c r="O6179" s="11" t="s">
        <v>1702</v>
      </c>
      <c r="P6179" s="16" t="str">
        <f t="shared" si="2660"/>
        <v>05-Jul-1898</v>
      </c>
      <c r="R6179" s="16" t="str">
        <f t="shared" si="2643"/>
        <v>x</v>
      </c>
      <c r="S6179" s="16" t="str">
        <f t="shared" si="2643"/>
        <v>x</v>
      </c>
      <c r="U6179" s="46" t="str">
        <f t="shared" si="2656"/>
        <v/>
      </c>
      <c r="V6179" s="46">
        <f t="shared" si="2656"/>
        <v>2</v>
      </c>
      <c r="W6179" s="46" t="str">
        <f t="shared" si="2656"/>
        <v/>
      </c>
      <c r="X6179" s="46" t="str">
        <f t="shared" si="2656"/>
        <v/>
      </c>
    </row>
    <row r="6180" spans="2:26" x14ac:dyDescent="0.25">
      <c r="B6180" s="11" t="str">
        <f t="shared" si="2657"/>
        <v>SPRN-09AUG1898</v>
      </c>
      <c r="C6180" s="11" t="s">
        <v>599</v>
      </c>
      <c r="D6180" s="11" t="s">
        <v>2103</v>
      </c>
      <c r="E6180" s="39" t="s">
        <v>639</v>
      </c>
      <c r="F6180" s="11" t="s">
        <v>1700</v>
      </c>
      <c r="G6180" s="39" t="s">
        <v>630</v>
      </c>
      <c r="J6180" s="17">
        <v>4</v>
      </c>
      <c r="K6180" s="17"/>
      <c r="L6180" s="7">
        <f t="shared" si="2658"/>
        <v>4</v>
      </c>
      <c r="M6180" s="8">
        <v>1</v>
      </c>
      <c r="N6180" s="8">
        <f t="shared" si="2659"/>
        <v>1</v>
      </c>
      <c r="O6180" s="11" t="s">
        <v>1702</v>
      </c>
      <c r="P6180" s="16" t="str">
        <f t="shared" si="2660"/>
        <v>09-Aug-1898</v>
      </c>
      <c r="R6180" s="16" t="str">
        <f t="shared" si="2643"/>
        <v>x</v>
      </c>
      <c r="S6180" s="16" t="str">
        <f t="shared" si="2643"/>
        <v>x</v>
      </c>
      <c r="U6180" s="46" t="str">
        <f t="shared" si="2656"/>
        <v/>
      </c>
      <c r="V6180" s="46">
        <f t="shared" si="2656"/>
        <v>4</v>
      </c>
      <c r="W6180" s="46" t="str">
        <f t="shared" si="2656"/>
        <v/>
      </c>
      <c r="X6180" s="46" t="str">
        <f t="shared" si="2656"/>
        <v/>
      </c>
    </row>
    <row r="6181" spans="2:26" s="18" customFormat="1" x14ac:dyDescent="0.25">
      <c r="B6181" s="11" t="str">
        <f t="shared" si="2657"/>
        <v>SPRN-14SEP1898</v>
      </c>
      <c r="C6181" s="11" t="s">
        <v>599</v>
      </c>
      <c r="D6181" s="11" t="s">
        <v>2103</v>
      </c>
      <c r="E6181" s="39" t="s">
        <v>640</v>
      </c>
      <c r="F6181" s="11" t="s">
        <v>1700</v>
      </c>
      <c r="G6181" s="39" t="s">
        <v>631</v>
      </c>
      <c r="H6181" s="7"/>
      <c r="I6181" s="7"/>
      <c r="J6181" s="17">
        <v>1</v>
      </c>
      <c r="K6181" s="17"/>
      <c r="L6181" s="7">
        <f t="shared" si="2658"/>
        <v>1</v>
      </c>
      <c r="M6181" s="8">
        <v>1</v>
      </c>
      <c r="N6181" s="8">
        <f t="shared" si="2659"/>
        <v>1</v>
      </c>
      <c r="O6181" s="11" t="s">
        <v>1702</v>
      </c>
      <c r="P6181" s="16" t="str">
        <f t="shared" si="2660"/>
        <v>14-Sep-1898</v>
      </c>
      <c r="Q6181" s="16"/>
      <c r="R6181" s="16" t="str">
        <f t="shared" si="2643"/>
        <v>x</v>
      </c>
      <c r="S6181" s="16" t="str">
        <f t="shared" si="2643"/>
        <v>x</v>
      </c>
      <c r="T6181" s="12"/>
      <c r="U6181" s="46" t="str">
        <f t="shared" si="2656"/>
        <v/>
      </c>
      <c r="V6181" s="46">
        <f t="shared" si="2656"/>
        <v>1</v>
      </c>
      <c r="W6181" s="46" t="str">
        <f t="shared" si="2656"/>
        <v/>
      </c>
      <c r="X6181" s="46" t="str">
        <f t="shared" si="2656"/>
        <v/>
      </c>
      <c r="Z6181" s="11"/>
    </row>
    <row r="6182" spans="2:26" s="18" customFormat="1" x14ac:dyDescent="0.25">
      <c r="B6182" s="11" t="str">
        <f t="shared" si="2657"/>
        <v>SPRN-19OCT1898</v>
      </c>
      <c r="C6182" s="11" t="s">
        <v>599</v>
      </c>
      <c r="D6182" s="11" t="s">
        <v>2103</v>
      </c>
      <c r="E6182" s="39" t="s">
        <v>641</v>
      </c>
      <c r="F6182" s="11" t="s">
        <v>1700</v>
      </c>
      <c r="G6182" s="39" t="s">
        <v>632</v>
      </c>
      <c r="H6182" s="7"/>
      <c r="I6182" s="7"/>
      <c r="J6182" s="17">
        <v>2</v>
      </c>
      <c r="K6182" s="17"/>
      <c r="L6182" s="7">
        <f t="shared" si="2658"/>
        <v>2</v>
      </c>
      <c r="M6182" s="8">
        <v>1</v>
      </c>
      <c r="N6182" s="8">
        <f t="shared" si="2659"/>
        <v>1</v>
      </c>
      <c r="O6182" s="11" t="s">
        <v>1702</v>
      </c>
      <c r="P6182" s="16" t="str">
        <f t="shared" si="2660"/>
        <v>19-Oct-1898</v>
      </c>
      <c r="Q6182" s="16"/>
      <c r="R6182" s="16" t="str">
        <f t="shared" si="2643"/>
        <v>x</v>
      </c>
      <c r="S6182" s="16" t="str">
        <f t="shared" si="2643"/>
        <v>x</v>
      </c>
      <c r="T6182" s="12"/>
      <c r="U6182" s="46" t="str">
        <f t="shared" si="2656"/>
        <v/>
      </c>
      <c r="V6182" s="46">
        <f t="shared" si="2656"/>
        <v>2</v>
      </c>
      <c r="W6182" s="46" t="str">
        <f t="shared" si="2656"/>
        <v/>
      </c>
      <c r="X6182" s="46" t="str">
        <f t="shared" si="2656"/>
        <v/>
      </c>
      <c r="Z6182" s="11"/>
    </row>
    <row r="6183" spans="2:26" s="18" customFormat="1" x14ac:dyDescent="0.25">
      <c r="B6183" s="11" t="str">
        <f t="shared" si="2657"/>
        <v>SPRN-25NOV1898</v>
      </c>
      <c r="C6183" s="11" t="s">
        <v>599</v>
      </c>
      <c r="D6183" s="11" t="s">
        <v>2103</v>
      </c>
      <c r="E6183" s="39" t="s">
        <v>642</v>
      </c>
      <c r="F6183" s="11" t="s">
        <v>1700</v>
      </c>
      <c r="G6183" s="39" t="s">
        <v>558</v>
      </c>
      <c r="H6183" s="7"/>
      <c r="I6183" s="7"/>
      <c r="J6183" s="17">
        <v>1</v>
      </c>
      <c r="K6183" s="17"/>
      <c r="L6183" s="7">
        <f t="shared" si="2658"/>
        <v>1</v>
      </c>
      <c r="M6183" s="8">
        <v>1</v>
      </c>
      <c r="N6183" s="8">
        <f t="shared" si="2659"/>
        <v>1</v>
      </c>
      <c r="O6183" s="11" t="s">
        <v>1702</v>
      </c>
      <c r="P6183" s="16" t="str">
        <f t="shared" si="2660"/>
        <v>25-Nov-1898</v>
      </c>
      <c r="Q6183" s="16"/>
      <c r="R6183" s="16" t="str">
        <f t="shared" si="2643"/>
        <v>x</v>
      </c>
      <c r="S6183" s="16" t="str">
        <f t="shared" si="2643"/>
        <v>x</v>
      </c>
      <c r="T6183" s="12"/>
      <c r="U6183" s="46" t="str">
        <f t="shared" si="2656"/>
        <v/>
      </c>
      <c r="V6183" s="46">
        <f t="shared" si="2656"/>
        <v>1</v>
      </c>
      <c r="W6183" s="46" t="str">
        <f t="shared" si="2656"/>
        <v/>
      </c>
      <c r="X6183" s="46" t="str">
        <f t="shared" si="2656"/>
        <v/>
      </c>
      <c r="Z6183" s="11"/>
    </row>
    <row r="6184" spans="2:26" x14ac:dyDescent="0.25">
      <c r="B6184" s="11" t="str">
        <f t="shared" si="2657"/>
        <v>SPRN-28DEC1898</v>
      </c>
      <c r="C6184" s="11" t="s">
        <v>599</v>
      </c>
      <c r="D6184" s="11" t="s">
        <v>2103</v>
      </c>
      <c r="E6184" s="39" t="s">
        <v>643</v>
      </c>
      <c r="F6184" s="11" t="s">
        <v>1700</v>
      </c>
      <c r="G6184" s="39" t="s">
        <v>633</v>
      </c>
      <c r="J6184" s="17">
        <v>0</v>
      </c>
      <c r="K6184" s="17"/>
      <c r="L6184" s="7">
        <f t="shared" si="2658"/>
        <v>0</v>
      </c>
      <c r="M6184" s="8">
        <v>1</v>
      </c>
      <c r="N6184" s="8" t="str">
        <f t="shared" si="2659"/>
        <v/>
      </c>
      <c r="O6184" s="11" t="s">
        <v>1702</v>
      </c>
      <c r="P6184" s="16" t="str">
        <f t="shared" si="2660"/>
        <v>28-Dec-1898</v>
      </c>
      <c r="R6184" s="16" t="str">
        <f t="shared" si="2643"/>
        <v/>
      </c>
      <c r="S6184" s="16" t="str">
        <f t="shared" si="2643"/>
        <v/>
      </c>
      <c r="U6184" s="46" t="str">
        <f t="shared" si="2656"/>
        <v/>
      </c>
      <c r="V6184" s="46">
        <f t="shared" si="2656"/>
        <v>0</v>
      </c>
      <c r="W6184" s="46" t="str">
        <f t="shared" si="2656"/>
        <v/>
      </c>
      <c r="X6184" s="46" t="str">
        <f t="shared" si="2656"/>
        <v/>
      </c>
    </row>
    <row r="6185" spans="2:26" x14ac:dyDescent="0.25">
      <c r="B6185" s="11" t="str">
        <f t="shared" si="2657"/>
        <v>SPRN-15FEB1899</v>
      </c>
      <c r="C6185" s="11" t="s">
        <v>599</v>
      </c>
      <c r="D6185" s="11" t="s">
        <v>2103</v>
      </c>
      <c r="E6185" s="39" t="s">
        <v>652</v>
      </c>
      <c r="F6185" s="11" t="s">
        <v>1700</v>
      </c>
      <c r="G6185" s="39" t="s">
        <v>644</v>
      </c>
      <c r="J6185" s="17">
        <v>3</v>
      </c>
      <c r="K6185" s="17"/>
      <c r="L6185" s="7">
        <f t="shared" si="2658"/>
        <v>3</v>
      </c>
      <c r="M6185" s="8">
        <v>1</v>
      </c>
      <c r="N6185" s="8">
        <f t="shared" si="2659"/>
        <v>1</v>
      </c>
      <c r="O6185" s="11" t="s">
        <v>1702</v>
      </c>
      <c r="P6185" s="16" t="str">
        <f t="shared" si="2660"/>
        <v>15-Feb-1899</v>
      </c>
      <c r="R6185" s="16" t="str">
        <f t="shared" si="2643"/>
        <v>x</v>
      </c>
      <c r="S6185" s="16" t="str">
        <f t="shared" si="2643"/>
        <v>x</v>
      </c>
      <c r="U6185" s="46" t="str">
        <f t="shared" si="2656"/>
        <v/>
      </c>
      <c r="V6185" s="46">
        <f t="shared" si="2656"/>
        <v>3</v>
      </c>
      <c r="W6185" s="46" t="str">
        <f t="shared" si="2656"/>
        <v/>
      </c>
      <c r="X6185" s="46" t="str">
        <f t="shared" si="2656"/>
        <v/>
      </c>
    </row>
    <row r="6186" spans="2:26" s="18" customFormat="1" x14ac:dyDescent="0.25">
      <c r="B6186" s="11" t="str">
        <f t="shared" si="2657"/>
        <v>SPRN-23MAR1899</v>
      </c>
      <c r="C6186" s="11" t="s">
        <v>599</v>
      </c>
      <c r="D6186" s="11" t="s">
        <v>2103</v>
      </c>
      <c r="E6186" s="39" t="s">
        <v>653</v>
      </c>
      <c r="F6186" s="11" t="s">
        <v>1700</v>
      </c>
      <c r="G6186" s="39" t="s">
        <v>2192</v>
      </c>
      <c r="H6186" s="7"/>
      <c r="I6186" s="7"/>
      <c r="J6186" s="17"/>
      <c r="K6186" s="17"/>
      <c r="L6186" s="7">
        <f t="shared" si="2658"/>
        <v>0</v>
      </c>
      <c r="M6186" s="8">
        <v>1</v>
      </c>
      <c r="N6186" s="8" t="str">
        <f t="shared" si="2659"/>
        <v/>
      </c>
      <c r="O6186" s="11" t="s">
        <v>1702</v>
      </c>
      <c r="P6186" s="16" t="str">
        <f t="shared" si="2660"/>
        <v>23-Mar-1899</v>
      </c>
      <c r="Q6186" s="16"/>
      <c r="R6186" s="16" t="str">
        <f t="shared" si="2643"/>
        <v/>
      </c>
      <c r="S6186" s="16" t="str">
        <f t="shared" si="2643"/>
        <v/>
      </c>
      <c r="T6186" s="12"/>
      <c r="U6186" s="46" t="str">
        <f t="shared" si="2656"/>
        <v/>
      </c>
      <c r="V6186" s="46">
        <f t="shared" si="2656"/>
        <v>0</v>
      </c>
      <c r="W6186" s="46" t="str">
        <f t="shared" si="2656"/>
        <v/>
      </c>
      <c r="X6186" s="46" t="str">
        <f t="shared" si="2656"/>
        <v/>
      </c>
      <c r="Z6186" s="11" t="s">
        <v>654</v>
      </c>
    </row>
    <row r="6187" spans="2:26" s="18" customFormat="1" x14ac:dyDescent="0.25">
      <c r="B6187" s="11" t="str">
        <f t="shared" ref="B6187:B6198" si="2661">CONCATENATE("SPRN","-",LEFT(P6187,2),UPPER(MID(P6187,4,3)),RIGHT(P6187,4))</f>
        <v>SPRN-24APR1899</v>
      </c>
      <c r="C6187" s="11" t="s">
        <v>599</v>
      </c>
      <c r="D6187" s="11" t="s">
        <v>2103</v>
      </c>
      <c r="E6187" s="39" t="s">
        <v>655</v>
      </c>
      <c r="F6187" s="11" t="s">
        <v>1700</v>
      </c>
      <c r="G6187" s="39" t="s">
        <v>645</v>
      </c>
      <c r="H6187" s="7"/>
      <c r="I6187" s="7"/>
      <c r="J6187" s="17"/>
      <c r="K6187" s="17"/>
      <c r="L6187" s="7">
        <f t="shared" ref="L6187:L6198" si="2662">SUM(H6187:K6187)</f>
        <v>0</v>
      </c>
      <c r="M6187" s="8">
        <v>1</v>
      </c>
      <c r="N6187" s="8" t="str">
        <f t="shared" ref="N6187:N6198" si="2663">IF(L6187&gt;0,1,"")</f>
        <v/>
      </c>
      <c r="O6187" s="11" t="s">
        <v>1702</v>
      </c>
      <c r="P6187" s="16" t="str">
        <f t="shared" ref="P6187:P6198" si="2664">IF(LEN(G6187)=10,CONCATENATE("0",G6187),G6187)</f>
        <v>24-Apr-1899</v>
      </c>
      <c r="Q6187" s="16"/>
      <c r="R6187" s="16" t="str">
        <f t="shared" si="2643"/>
        <v/>
      </c>
      <c r="S6187" s="16" t="str">
        <f t="shared" si="2643"/>
        <v/>
      </c>
      <c r="T6187" s="12"/>
      <c r="U6187" s="46" t="str">
        <f t="shared" si="2656"/>
        <v/>
      </c>
      <c r="V6187" s="46">
        <f t="shared" si="2656"/>
        <v>0</v>
      </c>
      <c r="W6187" s="46" t="str">
        <f t="shared" si="2656"/>
        <v/>
      </c>
      <c r="X6187" s="46" t="str">
        <f t="shared" si="2656"/>
        <v/>
      </c>
      <c r="Z6187" s="11" t="s">
        <v>654</v>
      </c>
    </row>
    <row r="6188" spans="2:26" s="18" customFormat="1" x14ac:dyDescent="0.25">
      <c r="B6188" s="11" t="str">
        <f t="shared" si="2661"/>
        <v>SPRN-31MAY1899</v>
      </c>
      <c r="C6188" s="11" t="s">
        <v>599</v>
      </c>
      <c r="D6188" s="11" t="s">
        <v>2103</v>
      </c>
      <c r="E6188" s="39" t="s">
        <v>656</v>
      </c>
      <c r="F6188" s="11" t="s">
        <v>1700</v>
      </c>
      <c r="G6188" s="39" t="s">
        <v>646</v>
      </c>
      <c r="H6188" s="7"/>
      <c r="I6188" s="7"/>
      <c r="J6188" s="17">
        <v>0</v>
      </c>
      <c r="K6188" s="17"/>
      <c r="L6188" s="7">
        <f t="shared" si="2662"/>
        <v>0</v>
      </c>
      <c r="M6188" s="8">
        <v>1</v>
      </c>
      <c r="N6188" s="8" t="str">
        <f t="shared" si="2663"/>
        <v/>
      </c>
      <c r="O6188" s="11" t="s">
        <v>1702</v>
      </c>
      <c r="P6188" s="16" t="str">
        <f t="shared" si="2664"/>
        <v>31-May-1899</v>
      </c>
      <c r="Q6188" s="16"/>
      <c r="R6188" s="16" t="str">
        <f t="shared" si="2643"/>
        <v/>
      </c>
      <c r="S6188" s="16" t="str">
        <f t="shared" si="2643"/>
        <v/>
      </c>
      <c r="T6188" s="12"/>
      <c r="U6188" s="46" t="str">
        <f t="shared" si="2656"/>
        <v/>
      </c>
      <c r="V6188" s="46">
        <f t="shared" si="2656"/>
        <v>0</v>
      </c>
      <c r="W6188" s="46" t="str">
        <f t="shared" si="2656"/>
        <v/>
      </c>
      <c r="X6188" s="46" t="str">
        <f t="shared" si="2656"/>
        <v/>
      </c>
      <c r="Z6188" s="11"/>
    </row>
    <row r="6189" spans="2:26" x14ac:dyDescent="0.25">
      <c r="B6189" s="11" t="str">
        <f t="shared" si="2661"/>
        <v>SPRN-05JUL1899</v>
      </c>
      <c r="C6189" s="11" t="s">
        <v>599</v>
      </c>
      <c r="D6189" s="11" t="s">
        <v>2103</v>
      </c>
      <c r="E6189" s="39" t="s">
        <v>657</v>
      </c>
      <c r="F6189" s="11" t="s">
        <v>1700</v>
      </c>
      <c r="G6189" s="39" t="s">
        <v>647</v>
      </c>
      <c r="J6189" s="17">
        <v>1</v>
      </c>
      <c r="K6189" s="17"/>
      <c r="L6189" s="7">
        <f t="shared" si="2662"/>
        <v>1</v>
      </c>
      <c r="M6189" s="8">
        <v>1</v>
      </c>
      <c r="N6189" s="8">
        <f t="shared" si="2663"/>
        <v>1</v>
      </c>
      <c r="O6189" s="11" t="s">
        <v>1702</v>
      </c>
      <c r="P6189" s="16" t="str">
        <f t="shared" si="2664"/>
        <v>05-Jul-1899</v>
      </c>
      <c r="R6189" s="16" t="str">
        <f t="shared" si="2643"/>
        <v>x</v>
      </c>
      <c r="S6189" s="16" t="str">
        <f t="shared" si="2643"/>
        <v>x</v>
      </c>
      <c r="U6189" s="46" t="str">
        <f t="shared" si="2656"/>
        <v/>
      </c>
      <c r="V6189" s="46">
        <f t="shared" si="2656"/>
        <v>1</v>
      </c>
      <c r="W6189" s="46" t="str">
        <f t="shared" si="2656"/>
        <v/>
      </c>
      <c r="X6189" s="46" t="str">
        <f t="shared" si="2656"/>
        <v/>
      </c>
    </row>
    <row r="6190" spans="2:26" x14ac:dyDescent="0.25">
      <c r="B6190" s="11" t="str">
        <f t="shared" si="2661"/>
        <v>SPRN-07AUG1899</v>
      </c>
      <c r="C6190" s="11" t="s">
        <v>599</v>
      </c>
      <c r="D6190" s="11" t="s">
        <v>2103</v>
      </c>
      <c r="E6190" s="39" t="s">
        <v>659</v>
      </c>
      <c r="F6190" s="11" t="s">
        <v>1700</v>
      </c>
      <c r="G6190" s="39" t="s">
        <v>648</v>
      </c>
      <c r="J6190" s="17"/>
      <c r="K6190" s="17"/>
      <c r="L6190" s="7">
        <f t="shared" si="2662"/>
        <v>0</v>
      </c>
      <c r="M6190" s="8">
        <v>1</v>
      </c>
      <c r="N6190" s="8" t="str">
        <f t="shared" si="2663"/>
        <v/>
      </c>
      <c r="O6190" s="11" t="s">
        <v>1702</v>
      </c>
      <c r="P6190" s="16" t="str">
        <f t="shared" si="2664"/>
        <v>07-Aug-1899</v>
      </c>
      <c r="R6190" s="16" t="str">
        <f t="shared" si="2643"/>
        <v/>
      </c>
      <c r="S6190" s="16" t="str">
        <f t="shared" si="2643"/>
        <v/>
      </c>
      <c r="U6190" s="46" t="str">
        <f t="shared" si="2656"/>
        <v/>
      </c>
      <c r="V6190" s="46">
        <f t="shared" si="2656"/>
        <v>0</v>
      </c>
      <c r="W6190" s="46" t="str">
        <f t="shared" si="2656"/>
        <v/>
      </c>
      <c r="X6190" s="46" t="str">
        <f t="shared" si="2656"/>
        <v/>
      </c>
      <c r="Z6190" s="11" t="s">
        <v>658</v>
      </c>
    </row>
    <row r="6191" spans="2:26" x14ac:dyDescent="0.25">
      <c r="B6191" s="11" t="str">
        <f t="shared" si="2661"/>
        <v>SPRN-19SEP1899</v>
      </c>
      <c r="C6191" s="11" t="s">
        <v>599</v>
      </c>
      <c r="D6191" s="11" t="s">
        <v>2103</v>
      </c>
      <c r="E6191" s="39" t="s">
        <v>501</v>
      </c>
      <c r="F6191" s="11" t="s">
        <v>1700</v>
      </c>
      <c r="G6191" s="39" t="s">
        <v>649</v>
      </c>
      <c r="J6191" s="17">
        <v>10</v>
      </c>
      <c r="K6191" s="17"/>
      <c r="L6191" s="7">
        <f t="shared" si="2662"/>
        <v>10</v>
      </c>
      <c r="M6191" s="8">
        <v>1</v>
      </c>
      <c r="N6191" s="8">
        <f t="shared" si="2663"/>
        <v>1</v>
      </c>
      <c r="O6191" s="11" t="s">
        <v>1702</v>
      </c>
      <c r="P6191" s="16" t="str">
        <f t="shared" si="2664"/>
        <v>19-Sep-1899</v>
      </c>
      <c r="R6191" s="16" t="str">
        <f>IF($L6191&gt;0,"x","")</f>
        <v>x</v>
      </c>
      <c r="S6191" s="16" t="str">
        <f>IF($L6191&gt;0,"x","")</f>
        <v>x</v>
      </c>
      <c r="U6191" s="46" t="str">
        <f t="shared" si="2656"/>
        <v/>
      </c>
      <c r="V6191" s="46">
        <f t="shared" si="2656"/>
        <v>10</v>
      </c>
      <c r="W6191" s="46" t="str">
        <f t="shared" si="2656"/>
        <v/>
      </c>
      <c r="X6191" s="46" t="str">
        <f t="shared" si="2656"/>
        <v/>
      </c>
      <c r="Z6191" s="11" t="s">
        <v>660</v>
      </c>
    </row>
    <row r="6192" spans="2:26" x14ac:dyDescent="0.25">
      <c r="B6192" s="11" t="str">
        <f t="shared" si="2661"/>
        <v>SPRN-24OCT1899</v>
      </c>
      <c r="C6192" s="11" t="s">
        <v>599</v>
      </c>
      <c r="D6192" s="11" t="s">
        <v>2103</v>
      </c>
      <c r="E6192" s="39" t="s">
        <v>661</v>
      </c>
      <c r="F6192" s="11" t="s">
        <v>1700</v>
      </c>
      <c r="G6192" s="39" t="s">
        <v>650</v>
      </c>
      <c r="J6192" s="17">
        <v>2</v>
      </c>
      <c r="K6192" s="17"/>
      <c r="L6192" s="7">
        <f t="shared" si="2662"/>
        <v>2</v>
      </c>
      <c r="M6192" s="8">
        <v>1</v>
      </c>
      <c r="N6192" s="8">
        <f t="shared" si="2663"/>
        <v>1</v>
      </c>
      <c r="O6192" s="11" t="s">
        <v>1702</v>
      </c>
      <c r="P6192" s="16" t="str">
        <f t="shared" si="2664"/>
        <v>24-Oct-1899</v>
      </c>
      <c r="R6192" s="16" t="str">
        <f t="shared" si="2643"/>
        <v>x</v>
      </c>
      <c r="S6192" s="16" t="str">
        <f t="shared" si="2643"/>
        <v>x</v>
      </c>
      <c r="U6192" s="46" t="str">
        <f t="shared" si="2656"/>
        <v/>
      </c>
      <c r="V6192" s="46">
        <f t="shared" si="2656"/>
        <v>2</v>
      </c>
      <c r="W6192" s="46" t="str">
        <f t="shared" si="2656"/>
        <v/>
      </c>
      <c r="X6192" s="46" t="str">
        <f t="shared" si="2656"/>
        <v/>
      </c>
    </row>
    <row r="6193" spans="2:26" x14ac:dyDescent="0.25">
      <c r="B6193" s="11" t="str">
        <f t="shared" si="2661"/>
        <v>SPRN-28NOV1899</v>
      </c>
      <c r="C6193" s="11" t="s">
        <v>599</v>
      </c>
      <c r="D6193" s="11" t="s">
        <v>2103</v>
      </c>
      <c r="E6193" s="39" t="s">
        <v>662</v>
      </c>
      <c r="F6193" s="11" t="s">
        <v>1700</v>
      </c>
      <c r="G6193" s="39" t="s">
        <v>651</v>
      </c>
      <c r="J6193" s="17">
        <v>15</v>
      </c>
      <c r="K6193" s="17"/>
      <c r="L6193" s="7">
        <f t="shared" si="2662"/>
        <v>15</v>
      </c>
      <c r="M6193" s="8">
        <v>1</v>
      </c>
      <c r="N6193" s="8">
        <f t="shared" si="2663"/>
        <v>1</v>
      </c>
      <c r="O6193" s="11" t="s">
        <v>1702</v>
      </c>
      <c r="P6193" s="16" t="str">
        <f t="shared" si="2664"/>
        <v>28-Nov-1899</v>
      </c>
      <c r="R6193" s="16" t="str">
        <f t="shared" si="2643"/>
        <v>x</v>
      </c>
      <c r="S6193" s="16" t="str">
        <f t="shared" si="2643"/>
        <v>x</v>
      </c>
      <c r="U6193" s="46" t="str">
        <f t="shared" si="2656"/>
        <v/>
      </c>
      <c r="V6193" s="46">
        <f t="shared" si="2656"/>
        <v>15</v>
      </c>
      <c r="W6193" s="46" t="str">
        <f t="shared" si="2656"/>
        <v/>
      </c>
      <c r="X6193" s="46" t="str">
        <f t="shared" si="2656"/>
        <v/>
      </c>
    </row>
    <row r="6194" spans="2:26" x14ac:dyDescent="0.25">
      <c r="B6194" s="11" t="str">
        <f t="shared" si="2661"/>
        <v>SPRN-21FEB1900</v>
      </c>
      <c r="C6194" s="11" t="s">
        <v>599</v>
      </c>
      <c r="D6194" s="11" t="s">
        <v>2103</v>
      </c>
      <c r="E6194" s="39" t="s">
        <v>668</v>
      </c>
      <c r="F6194" s="11" t="s">
        <v>1700</v>
      </c>
      <c r="G6194" s="39" t="s">
        <v>663</v>
      </c>
      <c r="J6194" s="17">
        <v>0</v>
      </c>
      <c r="K6194" s="17"/>
      <c r="L6194" s="7">
        <f t="shared" si="2662"/>
        <v>0</v>
      </c>
      <c r="M6194" s="8">
        <v>1</v>
      </c>
      <c r="N6194" s="8" t="str">
        <f t="shared" si="2663"/>
        <v/>
      </c>
      <c r="O6194" s="11" t="s">
        <v>1702</v>
      </c>
      <c r="P6194" s="16" t="str">
        <f t="shared" si="2664"/>
        <v>21-Feb-1900</v>
      </c>
      <c r="R6194" s="16" t="str">
        <f t="shared" si="2643"/>
        <v/>
      </c>
      <c r="S6194" s="16" t="str">
        <f t="shared" si="2643"/>
        <v/>
      </c>
      <c r="U6194" s="46" t="str">
        <f t="shared" si="2656"/>
        <v/>
      </c>
      <c r="V6194" s="46">
        <f t="shared" si="2656"/>
        <v>0</v>
      </c>
      <c r="W6194" s="46" t="str">
        <f t="shared" si="2656"/>
        <v/>
      </c>
      <c r="X6194" s="46" t="str">
        <f t="shared" si="2656"/>
        <v/>
      </c>
    </row>
    <row r="6195" spans="2:26" x14ac:dyDescent="0.25">
      <c r="B6195" s="11" t="str">
        <f t="shared" si="2661"/>
        <v>SPRN-28MAR1900</v>
      </c>
      <c r="C6195" s="11" t="s">
        <v>599</v>
      </c>
      <c r="D6195" s="11" t="s">
        <v>2103</v>
      </c>
      <c r="E6195" s="39" t="s">
        <v>669</v>
      </c>
      <c r="F6195" s="11" t="s">
        <v>1700</v>
      </c>
      <c r="G6195" s="39" t="s">
        <v>664</v>
      </c>
      <c r="J6195" s="17">
        <v>2</v>
      </c>
      <c r="K6195" s="17"/>
      <c r="L6195" s="7">
        <f t="shared" si="2662"/>
        <v>2</v>
      </c>
      <c r="M6195" s="8">
        <v>1</v>
      </c>
      <c r="N6195" s="8">
        <f t="shared" si="2663"/>
        <v>1</v>
      </c>
      <c r="O6195" s="11" t="s">
        <v>1702</v>
      </c>
      <c r="P6195" s="16" t="str">
        <f t="shared" si="2664"/>
        <v>28-Mar-1900</v>
      </c>
      <c r="R6195" s="16" t="str">
        <f t="shared" ref="R6195:S6203" si="2665">IF($L6195&gt;0,"x","")</f>
        <v>x</v>
      </c>
      <c r="S6195" s="16" t="str">
        <f t="shared" si="2665"/>
        <v>x</v>
      </c>
      <c r="U6195" s="46" t="str">
        <f t="shared" si="2656"/>
        <v/>
      </c>
      <c r="V6195" s="46">
        <f t="shared" si="2656"/>
        <v>2</v>
      </c>
      <c r="W6195" s="46" t="str">
        <f t="shared" si="2656"/>
        <v/>
      </c>
      <c r="X6195" s="46" t="str">
        <f t="shared" si="2656"/>
        <v/>
      </c>
    </row>
    <row r="6196" spans="2:26" x14ac:dyDescent="0.25">
      <c r="B6196" s="11" t="str">
        <f t="shared" si="2661"/>
        <v>SPRN-01MAY1900</v>
      </c>
      <c r="C6196" s="11" t="s">
        <v>599</v>
      </c>
      <c r="D6196" s="11" t="s">
        <v>2103</v>
      </c>
      <c r="E6196" s="39" t="s">
        <v>670</v>
      </c>
      <c r="F6196" s="11" t="s">
        <v>1700</v>
      </c>
      <c r="G6196" s="39" t="s">
        <v>665</v>
      </c>
      <c r="J6196" s="17">
        <v>2</v>
      </c>
      <c r="K6196" s="17"/>
      <c r="L6196" s="7">
        <f t="shared" si="2662"/>
        <v>2</v>
      </c>
      <c r="M6196" s="8">
        <v>1</v>
      </c>
      <c r="N6196" s="8">
        <f t="shared" si="2663"/>
        <v>1</v>
      </c>
      <c r="O6196" s="11" t="s">
        <v>1702</v>
      </c>
      <c r="P6196" s="16" t="str">
        <f t="shared" si="2664"/>
        <v>01-May-1900</v>
      </c>
      <c r="R6196" s="16" t="str">
        <f t="shared" si="2665"/>
        <v>x</v>
      </c>
      <c r="S6196" s="16" t="str">
        <f t="shared" si="2665"/>
        <v>x</v>
      </c>
      <c r="U6196" s="46" t="str">
        <f t="shared" si="2656"/>
        <v/>
      </c>
      <c r="V6196" s="46">
        <f t="shared" si="2656"/>
        <v>2</v>
      </c>
      <c r="W6196" s="46" t="str">
        <f t="shared" si="2656"/>
        <v/>
      </c>
      <c r="X6196" s="46" t="str">
        <f t="shared" si="2656"/>
        <v/>
      </c>
    </row>
    <row r="6197" spans="2:26" s="18" customFormat="1" x14ac:dyDescent="0.25">
      <c r="B6197" s="11" t="str">
        <f t="shared" si="2661"/>
        <v>SPRN-13JUN1900</v>
      </c>
      <c r="C6197" s="11" t="s">
        <v>599</v>
      </c>
      <c r="D6197" s="11" t="s">
        <v>2103</v>
      </c>
      <c r="E6197" s="39" t="s">
        <v>671</v>
      </c>
      <c r="F6197" s="11" t="s">
        <v>1700</v>
      </c>
      <c r="G6197" s="39" t="s">
        <v>666</v>
      </c>
      <c r="H6197" s="7"/>
      <c r="I6197" s="7"/>
      <c r="J6197" s="17">
        <v>1</v>
      </c>
      <c r="K6197" s="17"/>
      <c r="L6197" s="7">
        <f t="shared" si="2662"/>
        <v>1</v>
      </c>
      <c r="M6197" s="8">
        <v>1</v>
      </c>
      <c r="N6197" s="8">
        <f t="shared" si="2663"/>
        <v>1</v>
      </c>
      <c r="O6197" s="11" t="s">
        <v>1702</v>
      </c>
      <c r="P6197" s="16" t="str">
        <f t="shared" si="2664"/>
        <v>13-Jun-1900</v>
      </c>
      <c r="Q6197" s="16"/>
      <c r="R6197" s="16" t="str">
        <f t="shared" si="2665"/>
        <v>x</v>
      </c>
      <c r="S6197" s="16" t="str">
        <f t="shared" si="2665"/>
        <v>x</v>
      </c>
      <c r="T6197" s="12"/>
      <c r="U6197" s="46" t="str">
        <f t="shared" si="2656"/>
        <v/>
      </c>
      <c r="V6197" s="46">
        <f t="shared" si="2656"/>
        <v>1</v>
      </c>
      <c r="W6197" s="46" t="str">
        <f t="shared" si="2656"/>
        <v/>
      </c>
      <c r="X6197" s="46" t="str">
        <f t="shared" si="2656"/>
        <v/>
      </c>
      <c r="Z6197" s="11"/>
    </row>
    <row r="6198" spans="2:26" s="18" customFormat="1" x14ac:dyDescent="0.25">
      <c r="B6198" s="11" t="str">
        <f t="shared" si="2661"/>
        <v>SPRN-17JUL1900</v>
      </c>
      <c r="C6198" s="11" t="s">
        <v>599</v>
      </c>
      <c r="D6198" s="11" t="s">
        <v>2103</v>
      </c>
      <c r="E6198" s="39" t="s">
        <v>672</v>
      </c>
      <c r="F6198" s="11" t="s">
        <v>1700</v>
      </c>
      <c r="G6198" s="39" t="s">
        <v>673</v>
      </c>
      <c r="H6198" s="7"/>
      <c r="I6198" s="7"/>
      <c r="J6198" s="17">
        <v>11</v>
      </c>
      <c r="K6198" s="17"/>
      <c r="L6198" s="7">
        <f t="shared" si="2662"/>
        <v>11</v>
      </c>
      <c r="M6198" s="8">
        <v>1</v>
      </c>
      <c r="N6198" s="8">
        <f t="shared" si="2663"/>
        <v>1</v>
      </c>
      <c r="O6198" s="11" t="s">
        <v>1702</v>
      </c>
      <c r="P6198" s="16" t="str">
        <f t="shared" si="2664"/>
        <v>17-Jul-1900</v>
      </c>
      <c r="Q6198" s="16"/>
      <c r="R6198" s="16" t="str">
        <f t="shared" si="2665"/>
        <v>x</v>
      </c>
      <c r="S6198" s="16" t="str">
        <f t="shared" si="2665"/>
        <v>x</v>
      </c>
      <c r="T6198" s="12"/>
      <c r="U6198" s="46" t="str">
        <f t="shared" si="2656"/>
        <v/>
      </c>
      <c r="V6198" s="46">
        <f t="shared" si="2656"/>
        <v>11</v>
      </c>
      <c r="W6198" s="46" t="str">
        <f t="shared" si="2656"/>
        <v/>
      </c>
      <c r="X6198" s="46" t="str">
        <f t="shared" si="2656"/>
        <v/>
      </c>
      <c r="Z6198" s="11"/>
    </row>
    <row r="6199" spans="2:26" s="18" customFormat="1" x14ac:dyDescent="0.25">
      <c r="B6199" s="11" t="str">
        <f>CONCATENATE("SPRN","-",LEFT(P6199,2),UPPER(MID(P6199,4,3)),RIGHT(P6199,4))</f>
        <v>SPRN-21AUG1900</v>
      </c>
      <c r="C6199" s="11" t="s">
        <v>599</v>
      </c>
      <c r="D6199" s="11" t="s">
        <v>2103</v>
      </c>
      <c r="E6199" s="39" t="s">
        <v>674</v>
      </c>
      <c r="F6199" s="11" t="s">
        <v>1700</v>
      </c>
      <c r="G6199" s="39" t="s">
        <v>667</v>
      </c>
      <c r="H6199" s="7"/>
      <c r="I6199" s="7"/>
      <c r="J6199" s="17">
        <v>0</v>
      </c>
      <c r="K6199" s="17"/>
      <c r="L6199" s="7">
        <f>SUM(H6199:K6199)</f>
        <v>0</v>
      </c>
      <c r="M6199" s="8">
        <v>1</v>
      </c>
      <c r="N6199" s="8" t="str">
        <f>IF(L6199&gt;0,1,"")</f>
        <v/>
      </c>
      <c r="O6199" s="11" t="s">
        <v>1702</v>
      </c>
      <c r="P6199" s="16" t="str">
        <f>IF(LEN(G6199)=10,CONCATENATE("0",G6199),G6199)</f>
        <v>21-Aug-1900</v>
      </c>
      <c r="Q6199" s="16"/>
      <c r="R6199" s="16" t="str">
        <f t="shared" si="2665"/>
        <v/>
      </c>
      <c r="S6199" s="16" t="str">
        <f t="shared" si="2665"/>
        <v/>
      </c>
      <c r="T6199" s="12"/>
      <c r="U6199" s="46" t="str">
        <f t="shared" si="2656"/>
        <v/>
      </c>
      <c r="V6199" s="46">
        <f t="shared" si="2656"/>
        <v>0</v>
      </c>
      <c r="W6199" s="46" t="str">
        <f t="shared" si="2656"/>
        <v/>
      </c>
      <c r="X6199" s="46" t="str">
        <f t="shared" si="2656"/>
        <v/>
      </c>
      <c r="Z6199" s="11"/>
    </row>
    <row r="6200" spans="2:26" x14ac:dyDescent="0.25">
      <c r="B6200" s="11" t="str">
        <f>CONCATENATE("SPRN","-",LEFT(P6200,2),UPPER(MID(P6200,4,3)),RIGHT(P6200,4))</f>
        <v>SPRN-26SEP1900</v>
      </c>
      <c r="C6200" s="11" t="s">
        <v>599</v>
      </c>
      <c r="D6200" s="11" t="s">
        <v>2103</v>
      </c>
      <c r="E6200" s="39" t="s">
        <v>676</v>
      </c>
      <c r="F6200" s="11" t="s">
        <v>1700</v>
      </c>
      <c r="G6200" s="39" t="s">
        <v>675</v>
      </c>
      <c r="J6200" s="17">
        <v>22</v>
      </c>
      <c r="K6200" s="17"/>
      <c r="L6200" s="7">
        <f>SUM(H6200:K6200)</f>
        <v>22</v>
      </c>
      <c r="M6200" s="8">
        <v>1</v>
      </c>
      <c r="N6200" s="8">
        <f>IF(L6200&gt;0,1,"")</f>
        <v>1</v>
      </c>
      <c r="O6200" s="11" t="s">
        <v>1702</v>
      </c>
      <c r="P6200" s="16" t="str">
        <f>IF(LEN(G6200)=10,CONCATENATE("0",G6200),G6200)</f>
        <v>26-Sep-1900</v>
      </c>
      <c r="R6200" s="16" t="str">
        <f t="shared" si="2665"/>
        <v>x</v>
      </c>
      <c r="S6200" s="16" t="str">
        <f t="shared" si="2665"/>
        <v>x</v>
      </c>
      <c r="U6200" s="46" t="str">
        <f t="shared" si="2656"/>
        <v/>
      </c>
      <c r="V6200" s="46">
        <f t="shared" si="2656"/>
        <v>22</v>
      </c>
      <c r="W6200" s="46" t="str">
        <f t="shared" si="2656"/>
        <v/>
      </c>
      <c r="X6200" s="46" t="str">
        <f t="shared" si="2656"/>
        <v/>
      </c>
    </row>
    <row r="6201" spans="2:26" x14ac:dyDescent="0.25">
      <c r="B6201" s="11" t="str">
        <f>CONCATENATE("SPRN","-",LEFT(P6201,2),UPPER(MID(P6201,4,3)),RIGHT(P6201,4))</f>
        <v>SPRN-30OCT1900</v>
      </c>
      <c r="C6201" s="11" t="s">
        <v>599</v>
      </c>
      <c r="D6201" s="11" t="s">
        <v>2103</v>
      </c>
      <c r="E6201" s="39" t="s">
        <v>678</v>
      </c>
      <c r="F6201" s="11" t="s">
        <v>1700</v>
      </c>
      <c r="G6201" s="39" t="s">
        <v>677</v>
      </c>
      <c r="J6201" s="17">
        <v>3</v>
      </c>
      <c r="K6201" s="17"/>
      <c r="L6201" s="7">
        <f>SUM(H6201:K6201)</f>
        <v>3</v>
      </c>
      <c r="M6201" s="8">
        <v>1</v>
      </c>
      <c r="N6201" s="8">
        <f>IF(L6201&gt;0,1,"")</f>
        <v>1</v>
      </c>
      <c r="O6201" s="11" t="s">
        <v>1702</v>
      </c>
      <c r="P6201" s="16" t="str">
        <f>IF(LEN(G6201)=10,CONCATENATE("0",G6201),G6201)</f>
        <v>30-Oct-1900</v>
      </c>
      <c r="R6201" s="16" t="str">
        <f t="shared" si="2665"/>
        <v>x</v>
      </c>
      <c r="S6201" s="16" t="str">
        <f t="shared" si="2665"/>
        <v>x</v>
      </c>
      <c r="U6201" s="46" t="str">
        <f t="shared" si="2656"/>
        <v/>
      </c>
      <c r="V6201" s="46">
        <f t="shared" si="2656"/>
        <v>3</v>
      </c>
      <c r="W6201" s="46" t="str">
        <f t="shared" si="2656"/>
        <v/>
      </c>
      <c r="X6201" s="46" t="str">
        <f t="shared" si="2656"/>
        <v/>
      </c>
    </row>
    <row r="6202" spans="2:26" s="18" customFormat="1" x14ac:dyDescent="0.25">
      <c r="B6202" s="11" t="str">
        <f>CONCATENATE("SPRN","-",LEFT(P6202,2),UPPER(MID(P6202,4,3)),RIGHT(P6202,4))</f>
        <v>SPRN-13DEC1900</v>
      </c>
      <c r="C6202" s="11" t="s">
        <v>599</v>
      </c>
      <c r="D6202" s="11" t="s">
        <v>2103</v>
      </c>
      <c r="E6202" s="39" t="s">
        <v>679</v>
      </c>
      <c r="F6202" s="11" t="s">
        <v>1700</v>
      </c>
      <c r="G6202" s="39" t="s">
        <v>2215</v>
      </c>
      <c r="H6202" s="7"/>
      <c r="I6202" s="7"/>
      <c r="J6202" s="17">
        <v>5</v>
      </c>
      <c r="K6202" s="17"/>
      <c r="L6202" s="7">
        <f>SUM(H6202:K6202)</f>
        <v>5</v>
      </c>
      <c r="M6202" s="8">
        <v>1</v>
      </c>
      <c r="N6202" s="8">
        <f>IF(L6202&gt;0,1,"")</f>
        <v>1</v>
      </c>
      <c r="O6202" s="11" t="s">
        <v>1702</v>
      </c>
      <c r="P6202" s="16" t="str">
        <f>IF(LEN(G6202)=10,CONCATENATE("0",G6202),G6202)</f>
        <v>13-Dec-1900</v>
      </c>
      <c r="Q6202" s="16"/>
      <c r="R6202" s="16" t="str">
        <f t="shared" si="2665"/>
        <v>x</v>
      </c>
      <c r="S6202" s="16" t="str">
        <f t="shared" si="2665"/>
        <v>x</v>
      </c>
      <c r="T6202" s="12"/>
      <c r="U6202" s="46" t="str">
        <f t="shared" si="2656"/>
        <v/>
      </c>
      <c r="V6202" s="46">
        <f t="shared" si="2656"/>
        <v>5</v>
      </c>
      <c r="W6202" s="46" t="str">
        <f t="shared" si="2656"/>
        <v/>
      </c>
      <c r="X6202" s="46" t="str">
        <f t="shared" si="2656"/>
        <v/>
      </c>
      <c r="Z6202" s="11"/>
    </row>
    <row r="6203" spans="2:26" s="18" customFormat="1" x14ac:dyDescent="0.25">
      <c r="B6203" s="11" t="str">
        <f>CONCATENATE("SPRN","-",LEFT(P6203,2),UPPER(MID(P6203,4,3)),RIGHT(P6203,4))</f>
        <v>SPRN-16JAN1901</v>
      </c>
      <c r="C6203" s="11" t="s">
        <v>599</v>
      </c>
      <c r="D6203" s="11" t="s">
        <v>2103</v>
      </c>
      <c r="E6203" s="39" t="s">
        <v>680</v>
      </c>
      <c r="F6203" s="11" t="s">
        <v>1700</v>
      </c>
      <c r="G6203" s="39" t="s">
        <v>681</v>
      </c>
      <c r="H6203" s="7"/>
      <c r="I6203" s="7"/>
      <c r="J6203" s="17">
        <v>6</v>
      </c>
      <c r="K6203" s="17"/>
      <c r="L6203" s="7">
        <f>SUM(H6203:K6203)</f>
        <v>6</v>
      </c>
      <c r="M6203" s="8">
        <v>1</v>
      </c>
      <c r="N6203" s="8">
        <f>IF(L6203&gt;0,1,"")</f>
        <v>1</v>
      </c>
      <c r="O6203" s="11" t="s">
        <v>1702</v>
      </c>
      <c r="P6203" s="16" t="str">
        <f>IF(LEN(G6203)=10,CONCATENATE("0",G6203),G6203)</f>
        <v>16-Jan-1901</v>
      </c>
      <c r="Q6203" s="16"/>
      <c r="R6203" s="16" t="str">
        <f t="shared" si="2665"/>
        <v>x</v>
      </c>
      <c r="S6203" s="16" t="str">
        <f t="shared" si="2665"/>
        <v>x</v>
      </c>
      <c r="T6203" s="12"/>
      <c r="U6203" s="46" t="str">
        <f t="shared" si="2656"/>
        <v/>
      </c>
      <c r="V6203" s="46">
        <f t="shared" si="2656"/>
        <v>6</v>
      </c>
      <c r="W6203" s="46" t="str">
        <f t="shared" si="2656"/>
        <v/>
      </c>
      <c r="X6203" s="46" t="str">
        <f t="shared" si="2656"/>
        <v/>
      </c>
      <c r="Z6203" s="11"/>
    </row>
    <row r="6204" spans="2:26" s="18" customFormat="1" x14ac:dyDescent="0.25">
      <c r="B6204" s="11"/>
      <c r="C6204" s="11"/>
      <c r="D6204" s="11"/>
      <c r="E6204" s="39"/>
      <c r="F6204" s="11"/>
      <c r="G6204" s="39"/>
      <c r="H6204" s="7"/>
      <c r="I6204" s="7"/>
      <c r="J6204" s="7"/>
      <c r="K6204" s="7"/>
      <c r="L6204" s="7"/>
      <c r="M6204" s="8"/>
      <c r="N6204" s="8" t="str">
        <f>IF(R6204="x",1,"")</f>
        <v/>
      </c>
      <c r="O6204" s="11"/>
      <c r="P6204" s="16"/>
      <c r="Q6204" s="16"/>
      <c r="R6204" s="16"/>
      <c r="S6204" s="16"/>
      <c r="T6204" s="12"/>
      <c r="U6204" s="46" t="str">
        <f t="shared" si="2656"/>
        <v/>
      </c>
      <c r="V6204" s="46" t="str">
        <f t="shared" si="2656"/>
        <v/>
      </c>
      <c r="W6204" s="46" t="str">
        <f t="shared" si="2656"/>
        <v/>
      </c>
      <c r="X6204" s="46" t="str">
        <f t="shared" si="2656"/>
        <v/>
      </c>
      <c r="Z6204" s="11"/>
    </row>
    <row r="6205" spans="2:26" x14ac:dyDescent="0.25">
      <c r="B6205" s="18"/>
      <c r="C6205" s="18"/>
      <c r="D6205" s="18"/>
      <c r="E6205" s="40"/>
      <c r="F6205" s="18"/>
      <c r="G6205" s="40"/>
      <c r="H6205" s="7">
        <f t="shared" ref="H6205:N6205" si="2666">SUM(H6129:H6204)</f>
        <v>0</v>
      </c>
      <c r="I6205" s="7">
        <f t="shared" si="2666"/>
        <v>5</v>
      </c>
      <c r="J6205" s="7">
        <f>SUM(J6129:J6204)</f>
        <v>318</v>
      </c>
      <c r="K6205" s="7">
        <f t="shared" si="2666"/>
        <v>0</v>
      </c>
      <c r="L6205" s="7">
        <f t="shared" si="2666"/>
        <v>323</v>
      </c>
      <c r="M6205" s="7">
        <f t="shared" si="2666"/>
        <v>75</v>
      </c>
      <c r="N6205" s="7">
        <f t="shared" si="2666"/>
        <v>43</v>
      </c>
      <c r="O6205" s="18"/>
      <c r="P6205" s="13"/>
      <c r="Q6205" s="13"/>
      <c r="S6205" s="13"/>
      <c r="T6205" s="15"/>
      <c r="U6205" s="46" t="str">
        <f t="shared" si="2656"/>
        <v/>
      </c>
      <c r="V6205" s="46" t="str">
        <f t="shared" si="2656"/>
        <v/>
      </c>
      <c r="W6205" s="46" t="str">
        <f t="shared" si="2656"/>
        <v/>
      </c>
      <c r="X6205" s="46" t="str">
        <f t="shared" si="2656"/>
        <v/>
      </c>
    </row>
    <row r="6206" spans="2:26" x14ac:dyDescent="0.25">
      <c r="B6206" s="18"/>
      <c r="C6206" s="18"/>
      <c r="D6206" s="18"/>
      <c r="E6206" s="40"/>
      <c r="F6206" s="18"/>
      <c r="G6206" s="40"/>
      <c r="N6206" s="8" t="str">
        <f>IF(R6206="x",1,"")</f>
        <v/>
      </c>
      <c r="O6206" s="18"/>
      <c r="P6206" s="13"/>
      <c r="Q6206" s="13"/>
      <c r="R6206" s="13"/>
      <c r="S6206" s="13"/>
      <c r="T6206" s="15"/>
      <c r="U6206" s="46" t="str">
        <f t="shared" si="2656"/>
        <v/>
      </c>
      <c r="V6206" s="46" t="str">
        <f t="shared" si="2656"/>
        <v/>
      </c>
      <c r="W6206" s="46" t="str">
        <f t="shared" si="2656"/>
        <v/>
      </c>
      <c r="X6206" s="46" t="str">
        <f t="shared" si="2656"/>
        <v/>
      </c>
    </row>
    <row r="6207" spans="2:26" x14ac:dyDescent="0.25">
      <c r="B6207" s="18"/>
      <c r="C6207" s="18"/>
      <c r="D6207" s="18"/>
      <c r="E6207" s="40"/>
      <c r="F6207" s="18"/>
      <c r="G6207" s="40"/>
      <c r="N6207" s="8" t="str">
        <f>IF(R6207="x",1,"")</f>
        <v/>
      </c>
      <c r="O6207" s="18"/>
      <c r="P6207" s="13"/>
      <c r="Q6207" s="13"/>
      <c r="R6207" s="13"/>
      <c r="S6207" s="13"/>
      <c r="T6207" s="15"/>
      <c r="U6207" s="46" t="str">
        <f t="shared" si="2656"/>
        <v/>
      </c>
      <c r="V6207" s="46" t="str">
        <f t="shared" si="2656"/>
        <v/>
      </c>
      <c r="W6207" s="46" t="str">
        <f t="shared" si="2656"/>
        <v/>
      </c>
      <c r="X6207" s="46" t="str">
        <f t="shared" si="2656"/>
        <v/>
      </c>
    </row>
    <row r="6208" spans="2:26" s="18" customFormat="1" x14ac:dyDescent="0.25">
      <c r="B6208" s="11" t="str">
        <f>CONCATENATE("SPRE","-",LEFT(P6208,2),UPPER(MID(P6208,4,3)),RIGHT(P6208,4))</f>
        <v>SPRE-13SEP1897</v>
      </c>
      <c r="C6208" s="11" t="s">
        <v>3390</v>
      </c>
      <c r="D6208" s="11" t="s">
        <v>2224</v>
      </c>
      <c r="E6208" s="39" t="s">
        <v>3391</v>
      </c>
      <c r="F6208" s="11" t="s">
        <v>1700</v>
      </c>
      <c r="G6208" s="39" t="s">
        <v>187</v>
      </c>
      <c r="H6208" s="7"/>
      <c r="I6208" s="7"/>
      <c r="J6208" s="17">
        <v>72</v>
      </c>
      <c r="K6208" s="17"/>
      <c r="L6208" s="7">
        <f>SUM(H6208:K6208)</f>
        <v>72</v>
      </c>
      <c r="M6208" s="8">
        <v>1</v>
      </c>
      <c r="N6208" s="8">
        <f>IF(L6208&gt;0,1,"")</f>
        <v>1</v>
      </c>
      <c r="O6208" s="11" t="s">
        <v>1702</v>
      </c>
      <c r="P6208" s="16" t="str">
        <f>IF(LEN(G6208)=10,CONCATENATE("0",G6208),G6208)</f>
        <v>13-Sep-1897</v>
      </c>
      <c r="Q6208" s="16"/>
      <c r="R6208" s="16" t="str">
        <f>IF($L6208&gt;0,"x","")</f>
        <v>x</v>
      </c>
      <c r="S6208" s="16" t="str">
        <f>IF($L6208&gt;0,"x","")</f>
        <v>x</v>
      </c>
      <c r="T6208" s="12"/>
      <c r="U6208" s="46" t="str">
        <f t="shared" si="2656"/>
        <v/>
      </c>
      <c r="V6208" s="46">
        <f t="shared" si="2656"/>
        <v>72</v>
      </c>
      <c r="W6208" s="46" t="str">
        <f t="shared" si="2656"/>
        <v/>
      </c>
      <c r="X6208" s="46" t="str">
        <f t="shared" si="2656"/>
        <v/>
      </c>
      <c r="Z6208" s="11"/>
    </row>
    <row r="6209" spans="2:26" x14ac:dyDescent="0.25">
      <c r="N6209" s="8" t="str">
        <f>IF(R6209="x",1,"")</f>
        <v/>
      </c>
      <c r="U6209" s="46" t="str">
        <f t="shared" si="2656"/>
        <v/>
      </c>
      <c r="V6209" s="46" t="str">
        <f t="shared" si="2656"/>
        <v/>
      </c>
      <c r="W6209" s="46" t="str">
        <f t="shared" si="2656"/>
        <v/>
      </c>
      <c r="X6209" s="46" t="str">
        <f t="shared" si="2656"/>
        <v/>
      </c>
    </row>
    <row r="6210" spans="2:26" s="18" customFormat="1" x14ac:dyDescent="0.25">
      <c r="E6210" s="40"/>
      <c r="G6210" s="40"/>
      <c r="H6210" s="7">
        <f t="shared" ref="H6210:N6210" si="2667">SUM(H6208:H6209)</f>
        <v>0</v>
      </c>
      <c r="I6210" s="7">
        <f t="shared" si="2667"/>
        <v>0</v>
      </c>
      <c r="J6210" s="7">
        <f>SUM(J6208:J6209)</f>
        <v>72</v>
      </c>
      <c r="K6210" s="7">
        <f t="shared" si="2667"/>
        <v>0</v>
      </c>
      <c r="L6210" s="7">
        <f t="shared" si="2667"/>
        <v>72</v>
      </c>
      <c r="M6210" s="7">
        <f t="shared" si="2667"/>
        <v>1</v>
      </c>
      <c r="N6210" s="7">
        <f t="shared" si="2667"/>
        <v>1</v>
      </c>
      <c r="P6210" s="13"/>
      <c r="Q6210" s="13"/>
      <c r="R6210" s="16"/>
      <c r="S6210" s="13"/>
      <c r="T6210" s="15"/>
      <c r="U6210" s="46" t="str">
        <f t="shared" si="2656"/>
        <v/>
      </c>
      <c r="V6210" s="46" t="str">
        <f t="shared" si="2656"/>
        <v/>
      </c>
      <c r="W6210" s="46" t="str">
        <f t="shared" si="2656"/>
        <v/>
      </c>
      <c r="X6210" s="46" t="str">
        <f t="shared" si="2656"/>
        <v/>
      </c>
      <c r="Z6210" s="11"/>
    </row>
    <row r="6211" spans="2:26" x14ac:dyDescent="0.25">
      <c r="B6211" s="18"/>
      <c r="C6211" s="18"/>
      <c r="D6211" s="18"/>
      <c r="E6211" s="40"/>
      <c r="F6211" s="18"/>
      <c r="G6211" s="40"/>
      <c r="N6211" s="8" t="str">
        <f>IF(R6211="x",1,"")</f>
        <v/>
      </c>
      <c r="O6211" s="18"/>
      <c r="P6211" s="13"/>
      <c r="Q6211" s="13"/>
      <c r="R6211" s="13"/>
      <c r="S6211" s="13"/>
      <c r="T6211" s="15"/>
      <c r="U6211" s="46" t="str">
        <f t="shared" ref="U6211:X6215" si="2668">IF($O6211=U$5,$L6211,"")</f>
        <v/>
      </c>
      <c r="V6211" s="46" t="str">
        <f t="shared" si="2668"/>
        <v/>
      </c>
      <c r="W6211" s="46" t="str">
        <f t="shared" si="2668"/>
        <v/>
      </c>
      <c r="X6211" s="46" t="str">
        <f t="shared" si="2668"/>
        <v/>
      </c>
    </row>
    <row r="6212" spans="2:26" x14ac:dyDescent="0.25">
      <c r="B6212" s="18"/>
      <c r="C6212" s="18"/>
      <c r="D6212" s="18"/>
      <c r="E6212" s="40"/>
      <c r="F6212" s="18"/>
      <c r="G6212" s="40"/>
      <c r="N6212" s="8" t="str">
        <f>IF(R6212="x",1,"")</f>
        <v/>
      </c>
      <c r="O6212" s="18"/>
      <c r="P6212" s="13"/>
      <c r="Q6212" s="13"/>
      <c r="R6212" s="13"/>
      <c r="S6212" s="13"/>
      <c r="T6212" s="15"/>
      <c r="U6212" s="46" t="str">
        <f t="shared" si="2668"/>
        <v/>
      </c>
      <c r="V6212" s="46" t="str">
        <f t="shared" si="2668"/>
        <v/>
      </c>
      <c r="W6212" s="46" t="str">
        <f t="shared" si="2668"/>
        <v/>
      </c>
      <c r="X6212" s="46" t="str">
        <f t="shared" si="2668"/>
        <v/>
      </c>
    </row>
    <row r="6213" spans="2:26" s="18" customFormat="1" x14ac:dyDescent="0.25">
      <c r="B6213" s="11" t="str">
        <f>CONCATENATE("STAM","-",LEFT(P6213,2),UPPER(MID(P6213,4,3)),RIGHT(P6213,4))</f>
        <v>STAM-19FEB1913</v>
      </c>
      <c r="C6213" s="11" t="s">
        <v>5403</v>
      </c>
      <c r="D6213" s="11" t="s">
        <v>3007</v>
      </c>
      <c r="E6213" s="39" t="s">
        <v>3095</v>
      </c>
      <c r="F6213" s="11" t="s">
        <v>1700</v>
      </c>
      <c r="G6213" s="39" t="s">
        <v>2778</v>
      </c>
      <c r="H6213" s="7">
        <v>0</v>
      </c>
      <c r="I6213" s="7">
        <v>0</v>
      </c>
      <c r="J6213" s="17">
        <v>8</v>
      </c>
      <c r="K6213" s="17"/>
      <c r="L6213" s="7">
        <f>SUM(H6213:K6213)</f>
        <v>8</v>
      </c>
      <c r="M6213" s="8">
        <v>1</v>
      </c>
      <c r="N6213" s="8">
        <f>IF(L6213&gt;0,1,"")</f>
        <v>1</v>
      </c>
      <c r="O6213" s="11" t="s">
        <v>1702</v>
      </c>
      <c r="P6213" s="16" t="str">
        <f>IF(LEN(G6213)=10,CONCATENATE("0",G6213),G6213)</f>
        <v>19-Feb-1913</v>
      </c>
      <c r="Q6213" s="16"/>
      <c r="R6213" s="16" t="str">
        <f>IF($L6213&gt;0,"x","")</f>
        <v>x</v>
      </c>
      <c r="S6213" s="16" t="str">
        <f>IF($L6213&gt;0,"x","")</f>
        <v>x</v>
      </c>
      <c r="T6213" s="12"/>
      <c r="U6213" s="46" t="str">
        <f t="shared" si="2668"/>
        <v/>
      </c>
      <c r="V6213" s="46">
        <f t="shared" si="2668"/>
        <v>8</v>
      </c>
      <c r="W6213" s="46" t="str">
        <f t="shared" si="2668"/>
        <v/>
      </c>
      <c r="X6213" s="46" t="str">
        <f t="shared" si="2668"/>
        <v/>
      </c>
      <c r="Z6213" s="11"/>
    </row>
    <row r="6214" spans="2:26" x14ac:dyDescent="0.25">
      <c r="N6214" s="8" t="str">
        <f>IF(R6214="x",1,"")</f>
        <v/>
      </c>
      <c r="U6214" s="46" t="str">
        <f t="shared" si="2668"/>
        <v/>
      </c>
      <c r="V6214" s="46" t="str">
        <f t="shared" si="2668"/>
        <v/>
      </c>
      <c r="W6214" s="46" t="str">
        <f t="shared" si="2668"/>
        <v/>
      </c>
      <c r="X6214" s="46" t="str">
        <f t="shared" si="2668"/>
        <v/>
      </c>
    </row>
    <row r="6215" spans="2:26" s="18" customFormat="1" x14ac:dyDescent="0.25">
      <c r="E6215" s="40"/>
      <c r="G6215" s="40"/>
      <c r="H6215" s="7">
        <f t="shared" ref="H6215:N6215" si="2669">SUM(H6213:H6214)</f>
        <v>0</v>
      </c>
      <c r="I6215" s="7">
        <f t="shared" si="2669"/>
        <v>0</v>
      </c>
      <c r="J6215" s="7">
        <f>SUM(J6213:J6214)</f>
        <v>8</v>
      </c>
      <c r="K6215" s="7">
        <f t="shared" si="2669"/>
        <v>0</v>
      </c>
      <c r="L6215" s="7">
        <f t="shared" si="2669"/>
        <v>8</v>
      </c>
      <c r="M6215" s="7">
        <f t="shared" si="2669"/>
        <v>1</v>
      </c>
      <c r="N6215" s="7">
        <f t="shared" si="2669"/>
        <v>1</v>
      </c>
      <c r="P6215" s="13"/>
      <c r="Q6215" s="13"/>
      <c r="R6215" s="16"/>
      <c r="S6215" s="13"/>
      <c r="T6215" s="15"/>
      <c r="U6215" s="46" t="str">
        <f t="shared" si="2668"/>
        <v/>
      </c>
      <c r="V6215" s="46" t="str">
        <f t="shared" si="2668"/>
        <v/>
      </c>
      <c r="W6215" s="46" t="str">
        <f t="shared" si="2668"/>
        <v/>
      </c>
      <c r="X6215" s="46" t="str">
        <f t="shared" si="2668"/>
        <v/>
      </c>
      <c r="Z6215" s="11"/>
    </row>
    <row r="6216" spans="2:26" x14ac:dyDescent="0.25">
      <c r="B6216" s="18"/>
      <c r="C6216" s="18"/>
      <c r="D6216" s="18"/>
      <c r="E6216" s="40"/>
      <c r="F6216" s="18"/>
      <c r="G6216" s="40"/>
      <c r="N6216" s="8" t="str">
        <f>IF(R6216="x",1,"")</f>
        <v/>
      </c>
      <c r="O6216" s="18"/>
      <c r="P6216" s="13"/>
      <c r="Q6216" s="13"/>
      <c r="R6216" s="13"/>
      <c r="S6216" s="13"/>
      <c r="T6216" s="15"/>
      <c r="U6216" s="46" t="str">
        <f t="shared" si="2656"/>
        <v/>
      </c>
      <c r="V6216" s="46" t="str">
        <f t="shared" si="2656"/>
        <v/>
      </c>
      <c r="W6216" s="46" t="str">
        <f t="shared" si="2656"/>
        <v/>
      </c>
      <c r="X6216" s="46" t="str">
        <f t="shared" si="2656"/>
        <v/>
      </c>
    </row>
    <row r="6217" spans="2:26" x14ac:dyDescent="0.25">
      <c r="B6217" s="18"/>
      <c r="C6217" s="18"/>
      <c r="D6217" s="18"/>
      <c r="E6217" s="40"/>
      <c r="F6217" s="18"/>
      <c r="G6217" s="40"/>
      <c r="N6217" s="8" t="str">
        <f>IF(R6217="x",1,"")</f>
        <v/>
      </c>
      <c r="O6217" s="18"/>
      <c r="P6217" s="13"/>
      <c r="Q6217" s="13"/>
      <c r="R6217" s="13"/>
      <c r="S6217" s="13"/>
      <c r="T6217" s="15"/>
      <c r="U6217" s="46" t="str">
        <f t="shared" si="2656"/>
        <v/>
      </c>
      <c r="V6217" s="46" t="str">
        <f t="shared" si="2656"/>
        <v/>
      </c>
      <c r="W6217" s="46" t="str">
        <f t="shared" si="2656"/>
        <v/>
      </c>
      <c r="X6217" s="46" t="str">
        <f t="shared" si="2656"/>
        <v/>
      </c>
    </row>
    <row r="6218" spans="2:26" s="18" customFormat="1" x14ac:dyDescent="0.25">
      <c r="B6218" s="11" t="str">
        <f>CONCATENATE("STGA","-",LEFT(P6218,2),UPPER(MID(P6218,4,3)),RIGHT(P6218,4))</f>
        <v>STGA-08JAN1888</v>
      </c>
      <c r="C6218" s="11" t="s">
        <v>3546</v>
      </c>
      <c r="D6218" s="11" t="s">
        <v>3249</v>
      </c>
      <c r="E6218" s="39"/>
      <c r="F6218" s="11" t="s">
        <v>1700</v>
      </c>
      <c r="G6218" s="39" t="s">
        <v>3547</v>
      </c>
      <c r="H6218" s="7"/>
      <c r="I6218" s="7"/>
      <c r="J6218" s="17">
        <v>3</v>
      </c>
      <c r="K6218" s="17"/>
      <c r="L6218" s="7">
        <f>SUM(H6218:K6218)</f>
        <v>3</v>
      </c>
      <c r="M6218" s="8">
        <v>1</v>
      </c>
      <c r="N6218" s="8">
        <f>IF(L6218&gt;0,1,"")</f>
        <v>1</v>
      </c>
      <c r="O6218" s="11" t="s">
        <v>1702</v>
      </c>
      <c r="P6218" s="16" t="str">
        <f>IF(LEN(G6218)=10,CONCATENATE("0",G6218),G6218)</f>
        <v>08-Jan-1888</v>
      </c>
      <c r="Q6218" s="16"/>
      <c r="R6218" s="16" t="str">
        <f>IF($L6218&gt;0,"x","")</f>
        <v>x</v>
      </c>
      <c r="S6218" s="16" t="str">
        <f>IF($L6218&gt;0,"x","")</f>
        <v>x</v>
      </c>
      <c r="T6218" s="12"/>
      <c r="U6218" s="46" t="str">
        <f t="shared" si="2656"/>
        <v/>
      </c>
      <c r="V6218" s="46">
        <f t="shared" si="2656"/>
        <v>3</v>
      </c>
      <c r="W6218" s="46" t="str">
        <f t="shared" si="2656"/>
        <v/>
      </c>
      <c r="X6218" s="46" t="str">
        <f t="shared" si="2656"/>
        <v/>
      </c>
      <c r="Z6218" s="11"/>
    </row>
    <row r="6219" spans="2:26" x14ac:dyDescent="0.25">
      <c r="N6219" s="8" t="str">
        <f>IF(R6219="x",1,"")</f>
        <v/>
      </c>
      <c r="U6219" s="46" t="str">
        <f t="shared" si="2656"/>
        <v/>
      </c>
      <c r="V6219" s="46" t="str">
        <f t="shared" si="2656"/>
        <v/>
      </c>
      <c r="W6219" s="46" t="str">
        <f t="shared" si="2656"/>
        <v/>
      </c>
      <c r="X6219" s="46" t="str">
        <f t="shared" si="2656"/>
        <v/>
      </c>
    </row>
    <row r="6220" spans="2:26" s="18" customFormat="1" x14ac:dyDescent="0.25">
      <c r="E6220" s="40"/>
      <c r="G6220" s="40"/>
      <c r="H6220" s="7">
        <f t="shared" ref="H6220:N6220" si="2670">SUM(H6218:H6219)</f>
        <v>0</v>
      </c>
      <c r="I6220" s="7">
        <f t="shared" si="2670"/>
        <v>0</v>
      </c>
      <c r="J6220" s="7">
        <f>SUM(J6218:J6219)</f>
        <v>3</v>
      </c>
      <c r="K6220" s="7">
        <f t="shared" si="2670"/>
        <v>0</v>
      </c>
      <c r="L6220" s="7">
        <f t="shared" si="2670"/>
        <v>3</v>
      </c>
      <c r="M6220" s="7">
        <f t="shared" si="2670"/>
        <v>1</v>
      </c>
      <c r="N6220" s="7">
        <f t="shared" si="2670"/>
        <v>1</v>
      </c>
      <c r="P6220" s="13"/>
      <c r="Q6220" s="13"/>
      <c r="R6220" s="16"/>
      <c r="S6220" s="13"/>
      <c r="T6220" s="15"/>
      <c r="U6220" s="46" t="str">
        <f t="shared" si="2656"/>
        <v/>
      </c>
      <c r="V6220" s="46" t="str">
        <f t="shared" si="2656"/>
        <v/>
      </c>
      <c r="W6220" s="46" t="str">
        <f t="shared" si="2656"/>
        <v/>
      </c>
      <c r="X6220" s="46" t="str">
        <f t="shared" si="2656"/>
        <v/>
      </c>
      <c r="Z6220" s="11"/>
    </row>
    <row r="6221" spans="2:26" x14ac:dyDescent="0.25">
      <c r="B6221" s="18"/>
      <c r="C6221" s="18"/>
      <c r="D6221" s="18"/>
      <c r="E6221" s="40"/>
      <c r="F6221" s="18"/>
      <c r="G6221" s="40"/>
      <c r="N6221" s="8" t="str">
        <f>IF(R6221="x",1,"")</f>
        <v/>
      </c>
      <c r="O6221" s="18"/>
      <c r="P6221" s="13"/>
      <c r="Q6221" s="13"/>
      <c r="R6221" s="13"/>
      <c r="S6221" s="13"/>
      <c r="T6221" s="15"/>
      <c r="U6221" s="46" t="str">
        <f t="shared" si="2656"/>
        <v/>
      </c>
      <c r="V6221" s="46" t="str">
        <f t="shared" si="2656"/>
        <v/>
      </c>
      <c r="W6221" s="46" t="str">
        <f t="shared" si="2656"/>
        <v/>
      </c>
      <c r="X6221" s="46" t="str">
        <f t="shared" si="2656"/>
        <v/>
      </c>
    </row>
    <row r="6222" spans="2:26" x14ac:dyDescent="0.25">
      <c r="B6222" s="18"/>
      <c r="C6222" s="18"/>
      <c r="D6222" s="18"/>
      <c r="E6222" s="40"/>
      <c r="F6222" s="18"/>
      <c r="G6222" s="40"/>
      <c r="N6222" s="8" t="str">
        <f>IF(R6222="x",1,"")</f>
        <v/>
      </c>
      <c r="O6222" s="18"/>
      <c r="P6222" s="13"/>
      <c r="Q6222" s="13"/>
      <c r="R6222" s="13"/>
      <c r="S6222" s="13"/>
      <c r="T6222" s="15"/>
      <c r="U6222" s="46" t="str">
        <f t="shared" si="2656"/>
        <v/>
      </c>
      <c r="V6222" s="46" t="str">
        <f t="shared" si="2656"/>
        <v/>
      </c>
      <c r="W6222" s="46" t="str">
        <f t="shared" si="2656"/>
        <v/>
      </c>
      <c r="X6222" s="46" t="str">
        <f t="shared" si="2656"/>
        <v/>
      </c>
    </row>
    <row r="6223" spans="2:26" s="18" customFormat="1" x14ac:dyDescent="0.25">
      <c r="B6223" s="11" t="str">
        <f t="shared" ref="B6223:B6236" si="2671">CONCATENATE("STAT","-",LEFT(P6223,2),UPPER(MID(P6223,4,3)),RIGHT(P6223,4))</f>
        <v>STAT-12AUG1900</v>
      </c>
      <c r="C6223" s="11" t="s">
        <v>3083</v>
      </c>
      <c r="D6223" s="11" t="s">
        <v>2103</v>
      </c>
      <c r="E6223" s="39" t="s">
        <v>5981</v>
      </c>
      <c r="F6223" s="11" t="s">
        <v>1700</v>
      </c>
      <c r="G6223" s="39" t="s">
        <v>5982</v>
      </c>
      <c r="H6223" s="7"/>
      <c r="I6223" s="7"/>
      <c r="J6223" s="17">
        <v>4</v>
      </c>
      <c r="K6223" s="17"/>
      <c r="L6223" s="7">
        <f t="shared" ref="L6223:L6236" si="2672">SUM(H6223:K6223)</f>
        <v>4</v>
      </c>
      <c r="M6223" s="8">
        <v>1</v>
      </c>
      <c r="N6223" s="8">
        <f t="shared" ref="N6223:N6236" si="2673">IF(L6223&gt;0,1,"")</f>
        <v>1</v>
      </c>
      <c r="O6223" s="11" t="s">
        <v>1702</v>
      </c>
      <c r="P6223" s="16" t="str">
        <f t="shared" ref="P6223:P6236" si="2674">IF(LEN(G6223)=10,CONCATENATE("0",G6223),G6223)</f>
        <v>12-Aug-1900</v>
      </c>
      <c r="Q6223" s="16"/>
      <c r="R6223" s="16" t="str">
        <f>IF($L6223&gt;0,"x","")</f>
        <v>x</v>
      </c>
      <c r="S6223" s="16" t="str">
        <f>IF($L6223&gt;0,"x","")</f>
        <v>x</v>
      </c>
      <c r="T6223" s="12"/>
      <c r="U6223" s="46" t="str">
        <f t="shared" si="2656"/>
        <v/>
      </c>
      <c r="V6223" s="46">
        <f t="shared" si="2656"/>
        <v>4</v>
      </c>
      <c r="W6223" s="46" t="str">
        <f t="shared" si="2656"/>
        <v/>
      </c>
      <c r="X6223" s="46" t="str">
        <f t="shared" si="2656"/>
        <v/>
      </c>
      <c r="Z6223" s="11"/>
    </row>
    <row r="6224" spans="2:26" s="18" customFormat="1" x14ac:dyDescent="0.25">
      <c r="B6224" s="11" t="str">
        <f>CONCATENATE("STAT","-",LEFT(P6224,2),UPPER(MID(P6224,4,3)),RIGHT(P6224,4))</f>
        <v>STAT-17SEP1900</v>
      </c>
      <c r="C6224" s="11" t="s">
        <v>3083</v>
      </c>
      <c r="D6224" s="11" t="s">
        <v>3456</v>
      </c>
      <c r="E6224" s="39" t="s">
        <v>3352</v>
      </c>
      <c r="F6224" s="11" t="s">
        <v>1700</v>
      </c>
      <c r="G6224" s="39" t="s">
        <v>3351</v>
      </c>
      <c r="H6224" s="7"/>
      <c r="I6224" s="7"/>
      <c r="J6224" s="17">
        <v>28</v>
      </c>
      <c r="K6224" s="17"/>
      <c r="L6224" s="7">
        <f>SUM(H6224:K6224)</f>
        <v>28</v>
      </c>
      <c r="M6224" s="8">
        <v>1</v>
      </c>
      <c r="N6224" s="8">
        <f>IF(L6224&gt;0,1,"")</f>
        <v>1</v>
      </c>
      <c r="O6224" s="11" t="s">
        <v>1702</v>
      </c>
      <c r="P6224" s="16" t="str">
        <f>IF(LEN(G6224)=10,CONCATENATE("0",G6224),G6224)</f>
        <v>17-Sep-1900</v>
      </c>
      <c r="Q6224" s="16"/>
      <c r="R6224" s="16" t="str">
        <f t="shared" ref="R6224:S6226" si="2675">IF($L6224&gt;0,"x","")</f>
        <v>x</v>
      </c>
      <c r="S6224" s="16" t="str">
        <f t="shared" si="2675"/>
        <v>x</v>
      </c>
      <c r="T6224" s="12"/>
      <c r="U6224" s="46" t="str">
        <f t="shared" ref="U6224:X6225" si="2676">IF($O6224=U$5,$L6224,"")</f>
        <v/>
      </c>
      <c r="V6224" s="46">
        <f t="shared" si="2676"/>
        <v>28</v>
      </c>
      <c r="W6224" s="46" t="str">
        <f t="shared" si="2676"/>
        <v/>
      </c>
      <c r="X6224" s="46" t="str">
        <f t="shared" si="2676"/>
        <v/>
      </c>
      <c r="Z6224" s="11"/>
    </row>
    <row r="6225" spans="2:26" s="18" customFormat="1" x14ac:dyDescent="0.25">
      <c r="B6225" s="11" t="str">
        <f t="shared" si="2671"/>
        <v>STAT-31DEC1900</v>
      </c>
      <c r="C6225" s="11" t="s">
        <v>3083</v>
      </c>
      <c r="D6225" s="11" t="s">
        <v>2103</v>
      </c>
      <c r="E6225" s="39" t="s">
        <v>4509</v>
      </c>
      <c r="F6225" s="11" t="s">
        <v>1700</v>
      </c>
      <c r="G6225" s="39" t="s">
        <v>4510</v>
      </c>
      <c r="H6225" s="7"/>
      <c r="I6225" s="7"/>
      <c r="J6225" s="17">
        <v>4</v>
      </c>
      <c r="K6225" s="17"/>
      <c r="L6225" s="7">
        <f t="shared" si="2672"/>
        <v>4</v>
      </c>
      <c r="M6225" s="8">
        <v>1</v>
      </c>
      <c r="N6225" s="8">
        <f t="shared" si="2673"/>
        <v>1</v>
      </c>
      <c r="O6225" s="11" t="s">
        <v>1702</v>
      </c>
      <c r="P6225" s="16" t="str">
        <f t="shared" si="2674"/>
        <v>31-Dec-1900</v>
      </c>
      <c r="Q6225" s="16"/>
      <c r="R6225" s="16" t="str">
        <f t="shared" si="2675"/>
        <v>x</v>
      </c>
      <c r="S6225" s="16" t="str">
        <f t="shared" si="2675"/>
        <v>x</v>
      </c>
      <c r="T6225" s="12"/>
      <c r="U6225" s="46" t="str">
        <f t="shared" si="2676"/>
        <v/>
      </c>
      <c r="V6225" s="46">
        <f t="shared" si="2676"/>
        <v>4</v>
      </c>
      <c r="W6225" s="46" t="str">
        <f t="shared" si="2676"/>
        <v/>
      </c>
      <c r="X6225" s="46" t="str">
        <f t="shared" si="2676"/>
        <v/>
      </c>
      <c r="Z6225" s="11"/>
    </row>
    <row r="6226" spans="2:26" s="18" customFormat="1" x14ac:dyDescent="0.25">
      <c r="B6226" s="11" t="str">
        <f>CONCATENATE("STAT","-",LEFT(P6226,2),UPPER(MID(P6226,4,3)),RIGHT(P6226,4))</f>
        <v>STAT-22APR1901</v>
      </c>
      <c r="C6226" s="11" t="s">
        <v>3083</v>
      </c>
      <c r="D6226" s="11" t="s">
        <v>2103</v>
      </c>
      <c r="E6226" s="39" t="s">
        <v>4018</v>
      </c>
      <c r="F6226" s="11" t="s">
        <v>1700</v>
      </c>
      <c r="G6226" s="39" t="s">
        <v>4019</v>
      </c>
      <c r="H6226" s="7"/>
      <c r="I6226" s="7"/>
      <c r="J6226" s="17">
        <v>17</v>
      </c>
      <c r="K6226" s="17"/>
      <c r="L6226" s="7">
        <f>SUM(H6226:K6226)</f>
        <v>17</v>
      </c>
      <c r="M6226" s="8">
        <v>1</v>
      </c>
      <c r="N6226" s="8">
        <f>IF(L6226&gt;0,1,"")</f>
        <v>1</v>
      </c>
      <c r="O6226" s="11" t="s">
        <v>1702</v>
      </c>
      <c r="P6226" s="16" t="str">
        <f>IF(LEN(G6226)=10,CONCATENATE("0",G6226),G6226)</f>
        <v>22-Apr-1901</v>
      </c>
      <c r="Q6226" s="16"/>
      <c r="R6226" s="16" t="str">
        <f t="shared" si="2675"/>
        <v>x</v>
      </c>
      <c r="S6226" s="16" t="str">
        <f t="shared" si="2675"/>
        <v>x</v>
      </c>
      <c r="T6226" s="12"/>
      <c r="U6226" s="46" t="str">
        <f t="shared" si="2656"/>
        <v/>
      </c>
      <c r="V6226" s="46">
        <f t="shared" si="2656"/>
        <v>17</v>
      </c>
      <c r="W6226" s="46" t="str">
        <f t="shared" si="2656"/>
        <v/>
      </c>
      <c r="X6226" s="46" t="str">
        <f t="shared" si="2656"/>
        <v/>
      </c>
      <c r="Z6226" s="11"/>
    </row>
    <row r="6227" spans="2:26" s="18" customFormat="1" x14ac:dyDescent="0.25">
      <c r="B6227" s="11" t="str">
        <f t="shared" si="2671"/>
        <v>STAT-01JUL1901</v>
      </c>
      <c r="C6227" s="11" t="s">
        <v>3083</v>
      </c>
      <c r="D6227" s="11" t="s">
        <v>2103</v>
      </c>
      <c r="E6227" s="39" t="s">
        <v>1681</v>
      </c>
      <c r="F6227" s="11" t="s">
        <v>1700</v>
      </c>
      <c r="G6227" s="39" t="s">
        <v>1680</v>
      </c>
      <c r="H6227" s="7"/>
      <c r="I6227" s="7"/>
      <c r="J6227" s="17">
        <v>12</v>
      </c>
      <c r="K6227" s="17"/>
      <c r="L6227" s="7">
        <f t="shared" si="2672"/>
        <v>12</v>
      </c>
      <c r="M6227" s="8">
        <v>1</v>
      </c>
      <c r="N6227" s="8">
        <f t="shared" si="2673"/>
        <v>1</v>
      </c>
      <c r="O6227" s="11" t="s">
        <v>1702</v>
      </c>
      <c r="P6227" s="16" t="str">
        <f t="shared" si="2674"/>
        <v>01-Jul-1901</v>
      </c>
      <c r="Q6227" s="16"/>
      <c r="R6227" s="16" t="str">
        <f t="shared" ref="R6227:S6229" si="2677">IF($L6227&gt;0,"x","")</f>
        <v>x</v>
      </c>
      <c r="S6227" s="16" t="str">
        <f t="shared" si="2677"/>
        <v>x</v>
      </c>
      <c r="T6227" s="12"/>
      <c r="U6227" s="46" t="str">
        <f t="shared" si="2656"/>
        <v/>
      </c>
      <c r="V6227" s="46">
        <f t="shared" si="2656"/>
        <v>12</v>
      </c>
      <c r="W6227" s="46" t="str">
        <f t="shared" si="2656"/>
        <v/>
      </c>
      <c r="X6227" s="46" t="str">
        <f t="shared" si="2656"/>
        <v/>
      </c>
      <c r="Z6227" s="11"/>
    </row>
    <row r="6228" spans="2:26" s="18" customFormat="1" x14ac:dyDescent="0.25">
      <c r="B6228" s="11" t="str">
        <f t="shared" si="2671"/>
        <v>STAT-04AUG1901</v>
      </c>
      <c r="C6228" s="11" t="s">
        <v>3083</v>
      </c>
      <c r="D6228" s="11" t="s">
        <v>3456</v>
      </c>
      <c r="E6228" s="39" t="s">
        <v>3335</v>
      </c>
      <c r="F6228" s="11" t="s">
        <v>1700</v>
      </c>
      <c r="G6228" s="39" t="s">
        <v>3334</v>
      </c>
      <c r="H6228" s="7"/>
      <c r="I6228" s="7"/>
      <c r="J6228" s="17">
        <v>12</v>
      </c>
      <c r="K6228" s="17"/>
      <c r="L6228" s="7">
        <f t="shared" si="2672"/>
        <v>12</v>
      </c>
      <c r="M6228" s="8">
        <v>1</v>
      </c>
      <c r="N6228" s="8">
        <f t="shared" si="2673"/>
        <v>1</v>
      </c>
      <c r="O6228" s="11" t="s">
        <v>1702</v>
      </c>
      <c r="P6228" s="16" t="str">
        <f t="shared" si="2674"/>
        <v>04-Aug-1901</v>
      </c>
      <c r="Q6228" s="16"/>
      <c r="R6228" s="16" t="str">
        <f t="shared" si="2677"/>
        <v>x</v>
      </c>
      <c r="S6228" s="16" t="str">
        <f t="shared" si="2677"/>
        <v>x</v>
      </c>
      <c r="T6228" s="12"/>
      <c r="U6228" s="46" t="str">
        <f t="shared" si="2656"/>
        <v/>
      </c>
      <c r="V6228" s="46">
        <f t="shared" si="2656"/>
        <v>12</v>
      </c>
      <c r="W6228" s="46" t="str">
        <f t="shared" si="2656"/>
        <v/>
      </c>
      <c r="X6228" s="46" t="str">
        <f t="shared" si="2656"/>
        <v/>
      </c>
      <c r="Z6228" s="11"/>
    </row>
    <row r="6229" spans="2:26" s="18" customFormat="1" x14ac:dyDescent="0.25">
      <c r="B6229" s="11" t="str">
        <f t="shared" si="2671"/>
        <v>STAT-04FEB1902</v>
      </c>
      <c r="C6229" s="11" t="s">
        <v>3083</v>
      </c>
      <c r="D6229" s="11" t="s">
        <v>2103</v>
      </c>
      <c r="E6229" s="39" t="s">
        <v>3493</v>
      </c>
      <c r="F6229" s="11" t="s">
        <v>1700</v>
      </c>
      <c r="G6229" s="39" t="s">
        <v>3492</v>
      </c>
      <c r="H6229" s="7"/>
      <c r="I6229" s="7"/>
      <c r="J6229" s="17">
        <v>5</v>
      </c>
      <c r="K6229" s="17"/>
      <c r="L6229" s="7">
        <f t="shared" si="2672"/>
        <v>5</v>
      </c>
      <c r="M6229" s="8">
        <v>1</v>
      </c>
      <c r="N6229" s="8">
        <f t="shared" si="2673"/>
        <v>1</v>
      </c>
      <c r="O6229" s="11" t="s">
        <v>1702</v>
      </c>
      <c r="P6229" s="16" t="str">
        <f t="shared" si="2674"/>
        <v>04-Feb-1902</v>
      </c>
      <c r="Q6229" s="16"/>
      <c r="R6229" s="16" t="str">
        <f t="shared" si="2677"/>
        <v>x</v>
      </c>
      <c r="S6229" s="16" t="str">
        <f t="shared" si="2677"/>
        <v>x</v>
      </c>
      <c r="T6229" s="12"/>
      <c r="U6229" s="46" t="str">
        <f t="shared" si="2656"/>
        <v/>
      </c>
      <c r="V6229" s="46">
        <f t="shared" si="2656"/>
        <v>5</v>
      </c>
      <c r="W6229" s="46" t="str">
        <f t="shared" si="2656"/>
        <v/>
      </c>
      <c r="X6229" s="46" t="str">
        <f t="shared" si="2656"/>
        <v/>
      </c>
      <c r="Z6229" s="11"/>
    </row>
    <row r="6230" spans="2:26" s="18" customFormat="1" x14ac:dyDescent="0.25">
      <c r="B6230" s="11" t="str">
        <f>CONCATENATE("STAT","-",LEFT(P6230,2),UPPER(MID(P6230,4,3)),RIGHT(P6230,4))</f>
        <v>STAT-14APR1902</v>
      </c>
      <c r="C6230" s="11" t="s">
        <v>3083</v>
      </c>
      <c r="D6230" s="11" t="s">
        <v>2103</v>
      </c>
      <c r="E6230" s="39" t="s">
        <v>5717</v>
      </c>
      <c r="F6230" s="11" t="s">
        <v>1700</v>
      </c>
      <c r="G6230" s="39" t="s">
        <v>5718</v>
      </c>
      <c r="H6230" s="7"/>
      <c r="I6230" s="7"/>
      <c r="J6230" s="17">
        <v>8</v>
      </c>
      <c r="K6230" s="17"/>
      <c r="L6230" s="7">
        <f>SUM(H6230:K6230)</f>
        <v>8</v>
      </c>
      <c r="M6230" s="8">
        <v>1</v>
      </c>
      <c r="N6230" s="8">
        <f>IF(L6230&gt;0,1,"")</f>
        <v>1</v>
      </c>
      <c r="O6230" s="11" t="s">
        <v>1702</v>
      </c>
      <c r="P6230" s="16" t="str">
        <f>IF(LEN(G6230)=10,CONCATENATE("0",G6230),G6230)</f>
        <v>14-Apr-1902</v>
      </c>
      <c r="Q6230" s="16"/>
      <c r="R6230" s="16" t="str">
        <f>IF($L6230&gt;0,"x","")</f>
        <v>x</v>
      </c>
      <c r="S6230" s="16" t="str">
        <f>IF($L6230&gt;0,"x","")</f>
        <v>x</v>
      </c>
      <c r="T6230" s="12"/>
      <c r="U6230" s="46" t="str">
        <f>IF($O6230=U$5,$L6230,"")</f>
        <v/>
      </c>
      <c r="V6230" s="46">
        <f>IF($O6230=V$5,$L6230,"")</f>
        <v>8</v>
      </c>
      <c r="W6230" s="46" t="str">
        <f>IF($O6230=W$5,$L6230,"")</f>
        <v/>
      </c>
      <c r="X6230" s="46" t="str">
        <f>IF($O6230=X$5,$L6230,"")</f>
        <v/>
      </c>
      <c r="Z6230" s="11"/>
    </row>
    <row r="6231" spans="2:26" s="18" customFormat="1" x14ac:dyDescent="0.25">
      <c r="B6231" s="11" t="str">
        <f t="shared" si="2671"/>
        <v>STAT-18MAY1902</v>
      </c>
      <c r="C6231" s="11" t="s">
        <v>3083</v>
      </c>
      <c r="D6231" s="11" t="s">
        <v>2103</v>
      </c>
      <c r="E6231" s="39" t="s">
        <v>3236</v>
      </c>
      <c r="F6231" s="11" t="s">
        <v>1700</v>
      </c>
      <c r="G6231" s="39" t="s">
        <v>3235</v>
      </c>
      <c r="H6231" s="7"/>
      <c r="I6231" s="7"/>
      <c r="J6231" s="17">
        <v>5</v>
      </c>
      <c r="K6231" s="17"/>
      <c r="L6231" s="7">
        <f t="shared" si="2672"/>
        <v>5</v>
      </c>
      <c r="M6231" s="8">
        <v>1</v>
      </c>
      <c r="N6231" s="8">
        <f t="shared" si="2673"/>
        <v>1</v>
      </c>
      <c r="O6231" s="11" t="s">
        <v>1702</v>
      </c>
      <c r="P6231" s="16" t="str">
        <f t="shared" si="2674"/>
        <v>18-May-1902</v>
      </c>
      <c r="Q6231" s="16"/>
      <c r="R6231" s="16" t="str">
        <f t="shared" ref="R6231:S6241" si="2678">IF($L6231&gt;0,"x","")</f>
        <v>x</v>
      </c>
      <c r="S6231" s="16" t="str">
        <f t="shared" si="2678"/>
        <v>x</v>
      </c>
      <c r="T6231" s="12"/>
      <c r="U6231" s="46" t="str">
        <f t="shared" si="2656"/>
        <v/>
      </c>
      <c r="V6231" s="46">
        <f t="shared" si="2656"/>
        <v>5</v>
      </c>
      <c r="W6231" s="46" t="str">
        <f t="shared" si="2656"/>
        <v/>
      </c>
      <c r="X6231" s="46" t="str">
        <f t="shared" si="2656"/>
        <v/>
      </c>
      <c r="Z6231" s="11"/>
    </row>
    <row r="6232" spans="2:26" s="18" customFormat="1" x14ac:dyDescent="0.25">
      <c r="B6232" s="11" t="str">
        <f>CONCATENATE("STAT","-",LEFT(P6232,2),UPPER(MID(P6232,4,3)),RIGHT(P6232,4))</f>
        <v>STAT-27JUL1902</v>
      </c>
      <c r="C6232" s="11" t="s">
        <v>3083</v>
      </c>
      <c r="D6232" s="11" t="s">
        <v>2103</v>
      </c>
      <c r="E6232" s="39" t="s">
        <v>4699</v>
      </c>
      <c r="F6232" s="11" t="s">
        <v>1700</v>
      </c>
      <c r="G6232" s="39" t="s">
        <v>2598</v>
      </c>
      <c r="H6232" s="7"/>
      <c r="I6232" s="7"/>
      <c r="J6232" s="17">
        <v>3</v>
      </c>
      <c r="K6232" s="17"/>
      <c r="L6232" s="7">
        <f>SUM(H6232:K6232)</f>
        <v>3</v>
      </c>
      <c r="M6232" s="8">
        <v>1</v>
      </c>
      <c r="N6232" s="8">
        <f>IF(L6232&gt;0,1,"")</f>
        <v>1</v>
      </c>
      <c r="O6232" s="11" t="s">
        <v>1702</v>
      </c>
      <c r="P6232" s="16" t="str">
        <f>IF(LEN(G6232)=10,CONCATENATE("0",G6232),G6232)</f>
        <v>27-Jul-1902</v>
      </c>
      <c r="Q6232" s="16"/>
      <c r="R6232" s="16" t="str">
        <f t="shared" si="2678"/>
        <v>x</v>
      </c>
      <c r="S6232" s="16" t="str">
        <f t="shared" si="2678"/>
        <v>x</v>
      </c>
      <c r="T6232" s="12"/>
      <c r="U6232" s="46" t="str">
        <f t="shared" ref="U6232:X6234" si="2679">IF($O6232=U$5,$L6232,"")</f>
        <v/>
      </c>
      <c r="V6232" s="46">
        <f t="shared" si="2679"/>
        <v>3</v>
      </c>
      <c r="W6232" s="46" t="str">
        <f t="shared" si="2679"/>
        <v/>
      </c>
      <c r="X6232" s="46" t="str">
        <f t="shared" si="2679"/>
        <v/>
      </c>
      <c r="Z6232" s="11"/>
    </row>
    <row r="6233" spans="2:26" s="18" customFormat="1" x14ac:dyDescent="0.25">
      <c r="B6233" s="11" t="str">
        <f>CONCATENATE("STAT","-",LEFT(P6233,2),UPPER(MID(P6233,4,3)),RIGHT(P6233,4))</f>
        <v>STAT-31AUG1902</v>
      </c>
      <c r="C6233" s="11" t="s">
        <v>3083</v>
      </c>
      <c r="D6233" s="11" t="s">
        <v>2103</v>
      </c>
      <c r="E6233" s="39" t="s">
        <v>5113</v>
      </c>
      <c r="F6233" s="11" t="s">
        <v>1700</v>
      </c>
      <c r="G6233" s="39" t="s">
        <v>3343</v>
      </c>
      <c r="H6233" s="7"/>
      <c r="I6233" s="7"/>
      <c r="J6233" s="17">
        <v>13</v>
      </c>
      <c r="K6233" s="17"/>
      <c r="L6233" s="7">
        <f>SUM(H6233:K6233)</f>
        <v>13</v>
      </c>
      <c r="M6233" s="8">
        <v>1</v>
      </c>
      <c r="N6233" s="8">
        <f>IF(L6233&gt;0,1,"")</f>
        <v>1</v>
      </c>
      <c r="O6233" s="11" t="s">
        <v>1702</v>
      </c>
      <c r="P6233" s="16" t="str">
        <f>IF(LEN(G6233)=10,CONCATENATE("0",G6233),G6233)</f>
        <v>31-Aug-1902</v>
      </c>
      <c r="Q6233" s="16"/>
      <c r="R6233" s="16" t="str">
        <f t="shared" si="2678"/>
        <v>x</v>
      </c>
      <c r="S6233" s="16" t="str">
        <f t="shared" si="2678"/>
        <v>x</v>
      </c>
      <c r="T6233" s="12"/>
      <c r="U6233" s="46" t="str">
        <f t="shared" si="2679"/>
        <v/>
      </c>
      <c r="V6233" s="46">
        <f t="shared" si="2679"/>
        <v>13</v>
      </c>
      <c r="W6233" s="46" t="str">
        <f t="shared" si="2679"/>
        <v/>
      </c>
      <c r="X6233" s="46" t="str">
        <f t="shared" si="2679"/>
        <v/>
      </c>
      <c r="Z6233" s="11"/>
    </row>
    <row r="6234" spans="2:26" s="18" customFormat="1" x14ac:dyDescent="0.25">
      <c r="B6234" s="11" t="str">
        <f>CONCATENATE("STAT","-",LEFT(P6234,2),UPPER(MID(P6234,4,3)),RIGHT(P6234,4))</f>
        <v>STAT-09NOV1902</v>
      </c>
      <c r="C6234" s="11" t="s">
        <v>3083</v>
      </c>
      <c r="D6234" s="11" t="s">
        <v>2103</v>
      </c>
      <c r="E6234" s="39" t="s">
        <v>5961</v>
      </c>
      <c r="F6234" s="11" t="s">
        <v>1700</v>
      </c>
      <c r="G6234" s="39" t="s">
        <v>3402</v>
      </c>
      <c r="H6234" s="7"/>
      <c r="I6234" s="7"/>
      <c r="J6234" s="17">
        <v>17</v>
      </c>
      <c r="K6234" s="17"/>
      <c r="L6234" s="7">
        <f>SUM(H6234:K6234)</f>
        <v>17</v>
      </c>
      <c r="M6234" s="8">
        <v>1</v>
      </c>
      <c r="N6234" s="8">
        <f>IF(L6234&gt;0,1,"")</f>
        <v>1</v>
      </c>
      <c r="O6234" s="11" t="s">
        <v>1702</v>
      </c>
      <c r="P6234" s="16" t="str">
        <f>IF(LEN(G6234)=10,CONCATENATE("0",G6234),G6234)</f>
        <v>09-Nov-1902</v>
      </c>
      <c r="Q6234" s="16"/>
      <c r="R6234" s="16" t="str">
        <f t="shared" si="2678"/>
        <v>x</v>
      </c>
      <c r="S6234" s="16" t="str">
        <f t="shared" si="2678"/>
        <v>x</v>
      </c>
      <c r="T6234" s="11"/>
      <c r="U6234" s="46" t="str">
        <f t="shared" si="2679"/>
        <v/>
      </c>
      <c r="V6234" s="46">
        <f t="shared" si="2679"/>
        <v>17</v>
      </c>
      <c r="W6234" s="46" t="str">
        <f t="shared" si="2679"/>
        <v/>
      </c>
      <c r="X6234" s="46" t="str">
        <f t="shared" si="2679"/>
        <v/>
      </c>
      <c r="Z6234" s="11"/>
    </row>
    <row r="6235" spans="2:26" s="18" customFormat="1" x14ac:dyDescent="0.25">
      <c r="B6235" s="11" t="str">
        <f>CONCATENATE("STAT","-",LEFT(P6235,2),UPPER(MID(P6235,4,3)),RIGHT(P6235,4))</f>
        <v>STAT-12MAR1903</v>
      </c>
      <c r="C6235" s="11" t="s">
        <v>3083</v>
      </c>
      <c r="D6235" s="11" t="s">
        <v>2103</v>
      </c>
      <c r="E6235" s="39" t="s">
        <v>1383</v>
      </c>
      <c r="F6235" s="11" t="s">
        <v>1700</v>
      </c>
      <c r="G6235" s="39" t="s">
        <v>3664</v>
      </c>
      <c r="H6235" s="7">
        <v>0</v>
      </c>
      <c r="I6235" s="7">
        <v>0</v>
      </c>
      <c r="J6235" s="17">
        <v>6</v>
      </c>
      <c r="K6235" s="17"/>
      <c r="L6235" s="7">
        <f>SUM(H6235:K6235)</f>
        <v>6</v>
      </c>
      <c r="M6235" s="8">
        <v>1</v>
      </c>
      <c r="N6235" s="8">
        <f>IF(L6235&gt;0,1,"")</f>
        <v>1</v>
      </c>
      <c r="O6235" s="11" t="s">
        <v>1702</v>
      </c>
      <c r="P6235" s="16" t="str">
        <f>IF(LEN(G6235)=10,CONCATENATE("0",G6235),G6235)</f>
        <v>12-Mar-1903</v>
      </c>
      <c r="Q6235" s="16"/>
      <c r="R6235" s="16" t="str">
        <f t="shared" si="2678"/>
        <v>x</v>
      </c>
      <c r="S6235" s="16" t="str">
        <f t="shared" si="2678"/>
        <v>x</v>
      </c>
      <c r="T6235" s="12"/>
      <c r="U6235" s="46" t="str">
        <f t="shared" si="2656"/>
        <v/>
      </c>
      <c r="V6235" s="46">
        <f t="shared" si="2656"/>
        <v>6</v>
      </c>
      <c r="W6235" s="46" t="str">
        <f t="shared" si="2656"/>
        <v/>
      </c>
      <c r="X6235" s="46" t="str">
        <f t="shared" si="2656"/>
        <v/>
      </c>
      <c r="Z6235" s="11"/>
    </row>
    <row r="6236" spans="2:26" s="18" customFormat="1" x14ac:dyDescent="0.25">
      <c r="B6236" s="11" t="str">
        <f t="shared" si="2671"/>
        <v>STAT-19MAY1903</v>
      </c>
      <c r="C6236" s="11" t="s">
        <v>3083</v>
      </c>
      <c r="D6236" s="11" t="s">
        <v>2103</v>
      </c>
      <c r="E6236" s="39" t="s">
        <v>1650</v>
      </c>
      <c r="F6236" s="11" t="s">
        <v>1700</v>
      </c>
      <c r="G6236" s="39" t="s">
        <v>3587</v>
      </c>
      <c r="H6236" s="7">
        <v>0</v>
      </c>
      <c r="I6236" s="7">
        <v>0</v>
      </c>
      <c r="J6236" s="17">
        <v>3</v>
      </c>
      <c r="K6236" s="17"/>
      <c r="L6236" s="7">
        <f t="shared" si="2672"/>
        <v>3</v>
      </c>
      <c r="M6236" s="8">
        <v>1</v>
      </c>
      <c r="N6236" s="8">
        <f t="shared" si="2673"/>
        <v>1</v>
      </c>
      <c r="O6236" s="11" t="s">
        <v>1702</v>
      </c>
      <c r="P6236" s="16" t="str">
        <f t="shared" si="2674"/>
        <v>19-May-1903</v>
      </c>
      <c r="Q6236" s="16"/>
      <c r="R6236" s="16" t="str">
        <f t="shared" si="2678"/>
        <v>x</v>
      </c>
      <c r="S6236" s="16" t="str">
        <f t="shared" si="2678"/>
        <v>x</v>
      </c>
      <c r="T6236" s="12"/>
      <c r="U6236" s="46" t="str">
        <f t="shared" si="2656"/>
        <v/>
      </c>
      <c r="V6236" s="46">
        <f t="shared" si="2656"/>
        <v>3</v>
      </c>
      <c r="W6236" s="46" t="str">
        <f t="shared" si="2656"/>
        <v/>
      </c>
      <c r="X6236" s="46" t="str">
        <f t="shared" si="2656"/>
        <v/>
      </c>
      <c r="Z6236" s="11"/>
    </row>
    <row r="6237" spans="2:26" s="18" customFormat="1" x14ac:dyDescent="0.25">
      <c r="B6237" s="11" t="str">
        <f>CONCATENATE("STAT","-",LEFT(P6237,2),UPPER(MID(P6237,4,3)),RIGHT(P6237,4))</f>
        <v>STAT-04AUG1903</v>
      </c>
      <c r="C6237" s="11" t="s">
        <v>3083</v>
      </c>
      <c r="D6237" s="11" t="s">
        <v>2103</v>
      </c>
      <c r="E6237" s="39" t="s">
        <v>1747</v>
      </c>
      <c r="F6237" s="11" t="s">
        <v>1700</v>
      </c>
      <c r="G6237" s="39" t="s">
        <v>5526</v>
      </c>
      <c r="H6237" s="7">
        <v>0</v>
      </c>
      <c r="I6237" s="7">
        <v>0</v>
      </c>
      <c r="J6237" s="17">
        <v>2</v>
      </c>
      <c r="K6237" s="17"/>
      <c r="L6237" s="7">
        <f>SUM(H6237:K6237)</f>
        <v>2</v>
      </c>
      <c r="M6237" s="8">
        <v>1</v>
      </c>
      <c r="N6237" s="8">
        <f>IF(L6237&gt;0,1,"")</f>
        <v>1</v>
      </c>
      <c r="O6237" s="11" t="s">
        <v>1702</v>
      </c>
      <c r="P6237" s="16" t="str">
        <f>IF(LEN(G6237)=10,CONCATENATE("0",G6237),G6237)</f>
        <v>04-Aug-1903</v>
      </c>
      <c r="Q6237" s="16"/>
      <c r="R6237" s="16" t="str">
        <f t="shared" si="2678"/>
        <v>x</v>
      </c>
      <c r="S6237" s="16" t="str">
        <f t="shared" si="2678"/>
        <v>x</v>
      </c>
      <c r="T6237" s="12"/>
      <c r="U6237" s="46" t="str">
        <f t="shared" ref="U6237:X6238" si="2680">IF($O6237=U$5,$L6237,"")</f>
        <v/>
      </c>
      <c r="V6237" s="46">
        <f t="shared" si="2680"/>
        <v>2</v>
      </c>
      <c r="W6237" s="46" t="str">
        <f t="shared" si="2680"/>
        <v/>
      </c>
      <c r="X6237" s="46" t="str">
        <f t="shared" si="2680"/>
        <v/>
      </c>
      <c r="Z6237" s="11"/>
    </row>
    <row r="6238" spans="2:26" s="18" customFormat="1" x14ac:dyDescent="0.25">
      <c r="B6238" s="11" t="str">
        <f>CONCATENATE("STAT","-",LEFT(P6238,2),UPPER(MID(P6238,4,3)),RIGHT(P6238,4))</f>
        <v>STAT-13OCT1903</v>
      </c>
      <c r="C6238" s="11" t="s">
        <v>3083</v>
      </c>
      <c r="D6238" s="11" t="s">
        <v>2103</v>
      </c>
      <c r="E6238" s="39" t="s">
        <v>1396</v>
      </c>
      <c r="F6238" s="11" t="s">
        <v>1700</v>
      </c>
      <c r="G6238" s="39" t="s">
        <v>5822</v>
      </c>
      <c r="H6238" s="7">
        <v>0</v>
      </c>
      <c r="I6238" s="7">
        <v>0</v>
      </c>
      <c r="J6238" s="17">
        <v>3</v>
      </c>
      <c r="K6238" s="17"/>
      <c r="L6238" s="7">
        <f>SUM(H6238:K6238)</f>
        <v>3</v>
      </c>
      <c r="M6238" s="8">
        <v>1</v>
      </c>
      <c r="N6238" s="8">
        <f>IF(L6238&gt;0,1,"")</f>
        <v>1</v>
      </c>
      <c r="O6238" s="11" t="s">
        <v>1702</v>
      </c>
      <c r="P6238" s="16" t="str">
        <f>IF(LEN(G6238)=10,CONCATENATE("0",G6238),G6238)</f>
        <v>13-Oct-1903</v>
      </c>
      <c r="Q6238" s="16"/>
      <c r="R6238" s="16" t="str">
        <f t="shared" si="2678"/>
        <v>x</v>
      </c>
      <c r="S6238" s="16" t="str">
        <f t="shared" si="2678"/>
        <v>x</v>
      </c>
      <c r="T6238" s="12"/>
      <c r="U6238" s="46" t="str">
        <f t="shared" si="2680"/>
        <v/>
      </c>
      <c r="V6238" s="46">
        <f t="shared" si="2680"/>
        <v>3</v>
      </c>
      <c r="W6238" s="46" t="str">
        <f t="shared" si="2680"/>
        <v/>
      </c>
      <c r="X6238" s="46" t="str">
        <f t="shared" si="2680"/>
        <v/>
      </c>
      <c r="Z6238" s="11"/>
    </row>
    <row r="6239" spans="2:26" s="18" customFormat="1" x14ac:dyDescent="0.25">
      <c r="B6239" s="11" t="str">
        <f>CONCATENATE("STAT","-",LEFT(P6239,2),UPPER(MID(P6239,4,3)),RIGHT(P6239,4))</f>
        <v>STAT-29MAY1905</v>
      </c>
      <c r="C6239" s="11" t="s">
        <v>3083</v>
      </c>
      <c r="D6239" s="11" t="s">
        <v>2103</v>
      </c>
      <c r="E6239" s="39" t="s">
        <v>991</v>
      </c>
      <c r="F6239" s="11" t="s">
        <v>1700</v>
      </c>
      <c r="G6239" s="39" t="s">
        <v>4046</v>
      </c>
      <c r="H6239" s="7">
        <v>0</v>
      </c>
      <c r="I6239" s="7">
        <v>3</v>
      </c>
      <c r="J6239" s="17">
        <v>0</v>
      </c>
      <c r="K6239" s="17"/>
      <c r="L6239" s="7">
        <f>SUM(H6239:K6239)</f>
        <v>3</v>
      </c>
      <c r="M6239" s="8">
        <v>1</v>
      </c>
      <c r="N6239" s="8">
        <f>IF(L6239&gt;0,1,"")</f>
        <v>1</v>
      </c>
      <c r="O6239" s="11" t="s">
        <v>1702</v>
      </c>
      <c r="P6239" s="16" t="str">
        <f>IF(LEN(G6239)=10,CONCATENATE("0",G6239),G6239)</f>
        <v>29-May-1905</v>
      </c>
      <c r="Q6239" s="16"/>
      <c r="R6239" s="16" t="str">
        <f t="shared" si="2678"/>
        <v>x</v>
      </c>
      <c r="S6239" s="16" t="str">
        <f t="shared" si="2678"/>
        <v>x</v>
      </c>
      <c r="T6239" s="12"/>
      <c r="U6239" s="46" t="str">
        <f t="shared" si="2656"/>
        <v/>
      </c>
      <c r="V6239" s="46">
        <f t="shared" si="2656"/>
        <v>3</v>
      </c>
      <c r="W6239" s="46" t="str">
        <f t="shared" si="2656"/>
        <v/>
      </c>
      <c r="X6239" s="46" t="str">
        <f t="shared" si="2656"/>
        <v/>
      </c>
      <c r="Z6239" s="11"/>
    </row>
    <row r="6240" spans="2:26" s="18" customFormat="1" x14ac:dyDescent="0.25">
      <c r="B6240" s="11" t="str">
        <f>CONCATENATE("STAT","-",LEFT(P6240,2),UPPER(MID(P6240,4,3)),RIGHT(P6240,4))</f>
        <v>STAT-03JUL1905</v>
      </c>
      <c r="C6240" s="11" t="s">
        <v>3083</v>
      </c>
      <c r="D6240" s="11" t="s">
        <v>2103</v>
      </c>
      <c r="E6240" s="39" t="s">
        <v>985</v>
      </c>
      <c r="F6240" s="11" t="s">
        <v>1700</v>
      </c>
      <c r="G6240" s="39" t="s">
        <v>2631</v>
      </c>
      <c r="H6240" s="7">
        <v>0</v>
      </c>
      <c r="I6240" s="7">
        <v>0</v>
      </c>
      <c r="J6240" s="17">
        <v>2</v>
      </c>
      <c r="K6240" s="17"/>
      <c r="L6240" s="7">
        <f>SUM(H6240:K6240)</f>
        <v>2</v>
      </c>
      <c r="M6240" s="8">
        <v>1</v>
      </c>
      <c r="N6240" s="8">
        <f>IF(L6240&gt;0,1,"")</f>
        <v>1</v>
      </c>
      <c r="O6240" s="11" t="s">
        <v>1702</v>
      </c>
      <c r="P6240" s="16" t="str">
        <f>IF(LEN(G6240)=10,CONCATENATE("0",G6240),G6240)</f>
        <v>03-Jul-1905</v>
      </c>
      <c r="Q6240" s="16"/>
      <c r="R6240" s="16" t="str">
        <f>IF($L6240&gt;0,"x","")</f>
        <v>x</v>
      </c>
      <c r="S6240" s="16" t="str">
        <f>IF($L6240&gt;0,"x","")</f>
        <v>x</v>
      </c>
      <c r="T6240" s="12"/>
      <c r="U6240" s="46" t="str">
        <f t="shared" ref="U6240:X6241" si="2681">IF($O6240=U$5,$L6240,"")</f>
        <v/>
      </c>
      <c r="V6240" s="46">
        <f t="shared" si="2681"/>
        <v>2</v>
      </c>
      <c r="W6240" s="46" t="str">
        <f t="shared" si="2681"/>
        <v/>
      </c>
      <c r="X6240" s="46" t="str">
        <f t="shared" si="2681"/>
        <v/>
      </c>
      <c r="Z6240" s="11"/>
    </row>
    <row r="6241" spans="2:26" s="18" customFormat="1" x14ac:dyDescent="0.25">
      <c r="B6241" s="11" t="str">
        <f>CONCATENATE("STAT","-",LEFT(P6241,2),UPPER(MID(P6241,4,3)),RIGHT(P6241,4))</f>
        <v>STAT-04OCT1930</v>
      </c>
      <c r="C6241" s="11" t="s">
        <v>3083</v>
      </c>
      <c r="D6241" s="11" t="s">
        <v>2103</v>
      </c>
      <c r="E6241" s="39" t="s">
        <v>4982</v>
      </c>
      <c r="F6241" s="11" t="s">
        <v>1700</v>
      </c>
      <c r="G6241" s="39" t="s">
        <v>4983</v>
      </c>
      <c r="H6241" s="7">
        <v>0</v>
      </c>
      <c r="I6241" s="7">
        <v>0</v>
      </c>
      <c r="J6241" s="17">
        <v>4</v>
      </c>
      <c r="K6241" s="17"/>
      <c r="L6241" s="7">
        <f>SUM(H6241:K6241)</f>
        <v>4</v>
      </c>
      <c r="M6241" s="8">
        <v>1</v>
      </c>
      <c r="N6241" s="8">
        <f>IF(L6241&gt;0,1,"")</f>
        <v>1</v>
      </c>
      <c r="O6241" s="11" t="s">
        <v>1702</v>
      </c>
      <c r="P6241" s="16" t="str">
        <f>IF(LEN(G6241)=10,CONCATENATE("0",G6241),G6241)</f>
        <v>04-Oct-1930</v>
      </c>
      <c r="Q6241" s="16"/>
      <c r="R6241" s="16" t="str">
        <f t="shared" si="2678"/>
        <v>x</v>
      </c>
      <c r="S6241" s="16" t="str">
        <f t="shared" si="2678"/>
        <v>x</v>
      </c>
      <c r="T6241" s="12"/>
      <c r="U6241" s="46" t="str">
        <f t="shared" si="2681"/>
        <v/>
      </c>
      <c r="V6241" s="46">
        <f t="shared" si="2681"/>
        <v>4</v>
      </c>
      <c r="W6241" s="46" t="str">
        <f t="shared" si="2681"/>
        <v/>
      </c>
      <c r="X6241" s="46" t="str">
        <f t="shared" si="2681"/>
        <v/>
      </c>
      <c r="Z6241" s="11"/>
    </row>
    <row r="6242" spans="2:26" x14ac:dyDescent="0.25">
      <c r="N6242" s="8" t="str">
        <f>IF(R6242="x",1,"")</f>
        <v/>
      </c>
      <c r="U6242" s="46" t="str">
        <f t="shared" si="2656"/>
        <v/>
      </c>
      <c r="V6242" s="46" t="str">
        <f t="shared" si="2656"/>
        <v/>
      </c>
      <c r="W6242" s="46" t="str">
        <f t="shared" si="2656"/>
        <v/>
      </c>
      <c r="X6242" s="46" t="str">
        <f t="shared" si="2656"/>
        <v/>
      </c>
    </row>
    <row r="6243" spans="2:26" s="18" customFormat="1" x14ac:dyDescent="0.25">
      <c r="E6243" s="40"/>
      <c r="G6243" s="40"/>
      <c r="H6243" s="7">
        <f t="shared" ref="H6243:N6243" si="2682">SUM(H6223:H6242)</f>
        <v>0</v>
      </c>
      <c r="I6243" s="7">
        <f t="shared" si="2682"/>
        <v>3</v>
      </c>
      <c r="J6243" s="7">
        <f>SUM(J6223:J6242)</f>
        <v>148</v>
      </c>
      <c r="K6243" s="7">
        <f t="shared" si="2682"/>
        <v>0</v>
      </c>
      <c r="L6243" s="7">
        <f t="shared" si="2682"/>
        <v>151</v>
      </c>
      <c r="M6243" s="7">
        <f t="shared" si="2682"/>
        <v>19</v>
      </c>
      <c r="N6243" s="7">
        <f t="shared" si="2682"/>
        <v>19</v>
      </c>
      <c r="P6243" s="13"/>
      <c r="Q6243" s="13"/>
      <c r="R6243" s="16"/>
      <c r="S6243" s="13"/>
      <c r="T6243" s="15"/>
      <c r="U6243" s="46" t="str">
        <f t="shared" si="2656"/>
        <v/>
      </c>
      <c r="V6243" s="46" t="str">
        <f t="shared" si="2656"/>
        <v/>
      </c>
      <c r="W6243" s="46" t="str">
        <f t="shared" si="2656"/>
        <v/>
      </c>
      <c r="X6243" s="46" t="str">
        <f t="shared" si="2656"/>
        <v/>
      </c>
      <c r="Z6243" s="11"/>
    </row>
    <row r="6244" spans="2:26" s="22" customFormat="1" x14ac:dyDescent="0.25">
      <c r="B6244" s="18"/>
      <c r="C6244" s="18"/>
      <c r="D6244" s="18"/>
      <c r="E6244" s="40"/>
      <c r="F6244" s="18"/>
      <c r="G6244" s="40"/>
      <c r="H6244" s="7"/>
      <c r="I6244" s="7"/>
      <c r="J6244" s="7"/>
      <c r="K6244" s="7"/>
      <c r="L6244" s="7"/>
      <c r="M6244" s="8"/>
      <c r="N6244" s="8" t="str">
        <f>IF(R6244="x",1,"")</f>
        <v/>
      </c>
      <c r="O6244" s="18"/>
      <c r="P6244" s="13"/>
      <c r="Q6244" s="13"/>
      <c r="R6244" s="13"/>
      <c r="S6244" s="13"/>
      <c r="T6244" s="15"/>
      <c r="U6244" s="46" t="str">
        <f t="shared" ref="U6244:X6248" si="2683">IF($O6244=U$5,$L6244,"")</f>
        <v/>
      </c>
      <c r="V6244" s="46" t="str">
        <f t="shared" si="2683"/>
        <v/>
      </c>
      <c r="W6244" s="46" t="str">
        <f t="shared" si="2683"/>
        <v/>
      </c>
      <c r="X6244" s="46" t="str">
        <f t="shared" si="2683"/>
        <v/>
      </c>
    </row>
    <row r="6245" spans="2:26" x14ac:dyDescent="0.25">
      <c r="B6245" s="18"/>
      <c r="C6245" s="18"/>
      <c r="D6245" s="18"/>
      <c r="E6245" s="40"/>
      <c r="F6245" s="18"/>
      <c r="G6245" s="40"/>
      <c r="N6245" s="8" t="str">
        <f>IF(R6245="x",1,"")</f>
        <v/>
      </c>
      <c r="O6245" s="18"/>
      <c r="P6245" s="13"/>
      <c r="Q6245" s="13"/>
      <c r="R6245" s="13"/>
      <c r="S6245" s="13"/>
      <c r="T6245" s="15"/>
      <c r="U6245" s="46" t="str">
        <f t="shared" si="2683"/>
        <v/>
      </c>
      <c r="V6245" s="46" t="str">
        <f t="shared" si="2683"/>
        <v/>
      </c>
      <c r="W6245" s="46" t="str">
        <f t="shared" si="2683"/>
        <v/>
      </c>
      <c r="X6245" s="46" t="str">
        <f>IF($O6245=X$5,$L6245,"")</f>
        <v/>
      </c>
    </row>
    <row r="6246" spans="2:26" x14ac:dyDescent="0.25">
      <c r="B6246" s="11" t="str">
        <f>CONCATENATE("STVF","-",LEFT(P6246,2),UPPER(MID(P6246,4,3)),RIGHT(P6246,4))</f>
        <v>STVF-28JUN1921</v>
      </c>
      <c r="C6246" s="11" t="s">
        <v>5635</v>
      </c>
      <c r="D6246" s="11" t="s">
        <v>117</v>
      </c>
      <c r="E6246" s="39" t="s">
        <v>5636</v>
      </c>
      <c r="F6246" s="11" t="s">
        <v>1700</v>
      </c>
      <c r="G6246" s="39" t="s">
        <v>5637</v>
      </c>
      <c r="H6246" s="7">
        <v>0</v>
      </c>
      <c r="I6246" s="7">
        <v>1</v>
      </c>
      <c r="J6246" s="17">
        <v>0</v>
      </c>
      <c r="K6246" s="17"/>
      <c r="L6246" s="7">
        <f>SUM(H6246:K6246)</f>
        <v>1</v>
      </c>
      <c r="M6246" s="8">
        <v>1</v>
      </c>
      <c r="N6246" s="8">
        <f>IF(L6246&gt;0,1,"")</f>
        <v>1</v>
      </c>
      <c r="O6246" s="11" t="s">
        <v>1702</v>
      </c>
      <c r="P6246" s="16" t="str">
        <f>IF(LEN(G6246)=10,CONCATENATE("0",G6246),G6246)</f>
        <v>28-Jun-1921</v>
      </c>
      <c r="R6246" s="16" t="str">
        <f>IF($L6246&gt;0,"x","")</f>
        <v>x</v>
      </c>
      <c r="S6246" s="16" t="str">
        <f>IF($L6246&gt;0,"x","")</f>
        <v>x</v>
      </c>
      <c r="U6246" s="46" t="str">
        <f t="shared" si="2683"/>
        <v/>
      </c>
      <c r="V6246" s="46">
        <f t="shared" si="2683"/>
        <v>1</v>
      </c>
      <c r="W6246" s="46" t="str">
        <f t="shared" si="2683"/>
        <v/>
      </c>
      <c r="X6246" s="46" t="str">
        <f t="shared" si="2683"/>
        <v/>
      </c>
    </row>
    <row r="6247" spans="2:26" x14ac:dyDescent="0.25">
      <c r="N6247" s="8" t="str">
        <f>IF(R6247="x",1,"")</f>
        <v/>
      </c>
      <c r="U6247" s="46" t="str">
        <f t="shared" si="2683"/>
        <v/>
      </c>
      <c r="V6247" s="46" t="str">
        <f t="shared" si="2683"/>
        <v/>
      </c>
      <c r="W6247" s="46" t="str">
        <f t="shared" si="2683"/>
        <v/>
      </c>
      <c r="X6247" s="46" t="str">
        <f t="shared" si="2683"/>
        <v/>
      </c>
    </row>
    <row r="6248" spans="2:26" x14ac:dyDescent="0.25">
      <c r="B6248" s="18"/>
      <c r="C6248" s="18"/>
      <c r="D6248" s="18"/>
      <c r="E6248" s="40"/>
      <c r="F6248" s="18"/>
      <c r="G6248" s="40"/>
      <c r="H6248" s="7">
        <f t="shared" ref="H6248:N6248" si="2684">SUM(H6246:H6247)</f>
        <v>0</v>
      </c>
      <c r="I6248" s="7">
        <f t="shared" si="2684"/>
        <v>1</v>
      </c>
      <c r="J6248" s="7">
        <f>SUM(J6246:J6247)</f>
        <v>0</v>
      </c>
      <c r="K6248" s="7">
        <f t="shared" si="2684"/>
        <v>0</v>
      </c>
      <c r="L6248" s="7">
        <f t="shared" si="2684"/>
        <v>1</v>
      </c>
      <c r="M6248" s="7">
        <f t="shared" si="2684"/>
        <v>1</v>
      </c>
      <c r="N6248" s="7">
        <f t="shared" si="2684"/>
        <v>1</v>
      </c>
      <c r="O6248" s="18"/>
      <c r="P6248" s="13"/>
      <c r="Q6248" s="13"/>
      <c r="S6248" s="13"/>
      <c r="T6248" s="15"/>
      <c r="U6248" s="46" t="str">
        <f t="shared" si="2683"/>
        <v/>
      </c>
      <c r="V6248" s="46" t="str">
        <f t="shared" si="2683"/>
        <v/>
      </c>
      <c r="W6248" s="46" t="str">
        <f t="shared" si="2683"/>
        <v/>
      </c>
      <c r="X6248" s="46" t="str">
        <f t="shared" si="2683"/>
        <v/>
      </c>
    </row>
    <row r="6249" spans="2:26" s="22" customFormat="1" x14ac:dyDescent="0.25">
      <c r="B6249" s="18"/>
      <c r="C6249" s="18"/>
      <c r="D6249" s="18"/>
      <c r="E6249" s="40"/>
      <c r="F6249" s="18"/>
      <c r="G6249" s="40"/>
      <c r="H6249" s="7"/>
      <c r="I6249" s="7"/>
      <c r="J6249" s="7"/>
      <c r="K6249" s="7"/>
      <c r="L6249" s="7"/>
      <c r="M6249" s="8"/>
      <c r="N6249" s="8" t="str">
        <f>IF(R6249="x",1,"")</f>
        <v/>
      </c>
      <c r="O6249" s="18"/>
      <c r="P6249" s="13"/>
      <c r="Q6249" s="13"/>
      <c r="R6249" s="13"/>
      <c r="S6249" s="13"/>
      <c r="T6249" s="15"/>
      <c r="U6249" s="46" t="str">
        <f t="shared" ref="U6249:X6253" si="2685">IF($O6249=U$5,$L6249,"")</f>
        <v/>
      </c>
      <c r="V6249" s="46" t="str">
        <f t="shared" si="2685"/>
        <v/>
      </c>
      <c r="W6249" s="46" t="str">
        <f t="shared" si="2685"/>
        <v/>
      </c>
      <c r="X6249" s="46" t="str">
        <f t="shared" si="2685"/>
        <v/>
      </c>
    </row>
    <row r="6250" spans="2:26" x14ac:dyDescent="0.25">
      <c r="B6250" s="18"/>
      <c r="C6250" s="18"/>
      <c r="D6250" s="18"/>
      <c r="E6250" s="40"/>
      <c r="F6250" s="18"/>
      <c r="G6250" s="40"/>
      <c r="N6250" s="8" t="str">
        <f>IF(R6250="x",1,"")</f>
        <v/>
      </c>
      <c r="O6250" s="18"/>
      <c r="P6250" s="13"/>
      <c r="Q6250" s="13"/>
      <c r="R6250" s="13"/>
      <c r="S6250" s="13"/>
      <c r="T6250" s="15"/>
      <c r="U6250" s="46" t="str">
        <f t="shared" si="2685"/>
        <v/>
      </c>
      <c r="V6250" s="46" t="str">
        <f t="shared" si="2685"/>
        <v/>
      </c>
      <c r="W6250" s="46" t="str">
        <f t="shared" si="2685"/>
        <v/>
      </c>
      <c r="X6250" s="46" t="str">
        <f>IF($O6250=X$5,$L6250,"")</f>
        <v/>
      </c>
    </row>
    <row r="6251" spans="2:26" x14ac:dyDescent="0.25">
      <c r="B6251" s="11" t="str">
        <f>CONCATENATE("STKH","-",LEFT(P6251,2),UPPER(MID(P6251,4,3)),RIGHT(P6251,4))</f>
        <v>STKH-13JAN1917</v>
      </c>
      <c r="C6251" s="11" t="s">
        <v>6192</v>
      </c>
      <c r="D6251" s="11" t="s">
        <v>6193</v>
      </c>
      <c r="E6251" s="39" t="s">
        <v>6194</v>
      </c>
      <c r="F6251" s="11" t="s">
        <v>1700</v>
      </c>
      <c r="G6251" s="39" t="s">
        <v>6195</v>
      </c>
      <c r="H6251" s="7">
        <v>0</v>
      </c>
      <c r="I6251" s="7">
        <v>2</v>
      </c>
      <c r="J6251" s="17">
        <v>13</v>
      </c>
      <c r="K6251" s="17"/>
      <c r="L6251" s="7">
        <f>SUM(H6251:K6251)</f>
        <v>15</v>
      </c>
      <c r="M6251" s="8">
        <v>1</v>
      </c>
      <c r="N6251" s="8">
        <f>IF(L6251&gt;0,1,"")</f>
        <v>1</v>
      </c>
      <c r="O6251" s="11" t="s">
        <v>1702</v>
      </c>
      <c r="P6251" s="16" t="str">
        <f>IF(LEN(G6251)=10,CONCATENATE("0",G6251),G6251)</f>
        <v>13-Jan-1917</v>
      </c>
      <c r="R6251" s="16" t="str">
        <f>IF($L6251&gt;0,"x","")</f>
        <v>x</v>
      </c>
      <c r="S6251" s="16" t="str">
        <f>IF($L6251&gt;0,"x","")</f>
        <v>x</v>
      </c>
      <c r="U6251" s="46" t="str">
        <f t="shared" si="2685"/>
        <v/>
      </c>
      <c r="V6251" s="46">
        <f t="shared" si="2685"/>
        <v>15</v>
      </c>
      <c r="W6251" s="46" t="str">
        <f t="shared" si="2685"/>
        <v/>
      </c>
      <c r="X6251" s="46" t="str">
        <f t="shared" si="2685"/>
        <v/>
      </c>
    </row>
    <row r="6252" spans="2:26" x14ac:dyDescent="0.25">
      <c r="N6252" s="8" t="str">
        <f>IF(R6252="x",1,"")</f>
        <v/>
      </c>
      <c r="U6252" s="46" t="str">
        <f t="shared" si="2685"/>
        <v/>
      </c>
      <c r="V6252" s="46" t="str">
        <f t="shared" si="2685"/>
        <v/>
      </c>
      <c r="W6252" s="46" t="str">
        <f t="shared" si="2685"/>
        <v/>
      </c>
      <c r="X6252" s="46" t="str">
        <f t="shared" si="2685"/>
        <v/>
      </c>
    </row>
    <row r="6253" spans="2:26" x14ac:dyDescent="0.25">
      <c r="B6253" s="18"/>
      <c r="C6253" s="18"/>
      <c r="D6253" s="18"/>
      <c r="E6253" s="40"/>
      <c r="F6253" s="18"/>
      <c r="G6253" s="40"/>
      <c r="H6253" s="7">
        <f t="shared" ref="H6253:N6253" si="2686">SUM(H6251:H6252)</f>
        <v>0</v>
      </c>
      <c r="I6253" s="7">
        <f t="shared" si="2686"/>
        <v>2</v>
      </c>
      <c r="J6253" s="7">
        <f>SUM(J6251:J6252)</f>
        <v>13</v>
      </c>
      <c r="K6253" s="7">
        <f t="shared" si="2686"/>
        <v>0</v>
      </c>
      <c r="L6253" s="7">
        <f t="shared" si="2686"/>
        <v>15</v>
      </c>
      <c r="M6253" s="7">
        <f t="shared" si="2686"/>
        <v>1</v>
      </c>
      <c r="N6253" s="7">
        <f t="shared" si="2686"/>
        <v>1</v>
      </c>
      <c r="O6253" s="18"/>
      <c r="P6253" s="13"/>
      <c r="Q6253" s="13"/>
      <c r="S6253" s="13"/>
      <c r="T6253" s="15"/>
      <c r="U6253" s="46" t="str">
        <f t="shared" si="2685"/>
        <v/>
      </c>
      <c r="V6253" s="46" t="str">
        <f t="shared" si="2685"/>
        <v/>
      </c>
      <c r="W6253" s="46" t="str">
        <f t="shared" si="2685"/>
        <v/>
      </c>
      <c r="X6253" s="46" t="str">
        <f t="shared" si="2685"/>
        <v/>
      </c>
    </row>
    <row r="6254" spans="2:26" s="22" customFormat="1" x14ac:dyDescent="0.25">
      <c r="B6254" s="18"/>
      <c r="C6254" s="18"/>
      <c r="D6254" s="18"/>
      <c r="E6254" s="40"/>
      <c r="F6254" s="18"/>
      <c r="G6254" s="40"/>
      <c r="H6254" s="7"/>
      <c r="I6254" s="7"/>
      <c r="J6254" s="7"/>
      <c r="K6254" s="7"/>
      <c r="L6254" s="7"/>
      <c r="M6254" s="8"/>
      <c r="N6254" s="8" t="str">
        <f>IF(R6254="x",1,"")</f>
        <v/>
      </c>
      <c r="O6254" s="18"/>
      <c r="P6254" s="13"/>
      <c r="Q6254" s="13"/>
      <c r="R6254" s="13"/>
      <c r="S6254" s="13"/>
      <c r="T6254" s="15"/>
      <c r="U6254" s="46" t="str">
        <f t="shared" si="2656"/>
        <v/>
      </c>
      <c r="V6254" s="46" t="str">
        <f t="shared" si="2656"/>
        <v/>
      </c>
      <c r="W6254" s="46" t="str">
        <f t="shared" si="2656"/>
        <v/>
      </c>
      <c r="X6254" s="46" t="str">
        <f t="shared" si="2656"/>
        <v/>
      </c>
    </row>
    <row r="6255" spans="2:26" x14ac:dyDescent="0.25">
      <c r="B6255" s="18"/>
      <c r="C6255" s="18"/>
      <c r="D6255" s="18"/>
      <c r="E6255" s="40"/>
      <c r="F6255" s="18"/>
      <c r="G6255" s="40"/>
      <c r="N6255" s="8" t="str">
        <f>IF(R6255="x",1,"")</f>
        <v/>
      </c>
      <c r="O6255" s="18"/>
      <c r="P6255" s="13"/>
      <c r="Q6255" s="13"/>
      <c r="R6255" s="13"/>
      <c r="S6255" s="13"/>
      <c r="T6255" s="15"/>
      <c r="U6255" s="46" t="str">
        <f t="shared" si="2656"/>
        <v/>
      </c>
      <c r="V6255" s="46" t="str">
        <f t="shared" si="2656"/>
        <v/>
      </c>
      <c r="W6255" s="46" t="str">
        <f t="shared" si="2656"/>
        <v/>
      </c>
      <c r="X6255" s="46" t="str">
        <f>IF($O6255=X$5,$L6255,"")</f>
        <v/>
      </c>
    </row>
    <row r="6256" spans="2:26" x14ac:dyDescent="0.25">
      <c r="B6256" s="11" t="str">
        <f>CONCATENATE("SUEV","-",LEFT(P6256,2),UPPER(MID(P6256,4,3)),RIGHT(P6256,4))</f>
        <v>SUEV-30JUN1890</v>
      </c>
      <c r="C6256" s="11" t="s">
        <v>134</v>
      </c>
      <c r="D6256" s="11" t="s">
        <v>3585</v>
      </c>
      <c r="F6256" s="11" t="s">
        <v>1700</v>
      </c>
      <c r="G6256" s="39" t="s">
        <v>3584</v>
      </c>
      <c r="H6256" s="7">
        <v>0</v>
      </c>
      <c r="I6256" s="7">
        <v>0</v>
      </c>
      <c r="J6256" s="17">
        <v>33</v>
      </c>
      <c r="K6256" s="17"/>
      <c r="L6256" s="7">
        <f t="shared" ref="L6256:L6265" si="2687">SUM(H6256:K6256)</f>
        <v>33</v>
      </c>
      <c r="M6256" s="8">
        <v>1</v>
      </c>
      <c r="N6256" s="8">
        <f t="shared" ref="N6256:N6265" si="2688">IF(L6256&gt;0,1,"")</f>
        <v>1</v>
      </c>
      <c r="O6256" s="11" t="s">
        <v>1702</v>
      </c>
      <c r="P6256" s="16" t="str">
        <f t="shared" ref="P6256:P6265" si="2689">IF(LEN(G6256)=10,CONCATENATE("0",G6256),G6256)</f>
        <v>30-Jun-1890</v>
      </c>
      <c r="R6256" s="16" t="str">
        <f t="shared" ref="R6256:S6265" si="2690">IF($L6256&gt;0,"x","")</f>
        <v>x</v>
      </c>
      <c r="S6256" s="16" t="str">
        <f t="shared" si="2690"/>
        <v>x</v>
      </c>
      <c r="U6256" s="46" t="str">
        <f t="shared" ref="U6256:X6363" si="2691">IF($O6256=U$5,$L6256,"")</f>
        <v/>
      </c>
      <c r="V6256" s="46">
        <f t="shared" si="2691"/>
        <v>33</v>
      </c>
      <c r="W6256" s="46" t="str">
        <f t="shared" si="2691"/>
        <v/>
      </c>
      <c r="X6256" s="46" t="str">
        <f t="shared" si="2691"/>
        <v/>
      </c>
    </row>
    <row r="6257" spans="2:24" x14ac:dyDescent="0.25">
      <c r="B6257" s="11" t="str">
        <f>CONCATENATE("SUEV","-",LEFT(P6257,2),UPPER(MID(P6257,4,3)),RIGHT(P6257,4))</f>
        <v>SUEV-11AUG1890</v>
      </c>
      <c r="C6257" s="11" t="s">
        <v>134</v>
      </c>
      <c r="D6257" s="11" t="s">
        <v>3585</v>
      </c>
      <c r="F6257" s="11" t="s">
        <v>1700</v>
      </c>
      <c r="G6257" s="39" t="s">
        <v>5756</v>
      </c>
      <c r="H6257" s="7">
        <v>0</v>
      </c>
      <c r="I6257" s="7">
        <v>0</v>
      </c>
      <c r="J6257" s="17">
        <v>13</v>
      </c>
      <c r="K6257" s="17"/>
      <c r="L6257" s="7">
        <f>SUM(H6257:K6257)</f>
        <v>13</v>
      </c>
      <c r="M6257" s="8">
        <v>1</v>
      </c>
      <c r="N6257" s="8">
        <f>IF(L6257&gt;0,1,"")</f>
        <v>1</v>
      </c>
      <c r="O6257" s="11" t="s">
        <v>1702</v>
      </c>
      <c r="P6257" s="16" t="str">
        <f>IF(LEN(G6257)=10,CONCATENATE("0",G6257),G6257)</f>
        <v>11-Aug-1890</v>
      </c>
      <c r="R6257" s="16" t="str">
        <f>IF($L6257&gt;0,"x","")</f>
        <v>x</v>
      </c>
      <c r="S6257" s="16" t="str">
        <f>IF($L6257&gt;0,"x","")</f>
        <v>x</v>
      </c>
      <c r="U6257" s="46" t="str">
        <f t="shared" ref="U6257:X6258" si="2692">IF($O6257=U$5,$L6257,"")</f>
        <v/>
      </c>
      <c r="V6257" s="46">
        <f t="shared" si="2692"/>
        <v>13</v>
      </c>
      <c r="W6257" s="46" t="str">
        <f t="shared" si="2692"/>
        <v/>
      </c>
      <c r="X6257" s="46" t="str">
        <f t="shared" si="2692"/>
        <v/>
      </c>
    </row>
    <row r="6258" spans="2:24" x14ac:dyDescent="0.25">
      <c r="B6258" s="11" t="str">
        <f>CONCATENATE("SUEV","-",LEFT(P6258,2),UPPER(MID(P6258,4,3)),RIGHT(P6258,4))</f>
        <v>SUEV-06OCT1891</v>
      </c>
      <c r="C6258" s="11" t="s">
        <v>134</v>
      </c>
      <c r="D6258" s="11" t="s">
        <v>1699</v>
      </c>
      <c r="F6258" s="11" t="s">
        <v>1700</v>
      </c>
      <c r="G6258" s="39" t="s">
        <v>4032</v>
      </c>
      <c r="H6258" s="7">
        <v>0</v>
      </c>
      <c r="J6258" s="17">
        <v>15</v>
      </c>
      <c r="K6258" s="17"/>
      <c r="L6258" s="7">
        <f>SUM(H6258:K6258)</f>
        <v>15</v>
      </c>
      <c r="M6258" s="8">
        <v>1</v>
      </c>
      <c r="N6258" s="8">
        <f>IF(L6258&gt;0,1,"")</f>
        <v>1</v>
      </c>
      <c r="O6258" s="11" t="s">
        <v>1702</v>
      </c>
      <c r="P6258" s="16" t="str">
        <f>IF(LEN(G6258)=10,CONCATENATE("0",G6258),G6258)</f>
        <v>06-Oct-1891</v>
      </c>
      <c r="R6258" s="16" t="str">
        <f>IF($L6258&gt;0,"x","")</f>
        <v>x</v>
      </c>
      <c r="S6258" s="16" t="str">
        <f>IF($L6258&gt;0,"x","")</f>
        <v>x</v>
      </c>
      <c r="U6258" s="46" t="str">
        <f t="shared" si="2692"/>
        <v/>
      </c>
      <c r="V6258" s="46">
        <f t="shared" si="2692"/>
        <v>15</v>
      </c>
      <c r="W6258" s="46" t="str">
        <f t="shared" si="2692"/>
        <v/>
      </c>
      <c r="X6258" s="46" t="str">
        <f t="shared" si="2692"/>
        <v/>
      </c>
    </row>
    <row r="6259" spans="2:24" x14ac:dyDescent="0.25">
      <c r="B6259" s="11" t="str">
        <f>CONCATENATE("SUEV","-",LEFT(P6259,2),UPPER(MID(P6259,4,3)),RIGHT(P6259,4))</f>
        <v>SUEV-28MAR1892</v>
      </c>
      <c r="C6259" s="11" t="s">
        <v>134</v>
      </c>
      <c r="D6259" s="11" t="s">
        <v>1699</v>
      </c>
      <c r="F6259" s="11" t="s">
        <v>1700</v>
      </c>
      <c r="G6259" s="39" t="s">
        <v>162</v>
      </c>
      <c r="H6259" s="7">
        <v>0</v>
      </c>
      <c r="I6259" s="7">
        <v>0</v>
      </c>
      <c r="J6259" s="17">
        <v>7</v>
      </c>
      <c r="K6259" s="17"/>
      <c r="L6259" s="7">
        <f>SUM(H6259:K6259)</f>
        <v>7</v>
      </c>
      <c r="M6259" s="8">
        <v>1</v>
      </c>
      <c r="N6259" s="8">
        <f>IF(L6259&gt;0,1,"")</f>
        <v>1</v>
      </c>
      <c r="O6259" s="11" t="s">
        <v>1702</v>
      </c>
      <c r="P6259" s="16" t="str">
        <f>IF(LEN(G6259)=10,CONCATENATE("0",G6259),G6259)</f>
        <v>28-Mar-1892</v>
      </c>
      <c r="R6259" s="16" t="str">
        <f t="shared" si="2690"/>
        <v>x</v>
      </c>
      <c r="S6259" s="16" t="str">
        <f t="shared" si="2690"/>
        <v>x</v>
      </c>
      <c r="U6259" s="46" t="str">
        <f t="shared" si="2691"/>
        <v/>
      </c>
      <c r="V6259" s="46">
        <f t="shared" si="2691"/>
        <v>7</v>
      </c>
      <c r="W6259" s="46" t="str">
        <f t="shared" si="2691"/>
        <v/>
      </c>
      <c r="X6259" s="46" t="str">
        <f t="shared" si="2691"/>
        <v/>
      </c>
    </row>
    <row r="6260" spans="2:24" x14ac:dyDescent="0.25">
      <c r="B6260" s="11" t="str">
        <f t="shared" ref="B6260:B6265" si="2693">CONCATENATE("SUEV","-",LEFT(P6260,2),UPPER(MID(P6260,4,3)),RIGHT(P6260,4))</f>
        <v>SUEV-16MAY1892</v>
      </c>
      <c r="C6260" s="11" t="s">
        <v>134</v>
      </c>
      <c r="D6260" s="11" t="s">
        <v>1699</v>
      </c>
      <c r="F6260" s="11" t="s">
        <v>1700</v>
      </c>
      <c r="G6260" s="39" t="s">
        <v>227</v>
      </c>
      <c r="H6260" s="7">
        <v>0</v>
      </c>
      <c r="I6260" s="7">
        <v>0</v>
      </c>
      <c r="J6260" s="17">
        <v>35</v>
      </c>
      <c r="K6260" s="17"/>
      <c r="L6260" s="7">
        <f t="shared" si="2687"/>
        <v>35</v>
      </c>
      <c r="M6260" s="8">
        <v>1</v>
      </c>
      <c r="N6260" s="8">
        <f t="shared" si="2688"/>
        <v>1</v>
      </c>
      <c r="O6260" s="11" t="s">
        <v>1702</v>
      </c>
      <c r="P6260" s="16" t="str">
        <f t="shared" si="2689"/>
        <v>16-May-1892</v>
      </c>
      <c r="R6260" s="16" t="str">
        <f t="shared" si="2690"/>
        <v>x</v>
      </c>
      <c r="S6260" s="16" t="str">
        <f t="shared" si="2690"/>
        <v>x</v>
      </c>
      <c r="U6260" s="46" t="str">
        <f t="shared" si="2691"/>
        <v/>
      </c>
      <c r="V6260" s="46">
        <f t="shared" si="2691"/>
        <v>35</v>
      </c>
      <c r="W6260" s="46" t="str">
        <f t="shared" si="2691"/>
        <v/>
      </c>
      <c r="X6260" s="46" t="str">
        <f t="shared" si="2691"/>
        <v/>
      </c>
    </row>
    <row r="6261" spans="2:24" x14ac:dyDescent="0.25">
      <c r="B6261" s="11" t="str">
        <f t="shared" si="2693"/>
        <v>SUEV-06AUG1892</v>
      </c>
      <c r="C6261" s="11" t="s">
        <v>134</v>
      </c>
      <c r="D6261" s="11" t="s">
        <v>1699</v>
      </c>
      <c r="F6261" s="11" t="s">
        <v>1700</v>
      </c>
      <c r="G6261" s="39" t="s">
        <v>228</v>
      </c>
      <c r="H6261" s="7">
        <v>0</v>
      </c>
      <c r="I6261" s="7">
        <v>0</v>
      </c>
      <c r="J6261" s="17">
        <v>62</v>
      </c>
      <c r="K6261" s="17"/>
      <c r="L6261" s="7">
        <f t="shared" si="2687"/>
        <v>62</v>
      </c>
      <c r="M6261" s="8">
        <v>1</v>
      </c>
      <c r="N6261" s="8">
        <f t="shared" si="2688"/>
        <v>1</v>
      </c>
      <c r="O6261" s="11" t="s">
        <v>1702</v>
      </c>
      <c r="P6261" s="16" t="str">
        <f t="shared" si="2689"/>
        <v>06-Aug-1892</v>
      </c>
      <c r="R6261" s="16" t="str">
        <f t="shared" si="2690"/>
        <v>x</v>
      </c>
      <c r="S6261" s="16" t="str">
        <f t="shared" si="2690"/>
        <v>x</v>
      </c>
      <c r="U6261" s="46" t="str">
        <f t="shared" si="2691"/>
        <v/>
      </c>
      <c r="V6261" s="46">
        <f t="shared" si="2691"/>
        <v>62</v>
      </c>
      <c r="W6261" s="46" t="str">
        <f t="shared" si="2691"/>
        <v/>
      </c>
      <c r="X6261" s="46" t="str">
        <f t="shared" si="2691"/>
        <v/>
      </c>
    </row>
    <row r="6262" spans="2:24" x14ac:dyDescent="0.25">
      <c r="B6262" s="11" t="str">
        <f t="shared" si="2693"/>
        <v>SUEV-20DEC1892</v>
      </c>
      <c r="C6262" s="11" t="s">
        <v>134</v>
      </c>
      <c r="D6262" s="11" t="s">
        <v>1699</v>
      </c>
      <c r="F6262" s="11" t="s">
        <v>1700</v>
      </c>
      <c r="G6262" s="39" t="s">
        <v>229</v>
      </c>
      <c r="H6262" s="7">
        <v>0</v>
      </c>
      <c r="I6262" s="7">
        <v>0</v>
      </c>
      <c r="J6262" s="17">
        <v>0</v>
      </c>
      <c r="K6262" s="17"/>
      <c r="L6262" s="7">
        <f t="shared" si="2687"/>
        <v>0</v>
      </c>
      <c r="M6262" s="8">
        <v>1</v>
      </c>
      <c r="N6262" s="8" t="str">
        <f t="shared" si="2688"/>
        <v/>
      </c>
      <c r="O6262" s="11" t="s">
        <v>1702</v>
      </c>
      <c r="P6262" s="16" t="str">
        <f t="shared" si="2689"/>
        <v>20-Dec-1892</v>
      </c>
      <c r="R6262" s="16" t="str">
        <f t="shared" si="2690"/>
        <v/>
      </c>
      <c r="S6262" s="16" t="str">
        <f t="shared" si="2690"/>
        <v/>
      </c>
      <c r="U6262" s="46" t="str">
        <f t="shared" si="2691"/>
        <v/>
      </c>
      <c r="V6262" s="46">
        <f t="shared" si="2691"/>
        <v>0</v>
      </c>
      <c r="W6262" s="46" t="str">
        <f t="shared" si="2691"/>
        <v/>
      </c>
      <c r="X6262" s="46" t="str">
        <f t="shared" si="2691"/>
        <v/>
      </c>
    </row>
    <row r="6263" spans="2:24" x14ac:dyDescent="0.25">
      <c r="B6263" s="11" t="str">
        <f t="shared" si="2693"/>
        <v>SUEV-01MAY1893</v>
      </c>
      <c r="C6263" s="11" t="s">
        <v>134</v>
      </c>
      <c r="D6263" s="11" t="s">
        <v>1699</v>
      </c>
      <c r="F6263" s="11" t="s">
        <v>1700</v>
      </c>
      <c r="G6263" s="39" t="s">
        <v>2265</v>
      </c>
      <c r="H6263" s="7">
        <v>0</v>
      </c>
      <c r="I6263" s="7">
        <v>0</v>
      </c>
      <c r="J6263" s="17">
        <v>9</v>
      </c>
      <c r="K6263" s="17"/>
      <c r="L6263" s="7">
        <f t="shared" si="2687"/>
        <v>9</v>
      </c>
      <c r="M6263" s="8">
        <v>1</v>
      </c>
      <c r="N6263" s="8">
        <f t="shared" si="2688"/>
        <v>1</v>
      </c>
      <c r="O6263" s="11" t="s">
        <v>1702</v>
      </c>
      <c r="P6263" s="16" t="str">
        <f t="shared" si="2689"/>
        <v>01-May-1893</v>
      </c>
      <c r="R6263" s="16" t="str">
        <f t="shared" si="2690"/>
        <v>x</v>
      </c>
      <c r="S6263" s="16" t="str">
        <f t="shared" si="2690"/>
        <v>x</v>
      </c>
      <c r="U6263" s="46" t="str">
        <f t="shared" si="2691"/>
        <v/>
      </c>
      <c r="V6263" s="46">
        <f t="shared" si="2691"/>
        <v>9</v>
      </c>
      <c r="W6263" s="46" t="str">
        <f t="shared" si="2691"/>
        <v/>
      </c>
      <c r="X6263" s="46" t="str">
        <f t="shared" si="2691"/>
        <v/>
      </c>
    </row>
    <row r="6264" spans="2:24" x14ac:dyDescent="0.25">
      <c r="B6264" s="11" t="str">
        <f t="shared" si="2693"/>
        <v>SUEV-04DEC1893</v>
      </c>
      <c r="C6264" s="11" t="s">
        <v>134</v>
      </c>
      <c r="D6264" s="11" t="s">
        <v>1699</v>
      </c>
      <c r="F6264" s="11" t="s">
        <v>1700</v>
      </c>
      <c r="G6264" s="39" t="s">
        <v>230</v>
      </c>
      <c r="H6264" s="7">
        <v>0</v>
      </c>
      <c r="I6264" s="7">
        <v>0</v>
      </c>
      <c r="J6264" s="17">
        <v>0</v>
      </c>
      <c r="K6264" s="17"/>
      <c r="L6264" s="7">
        <f t="shared" si="2687"/>
        <v>0</v>
      </c>
      <c r="M6264" s="8">
        <v>1</v>
      </c>
      <c r="N6264" s="8" t="str">
        <f t="shared" si="2688"/>
        <v/>
      </c>
      <c r="O6264" s="11" t="s">
        <v>1702</v>
      </c>
      <c r="P6264" s="16" t="str">
        <f t="shared" si="2689"/>
        <v>04-Dec-1893</v>
      </c>
      <c r="R6264" s="16" t="str">
        <f t="shared" si="2690"/>
        <v/>
      </c>
      <c r="S6264" s="16" t="str">
        <f t="shared" si="2690"/>
        <v/>
      </c>
      <c r="U6264" s="46" t="str">
        <f t="shared" si="2691"/>
        <v/>
      </c>
      <c r="V6264" s="46">
        <f t="shared" si="2691"/>
        <v>0</v>
      </c>
      <c r="W6264" s="46" t="str">
        <f t="shared" si="2691"/>
        <v/>
      </c>
      <c r="X6264" s="46" t="str">
        <f t="shared" si="2691"/>
        <v/>
      </c>
    </row>
    <row r="6265" spans="2:24" x14ac:dyDescent="0.25">
      <c r="B6265" s="11" t="str">
        <f t="shared" si="2693"/>
        <v>SUEV-13NOV1894</v>
      </c>
      <c r="C6265" s="11" t="s">
        <v>134</v>
      </c>
      <c r="D6265" s="11" t="s">
        <v>1699</v>
      </c>
      <c r="F6265" s="11" t="s">
        <v>1700</v>
      </c>
      <c r="G6265" s="39" t="s">
        <v>231</v>
      </c>
      <c r="H6265" s="7">
        <v>0</v>
      </c>
      <c r="I6265" s="7">
        <v>0</v>
      </c>
      <c r="J6265" s="17">
        <v>0</v>
      </c>
      <c r="K6265" s="17"/>
      <c r="L6265" s="7">
        <f t="shared" si="2687"/>
        <v>0</v>
      </c>
      <c r="M6265" s="8">
        <v>1</v>
      </c>
      <c r="N6265" s="8" t="str">
        <f t="shared" si="2688"/>
        <v/>
      </c>
      <c r="O6265" s="11" t="s">
        <v>1702</v>
      </c>
      <c r="P6265" s="16" t="str">
        <f t="shared" si="2689"/>
        <v>13-Nov-1894</v>
      </c>
      <c r="R6265" s="16" t="str">
        <f t="shared" si="2690"/>
        <v/>
      </c>
      <c r="S6265" s="16" t="str">
        <f t="shared" si="2690"/>
        <v/>
      </c>
      <c r="U6265" s="46" t="str">
        <f t="shared" si="2691"/>
        <v/>
      </c>
      <c r="V6265" s="46">
        <f t="shared" si="2691"/>
        <v>0</v>
      </c>
      <c r="W6265" s="46" t="str">
        <f t="shared" si="2691"/>
        <v/>
      </c>
      <c r="X6265" s="46" t="str">
        <f t="shared" si="2691"/>
        <v/>
      </c>
    </row>
    <row r="6266" spans="2:24" x14ac:dyDescent="0.25">
      <c r="N6266" s="8" t="str">
        <f>IF(R6266="x",1,"")</f>
        <v/>
      </c>
      <c r="U6266" s="46" t="str">
        <f t="shared" si="2691"/>
        <v/>
      </c>
      <c r="V6266" s="46" t="str">
        <f t="shared" si="2691"/>
        <v/>
      </c>
      <c r="W6266" s="46" t="str">
        <f t="shared" si="2691"/>
        <v/>
      </c>
      <c r="X6266" s="46" t="str">
        <f t="shared" si="2691"/>
        <v/>
      </c>
    </row>
    <row r="6267" spans="2:24" x14ac:dyDescent="0.25">
      <c r="B6267" s="18"/>
      <c r="C6267" s="18"/>
      <c r="D6267" s="18"/>
      <c r="E6267" s="40"/>
      <c r="F6267" s="18"/>
      <c r="G6267" s="40"/>
      <c r="H6267" s="7">
        <f t="shared" ref="H6267:N6267" si="2694">SUM(H6256:H6266)</f>
        <v>0</v>
      </c>
      <c r="I6267" s="7">
        <f t="shared" si="2694"/>
        <v>0</v>
      </c>
      <c r="J6267" s="7">
        <f>SUM(J6256:J6266)</f>
        <v>174</v>
      </c>
      <c r="K6267" s="7">
        <f t="shared" si="2694"/>
        <v>0</v>
      </c>
      <c r="L6267" s="7">
        <f t="shared" si="2694"/>
        <v>174</v>
      </c>
      <c r="M6267" s="7">
        <f t="shared" si="2694"/>
        <v>10</v>
      </c>
      <c r="N6267" s="7">
        <f t="shared" si="2694"/>
        <v>7</v>
      </c>
      <c r="O6267" s="18"/>
      <c r="P6267" s="13"/>
      <c r="Q6267" s="13"/>
      <c r="S6267" s="13"/>
      <c r="T6267" s="15"/>
      <c r="U6267" s="46" t="str">
        <f t="shared" si="2691"/>
        <v/>
      </c>
      <c r="V6267" s="46" t="str">
        <f t="shared" si="2691"/>
        <v/>
      </c>
      <c r="W6267" s="46" t="str">
        <f t="shared" si="2691"/>
        <v/>
      </c>
      <c r="X6267" s="46" t="str">
        <f t="shared" si="2691"/>
        <v/>
      </c>
    </row>
    <row r="6268" spans="2:24" x14ac:dyDescent="0.25">
      <c r="B6268" s="18"/>
      <c r="C6268" s="18"/>
      <c r="D6268" s="18"/>
      <c r="E6268" s="40"/>
      <c r="F6268" s="18"/>
      <c r="G6268" s="40"/>
      <c r="N6268" s="8" t="str">
        <f>IF(R6268="x",1,"")</f>
        <v/>
      </c>
      <c r="O6268" s="18"/>
      <c r="P6268" s="13"/>
      <c r="Q6268" s="13"/>
      <c r="R6268" s="13"/>
      <c r="S6268" s="13"/>
      <c r="T6268" s="15"/>
      <c r="U6268" s="46" t="str">
        <f t="shared" si="2691"/>
        <v/>
      </c>
      <c r="V6268" s="46" t="str">
        <f t="shared" si="2691"/>
        <v/>
      </c>
      <c r="W6268" s="46" t="str">
        <f t="shared" si="2691"/>
        <v/>
      </c>
      <c r="X6268" s="46" t="str">
        <f t="shared" si="2691"/>
        <v/>
      </c>
    </row>
    <row r="6269" spans="2:24" x14ac:dyDescent="0.25">
      <c r="B6269" s="18"/>
      <c r="C6269" s="18"/>
      <c r="D6269" s="18"/>
      <c r="E6269" s="40"/>
      <c r="F6269" s="18"/>
      <c r="G6269" s="40"/>
      <c r="N6269" s="8" t="str">
        <f>IF(R6269="x",1,"")</f>
        <v/>
      </c>
      <c r="O6269" s="18"/>
      <c r="P6269" s="13"/>
      <c r="Q6269" s="13"/>
      <c r="R6269" s="13"/>
      <c r="S6269" s="13"/>
      <c r="T6269" s="15"/>
      <c r="U6269" s="46" t="str">
        <f t="shared" si="2691"/>
        <v/>
      </c>
      <c r="V6269" s="46" t="str">
        <f t="shared" si="2691"/>
        <v/>
      </c>
      <c r="W6269" s="46" t="str">
        <f t="shared" si="2691"/>
        <v/>
      </c>
      <c r="X6269" s="46" t="str">
        <f t="shared" si="2691"/>
        <v/>
      </c>
    </row>
    <row r="6270" spans="2:24" x14ac:dyDescent="0.25">
      <c r="B6270" s="11" t="str">
        <f>CONCATENATE("SUFF","-",LEFT(P6270,2),UPPER(MID(P6270,4,3)),RIGHT(P6270,4))</f>
        <v>SUFF-01NOV1923</v>
      </c>
      <c r="C6270" s="11" t="s">
        <v>3018</v>
      </c>
      <c r="D6270" s="11" t="s">
        <v>1699</v>
      </c>
      <c r="E6270" s="39" t="s">
        <v>4326</v>
      </c>
      <c r="F6270" s="11" t="s">
        <v>1700</v>
      </c>
      <c r="G6270" s="39" t="s">
        <v>3716</v>
      </c>
      <c r="I6270" s="7">
        <v>19</v>
      </c>
      <c r="J6270" s="17">
        <f>94+5</f>
        <v>99</v>
      </c>
      <c r="K6270" s="17"/>
      <c r="L6270" s="7">
        <f>SUM(H6270:K6270)</f>
        <v>118</v>
      </c>
      <c r="M6270" s="8">
        <v>1</v>
      </c>
      <c r="N6270" s="8">
        <f>IF(L6270&gt;0,1,"")</f>
        <v>1</v>
      </c>
      <c r="O6270" s="11" t="s">
        <v>1702</v>
      </c>
      <c r="P6270" s="16" t="str">
        <f>IF(LEN(G6270)=10,CONCATENATE("0",G6270),G6270)</f>
        <v>01-Nov-1923</v>
      </c>
      <c r="R6270" s="16" t="str">
        <f t="shared" ref="R6270:S6273" si="2695">IF($L6270&gt;0,"x","")</f>
        <v>x</v>
      </c>
      <c r="S6270" s="16" t="str">
        <f t="shared" si="2695"/>
        <v>x</v>
      </c>
      <c r="U6270" s="46" t="str">
        <f t="shared" si="2691"/>
        <v/>
      </c>
      <c r="V6270" s="46">
        <f t="shared" si="2691"/>
        <v>118</v>
      </c>
      <c r="W6270" s="46" t="str">
        <f t="shared" si="2691"/>
        <v/>
      </c>
      <c r="X6270" s="46" t="str">
        <f t="shared" si="2691"/>
        <v/>
      </c>
    </row>
    <row r="6271" spans="2:24" x14ac:dyDescent="0.25">
      <c r="B6271" s="11" t="str">
        <f>CONCATENATE("SUFF","-",LEFT(P6271,2),UPPER(MID(P6271,4,3)),RIGHT(P6271,4))</f>
        <v>SUFF-10JAN1924</v>
      </c>
      <c r="C6271" s="11" t="s">
        <v>3018</v>
      </c>
      <c r="D6271" s="11" t="s">
        <v>1699</v>
      </c>
      <c r="E6271" s="39" t="s">
        <v>3020</v>
      </c>
      <c r="F6271" s="11" t="s">
        <v>1700</v>
      </c>
      <c r="G6271" s="39" t="s">
        <v>3019</v>
      </c>
      <c r="I6271" s="7">
        <v>1</v>
      </c>
      <c r="J6271" s="17">
        <v>15</v>
      </c>
      <c r="K6271" s="17"/>
      <c r="L6271" s="7">
        <f>SUM(H6271:K6271)</f>
        <v>16</v>
      </c>
      <c r="M6271" s="8">
        <v>1</v>
      </c>
      <c r="N6271" s="8">
        <f>IF(L6271&gt;0,1,"")</f>
        <v>1</v>
      </c>
      <c r="O6271" s="11" t="s">
        <v>1702</v>
      </c>
      <c r="P6271" s="16" t="str">
        <f>IF(LEN(G6271)=10,CONCATENATE("0",G6271),G6271)</f>
        <v>10-Jan-1924</v>
      </c>
      <c r="R6271" s="16" t="str">
        <f t="shared" si="2695"/>
        <v>x</v>
      </c>
      <c r="S6271" s="16" t="str">
        <f t="shared" si="2695"/>
        <v>x</v>
      </c>
      <c r="U6271" s="46" t="str">
        <f t="shared" si="2691"/>
        <v/>
      </c>
      <c r="V6271" s="46">
        <f t="shared" si="2691"/>
        <v>16</v>
      </c>
      <c r="W6271" s="46" t="str">
        <f t="shared" si="2691"/>
        <v/>
      </c>
      <c r="X6271" s="46" t="str">
        <f t="shared" si="2691"/>
        <v/>
      </c>
    </row>
    <row r="6272" spans="2:24" x14ac:dyDescent="0.25">
      <c r="B6272" s="11" t="str">
        <f>CONCATENATE("SUFF","-",LEFT(P6272,2),UPPER(MID(P6272,4,3)),RIGHT(P6272,4))</f>
        <v>SUFF-20JUN1924</v>
      </c>
      <c r="C6272" s="11" t="s">
        <v>3018</v>
      </c>
      <c r="D6272" s="11" t="s">
        <v>1699</v>
      </c>
      <c r="E6272" s="39" t="s">
        <v>4341</v>
      </c>
      <c r="F6272" s="11" t="s">
        <v>1700</v>
      </c>
      <c r="G6272" s="39" t="s">
        <v>2830</v>
      </c>
      <c r="I6272" s="7">
        <v>2</v>
      </c>
      <c r="J6272" s="17">
        <f>6+1</f>
        <v>7</v>
      </c>
      <c r="K6272" s="17"/>
      <c r="L6272" s="7">
        <f>SUM(H6272:K6272)</f>
        <v>9</v>
      </c>
      <c r="M6272" s="8">
        <v>1</v>
      </c>
      <c r="N6272" s="8">
        <f>IF(L6272&gt;0,1,"")</f>
        <v>1</v>
      </c>
      <c r="O6272" s="11" t="s">
        <v>1702</v>
      </c>
      <c r="P6272" s="16" t="str">
        <f>IF(LEN(G6272)=10,CONCATENATE("0",G6272),G6272)</f>
        <v>20-Jun-1924</v>
      </c>
      <c r="R6272" s="16" t="str">
        <f t="shared" si="2695"/>
        <v>x</v>
      </c>
      <c r="S6272" s="16" t="str">
        <f t="shared" si="2695"/>
        <v>x</v>
      </c>
      <c r="U6272" s="46" t="str">
        <f>IF($O6272=U$5,$L6272,"")</f>
        <v/>
      </c>
      <c r="V6272" s="46">
        <f>IF($O6272=V$5,$L6272,"")</f>
        <v>9</v>
      </c>
      <c r="W6272" s="46" t="str">
        <f>IF($O6272=W$5,$L6272,"")</f>
        <v/>
      </c>
      <c r="X6272" s="46" t="str">
        <f>IF($O6272=X$5,$L6272,"")</f>
        <v/>
      </c>
    </row>
    <row r="6273" spans="2:24" x14ac:dyDescent="0.25">
      <c r="B6273" s="11" t="str">
        <f>CONCATENATE("SUFF","-",LEFT(P6273,2),UPPER(MID(P6273,4,3)),RIGHT(P6273,4))</f>
        <v>SUFF-25JUL1927</v>
      </c>
      <c r="C6273" s="11" t="s">
        <v>3018</v>
      </c>
      <c r="D6273" s="11" t="s">
        <v>1699</v>
      </c>
      <c r="E6273" s="39" t="s">
        <v>5572</v>
      </c>
      <c r="F6273" s="11" t="s">
        <v>1700</v>
      </c>
      <c r="G6273" s="39" t="s">
        <v>5573</v>
      </c>
      <c r="I6273" s="7">
        <f>1+1</f>
        <v>2</v>
      </c>
      <c r="J6273" s="17">
        <f>3+1</f>
        <v>4</v>
      </c>
      <c r="K6273" s="17"/>
      <c r="L6273" s="7">
        <f>SUM(H6273:K6273)</f>
        <v>6</v>
      </c>
      <c r="M6273" s="8">
        <v>1</v>
      </c>
      <c r="N6273" s="8">
        <f>IF(L6273&gt;0,1,"")</f>
        <v>1</v>
      </c>
      <c r="O6273" s="11" t="s">
        <v>1702</v>
      </c>
      <c r="P6273" s="16" t="str">
        <f>IF(LEN(G6273)=10,CONCATENATE("0",G6273),G6273)</f>
        <v>25-Jul-1927</v>
      </c>
      <c r="R6273" s="16" t="str">
        <f t="shared" si="2695"/>
        <v>x</v>
      </c>
      <c r="S6273" s="16" t="str">
        <f t="shared" si="2695"/>
        <v>x</v>
      </c>
      <c r="U6273" s="46" t="str">
        <f t="shared" si="2691"/>
        <v/>
      </c>
      <c r="V6273" s="46">
        <f t="shared" si="2691"/>
        <v>6</v>
      </c>
      <c r="W6273" s="46" t="str">
        <f t="shared" si="2691"/>
        <v/>
      </c>
      <c r="X6273" s="46" t="str">
        <f t="shared" si="2691"/>
        <v/>
      </c>
    </row>
    <row r="6274" spans="2:24" x14ac:dyDescent="0.25">
      <c r="N6274" s="8" t="str">
        <f>IF(R6274="x",1,"")</f>
        <v/>
      </c>
      <c r="U6274" s="46" t="str">
        <f t="shared" si="2691"/>
        <v/>
      </c>
      <c r="V6274" s="46" t="str">
        <f t="shared" si="2691"/>
        <v/>
      </c>
      <c r="W6274" s="46" t="str">
        <f t="shared" si="2691"/>
        <v/>
      </c>
      <c r="X6274" s="46" t="str">
        <f t="shared" si="2691"/>
        <v/>
      </c>
    </row>
    <row r="6275" spans="2:24" x14ac:dyDescent="0.25">
      <c r="B6275" s="18"/>
      <c r="C6275" s="18"/>
      <c r="D6275" s="18"/>
      <c r="E6275" s="40"/>
      <c r="F6275" s="18"/>
      <c r="G6275" s="40"/>
      <c r="H6275" s="7">
        <f t="shared" ref="H6275:N6275" si="2696">SUM(H6270:H6274)</f>
        <v>0</v>
      </c>
      <c r="I6275" s="7">
        <f t="shared" si="2696"/>
        <v>24</v>
      </c>
      <c r="J6275" s="7">
        <f>SUM(J6270:J6274)</f>
        <v>125</v>
      </c>
      <c r="K6275" s="7">
        <f t="shared" si="2696"/>
        <v>0</v>
      </c>
      <c r="L6275" s="7">
        <f t="shared" si="2696"/>
        <v>149</v>
      </c>
      <c r="M6275" s="7">
        <f t="shared" si="2696"/>
        <v>4</v>
      </c>
      <c r="N6275" s="7">
        <f t="shared" si="2696"/>
        <v>4</v>
      </c>
      <c r="O6275" s="18"/>
      <c r="P6275" s="13"/>
      <c r="Q6275" s="13"/>
      <c r="S6275" s="13"/>
      <c r="T6275" s="15"/>
      <c r="U6275" s="46" t="str">
        <f t="shared" si="2691"/>
        <v/>
      </c>
      <c r="V6275" s="46" t="str">
        <f t="shared" si="2691"/>
        <v/>
      </c>
      <c r="W6275" s="46" t="str">
        <f t="shared" si="2691"/>
        <v/>
      </c>
      <c r="X6275" s="46" t="str">
        <f t="shared" si="2691"/>
        <v/>
      </c>
    </row>
    <row r="6276" spans="2:24" x14ac:dyDescent="0.25">
      <c r="B6276" s="18"/>
      <c r="C6276" s="18"/>
      <c r="D6276" s="18"/>
      <c r="E6276" s="40"/>
      <c r="F6276" s="18"/>
      <c r="G6276" s="40"/>
      <c r="N6276" s="8" t="str">
        <f>IF(R6276="x",1,"")</f>
        <v/>
      </c>
      <c r="O6276" s="18"/>
      <c r="P6276" s="13"/>
      <c r="Q6276" s="13"/>
      <c r="R6276" s="13"/>
      <c r="S6276" s="13"/>
      <c r="T6276" s="15"/>
      <c r="U6276" s="46" t="str">
        <f t="shared" ref="U6276:X6280" si="2697">IF($O6276=U$5,$L6276,"")</f>
        <v/>
      </c>
      <c r="V6276" s="46" t="str">
        <f t="shared" si="2697"/>
        <v/>
      </c>
      <c r="W6276" s="46" t="str">
        <f t="shared" si="2697"/>
        <v/>
      </c>
      <c r="X6276" s="46" t="str">
        <f t="shared" si="2697"/>
        <v/>
      </c>
    </row>
    <row r="6277" spans="2:24" x14ac:dyDescent="0.25">
      <c r="B6277" s="18"/>
      <c r="C6277" s="18"/>
      <c r="D6277" s="18"/>
      <c r="E6277" s="40"/>
      <c r="F6277" s="18"/>
      <c r="G6277" s="40"/>
      <c r="N6277" s="8" t="str">
        <f>IF(R6277="x",1,"")</f>
        <v/>
      </c>
      <c r="O6277" s="18"/>
      <c r="P6277" s="13"/>
      <c r="Q6277" s="13"/>
      <c r="R6277" s="13"/>
      <c r="S6277" s="13"/>
      <c r="T6277" s="15"/>
      <c r="U6277" s="46" t="str">
        <f t="shared" si="2697"/>
        <v/>
      </c>
      <c r="V6277" s="46" t="str">
        <f t="shared" si="2697"/>
        <v/>
      </c>
      <c r="W6277" s="46" t="str">
        <f t="shared" si="2697"/>
        <v/>
      </c>
      <c r="X6277" s="46" t="str">
        <f t="shared" si="2697"/>
        <v/>
      </c>
    </row>
    <row r="6278" spans="2:24" x14ac:dyDescent="0.25">
      <c r="B6278" s="11" t="str">
        <f>CONCATENATE("SULT","-",LEFT(P6278,2),UPPER(MID(P6278,4,3)),RIGHT(P6278,4))</f>
        <v>SULT-01DEC1853</v>
      </c>
      <c r="C6278" s="11" t="s">
        <v>11286</v>
      </c>
      <c r="D6278" s="11" t="s">
        <v>2983</v>
      </c>
      <c r="F6278" s="11" t="s">
        <v>3050</v>
      </c>
      <c r="G6278" s="39" t="s">
        <v>11287</v>
      </c>
      <c r="J6278" s="17">
        <v>3</v>
      </c>
      <c r="K6278" s="17"/>
      <c r="L6278" s="7">
        <f>SUM(H6278:K6278)</f>
        <v>3</v>
      </c>
      <c r="M6278" s="8">
        <v>1</v>
      </c>
      <c r="N6278" s="8">
        <f>IF(L6278&gt;0,1,"")</f>
        <v>1</v>
      </c>
      <c r="O6278" s="11" t="s">
        <v>1702</v>
      </c>
      <c r="P6278" s="16" t="str">
        <f>IF(LEN(G6278)=10,CONCATENATE("0",G6278),G6278)</f>
        <v>01-Dec-1853</v>
      </c>
      <c r="R6278" s="16" t="str">
        <f>IF($L6278&gt;0,"x","")</f>
        <v>x</v>
      </c>
      <c r="S6278" s="16" t="str">
        <f>IF($L6278&gt;0,"x","")</f>
        <v>x</v>
      </c>
      <c r="U6278" s="46" t="str">
        <f t="shared" si="2697"/>
        <v/>
      </c>
      <c r="V6278" s="46">
        <f t="shared" si="2697"/>
        <v>3</v>
      </c>
      <c r="W6278" s="46" t="str">
        <f t="shared" si="2697"/>
        <v/>
      </c>
      <c r="X6278" s="46" t="str">
        <f t="shared" si="2697"/>
        <v/>
      </c>
    </row>
    <row r="6279" spans="2:24" x14ac:dyDescent="0.25">
      <c r="N6279" s="8" t="str">
        <f>IF(R6279="x",1,"")</f>
        <v/>
      </c>
      <c r="U6279" s="46" t="str">
        <f t="shared" si="2697"/>
        <v/>
      </c>
      <c r="V6279" s="46" t="str">
        <f t="shared" si="2697"/>
        <v/>
      </c>
      <c r="W6279" s="46" t="str">
        <f t="shared" si="2697"/>
        <v/>
      </c>
      <c r="X6279" s="46" t="str">
        <f t="shared" si="2697"/>
        <v/>
      </c>
    </row>
    <row r="6280" spans="2:24" x14ac:dyDescent="0.25">
      <c r="B6280" s="18"/>
      <c r="C6280" s="18"/>
      <c r="D6280" s="18"/>
      <c r="E6280" s="40"/>
      <c r="F6280" s="18"/>
      <c r="G6280" s="40"/>
      <c r="H6280" s="7">
        <f t="shared" ref="H6280:N6280" si="2698">SUM(H6278:H6279)</f>
        <v>0</v>
      </c>
      <c r="I6280" s="7">
        <f t="shared" si="2698"/>
        <v>0</v>
      </c>
      <c r="J6280" s="7">
        <f t="shared" si="2698"/>
        <v>3</v>
      </c>
      <c r="K6280" s="7">
        <f t="shared" si="2698"/>
        <v>0</v>
      </c>
      <c r="L6280" s="7">
        <f t="shared" si="2698"/>
        <v>3</v>
      </c>
      <c r="M6280" s="7">
        <f t="shared" si="2698"/>
        <v>1</v>
      </c>
      <c r="N6280" s="7">
        <f t="shared" si="2698"/>
        <v>1</v>
      </c>
      <c r="O6280" s="18"/>
      <c r="P6280" s="13"/>
      <c r="Q6280" s="13"/>
      <c r="S6280" s="13"/>
      <c r="T6280" s="15"/>
      <c r="U6280" s="46" t="str">
        <f t="shared" si="2697"/>
        <v/>
      </c>
      <c r="V6280" s="46" t="str">
        <f t="shared" si="2697"/>
        <v/>
      </c>
      <c r="W6280" s="46" t="str">
        <f t="shared" si="2697"/>
        <v/>
      </c>
      <c r="X6280" s="46" t="str">
        <f t="shared" si="2697"/>
        <v/>
      </c>
    </row>
    <row r="6281" spans="2:24" x14ac:dyDescent="0.25">
      <c r="B6281" s="18"/>
      <c r="C6281" s="18"/>
      <c r="D6281" s="18"/>
      <c r="E6281" s="40"/>
      <c r="F6281" s="18"/>
      <c r="G6281" s="40"/>
      <c r="N6281" s="8" t="str">
        <f>IF(R6281="x",1,"")</f>
        <v/>
      </c>
      <c r="O6281" s="18"/>
      <c r="P6281" s="13"/>
      <c r="Q6281" s="13"/>
      <c r="R6281" s="13"/>
      <c r="S6281" s="13"/>
      <c r="T6281" s="15"/>
      <c r="U6281" s="46" t="str">
        <f t="shared" si="2691"/>
        <v/>
      </c>
      <c r="V6281" s="46" t="str">
        <f t="shared" si="2691"/>
        <v/>
      </c>
      <c r="W6281" s="46" t="str">
        <f t="shared" si="2691"/>
        <v/>
      </c>
      <c r="X6281" s="46" t="str">
        <f t="shared" si="2691"/>
        <v/>
      </c>
    </row>
    <row r="6282" spans="2:24" x14ac:dyDescent="0.25">
      <c r="B6282" s="18"/>
      <c r="C6282" s="18"/>
      <c r="D6282" s="18"/>
      <c r="E6282" s="40"/>
      <c r="F6282" s="18"/>
      <c r="G6282" s="40"/>
      <c r="N6282" s="8" t="str">
        <f>IF(R6282="x",1,"")</f>
        <v/>
      </c>
      <c r="O6282" s="18"/>
      <c r="P6282" s="13"/>
      <c r="Q6282" s="13"/>
      <c r="R6282" s="13"/>
      <c r="S6282" s="13"/>
      <c r="T6282" s="15"/>
      <c r="U6282" s="46" t="str">
        <f t="shared" si="2691"/>
        <v/>
      </c>
      <c r="V6282" s="46" t="str">
        <f t="shared" si="2691"/>
        <v/>
      </c>
      <c r="W6282" s="46" t="str">
        <f t="shared" si="2691"/>
        <v/>
      </c>
      <c r="X6282" s="46" t="str">
        <f t="shared" si="2691"/>
        <v/>
      </c>
    </row>
    <row r="6283" spans="2:24" x14ac:dyDescent="0.25">
      <c r="B6283" s="11" t="str">
        <f>CONCATENATE("SURR","-",LEFT(P6283,2),UPPER(MID(P6283,4,3)),RIGHT(P6283,4))</f>
        <v>SURR-30OCT1882</v>
      </c>
      <c r="C6283" s="11" t="s">
        <v>4119</v>
      </c>
      <c r="D6283" s="11" t="s">
        <v>2102</v>
      </c>
      <c r="F6283" s="11" t="s">
        <v>1700</v>
      </c>
      <c r="G6283" s="39" t="s">
        <v>4120</v>
      </c>
      <c r="J6283" s="17">
        <v>30</v>
      </c>
      <c r="K6283" s="17"/>
      <c r="L6283" s="7">
        <f>SUM(H6283:K6283)</f>
        <v>30</v>
      </c>
      <c r="M6283" s="8">
        <v>1</v>
      </c>
      <c r="N6283" s="8">
        <f>IF(L6283&gt;0,1,"")</f>
        <v>1</v>
      </c>
      <c r="O6283" s="11" t="s">
        <v>1702</v>
      </c>
      <c r="P6283" s="16" t="str">
        <f>IF(LEN(G6283)=10,CONCATENATE("0",G6283),G6283)</f>
        <v>30-Oct-1882</v>
      </c>
      <c r="R6283" s="16" t="str">
        <f>IF($L6283&gt;0,"x","")</f>
        <v>x</v>
      </c>
      <c r="S6283" s="16" t="str">
        <f>IF($L6283&gt;0,"x","")</f>
        <v>x</v>
      </c>
      <c r="U6283" s="46" t="str">
        <f t="shared" si="2691"/>
        <v/>
      </c>
      <c r="V6283" s="46">
        <f t="shared" si="2691"/>
        <v>30</v>
      </c>
      <c r="W6283" s="46" t="str">
        <f t="shared" si="2691"/>
        <v/>
      </c>
      <c r="X6283" s="46" t="str">
        <f t="shared" si="2691"/>
        <v/>
      </c>
    </row>
    <row r="6284" spans="2:24" x14ac:dyDescent="0.25">
      <c r="N6284" s="8" t="str">
        <f>IF(R6284="x",1,"")</f>
        <v/>
      </c>
      <c r="U6284" s="46" t="str">
        <f t="shared" si="2691"/>
        <v/>
      </c>
      <c r="V6284" s="46" t="str">
        <f t="shared" si="2691"/>
        <v/>
      </c>
      <c r="W6284" s="46" t="str">
        <f t="shared" si="2691"/>
        <v/>
      </c>
      <c r="X6284" s="46" t="str">
        <f t="shared" si="2691"/>
        <v/>
      </c>
    </row>
    <row r="6285" spans="2:24" x14ac:dyDescent="0.25">
      <c r="B6285" s="18"/>
      <c r="C6285" s="18"/>
      <c r="D6285" s="18"/>
      <c r="E6285" s="40"/>
      <c r="F6285" s="18"/>
      <c r="G6285" s="40"/>
      <c r="H6285" s="7">
        <f t="shared" ref="H6285:N6285" si="2699">SUM(H6283:H6284)</f>
        <v>0</v>
      </c>
      <c r="I6285" s="7">
        <f t="shared" si="2699"/>
        <v>0</v>
      </c>
      <c r="J6285" s="7">
        <f>SUM(J6283:J6284)</f>
        <v>30</v>
      </c>
      <c r="K6285" s="7">
        <f t="shared" si="2699"/>
        <v>0</v>
      </c>
      <c r="L6285" s="7">
        <f t="shared" si="2699"/>
        <v>30</v>
      </c>
      <c r="M6285" s="7">
        <f t="shared" si="2699"/>
        <v>1</v>
      </c>
      <c r="N6285" s="7">
        <f t="shared" si="2699"/>
        <v>1</v>
      </c>
      <c r="O6285" s="18"/>
      <c r="P6285" s="13"/>
      <c r="Q6285" s="13"/>
      <c r="S6285" s="13"/>
      <c r="T6285" s="15"/>
      <c r="U6285" s="46" t="str">
        <f t="shared" si="2691"/>
        <v/>
      </c>
      <c r="V6285" s="46" t="str">
        <f t="shared" si="2691"/>
        <v/>
      </c>
      <c r="W6285" s="46" t="str">
        <f t="shared" si="2691"/>
        <v/>
      </c>
      <c r="X6285" s="46" t="str">
        <f t="shared" si="2691"/>
        <v/>
      </c>
    </row>
    <row r="6286" spans="2:24" x14ac:dyDescent="0.25">
      <c r="B6286" s="18"/>
      <c r="C6286" s="18"/>
      <c r="D6286" s="18"/>
      <c r="E6286" s="40"/>
      <c r="F6286" s="18"/>
      <c r="G6286" s="40"/>
      <c r="N6286" s="8" t="str">
        <f>IF(R6286="x",1,"")</f>
        <v/>
      </c>
      <c r="O6286" s="18"/>
      <c r="P6286" s="13"/>
      <c r="Q6286" s="13"/>
      <c r="R6286" s="13"/>
      <c r="S6286" s="13"/>
      <c r="T6286" s="15"/>
      <c r="U6286" s="46" t="str">
        <f t="shared" si="2691"/>
        <v/>
      </c>
      <c r="V6286" s="46" t="str">
        <f t="shared" si="2691"/>
        <v/>
      </c>
      <c r="W6286" s="46" t="str">
        <f t="shared" si="2691"/>
        <v/>
      </c>
      <c r="X6286" s="46" t="str">
        <f t="shared" si="2691"/>
        <v/>
      </c>
    </row>
    <row r="6287" spans="2:24" x14ac:dyDescent="0.25">
      <c r="B6287" s="18"/>
      <c r="C6287" s="18"/>
      <c r="D6287" s="18"/>
      <c r="E6287" s="40"/>
      <c r="F6287" s="18"/>
      <c r="G6287" s="40"/>
      <c r="N6287" s="8" t="str">
        <f>IF(R6287="x",1,"")</f>
        <v/>
      </c>
      <c r="O6287" s="18"/>
      <c r="P6287" s="13"/>
      <c r="Q6287" s="13"/>
      <c r="R6287" s="13"/>
      <c r="S6287" s="13"/>
      <c r="T6287" s="15"/>
      <c r="U6287" s="46" t="str">
        <f t="shared" si="2691"/>
        <v/>
      </c>
      <c r="V6287" s="46" t="str">
        <f t="shared" si="2691"/>
        <v/>
      </c>
      <c r="W6287" s="46" t="str">
        <f t="shared" si="2691"/>
        <v/>
      </c>
      <c r="X6287" s="46" t="str">
        <f t="shared" si="2691"/>
        <v/>
      </c>
    </row>
    <row r="6288" spans="2:24" x14ac:dyDescent="0.25">
      <c r="B6288" s="11" t="str">
        <f>CONCATENATE("SUSQ","-",LEFT(P6288,2),UPPER(MID(P6288,4,3)),RIGHT(P6288,4))</f>
        <v>SUSQ-11MAR1920</v>
      </c>
      <c r="C6288" s="11" t="s">
        <v>4143</v>
      </c>
      <c r="D6288" s="11" t="s">
        <v>1906</v>
      </c>
      <c r="E6288" s="39" t="s">
        <v>5486</v>
      </c>
      <c r="F6288" s="11" t="s">
        <v>1700</v>
      </c>
      <c r="G6288" s="39" t="s">
        <v>5487</v>
      </c>
      <c r="J6288" s="17">
        <v>30</v>
      </c>
      <c r="K6288" s="17"/>
      <c r="L6288" s="7">
        <f>SUM(H6288:K6288)</f>
        <v>30</v>
      </c>
      <c r="M6288" s="8">
        <v>1</v>
      </c>
      <c r="N6288" s="8">
        <f>IF(L6288&gt;0,1,"")</f>
        <v>1</v>
      </c>
      <c r="O6288" s="11" t="s">
        <v>1702</v>
      </c>
      <c r="P6288" s="16" t="str">
        <f>IF(LEN(G6288)=10,CONCATENATE("0",G6288),G6288)</f>
        <v>11-Mar-1920</v>
      </c>
      <c r="R6288" s="16" t="str">
        <f t="shared" ref="R6288:S6290" si="2700">IF($L6288&gt;0,"x","")</f>
        <v>x</v>
      </c>
      <c r="S6288" s="16" t="str">
        <f t="shared" si="2700"/>
        <v>x</v>
      </c>
      <c r="U6288" s="46" t="str">
        <f t="shared" si="2691"/>
        <v/>
      </c>
      <c r="V6288" s="46">
        <f t="shared" si="2691"/>
        <v>30</v>
      </c>
      <c r="W6288" s="46" t="str">
        <f t="shared" si="2691"/>
        <v/>
      </c>
      <c r="X6288" s="46" t="str">
        <f t="shared" si="2691"/>
        <v/>
      </c>
    </row>
    <row r="6289" spans="2:24" x14ac:dyDescent="0.25">
      <c r="B6289" s="11" t="str">
        <f>CONCATENATE("SUSQ","-",LEFT(P6289,2),UPPER(MID(P6289,4,3)),RIGHT(P6289,4))</f>
        <v>SUSQ-02JUN1920</v>
      </c>
      <c r="C6289" s="11" t="s">
        <v>4143</v>
      </c>
      <c r="D6289" s="11" t="s">
        <v>3064</v>
      </c>
      <c r="E6289" s="39" t="s">
        <v>6251</v>
      </c>
      <c r="F6289" s="11" t="s">
        <v>1700</v>
      </c>
      <c r="G6289" s="39" t="s">
        <v>4145</v>
      </c>
      <c r="I6289" s="7">
        <v>0</v>
      </c>
      <c r="J6289" s="17">
        <v>44</v>
      </c>
      <c r="K6289" s="17"/>
      <c r="L6289" s="7">
        <f>SUM(H6289:K6289)</f>
        <v>44</v>
      </c>
      <c r="M6289" s="8">
        <v>1</v>
      </c>
      <c r="N6289" s="8">
        <f>IF(L6289&gt;0,1,"")</f>
        <v>1</v>
      </c>
      <c r="O6289" s="11" t="s">
        <v>1702</v>
      </c>
      <c r="P6289" s="16" t="str">
        <f>IF(LEN(G6289)=10,CONCATENATE("0",G6289),G6289)</f>
        <v>02-Jun-1920</v>
      </c>
      <c r="R6289" s="16" t="str">
        <f t="shared" si="2700"/>
        <v>x</v>
      </c>
      <c r="S6289" s="16" t="str">
        <f t="shared" si="2700"/>
        <v>x</v>
      </c>
      <c r="U6289" s="46" t="str">
        <f t="shared" ref="U6289:X6290" si="2701">IF($O6289=U$5,$L6289,"")</f>
        <v/>
      </c>
      <c r="V6289" s="46">
        <f t="shared" si="2701"/>
        <v>44</v>
      </c>
      <c r="W6289" s="46" t="str">
        <f t="shared" si="2701"/>
        <v/>
      </c>
      <c r="X6289" s="46" t="str">
        <f t="shared" si="2701"/>
        <v/>
      </c>
    </row>
    <row r="6290" spans="2:24" x14ac:dyDescent="0.25">
      <c r="B6290" s="11" t="str">
        <f>CONCATENATE("SUSQ","-",LEFT(P6290,2),UPPER(MID(P6290,4,3)),RIGHT(P6290,4))</f>
        <v>SUSQ-02JUN1920</v>
      </c>
      <c r="C6290" s="11" t="s">
        <v>4143</v>
      </c>
      <c r="D6290" s="11" t="s">
        <v>1906</v>
      </c>
      <c r="E6290" s="39" t="s">
        <v>4144</v>
      </c>
      <c r="F6290" s="11" t="s">
        <v>1700</v>
      </c>
      <c r="G6290" s="39" t="s">
        <v>4145</v>
      </c>
      <c r="I6290" s="7">
        <v>17</v>
      </c>
      <c r="J6290" s="17">
        <f>90+1</f>
        <v>91</v>
      </c>
      <c r="K6290" s="17"/>
      <c r="L6290" s="7">
        <f>SUM(H6290:K6290)</f>
        <v>108</v>
      </c>
      <c r="M6290" s="8">
        <v>1</v>
      </c>
      <c r="N6290" s="8">
        <f>IF(L6290&gt;0,1,"")</f>
        <v>1</v>
      </c>
      <c r="O6290" s="11" t="s">
        <v>1702</v>
      </c>
      <c r="P6290" s="16" t="str">
        <f>IF(LEN(G6290)=10,CONCATENATE("0",G6290),G6290)</f>
        <v>02-Jun-1920</v>
      </c>
      <c r="R6290" s="16" t="str">
        <f t="shared" si="2700"/>
        <v>x</v>
      </c>
      <c r="S6290" s="16" t="str">
        <f t="shared" si="2700"/>
        <v>x</v>
      </c>
      <c r="U6290" s="46" t="str">
        <f t="shared" si="2701"/>
        <v/>
      </c>
      <c r="V6290" s="46">
        <f t="shared" si="2701"/>
        <v>108</v>
      </c>
      <c r="W6290" s="46" t="str">
        <f t="shared" si="2701"/>
        <v/>
      </c>
      <c r="X6290" s="46" t="str">
        <f t="shared" si="2701"/>
        <v/>
      </c>
    </row>
    <row r="6291" spans="2:24" x14ac:dyDescent="0.25">
      <c r="N6291" s="8" t="str">
        <f>IF(R6291="x",1,"")</f>
        <v/>
      </c>
      <c r="U6291" s="46" t="str">
        <f t="shared" si="2691"/>
        <v/>
      </c>
      <c r="V6291" s="46" t="str">
        <f t="shared" si="2691"/>
        <v/>
      </c>
      <c r="W6291" s="46" t="str">
        <f t="shared" si="2691"/>
        <v/>
      </c>
      <c r="X6291" s="46" t="str">
        <f t="shared" si="2691"/>
        <v/>
      </c>
    </row>
    <row r="6292" spans="2:24" x14ac:dyDescent="0.25">
      <c r="B6292" s="18"/>
      <c r="C6292" s="18"/>
      <c r="D6292" s="18"/>
      <c r="E6292" s="40"/>
      <c r="F6292" s="18"/>
      <c r="G6292" s="40"/>
      <c r="H6292" s="7">
        <f t="shared" ref="H6292:N6292" si="2702">SUM(H6288:H6291)</f>
        <v>0</v>
      </c>
      <c r="I6292" s="7">
        <f t="shared" si="2702"/>
        <v>17</v>
      </c>
      <c r="J6292" s="7">
        <f>SUM(J6288:J6291)</f>
        <v>165</v>
      </c>
      <c r="K6292" s="7">
        <f t="shared" si="2702"/>
        <v>0</v>
      </c>
      <c r="L6292" s="7">
        <f t="shared" si="2702"/>
        <v>182</v>
      </c>
      <c r="M6292" s="7">
        <f t="shared" si="2702"/>
        <v>3</v>
      </c>
      <c r="N6292" s="7">
        <f t="shared" si="2702"/>
        <v>3</v>
      </c>
      <c r="O6292" s="18"/>
      <c r="P6292" s="13"/>
      <c r="Q6292" s="13"/>
      <c r="S6292" s="13"/>
      <c r="T6292" s="15"/>
      <c r="U6292" s="46" t="str">
        <f t="shared" si="2691"/>
        <v/>
      </c>
      <c r="V6292" s="46" t="str">
        <f t="shared" si="2691"/>
        <v/>
      </c>
      <c r="W6292" s="46" t="str">
        <f t="shared" si="2691"/>
        <v/>
      </c>
      <c r="X6292" s="46" t="str">
        <f t="shared" si="2691"/>
        <v/>
      </c>
    </row>
    <row r="6293" spans="2:24" x14ac:dyDescent="0.25">
      <c r="B6293" s="18"/>
      <c r="C6293" s="18"/>
      <c r="D6293" s="18"/>
      <c r="E6293" s="40"/>
      <c r="F6293" s="18"/>
      <c r="G6293" s="40"/>
      <c r="N6293" s="8" t="str">
        <f>IF(R6293="x",1,"")</f>
        <v/>
      </c>
      <c r="O6293" s="18"/>
      <c r="P6293" s="13"/>
      <c r="Q6293" s="13"/>
      <c r="R6293" s="13"/>
      <c r="S6293" s="13"/>
      <c r="T6293" s="15"/>
      <c r="U6293" s="46" t="str">
        <f t="shared" si="2691"/>
        <v/>
      </c>
      <c r="V6293" s="46" t="str">
        <f t="shared" si="2691"/>
        <v/>
      </c>
      <c r="W6293" s="46" t="str">
        <f t="shared" si="2691"/>
        <v/>
      </c>
      <c r="X6293" s="46" t="str">
        <f t="shared" si="2691"/>
        <v/>
      </c>
    </row>
    <row r="6294" spans="2:24" x14ac:dyDescent="0.25">
      <c r="B6294" s="18"/>
      <c r="C6294" s="18"/>
      <c r="D6294" s="18"/>
      <c r="E6294" s="40"/>
      <c r="F6294" s="18"/>
      <c r="G6294" s="40"/>
      <c r="N6294" s="8" t="str">
        <f>IF(R6294="x",1,"")</f>
        <v/>
      </c>
      <c r="O6294" s="18"/>
      <c r="P6294" s="13"/>
      <c r="Q6294" s="13"/>
      <c r="R6294" s="13"/>
      <c r="S6294" s="13"/>
      <c r="T6294" s="15"/>
      <c r="U6294" s="46" t="str">
        <f t="shared" si="2691"/>
        <v/>
      </c>
      <c r="V6294" s="46" t="str">
        <f t="shared" si="2691"/>
        <v/>
      </c>
      <c r="W6294" s="46" t="str">
        <f t="shared" si="2691"/>
        <v/>
      </c>
      <c r="X6294" s="46" t="str">
        <f t="shared" si="2691"/>
        <v/>
      </c>
    </row>
    <row r="6295" spans="2:24" x14ac:dyDescent="0.25">
      <c r="B6295" s="11" t="str">
        <f>CONCATENATE("SUMR","-",LEFT(P6295,2),UPPER(MID(P6295,4,3)),RIGHT(P6295,4))</f>
        <v>SUMR-03SEP1919</v>
      </c>
      <c r="C6295" s="11" t="s">
        <v>3755</v>
      </c>
      <c r="D6295" s="11" t="s">
        <v>2440</v>
      </c>
      <c r="E6295" s="39" t="s">
        <v>2018</v>
      </c>
      <c r="F6295" s="11" t="s">
        <v>3366</v>
      </c>
      <c r="G6295" s="39" t="s">
        <v>4421</v>
      </c>
      <c r="H6295" s="7">
        <v>0</v>
      </c>
      <c r="I6295" s="7">
        <v>0</v>
      </c>
      <c r="J6295" s="17">
        <v>2</v>
      </c>
      <c r="K6295" s="17"/>
      <c r="L6295" s="7">
        <f>SUM(H6295:K6295)</f>
        <v>2</v>
      </c>
      <c r="M6295" s="8">
        <v>1</v>
      </c>
      <c r="N6295" s="8">
        <f>IF(L6295&gt;0,1,"")</f>
        <v>1</v>
      </c>
      <c r="O6295" s="11" t="s">
        <v>1702</v>
      </c>
      <c r="P6295" s="16" t="str">
        <f>IF(LEN(G6295)=10,CONCATENATE("0",G6295),G6295)</f>
        <v>03-Sep-1919</v>
      </c>
      <c r="R6295" s="16" t="str">
        <f t="shared" ref="R6295:S6297" si="2703">IF($L6295&gt;0,"x","")</f>
        <v>x</v>
      </c>
      <c r="S6295" s="16" t="str">
        <f t="shared" si="2703"/>
        <v>x</v>
      </c>
      <c r="U6295" s="46" t="str">
        <f t="shared" si="2691"/>
        <v/>
      </c>
      <c r="V6295" s="46">
        <f t="shared" si="2691"/>
        <v>2</v>
      </c>
      <c r="W6295" s="46" t="str">
        <f t="shared" si="2691"/>
        <v/>
      </c>
      <c r="X6295" s="46" t="str">
        <f t="shared" si="2691"/>
        <v/>
      </c>
    </row>
    <row r="6296" spans="2:24" x14ac:dyDescent="0.25">
      <c r="B6296" s="11" t="str">
        <f>CONCATENATE("SUMR","-",LEFT(P6296,2),UPPER(MID(P6296,4,3)),RIGHT(P6296,4))</f>
        <v>SUMR-02DEC1919</v>
      </c>
      <c r="C6296" s="11" t="s">
        <v>3755</v>
      </c>
      <c r="D6296" s="11" t="s">
        <v>2440</v>
      </c>
      <c r="E6296" s="39" t="s">
        <v>3756</v>
      </c>
      <c r="F6296" s="11" t="s">
        <v>3366</v>
      </c>
      <c r="G6296" s="39" t="s">
        <v>3757</v>
      </c>
      <c r="H6296" s="7">
        <v>0</v>
      </c>
      <c r="J6296" s="17">
        <v>7</v>
      </c>
      <c r="K6296" s="17"/>
      <c r="L6296" s="7">
        <f>SUM(H6296:K6296)</f>
        <v>7</v>
      </c>
      <c r="M6296" s="8">
        <v>1</v>
      </c>
      <c r="N6296" s="8">
        <f>IF(L6296&gt;0,1,"")</f>
        <v>1</v>
      </c>
      <c r="O6296" s="11" t="s">
        <v>1702</v>
      </c>
      <c r="P6296" s="16" t="str">
        <f>IF(LEN(G6296)=10,CONCATENATE("0",G6296),G6296)</f>
        <v>02-Dec-1919</v>
      </c>
      <c r="R6296" s="16" t="str">
        <f t="shared" si="2703"/>
        <v>x</v>
      </c>
      <c r="S6296" s="16" t="str">
        <f t="shared" si="2703"/>
        <v>x</v>
      </c>
      <c r="U6296" s="46" t="str">
        <f>IF($O6296=U$5,$L6296,"")</f>
        <v/>
      </c>
      <c r="V6296" s="46">
        <f>IF($O6296=V$5,$L6296,"")</f>
        <v>7</v>
      </c>
      <c r="W6296" s="46" t="str">
        <f>IF($O6296=W$5,$L6296,"")</f>
        <v/>
      </c>
      <c r="X6296" s="46" t="str">
        <f>IF($O6296=X$5,$L6296,"")</f>
        <v/>
      </c>
    </row>
    <row r="6297" spans="2:24" x14ac:dyDescent="0.25">
      <c r="B6297" s="11" t="str">
        <f>CONCATENATE("SUMR","-",LEFT(P6297,2),UPPER(MID(P6297,4,3)),RIGHT(P6297,4))</f>
        <v>SUMR-21DEC1920</v>
      </c>
      <c r="C6297" s="11" t="s">
        <v>3755</v>
      </c>
      <c r="D6297" s="11" t="s">
        <v>2440</v>
      </c>
      <c r="E6297" s="39" t="s">
        <v>4164</v>
      </c>
      <c r="F6297" s="11" t="s">
        <v>3366</v>
      </c>
      <c r="G6297" s="39" t="s">
        <v>3292</v>
      </c>
      <c r="H6297" s="7">
        <v>0</v>
      </c>
      <c r="I6297" s="7">
        <v>2</v>
      </c>
      <c r="J6297" s="17">
        <v>1</v>
      </c>
      <c r="K6297" s="17"/>
      <c r="L6297" s="7">
        <f>SUM(H6297:K6297)</f>
        <v>3</v>
      </c>
      <c r="M6297" s="8">
        <v>1</v>
      </c>
      <c r="N6297" s="8">
        <f>IF(L6297&gt;0,1,"")</f>
        <v>1</v>
      </c>
      <c r="O6297" s="11" t="s">
        <v>1702</v>
      </c>
      <c r="P6297" s="16" t="str">
        <f>IF(LEN(G6297)=10,CONCATENATE("0",G6297),G6297)</f>
        <v>21-Dec-1920</v>
      </c>
      <c r="R6297" s="16" t="str">
        <f t="shared" si="2703"/>
        <v>x</v>
      </c>
      <c r="S6297" s="16" t="str">
        <f t="shared" si="2703"/>
        <v>x</v>
      </c>
      <c r="U6297" s="46" t="str">
        <f t="shared" si="2691"/>
        <v/>
      </c>
      <c r="V6297" s="46">
        <f t="shared" si="2691"/>
        <v>3</v>
      </c>
      <c r="W6297" s="46" t="str">
        <f t="shared" si="2691"/>
        <v/>
      </c>
      <c r="X6297" s="46" t="str">
        <f t="shared" si="2691"/>
        <v/>
      </c>
    </row>
    <row r="6298" spans="2:24" x14ac:dyDescent="0.25">
      <c r="N6298" s="8" t="str">
        <f>IF(R6298="x",1,"")</f>
        <v/>
      </c>
      <c r="U6298" s="46" t="str">
        <f t="shared" si="2691"/>
        <v/>
      </c>
      <c r="V6298" s="46" t="str">
        <f t="shared" si="2691"/>
        <v/>
      </c>
      <c r="W6298" s="46" t="str">
        <f t="shared" si="2691"/>
        <v/>
      </c>
      <c r="X6298" s="46" t="str">
        <f t="shared" si="2691"/>
        <v/>
      </c>
    </row>
    <row r="6299" spans="2:24" x14ac:dyDescent="0.25">
      <c r="B6299" s="18"/>
      <c r="C6299" s="18"/>
      <c r="D6299" s="18"/>
      <c r="E6299" s="40"/>
      <c r="F6299" s="18"/>
      <c r="G6299" s="40"/>
      <c r="H6299" s="7">
        <f t="shared" ref="H6299:N6299" si="2704">SUM(H6295:H6298)</f>
        <v>0</v>
      </c>
      <c r="I6299" s="7">
        <f t="shared" si="2704"/>
        <v>2</v>
      </c>
      <c r="J6299" s="7">
        <f>SUM(J6295:J6298)</f>
        <v>10</v>
      </c>
      <c r="K6299" s="7">
        <f t="shared" si="2704"/>
        <v>0</v>
      </c>
      <c r="L6299" s="7">
        <f t="shared" si="2704"/>
        <v>12</v>
      </c>
      <c r="M6299" s="7">
        <f t="shared" si="2704"/>
        <v>3</v>
      </c>
      <c r="N6299" s="7">
        <f t="shared" si="2704"/>
        <v>3</v>
      </c>
      <c r="O6299" s="18"/>
      <c r="P6299" s="13"/>
      <c r="Q6299" s="13"/>
      <c r="S6299" s="13"/>
      <c r="T6299" s="15"/>
      <c r="U6299" s="46" t="str">
        <f t="shared" si="2691"/>
        <v/>
      </c>
      <c r="V6299" s="46" t="str">
        <f t="shared" si="2691"/>
        <v/>
      </c>
      <c r="W6299" s="46" t="str">
        <f t="shared" si="2691"/>
        <v/>
      </c>
      <c r="X6299" s="46" t="str">
        <f t="shared" si="2691"/>
        <v/>
      </c>
    </row>
    <row r="6300" spans="2:24" x14ac:dyDescent="0.25">
      <c r="B6300" s="18"/>
      <c r="C6300" s="18"/>
      <c r="D6300" s="18"/>
      <c r="E6300" s="40"/>
      <c r="F6300" s="18"/>
      <c r="G6300" s="40"/>
      <c r="N6300" s="8" t="str">
        <f>IF(R6300="x",1,"")</f>
        <v/>
      </c>
      <c r="O6300" s="18"/>
      <c r="P6300" s="13"/>
      <c r="Q6300" s="13"/>
      <c r="R6300" s="13"/>
      <c r="S6300" s="13"/>
      <c r="T6300" s="15"/>
      <c r="U6300" s="46" t="str">
        <f t="shared" ref="U6300:X6305" si="2705">IF($O6300=U$5,$L6300,"")</f>
        <v/>
      </c>
      <c r="V6300" s="46" t="str">
        <f t="shared" si="2705"/>
        <v/>
      </c>
      <c r="W6300" s="46" t="str">
        <f t="shared" si="2705"/>
        <v/>
      </c>
      <c r="X6300" s="46" t="str">
        <f t="shared" si="2705"/>
        <v/>
      </c>
    </row>
    <row r="6301" spans="2:24" x14ac:dyDescent="0.25">
      <c r="B6301" s="18"/>
      <c r="C6301" s="18"/>
      <c r="D6301" s="18"/>
      <c r="E6301" s="40"/>
      <c r="F6301" s="18"/>
      <c r="G6301" s="40"/>
      <c r="N6301" s="8" t="str">
        <f>IF(R6301="x",1,"")</f>
        <v/>
      </c>
      <c r="O6301" s="18"/>
      <c r="P6301" s="13"/>
      <c r="Q6301" s="13"/>
      <c r="R6301" s="13"/>
      <c r="S6301" s="13"/>
      <c r="T6301" s="15"/>
      <c r="U6301" s="46" t="str">
        <f t="shared" si="2705"/>
        <v/>
      </c>
      <c r="V6301" s="46" t="str">
        <f t="shared" si="2705"/>
        <v/>
      </c>
      <c r="W6301" s="46" t="str">
        <f t="shared" si="2705"/>
        <v/>
      </c>
      <c r="X6301" s="46" t="str">
        <f t="shared" si="2705"/>
        <v/>
      </c>
    </row>
    <row r="6302" spans="2:24" x14ac:dyDescent="0.25">
      <c r="B6302" s="11" t="str">
        <f>CONCATENATE("TYMR","-",LEFT(P6302,2),UPPER(MID(P6302,4,3)),RIGHT(P6302,4))</f>
        <v>TYMR-20AUG1924</v>
      </c>
      <c r="C6302" s="11" t="s">
        <v>11344</v>
      </c>
      <c r="D6302" s="11" t="s">
        <v>3439</v>
      </c>
      <c r="E6302" s="39" t="s">
        <v>2874</v>
      </c>
      <c r="F6302" s="11" t="s">
        <v>2441</v>
      </c>
      <c r="G6302" s="39" t="s">
        <v>11345</v>
      </c>
      <c r="H6302" s="7">
        <v>0</v>
      </c>
      <c r="I6302" s="7">
        <v>2</v>
      </c>
      <c r="J6302" s="17">
        <v>0</v>
      </c>
      <c r="K6302" s="17"/>
      <c r="L6302" s="7">
        <f>SUM(H6302:K6302)</f>
        <v>2</v>
      </c>
      <c r="M6302" s="8">
        <v>1</v>
      </c>
      <c r="N6302" s="8">
        <f>IF(L6302&gt;0,1,"")</f>
        <v>1</v>
      </c>
      <c r="O6302" s="11" t="s">
        <v>1702</v>
      </c>
      <c r="P6302" s="16" t="str">
        <f>IF(LEN(G6302)=10,CONCATENATE("0",G6302),G6302)</f>
        <v>20-Aug-1924</v>
      </c>
      <c r="R6302" s="16" t="str">
        <f>IF($L6302&gt;0,"x","")</f>
        <v>x</v>
      </c>
      <c r="S6302" s="16" t="str">
        <f>IF($L6302&gt;0,"x","")</f>
        <v>x</v>
      </c>
      <c r="U6302" s="46" t="str">
        <f t="shared" si="2705"/>
        <v/>
      </c>
      <c r="V6302" s="46">
        <f t="shared" si="2705"/>
        <v>2</v>
      </c>
      <c r="W6302" s="46" t="str">
        <f t="shared" si="2705"/>
        <v/>
      </c>
      <c r="X6302" s="46" t="str">
        <f t="shared" si="2705"/>
        <v/>
      </c>
    </row>
    <row r="6303" spans="2:24" x14ac:dyDescent="0.25">
      <c r="B6303" s="11" t="str">
        <f>CONCATENATE("TYMR","-",LEFT(P6303,2),UPPER(MID(P6303,4,3)),RIGHT(P6303,4))</f>
        <v>TYMR-20AUG1924</v>
      </c>
      <c r="C6303" s="11" t="s">
        <v>11344</v>
      </c>
      <c r="D6303" s="11" t="s">
        <v>2440</v>
      </c>
      <c r="E6303" s="39" t="s">
        <v>11346</v>
      </c>
      <c r="F6303" s="11" t="s">
        <v>2441</v>
      </c>
      <c r="G6303" s="39" t="s">
        <v>11345</v>
      </c>
      <c r="H6303" s="7">
        <v>0</v>
      </c>
      <c r="I6303" s="7">
        <v>0</v>
      </c>
      <c r="J6303" s="17">
        <v>0</v>
      </c>
      <c r="K6303" s="17"/>
      <c r="L6303" s="7">
        <f>SUM(H6303:K6303)</f>
        <v>0</v>
      </c>
      <c r="M6303" s="8">
        <v>1</v>
      </c>
      <c r="N6303" s="8" t="str">
        <f>IF(L6303&gt;0,1,"")</f>
        <v/>
      </c>
      <c r="O6303" s="11" t="s">
        <v>1702</v>
      </c>
      <c r="P6303" s="16" t="str">
        <f>IF(LEN(G6303)=10,CONCATENATE("0",G6303),G6303)</f>
        <v>20-Aug-1924</v>
      </c>
      <c r="R6303" s="16" t="str">
        <f>IF($L6303&gt;0,"x","")</f>
        <v/>
      </c>
      <c r="S6303" s="16" t="str">
        <f>IF($L6303&gt;0,"x","")</f>
        <v/>
      </c>
      <c r="U6303" s="46" t="str">
        <f t="shared" si="2705"/>
        <v/>
      </c>
      <c r="V6303" s="46">
        <f t="shared" si="2705"/>
        <v>0</v>
      </c>
      <c r="W6303" s="46" t="str">
        <f t="shared" si="2705"/>
        <v/>
      </c>
      <c r="X6303" s="46" t="str">
        <f t="shared" si="2705"/>
        <v/>
      </c>
    </row>
    <row r="6304" spans="2:24" x14ac:dyDescent="0.25">
      <c r="N6304" s="8" t="str">
        <f>IF(R6304="x",1,"")</f>
        <v/>
      </c>
      <c r="U6304" s="46" t="str">
        <f t="shared" si="2705"/>
        <v/>
      </c>
      <c r="V6304" s="46" t="str">
        <f t="shared" si="2705"/>
        <v/>
      </c>
      <c r="W6304" s="46" t="str">
        <f t="shared" si="2705"/>
        <v/>
      </c>
      <c r="X6304" s="46" t="str">
        <f t="shared" si="2705"/>
        <v/>
      </c>
    </row>
    <row r="6305" spans="2:24" x14ac:dyDescent="0.25">
      <c r="B6305" s="18"/>
      <c r="C6305" s="18"/>
      <c r="D6305" s="18"/>
      <c r="E6305" s="40"/>
      <c r="F6305" s="18"/>
      <c r="G6305" s="40"/>
      <c r="H6305" s="7">
        <f t="shared" ref="H6305:N6305" si="2706">SUM(H6302:H6304)</f>
        <v>0</v>
      </c>
      <c r="I6305" s="7">
        <f t="shared" si="2706"/>
        <v>2</v>
      </c>
      <c r="J6305" s="7">
        <f t="shared" si="2706"/>
        <v>0</v>
      </c>
      <c r="K6305" s="7">
        <f t="shared" si="2706"/>
        <v>0</v>
      </c>
      <c r="L6305" s="7">
        <f t="shared" si="2706"/>
        <v>2</v>
      </c>
      <c r="M6305" s="7">
        <f t="shared" si="2706"/>
        <v>2</v>
      </c>
      <c r="N6305" s="7">
        <f t="shared" si="2706"/>
        <v>1</v>
      </c>
      <c r="O6305" s="18"/>
      <c r="P6305" s="13"/>
      <c r="Q6305" s="13"/>
      <c r="S6305" s="13"/>
      <c r="T6305" s="15"/>
      <c r="U6305" s="46" t="str">
        <f t="shared" si="2705"/>
        <v/>
      </c>
      <c r="V6305" s="46" t="str">
        <f t="shared" si="2705"/>
        <v/>
      </c>
      <c r="W6305" s="46" t="str">
        <f t="shared" si="2705"/>
        <v/>
      </c>
      <c r="X6305" s="46" t="str">
        <f t="shared" si="2705"/>
        <v/>
      </c>
    </row>
    <row r="6306" spans="2:24" x14ac:dyDescent="0.25">
      <c r="B6306" s="18"/>
      <c r="C6306" s="18"/>
      <c r="D6306" s="18"/>
      <c r="E6306" s="40"/>
      <c r="F6306" s="18"/>
      <c r="G6306" s="40"/>
      <c r="N6306" s="8" t="str">
        <f>IF(R6306="x",1,"")</f>
        <v/>
      </c>
      <c r="O6306" s="18"/>
      <c r="P6306" s="13"/>
      <c r="Q6306" s="13"/>
      <c r="R6306" s="13"/>
      <c r="S6306" s="13"/>
      <c r="T6306" s="15"/>
      <c r="U6306" s="46" t="str">
        <f t="shared" si="2691"/>
        <v/>
      </c>
      <c r="V6306" s="46" t="str">
        <f t="shared" si="2691"/>
        <v/>
      </c>
      <c r="W6306" s="46" t="str">
        <f t="shared" si="2691"/>
        <v/>
      </c>
      <c r="X6306" s="46" t="str">
        <f t="shared" si="2691"/>
        <v/>
      </c>
    </row>
    <row r="6307" spans="2:24" x14ac:dyDescent="0.25">
      <c r="B6307" s="18"/>
      <c r="C6307" s="18"/>
      <c r="D6307" s="18"/>
      <c r="E6307" s="40"/>
      <c r="F6307" s="18"/>
      <c r="G6307" s="40"/>
      <c r="N6307" s="8" t="str">
        <f>IF(R6307="x",1,"")</f>
        <v/>
      </c>
      <c r="O6307" s="18"/>
      <c r="P6307" s="13"/>
      <c r="Q6307" s="13"/>
      <c r="R6307" s="13"/>
      <c r="S6307" s="13"/>
      <c r="T6307" s="15"/>
      <c r="U6307" s="46" t="str">
        <f t="shared" si="2691"/>
        <v/>
      </c>
      <c r="V6307" s="46" t="str">
        <f t="shared" si="2691"/>
        <v/>
      </c>
      <c r="W6307" s="46" t="str">
        <f t="shared" si="2691"/>
        <v/>
      </c>
      <c r="X6307" s="46" t="str">
        <f t="shared" si="2691"/>
        <v/>
      </c>
    </row>
    <row r="6308" spans="2:24" x14ac:dyDescent="0.25">
      <c r="B6308" s="11" t="str">
        <f>CONCATENATE("TMMR","-",LEFT(P6308,2),UPPER(MID(P6308,4,3)),RIGHT(P6308,4))</f>
        <v>TMMR-15JAN1916</v>
      </c>
      <c r="C6308" s="11" t="s">
        <v>3822</v>
      </c>
      <c r="D6308" s="11" t="s">
        <v>2440</v>
      </c>
      <c r="E6308" s="39" t="s">
        <v>4596</v>
      </c>
      <c r="F6308" s="11" t="s">
        <v>3366</v>
      </c>
      <c r="G6308" s="39" t="s">
        <v>4597</v>
      </c>
      <c r="J6308" s="17">
        <v>1</v>
      </c>
      <c r="K6308" s="17"/>
      <c r="L6308" s="7">
        <f>SUM(H6308:K6308)</f>
        <v>1</v>
      </c>
      <c r="M6308" s="8">
        <v>1</v>
      </c>
      <c r="N6308" s="8">
        <f>IF(L6308&gt;0,1,"")</f>
        <v>1</v>
      </c>
      <c r="O6308" s="11" t="s">
        <v>1702</v>
      </c>
      <c r="P6308" s="16" t="str">
        <f>IF(LEN(G6308)=10,CONCATENATE("0",G6308),G6308)</f>
        <v>15-Jan-1916</v>
      </c>
      <c r="R6308" s="16" t="str">
        <f>IF($L6308&gt;0,"x","")</f>
        <v>x</v>
      </c>
      <c r="S6308" s="16" t="str">
        <f>IF($L6308&gt;0,"x","")</f>
        <v>x</v>
      </c>
      <c r="U6308" s="46" t="str">
        <f t="shared" si="2691"/>
        <v/>
      </c>
      <c r="V6308" s="46">
        <f t="shared" si="2691"/>
        <v>1</v>
      </c>
      <c r="W6308" s="46" t="str">
        <f t="shared" si="2691"/>
        <v/>
      </c>
      <c r="X6308" s="46" t="str">
        <f t="shared" si="2691"/>
        <v/>
      </c>
    </row>
    <row r="6309" spans="2:24" x14ac:dyDescent="0.25">
      <c r="B6309" s="11" t="str">
        <f>CONCATENATE("TMMR","-",LEFT(P6309,2),UPPER(MID(P6309,4,3)),RIGHT(P6309,4))</f>
        <v>TMMR-30OCT1917</v>
      </c>
      <c r="C6309" s="11" t="s">
        <v>3822</v>
      </c>
      <c r="D6309" s="11" t="s">
        <v>2440</v>
      </c>
      <c r="E6309" s="39" t="s">
        <v>3823</v>
      </c>
      <c r="F6309" s="11" t="s">
        <v>3366</v>
      </c>
      <c r="G6309" s="39" t="s">
        <v>3824</v>
      </c>
      <c r="H6309" s="7">
        <v>0</v>
      </c>
      <c r="I6309" s="7">
        <v>4</v>
      </c>
      <c r="J6309" s="17">
        <v>9</v>
      </c>
      <c r="K6309" s="17"/>
      <c r="L6309" s="7">
        <f>SUM(H6309:K6309)</f>
        <v>13</v>
      </c>
      <c r="M6309" s="8">
        <v>1</v>
      </c>
      <c r="N6309" s="8">
        <f>IF(L6309&gt;0,1,"")</f>
        <v>1</v>
      </c>
      <c r="O6309" s="11" t="s">
        <v>1702</v>
      </c>
      <c r="P6309" s="16" t="str">
        <f>IF(LEN(G6309)=10,CONCATENATE("0",G6309),G6309)</f>
        <v>30-Oct-1917</v>
      </c>
      <c r="R6309" s="16" t="str">
        <f>IF($L6309&gt;0,"x","")</f>
        <v>x</v>
      </c>
      <c r="S6309" s="16" t="str">
        <f>IF($L6309&gt;0,"x","")</f>
        <v>x</v>
      </c>
      <c r="U6309" s="46" t="str">
        <f>IF($O6309=U$5,$L6309,"")</f>
        <v/>
      </c>
      <c r="V6309" s="46">
        <f>IF($O6309=V$5,$L6309,"")</f>
        <v>13</v>
      </c>
      <c r="W6309" s="46" t="str">
        <f>IF($O6309=W$5,$L6309,"")</f>
        <v/>
      </c>
      <c r="X6309" s="46" t="str">
        <f>IF($O6309=X$5,$L6309,"")</f>
        <v/>
      </c>
    </row>
    <row r="6310" spans="2:24" x14ac:dyDescent="0.25">
      <c r="N6310" s="8" t="str">
        <f>IF(R6310="x",1,"")</f>
        <v/>
      </c>
      <c r="U6310" s="46" t="str">
        <f t="shared" si="2691"/>
        <v/>
      </c>
      <c r="V6310" s="46" t="str">
        <f t="shared" si="2691"/>
        <v/>
      </c>
      <c r="W6310" s="46" t="str">
        <f t="shared" si="2691"/>
        <v/>
      </c>
      <c r="X6310" s="46" t="str">
        <f t="shared" si="2691"/>
        <v/>
      </c>
    </row>
    <row r="6311" spans="2:24" x14ac:dyDescent="0.25">
      <c r="B6311" s="18"/>
      <c r="C6311" s="18"/>
      <c r="D6311" s="18"/>
      <c r="E6311" s="40"/>
      <c r="F6311" s="18"/>
      <c r="G6311" s="40"/>
      <c r="H6311" s="7">
        <f t="shared" ref="H6311:N6311" si="2707">SUM(H6308:H6310)</f>
        <v>0</v>
      </c>
      <c r="I6311" s="7">
        <f t="shared" si="2707"/>
        <v>4</v>
      </c>
      <c r="J6311" s="7">
        <f>SUM(J6308:J6310)</f>
        <v>10</v>
      </c>
      <c r="K6311" s="7">
        <f t="shared" si="2707"/>
        <v>0</v>
      </c>
      <c r="L6311" s="7">
        <f t="shared" si="2707"/>
        <v>14</v>
      </c>
      <c r="M6311" s="7">
        <f t="shared" si="2707"/>
        <v>2</v>
      </c>
      <c r="N6311" s="7">
        <f t="shared" si="2707"/>
        <v>2</v>
      </c>
      <c r="O6311" s="18"/>
      <c r="P6311" s="13"/>
      <c r="Q6311" s="13"/>
      <c r="S6311" s="13"/>
      <c r="T6311" s="15"/>
      <c r="U6311" s="46" t="str">
        <f t="shared" si="2691"/>
        <v/>
      </c>
      <c r="V6311" s="46" t="str">
        <f t="shared" si="2691"/>
        <v/>
      </c>
      <c r="W6311" s="46" t="str">
        <f t="shared" si="2691"/>
        <v/>
      </c>
      <c r="X6311" s="46" t="str">
        <f t="shared" si="2691"/>
        <v/>
      </c>
    </row>
    <row r="6312" spans="2:24" x14ac:dyDescent="0.25">
      <c r="B6312" s="18"/>
      <c r="C6312" s="18"/>
      <c r="D6312" s="18"/>
      <c r="E6312" s="40"/>
      <c r="F6312" s="18"/>
      <c r="G6312" s="40"/>
      <c r="N6312" s="8" t="str">
        <f>IF(R6312="x",1,"")</f>
        <v/>
      </c>
      <c r="O6312" s="18"/>
      <c r="P6312" s="13"/>
      <c r="Q6312" s="13"/>
      <c r="R6312" s="13"/>
      <c r="S6312" s="13"/>
      <c r="T6312" s="15"/>
      <c r="U6312" s="46" t="str">
        <f t="shared" si="2691"/>
        <v/>
      </c>
      <c r="V6312" s="46" t="str">
        <f t="shared" si="2691"/>
        <v/>
      </c>
      <c r="W6312" s="46" t="str">
        <f t="shared" si="2691"/>
        <v/>
      </c>
      <c r="X6312" s="46" t="str">
        <f t="shared" si="2691"/>
        <v/>
      </c>
    </row>
    <row r="6313" spans="2:24" x14ac:dyDescent="0.25">
      <c r="B6313" s="18"/>
      <c r="C6313" s="18"/>
      <c r="D6313" s="18"/>
      <c r="E6313" s="40"/>
      <c r="F6313" s="18"/>
      <c r="G6313" s="40"/>
      <c r="N6313" s="8" t="str">
        <f>IF(R6313="x",1,"")</f>
        <v/>
      </c>
      <c r="O6313" s="18"/>
      <c r="P6313" s="13"/>
      <c r="Q6313" s="13"/>
      <c r="R6313" s="13"/>
      <c r="S6313" s="13"/>
      <c r="T6313" s="15"/>
      <c r="U6313" s="46" t="str">
        <f t="shared" si="2691"/>
        <v/>
      </c>
      <c r="V6313" s="46" t="str">
        <f t="shared" si="2691"/>
        <v/>
      </c>
      <c r="W6313" s="46" t="str">
        <f t="shared" si="2691"/>
        <v/>
      </c>
      <c r="X6313" s="46" t="str">
        <f t="shared" si="2691"/>
        <v/>
      </c>
    </row>
    <row r="6314" spans="2:24" x14ac:dyDescent="0.25">
      <c r="B6314" s="11" t="str">
        <f>CONCATENATE("TAOR","-",LEFT(P6314,2),UPPER(MID(P6314,4,3)),RIGHT(P6314,4))</f>
        <v>TAOR-15JAN1896</v>
      </c>
      <c r="C6314" s="11" t="s">
        <v>135</v>
      </c>
      <c r="D6314" s="11" t="s">
        <v>1699</v>
      </c>
      <c r="F6314" s="11" t="s">
        <v>1700</v>
      </c>
      <c r="G6314" s="39" t="s">
        <v>4077</v>
      </c>
      <c r="H6314" s="7">
        <v>0</v>
      </c>
      <c r="I6314" s="7">
        <v>0</v>
      </c>
      <c r="J6314" s="17">
        <v>6</v>
      </c>
      <c r="K6314" s="17"/>
      <c r="L6314" s="7">
        <f>SUM(H6314:K6314)</f>
        <v>6</v>
      </c>
      <c r="M6314" s="8">
        <v>1</v>
      </c>
      <c r="N6314" s="8">
        <f>IF(L6314&gt;0,1,"")</f>
        <v>1</v>
      </c>
      <c r="O6314" s="11" t="s">
        <v>1702</v>
      </c>
      <c r="P6314" s="16" t="str">
        <f>IF(LEN(G6314)=10,CONCATENATE("0",G6314),G6314)</f>
        <v>15-Jan-1896</v>
      </c>
      <c r="R6314" s="16" t="str">
        <f t="shared" ref="R6314:S6318" si="2708">IF($L6314&gt;0,"x","")</f>
        <v>x</v>
      </c>
      <c r="S6314" s="16" t="str">
        <f t="shared" si="2708"/>
        <v>x</v>
      </c>
      <c r="U6314" s="46" t="str">
        <f t="shared" si="2691"/>
        <v/>
      </c>
      <c r="V6314" s="46">
        <f t="shared" si="2691"/>
        <v>6</v>
      </c>
      <c r="W6314" s="46" t="str">
        <f t="shared" si="2691"/>
        <v/>
      </c>
      <c r="X6314" s="46" t="str">
        <f t="shared" si="2691"/>
        <v/>
      </c>
    </row>
    <row r="6315" spans="2:24" x14ac:dyDescent="0.25">
      <c r="B6315" s="11" t="str">
        <f>CONCATENATE("TAOR","-",LEFT(P6315,2),UPPER(MID(P6315,4,3)),RIGHT(P6315,4))</f>
        <v>TAOR-22MAY1897</v>
      </c>
      <c r="C6315" s="11" t="s">
        <v>135</v>
      </c>
      <c r="D6315" s="11" t="s">
        <v>1699</v>
      </c>
      <c r="F6315" s="11" t="s">
        <v>1700</v>
      </c>
      <c r="G6315" s="39" t="s">
        <v>4086</v>
      </c>
      <c r="J6315" s="17">
        <v>10</v>
      </c>
      <c r="K6315" s="17"/>
      <c r="L6315" s="7">
        <f>SUM(H6315:K6315)</f>
        <v>10</v>
      </c>
      <c r="M6315" s="8">
        <v>1</v>
      </c>
      <c r="N6315" s="8">
        <f>IF(L6315&gt;0,1,"")</f>
        <v>1</v>
      </c>
      <c r="O6315" s="11" t="s">
        <v>1702</v>
      </c>
      <c r="P6315" s="16" t="str">
        <f>IF(LEN(G6315)=10,CONCATENATE("0",G6315),G6315)</f>
        <v>22-May-1897</v>
      </c>
      <c r="R6315" s="16" t="str">
        <f t="shared" si="2708"/>
        <v>x</v>
      </c>
      <c r="S6315" s="16" t="str">
        <f t="shared" si="2708"/>
        <v>x</v>
      </c>
      <c r="U6315" s="46" t="str">
        <f t="shared" si="2691"/>
        <v/>
      </c>
      <c r="V6315" s="46">
        <f t="shared" si="2691"/>
        <v>10</v>
      </c>
      <c r="W6315" s="46" t="str">
        <f t="shared" si="2691"/>
        <v/>
      </c>
      <c r="X6315" s="46" t="str">
        <f t="shared" si="2691"/>
        <v/>
      </c>
    </row>
    <row r="6316" spans="2:24" x14ac:dyDescent="0.25">
      <c r="B6316" s="11" t="str">
        <f>CONCATENATE("TAOR","-",LEFT(P6316,2),UPPER(MID(P6316,4,3)),RIGHT(P6316,4))</f>
        <v>TAOR-12SEP1897</v>
      </c>
      <c r="C6316" s="11" t="s">
        <v>135</v>
      </c>
      <c r="D6316" s="11" t="s">
        <v>1699</v>
      </c>
      <c r="E6316" s="39" t="s">
        <v>278</v>
      </c>
      <c r="F6316" s="11" t="s">
        <v>1700</v>
      </c>
      <c r="G6316" s="39" t="s">
        <v>25</v>
      </c>
      <c r="J6316" s="17">
        <v>2</v>
      </c>
      <c r="K6316" s="17"/>
      <c r="L6316" s="7">
        <f>SUM(H6316:K6316)</f>
        <v>2</v>
      </c>
      <c r="M6316" s="8">
        <v>1</v>
      </c>
      <c r="N6316" s="8">
        <f>IF(L6316&gt;0,1,"")</f>
        <v>1</v>
      </c>
      <c r="O6316" s="11" t="s">
        <v>1702</v>
      </c>
      <c r="P6316" s="16" t="str">
        <f>IF(LEN(G6316)=10,CONCATENATE("0",G6316),G6316)</f>
        <v>12-Sep-1897</v>
      </c>
      <c r="R6316" s="16" t="str">
        <f t="shared" si="2708"/>
        <v>x</v>
      </c>
      <c r="S6316" s="16" t="str">
        <f t="shared" si="2708"/>
        <v>x</v>
      </c>
      <c r="U6316" s="46" t="str">
        <f t="shared" ref="U6316:X6317" si="2709">IF($O6316=U$5,$L6316,"")</f>
        <v/>
      </c>
      <c r="V6316" s="46">
        <f t="shared" si="2709"/>
        <v>2</v>
      </c>
      <c r="W6316" s="46" t="str">
        <f t="shared" si="2709"/>
        <v/>
      </c>
      <c r="X6316" s="46" t="str">
        <f t="shared" si="2709"/>
        <v/>
      </c>
    </row>
    <row r="6317" spans="2:24" x14ac:dyDescent="0.25">
      <c r="B6317" s="11" t="str">
        <f>CONCATENATE("TAOR","-",LEFT(P6317,2),UPPER(MID(P6317,4,3)),RIGHT(P6317,4))</f>
        <v>TAOR-26OCT1910</v>
      </c>
      <c r="C6317" s="11" t="s">
        <v>135</v>
      </c>
      <c r="D6317" s="11" t="s">
        <v>3007</v>
      </c>
      <c r="E6317" s="39" t="s">
        <v>5159</v>
      </c>
      <c r="F6317" s="11" t="s">
        <v>1700</v>
      </c>
      <c r="G6317" s="39" t="s">
        <v>945</v>
      </c>
      <c r="H6317" s="7">
        <v>0</v>
      </c>
      <c r="I6317" s="7">
        <v>0</v>
      </c>
      <c r="J6317" s="17">
        <v>9</v>
      </c>
      <c r="K6317" s="17"/>
      <c r="L6317" s="7">
        <f>SUM(H6317:K6317)</f>
        <v>9</v>
      </c>
      <c r="M6317" s="8">
        <v>1</v>
      </c>
      <c r="N6317" s="8">
        <f>IF(L6317&gt;0,1,"")</f>
        <v>1</v>
      </c>
      <c r="O6317" s="11" t="s">
        <v>1702</v>
      </c>
      <c r="P6317" s="16" t="str">
        <f>IF(LEN(G6317)=10,CONCATENATE("0",G6317),G6317)</f>
        <v>26-Oct-1910</v>
      </c>
      <c r="R6317" s="16" t="str">
        <f t="shared" si="2708"/>
        <v>x</v>
      </c>
      <c r="S6317" s="16" t="str">
        <f t="shared" si="2708"/>
        <v>x</v>
      </c>
      <c r="U6317" s="46" t="str">
        <f t="shared" si="2709"/>
        <v/>
      </c>
      <c r="V6317" s="46">
        <f t="shared" si="2709"/>
        <v>9</v>
      </c>
      <c r="W6317" s="46" t="str">
        <f t="shared" si="2709"/>
        <v/>
      </c>
      <c r="X6317" s="46" t="str">
        <f t="shared" si="2709"/>
        <v/>
      </c>
    </row>
    <row r="6318" spans="2:24" x14ac:dyDescent="0.25">
      <c r="B6318" s="11" t="str">
        <f>CONCATENATE("TAOR","-",LEFT(P6318,2),UPPER(MID(P6318,4,3)),RIGHT(P6318,4))</f>
        <v>TAOR-14JUN1912</v>
      </c>
      <c r="C6318" s="11" t="s">
        <v>135</v>
      </c>
      <c r="D6318" s="11" t="s">
        <v>3007</v>
      </c>
      <c r="E6318" s="39" t="s">
        <v>1275</v>
      </c>
      <c r="F6318" s="11" t="s">
        <v>1700</v>
      </c>
      <c r="G6318" s="39" t="s">
        <v>3131</v>
      </c>
      <c r="H6318" s="7">
        <v>0</v>
      </c>
      <c r="I6318" s="7">
        <v>0</v>
      </c>
      <c r="J6318" s="17">
        <v>15</v>
      </c>
      <c r="K6318" s="17"/>
      <c r="L6318" s="7">
        <f>SUM(H6318:K6318)</f>
        <v>15</v>
      </c>
      <c r="M6318" s="8">
        <v>1</v>
      </c>
      <c r="N6318" s="8">
        <f>IF(L6318&gt;0,1,"")</f>
        <v>1</v>
      </c>
      <c r="O6318" s="11" t="s">
        <v>1702</v>
      </c>
      <c r="P6318" s="16" t="str">
        <f>IF(LEN(G6318)=10,CONCATENATE("0",G6318),G6318)</f>
        <v>14-Jun-1912</v>
      </c>
      <c r="R6318" s="16" t="str">
        <f t="shared" si="2708"/>
        <v>x</v>
      </c>
      <c r="S6318" s="16" t="str">
        <f t="shared" si="2708"/>
        <v>x</v>
      </c>
      <c r="U6318" s="46" t="str">
        <f t="shared" si="2691"/>
        <v/>
      </c>
      <c r="V6318" s="46">
        <f t="shared" si="2691"/>
        <v>15</v>
      </c>
      <c r="W6318" s="46" t="str">
        <f t="shared" si="2691"/>
        <v/>
      </c>
      <c r="X6318" s="46" t="str">
        <f t="shared" si="2691"/>
        <v/>
      </c>
    </row>
    <row r="6319" spans="2:24" x14ac:dyDescent="0.25">
      <c r="N6319" s="8" t="str">
        <f>IF(R6319="x",1,"")</f>
        <v/>
      </c>
      <c r="U6319" s="46" t="str">
        <f t="shared" si="2691"/>
        <v/>
      </c>
      <c r="V6319" s="46" t="str">
        <f t="shared" si="2691"/>
        <v/>
      </c>
      <c r="W6319" s="46" t="str">
        <f t="shared" si="2691"/>
        <v/>
      </c>
      <c r="X6319" s="46" t="str">
        <f t="shared" si="2691"/>
        <v/>
      </c>
    </row>
    <row r="6320" spans="2:24" x14ac:dyDescent="0.25">
      <c r="B6320" s="18"/>
      <c r="C6320" s="18"/>
      <c r="D6320" s="18"/>
      <c r="E6320" s="40"/>
      <c r="F6320" s="18"/>
      <c r="G6320" s="40"/>
      <c r="H6320" s="7">
        <f t="shared" ref="H6320:N6320" si="2710">SUM(H6314:H6319)</f>
        <v>0</v>
      </c>
      <c r="I6320" s="7">
        <f t="shared" si="2710"/>
        <v>0</v>
      </c>
      <c r="J6320" s="7">
        <f>SUM(J6314:J6319)</f>
        <v>42</v>
      </c>
      <c r="K6320" s="7">
        <f t="shared" si="2710"/>
        <v>0</v>
      </c>
      <c r="L6320" s="7">
        <f t="shared" si="2710"/>
        <v>42</v>
      </c>
      <c r="M6320" s="7">
        <f t="shared" si="2710"/>
        <v>5</v>
      </c>
      <c r="N6320" s="7">
        <f t="shared" si="2710"/>
        <v>5</v>
      </c>
      <c r="O6320" s="18"/>
      <c r="P6320" s="13"/>
      <c r="Q6320" s="13"/>
      <c r="S6320" s="13"/>
      <c r="T6320" s="15"/>
      <c r="U6320" s="46" t="str">
        <f t="shared" si="2691"/>
        <v/>
      </c>
      <c r="V6320" s="46" t="str">
        <f t="shared" si="2691"/>
        <v/>
      </c>
      <c r="W6320" s="46" t="str">
        <f t="shared" si="2691"/>
        <v/>
      </c>
      <c r="X6320" s="46" t="str">
        <f t="shared" si="2691"/>
        <v/>
      </c>
    </row>
    <row r="6321" spans="2:24" x14ac:dyDescent="0.25">
      <c r="B6321" s="18"/>
      <c r="C6321" s="18"/>
      <c r="D6321" s="18"/>
      <c r="E6321" s="40"/>
      <c r="F6321" s="18"/>
      <c r="G6321" s="40"/>
      <c r="N6321" s="8" t="str">
        <f>IF(R6321="x",1,"")</f>
        <v/>
      </c>
      <c r="O6321" s="18"/>
      <c r="P6321" s="13"/>
      <c r="Q6321" s="13"/>
      <c r="R6321" s="13"/>
      <c r="S6321" s="13"/>
      <c r="T6321" s="15"/>
      <c r="U6321" s="46" t="str">
        <f t="shared" ref="U6321:X6325" si="2711">IF($O6321=U$5,$L6321,"")</f>
        <v/>
      </c>
      <c r="V6321" s="46" t="str">
        <f t="shared" si="2711"/>
        <v/>
      </c>
      <c r="W6321" s="46" t="str">
        <f t="shared" si="2711"/>
        <v/>
      </c>
      <c r="X6321" s="46" t="str">
        <f t="shared" si="2711"/>
        <v/>
      </c>
    </row>
    <row r="6322" spans="2:24" x14ac:dyDescent="0.25">
      <c r="B6322" s="18"/>
      <c r="C6322" s="18"/>
      <c r="D6322" s="18"/>
      <c r="E6322" s="40"/>
      <c r="F6322" s="18"/>
      <c r="G6322" s="40"/>
      <c r="N6322" s="8" t="str">
        <f>IF(R6322="x",1,"")</f>
        <v/>
      </c>
      <c r="O6322" s="18"/>
      <c r="P6322" s="13"/>
      <c r="Q6322" s="13"/>
      <c r="R6322" s="13"/>
      <c r="S6322" s="13"/>
      <c r="T6322" s="15"/>
      <c r="U6322" s="46" t="str">
        <f t="shared" si="2711"/>
        <v/>
      </c>
      <c r="V6322" s="46" t="str">
        <f t="shared" si="2711"/>
        <v/>
      </c>
      <c r="W6322" s="46" t="str">
        <f t="shared" si="2711"/>
        <v/>
      </c>
      <c r="X6322" s="46" t="str">
        <f t="shared" si="2711"/>
        <v/>
      </c>
    </row>
    <row r="6323" spans="2:24" x14ac:dyDescent="0.25">
      <c r="B6323" s="11" t="str">
        <f>CONCATENATE("TART","-",LEFT(P6323,2),UPPER(MID(P6323,4,3)),RIGHT(P6323,4))</f>
        <v>TART-27JAN1898</v>
      </c>
      <c r="C6323" s="11" t="s">
        <v>3484</v>
      </c>
      <c r="D6323" s="11" t="s">
        <v>3217</v>
      </c>
      <c r="E6323" s="39" t="s">
        <v>3486</v>
      </c>
      <c r="F6323" s="11" t="s">
        <v>1700</v>
      </c>
      <c r="G6323" s="39" t="s">
        <v>3485</v>
      </c>
      <c r="J6323" s="17">
        <v>5</v>
      </c>
      <c r="K6323" s="17"/>
      <c r="L6323" s="7">
        <f>SUM(H6323:K6323)</f>
        <v>5</v>
      </c>
      <c r="M6323" s="8">
        <v>1</v>
      </c>
      <c r="N6323" s="8">
        <f>IF(L6323&gt;0,1,"")</f>
        <v>1</v>
      </c>
      <c r="O6323" s="11" t="s">
        <v>1702</v>
      </c>
      <c r="P6323" s="16" t="str">
        <f>IF(LEN(G6323)=10,CONCATENATE("0",G6323),G6323)</f>
        <v>27-Jan-1898</v>
      </c>
      <c r="R6323" s="16" t="str">
        <f>IF($L6323&gt;0,"x","")</f>
        <v>x</v>
      </c>
      <c r="S6323" s="16" t="str">
        <f>IF($L6323&gt;0,"x","")</f>
        <v>x</v>
      </c>
      <c r="U6323" s="46" t="str">
        <f t="shared" si="2711"/>
        <v/>
      </c>
      <c r="V6323" s="46">
        <f t="shared" si="2711"/>
        <v>5</v>
      </c>
      <c r="W6323" s="46" t="str">
        <f t="shared" si="2711"/>
        <v/>
      </c>
      <c r="X6323" s="46" t="str">
        <f t="shared" si="2711"/>
        <v/>
      </c>
    </row>
    <row r="6324" spans="2:24" x14ac:dyDescent="0.25">
      <c r="N6324" s="8" t="str">
        <f>IF(R6324="x",1,"")</f>
        <v/>
      </c>
      <c r="U6324" s="46" t="str">
        <f t="shared" si="2711"/>
        <v/>
      </c>
      <c r="V6324" s="46" t="str">
        <f t="shared" si="2711"/>
        <v/>
      </c>
      <c r="W6324" s="46" t="str">
        <f t="shared" si="2711"/>
        <v/>
      </c>
      <c r="X6324" s="46" t="str">
        <f t="shared" si="2711"/>
        <v/>
      </c>
    </row>
    <row r="6325" spans="2:24" x14ac:dyDescent="0.25">
      <c r="B6325" s="18"/>
      <c r="C6325" s="18"/>
      <c r="D6325" s="18"/>
      <c r="E6325" s="40"/>
      <c r="F6325" s="18"/>
      <c r="G6325" s="40"/>
      <c r="H6325" s="7">
        <f t="shared" ref="H6325:N6325" si="2712">SUM(H6323:H6324)</f>
        <v>0</v>
      </c>
      <c r="I6325" s="7">
        <f t="shared" si="2712"/>
        <v>0</v>
      </c>
      <c r="J6325" s="7">
        <f>SUM(J6323:J6324)</f>
        <v>5</v>
      </c>
      <c r="K6325" s="7">
        <f t="shared" si="2712"/>
        <v>0</v>
      </c>
      <c r="L6325" s="7">
        <f t="shared" si="2712"/>
        <v>5</v>
      </c>
      <c r="M6325" s="7">
        <f t="shared" si="2712"/>
        <v>1</v>
      </c>
      <c r="N6325" s="7">
        <f t="shared" si="2712"/>
        <v>1</v>
      </c>
      <c r="O6325" s="18"/>
      <c r="P6325" s="13"/>
      <c r="Q6325" s="13"/>
      <c r="S6325" s="13"/>
      <c r="T6325" s="15"/>
      <c r="U6325" s="46" t="str">
        <f t="shared" si="2711"/>
        <v/>
      </c>
      <c r="V6325" s="46" t="str">
        <f t="shared" si="2711"/>
        <v/>
      </c>
      <c r="W6325" s="46" t="str">
        <f t="shared" si="2711"/>
        <v/>
      </c>
      <c r="X6325" s="46" t="str">
        <f t="shared" si="2711"/>
        <v/>
      </c>
    </row>
    <row r="6326" spans="2:24" x14ac:dyDescent="0.25">
      <c r="B6326" s="18"/>
      <c r="C6326" s="18"/>
      <c r="D6326" s="18"/>
      <c r="E6326" s="40"/>
      <c r="F6326" s="18"/>
      <c r="G6326" s="40"/>
      <c r="N6326" s="8" t="str">
        <f>IF(R6326="x",1,"")</f>
        <v/>
      </c>
      <c r="O6326" s="18"/>
      <c r="P6326" s="13"/>
      <c r="Q6326" s="13"/>
      <c r="R6326" s="13"/>
      <c r="S6326" s="13"/>
      <c r="T6326" s="15"/>
      <c r="U6326" s="46" t="str">
        <f t="shared" si="2691"/>
        <v/>
      </c>
      <c r="V6326" s="46" t="str">
        <f t="shared" si="2691"/>
        <v/>
      </c>
      <c r="W6326" s="46" t="str">
        <f t="shared" si="2691"/>
        <v/>
      </c>
      <c r="X6326" s="46" t="str">
        <f t="shared" si="2691"/>
        <v/>
      </c>
    </row>
    <row r="6327" spans="2:24" x14ac:dyDescent="0.25">
      <c r="B6327" s="18"/>
      <c r="C6327" s="18"/>
      <c r="D6327" s="18"/>
      <c r="E6327" s="40"/>
      <c r="F6327" s="18"/>
      <c r="G6327" s="40"/>
      <c r="N6327" s="8" t="str">
        <f>IF(R6327="x",1,"")</f>
        <v/>
      </c>
      <c r="O6327" s="18"/>
      <c r="P6327" s="13"/>
      <c r="Q6327" s="13"/>
      <c r="R6327" s="13"/>
      <c r="S6327" s="13"/>
      <c r="T6327" s="15"/>
      <c r="U6327" s="46" t="str">
        <f t="shared" si="2691"/>
        <v/>
      </c>
      <c r="V6327" s="46" t="str">
        <f t="shared" si="2691"/>
        <v/>
      </c>
      <c r="W6327" s="46" t="str">
        <f t="shared" si="2691"/>
        <v/>
      </c>
      <c r="X6327" s="46" t="str">
        <f t="shared" si="2691"/>
        <v/>
      </c>
    </row>
    <row r="6328" spans="2:24" x14ac:dyDescent="0.25">
      <c r="B6328" s="11" t="str">
        <f>CONCATENATE("TENE","-",LEFT(P6328,2),UPPER(MID(P6328,4,3)),RIGHT(P6328,4))</f>
        <v>TENE-23JUL1904</v>
      </c>
      <c r="C6328" s="11" t="s">
        <v>5062</v>
      </c>
      <c r="D6328" s="11" t="s">
        <v>847</v>
      </c>
      <c r="E6328" s="39" t="s">
        <v>5063</v>
      </c>
      <c r="F6328" s="11" t="s">
        <v>1700</v>
      </c>
      <c r="G6328" s="39" t="s">
        <v>3564</v>
      </c>
      <c r="J6328" s="17">
        <v>3</v>
      </c>
      <c r="K6328" s="17"/>
      <c r="L6328" s="7">
        <f>SUM(H6328:K6328)</f>
        <v>3</v>
      </c>
      <c r="M6328" s="8">
        <v>1</v>
      </c>
      <c r="N6328" s="8">
        <f>IF(L6328&gt;0,1,"")</f>
        <v>1</v>
      </c>
      <c r="O6328" s="11" t="s">
        <v>1702</v>
      </c>
      <c r="P6328" s="16" t="str">
        <f>IF(LEN(G6328)=10,CONCATENATE("0",G6328),G6328)</f>
        <v>23-Jul-1904</v>
      </c>
      <c r="R6328" s="16" t="str">
        <f>IF($L6328&gt;0,"x","")</f>
        <v>x</v>
      </c>
      <c r="S6328" s="16" t="str">
        <f>IF($L6328&gt;0,"x","")</f>
        <v>x</v>
      </c>
      <c r="U6328" s="46" t="str">
        <f t="shared" si="2691"/>
        <v/>
      </c>
      <c r="V6328" s="46">
        <f t="shared" si="2691"/>
        <v>3</v>
      </c>
      <c r="W6328" s="46" t="str">
        <f t="shared" si="2691"/>
        <v/>
      </c>
      <c r="X6328" s="46" t="str">
        <f t="shared" si="2691"/>
        <v/>
      </c>
    </row>
    <row r="6329" spans="2:24" x14ac:dyDescent="0.25">
      <c r="N6329" s="8" t="str">
        <f>IF(R6329="x",1,"")</f>
        <v/>
      </c>
      <c r="U6329" s="46" t="str">
        <f t="shared" si="2691"/>
        <v/>
      </c>
      <c r="V6329" s="46" t="str">
        <f t="shared" si="2691"/>
        <v/>
      </c>
      <c r="W6329" s="46" t="str">
        <f t="shared" si="2691"/>
        <v/>
      </c>
      <c r="X6329" s="46" t="str">
        <f t="shared" si="2691"/>
        <v/>
      </c>
    </row>
    <row r="6330" spans="2:24" x14ac:dyDescent="0.25">
      <c r="B6330" s="18"/>
      <c r="C6330" s="18"/>
      <c r="D6330" s="18"/>
      <c r="E6330" s="40"/>
      <c r="F6330" s="18"/>
      <c r="G6330" s="40"/>
      <c r="H6330" s="7">
        <f t="shared" ref="H6330:N6330" si="2713">SUM(H6328:H6329)</f>
        <v>0</v>
      </c>
      <c r="I6330" s="7">
        <f t="shared" si="2713"/>
        <v>0</v>
      </c>
      <c r="J6330" s="7">
        <f>SUM(J6328:J6329)</f>
        <v>3</v>
      </c>
      <c r="K6330" s="7">
        <f t="shared" si="2713"/>
        <v>0</v>
      </c>
      <c r="L6330" s="7">
        <f t="shared" si="2713"/>
        <v>3</v>
      </c>
      <c r="M6330" s="7">
        <f t="shared" si="2713"/>
        <v>1</v>
      </c>
      <c r="N6330" s="7">
        <f t="shared" si="2713"/>
        <v>1</v>
      </c>
      <c r="O6330" s="18"/>
      <c r="P6330" s="13"/>
      <c r="Q6330" s="13"/>
      <c r="S6330" s="13"/>
      <c r="T6330" s="15"/>
      <c r="U6330" s="46" t="str">
        <f t="shared" si="2691"/>
        <v/>
      </c>
      <c r="V6330" s="46" t="str">
        <f t="shared" si="2691"/>
        <v/>
      </c>
      <c r="W6330" s="46" t="str">
        <f t="shared" si="2691"/>
        <v/>
      </c>
      <c r="X6330" s="46" t="str">
        <f t="shared" si="2691"/>
        <v/>
      </c>
    </row>
    <row r="6331" spans="2:24" x14ac:dyDescent="0.25">
      <c r="B6331" s="18"/>
      <c r="C6331" s="18"/>
      <c r="D6331" s="18"/>
      <c r="E6331" s="40"/>
      <c r="F6331" s="18"/>
      <c r="G6331" s="40"/>
      <c r="N6331" s="8" t="str">
        <f>IF(R6331="x",1,"")</f>
        <v/>
      </c>
      <c r="O6331" s="18"/>
      <c r="P6331" s="13"/>
      <c r="Q6331" s="13"/>
      <c r="R6331" s="13"/>
      <c r="S6331" s="13"/>
      <c r="T6331" s="15"/>
      <c r="U6331" s="46" t="str">
        <f t="shared" si="2691"/>
        <v/>
      </c>
      <c r="V6331" s="46" t="str">
        <f t="shared" si="2691"/>
        <v/>
      </c>
      <c r="W6331" s="46" t="str">
        <f t="shared" si="2691"/>
        <v/>
      </c>
      <c r="X6331" s="46" t="str">
        <f t="shared" si="2691"/>
        <v/>
      </c>
    </row>
    <row r="6332" spans="2:24" x14ac:dyDescent="0.25">
      <c r="B6332" s="18"/>
      <c r="C6332" s="18"/>
      <c r="D6332" s="18"/>
      <c r="E6332" s="40"/>
      <c r="F6332" s="18"/>
      <c r="G6332" s="40"/>
      <c r="N6332" s="8" t="str">
        <f>IF(R6332="x",1,"")</f>
        <v/>
      </c>
      <c r="O6332" s="18"/>
      <c r="P6332" s="13"/>
      <c r="Q6332" s="13"/>
      <c r="R6332" s="13"/>
      <c r="S6332" s="13"/>
      <c r="T6332" s="15"/>
      <c r="U6332" s="46" t="str">
        <f t="shared" si="2691"/>
        <v/>
      </c>
      <c r="V6332" s="46" t="str">
        <f t="shared" si="2691"/>
        <v/>
      </c>
      <c r="W6332" s="46" t="str">
        <f t="shared" si="2691"/>
        <v/>
      </c>
      <c r="X6332" s="46" t="str">
        <f t="shared" si="2691"/>
        <v/>
      </c>
    </row>
    <row r="6333" spans="2:24" x14ac:dyDescent="0.25">
      <c r="B6333" s="11" t="str">
        <f t="shared" ref="B6333:B6344" si="2714">CONCATENATE("TNMR","-",LEFT(P6333,2),UPPER(MID(P6333,4,3)),RIGHT(P6333,4))</f>
        <v>TNMR-06SEP1917</v>
      </c>
      <c r="C6333" s="11" t="s">
        <v>2439</v>
      </c>
      <c r="D6333" s="11" t="s">
        <v>2440</v>
      </c>
      <c r="E6333" s="39" t="s">
        <v>5735</v>
      </c>
      <c r="F6333" s="11" t="s">
        <v>2441</v>
      </c>
      <c r="G6333" s="39" t="s">
        <v>5736</v>
      </c>
      <c r="H6333" s="7">
        <v>0</v>
      </c>
      <c r="I6333" s="7">
        <v>0</v>
      </c>
      <c r="J6333" s="17">
        <v>3</v>
      </c>
      <c r="K6333" s="17"/>
      <c r="L6333" s="7">
        <f t="shared" ref="L6333:L6344" si="2715">SUM(H6333:K6333)</f>
        <v>3</v>
      </c>
      <c r="M6333" s="8">
        <v>1</v>
      </c>
      <c r="N6333" s="8">
        <f t="shared" ref="N6333:N6344" si="2716">IF(L6333&gt;0,1,"")</f>
        <v>1</v>
      </c>
      <c r="O6333" s="11" t="s">
        <v>1702</v>
      </c>
      <c r="P6333" s="16" t="str">
        <f t="shared" ref="P6333:P6344" si="2717">IF(LEN(G6333)=10,CONCATENATE("0",G6333),G6333)</f>
        <v>06-Sep-1917</v>
      </c>
      <c r="R6333" s="16" t="str">
        <f>IF($L6333&gt;0,"x","")</f>
        <v>x</v>
      </c>
      <c r="S6333" s="16" t="str">
        <f>IF($L6333&gt;0,"x","")</f>
        <v>x</v>
      </c>
      <c r="U6333" s="46" t="str">
        <f t="shared" si="2691"/>
        <v/>
      </c>
      <c r="V6333" s="46">
        <f t="shared" si="2691"/>
        <v>3</v>
      </c>
      <c r="W6333" s="46" t="str">
        <f t="shared" si="2691"/>
        <v/>
      </c>
      <c r="X6333" s="46" t="str">
        <f t="shared" si="2691"/>
        <v/>
      </c>
    </row>
    <row r="6334" spans="2:24" x14ac:dyDescent="0.25">
      <c r="B6334" s="11" t="str">
        <f>CONCATENATE("TNMR","-",LEFT(P6334,2),UPPER(MID(P6334,4,3)),RIGHT(P6334,4))</f>
        <v>TNMR-01DEC1917</v>
      </c>
      <c r="C6334" s="11" t="s">
        <v>2439</v>
      </c>
      <c r="D6334" s="11" t="s">
        <v>2440</v>
      </c>
      <c r="E6334" s="39" t="s">
        <v>5383</v>
      </c>
      <c r="F6334" s="11" t="s">
        <v>2441</v>
      </c>
      <c r="G6334" s="39" t="s">
        <v>5384</v>
      </c>
      <c r="H6334" s="7">
        <v>1</v>
      </c>
      <c r="I6334" s="7">
        <v>0</v>
      </c>
      <c r="J6334" s="17">
        <v>7</v>
      </c>
      <c r="K6334" s="17"/>
      <c r="L6334" s="7">
        <f>SUM(H6334:K6334)</f>
        <v>8</v>
      </c>
      <c r="M6334" s="8">
        <v>1</v>
      </c>
      <c r="N6334" s="8">
        <f>IF(L6334&gt;0,1,"")</f>
        <v>1</v>
      </c>
      <c r="O6334" s="11" t="s">
        <v>1702</v>
      </c>
      <c r="P6334" s="16" t="str">
        <f>IF(LEN(G6334)=10,CONCATENATE("0",G6334),G6334)</f>
        <v>01-Dec-1917</v>
      </c>
      <c r="R6334" s="16" t="str">
        <f t="shared" ref="R6334:S6337" si="2718">IF($L6334&gt;0,"x","")</f>
        <v>x</v>
      </c>
      <c r="S6334" s="16" t="str">
        <f t="shared" si="2718"/>
        <v>x</v>
      </c>
      <c r="U6334" s="46" t="str">
        <f>IF($O6334=U$5,$L6334,"")</f>
        <v/>
      </c>
      <c r="V6334" s="46">
        <f>IF($O6334=V$5,$L6334,"")</f>
        <v>8</v>
      </c>
      <c r="W6334" s="46" t="str">
        <f>IF($O6334=W$5,$L6334,"")</f>
        <v/>
      </c>
      <c r="X6334" s="46" t="str">
        <f>IF($O6334=X$5,$L6334,"")</f>
        <v/>
      </c>
    </row>
    <row r="6335" spans="2:24" x14ac:dyDescent="0.25">
      <c r="B6335" s="11" t="str">
        <f>CONCATENATE("TNMR","-",LEFT(P6335,2),UPPER(MID(P6335,4,3)),RIGHT(P6335,4))</f>
        <v>TNMR-23JUL1918</v>
      </c>
      <c r="C6335" s="11" t="s">
        <v>2439</v>
      </c>
      <c r="D6335" s="11" t="s">
        <v>2440</v>
      </c>
      <c r="E6335" s="39" t="s">
        <v>5353</v>
      </c>
      <c r="F6335" s="11" t="s">
        <v>2441</v>
      </c>
      <c r="G6335" s="39" t="s">
        <v>5354</v>
      </c>
      <c r="H6335" s="7">
        <v>0</v>
      </c>
      <c r="I6335" s="7">
        <v>0</v>
      </c>
      <c r="J6335" s="17">
        <v>4</v>
      </c>
      <c r="K6335" s="17"/>
      <c r="L6335" s="7">
        <f>SUM(H6335:K6335)</f>
        <v>4</v>
      </c>
      <c r="M6335" s="8">
        <v>1</v>
      </c>
      <c r="N6335" s="8">
        <f>IF(L6335&gt;0,1,"")</f>
        <v>1</v>
      </c>
      <c r="O6335" s="11" t="s">
        <v>1702</v>
      </c>
      <c r="P6335" s="16" t="str">
        <f>IF(LEN(G6335)=10,CONCATENATE("0",G6335),G6335)</f>
        <v>23-Jul-1918</v>
      </c>
      <c r="R6335" s="16" t="str">
        <f t="shared" si="2718"/>
        <v>x</v>
      </c>
      <c r="S6335" s="16" t="str">
        <f t="shared" si="2718"/>
        <v>x</v>
      </c>
      <c r="U6335" s="46" t="str">
        <f t="shared" ref="U6335:X6337" si="2719">IF($O6335=U$5,$L6335,"")</f>
        <v/>
      </c>
      <c r="V6335" s="46">
        <f t="shared" si="2719"/>
        <v>4</v>
      </c>
      <c r="W6335" s="46" t="str">
        <f t="shared" si="2719"/>
        <v/>
      </c>
      <c r="X6335" s="46" t="str">
        <f t="shared" si="2719"/>
        <v/>
      </c>
    </row>
    <row r="6336" spans="2:24" x14ac:dyDescent="0.25">
      <c r="B6336" s="11" t="str">
        <f>CONCATENATE("TNMR","-",LEFT(P6336,2),UPPER(MID(P6336,4,3)),RIGHT(P6336,4))</f>
        <v>TNMR-26DEC1918</v>
      </c>
      <c r="C6336" s="11" t="s">
        <v>2439</v>
      </c>
      <c r="D6336" s="11" t="s">
        <v>2440</v>
      </c>
      <c r="E6336" s="39" t="s">
        <v>6266</v>
      </c>
      <c r="F6336" s="11" t="s">
        <v>2441</v>
      </c>
      <c r="G6336" s="39" t="s">
        <v>6267</v>
      </c>
      <c r="H6336" s="7">
        <v>1</v>
      </c>
      <c r="I6336" s="7">
        <v>0</v>
      </c>
      <c r="J6336" s="17">
        <v>2</v>
      </c>
      <c r="K6336" s="17"/>
      <c r="L6336" s="7">
        <f>SUM(H6336:K6336)</f>
        <v>3</v>
      </c>
      <c r="M6336" s="8">
        <v>1</v>
      </c>
      <c r="N6336" s="8">
        <f>IF(L6336&gt;0,1,"")</f>
        <v>1</v>
      </c>
      <c r="O6336" s="11" t="s">
        <v>1702</v>
      </c>
      <c r="P6336" s="16" t="str">
        <f>IF(LEN(G6336)=10,CONCATENATE("0",G6336),G6336)</f>
        <v>26-Dec-1918</v>
      </c>
      <c r="R6336" s="16" t="str">
        <f t="shared" si="2718"/>
        <v>x</v>
      </c>
      <c r="S6336" s="16" t="str">
        <f t="shared" si="2718"/>
        <v>x</v>
      </c>
      <c r="U6336" s="46" t="str">
        <f t="shared" si="2719"/>
        <v/>
      </c>
      <c r="V6336" s="46">
        <f t="shared" si="2719"/>
        <v>3</v>
      </c>
      <c r="W6336" s="46" t="str">
        <f t="shared" si="2719"/>
        <v/>
      </c>
      <c r="X6336" s="46" t="str">
        <f t="shared" si="2719"/>
        <v/>
      </c>
    </row>
    <row r="6337" spans="2:24" x14ac:dyDescent="0.25">
      <c r="B6337" s="11" t="str">
        <f>CONCATENATE("TNMR","-",LEFT(P6337,2),UPPER(MID(P6337,4,3)),RIGHT(P6337,4))</f>
        <v>TNMR-15MAR1919</v>
      </c>
      <c r="C6337" s="11" t="s">
        <v>2439</v>
      </c>
      <c r="D6337" s="11" t="s">
        <v>2440</v>
      </c>
      <c r="E6337" s="39" t="s">
        <v>4960</v>
      </c>
      <c r="F6337" s="11" t="s">
        <v>2441</v>
      </c>
      <c r="G6337" s="39" t="s">
        <v>4961</v>
      </c>
      <c r="H6337" s="7">
        <v>0</v>
      </c>
      <c r="I6337" s="7">
        <v>0</v>
      </c>
      <c r="J6337" s="17">
        <v>14</v>
      </c>
      <c r="K6337" s="17"/>
      <c r="L6337" s="7">
        <f>SUM(H6337:K6337)</f>
        <v>14</v>
      </c>
      <c r="M6337" s="8">
        <v>1</v>
      </c>
      <c r="N6337" s="8">
        <f>IF(L6337&gt;0,1,"")</f>
        <v>1</v>
      </c>
      <c r="O6337" s="11" t="s">
        <v>1702</v>
      </c>
      <c r="P6337" s="16" t="str">
        <f>IF(LEN(G6337)=10,CONCATENATE("0",G6337),G6337)</f>
        <v>15-Mar-1919</v>
      </c>
      <c r="R6337" s="16" t="str">
        <f t="shared" si="2718"/>
        <v>x</v>
      </c>
      <c r="S6337" s="16" t="str">
        <f t="shared" si="2718"/>
        <v>x</v>
      </c>
      <c r="U6337" s="46" t="str">
        <f t="shared" si="2719"/>
        <v/>
      </c>
      <c r="V6337" s="46">
        <f t="shared" si="2719"/>
        <v>14</v>
      </c>
      <c r="W6337" s="46" t="str">
        <f t="shared" si="2719"/>
        <v/>
      </c>
      <c r="X6337" s="46" t="str">
        <f t="shared" si="2719"/>
        <v/>
      </c>
    </row>
    <row r="6338" spans="2:24" x14ac:dyDescent="0.25">
      <c r="B6338" s="11" t="str">
        <f t="shared" si="2714"/>
        <v>TNMR-03JUN1919</v>
      </c>
      <c r="C6338" s="11" t="s">
        <v>2439</v>
      </c>
      <c r="D6338" s="11" t="s">
        <v>2440</v>
      </c>
      <c r="E6338" s="39" t="s">
        <v>2442</v>
      </c>
      <c r="F6338" s="11" t="s">
        <v>2441</v>
      </c>
      <c r="G6338" s="39" t="s">
        <v>2443</v>
      </c>
      <c r="H6338" s="7">
        <v>0</v>
      </c>
      <c r="I6338" s="7">
        <v>0</v>
      </c>
      <c r="J6338" s="17">
        <v>22</v>
      </c>
      <c r="K6338" s="17"/>
      <c r="L6338" s="7">
        <f t="shared" si="2715"/>
        <v>22</v>
      </c>
      <c r="M6338" s="8">
        <v>1</v>
      </c>
      <c r="N6338" s="8">
        <f t="shared" si="2716"/>
        <v>1</v>
      </c>
      <c r="O6338" s="11" t="s">
        <v>1702</v>
      </c>
      <c r="P6338" s="16" t="str">
        <f t="shared" si="2717"/>
        <v>03-Jun-1919</v>
      </c>
      <c r="R6338" s="16" t="str">
        <f t="shared" ref="R6338:S6344" si="2720">IF($L6338&gt;0,"x","")</f>
        <v>x</v>
      </c>
      <c r="S6338" s="16" t="str">
        <f t="shared" si="2720"/>
        <v>x</v>
      </c>
      <c r="U6338" s="46" t="str">
        <f t="shared" ref="U6338:X6341" si="2721">IF($O6338=U$5,$L6338,"")</f>
        <v/>
      </c>
      <c r="V6338" s="46">
        <f t="shared" si="2721"/>
        <v>22</v>
      </c>
      <c r="W6338" s="46" t="str">
        <f t="shared" si="2721"/>
        <v/>
      </c>
      <c r="X6338" s="46" t="str">
        <f t="shared" si="2721"/>
        <v/>
      </c>
    </row>
    <row r="6339" spans="2:24" x14ac:dyDescent="0.25">
      <c r="B6339" s="11" t="str">
        <f>CONCATENATE("TNMR","-",LEFT(P6339,2),UPPER(MID(P6339,4,3)),RIGHT(P6339,4))</f>
        <v>TNMR-14JAN1920</v>
      </c>
      <c r="C6339" s="11" t="s">
        <v>2439</v>
      </c>
      <c r="D6339" s="11" t="s">
        <v>2440</v>
      </c>
      <c r="E6339" s="39" t="s">
        <v>4009</v>
      </c>
      <c r="F6339" s="11" t="s">
        <v>2441</v>
      </c>
      <c r="G6339" s="39" t="s">
        <v>5370</v>
      </c>
      <c r="H6339" s="7">
        <v>0</v>
      </c>
      <c r="I6339" s="7">
        <v>0</v>
      </c>
      <c r="J6339" s="17">
        <v>3</v>
      </c>
      <c r="K6339" s="17"/>
      <c r="L6339" s="7">
        <f>SUM(H6339:K6339)</f>
        <v>3</v>
      </c>
      <c r="M6339" s="8">
        <v>1</v>
      </c>
      <c r="N6339" s="8">
        <f>IF(L6339&gt;0,1,"")</f>
        <v>1</v>
      </c>
      <c r="O6339" s="11" t="s">
        <v>1702</v>
      </c>
      <c r="P6339" s="16" t="str">
        <f>IF(LEN(G6339)=10,CONCATENATE("0",G6339),G6339)</f>
        <v>14-Jan-1920</v>
      </c>
      <c r="R6339" s="16" t="str">
        <f>IF($L6339&gt;0,"x","")</f>
        <v>x</v>
      </c>
      <c r="S6339" s="16" t="str">
        <f>IF($L6339&gt;0,"x","")</f>
        <v>x</v>
      </c>
      <c r="U6339" s="46" t="str">
        <f t="shared" si="2721"/>
        <v/>
      </c>
      <c r="V6339" s="46">
        <f t="shared" si="2721"/>
        <v>3</v>
      </c>
      <c r="W6339" s="46" t="str">
        <f t="shared" si="2721"/>
        <v/>
      </c>
      <c r="X6339" s="46" t="str">
        <f t="shared" si="2721"/>
        <v/>
      </c>
    </row>
    <row r="6340" spans="2:24" x14ac:dyDescent="0.25">
      <c r="B6340" s="11" t="str">
        <f t="shared" si="2714"/>
        <v>TNMR-23JUN1920</v>
      </c>
      <c r="C6340" s="11" t="s">
        <v>2439</v>
      </c>
      <c r="D6340" s="11" t="s">
        <v>2440</v>
      </c>
      <c r="E6340" s="39" t="s">
        <v>2034</v>
      </c>
      <c r="F6340" s="11" t="s">
        <v>2441</v>
      </c>
      <c r="G6340" s="39" t="s">
        <v>5218</v>
      </c>
      <c r="H6340" s="7">
        <v>0</v>
      </c>
      <c r="I6340" s="7">
        <v>0</v>
      </c>
      <c r="J6340" s="17">
        <v>1</v>
      </c>
      <c r="K6340" s="17"/>
      <c r="L6340" s="7">
        <f t="shared" si="2715"/>
        <v>1</v>
      </c>
      <c r="M6340" s="8">
        <v>1</v>
      </c>
      <c r="N6340" s="8">
        <f t="shared" si="2716"/>
        <v>1</v>
      </c>
      <c r="O6340" s="11" t="s">
        <v>1702</v>
      </c>
      <c r="P6340" s="16" t="str">
        <f t="shared" si="2717"/>
        <v>23-Jun-1920</v>
      </c>
      <c r="R6340" s="16" t="str">
        <f t="shared" si="2720"/>
        <v>x</v>
      </c>
      <c r="S6340" s="16" t="str">
        <f t="shared" si="2720"/>
        <v>x</v>
      </c>
      <c r="U6340" s="46" t="str">
        <f t="shared" si="2721"/>
        <v/>
      </c>
      <c r="V6340" s="46">
        <f t="shared" si="2721"/>
        <v>1</v>
      </c>
      <c r="W6340" s="46" t="str">
        <f t="shared" si="2721"/>
        <v/>
      </c>
      <c r="X6340" s="46" t="str">
        <f t="shared" si="2721"/>
        <v/>
      </c>
    </row>
    <row r="6341" spans="2:24" x14ac:dyDescent="0.25">
      <c r="B6341" s="11" t="str">
        <f t="shared" si="2714"/>
        <v>TNMR-24NOV1920</v>
      </c>
      <c r="C6341" s="11" t="s">
        <v>2439</v>
      </c>
      <c r="D6341" s="11" t="s">
        <v>2440</v>
      </c>
      <c r="E6341" s="39" t="s">
        <v>2419</v>
      </c>
      <c r="F6341" s="11" t="s">
        <v>2441</v>
      </c>
      <c r="G6341" s="39" t="s">
        <v>2557</v>
      </c>
      <c r="H6341" s="7">
        <v>0</v>
      </c>
      <c r="I6341" s="7">
        <v>0</v>
      </c>
      <c r="J6341" s="17">
        <v>2</v>
      </c>
      <c r="K6341" s="17"/>
      <c r="L6341" s="7">
        <f t="shared" si="2715"/>
        <v>2</v>
      </c>
      <c r="M6341" s="8">
        <v>1</v>
      </c>
      <c r="N6341" s="8">
        <f t="shared" si="2716"/>
        <v>1</v>
      </c>
      <c r="O6341" s="11" t="s">
        <v>1702</v>
      </c>
      <c r="P6341" s="16" t="str">
        <f t="shared" si="2717"/>
        <v>24-Nov-1920</v>
      </c>
      <c r="R6341" s="16" t="str">
        <f>IF($L6341&gt;0,"x","")</f>
        <v>x</v>
      </c>
      <c r="S6341" s="16" t="str">
        <f>IF($L6341&gt;0,"x","")</f>
        <v>x</v>
      </c>
      <c r="U6341" s="46" t="str">
        <f t="shared" si="2721"/>
        <v/>
      </c>
      <c r="V6341" s="46">
        <f t="shared" si="2721"/>
        <v>2</v>
      </c>
      <c r="W6341" s="46" t="str">
        <f t="shared" si="2721"/>
        <v/>
      </c>
      <c r="X6341" s="46" t="str">
        <f t="shared" si="2721"/>
        <v/>
      </c>
    </row>
    <row r="6342" spans="2:24" x14ac:dyDescent="0.25">
      <c r="B6342" s="11" t="str">
        <f t="shared" si="2714"/>
        <v>TNMR-07OCT1921</v>
      </c>
      <c r="C6342" s="11" t="s">
        <v>2439</v>
      </c>
      <c r="D6342" s="11" t="s">
        <v>4383</v>
      </c>
      <c r="E6342" s="39" t="s">
        <v>4384</v>
      </c>
      <c r="F6342" s="11" t="s">
        <v>2441</v>
      </c>
      <c r="G6342" s="39" t="s">
        <v>4382</v>
      </c>
      <c r="H6342" s="7">
        <v>3</v>
      </c>
      <c r="I6342" s="7">
        <v>0</v>
      </c>
      <c r="J6342" s="17">
        <v>0</v>
      </c>
      <c r="K6342" s="17"/>
      <c r="L6342" s="7">
        <f t="shared" si="2715"/>
        <v>3</v>
      </c>
      <c r="M6342" s="8">
        <v>1</v>
      </c>
      <c r="N6342" s="8">
        <f t="shared" si="2716"/>
        <v>1</v>
      </c>
      <c r="O6342" s="11" t="s">
        <v>1702</v>
      </c>
      <c r="P6342" s="16" t="str">
        <f t="shared" si="2717"/>
        <v>07-Oct-1921</v>
      </c>
      <c r="R6342" s="16" t="str">
        <f>IF($L6342&gt;0,"x","")</f>
        <v>x</v>
      </c>
      <c r="S6342" s="16" t="str">
        <f>IF($L6342&gt;0,"x","")</f>
        <v>x</v>
      </c>
      <c r="U6342" s="46" t="str">
        <f t="shared" si="2691"/>
        <v/>
      </c>
      <c r="V6342" s="46">
        <f t="shared" si="2691"/>
        <v>3</v>
      </c>
      <c r="W6342" s="46" t="str">
        <f t="shared" si="2691"/>
        <v/>
      </c>
      <c r="X6342" s="46" t="str">
        <f t="shared" si="2691"/>
        <v/>
      </c>
    </row>
    <row r="6343" spans="2:24" x14ac:dyDescent="0.25">
      <c r="B6343" s="11" t="str">
        <f>CONCATENATE("TNMR","-",LEFT(P6343,2),UPPER(MID(P6343,4,3)),RIGHT(P6343,4))</f>
        <v>TNMR-07OCT1921</v>
      </c>
      <c r="C6343" s="11" t="s">
        <v>2439</v>
      </c>
      <c r="D6343" s="11" t="s">
        <v>2440</v>
      </c>
      <c r="E6343" s="39" t="s">
        <v>4381</v>
      </c>
      <c r="F6343" s="11" t="s">
        <v>2441</v>
      </c>
      <c r="G6343" s="39" t="s">
        <v>4382</v>
      </c>
      <c r="H6343" s="7">
        <v>0</v>
      </c>
      <c r="I6343" s="7">
        <v>0</v>
      </c>
      <c r="J6343" s="17">
        <f>7+1</f>
        <v>8</v>
      </c>
      <c r="K6343" s="17"/>
      <c r="L6343" s="7">
        <f>SUM(H6343:K6343)</f>
        <v>8</v>
      </c>
      <c r="M6343" s="8">
        <v>1</v>
      </c>
      <c r="N6343" s="8">
        <f>IF(L6343&gt;0,1,"")</f>
        <v>1</v>
      </c>
      <c r="O6343" s="11" t="s">
        <v>1702</v>
      </c>
      <c r="P6343" s="16" t="str">
        <f>IF(LEN(G6343)=10,CONCATENATE("0",G6343),G6343)</f>
        <v>07-Oct-1921</v>
      </c>
      <c r="R6343" s="16" t="str">
        <f t="shared" si="2720"/>
        <v>x</v>
      </c>
      <c r="S6343" s="16" t="str">
        <f t="shared" si="2720"/>
        <v>x</v>
      </c>
      <c r="U6343" s="46" t="str">
        <f>IF($O6343=U$5,$L6343,"")</f>
        <v/>
      </c>
      <c r="V6343" s="46">
        <f>IF($O6343=V$5,$L6343,"")</f>
        <v>8</v>
      </c>
      <c r="W6343" s="46" t="str">
        <f>IF($O6343=W$5,$L6343,"")</f>
        <v/>
      </c>
      <c r="X6343" s="46" t="str">
        <f>IF($O6343=X$5,$L6343,"")</f>
        <v/>
      </c>
    </row>
    <row r="6344" spans="2:24" x14ac:dyDescent="0.25">
      <c r="B6344" s="11" t="str">
        <f t="shared" si="2714"/>
        <v>TNMR-20APR1926</v>
      </c>
      <c r="C6344" s="11" t="s">
        <v>2439</v>
      </c>
      <c r="D6344" s="11" t="s">
        <v>2440</v>
      </c>
      <c r="E6344" s="39" t="s">
        <v>6093</v>
      </c>
      <c r="F6344" s="11" t="s">
        <v>2441</v>
      </c>
      <c r="G6344" s="39" t="s">
        <v>11167</v>
      </c>
      <c r="H6344" s="7">
        <v>0</v>
      </c>
      <c r="I6344" s="7">
        <v>0</v>
      </c>
      <c r="J6344" s="17">
        <v>5</v>
      </c>
      <c r="K6344" s="17"/>
      <c r="L6344" s="7">
        <f t="shared" si="2715"/>
        <v>5</v>
      </c>
      <c r="M6344" s="8">
        <v>1</v>
      </c>
      <c r="N6344" s="8">
        <f t="shared" si="2716"/>
        <v>1</v>
      </c>
      <c r="O6344" s="11" t="s">
        <v>1702</v>
      </c>
      <c r="P6344" s="16" t="str">
        <f t="shared" si="2717"/>
        <v>20-Apr-1926</v>
      </c>
      <c r="R6344" s="16" t="str">
        <f t="shared" si="2720"/>
        <v>x</v>
      </c>
      <c r="S6344" s="16" t="str">
        <f t="shared" si="2720"/>
        <v>x</v>
      </c>
      <c r="U6344" s="46" t="str">
        <f t="shared" si="2691"/>
        <v/>
      </c>
      <c r="V6344" s="46">
        <f t="shared" si="2691"/>
        <v>5</v>
      </c>
      <c r="W6344" s="46" t="str">
        <f t="shared" si="2691"/>
        <v/>
      </c>
      <c r="X6344" s="46" t="str">
        <f t="shared" si="2691"/>
        <v/>
      </c>
    </row>
    <row r="6345" spans="2:24" x14ac:dyDescent="0.25">
      <c r="N6345" s="8" t="str">
        <f>IF(R6345="x",1,"")</f>
        <v/>
      </c>
      <c r="U6345" s="46" t="str">
        <f t="shared" si="2691"/>
        <v/>
      </c>
      <c r="V6345" s="46" t="str">
        <f t="shared" si="2691"/>
        <v/>
      </c>
      <c r="W6345" s="46" t="str">
        <f t="shared" si="2691"/>
        <v/>
      </c>
      <c r="X6345" s="46" t="str">
        <f t="shared" si="2691"/>
        <v/>
      </c>
    </row>
    <row r="6346" spans="2:24" x14ac:dyDescent="0.25">
      <c r="B6346" s="18"/>
      <c r="C6346" s="18"/>
      <c r="D6346" s="18"/>
      <c r="E6346" s="40"/>
      <c r="F6346" s="18"/>
      <c r="G6346" s="40"/>
      <c r="H6346" s="7">
        <f t="shared" ref="H6346:N6346" si="2722">SUM(H6333:H6345)</f>
        <v>5</v>
      </c>
      <c r="I6346" s="7">
        <f t="shared" si="2722"/>
        <v>0</v>
      </c>
      <c r="J6346" s="7">
        <f>SUM(J6333:J6345)</f>
        <v>71</v>
      </c>
      <c r="K6346" s="7">
        <f t="shared" si="2722"/>
        <v>0</v>
      </c>
      <c r="L6346" s="7">
        <f t="shared" si="2722"/>
        <v>76</v>
      </c>
      <c r="M6346" s="7">
        <f t="shared" si="2722"/>
        <v>12</v>
      </c>
      <c r="N6346" s="7">
        <f t="shared" si="2722"/>
        <v>12</v>
      </c>
      <c r="O6346" s="18"/>
      <c r="P6346" s="13"/>
      <c r="Q6346" s="13"/>
      <c r="S6346" s="13"/>
      <c r="T6346" s="15"/>
      <c r="U6346" s="46" t="str">
        <f t="shared" si="2691"/>
        <v/>
      </c>
      <c r="V6346" s="46" t="str">
        <f t="shared" si="2691"/>
        <v/>
      </c>
      <c r="W6346" s="46" t="str">
        <f t="shared" si="2691"/>
        <v/>
      </c>
      <c r="X6346" s="46" t="str">
        <f t="shared" si="2691"/>
        <v/>
      </c>
    </row>
    <row r="6347" spans="2:24" x14ac:dyDescent="0.25">
      <c r="B6347" s="18"/>
      <c r="C6347" s="18"/>
      <c r="D6347" s="18"/>
      <c r="E6347" s="40"/>
      <c r="F6347" s="18"/>
      <c r="G6347" s="40"/>
      <c r="N6347" s="8" t="str">
        <f>IF(R6347="x",1,"")</f>
        <v/>
      </c>
      <c r="O6347" s="18"/>
      <c r="P6347" s="13"/>
      <c r="Q6347" s="13"/>
      <c r="R6347" s="13"/>
      <c r="S6347" s="13"/>
      <c r="T6347" s="15"/>
      <c r="U6347" s="46" t="str">
        <f t="shared" si="2691"/>
        <v/>
      </c>
      <c r="V6347" s="46" t="str">
        <f t="shared" si="2691"/>
        <v/>
      </c>
      <c r="W6347" s="46" t="str">
        <f t="shared" si="2691"/>
        <v/>
      </c>
      <c r="X6347" s="46" t="str">
        <f t="shared" si="2691"/>
        <v/>
      </c>
    </row>
    <row r="6348" spans="2:24" x14ac:dyDescent="0.25">
      <c r="B6348" s="18"/>
      <c r="C6348" s="18"/>
      <c r="D6348" s="18"/>
      <c r="E6348" s="40"/>
      <c r="F6348" s="18"/>
      <c r="G6348" s="40"/>
      <c r="N6348" s="8" t="str">
        <f>IF(R6348="x",1,"")</f>
        <v/>
      </c>
      <c r="O6348" s="18"/>
      <c r="P6348" s="13"/>
      <c r="Q6348" s="13"/>
      <c r="R6348" s="13"/>
      <c r="S6348" s="13"/>
      <c r="T6348" s="15"/>
      <c r="U6348" s="46" t="str">
        <f t="shared" si="2691"/>
        <v/>
      </c>
      <c r="V6348" s="46" t="str">
        <f t="shared" si="2691"/>
        <v/>
      </c>
      <c r="W6348" s="46" t="str">
        <f t="shared" si="2691"/>
        <v/>
      </c>
      <c r="X6348" s="46" t="str">
        <f t="shared" si="2691"/>
        <v/>
      </c>
    </row>
    <row r="6349" spans="2:24" x14ac:dyDescent="0.25">
      <c r="B6349" s="11" t="str">
        <f t="shared" ref="B6349:B6363" si="2723">CONCATENATE("TEUT","-",LEFT(P6349,2),UPPER(MID(P6349,4,3)),RIGHT(P6349,4))</f>
        <v>TEUT-25AUG1904</v>
      </c>
      <c r="C6349" s="11" t="s">
        <v>3404</v>
      </c>
      <c r="D6349" s="11" t="s">
        <v>2097</v>
      </c>
      <c r="E6349" s="39" t="s">
        <v>5593</v>
      </c>
      <c r="F6349" s="11" t="s">
        <v>1700</v>
      </c>
      <c r="G6349" s="39" t="s">
        <v>5594</v>
      </c>
      <c r="H6349" s="7">
        <v>0</v>
      </c>
      <c r="I6349" s="7">
        <v>0</v>
      </c>
      <c r="J6349" s="17">
        <v>7</v>
      </c>
      <c r="K6349" s="17"/>
      <c r="L6349" s="7">
        <f t="shared" ref="L6349:L6363" si="2724">SUM(H6349:K6349)</f>
        <v>7</v>
      </c>
      <c r="M6349" s="8">
        <v>1</v>
      </c>
      <c r="N6349" s="8">
        <f t="shared" ref="N6349:N6363" si="2725">IF(L6349&gt;0,1,"")</f>
        <v>1</v>
      </c>
      <c r="O6349" s="11" t="s">
        <v>1702</v>
      </c>
      <c r="P6349" s="16" t="str">
        <f t="shared" ref="P6349:P6363" si="2726">IF(LEN(G6349)=10,CONCATENATE("0",G6349),G6349)</f>
        <v>25-Aug-1904</v>
      </c>
      <c r="R6349" s="16" t="str">
        <f t="shared" ref="R6349:S6351" si="2727">IF($L6349&gt;0,"x","")</f>
        <v>x</v>
      </c>
      <c r="S6349" s="16" t="str">
        <f t="shared" si="2727"/>
        <v>x</v>
      </c>
      <c r="U6349" s="46" t="str">
        <f t="shared" si="2691"/>
        <v/>
      </c>
      <c r="V6349" s="46">
        <f t="shared" si="2691"/>
        <v>7</v>
      </c>
      <c r="W6349" s="46" t="str">
        <f t="shared" si="2691"/>
        <v/>
      </c>
      <c r="X6349" s="46" t="str">
        <f t="shared" si="2691"/>
        <v/>
      </c>
    </row>
    <row r="6350" spans="2:24" x14ac:dyDescent="0.25">
      <c r="B6350" s="11" t="str">
        <f t="shared" ref="B6350:B6355" si="2728">CONCATENATE("TEUT","-",LEFT(P6350,2),UPPER(MID(P6350,4,3)),RIGHT(P6350,4))</f>
        <v>TEUT-02FEB1905</v>
      </c>
      <c r="C6350" s="11" t="s">
        <v>3404</v>
      </c>
      <c r="D6350" s="11" t="s">
        <v>2097</v>
      </c>
      <c r="E6350" s="39" t="s">
        <v>6055</v>
      </c>
      <c r="F6350" s="11" t="s">
        <v>1700</v>
      </c>
      <c r="G6350" s="39" t="s">
        <v>11453</v>
      </c>
      <c r="H6350" s="7">
        <v>0</v>
      </c>
      <c r="I6350" s="7">
        <v>4</v>
      </c>
      <c r="J6350" s="17">
        <v>1</v>
      </c>
      <c r="K6350" s="17"/>
      <c r="L6350" s="7">
        <f t="shared" ref="L6350:L6355" si="2729">SUM(H6350:K6350)</f>
        <v>5</v>
      </c>
      <c r="M6350" s="8">
        <v>1</v>
      </c>
      <c r="N6350" s="8">
        <f t="shared" ref="N6350:N6355" si="2730">IF(L6350&gt;0,1,"")</f>
        <v>1</v>
      </c>
      <c r="O6350" s="11" t="s">
        <v>1702</v>
      </c>
      <c r="P6350" s="16" t="str">
        <f t="shared" ref="P6350:P6355" si="2731">IF(LEN(G6350)=10,CONCATENATE("0",G6350),G6350)</f>
        <v>02-Feb-1905</v>
      </c>
      <c r="R6350" s="16" t="str">
        <f t="shared" si="2727"/>
        <v>x</v>
      </c>
      <c r="S6350" s="16" t="str">
        <f t="shared" si="2727"/>
        <v>x</v>
      </c>
      <c r="U6350" s="46" t="str">
        <f t="shared" ref="U6350:X6352" si="2732">IF($O6350=U$5,$L6350,"")</f>
        <v/>
      </c>
      <c r="V6350" s="46">
        <f t="shared" si="2732"/>
        <v>5</v>
      </c>
      <c r="W6350" s="46" t="str">
        <f t="shared" si="2732"/>
        <v/>
      </c>
      <c r="X6350" s="46" t="str">
        <f t="shared" si="2732"/>
        <v/>
      </c>
    </row>
    <row r="6351" spans="2:24" x14ac:dyDescent="0.25">
      <c r="B6351" s="11" t="str">
        <f t="shared" si="2728"/>
        <v>TEUT-21JUN1906</v>
      </c>
      <c r="C6351" s="11" t="s">
        <v>3404</v>
      </c>
      <c r="D6351" s="11" t="s">
        <v>2097</v>
      </c>
      <c r="E6351" s="39" t="s">
        <v>6062</v>
      </c>
      <c r="F6351" s="11" t="s">
        <v>1700</v>
      </c>
      <c r="G6351" s="39" t="s">
        <v>4521</v>
      </c>
      <c r="H6351" s="7">
        <v>0</v>
      </c>
      <c r="I6351" s="7">
        <v>0</v>
      </c>
      <c r="J6351" s="17">
        <v>1</v>
      </c>
      <c r="K6351" s="17"/>
      <c r="L6351" s="7">
        <f t="shared" si="2729"/>
        <v>1</v>
      </c>
      <c r="M6351" s="8">
        <v>1</v>
      </c>
      <c r="N6351" s="8">
        <f t="shared" si="2730"/>
        <v>1</v>
      </c>
      <c r="O6351" s="11" t="s">
        <v>1702</v>
      </c>
      <c r="P6351" s="16" t="str">
        <f t="shared" si="2731"/>
        <v>21-Jun-1906</v>
      </c>
      <c r="R6351" s="16" t="str">
        <f t="shared" si="2727"/>
        <v>x</v>
      </c>
      <c r="S6351" s="16" t="str">
        <f t="shared" si="2727"/>
        <v>x</v>
      </c>
      <c r="U6351" s="46" t="str">
        <f t="shared" si="2732"/>
        <v/>
      </c>
      <c r="V6351" s="46">
        <f t="shared" si="2732"/>
        <v>1</v>
      </c>
      <c r="W6351" s="46" t="str">
        <f t="shared" si="2732"/>
        <v/>
      </c>
      <c r="X6351" s="46" t="str">
        <f t="shared" si="2732"/>
        <v/>
      </c>
    </row>
    <row r="6352" spans="2:24" x14ac:dyDescent="0.25">
      <c r="B6352" s="11" t="str">
        <f t="shared" si="2728"/>
        <v>TEUT-07NOV1907</v>
      </c>
      <c r="C6352" s="11" t="s">
        <v>3404</v>
      </c>
      <c r="D6352" s="11" t="s">
        <v>2224</v>
      </c>
      <c r="E6352" s="39" t="s">
        <v>3406</v>
      </c>
      <c r="F6352" s="11" t="s">
        <v>1700</v>
      </c>
      <c r="G6352" s="39" t="s">
        <v>3405</v>
      </c>
      <c r="J6352" s="17">
        <v>3</v>
      </c>
      <c r="K6352" s="17"/>
      <c r="L6352" s="7">
        <f t="shared" si="2729"/>
        <v>3</v>
      </c>
      <c r="M6352" s="8">
        <v>1</v>
      </c>
      <c r="N6352" s="8">
        <f t="shared" si="2730"/>
        <v>1</v>
      </c>
      <c r="O6352" s="11" t="s">
        <v>1702</v>
      </c>
      <c r="P6352" s="16" t="str">
        <f t="shared" si="2731"/>
        <v>07-Nov-1907</v>
      </c>
      <c r="R6352" s="16" t="str">
        <f t="shared" ref="R6352:S6363" si="2733">IF($L6352&gt;0,"x","")</f>
        <v>x</v>
      </c>
      <c r="S6352" s="16" t="str">
        <f t="shared" si="2733"/>
        <v>x</v>
      </c>
      <c r="U6352" s="46" t="str">
        <f t="shared" si="2732"/>
        <v/>
      </c>
      <c r="V6352" s="46">
        <f t="shared" si="2732"/>
        <v>3</v>
      </c>
      <c r="W6352" s="46" t="str">
        <f t="shared" si="2732"/>
        <v/>
      </c>
      <c r="X6352" s="46" t="str">
        <f t="shared" si="2732"/>
        <v/>
      </c>
    </row>
    <row r="6353" spans="2:24" x14ac:dyDescent="0.25">
      <c r="B6353" s="11" t="str">
        <f t="shared" si="2728"/>
        <v>TEUT-04JUN1908</v>
      </c>
      <c r="C6353" s="11" t="s">
        <v>3404</v>
      </c>
      <c r="D6353" s="11" t="s">
        <v>2224</v>
      </c>
      <c r="E6353" s="39" t="s">
        <v>5902</v>
      </c>
      <c r="F6353" s="11" t="s">
        <v>1700</v>
      </c>
      <c r="G6353" s="39" t="s">
        <v>5903</v>
      </c>
      <c r="H6353" s="7">
        <v>0</v>
      </c>
      <c r="I6353" s="7">
        <v>2</v>
      </c>
      <c r="J6353" s="17">
        <v>1</v>
      </c>
      <c r="K6353" s="17"/>
      <c r="L6353" s="7">
        <f t="shared" si="2729"/>
        <v>3</v>
      </c>
      <c r="M6353" s="8">
        <v>1</v>
      </c>
      <c r="N6353" s="8">
        <f t="shared" si="2730"/>
        <v>1</v>
      </c>
      <c r="O6353" s="11" t="s">
        <v>1702</v>
      </c>
      <c r="P6353" s="16" t="str">
        <f t="shared" si="2731"/>
        <v>04-Jun-1908</v>
      </c>
      <c r="R6353" s="16" t="str">
        <f t="shared" si="2733"/>
        <v>x</v>
      </c>
      <c r="S6353" s="16" t="str">
        <f t="shared" si="2733"/>
        <v>x</v>
      </c>
      <c r="U6353" s="46" t="str">
        <f t="shared" ref="U6353:X6355" si="2734">IF($O6353=U$5,$L6353,"")</f>
        <v/>
      </c>
      <c r="V6353" s="46">
        <f t="shared" si="2734"/>
        <v>3</v>
      </c>
      <c r="W6353" s="46" t="str">
        <f t="shared" si="2734"/>
        <v/>
      </c>
      <c r="X6353" s="46" t="str">
        <f t="shared" si="2734"/>
        <v/>
      </c>
    </row>
    <row r="6354" spans="2:24" x14ac:dyDescent="0.25">
      <c r="B6354" s="11" t="str">
        <f t="shared" si="2728"/>
        <v>TEUT-30JUL1908</v>
      </c>
      <c r="C6354" s="11" t="s">
        <v>3404</v>
      </c>
      <c r="D6354" s="11" t="s">
        <v>2224</v>
      </c>
      <c r="E6354" s="39" t="s">
        <v>4054</v>
      </c>
      <c r="F6354" s="11" t="s">
        <v>1700</v>
      </c>
      <c r="G6354" s="39" t="s">
        <v>4061</v>
      </c>
      <c r="H6354" s="7">
        <v>0</v>
      </c>
      <c r="I6354" s="7">
        <v>0</v>
      </c>
      <c r="J6354" s="17">
        <v>1</v>
      </c>
      <c r="K6354" s="17"/>
      <c r="L6354" s="7">
        <f t="shared" si="2729"/>
        <v>1</v>
      </c>
      <c r="M6354" s="8">
        <v>1</v>
      </c>
      <c r="N6354" s="8">
        <f t="shared" si="2730"/>
        <v>1</v>
      </c>
      <c r="O6354" s="11" t="s">
        <v>1702</v>
      </c>
      <c r="P6354" s="16" t="str">
        <f t="shared" si="2731"/>
        <v>30-Jul-1908</v>
      </c>
      <c r="R6354" s="16" t="str">
        <f t="shared" si="2733"/>
        <v>x</v>
      </c>
      <c r="S6354" s="16" t="str">
        <f t="shared" si="2733"/>
        <v>x</v>
      </c>
      <c r="U6354" s="46" t="str">
        <f t="shared" si="2734"/>
        <v/>
      </c>
      <c r="V6354" s="46">
        <f t="shared" si="2734"/>
        <v>1</v>
      </c>
      <c r="W6354" s="46" t="str">
        <f t="shared" si="2734"/>
        <v/>
      </c>
      <c r="X6354" s="46" t="str">
        <f t="shared" si="2734"/>
        <v/>
      </c>
    </row>
    <row r="6355" spans="2:24" x14ac:dyDescent="0.25">
      <c r="B6355" s="11" t="str">
        <f t="shared" si="2728"/>
        <v>TEUT-18DEC1908</v>
      </c>
      <c r="C6355" s="11" t="s">
        <v>3404</v>
      </c>
      <c r="D6355" s="11" t="s">
        <v>2224</v>
      </c>
      <c r="E6355" s="39" t="s">
        <v>6275</v>
      </c>
      <c r="F6355" s="11" t="s">
        <v>1700</v>
      </c>
      <c r="G6355" s="39" t="s">
        <v>6276</v>
      </c>
      <c r="I6355" s="7">
        <v>2</v>
      </c>
      <c r="J6355" s="17">
        <v>4</v>
      </c>
      <c r="K6355" s="17"/>
      <c r="L6355" s="7">
        <f t="shared" si="2729"/>
        <v>6</v>
      </c>
      <c r="M6355" s="8">
        <v>1</v>
      </c>
      <c r="N6355" s="8">
        <f t="shared" si="2730"/>
        <v>1</v>
      </c>
      <c r="O6355" s="11" t="s">
        <v>1702</v>
      </c>
      <c r="P6355" s="16" t="str">
        <f t="shared" si="2731"/>
        <v>18-Dec-1908</v>
      </c>
      <c r="R6355" s="16" t="str">
        <f t="shared" si="2733"/>
        <v>x</v>
      </c>
      <c r="S6355" s="16" t="str">
        <f t="shared" si="2733"/>
        <v>x</v>
      </c>
      <c r="U6355" s="46" t="str">
        <f t="shared" si="2734"/>
        <v/>
      </c>
      <c r="V6355" s="46">
        <f t="shared" si="2734"/>
        <v>6</v>
      </c>
      <c r="W6355" s="46" t="str">
        <f t="shared" si="2734"/>
        <v/>
      </c>
      <c r="X6355" s="46" t="str">
        <f t="shared" si="2734"/>
        <v/>
      </c>
    </row>
    <row r="6356" spans="2:24" x14ac:dyDescent="0.25">
      <c r="B6356" s="11" t="str">
        <f t="shared" si="2723"/>
        <v>TEUT-13JAN1909</v>
      </c>
      <c r="C6356" s="11" t="s">
        <v>3404</v>
      </c>
      <c r="D6356" s="11" t="s">
        <v>2224</v>
      </c>
      <c r="E6356" s="39" t="s">
        <v>5874</v>
      </c>
      <c r="F6356" s="11" t="s">
        <v>1700</v>
      </c>
      <c r="G6356" s="39" t="s">
        <v>5875</v>
      </c>
      <c r="H6356" s="7">
        <v>0</v>
      </c>
      <c r="I6356" s="7">
        <v>0</v>
      </c>
      <c r="J6356" s="17">
        <v>6</v>
      </c>
      <c r="K6356" s="17"/>
      <c r="L6356" s="7">
        <f t="shared" si="2724"/>
        <v>6</v>
      </c>
      <c r="M6356" s="8">
        <v>1</v>
      </c>
      <c r="N6356" s="8">
        <f t="shared" si="2725"/>
        <v>1</v>
      </c>
      <c r="O6356" s="11" t="s">
        <v>1702</v>
      </c>
      <c r="P6356" s="16" t="str">
        <f t="shared" si="2726"/>
        <v>13-Jan-1909</v>
      </c>
      <c r="R6356" s="16" t="str">
        <f t="shared" si="2733"/>
        <v>x</v>
      </c>
      <c r="S6356" s="16" t="str">
        <f t="shared" si="2733"/>
        <v>x</v>
      </c>
      <c r="U6356" s="46" t="str">
        <f t="shared" si="2691"/>
        <v/>
      </c>
      <c r="V6356" s="46">
        <f t="shared" si="2691"/>
        <v>6</v>
      </c>
      <c r="W6356" s="46" t="str">
        <f t="shared" si="2691"/>
        <v/>
      </c>
      <c r="X6356" s="46" t="str">
        <f t="shared" si="2691"/>
        <v/>
      </c>
    </row>
    <row r="6357" spans="2:24" x14ac:dyDescent="0.25">
      <c r="B6357" s="11" t="str">
        <f>CONCATENATE("TEUT","-",LEFT(P6357,2),UPPER(MID(P6357,4,3)),RIGHT(P6357,4))</f>
        <v>TEUT-17MAR1909</v>
      </c>
      <c r="C6357" s="11" t="s">
        <v>3404</v>
      </c>
      <c r="D6357" s="11" t="s">
        <v>3619</v>
      </c>
      <c r="E6357" s="39" t="s">
        <v>5669</v>
      </c>
      <c r="F6357" s="11" t="s">
        <v>1700</v>
      </c>
      <c r="G6357" s="39" t="s">
        <v>4854</v>
      </c>
      <c r="H6357" s="7">
        <v>0</v>
      </c>
      <c r="I6357" s="7">
        <v>3</v>
      </c>
      <c r="J6357" s="17">
        <v>0</v>
      </c>
      <c r="K6357" s="17"/>
      <c r="L6357" s="7">
        <f>SUM(H6357:K6357)</f>
        <v>3</v>
      </c>
      <c r="M6357" s="8">
        <v>1</v>
      </c>
      <c r="N6357" s="8">
        <f>IF(L6357&gt;0,1,"")</f>
        <v>1</v>
      </c>
      <c r="O6357" s="11" t="s">
        <v>1702</v>
      </c>
      <c r="P6357" s="16" t="str">
        <f>IF(LEN(G6357)=10,CONCATENATE("0",G6357),G6357)</f>
        <v>17-Mar-1909</v>
      </c>
      <c r="R6357" s="16" t="str">
        <f>IF($L6357&gt;0,"x","")</f>
        <v>x</v>
      </c>
      <c r="S6357" s="16" t="str">
        <f>IF($L6357&gt;0,"x","")</f>
        <v>x</v>
      </c>
      <c r="U6357" s="46" t="str">
        <f>IF($O6357=U$5,$L6357,"")</f>
        <v/>
      </c>
      <c r="V6357" s="46">
        <f>IF($O6357=V$5,$L6357,"")</f>
        <v>3</v>
      </c>
      <c r="W6357" s="46" t="str">
        <f>IF($O6357=W$5,$L6357,"")</f>
        <v/>
      </c>
      <c r="X6357" s="46" t="str">
        <f>IF($O6357=X$5,$L6357,"")</f>
        <v/>
      </c>
    </row>
    <row r="6358" spans="2:24" x14ac:dyDescent="0.25">
      <c r="B6358" s="11" t="str">
        <f t="shared" si="2723"/>
        <v>TEUT-29SEP1909</v>
      </c>
      <c r="C6358" s="11" t="s">
        <v>3404</v>
      </c>
      <c r="D6358" s="11" t="s">
        <v>2224</v>
      </c>
      <c r="E6358" s="39" t="s">
        <v>3481</v>
      </c>
      <c r="F6358" s="11" t="s">
        <v>1700</v>
      </c>
      <c r="G6358" s="39" t="s">
        <v>3844</v>
      </c>
      <c r="H6358" s="7">
        <v>0</v>
      </c>
      <c r="I6358" s="7">
        <v>1</v>
      </c>
      <c r="J6358" s="17">
        <v>3</v>
      </c>
      <c r="K6358" s="17"/>
      <c r="L6358" s="7">
        <f t="shared" si="2724"/>
        <v>4</v>
      </c>
      <c r="M6358" s="8">
        <v>1</v>
      </c>
      <c r="N6358" s="8">
        <f t="shared" si="2725"/>
        <v>1</v>
      </c>
      <c r="O6358" s="11" t="s">
        <v>1702</v>
      </c>
      <c r="P6358" s="16" t="str">
        <f t="shared" si="2726"/>
        <v>29-Sep-1909</v>
      </c>
      <c r="R6358" s="16" t="str">
        <f t="shared" si="2733"/>
        <v>x</v>
      </c>
      <c r="S6358" s="16" t="str">
        <f t="shared" si="2733"/>
        <v>x</v>
      </c>
      <c r="U6358" s="46" t="str">
        <f t="shared" si="2691"/>
        <v/>
      </c>
      <c r="V6358" s="46">
        <f t="shared" si="2691"/>
        <v>4</v>
      </c>
      <c r="W6358" s="46" t="str">
        <f t="shared" si="2691"/>
        <v/>
      </c>
      <c r="X6358" s="46" t="str">
        <f t="shared" si="2691"/>
        <v/>
      </c>
    </row>
    <row r="6359" spans="2:24" x14ac:dyDescent="0.25">
      <c r="B6359" s="11" t="str">
        <f t="shared" si="2723"/>
        <v>TEUT-26NOV1909</v>
      </c>
      <c r="C6359" s="11" t="s">
        <v>3404</v>
      </c>
      <c r="D6359" s="11" t="s">
        <v>2224</v>
      </c>
      <c r="E6359" s="39" t="s">
        <v>3848</v>
      </c>
      <c r="F6359" s="11" t="s">
        <v>1700</v>
      </c>
      <c r="G6359" s="39" t="s">
        <v>3849</v>
      </c>
      <c r="I6359" s="7">
        <v>0</v>
      </c>
      <c r="J6359" s="17">
        <v>1</v>
      </c>
      <c r="K6359" s="17"/>
      <c r="L6359" s="7">
        <f t="shared" si="2724"/>
        <v>1</v>
      </c>
      <c r="M6359" s="8">
        <v>1</v>
      </c>
      <c r="N6359" s="8">
        <f t="shared" si="2725"/>
        <v>1</v>
      </c>
      <c r="O6359" s="11" t="s">
        <v>1702</v>
      </c>
      <c r="P6359" s="16" t="str">
        <f t="shared" si="2726"/>
        <v>26-Nov-1909</v>
      </c>
      <c r="R6359" s="16" t="str">
        <f t="shared" si="2733"/>
        <v>x</v>
      </c>
      <c r="S6359" s="16" t="str">
        <f t="shared" si="2733"/>
        <v>x</v>
      </c>
      <c r="U6359" s="46" t="str">
        <f t="shared" si="2691"/>
        <v/>
      </c>
      <c r="V6359" s="46">
        <f t="shared" si="2691"/>
        <v>1</v>
      </c>
      <c r="W6359" s="46" t="str">
        <f t="shared" si="2691"/>
        <v/>
      </c>
      <c r="X6359" s="46" t="str">
        <f t="shared" si="2691"/>
        <v/>
      </c>
    </row>
    <row r="6360" spans="2:24" x14ac:dyDescent="0.25">
      <c r="B6360" s="11" t="str">
        <f t="shared" si="2723"/>
        <v>TEUT-30JUN1910</v>
      </c>
      <c r="C6360" s="11" t="s">
        <v>3404</v>
      </c>
      <c r="D6360" s="11" t="s">
        <v>2224</v>
      </c>
      <c r="E6360" s="39" t="s">
        <v>4928</v>
      </c>
      <c r="F6360" s="11" t="s">
        <v>1700</v>
      </c>
      <c r="G6360" s="39" t="s">
        <v>2917</v>
      </c>
      <c r="H6360" s="7">
        <v>0</v>
      </c>
      <c r="I6360" s="7">
        <v>0</v>
      </c>
      <c r="J6360" s="17">
        <v>2</v>
      </c>
      <c r="K6360" s="17"/>
      <c r="L6360" s="7">
        <f t="shared" si="2724"/>
        <v>2</v>
      </c>
      <c r="M6360" s="8">
        <v>1</v>
      </c>
      <c r="N6360" s="8">
        <f t="shared" si="2725"/>
        <v>1</v>
      </c>
      <c r="O6360" s="11" t="s">
        <v>1702</v>
      </c>
      <c r="P6360" s="16" t="str">
        <f t="shared" si="2726"/>
        <v>30-Jun-1910</v>
      </c>
      <c r="R6360" s="16" t="str">
        <f t="shared" si="2733"/>
        <v>x</v>
      </c>
      <c r="S6360" s="16" t="str">
        <f t="shared" si="2733"/>
        <v>x</v>
      </c>
      <c r="U6360" s="46" t="str">
        <f t="shared" ref="U6360:W6362" si="2735">IF($O6360=U$5,$L6360,"")</f>
        <v/>
      </c>
      <c r="V6360" s="46">
        <f t="shared" si="2735"/>
        <v>2</v>
      </c>
      <c r="W6360" s="46" t="str">
        <f t="shared" si="2735"/>
        <v/>
      </c>
      <c r="X6360" s="46" t="str">
        <f t="shared" ref="X6360:X6375" si="2736">IF($O6360=X$5,$L6360,"")</f>
        <v/>
      </c>
    </row>
    <row r="6361" spans="2:24" x14ac:dyDescent="0.25">
      <c r="B6361" s="11" t="str">
        <f t="shared" si="2723"/>
        <v>TEUT-29JUL1910</v>
      </c>
      <c r="C6361" s="11" t="s">
        <v>3404</v>
      </c>
      <c r="D6361" s="11" t="s">
        <v>2224</v>
      </c>
      <c r="E6361" s="39" t="s">
        <v>4929</v>
      </c>
      <c r="F6361" s="11" t="s">
        <v>1700</v>
      </c>
      <c r="G6361" s="39" t="s">
        <v>4930</v>
      </c>
      <c r="H6361" s="7">
        <v>0</v>
      </c>
      <c r="I6361" s="7">
        <v>0</v>
      </c>
      <c r="J6361" s="17">
        <v>3</v>
      </c>
      <c r="K6361" s="17"/>
      <c r="L6361" s="7">
        <f t="shared" si="2724"/>
        <v>3</v>
      </c>
      <c r="M6361" s="8">
        <v>1</v>
      </c>
      <c r="N6361" s="8">
        <f t="shared" si="2725"/>
        <v>1</v>
      </c>
      <c r="O6361" s="11" t="s">
        <v>1702</v>
      </c>
      <c r="P6361" s="16" t="str">
        <f t="shared" si="2726"/>
        <v>29-Jul-1910</v>
      </c>
      <c r="R6361" s="16" t="str">
        <f t="shared" si="2733"/>
        <v>x</v>
      </c>
      <c r="S6361" s="16" t="str">
        <f t="shared" si="2733"/>
        <v>x</v>
      </c>
      <c r="U6361" s="46" t="str">
        <f t="shared" si="2735"/>
        <v/>
      </c>
      <c r="V6361" s="46">
        <f t="shared" si="2735"/>
        <v>3</v>
      </c>
      <c r="W6361" s="46" t="str">
        <f t="shared" si="2735"/>
        <v/>
      </c>
      <c r="X6361" s="46" t="str">
        <f t="shared" si="2736"/>
        <v/>
      </c>
    </row>
    <row r="6362" spans="2:24" x14ac:dyDescent="0.25">
      <c r="B6362" s="11" t="str">
        <f>CONCATENATE("TEUT","-",LEFT(P6362,2),UPPER(MID(P6362,4,3)),RIGHT(P6362,4))</f>
        <v>TEUT-25AUG1910</v>
      </c>
      <c r="C6362" s="11" t="s">
        <v>3404</v>
      </c>
      <c r="D6362" s="11" t="s">
        <v>2224</v>
      </c>
      <c r="E6362" s="39" t="s">
        <v>5284</v>
      </c>
      <c r="F6362" s="11" t="s">
        <v>1700</v>
      </c>
      <c r="G6362" s="39" t="s">
        <v>3638</v>
      </c>
      <c r="H6362" s="7">
        <v>0</v>
      </c>
      <c r="I6362" s="7">
        <v>0</v>
      </c>
      <c r="J6362" s="17">
        <v>2</v>
      </c>
      <c r="K6362" s="17"/>
      <c r="L6362" s="7">
        <f>SUM(H6362:K6362)</f>
        <v>2</v>
      </c>
      <c r="M6362" s="8">
        <v>1</v>
      </c>
      <c r="N6362" s="8">
        <f>IF(L6362&gt;0,1,"")</f>
        <v>1</v>
      </c>
      <c r="O6362" s="11" t="s">
        <v>1702</v>
      </c>
      <c r="P6362" s="16" t="str">
        <f>IF(LEN(G6362)=10,CONCATENATE("0",G6362),G6362)</f>
        <v>25-Aug-1910</v>
      </c>
      <c r="R6362" s="16" t="str">
        <f t="shared" si="2733"/>
        <v>x</v>
      </c>
      <c r="S6362" s="16" t="str">
        <f t="shared" si="2733"/>
        <v>x</v>
      </c>
      <c r="U6362" s="46" t="str">
        <f t="shared" si="2735"/>
        <v/>
      </c>
      <c r="V6362" s="46">
        <f t="shared" si="2735"/>
        <v>2</v>
      </c>
      <c r="W6362" s="46" t="str">
        <f t="shared" si="2735"/>
        <v/>
      </c>
      <c r="X6362" s="46" t="str">
        <f t="shared" si="2736"/>
        <v/>
      </c>
    </row>
    <row r="6363" spans="2:24" x14ac:dyDescent="0.25">
      <c r="B6363" s="11" t="str">
        <f t="shared" si="2723"/>
        <v>TEUT-17NOV1910</v>
      </c>
      <c r="C6363" s="11" t="s">
        <v>3404</v>
      </c>
      <c r="D6363" s="11" t="s">
        <v>2224</v>
      </c>
      <c r="E6363" s="39" t="s">
        <v>2683</v>
      </c>
      <c r="F6363" s="11" t="s">
        <v>1700</v>
      </c>
      <c r="G6363" s="39" t="s">
        <v>3916</v>
      </c>
      <c r="I6363" s="7">
        <v>0</v>
      </c>
      <c r="J6363" s="17">
        <v>4</v>
      </c>
      <c r="K6363" s="17"/>
      <c r="L6363" s="7">
        <f t="shared" si="2724"/>
        <v>4</v>
      </c>
      <c r="M6363" s="8">
        <v>1</v>
      </c>
      <c r="N6363" s="8">
        <f t="shared" si="2725"/>
        <v>1</v>
      </c>
      <c r="O6363" s="11" t="s">
        <v>1702</v>
      </c>
      <c r="P6363" s="16" t="str">
        <f t="shared" si="2726"/>
        <v>17-Nov-1910</v>
      </c>
      <c r="R6363" s="16" t="str">
        <f t="shared" si="2733"/>
        <v>x</v>
      </c>
      <c r="S6363" s="16" t="str">
        <f t="shared" si="2733"/>
        <v>x</v>
      </c>
      <c r="U6363" s="46" t="str">
        <f t="shared" si="2691"/>
        <v/>
      </c>
      <c r="V6363" s="46">
        <f t="shared" si="2691"/>
        <v>4</v>
      </c>
      <c r="W6363" s="46" t="str">
        <f t="shared" si="2691"/>
        <v/>
      </c>
      <c r="X6363" s="46" t="str">
        <f t="shared" si="2736"/>
        <v/>
      </c>
    </row>
    <row r="6364" spans="2:24" x14ac:dyDescent="0.25">
      <c r="N6364" s="8" t="str">
        <f>IF(R6364="x",1,"")</f>
        <v/>
      </c>
      <c r="U6364" s="46" t="str">
        <f t="shared" ref="U6364:W6375" si="2737">IF($O6364=U$5,$L6364,"")</f>
        <v/>
      </c>
      <c r="V6364" s="46" t="str">
        <f t="shared" si="2737"/>
        <v/>
      </c>
      <c r="W6364" s="46" t="str">
        <f t="shared" si="2737"/>
        <v/>
      </c>
      <c r="X6364" s="46" t="str">
        <f t="shared" si="2736"/>
        <v/>
      </c>
    </row>
    <row r="6365" spans="2:24" x14ac:dyDescent="0.25">
      <c r="B6365" s="18"/>
      <c r="C6365" s="18"/>
      <c r="D6365" s="18"/>
      <c r="E6365" s="40"/>
      <c r="F6365" s="18"/>
      <c r="G6365" s="40"/>
      <c r="H6365" s="7">
        <f t="shared" ref="H6365:N6365" si="2738">SUM(H6349:H6364)</f>
        <v>0</v>
      </c>
      <c r="I6365" s="7">
        <f t="shared" si="2738"/>
        <v>12</v>
      </c>
      <c r="J6365" s="7">
        <f>SUM(J6349:J6364)</f>
        <v>39</v>
      </c>
      <c r="K6365" s="7">
        <f t="shared" si="2738"/>
        <v>0</v>
      </c>
      <c r="L6365" s="7">
        <f t="shared" si="2738"/>
        <v>51</v>
      </c>
      <c r="M6365" s="7">
        <f t="shared" si="2738"/>
        <v>15</v>
      </c>
      <c r="N6365" s="7">
        <f t="shared" si="2738"/>
        <v>15</v>
      </c>
      <c r="O6365" s="18"/>
      <c r="P6365" s="13"/>
      <c r="Q6365" s="13"/>
      <c r="S6365" s="13"/>
      <c r="T6365" s="15"/>
      <c r="U6365" s="46" t="str">
        <f t="shared" si="2737"/>
        <v/>
      </c>
      <c r="V6365" s="46" t="str">
        <f t="shared" si="2737"/>
        <v/>
      </c>
      <c r="W6365" s="46" t="str">
        <f t="shared" si="2737"/>
        <v/>
      </c>
      <c r="X6365" s="46" t="str">
        <f t="shared" si="2736"/>
        <v/>
      </c>
    </row>
    <row r="6366" spans="2:24" x14ac:dyDescent="0.25">
      <c r="B6366" s="18"/>
      <c r="C6366" s="18"/>
      <c r="D6366" s="18"/>
      <c r="E6366" s="40"/>
      <c r="F6366" s="18"/>
      <c r="G6366" s="40"/>
      <c r="N6366" s="8" t="str">
        <f>IF(R6366="x",1,"")</f>
        <v/>
      </c>
      <c r="O6366" s="18"/>
      <c r="P6366" s="13"/>
      <c r="Q6366" s="13"/>
      <c r="R6366" s="13"/>
      <c r="S6366" s="13"/>
      <c r="T6366" s="15"/>
      <c r="U6366" s="46" t="str">
        <f t="shared" si="2737"/>
        <v/>
      </c>
      <c r="V6366" s="46" t="str">
        <f t="shared" si="2737"/>
        <v/>
      </c>
      <c r="W6366" s="46" t="str">
        <f t="shared" si="2737"/>
        <v/>
      </c>
      <c r="X6366" s="46" t="str">
        <f t="shared" si="2736"/>
        <v/>
      </c>
    </row>
    <row r="6367" spans="2:24" x14ac:dyDescent="0.25">
      <c r="B6367" s="18"/>
      <c r="C6367" s="18"/>
      <c r="D6367" s="18"/>
      <c r="E6367" s="40"/>
      <c r="F6367" s="18"/>
      <c r="G6367" s="40"/>
      <c r="N6367" s="8" t="str">
        <f>IF(R6367="x",1,"")</f>
        <v/>
      </c>
      <c r="O6367" s="18"/>
      <c r="P6367" s="13"/>
      <c r="Q6367" s="13"/>
      <c r="R6367" s="13"/>
      <c r="S6367" s="13"/>
      <c r="T6367" s="15"/>
      <c r="U6367" s="46" t="str">
        <f t="shared" si="2737"/>
        <v/>
      </c>
      <c r="V6367" s="46" t="str">
        <f t="shared" si="2737"/>
        <v/>
      </c>
      <c r="W6367" s="46" t="str">
        <f t="shared" si="2737"/>
        <v/>
      </c>
      <c r="X6367" s="46" t="str">
        <f t="shared" si="2736"/>
        <v/>
      </c>
    </row>
    <row r="6368" spans="2:24" x14ac:dyDescent="0.25">
      <c r="B6368" s="11" t="str">
        <f>CONCATENATE("TEXS","-",LEFT(P6368,2),UPPER(MID(P6368,4,3)),RIGHT(P6368,4))</f>
        <v>TEXS-11NOV1883</v>
      </c>
      <c r="C6368" s="11" t="s">
        <v>3417</v>
      </c>
      <c r="D6368" s="11" t="s">
        <v>2097</v>
      </c>
      <c r="F6368" s="11" t="s">
        <v>3075</v>
      </c>
      <c r="G6368" s="39" t="s">
        <v>3418</v>
      </c>
      <c r="J6368" s="17">
        <v>22</v>
      </c>
      <c r="K6368" s="17"/>
      <c r="L6368" s="7">
        <f>SUM(H6368:K6368)</f>
        <v>22</v>
      </c>
      <c r="M6368" s="8">
        <v>1</v>
      </c>
      <c r="N6368" s="8">
        <f>IF(L6368&gt;0,1,"")</f>
        <v>1</v>
      </c>
      <c r="O6368" s="11" t="s">
        <v>1702</v>
      </c>
      <c r="P6368" s="16" t="str">
        <f>IF(LEN(G6368)=10,CONCATENATE("0",G6368),G6368)</f>
        <v>11-Nov-1883</v>
      </c>
      <c r="R6368" s="16" t="str">
        <f>IF($L6368&gt;0,"x","")</f>
        <v>x</v>
      </c>
      <c r="S6368" s="16" t="str">
        <f>IF($L6368&gt;0,"x","")</f>
        <v>x</v>
      </c>
      <c r="U6368" s="46" t="str">
        <f t="shared" si="2737"/>
        <v/>
      </c>
      <c r="V6368" s="46">
        <f t="shared" si="2737"/>
        <v>22</v>
      </c>
      <c r="W6368" s="46" t="str">
        <f t="shared" si="2737"/>
        <v/>
      </c>
      <c r="X6368" s="46" t="str">
        <f t="shared" si="2736"/>
        <v/>
      </c>
    </row>
    <row r="6369" spans="2:24" x14ac:dyDescent="0.25">
      <c r="N6369" s="8" t="str">
        <f>IF(R6369="x",1,"")</f>
        <v/>
      </c>
      <c r="U6369" s="46" t="str">
        <f t="shared" si="2737"/>
        <v/>
      </c>
      <c r="V6369" s="46" t="str">
        <f t="shared" si="2737"/>
        <v/>
      </c>
      <c r="W6369" s="46" t="str">
        <f t="shared" si="2737"/>
        <v/>
      </c>
      <c r="X6369" s="46" t="str">
        <f t="shared" si="2736"/>
        <v/>
      </c>
    </row>
    <row r="6370" spans="2:24" x14ac:dyDescent="0.25">
      <c r="B6370" s="18"/>
      <c r="C6370" s="18"/>
      <c r="D6370" s="18"/>
      <c r="E6370" s="40"/>
      <c r="F6370" s="18"/>
      <c r="G6370" s="40"/>
      <c r="H6370" s="7">
        <f t="shared" ref="H6370:N6370" si="2739">SUM(H6368:H6369)</f>
        <v>0</v>
      </c>
      <c r="I6370" s="7">
        <f t="shared" si="2739"/>
        <v>0</v>
      </c>
      <c r="J6370" s="7">
        <f>SUM(J6368:J6369)</f>
        <v>22</v>
      </c>
      <c r="K6370" s="7">
        <f t="shared" si="2739"/>
        <v>0</v>
      </c>
      <c r="L6370" s="7">
        <f t="shared" si="2739"/>
        <v>22</v>
      </c>
      <c r="M6370" s="7">
        <f t="shared" si="2739"/>
        <v>1</v>
      </c>
      <c r="N6370" s="7">
        <f t="shared" si="2739"/>
        <v>1</v>
      </c>
      <c r="O6370" s="18"/>
      <c r="P6370" s="13"/>
      <c r="Q6370" s="13"/>
      <c r="S6370" s="13"/>
      <c r="T6370" s="15"/>
      <c r="U6370" s="46" t="str">
        <f t="shared" si="2737"/>
        <v/>
      </c>
      <c r="V6370" s="46" t="str">
        <f t="shared" si="2737"/>
        <v/>
      </c>
      <c r="W6370" s="46" t="str">
        <f t="shared" si="2737"/>
        <v/>
      </c>
      <c r="X6370" s="46" t="str">
        <f t="shared" si="2736"/>
        <v/>
      </c>
    </row>
    <row r="6371" spans="2:24" x14ac:dyDescent="0.25">
      <c r="B6371" s="18"/>
      <c r="C6371" s="18"/>
      <c r="D6371" s="18"/>
      <c r="E6371" s="40"/>
      <c r="F6371" s="18"/>
      <c r="G6371" s="40"/>
      <c r="N6371" s="8" t="str">
        <f>IF(R6371="x",1,"")</f>
        <v/>
      </c>
      <c r="O6371" s="18"/>
      <c r="P6371" s="13"/>
      <c r="Q6371" s="13"/>
      <c r="R6371" s="13"/>
      <c r="S6371" s="13"/>
      <c r="T6371" s="15"/>
      <c r="U6371" s="46" t="str">
        <f t="shared" si="2737"/>
        <v/>
      </c>
      <c r="V6371" s="46" t="str">
        <f t="shared" si="2737"/>
        <v/>
      </c>
      <c r="W6371" s="46" t="str">
        <f t="shared" si="2737"/>
        <v/>
      </c>
      <c r="X6371" s="46" t="str">
        <f t="shared" si="2736"/>
        <v/>
      </c>
    </row>
    <row r="6372" spans="2:24" x14ac:dyDescent="0.25">
      <c r="B6372" s="18"/>
      <c r="C6372" s="18"/>
      <c r="D6372" s="18"/>
      <c r="E6372" s="40"/>
      <c r="F6372" s="18"/>
      <c r="G6372" s="40"/>
      <c r="N6372" s="8" t="str">
        <f>IF(R6372="x",1,"")</f>
        <v/>
      </c>
      <c r="O6372" s="18"/>
      <c r="P6372" s="13"/>
      <c r="Q6372" s="13"/>
      <c r="R6372" s="13"/>
      <c r="S6372" s="13"/>
      <c r="T6372" s="15"/>
      <c r="U6372" s="46" t="str">
        <f t="shared" si="2737"/>
        <v/>
      </c>
      <c r="V6372" s="46" t="str">
        <f t="shared" si="2737"/>
        <v/>
      </c>
      <c r="W6372" s="46" t="str">
        <f t="shared" si="2737"/>
        <v/>
      </c>
      <c r="X6372" s="46" t="str">
        <f t="shared" si="2736"/>
        <v/>
      </c>
    </row>
    <row r="6373" spans="2:24" x14ac:dyDescent="0.25">
      <c r="B6373" s="11" t="str">
        <f t="shared" ref="B6373:B6391" si="2740">CONCATENATE("THEM","-",LEFT(P6373,2),UPPER(MID(P6373,4,3)),RIGHT(P6373,4))</f>
        <v>THEM-25OCT1909</v>
      </c>
      <c r="C6373" s="11" t="s">
        <v>3116</v>
      </c>
      <c r="D6373" s="11" t="s">
        <v>1906</v>
      </c>
      <c r="E6373" s="39" t="s">
        <v>5077</v>
      </c>
      <c r="F6373" s="11" t="s">
        <v>1700</v>
      </c>
      <c r="G6373" s="39" t="s">
        <v>3535</v>
      </c>
      <c r="H6373" s="7">
        <v>0</v>
      </c>
      <c r="J6373" s="17">
        <v>4</v>
      </c>
      <c r="K6373" s="17"/>
      <c r="L6373" s="7">
        <f t="shared" ref="L6373:L6391" si="2741">SUM(H6373:K6373)</f>
        <v>4</v>
      </c>
      <c r="M6373" s="8">
        <v>1</v>
      </c>
      <c r="N6373" s="8">
        <f t="shared" ref="N6373:N6391" si="2742">IF(L6373&gt;0,1,"")</f>
        <v>1</v>
      </c>
      <c r="O6373" s="11" t="s">
        <v>1702</v>
      </c>
      <c r="P6373" s="16" t="str">
        <f t="shared" ref="P6373:P6391" si="2743">IF(LEN(G6373)=10,CONCATENATE("0",G6373),G6373)</f>
        <v>25-Oct-1909</v>
      </c>
      <c r="R6373" s="16" t="str">
        <f>IF($L6373&gt;0,"x","")</f>
        <v>x</v>
      </c>
      <c r="S6373" s="16" t="str">
        <f>IF($L6373&gt;0,"x","")</f>
        <v>x</v>
      </c>
      <c r="U6373" s="46" t="str">
        <f t="shared" si="2737"/>
        <v/>
      </c>
      <c r="V6373" s="46">
        <f t="shared" si="2737"/>
        <v>4</v>
      </c>
      <c r="W6373" s="46" t="str">
        <f t="shared" si="2737"/>
        <v/>
      </c>
      <c r="X6373" s="46" t="str">
        <f t="shared" si="2736"/>
        <v/>
      </c>
    </row>
    <row r="6374" spans="2:24" x14ac:dyDescent="0.25">
      <c r="B6374" s="11" t="str">
        <f>CONCATENATE("THEM","-",LEFT(P6374,2),UPPER(MID(P6374,4,3)),RIGHT(P6374,4))</f>
        <v>THEM-13MAY1912</v>
      </c>
      <c r="C6374" s="11" t="s">
        <v>3116</v>
      </c>
      <c r="D6374" s="11" t="s">
        <v>847</v>
      </c>
      <c r="E6374" s="39" t="s">
        <v>3888</v>
      </c>
      <c r="F6374" s="11" t="s">
        <v>1700</v>
      </c>
      <c r="G6374" s="39" t="s">
        <v>3889</v>
      </c>
      <c r="H6374" s="7">
        <v>0</v>
      </c>
      <c r="I6374" s="7">
        <v>1</v>
      </c>
      <c r="J6374" s="17">
        <v>1</v>
      </c>
      <c r="K6374" s="17"/>
      <c r="L6374" s="7">
        <f>SUM(H6374:K6374)</f>
        <v>2</v>
      </c>
      <c r="M6374" s="8">
        <v>1</v>
      </c>
      <c r="N6374" s="8">
        <f>IF(L6374&gt;0,1,"")</f>
        <v>1</v>
      </c>
      <c r="O6374" s="11" t="s">
        <v>1702</v>
      </c>
      <c r="P6374" s="16" t="str">
        <f>IF(LEN(G6374)=10,CONCATENATE("0",G6374),G6374)</f>
        <v>13-May-1912</v>
      </c>
      <c r="R6374" s="16" t="str">
        <f t="shared" ref="R6374:S6380" si="2744">IF($L6374&gt;0,"x","")</f>
        <v>x</v>
      </c>
      <c r="S6374" s="16" t="str">
        <f t="shared" si="2744"/>
        <v>x</v>
      </c>
      <c r="U6374" s="46" t="str">
        <f t="shared" si="2737"/>
        <v/>
      </c>
      <c r="V6374" s="46">
        <f t="shared" si="2737"/>
        <v>2</v>
      </c>
      <c r="W6374" s="46" t="str">
        <f t="shared" si="2737"/>
        <v/>
      </c>
      <c r="X6374" s="46" t="str">
        <f t="shared" si="2736"/>
        <v/>
      </c>
    </row>
    <row r="6375" spans="2:24" x14ac:dyDescent="0.25">
      <c r="B6375" s="11" t="str">
        <f t="shared" si="2740"/>
        <v>THEM-12OCT1912</v>
      </c>
      <c r="C6375" s="11" t="s">
        <v>3116</v>
      </c>
      <c r="D6375" s="11" t="s">
        <v>847</v>
      </c>
      <c r="E6375" s="39" t="s">
        <v>3997</v>
      </c>
      <c r="F6375" s="11" t="s">
        <v>1700</v>
      </c>
      <c r="G6375" s="39" t="s">
        <v>1910</v>
      </c>
      <c r="H6375" s="7">
        <v>5</v>
      </c>
      <c r="I6375" s="7">
        <v>0</v>
      </c>
      <c r="J6375" s="17">
        <v>2</v>
      </c>
      <c r="K6375" s="17"/>
      <c r="L6375" s="7">
        <f t="shared" si="2741"/>
        <v>7</v>
      </c>
      <c r="M6375" s="8">
        <v>1</v>
      </c>
      <c r="N6375" s="8">
        <f t="shared" si="2742"/>
        <v>1</v>
      </c>
      <c r="O6375" s="11" t="s">
        <v>1702</v>
      </c>
      <c r="P6375" s="16" t="str">
        <f t="shared" si="2743"/>
        <v>12-Oct-1912</v>
      </c>
      <c r="R6375" s="16" t="str">
        <f t="shared" si="2744"/>
        <v>x</v>
      </c>
      <c r="S6375" s="16" t="str">
        <f t="shared" si="2744"/>
        <v>x</v>
      </c>
      <c r="U6375" s="46" t="str">
        <f t="shared" si="2737"/>
        <v/>
      </c>
      <c r="V6375" s="46">
        <f t="shared" si="2737"/>
        <v>7</v>
      </c>
      <c r="W6375" s="46" t="str">
        <f t="shared" si="2737"/>
        <v/>
      </c>
      <c r="X6375" s="46" t="str">
        <f t="shared" si="2736"/>
        <v/>
      </c>
    </row>
    <row r="6376" spans="2:24" x14ac:dyDescent="0.25">
      <c r="B6376" s="11" t="str">
        <f t="shared" si="2740"/>
        <v>THEM-09JAN1914</v>
      </c>
      <c r="C6376" s="11" t="s">
        <v>3116</v>
      </c>
      <c r="D6376" s="11" t="s">
        <v>1906</v>
      </c>
      <c r="E6376" s="39" t="s">
        <v>3370</v>
      </c>
      <c r="F6376" s="11" t="s">
        <v>1700</v>
      </c>
      <c r="G6376" s="39" t="s">
        <v>4528</v>
      </c>
      <c r="H6376" s="7">
        <v>0</v>
      </c>
      <c r="I6376" s="7">
        <v>0</v>
      </c>
      <c r="J6376" s="17">
        <v>2</v>
      </c>
      <c r="K6376" s="17"/>
      <c r="L6376" s="7">
        <f t="shared" si="2741"/>
        <v>2</v>
      </c>
      <c r="M6376" s="8">
        <v>1</v>
      </c>
      <c r="N6376" s="8">
        <f t="shared" si="2742"/>
        <v>1</v>
      </c>
      <c r="O6376" s="11" t="s">
        <v>1702</v>
      </c>
      <c r="P6376" s="16" t="str">
        <f t="shared" si="2743"/>
        <v>09-Jan-1914</v>
      </c>
      <c r="R6376" s="16" t="str">
        <f t="shared" si="2744"/>
        <v>x</v>
      </c>
      <c r="S6376" s="16" t="str">
        <f t="shared" si="2744"/>
        <v>x</v>
      </c>
      <c r="U6376" s="46" t="str">
        <f t="shared" ref="U6376:X6379" si="2745">IF($O6376=U$5,$L6376,"")</f>
        <v/>
      </c>
      <c r="V6376" s="46">
        <f t="shared" si="2745"/>
        <v>2</v>
      </c>
      <c r="W6376" s="46" t="str">
        <f t="shared" si="2745"/>
        <v/>
      </c>
      <c r="X6376" s="46" t="str">
        <f t="shared" si="2745"/>
        <v/>
      </c>
    </row>
    <row r="6377" spans="2:24" x14ac:dyDescent="0.25">
      <c r="B6377" s="11" t="str">
        <f>CONCATENATE("THEM","-",LEFT(P6377,2),UPPER(MID(P6377,4,3)),RIGHT(P6377,4))</f>
        <v>THEM-19FEB1915</v>
      </c>
      <c r="C6377" s="11" t="s">
        <v>3116</v>
      </c>
      <c r="D6377" s="11" t="s">
        <v>847</v>
      </c>
      <c r="E6377" s="39" t="s">
        <v>5549</v>
      </c>
      <c r="F6377" s="11" t="s">
        <v>1700</v>
      </c>
      <c r="G6377" s="39" t="s">
        <v>5550</v>
      </c>
      <c r="H6377" s="7">
        <v>0</v>
      </c>
      <c r="I6377" s="7">
        <v>0</v>
      </c>
      <c r="J6377" s="17">
        <v>2</v>
      </c>
      <c r="K6377" s="17"/>
      <c r="L6377" s="7">
        <f>SUM(H6377:K6377)</f>
        <v>2</v>
      </c>
      <c r="M6377" s="8">
        <v>1</v>
      </c>
      <c r="N6377" s="8">
        <f>IF(L6377&gt;0,1,"")</f>
        <v>1</v>
      </c>
      <c r="O6377" s="11" t="s">
        <v>1702</v>
      </c>
      <c r="P6377" s="16" t="str">
        <f>IF(LEN(G6377)=10,CONCATENATE("0",G6377),G6377)</f>
        <v>19-Feb-1915</v>
      </c>
      <c r="R6377" s="16" t="str">
        <f t="shared" si="2744"/>
        <v>x</v>
      </c>
      <c r="S6377" s="16" t="str">
        <f t="shared" si="2744"/>
        <v>x</v>
      </c>
      <c r="U6377" s="46" t="str">
        <f t="shared" si="2745"/>
        <v/>
      </c>
      <c r="V6377" s="46">
        <f t="shared" si="2745"/>
        <v>2</v>
      </c>
      <c r="W6377" s="46" t="str">
        <f t="shared" si="2745"/>
        <v/>
      </c>
      <c r="X6377" s="46" t="str">
        <f t="shared" si="2745"/>
        <v/>
      </c>
    </row>
    <row r="6378" spans="2:24" x14ac:dyDescent="0.25">
      <c r="B6378" s="11" t="str">
        <f>CONCATENATE("THEM","-",LEFT(P6378,2),UPPER(MID(P6378,4,3)),RIGHT(P6378,4))</f>
        <v>THEM-25NOV1915</v>
      </c>
      <c r="C6378" s="11" t="s">
        <v>3116</v>
      </c>
      <c r="D6378" s="11" t="s">
        <v>847</v>
      </c>
      <c r="E6378" s="39" t="s">
        <v>5293</v>
      </c>
      <c r="F6378" s="11" t="s">
        <v>1700</v>
      </c>
      <c r="G6378" s="39" t="s">
        <v>5652</v>
      </c>
      <c r="H6378" s="7">
        <v>0</v>
      </c>
      <c r="I6378" s="7">
        <v>0</v>
      </c>
      <c r="J6378" s="17">
        <f>7+1</f>
        <v>8</v>
      </c>
      <c r="K6378" s="17"/>
      <c r="L6378" s="7">
        <f>SUM(H6378:K6378)</f>
        <v>8</v>
      </c>
      <c r="M6378" s="8">
        <v>1</v>
      </c>
      <c r="N6378" s="8">
        <f>IF(L6378&gt;0,1,"")</f>
        <v>1</v>
      </c>
      <c r="O6378" s="11" t="s">
        <v>1702</v>
      </c>
      <c r="P6378" s="16" t="str">
        <f>IF(LEN(G6378)=10,CONCATENATE("0",G6378),G6378)</f>
        <v>25-Nov-1915</v>
      </c>
      <c r="R6378" s="16" t="str">
        <f t="shared" si="2744"/>
        <v>x</v>
      </c>
      <c r="S6378" s="16" t="str">
        <f t="shared" si="2744"/>
        <v>x</v>
      </c>
      <c r="U6378" s="46" t="str">
        <f t="shared" si="2745"/>
        <v/>
      </c>
      <c r="V6378" s="46">
        <f t="shared" si="2745"/>
        <v>8</v>
      </c>
      <c r="W6378" s="46" t="str">
        <f t="shared" si="2745"/>
        <v/>
      </c>
      <c r="X6378" s="46" t="str">
        <f t="shared" si="2745"/>
        <v/>
      </c>
    </row>
    <row r="6379" spans="2:24" x14ac:dyDescent="0.25">
      <c r="B6379" s="11" t="str">
        <f t="shared" si="2740"/>
        <v>THEM-13DEC1916</v>
      </c>
      <c r="C6379" s="11" t="s">
        <v>3116</v>
      </c>
      <c r="D6379" s="11" t="s">
        <v>847</v>
      </c>
      <c r="E6379" s="39" t="s">
        <v>4858</v>
      </c>
      <c r="F6379" s="11" t="s">
        <v>1700</v>
      </c>
      <c r="G6379" s="39" t="s">
        <v>4859</v>
      </c>
      <c r="H6379" s="7">
        <v>0</v>
      </c>
      <c r="I6379" s="7">
        <v>0</v>
      </c>
      <c r="J6379" s="17">
        <v>2</v>
      </c>
      <c r="K6379" s="17"/>
      <c r="L6379" s="7">
        <f t="shared" si="2741"/>
        <v>2</v>
      </c>
      <c r="M6379" s="8">
        <v>1</v>
      </c>
      <c r="N6379" s="8">
        <f t="shared" si="2742"/>
        <v>1</v>
      </c>
      <c r="O6379" s="11" t="s">
        <v>1702</v>
      </c>
      <c r="P6379" s="16" t="str">
        <f t="shared" si="2743"/>
        <v>13-Dec-1916</v>
      </c>
      <c r="R6379" s="16" t="str">
        <f>IF($L6379&gt;0,"x","")</f>
        <v>x</v>
      </c>
      <c r="S6379" s="16" t="str">
        <f>IF($L6379&gt;0,"x","")</f>
        <v>x</v>
      </c>
      <c r="U6379" s="46" t="str">
        <f t="shared" si="2745"/>
        <v/>
      </c>
      <c r="V6379" s="46">
        <f t="shared" si="2745"/>
        <v>2</v>
      </c>
      <c r="W6379" s="46" t="str">
        <f t="shared" si="2745"/>
        <v/>
      </c>
      <c r="X6379" s="46" t="str">
        <f t="shared" si="2745"/>
        <v/>
      </c>
    </row>
    <row r="6380" spans="2:24" x14ac:dyDescent="0.25">
      <c r="B6380" s="11" t="str">
        <f t="shared" si="2740"/>
        <v>THEM-18JUN1920</v>
      </c>
      <c r="C6380" s="11" t="s">
        <v>3116</v>
      </c>
      <c r="D6380" s="11" t="s">
        <v>847</v>
      </c>
      <c r="E6380" s="39" t="s">
        <v>2033</v>
      </c>
      <c r="F6380" s="11" t="s">
        <v>1700</v>
      </c>
      <c r="G6380" s="39" t="s">
        <v>4506</v>
      </c>
      <c r="H6380" s="7">
        <v>0</v>
      </c>
      <c r="I6380" s="7">
        <f>28+1</f>
        <v>29</v>
      </c>
      <c r="J6380" s="17">
        <v>110</v>
      </c>
      <c r="K6380" s="17"/>
      <c r="L6380" s="7">
        <f t="shared" si="2741"/>
        <v>139</v>
      </c>
      <c r="M6380" s="8">
        <v>1</v>
      </c>
      <c r="N6380" s="8">
        <f t="shared" si="2742"/>
        <v>1</v>
      </c>
      <c r="O6380" s="11" t="s">
        <v>1702</v>
      </c>
      <c r="P6380" s="16" t="str">
        <f t="shared" si="2743"/>
        <v>18-Jun-1920</v>
      </c>
      <c r="R6380" s="16" t="str">
        <f t="shared" si="2744"/>
        <v>x</v>
      </c>
      <c r="S6380" s="16" t="str">
        <f t="shared" si="2744"/>
        <v>x</v>
      </c>
      <c r="U6380" s="46" t="str">
        <f t="shared" ref="U6380:X6393" si="2746">IF($O6380=U$5,$L6380,"")</f>
        <v/>
      </c>
      <c r="V6380" s="46">
        <f t="shared" si="2746"/>
        <v>139</v>
      </c>
      <c r="W6380" s="46" t="str">
        <f t="shared" si="2746"/>
        <v/>
      </c>
      <c r="X6380" s="46" t="str">
        <f t="shared" si="2746"/>
        <v/>
      </c>
    </row>
    <row r="6381" spans="2:24" x14ac:dyDescent="0.25">
      <c r="B6381" s="11" t="str">
        <f t="shared" si="2740"/>
        <v>THEM-22OCT1920</v>
      </c>
      <c r="C6381" s="11" t="s">
        <v>3116</v>
      </c>
      <c r="D6381" s="11" t="s">
        <v>847</v>
      </c>
      <c r="E6381" s="39" t="s">
        <v>2426</v>
      </c>
      <c r="F6381" s="11" t="s">
        <v>1700</v>
      </c>
      <c r="G6381" s="39" t="s">
        <v>2040</v>
      </c>
      <c r="H6381" s="7">
        <v>7</v>
      </c>
      <c r="I6381" s="7">
        <v>10</v>
      </c>
      <c r="J6381" s="17">
        <v>52</v>
      </c>
      <c r="K6381" s="17"/>
      <c r="L6381" s="7">
        <f t="shared" si="2741"/>
        <v>69</v>
      </c>
      <c r="M6381" s="8">
        <v>1</v>
      </c>
      <c r="N6381" s="8">
        <f t="shared" si="2742"/>
        <v>1</v>
      </c>
      <c r="O6381" s="11" t="s">
        <v>1702</v>
      </c>
      <c r="P6381" s="16" t="str">
        <f t="shared" si="2743"/>
        <v>22-Oct-1920</v>
      </c>
      <c r="R6381" s="16" t="str">
        <f t="shared" ref="R6381:S6391" si="2747">IF($L6381&gt;0,"x","")</f>
        <v>x</v>
      </c>
      <c r="S6381" s="16" t="str">
        <f t="shared" si="2747"/>
        <v>x</v>
      </c>
      <c r="U6381" s="46" t="str">
        <f t="shared" si="2746"/>
        <v/>
      </c>
      <c r="V6381" s="46">
        <f t="shared" si="2746"/>
        <v>69</v>
      </c>
      <c r="W6381" s="46" t="str">
        <f t="shared" si="2746"/>
        <v/>
      </c>
      <c r="X6381" s="46" t="str">
        <f t="shared" si="2746"/>
        <v/>
      </c>
    </row>
    <row r="6382" spans="2:24" x14ac:dyDescent="0.25">
      <c r="B6382" s="11" t="str">
        <f t="shared" si="2740"/>
        <v>THEM-15DEC1920</v>
      </c>
      <c r="C6382" s="11" t="s">
        <v>3116</v>
      </c>
      <c r="D6382" s="11" t="s">
        <v>847</v>
      </c>
      <c r="E6382" s="39" t="s">
        <v>4511</v>
      </c>
      <c r="F6382" s="11" t="s">
        <v>1700</v>
      </c>
      <c r="G6382" s="39" t="s">
        <v>2098</v>
      </c>
      <c r="H6382" s="7">
        <f>1+3</f>
        <v>4</v>
      </c>
      <c r="I6382" s="7">
        <v>7</v>
      </c>
      <c r="J6382" s="17">
        <v>114</v>
      </c>
      <c r="K6382" s="17"/>
      <c r="L6382" s="7">
        <f t="shared" si="2741"/>
        <v>125</v>
      </c>
      <c r="M6382" s="8">
        <v>1</v>
      </c>
      <c r="N6382" s="8">
        <f t="shared" si="2742"/>
        <v>1</v>
      </c>
      <c r="O6382" s="11" t="s">
        <v>1702</v>
      </c>
      <c r="P6382" s="16" t="str">
        <f t="shared" si="2743"/>
        <v>15-Dec-1920</v>
      </c>
      <c r="R6382" s="16" t="str">
        <f t="shared" si="2747"/>
        <v>x</v>
      </c>
      <c r="S6382" s="16" t="str">
        <f t="shared" si="2747"/>
        <v>x</v>
      </c>
      <c r="U6382" s="46" t="str">
        <f t="shared" si="2746"/>
        <v/>
      </c>
      <c r="V6382" s="46">
        <f t="shared" si="2746"/>
        <v>125</v>
      </c>
      <c r="W6382" s="46" t="str">
        <f t="shared" si="2746"/>
        <v/>
      </c>
      <c r="X6382" s="46" t="str">
        <f t="shared" si="2746"/>
        <v/>
      </c>
    </row>
    <row r="6383" spans="2:24" x14ac:dyDescent="0.25">
      <c r="B6383" s="11" t="str">
        <f t="shared" si="2740"/>
        <v>THEM-20FEB1921</v>
      </c>
      <c r="C6383" s="11" t="s">
        <v>3116</v>
      </c>
      <c r="D6383" s="11" t="s">
        <v>847</v>
      </c>
      <c r="E6383" s="39" t="s">
        <v>4168</v>
      </c>
      <c r="F6383" s="11" t="s">
        <v>1700</v>
      </c>
      <c r="G6383" s="39" t="s">
        <v>4169</v>
      </c>
      <c r="H6383" s="7">
        <v>0</v>
      </c>
      <c r="I6383" s="7">
        <v>16</v>
      </c>
      <c r="J6383" s="17">
        <v>72</v>
      </c>
      <c r="K6383" s="17"/>
      <c r="L6383" s="7">
        <f t="shared" si="2741"/>
        <v>88</v>
      </c>
      <c r="M6383" s="8">
        <v>1</v>
      </c>
      <c r="N6383" s="8">
        <f t="shared" si="2742"/>
        <v>1</v>
      </c>
      <c r="O6383" s="11" t="s">
        <v>1702</v>
      </c>
      <c r="P6383" s="16" t="str">
        <f t="shared" si="2743"/>
        <v>20-Feb-1921</v>
      </c>
      <c r="R6383" s="16" t="str">
        <f t="shared" si="2747"/>
        <v>x</v>
      </c>
      <c r="S6383" s="16" t="str">
        <f t="shared" si="2747"/>
        <v>x</v>
      </c>
      <c r="U6383" s="46" t="str">
        <f t="shared" si="2746"/>
        <v/>
      </c>
      <c r="V6383" s="46">
        <f t="shared" si="2746"/>
        <v>88</v>
      </c>
      <c r="W6383" s="46" t="str">
        <f t="shared" si="2746"/>
        <v/>
      </c>
      <c r="X6383" s="46" t="str">
        <f t="shared" si="2746"/>
        <v/>
      </c>
    </row>
    <row r="6384" spans="2:24" x14ac:dyDescent="0.25">
      <c r="B6384" s="11" t="str">
        <f t="shared" si="2740"/>
        <v>THEM-18JUN1921</v>
      </c>
      <c r="C6384" s="11" t="s">
        <v>3116</v>
      </c>
      <c r="D6384" s="11" t="s">
        <v>2808</v>
      </c>
      <c r="E6384" s="39" t="s">
        <v>3167</v>
      </c>
      <c r="F6384" s="11" t="s">
        <v>1700</v>
      </c>
      <c r="G6384" s="39" t="s">
        <v>4484</v>
      </c>
      <c r="H6384" s="7">
        <v>2</v>
      </c>
      <c r="I6384" s="7">
        <v>20</v>
      </c>
      <c r="J6384" s="17">
        <v>86</v>
      </c>
      <c r="K6384" s="17"/>
      <c r="L6384" s="7">
        <f t="shared" si="2741"/>
        <v>108</v>
      </c>
      <c r="M6384" s="8">
        <v>1</v>
      </c>
      <c r="N6384" s="8">
        <f t="shared" si="2742"/>
        <v>1</v>
      </c>
      <c r="O6384" s="11" t="s">
        <v>1702</v>
      </c>
      <c r="P6384" s="16" t="str">
        <f t="shared" si="2743"/>
        <v>18-Jun-1921</v>
      </c>
      <c r="R6384" s="16" t="str">
        <f t="shared" si="2747"/>
        <v>x</v>
      </c>
      <c r="S6384" s="16" t="str">
        <f t="shared" si="2747"/>
        <v>x</v>
      </c>
      <c r="U6384" s="46" t="str">
        <f t="shared" si="2746"/>
        <v/>
      </c>
      <c r="V6384" s="46">
        <f t="shared" si="2746"/>
        <v>108</v>
      </c>
      <c r="W6384" s="46" t="str">
        <f t="shared" si="2746"/>
        <v/>
      </c>
      <c r="X6384" s="46" t="str">
        <f t="shared" si="2746"/>
        <v/>
      </c>
    </row>
    <row r="6385" spans="2:26" x14ac:dyDescent="0.25">
      <c r="B6385" s="11" t="str">
        <f>CONCATENATE("THEM","-",LEFT(P6385,2),UPPER(MID(P6385,4,3)),RIGHT(P6385,4))</f>
        <v>THEM-01SEP1921</v>
      </c>
      <c r="C6385" s="11" t="s">
        <v>3116</v>
      </c>
      <c r="D6385" s="11" t="s">
        <v>847</v>
      </c>
      <c r="E6385" s="39" t="s">
        <v>5341</v>
      </c>
      <c r="F6385" s="11" t="s">
        <v>1700</v>
      </c>
      <c r="G6385" s="39" t="s">
        <v>1134</v>
      </c>
      <c r="H6385" s="7">
        <v>2</v>
      </c>
      <c r="I6385" s="7">
        <v>11</v>
      </c>
      <c r="J6385" s="17">
        <v>13</v>
      </c>
      <c r="K6385" s="17"/>
      <c r="L6385" s="7">
        <f>SUM(H6385:K6385)</f>
        <v>26</v>
      </c>
      <c r="M6385" s="8">
        <v>1</v>
      </c>
      <c r="N6385" s="8">
        <f>IF(L6385&gt;0,1,"")</f>
        <v>1</v>
      </c>
      <c r="O6385" s="11" t="s">
        <v>1702</v>
      </c>
      <c r="P6385" s="16" t="str">
        <f>IF(LEN(G6385)=10,CONCATENATE("0",G6385),G6385)</f>
        <v>01-Sep-1921</v>
      </c>
      <c r="R6385" s="16" t="str">
        <f>IF($L6385&gt;0,"x","")</f>
        <v>x</v>
      </c>
      <c r="S6385" s="16" t="str">
        <f>IF($L6385&gt;0,"x","")</f>
        <v>x</v>
      </c>
      <c r="U6385" s="46" t="str">
        <f t="shared" si="2746"/>
        <v/>
      </c>
      <c r="V6385" s="46">
        <f t="shared" si="2746"/>
        <v>26</v>
      </c>
      <c r="W6385" s="46" t="str">
        <f t="shared" si="2746"/>
        <v/>
      </c>
      <c r="X6385" s="46" t="str">
        <f t="shared" si="2746"/>
        <v/>
      </c>
    </row>
    <row r="6386" spans="2:26" x14ac:dyDescent="0.25">
      <c r="B6386" s="11" t="str">
        <f t="shared" si="2740"/>
        <v>THEM-24NOV1921</v>
      </c>
      <c r="C6386" s="11" t="s">
        <v>3116</v>
      </c>
      <c r="D6386" s="11" t="s">
        <v>2808</v>
      </c>
      <c r="E6386" s="39" t="s">
        <v>4201</v>
      </c>
      <c r="F6386" s="11" t="s">
        <v>1700</v>
      </c>
      <c r="G6386" s="39" t="s">
        <v>4202</v>
      </c>
      <c r="I6386" s="7">
        <v>5</v>
      </c>
      <c r="J6386" s="17">
        <f>7+2</f>
        <v>9</v>
      </c>
      <c r="K6386" s="17"/>
      <c r="L6386" s="7">
        <f t="shared" si="2741"/>
        <v>14</v>
      </c>
      <c r="M6386" s="8">
        <v>1</v>
      </c>
      <c r="N6386" s="8">
        <f t="shared" si="2742"/>
        <v>1</v>
      </c>
      <c r="O6386" s="11" t="s">
        <v>1702</v>
      </c>
      <c r="P6386" s="16" t="str">
        <f t="shared" si="2743"/>
        <v>24-Nov-1921</v>
      </c>
      <c r="R6386" s="16" t="str">
        <f t="shared" si="2747"/>
        <v>x</v>
      </c>
      <c r="S6386" s="16" t="str">
        <f t="shared" si="2747"/>
        <v>x</v>
      </c>
      <c r="U6386" s="46" t="str">
        <f t="shared" si="2746"/>
        <v/>
      </c>
      <c r="V6386" s="46">
        <f t="shared" si="2746"/>
        <v>14</v>
      </c>
      <c r="W6386" s="46" t="str">
        <f t="shared" si="2746"/>
        <v/>
      </c>
      <c r="X6386" s="46" t="str">
        <f t="shared" si="2746"/>
        <v/>
      </c>
    </row>
    <row r="6387" spans="2:26" x14ac:dyDescent="0.25">
      <c r="B6387" s="11" t="str">
        <f t="shared" si="2740"/>
        <v>THEM-07MAY1922</v>
      </c>
      <c r="C6387" s="11" t="s">
        <v>3116</v>
      </c>
      <c r="D6387" s="11" t="s">
        <v>2808</v>
      </c>
      <c r="E6387" s="39" t="s">
        <v>4220</v>
      </c>
      <c r="F6387" s="11" t="s">
        <v>1700</v>
      </c>
      <c r="G6387" s="39" t="s">
        <v>4221</v>
      </c>
      <c r="H6387" s="7">
        <v>0</v>
      </c>
      <c r="J6387" s="17">
        <f>1+4</f>
        <v>5</v>
      </c>
      <c r="K6387" s="17"/>
      <c r="L6387" s="7">
        <f t="shared" si="2741"/>
        <v>5</v>
      </c>
      <c r="M6387" s="8">
        <v>1</v>
      </c>
      <c r="N6387" s="8">
        <f t="shared" si="2742"/>
        <v>1</v>
      </c>
      <c r="O6387" s="11" t="s">
        <v>1702</v>
      </c>
      <c r="P6387" s="16" t="str">
        <f t="shared" si="2743"/>
        <v>07-May-1922</v>
      </c>
      <c r="R6387" s="16" t="str">
        <f t="shared" si="2747"/>
        <v>x</v>
      </c>
      <c r="S6387" s="16" t="str">
        <f t="shared" si="2747"/>
        <v>x</v>
      </c>
      <c r="U6387" s="46" t="str">
        <f t="shared" si="2746"/>
        <v/>
      </c>
      <c r="V6387" s="46">
        <f t="shared" si="2746"/>
        <v>5</v>
      </c>
      <c r="W6387" s="46" t="str">
        <f t="shared" si="2746"/>
        <v/>
      </c>
      <c r="X6387" s="46" t="str">
        <f t="shared" si="2746"/>
        <v/>
      </c>
    </row>
    <row r="6388" spans="2:26" x14ac:dyDescent="0.25">
      <c r="B6388" s="11" t="str">
        <f t="shared" si="2740"/>
        <v>THEM-15JUL1922</v>
      </c>
      <c r="C6388" s="11" t="s">
        <v>3116</v>
      </c>
      <c r="D6388" s="11" t="s">
        <v>2808</v>
      </c>
      <c r="E6388" s="39" t="s">
        <v>4841</v>
      </c>
      <c r="F6388" s="11" t="s">
        <v>1700</v>
      </c>
      <c r="G6388" s="39" t="s">
        <v>2981</v>
      </c>
      <c r="H6388" s="7">
        <v>2</v>
      </c>
      <c r="J6388" s="17">
        <v>0</v>
      </c>
      <c r="K6388" s="17"/>
      <c r="L6388" s="7">
        <f t="shared" si="2741"/>
        <v>2</v>
      </c>
      <c r="M6388" s="8">
        <v>1</v>
      </c>
      <c r="N6388" s="8">
        <f t="shared" si="2742"/>
        <v>1</v>
      </c>
      <c r="O6388" s="11" t="s">
        <v>1702</v>
      </c>
      <c r="P6388" s="16" t="str">
        <f t="shared" si="2743"/>
        <v>15-Jul-1922</v>
      </c>
      <c r="R6388" s="16" t="str">
        <f t="shared" si="2747"/>
        <v>x</v>
      </c>
      <c r="S6388" s="16" t="str">
        <f t="shared" si="2747"/>
        <v>x</v>
      </c>
      <c r="U6388" s="46" t="str">
        <f t="shared" si="2746"/>
        <v/>
      </c>
      <c r="V6388" s="46">
        <f t="shared" si="2746"/>
        <v>2</v>
      </c>
      <c r="W6388" s="46" t="str">
        <f t="shared" si="2746"/>
        <v/>
      </c>
      <c r="X6388" s="46" t="str">
        <f t="shared" si="2746"/>
        <v/>
      </c>
    </row>
    <row r="6389" spans="2:26" x14ac:dyDescent="0.25">
      <c r="B6389" s="11" t="str">
        <f t="shared" si="2740"/>
        <v>THEM-14MAR1923</v>
      </c>
      <c r="C6389" s="11" t="s">
        <v>3116</v>
      </c>
      <c r="D6389" s="11" t="s">
        <v>2808</v>
      </c>
      <c r="E6389" s="39" t="s">
        <v>4229</v>
      </c>
      <c r="F6389" s="11" t="s">
        <v>1700</v>
      </c>
      <c r="G6389" s="39" t="s">
        <v>4230</v>
      </c>
      <c r="H6389" s="7">
        <f>2+2</f>
        <v>4</v>
      </c>
      <c r="J6389" s="17">
        <v>41</v>
      </c>
      <c r="K6389" s="17"/>
      <c r="L6389" s="7">
        <f t="shared" si="2741"/>
        <v>45</v>
      </c>
      <c r="M6389" s="8">
        <v>1</v>
      </c>
      <c r="N6389" s="8">
        <f t="shared" si="2742"/>
        <v>1</v>
      </c>
      <c r="O6389" s="11" t="s">
        <v>1702</v>
      </c>
      <c r="P6389" s="16" t="str">
        <f t="shared" si="2743"/>
        <v>14-Mar-1923</v>
      </c>
      <c r="R6389" s="16" t="str">
        <f t="shared" si="2747"/>
        <v>x</v>
      </c>
      <c r="S6389" s="16" t="str">
        <f t="shared" si="2747"/>
        <v>x</v>
      </c>
      <c r="U6389" s="46" t="str">
        <f t="shared" si="2746"/>
        <v/>
      </c>
      <c r="V6389" s="46">
        <f t="shared" si="2746"/>
        <v>45</v>
      </c>
      <c r="W6389" s="46" t="str">
        <f t="shared" si="2746"/>
        <v/>
      </c>
      <c r="X6389" s="46" t="str">
        <f t="shared" si="2746"/>
        <v/>
      </c>
    </row>
    <row r="6390" spans="2:26" x14ac:dyDescent="0.25">
      <c r="B6390" s="11" t="str">
        <f t="shared" si="2740"/>
        <v>THEM-17MAY1923</v>
      </c>
      <c r="C6390" s="11" t="s">
        <v>3116</v>
      </c>
      <c r="D6390" s="11" t="s">
        <v>847</v>
      </c>
      <c r="E6390" s="39" t="s">
        <v>1165</v>
      </c>
      <c r="F6390" s="11" t="s">
        <v>1700</v>
      </c>
      <c r="G6390" s="39" t="s">
        <v>4386</v>
      </c>
      <c r="H6390" s="7">
        <f>2+1</f>
        <v>3</v>
      </c>
      <c r="J6390" s="17">
        <f>8+2</f>
        <v>10</v>
      </c>
      <c r="K6390" s="17"/>
      <c r="L6390" s="7">
        <f t="shared" si="2741"/>
        <v>13</v>
      </c>
      <c r="M6390" s="8">
        <v>1</v>
      </c>
      <c r="N6390" s="8">
        <f t="shared" si="2742"/>
        <v>1</v>
      </c>
      <c r="O6390" s="11" t="s">
        <v>1702</v>
      </c>
      <c r="P6390" s="16" t="str">
        <f t="shared" si="2743"/>
        <v>17-May-1923</v>
      </c>
      <c r="R6390" s="16" t="str">
        <f t="shared" si="2747"/>
        <v>x</v>
      </c>
      <c r="S6390" s="16" t="str">
        <f t="shared" si="2747"/>
        <v>x</v>
      </c>
      <c r="U6390" s="46" t="str">
        <f t="shared" si="2746"/>
        <v/>
      </c>
      <c r="V6390" s="46">
        <f t="shared" si="2746"/>
        <v>13</v>
      </c>
      <c r="W6390" s="46" t="str">
        <f t="shared" si="2746"/>
        <v/>
      </c>
      <c r="X6390" s="46" t="str">
        <f t="shared" si="2746"/>
        <v/>
      </c>
    </row>
    <row r="6391" spans="2:26" x14ac:dyDescent="0.25">
      <c r="B6391" s="11" t="str">
        <f t="shared" si="2740"/>
        <v>THEM-02FEB1924</v>
      </c>
      <c r="C6391" s="11" t="s">
        <v>3116</v>
      </c>
      <c r="D6391" s="11" t="s">
        <v>1906</v>
      </c>
      <c r="E6391" s="39" t="s">
        <v>3967</v>
      </c>
      <c r="F6391" s="11" t="s">
        <v>1700</v>
      </c>
      <c r="G6391" s="39" t="s">
        <v>3968</v>
      </c>
      <c r="H6391" s="7">
        <v>2</v>
      </c>
      <c r="J6391" s="17">
        <v>0</v>
      </c>
      <c r="K6391" s="17"/>
      <c r="L6391" s="7">
        <f t="shared" si="2741"/>
        <v>2</v>
      </c>
      <c r="M6391" s="8">
        <v>1</v>
      </c>
      <c r="N6391" s="8">
        <f t="shared" si="2742"/>
        <v>1</v>
      </c>
      <c r="O6391" s="11" t="s">
        <v>1702</v>
      </c>
      <c r="P6391" s="16" t="str">
        <f t="shared" si="2743"/>
        <v>02-Feb-1924</v>
      </c>
      <c r="R6391" s="16" t="str">
        <f t="shared" si="2747"/>
        <v>x</v>
      </c>
      <c r="S6391" s="16" t="str">
        <f t="shared" si="2747"/>
        <v>x</v>
      </c>
      <c r="U6391" s="46" t="str">
        <f t="shared" si="2746"/>
        <v/>
      </c>
      <c r="V6391" s="46">
        <f t="shared" si="2746"/>
        <v>2</v>
      </c>
      <c r="W6391" s="46" t="str">
        <f t="shared" si="2746"/>
        <v/>
      </c>
      <c r="X6391" s="46" t="str">
        <f t="shared" si="2746"/>
        <v/>
      </c>
    </row>
    <row r="6392" spans="2:26" x14ac:dyDescent="0.25">
      <c r="N6392" s="8" t="str">
        <f>IF(R6392="x",1,"")</f>
        <v/>
      </c>
      <c r="U6392" s="46" t="str">
        <f t="shared" si="2746"/>
        <v/>
      </c>
      <c r="V6392" s="46" t="str">
        <f t="shared" si="2746"/>
        <v/>
      </c>
      <c r="W6392" s="46" t="str">
        <f t="shared" si="2746"/>
        <v/>
      </c>
      <c r="X6392" s="46" t="str">
        <f t="shared" si="2746"/>
        <v/>
      </c>
    </row>
    <row r="6393" spans="2:26" x14ac:dyDescent="0.25">
      <c r="B6393" s="18"/>
      <c r="C6393" s="18"/>
      <c r="D6393" s="18"/>
      <c r="E6393" s="40"/>
      <c r="F6393" s="18"/>
      <c r="G6393" s="40"/>
      <c r="H6393" s="7">
        <f t="shared" ref="H6393:N6393" si="2748">SUM(H6373:H6392)</f>
        <v>31</v>
      </c>
      <c r="I6393" s="7">
        <f t="shared" si="2748"/>
        <v>99</v>
      </c>
      <c r="J6393" s="7">
        <f>SUM(J6373:J6392)</f>
        <v>533</v>
      </c>
      <c r="K6393" s="7">
        <f t="shared" si="2748"/>
        <v>0</v>
      </c>
      <c r="L6393" s="7">
        <f t="shared" si="2748"/>
        <v>663</v>
      </c>
      <c r="M6393" s="7">
        <f t="shared" si="2748"/>
        <v>19</v>
      </c>
      <c r="N6393" s="7">
        <f t="shared" si="2748"/>
        <v>19</v>
      </c>
      <c r="O6393" s="18"/>
      <c r="P6393" s="13"/>
      <c r="Q6393" s="13"/>
      <c r="S6393" s="13"/>
      <c r="T6393" s="15"/>
      <c r="U6393" s="46" t="str">
        <f t="shared" si="2746"/>
        <v/>
      </c>
      <c r="V6393" s="46" t="str">
        <f t="shared" si="2746"/>
        <v/>
      </c>
      <c r="W6393" s="46" t="str">
        <f t="shared" si="2746"/>
        <v/>
      </c>
      <c r="X6393" s="46" t="str">
        <f t="shared" si="2746"/>
        <v/>
      </c>
    </row>
    <row r="6394" spans="2:26" s="18" customFormat="1" x14ac:dyDescent="0.25">
      <c r="E6394" s="40"/>
      <c r="G6394" s="40"/>
      <c r="H6394" s="7"/>
      <c r="I6394" s="7"/>
      <c r="J6394" s="7"/>
      <c r="K6394" s="7"/>
      <c r="L6394" s="7"/>
      <c r="M6394" s="8"/>
      <c r="N6394" s="8" t="str">
        <f>IF(R6394="x",1,"")</f>
        <v/>
      </c>
      <c r="P6394" s="13"/>
      <c r="Q6394" s="13"/>
      <c r="R6394" s="13"/>
      <c r="S6394" s="13"/>
      <c r="T6394" s="15"/>
      <c r="U6394" s="46" t="str">
        <f t="shared" ref="U6394:X6398" si="2749">IF($O6394=U$5,$L6394,"")</f>
        <v/>
      </c>
      <c r="V6394" s="46" t="str">
        <f t="shared" si="2749"/>
        <v/>
      </c>
      <c r="W6394" s="46" t="str">
        <f t="shared" si="2749"/>
        <v/>
      </c>
      <c r="X6394" s="46" t="str">
        <f t="shared" si="2749"/>
        <v/>
      </c>
      <c r="Z6394" s="11"/>
    </row>
    <row r="6395" spans="2:26" s="18" customFormat="1" x14ac:dyDescent="0.25">
      <c r="E6395" s="40"/>
      <c r="G6395" s="40"/>
      <c r="H6395" s="7"/>
      <c r="I6395" s="7"/>
      <c r="J6395" s="7"/>
      <c r="K6395" s="7"/>
      <c r="L6395" s="7"/>
      <c r="M6395" s="8"/>
      <c r="N6395" s="8" t="str">
        <f>IF(R6395="x",1,"")</f>
        <v/>
      </c>
      <c r="P6395" s="13"/>
      <c r="Q6395" s="13"/>
      <c r="R6395" s="13"/>
      <c r="S6395" s="13"/>
      <c r="T6395" s="15"/>
      <c r="U6395" s="46" t="str">
        <f t="shared" si="2749"/>
        <v/>
      </c>
      <c r="V6395" s="46" t="str">
        <f t="shared" si="2749"/>
        <v/>
      </c>
      <c r="W6395" s="46" t="str">
        <f t="shared" si="2749"/>
        <v/>
      </c>
      <c r="X6395" s="46" t="str">
        <f t="shared" si="2749"/>
        <v/>
      </c>
      <c r="Z6395" s="11"/>
    </row>
    <row r="6396" spans="2:26" x14ac:dyDescent="0.25">
      <c r="B6396" s="11" t="str">
        <f>CONCATENATE("THES","-",LEFT(P6396,2),UPPER(MID(P6396,4,3)),RIGHT(P6396,4))</f>
        <v>THES-17SEP1914</v>
      </c>
      <c r="C6396" s="11" t="s">
        <v>5491</v>
      </c>
      <c r="D6396" s="11" t="s">
        <v>847</v>
      </c>
      <c r="E6396" s="39" t="s">
        <v>5492</v>
      </c>
      <c r="F6396" s="11" t="s">
        <v>1700</v>
      </c>
      <c r="G6396" s="39" t="s">
        <v>5181</v>
      </c>
      <c r="H6396" s="7">
        <v>2</v>
      </c>
      <c r="J6396" s="7">
        <v>16</v>
      </c>
      <c r="L6396" s="7">
        <f>SUM(H6396:K6396)</f>
        <v>18</v>
      </c>
      <c r="M6396" s="8">
        <v>1</v>
      </c>
      <c r="N6396" s="8">
        <f>IF(L6396&gt;0,1,"")</f>
        <v>1</v>
      </c>
      <c r="O6396" s="11" t="s">
        <v>1702</v>
      </c>
      <c r="P6396" s="16" t="str">
        <f>IF(LEN(G6396)=10,CONCATENATE("0",G6396),G6396)</f>
        <v>17-Sep-1914</v>
      </c>
      <c r="R6396" s="16" t="str">
        <f>IF($L6396&gt;0,"x","")</f>
        <v>x</v>
      </c>
      <c r="S6396" s="16" t="str">
        <f>IF($L6396&gt;0,"x","")</f>
        <v>x</v>
      </c>
      <c r="U6396" s="46" t="str">
        <f t="shared" si="2749"/>
        <v/>
      </c>
      <c r="V6396" s="46">
        <f t="shared" si="2749"/>
        <v>18</v>
      </c>
      <c r="W6396" s="46" t="str">
        <f t="shared" si="2749"/>
        <v/>
      </c>
      <c r="X6396" s="46" t="str">
        <f t="shared" si="2749"/>
        <v/>
      </c>
    </row>
    <row r="6397" spans="2:26" x14ac:dyDescent="0.25">
      <c r="N6397" s="8" t="str">
        <f>IF(R6397="x",1,"")</f>
        <v/>
      </c>
      <c r="U6397" s="46" t="str">
        <f t="shared" si="2749"/>
        <v/>
      </c>
      <c r="V6397" s="46" t="str">
        <f t="shared" si="2749"/>
        <v/>
      </c>
      <c r="W6397" s="46" t="str">
        <f t="shared" si="2749"/>
        <v/>
      </c>
      <c r="X6397" s="46" t="str">
        <f t="shared" si="2749"/>
        <v/>
      </c>
    </row>
    <row r="6398" spans="2:26" s="18" customFormat="1" x14ac:dyDescent="0.25">
      <c r="E6398" s="40"/>
      <c r="G6398" s="40"/>
      <c r="H6398" s="7">
        <f t="shared" ref="H6398:N6398" si="2750">SUM(H6396:H6397)</f>
        <v>2</v>
      </c>
      <c r="I6398" s="7">
        <f t="shared" si="2750"/>
        <v>0</v>
      </c>
      <c r="J6398" s="7">
        <f>SUM(J6396:J6397)</f>
        <v>16</v>
      </c>
      <c r="K6398" s="7">
        <f t="shared" si="2750"/>
        <v>0</v>
      </c>
      <c r="L6398" s="7">
        <f t="shared" si="2750"/>
        <v>18</v>
      </c>
      <c r="M6398" s="7">
        <f t="shared" si="2750"/>
        <v>1</v>
      </c>
      <c r="N6398" s="7">
        <f t="shared" si="2750"/>
        <v>1</v>
      </c>
      <c r="P6398" s="13"/>
      <c r="Q6398" s="13"/>
      <c r="R6398" s="13"/>
      <c r="S6398" s="13"/>
      <c r="T6398" s="15"/>
      <c r="U6398" s="46" t="str">
        <f t="shared" si="2749"/>
        <v/>
      </c>
      <c r="V6398" s="46" t="str">
        <f t="shared" si="2749"/>
        <v/>
      </c>
      <c r="W6398" s="46" t="str">
        <f t="shared" si="2749"/>
        <v/>
      </c>
      <c r="X6398" s="46" t="str">
        <f t="shared" si="2749"/>
        <v/>
      </c>
      <c r="Z6398" s="11"/>
    </row>
    <row r="6399" spans="2:26" s="18" customFormat="1" x14ac:dyDescent="0.25">
      <c r="E6399" s="40"/>
      <c r="G6399" s="40"/>
      <c r="H6399" s="7"/>
      <c r="I6399" s="7"/>
      <c r="J6399" s="7"/>
      <c r="K6399" s="7"/>
      <c r="L6399" s="7"/>
      <c r="M6399" s="8"/>
      <c r="N6399" s="8" t="str">
        <f>IF(R6399="x",1,"")</f>
        <v/>
      </c>
      <c r="P6399" s="13"/>
      <c r="Q6399" s="13"/>
      <c r="R6399" s="13"/>
      <c r="S6399" s="13"/>
      <c r="T6399" s="15"/>
      <c r="U6399" s="46" t="str">
        <f t="shared" ref="U6399:X6403" si="2751">IF($O6399=U$5,$L6399,"")</f>
        <v/>
      </c>
      <c r="V6399" s="46" t="str">
        <f t="shared" si="2751"/>
        <v/>
      </c>
      <c r="W6399" s="46" t="str">
        <f t="shared" si="2751"/>
        <v/>
      </c>
      <c r="X6399" s="46" t="str">
        <f t="shared" si="2751"/>
        <v/>
      </c>
      <c r="Z6399" s="11"/>
    </row>
    <row r="6400" spans="2:26" s="18" customFormat="1" x14ac:dyDescent="0.25">
      <c r="E6400" s="40"/>
      <c r="G6400" s="40"/>
      <c r="H6400" s="7"/>
      <c r="I6400" s="7"/>
      <c r="J6400" s="7"/>
      <c r="K6400" s="7"/>
      <c r="L6400" s="7"/>
      <c r="M6400" s="8"/>
      <c r="N6400" s="8" t="str">
        <f>IF(R6400="x",1,"")</f>
        <v/>
      </c>
      <c r="P6400" s="13"/>
      <c r="Q6400" s="13"/>
      <c r="R6400" s="13"/>
      <c r="S6400" s="13"/>
      <c r="T6400" s="15"/>
      <c r="U6400" s="46" t="str">
        <f t="shared" si="2751"/>
        <v/>
      </c>
      <c r="V6400" s="46" t="str">
        <f t="shared" si="2751"/>
        <v/>
      </c>
      <c r="W6400" s="46" t="str">
        <f t="shared" si="2751"/>
        <v/>
      </c>
      <c r="X6400" s="46" t="str">
        <f t="shared" si="2751"/>
        <v/>
      </c>
      <c r="Z6400" s="11"/>
    </row>
    <row r="6401" spans="2:26" x14ac:dyDescent="0.25">
      <c r="B6401" s="11" t="str">
        <f>CONCATENATE("TITA","-",LEFT(P6401,2),UPPER(MID(P6401,4,3)),RIGHT(P6401,4))</f>
        <v>TITA-18APR1912</v>
      </c>
      <c r="C6401" s="11" t="s">
        <v>2953</v>
      </c>
      <c r="D6401" s="11" t="s">
        <v>2224</v>
      </c>
      <c r="E6401" s="39" t="s">
        <v>2954</v>
      </c>
      <c r="F6401" s="11" t="s">
        <v>1700</v>
      </c>
      <c r="G6401" s="39" t="s">
        <v>908</v>
      </c>
      <c r="H6401" s="7">
        <v>0</v>
      </c>
      <c r="I6401" s="7">
        <v>0</v>
      </c>
      <c r="J6401" s="7">
        <v>2</v>
      </c>
      <c r="L6401" s="7">
        <f>SUM(H6401:K6401)</f>
        <v>2</v>
      </c>
      <c r="M6401" s="8">
        <v>1</v>
      </c>
      <c r="N6401" s="8">
        <f>IF(L6401&gt;0,1,"")</f>
        <v>1</v>
      </c>
      <c r="O6401" s="11" t="s">
        <v>1702</v>
      </c>
      <c r="P6401" s="16" t="str">
        <f>IF(LEN(G6401)=10,CONCATENATE("0",G6401),G6401)</f>
        <v>18-Apr-1912</v>
      </c>
      <c r="R6401" s="16" t="str">
        <f>IF($L6401&gt;0,"x","")</f>
        <v>x</v>
      </c>
      <c r="S6401" s="16" t="str">
        <f>IF($L6401&gt;0,"x","")</f>
        <v>x</v>
      </c>
      <c r="U6401" s="46" t="str">
        <f t="shared" si="2751"/>
        <v/>
      </c>
      <c r="V6401" s="46">
        <f t="shared" si="2751"/>
        <v>2</v>
      </c>
      <c r="W6401" s="46" t="str">
        <f t="shared" si="2751"/>
        <v/>
      </c>
      <c r="X6401" s="46" t="str">
        <f t="shared" si="2751"/>
        <v/>
      </c>
    </row>
    <row r="6402" spans="2:26" x14ac:dyDescent="0.25">
      <c r="N6402" s="8" t="str">
        <f>IF(R6402="x",1,"")</f>
        <v/>
      </c>
      <c r="U6402" s="46" t="str">
        <f t="shared" si="2751"/>
        <v/>
      </c>
      <c r="V6402" s="46" t="str">
        <f t="shared" si="2751"/>
        <v/>
      </c>
      <c r="W6402" s="46" t="str">
        <f t="shared" si="2751"/>
        <v/>
      </c>
      <c r="X6402" s="46" t="str">
        <f t="shared" si="2751"/>
        <v/>
      </c>
    </row>
    <row r="6403" spans="2:26" s="18" customFormat="1" x14ac:dyDescent="0.25">
      <c r="E6403" s="40"/>
      <c r="G6403" s="40"/>
      <c r="H6403" s="7">
        <f t="shared" ref="H6403:N6403" si="2752">SUM(H6401:H6402)</f>
        <v>0</v>
      </c>
      <c r="I6403" s="7">
        <f t="shared" si="2752"/>
        <v>0</v>
      </c>
      <c r="J6403" s="7">
        <f>SUM(J6401:J6402)</f>
        <v>2</v>
      </c>
      <c r="K6403" s="7">
        <f t="shared" si="2752"/>
        <v>0</v>
      </c>
      <c r="L6403" s="7">
        <f t="shared" si="2752"/>
        <v>2</v>
      </c>
      <c r="M6403" s="7">
        <f t="shared" si="2752"/>
        <v>1</v>
      </c>
      <c r="N6403" s="7">
        <f t="shared" si="2752"/>
        <v>1</v>
      </c>
      <c r="P6403" s="13"/>
      <c r="Q6403" s="13"/>
      <c r="R6403" s="13"/>
      <c r="S6403" s="13"/>
      <c r="T6403" s="15"/>
      <c r="U6403" s="46" t="str">
        <f t="shared" si="2751"/>
        <v/>
      </c>
      <c r="V6403" s="46" t="str">
        <f t="shared" si="2751"/>
        <v/>
      </c>
      <c r="W6403" s="46" t="str">
        <f t="shared" si="2751"/>
        <v/>
      </c>
      <c r="X6403" s="46" t="str">
        <f t="shared" si="2751"/>
        <v/>
      </c>
      <c r="Z6403" s="11"/>
    </row>
    <row r="6404" spans="2:26" x14ac:dyDescent="0.25">
      <c r="B6404" s="18"/>
      <c r="C6404" s="18"/>
      <c r="D6404" s="18"/>
      <c r="E6404" s="40"/>
      <c r="F6404" s="18"/>
      <c r="G6404" s="40"/>
      <c r="N6404" s="8" t="str">
        <f>IF(R6404="x",1,"")</f>
        <v/>
      </c>
      <c r="O6404" s="18"/>
      <c r="P6404" s="13"/>
      <c r="Q6404" s="13"/>
      <c r="R6404" s="13"/>
      <c r="S6404" s="13"/>
      <c r="T6404" s="15"/>
      <c r="U6404" s="46" t="str">
        <f t="shared" ref="U6404:X6408" si="2753">IF($O6404=U$5,$L6404,"")</f>
        <v/>
      </c>
      <c r="V6404" s="46" t="str">
        <f t="shared" si="2753"/>
        <v/>
      </c>
      <c r="W6404" s="46" t="str">
        <f t="shared" si="2753"/>
        <v/>
      </c>
      <c r="X6404" s="46" t="str">
        <f t="shared" si="2753"/>
        <v/>
      </c>
    </row>
    <row r="6405" spans="2:26" x14ac:dyDescent="0.25">
      <c r="B6405" s="18"/>
      <c r="C6405" s="18"/>
      <c r="D6405" s="18"/>
      <c r="E6405" s="40"/>
      <c r="F6405" s="18"/>
      <c r="G6405" s="40"/>
      <c r="N6405" s="8" t="str">
        <f>IF(R6405="x",1,"")</f>
        <v/>
      </c>
      <c r="O6405" s="18"/>
      <c r="P6405" s="13"/>
      <c r="Q6405" s="13"/>
      <c r="R6405" s="13"/>
      <c r="S6405" s="13"/>
      <c r="T6405" s="15"/>
      <c r="U6405" s="46" t="str">
        <f t="shared" si="2753"/>
        <v/>
      </c>
      <c r="V6405" s="46" t="str">
        <f t="shared" si="2753"/>
        <v/>
      </c>
      <c r="W6405" s="46" t="str">
        <f t="shared" si="2753"/>
        <v/>
      </c>
      <c r="X6405" s="46" t="str">
        <f t="shared" si="2753"/>
        <v/>
      </c>
    </row>
    <row r="6406" spans="2:26" x14ac:dyDescent="0.25">
      <c r="B6406" s="11" t="str">
        <f>CONCATENATE("TITI","-",LEFT(P6406,2),UPPER(MID(P6406,4,3)),RIGHT(P6406,4))</f>
        <v>TITI-28NOV1905</v>
      </c>
      <c r="C6406" s="11" t="s">
        <v>3542</v>
      </c>
      <c r="D6406" s="11" t="s">
        <v>3543</v>
      </c>
      <c r="E6406" s="39" t="s">
        <v>3545</v>
      </c>
      <c r="F6406" s="11" t="s">
        <v>1700</v>
      </c>
      <c r="G6406" s="39" t="s">
        <v>3544</v>
      </c>
      <c r="H6406" s="7">
        <v>13</v>
      </c>
      <c r="J6406" s="17">
        <v>0</v>
      </c>
      <c r="K6406" s="17"/>
      <c r="L6406" s="7">
        <f>SUM(H6406:K6406)</f>
        <v>13</v>
      </c>
      <c r="M6406" s="8">
        <v>1</v>
      </c>
      <c r="N6406" s="8">
        <f>IF(L6406&gt;0,1,"")</f>
        <v>1</v>
      </c>
      <c r="O6406" s="11" t="s">
        <v>1702</v>
      </c>
      <c r="P6406" s="16" t="str">
        <f>IF(LEN(G6406)=10,CONCATENATE("0",G6406),G6406)</f>
        <v>28-Nov-1905</v>
      </c>
      <c r="R6406" s="16" t="str">
        <f>IF($L6406&gt;0,"x","")</f>
        <v>x</v>
      </c>
      <c r="S6406" s="16" t="str">
        <f>IF($L6406&gt;0,"x","")</f>
        <v>x</v>
      </c>
      <c r="U6406" s="46" t="str">
        <f t="shared" si="2753"/>
        <v/>
      </c>
      <c r="V6406" s="46">
        <f t="shared" si="2753"/>
        <v>13</v>
      </c>
      <c r="W6406" s="46" t="str">
        <f t="shared" si="2753"/>
        <v/>
      </c>
      <c r="X6406" s="46" t="str">
        <f t="shared" si="2753"/>
        <v/>
      </c>
    </row>
    <row r="6407" spans="2:26" x14ac:dyDescent="0.25">
      <c r="N6407" s="8" t="str">
        <f>IF(R6407="x",1,"")</f>
        <v/>
      </c>
      <c r="U6407" s="46" t="str">
        <f t="shared" si="2753"/>
        <v/>
      </c>
      <c r="V6407" s="46" t="str">
        <f t="shared" si="2753"/>
        <v/>
      </c>
      <c r="W6407" s="46" t="str">
        <f t="shared" si="2753"/>
        <v/>
      </c>
      <c r="X6407" s="46" t="str">
        <f t="shared" si="2753"/>
        <v/>
      </c>
    </row>
    <row r="6408" spans="2:26" x14ac:dyDescent="0.25">
      <c r="B6408" s="18"/>
      <c r="C6408" s="18"/>
      <c r="D6408" s="18"/>
      <c r="E6408" s="40"/>
      <c r="F6408" s="18"/>
      <c r="G6408" s="40"/>
      <c r="H6408" s="7">
        <f t="shared" ref="H6408:N6408" si="2754">SUM(H6406:H6407)</f>
        <v>13</v>
      </c>
      <c r="I6408" s="7">
        <f t="shared" si="2754"/>
        <v>0</v>
      </c>
      <c r="J6408" s="7">
        <f>SUM(J6406:J6407)</f>
        <v>0</v>
      </c>
      <c r="K6408" s="7">
        <f t="shared" si="2754"/>
        <v>0</v>
      </c>
      <c r="L6408" s="7">
        <f t="shared" si="2754"/>
        <v>13</v>
      </c>
      <c r="M6408" s="7">
        <f t="shared" si="2754"/>
        <v>1</v>
      </c>
      <c r="N6408" s="7">
        <f t="shared" si="2754"/>
        <v>1</v>
      </c>
      <c r="O6408" s="18"/>
      <c r="P6408" s="13"/>
      <c r="Q6408" s="13"/>
      <c r="S6408" s="13"/>
      <c r="T6408" s="15"/>
      <c r="U6408" s="46" t="str">
        <f t="shared" si="2753"/>
        <v/>
      </c>
      <c r="V6408" s="46" t="str">
        <f t="shared" si="2753"/>
        <v/>
      </c>
      <c r="W6408" s="46" t="str">
        <f t="shared" si="2753"/>
        <v/>
      </c>
      <c r="X6408" s="46" t="str">
        <f t="shared" si="2753"/>
        <v/>
      </c>
    </row>
    <row r="6409" spans="2:26" x14ac:dyDescent="0.25">
      <c r="B6409" s="18"/>
      <c r="C6409" s="18"/>
      <c r="D6409" s="18"/>
      <c r="E6409" s="40"/>
      <c r="F6409" s="18"/>
      <c r="G6409" s="40"/>
      <c r="N6409" s="8" t="str">
        <f>IF(R6409="x",1,"")</f>
        <v/>
      </c>
      <c r="O6409" s="18"/>
      <c r="P6409" s="13"/>
      <c r="Q6409" s="13"/>
      <c r="R6409" s="13"/>
      <c r="S6409" s="13"/>
      <c r="T6409" s="15"/>
      <c r="U6409" s="46" t="str">
        <f t="shared" ref="U6409:X6413" si="2755">IF($O6409=U$5,$L6409,"")</f>
        <v/>
      </c>
      <c r="V6409" s="46" t="str">
        <f t="shared" si="2755"/>
        <v/>
      </c>
      <c r="W6409" s="46" t="str">
        <f t="shared" si="2755"/>
        <v/>
      </c>
      <c r="X6409" s="46" t="str">
        <f t="shared" si="2755"/>
        <v/>
      </c>
    </row>
    <row r="6410" spans="2:26" x14ac:dyDescent="0.25">
      <c r="B6410" s="18"/>
      <c r="C6410" s="18"/>
      <c r="D6410" s="18"/>
      <c r="E6410" s="40"/>
      <c r="F6410" s="18"/>
      <c r="G6410" s="40"/>
      <c r="N6410" s="8" t="str">
        <f>IF(R6410="x",1,"")</f>
        <v/>
      </c>
      <c r="O6410" s="18"/>
      <c r="P6410" s="13"/>
      <c r="Q6410" s="13"/>
      <c r="R6410" s="13"/>
      <c r="S6410" s="13"/>
      <c r="T6410" s="15"/>
      <c r="U6410" s="46" t="str">
        <f t="shared" si="2755"/>
        <v/>
      </c>
      <c r="V6410" s="46" t="str">
        <f t="shared" si="2755"/>
        <v/>
      </c>
      <c r="W6410" s="46" t="str">
        <f t="shared" si="2755"/>
        <v/>
      </c>
      <c r="X6410" s="46" t="str">
        <f t="shared" si="2755"/>
        <v/>
      </c>
    </row>
    <row r="6411" spans="2:26" x14ac:dyDescent="0.25">
      <c r="B6411" s="11" t="str">
        <f>CONCATENATE("TOLO","-",LEFT(P6411,2),UPPER(MID(P6411,4,3)),RIGHT(P6411,4))</f>
        <v>TOLO-27SEP1931</v>
      </c>
      <c r="C6411" s="11" t="s">
        <v>4998</v>
      </c>
      <c r="D6411" s="11" t="s">
        <v>3122</v>
      </c>
      <c r="E6411" s="39" t="s">
        <v>4999</v>
      </c>
      <c r="F6411" s="11" t="s">
        <v>1700</v>
      </c>
      <c r="G6411" s="39" t="s">
        <v>5000</v>
      </c>
      <c r="H6411" s="7">
        <v>2</v>
      </c>
      <c r="J6411" s="17"/>
      <c r="K6411" s="17"/>
      <c r="L6411" s="7">
        <f>SUM(H6411:K6411)</f>
        <v>2</v>
      </c>
      <c r="M6411" s="8">
        <v>1</v>
      </c>
      <c r="N6411" s="8">
        <f>IF(L6411&gt;0,1,"")</f>
        <v>1</v>
      </c>
      <c r="O6411" s="11" t="s">
        <v>1702</v>
      </c>
      <c r="P6411" s="16" t="str">
        <f>IF(LEN(G6411)=10,CONCATENATE("0",G6411),G6411)</f>
        <v>27-Sep-1931</v>
      </c>
      <c r="R6411" s="16" t="str">
        <f>IF($L6411&gt;0,"x","")</f>
        <v>x</v>
      </c>
      <c r="S6411" s="16" t="str">
        <f>IF($L6411&gt;0,"x","")</f>
        <v>x</v>
      </c>
      <c r="U6411" s="46" t="str">
        <f t="shared" si="2755"/>
        <v/>
      </c>
      <c r="V6411" s="46">
        <f t="shared" si="2755"/>
        <v>2</v>
      </c>
      <c r="W6411" s="46" t="str">
        <f t="shared" si="2755"/>
        <v/>
      </c>
      <c r="X6411" s="46" t="str">
        <f t="shared" si="2755"/>
        <v/>
      </c>
    </row>
    <row r="6412" spans="2:26" x14ac:dyDescent="0.25">
      <c r="N6412" s="8" t="str">
        <f>IF(R6412="x",1,"")</f>
        <v/>
      </c>
      <c r="U6412" s="46" t="str">
        <f t="shared" si="2755"/>
        <v/>
      </c>
      <c r="V6412" s="46" t="str">
        <f t="shared" si="2755"/>
        <v/>
      </c>
      <c r="W6412" s="46" t="str">
        <f t="shared" si="2755"/>
        <v/>
      </c>
      <c r="X6412" s="46" t="str">
        <f t="shared" si="2755"/>
        <v/>
      </c>
    </row>
    <row r="6413" spans="2:26" x14ac:dyDescent="0.25">
      <c r="B6413" s="18"/>
      <c r="C6413" s="18"/>
      <c r="D6413" s="18"/>
      <c r="E6413" s="40"/>
      <c r="F6413" s="18"/>
      <c r="G6413" s="40"/>
      <c r="H6413" s="7">
        <f t="shared" ref="H6413:N6413" si="2756">SUM(H6411:H6412)</f>
        <v>2</v>
      </c>
      <c r="I6413" s="7">
        <f t="shared" si="2756"/>
        <v>0</v>
      </c>
      <c r="J6413" s="7">
        <f>SUM(J6411:J6412)</f>
        <v>0</v>
      </c>
      <c r="K6413" s="7">
        <f t="shared" si="2756"/>
        <v>0</v>
      </c>
      <c r="L6413" s="7">
        <f t="shared" si="2756"/>
        <v>2</v>
      </c>
      <c r="M6413" s="7">
        <f t="shared" si="2756"/>
        <v>1</v>
      </c>
      <c r="N6413" s="7">
        <f t="shared" si="2756"/>
        <v>1</v>
      </c>
      <c r="O6413" s="18"/>
      <c r="P6413" s="13"/>
      <c r="Q6413" s="13"/>
      <c r="S6413" s="13"/>
      <c r="T6413" s="15"/>
      <c r="U6413" s="46" t="str">
        <f t="shared" si="2755"/>
        <v/>
      </c>
      <c r="V6413" s="46" t="str">
        <f t="shared" si="2755"/>
        <v/>
      </c>
      <c r="W6413" s="46" t="str">
        <f t="shared" si="2755"/>
        <v/>
      </c>
      <c r="X6413" s="46" t="str">
        <f t="shared" si="2755"/>
        <v/>
      </c>
    </row>
    <row r="6414" spans="2:26" x14ac:dyDescent="0.25">
      <c r="B6414" s="18"/>
      <c r="C6414" s="18"/>
      <c r="D6414" s="18"/>
      <c r="E6414" s="40"/>
      <c r="F6414" s="18"/>
      <c r="G6414" s="40"/>
      <c r="N6414" s="8" t="str">
        <f>IF(R6414="x",1,"")</f>
        <v/>
      </c>
      <c r="O6414" s="18"/>
      <c r="P6414" s="13"/>
      <c r="Q6414" s="13"/>
      <c r="R6414" s="13"/>
      <c r="S6414" s="13"/>
      <c r="T6414" s="15"/>
      <c r="U6414" s="46" t="str">
        <f t="shared" ref="U6414:X6423" si="2757">IF($O6414=U$5,$L6414,"")</f>
        <v/>
      </c>
      <c r="V6414" s="46" t="str">
        <f t="shared" si="2757"/>
        <v/>
      </c>
      <c r="W6414" s="46" t="str">
        <f t="shared" si="2757"/>
        <v/>
      </c>
      <c r="X6414" s="46" t="str">
        <f t="shared" si="2757"/>
        <v/>
      </c>
    </row>
    <row r="6415" spans="2:26" x14ac:dyDescent="0.25">
      <c r="B6415" s="18"/>
      <c r="C6415" s="18"/>
      <c r="D6415" s="18"/>
      <c r="E6415" s="40"/>
      <c r="F6415" s="18"/>
      <c r="G6415" s="40"/>
      <c r="N6415" s="8" t="str">
        <f>IF(R6415="x",1,"")</f>
        <v/>
      </c>
      <c r="O6415" s="18"/>
      <c r="P6415" s="13"/>
      <c r="Q6415" s="13"/>
      <c r="R6415" s="13"/>
      <c r="S6415" s="13"/>
      <c r="T6415" s="15"/>
      <c r="U6415" s="46" t="str">
        <f t="shared" si="2757"/>
        <v/>
      </c>
      <c r="V6415" s="46" t="str">
        <f t="shared" si="2757"/>
        <v/>
      </c>
      <c r="W6415" s="46" t="str">
        <f t="shared" si="2757"/>
        <v/>
      </c>
      <c r="X6415" s="46" t="str">
        <f t="shared" si="2757"/>
        <v/>
      </c>
    </row>
    <row r="6416" spans="2:26" x14ac:dyDescent="0.25">
      <c r="B6416" s="11" t="str">
        <f>CONCATENATE("TODS","-",LEFT(P6416,2),UPPER(MID(P6416,4,3)),RIGHT(P6416,4))</f>
        <v>TODS-22JUN1909</v>
      </c>
      <c r="C6416" s="11" t="s">
        <v>5932</v>
      </c>
      <c r="D6416" s="11" t="s">
        <v>3007</v>
      </c>
      <c r="E6416" s="39" t="s">
        <v>3840</v>
      </c>
      <c r="F6416" s="11" t="s">
        <v>1700</v>
      </c>
      <c r="G6416" s="39" t="s">
        <v>2048</v>
      </c>
      <c r="H6416" s="7">
        <v>0</v>
      </c>
      <c r="I6416" s="7">
        <v>0</v>
      </c>
      <c r="J6416" s="17">
        <v>16</v>
      </c>
      <c r="K6416" s="17"/>
      <c r="L6416" s="7">
        <f>SUM(H6416:K6416)</f>
        <v>16</v>
      </c>
      <c r="M6416" s="8">
        <v>1</v>
      </c>
      <c r="N6416" s="8">
        <f>IF(L6416&gt;0,1,"")</f>
        <v>1</v>
      </c>
      <c r="O6416" s="11" t="s">
        <v>1702</v>
      </c>
      <c r="P6416" s="16" t="str">
        <f>IF(LEN(G6416)=10,CONCATENATE("0",G6416),G6416)</f>
        <v>22-Jun-1909</v>
      </c>
      <c r="R6416" s="16" t="str">
        <f>IF($L6416&gt;0,"x","")</f>
        <v>x</v>
      </c>
      <c r="S6416" s="16" t="str">
        <f>IF($L6416&gt;0,"x","")</f>
        <v>x</v>
      </c>
      <c r="U6416" s="46" t="str">
        <f t="shared" si="2757"/>
        <v/>
      </c>
      <c r="V6416" s="46">
        <f t="shared" si="2757"/>
        <v>16</v>
      </c>
      <c r="W6416" s="46" t="str">
        <f t="shared" si="2757"/>
        <v/>
      </c>
      <c r="X6416" s="46" t="str">
        <f t="shared" si="2757"/>
        <v/>
      </c>
    </row>
    <row r="6417" spans="2:24" x14ac:dyDescent="0.25">
      <c r="N6417" s="8" t="str">
        <f>IF(R6417="x",1,"")</f>
        <v/>
      </c>
      <c r="U6417" s="46" t="str">
        <f t="shared" si="2757"/>
        <v/>
      </c>
      <c r="V6417" s="46" t="str">
        <f t="shared" si="2757"/>
        <v/>
      </c>
      <c r="W6417" s="46" t="str">
        <f t="shared" si="2757"/>
        <v/>
      </c>
      <c r="X6417" s="46" t="str">
        <f t="shared" si="2757"/>
        <v/>
      </c>
    </row>
    <row r="6418" spans="2:24" x14ac:dyDescent="0.25">
      <c r="B6418" s="18"/>
      <c r="C6418" s="18"/>
      <c r="D6418" s="18"/>
      <c r="E6418" s="40"/>
      <c r="F6418" s="18"/>
      <c r="G6418" s="40"/>
      <c r="H6418" s="7">
        <f t="shared" ref="H6418:N6418" si="2758">SUM(H6416:H6417)</f>
        <v>0</v>
      </c>
      <c r="I6418" s="7">
        <f t="shared" si="2758"/>
        <v>0</v>
      </c>
      <c r="J6418" s="7">
        <f>SUM(J6416:J6417)</f>
        <v>16</v>
      </c>
      <c r="K6418" s="7">
        <f t="shared" si="2758"/>
        <v>0</v>
      </c>
      <c r="L6418" s="7">
        <f t="shared" si="2758"/>
        <v>16</v>
      </c>
      <c r="M6418" s="7">
        <f t="shared" si="2758"/>
        <v>1</v>
      </c>
      <c r="N6418" s="7">
        <f t="shared" si="2758"/>
        <v>1</v>
      </c>
      <c r="O6418" s="18"/>
      <c r="P6418" s="13"/>
      <c r="Q6418" s="13"/>
      <c r="S6418" s="13"/>
      <c r="T6418" s="15"/>
      <c r="U6418" s="46" t="str">
        <f t="shared" si="2757"/>
        <v/>
      </c>
      <c r="V6418" s="46" t="str">
        <f t="shared" si="2757"/>
        <v/>
      </c>
      <c r="W6418" s="46" t="str">
        <f t="shared" si="2757"/>
        <v/>
      </c>
      <c r="X6418" s="46" t="str">
        <f t="shared" si="2757"/>
        <v/>
      </c>
    </row>
    <row r="6419" spans="2:24" x14ac:dyDescent="0.25">
      <c r="B6419" s="18"/>
      <c r="C6419" s="18"/>
      <c r="D6419" s="18"/>
      <c r="E6419" s="40"/>
      <c r="F6419" s="18"/>
      <c r="G6419" s="40"/>
      <c r="N6419" s="8" t="str">
        <f>IF(R6419="x",1,"")</f>
        <v/>
      </c>
      <c r="O6419" s="18"/>
      <c r="P6419" s="13"/>
      <c r="Q6419" s="13"/>
      <c r="R6419" s="13"/>
      <c r="S6419" s="13"/>
      <c r="T6419" s="15"/>
      <c r="U6419" s="46" t="str">
        <f t="shared" si="2757"/>
        <v/>
      </c>
      <c r="V6419" s="46" t="str">
        <f t="shared" si="2757"/>
        <v/>
      </c>
      <c r="W6419" s="46" t="str">
        <f t="shared" si="2757"/>
        <v/>
      </c>
      <c r="X6419" s="46" t="str">
        <f t="shared" si="2757"/>
        <v/>
      </c>
    </row>
    <row r="6420" spans="2:24" x14ac:dyDescent="0.25">
      <c r="B6420" s="18"/>
      <c r="C6420" s="18"/>
      <c r="D6420" s="18"/>
      <c r="E6420" s="40"/>
      <c r="F6420" s="18"/>
      <c r="G6420" s="40"/>
      <c r="N6420" s="8" t="str">
        <f>IF(R6420="x",1,"")</f>
        <v/>
      </c>
      <c r="O6420" s="18"/>
      <c r="P6420" s="13"/>
      <c r="Q6420" s="13"/>
      <c r="R6420" s="13"/>
      <c r="S6420" s="13"/>
      <c r="T6420" s="15"/>
      <c r="U6420" s="46" t="str">
        <f t="shared" si="2757"/>
        <v/>
      </c>
      <c r="V6420" s="46" t="str">
        <f t="shared" si="2757"/>
        <v/>
      </c>
      <c r="W6420" s="46" t="str">
        <f t="shared" si="2757"/>
        <v/>
      </c>
      <c r="X6420" s="46" t="str">
        <f t="shared" si="2757"/>
        <v/>
      </c>
    </row>
    <row r="6421" spans="2:24" x14ac:dyDescent="0.25">
      <c r="B6421" s="11" t="str">
        <f>CONCATENATE("TONG","-",LEFT(P6421,2),UPPER(MID(P6421,4,3)),RIGHT(P6421,4))</f>
        <v>TONG-21SEP1898</v>
      </c>
      <c r="C6421" s="11" t="s">
        <v>11181</v>
      </c>
      <c r="D6421" s="11" t="s">
        <v>2097</v>
      </c>
      <c r="E6421" s="39" t="s">
        <v>2171</v>
      </c>
      <c r="F6421" s="11" t="s">
        <v>11182</v>
      </c>
      <c r="G6421" s="39" t="s">
        <v>11183</v>
      </c>
      <c r="J6421" s="17">
        <v>2</v>
      </c>
      <c r="K6421" s="17"/>
      <c r="L6421" s="7">
        <f>SUM(H6421:K6421)</f>
        <v>2</v>
      </c>
      <c r="M6421" s="8">
        <v>1</v>
      </c>
      <c r="N6421" s="8">
        <f>IF(L6421&gt;0,1,"")</f>
        <v>1</v>
      </c>
      <c r="O6421" s="11" t="s">
        <v>1702</v>
      </c>
      <c r="P6421" s="16" t="str">
        <f>IF(LEN(G6421)=10,CONCATENATE("0",G6421),G6421)</f>
        <v>21-Sep-1898</v>
      </c>
      <c r="R6421" s="16" t="str">
        <f>IF($L6421&gt;0,"x","")</f>
        <v>x</v>
      </c>
      <c r="S6421" s="16" t="str">
        <f>IF($L6421&gt;0,"x","")</f>
        <v>x</v>
      </c>
      <c r="U6421" s="46" t="str">
        <f t="shared" si="2757"/>
        <v/>
      </c>
      <c r="V6421" s="46">
        <f t="shared" si="2757"/>
        <v>2</v>
      </c>
      <c r="W6421" s="46" t="str">
        <f t="shared" si="2757"/>
        <v/>
      </c>
      <c r="X6421" s="46" t="str">
        <f t="shared" si="2757"/>
        <v/>
      </c>
    </row>
    <row r="6422" spans="2:24" x14ac:dyDescent="0.25">
      <c r="N6422" s="8" t="str">
        <f>IF(R6422="x",1,"")</f>
        <v/>
      </c>
      <c r="U6422" s="46" t="str">
        <f t="shared" si="2757"/>
        <v/>
      </c>
      <c r="V6422" s="46" t="str">
        <f t="shared" si="2757"/>
        <v/>
      </c>
      <c r="W6422" s="46" t="str">
        <f t="shared" si="2757"/>
        <v/>
      </c>
      <c r="X6422" s="46" t="str">
        <f t="shared" si="2757"/>
        <v/>
      </c>
    </row>
    <row r="6423" spans="2:24" x14ac:dyDescent="0.25">
      <c r="B6423" s="18"/>
      <c r="C6423" s="18"/>
      <c r="D6423" s="18"/>
      <c r="E6423" s="40"/>
      <c r="F6423" s="18"/>
      <c r="G6423" s="40"/>
      <c r="H6423" s="7">
        <f t="shared" ref="H6423:N6423" si="2759">SUM(H6421:H6422)</f>
        <v>0</v>
      </c>
      <c r="I6423" s="7">
        <f t="shared" si="2759"/>
        <v>0</v>
      </c>
      <c r="J6423" s="7">
        <f>SUM(J6421:J6422)</f>
        <v>2</v>
      </c>
      <c r="K6423" s="7">
        <f t="shared" si="2759"/>
        <v>0</v>
      </c>
      <c r="L6423" s="7">
        <f t="shared" si="2759"/>
        <v>2</v>
      </c>
      <c r="M6423" s="7">
        <f t="shared" si="2759"/>
        <v>1</v>
      </c>
      <c r="N6423" s="7">
        <f t="shared" si="2759"/>
        <v>1</v>
      </c>
      <c r="O6423" s="18"/>
      <c r="P6423" s="13"/>
      <c r="Q6423" s="13"/>
      <c r="S6423" s="13"/>
      <c r="T6423" s="15"/>
      <c r="U6423" s="46" t="str">
        <f t="shared" si="2757"/>
        <v/>
      </c>
      <c r="V6423" s="46" t="str">
        <f t="shared" si="2757"/>
        <v/>
      </c>
      <c r="W6423" s="46" t="str">
        <f t="shared" si="2757"/>
        <v/>
      </c>
      <c r="X6423" s="46" t="str">
        <f t="shared" si="2757"/>
        <v/>
      </c>
    </row>
    <row r="6424" spans="2:24" x14ac:dyDescent="0.25">
      <c r="B6424" s="18"/>
      <c r="C6424" s="18"/>
      <c r="D6424" s="18"/>
      <c r="E6424" s="40"/>
      <c r="F6424" s="18"/>
      <c r="G6424" s="40"/>
      <c r="N6424" s="8" t="str">
        <f>IF(R6424="x",1,"")</f>
        <v/>
      </c>
      <c r="O6424" s="18"/>
      <c r="P6424" s="13"/>
      <c r="Q6424" s="13"/>
      <c r="R6424" s="13"/>
      <c r="S6424" s="13"/>
      <c r="T6424" s="15"/>
      <c r="U6424" s="46" t="str">
        <f t="shared" ref="U6424:X6428" si="2760">IF($O6424=U$5,$L6424,"")</f>
        <v/>
      </c>
      <c r="V6424" s="46" t="str">
        <f t="shared" si="2760"/>
        <v/>
      </c>
      <c r="W6424" s="46" t="str">
        <f t="shared" si="2760"/>
        <v/>
      </c>
      <c r="X6424" s="46" t="str">
        <f t="shared" si="2760"/>
        <v/>
      </c>
    </row>
    <row r="6425" spans="2:24" x14ac:dyDescent="0.25">
      <c r="B6425" s="18"/>
      <c r="C6425" s="18"/>
      <c r="D6425" s="18"/>
      <c r="E6425" s="40"/>
      <c r="F6425" s="18"/>
      <c r="G6425" s="40"/>
      <c r="N6425" s="8" t="str">
        <f>IF(R6425="x",1,"")</f>
        <v/>
      </c>
      <c r="O6425" s="18"/>
      <c r="P6425" s="13"/>
      <c r="Q6425" s="13"/>
      <c r="R6425" s="13"/>
      <c r="S6425" s="13"/>
      <c r="T6425" s="15"/>
      <c r="U6425" s="46" t="str">
        <f t="shared" si="2760"/>
        <v/>
      </c>
      <c r="V6425" s="46" t="str">
        <f t="shared" si="2760"/>
        <v/>
      </c>
      <c r="W6425" s="46" t="str">
        <f t="shared" si="2760"/>
        <v/>
      </c>
      <c r="X6425" s="46" t="str">
        <f t="shared" si="2760"/>
        <v/>
      </c>
    </row>
    <row r="6426" spans="2:24" x14ac:dyDescent="0.25">
      <c r="B6426" s="11" t="str">
        <f>CONCATENATE("TORT","-",LEFT(P6426,2),UPPER(MID(P6426,4,3)),RIGHT(P6426,4))</f>
        <v>TORT-16APR1910</v>
      </c>
      <c r="C6426" s="11" t="s">
        <v>3960</v>
      </c>
      <c r="D6426" s="11" t="s">
        <v>3007</v>
      </c>
      <c r="E6426" s="39" t="s">
        <v>3961</v>
      </c>
      <c r="F6426" s="11" t="s">
        <v>2922</v>
      </c>
      <c r="G6426" s="39" t="s">
        <v>892</v>
      </c>
      <c r="J6426" s="17">
        <v>1</v>
      </c>
      <c r="K6426" s="17"/>
      <c r="L6426" s="7">
        <f>SUM(H6426:K6426)</f>
        <v>1</v>
      </c>
      <c r="M6426" s="8">
        <v>1</v>
      </c>
      <c r="N6426" s="8">
        <f>IF(L6426&gt;0,1,"")</f>
        <v>1</v>
      </c>
      <c r="O6426" s="11" t="s">
        <v>1702</v>
      </c>
      <c r="P6426" s="16" t="str">
        <f>IF(LEN(G6426)=10,CONCATENATE("0",G6426),G6426)</f>
        <v>16-Apr-1910</v>
      </c>
      <c r="R6426" s="16" t="str">
        <f>IF($L6426&gt;0,"x","")</f>
        <v>x</v>
      </c>
      <c r="S6426" s="16" t="str">
        <f>IF($L6426&gt;0,"x","")</f>
        <v>x</v>
      </c>
      <c r="U6426" s="46" t="str">
        <f t="shared" si="2760"/>
        <v/>
      </c>
      <c r="V6426" s="46">
        <f t="shared" si="2760"/>
        <v>1</v>
      </c>
      <c r="W6426" s="46" t="str">
        <f t="shared" si="2760"/>
        <v/>
      </c>
      <c r="X6426" s="46" t="str">
        <f t="shared" si="2760"/>
        <v/>
      </c>
    </row>
    <row r="6427" spans="2:24" x14ac:dyDescent="0.25">
      <c r="N6427" s="8" t="str">
        <f>IF(R6427="x",1,"")</f>
        <v/>
      </c>
      <c r="U6427" s="46" t="str">
        <f t="shared" si="2760"/>
        <v/>
      </c>
      <c r="V6427" s="46" t="str">
        <f t="shared" si="2760"/>
        <v/>
      </c>
      <c r="W6427" s="46" t="str">
        <f t="shared" si="2760"/>
        <v/>
      </c>
      <c r="X6427" s="46" t="str">
        <f t="shared" si="2760"/>
        <v/>
      </c>
    </row>
    <row r="6428" spans="2:24" x14ac:dyDescent="0.25">
      <c r="B6428" s="18"/>
      <c r="C6428" s="18"/>
      <c r="D6428" s="18"/>
      <c r="E6428" s="40"/>
      <c r="F6428" s="18"/>
      <c r="G6428" s="40"/>
      <c r="H6428" s="7">
        <f t="shared" ref="H6428:N6428" si="2761">SUM(H6426:H6427)</f>
        <v>0</v>
      </c>
      <c r="I6428" s="7">
        <f t="shared" si="2761"/>
        <v>0</v>
      </c>
      <c r="J6428" s="7">
        <f>SUM(J6426:J6427)</f>
        <v>1</v>
      </c>
      <c r="K6428" s="7">
        <f t="shared" si="2761"/>
        <v>0</v>
      </c>
      <c r="L6428" s="7">
        <f t="shared" si="2761"/>
        <v>1</v>
      </c>
      <c r="M6428" s="7">
        <f t="shared" si="2761"/>
        <v>1</v>
      </c>
      <c r="N6428" s="7">
        <f t="shared" si="2761"/>
        <v>1</v>
      </c>
      <c r="O6428" s="18"/>
      <c r="P6428" s="13"/>
      <c r="Q6428" s="13"/>
      <c r="S6428" s="13"/>
      <c r="T6428" s="15"/>
      <c r="U6428" s="46" t="str">
        <f t="shared" si="2760"/>
        <v/>
      </c>
      <c r="V6428" s="46" t="str">
        <f t="shared" si="2760"/>
        <v/>
      </c>
      <c r="W6428" s="46" t="str">
        <f t="shared" si="2760"/>
        <v/>
      </c>
      <c r="X6428" s="46" t="str">
        <f t="shared" si="2760"/>
        <v/>
      </c>
    </row>
    <row r="6429" spans="2:24" x14ac:dyDescent="0.25">
      <c r="B6429" s="18"/>
      <c r="C6429" s="18"/>
      <c r="D6429" s="18"/>
      <c r="E6429" s="40"/>
      <c r="F6429" s="18"/>
      <c r="G6429" s="40"/>
      <c r="N6429" s="8" t="str">
        <f>IF(R6429="x",1,"")</f>
        <v/>
      </c>
      <c r="O6429" s="18"/>
      <c r="P6429" s="13"/>
      <c r="Q6429" s="13"/>
      <c r="R6429" s="13"/>
      <c r="S6429" s="13"/>
      <c r="T6429" s="15"/>
      <c r="U6429" s="46" t="str">
        <f t="shared" ref="U6429:X6433" si="2762">IF($O6429=U$5,$L6429,"")</f>
        <v/>
      </c>
      <c r="V6429" s="46" t="str">
        <f t="shared" si="2762"/>
        <v/>
      </c>
      <c r="W6429" s="46" t="str">
        <f t="shared" si="2762"/>
        <v/>
      </c>
      <c r="X6429" s="46" t="str">
        <f t="shared" si="2762"/>
        <v/>
      </c>
    </row>
    <row r="6430" spans="2:24" x14ac:dyDescent="0.25">
      <c r="B6430" s="18"/>
      <c r="C6430" s="18"/>
      <c r="D6430" s="18"/>
      <c r="E6430" s="40"/>
      <c r="F6430" s="18"/>
      <c r="G6430" s="40"/>
      <c r="N6430" s="8" t="str">
        <f>IF(R6430="x",1,"")</f>
        <v/>
      </c>
      <c r="O6430" s="18"/>
      <c r="P6430" s="13"/>
      <c r="Q6430" s="13"/>
      <c r="R6430" s="13"/>
      <c r="S6430" s="13"/>
      <c r="T6430" s="15"/>
      <c r="U6430" s="46" t="str">
        <f t="shared" si="2762"/>
        <v/>
      </c>
      <c r="V6430" s="46" t="str">
        <f t="shared" si="2762"/>
        <v/>
      </c>
      <c r="W6430" s="46" t="str">
        <f t="shared" si="2762"/>
        <v/>
      </c>
      <c r="X6430" s="46" t="str">
        <f t="shared" si="2762"/>
        <v/>
      </c>
    </row>
    <row r="6431" spans="2:24" x14ac:dyDescent="0.25">
      <c r="B6431" s="11" t="str">
        <f>CONCATENATE("TRHL","-",LEFT(P6431,2),UPPER(MID(P6431,4,3)),RIGHT(P6431,4))</f>
        <v>TRHL-28OCT1920</v>
      </c>
      <c r="C6431" s="11" t="s">
        <v>6157</v>
      </c>
      <c r="D6431" s="11" t="s">
        <v>4868</v>
      </c>
      <c r="E6431" s="39" t="s">
        <v>2555</v>
      </c>
      <c r="F6431" s="11" t="s">
        <v>3050</v>
      </c>
      <c r="G6431" s="39" t="s">
        <v>6158</v>
      </c>
      <c r="H6431" s="7">
        <v>8</v>
      </c>
      <c r="J6431" s="17"/>
      <c r="K6431" s="17"/>
      <c r="L6431" s="7">
        <f>SUM(H6431:K6431)</f>
        <v>8</v>
      </c>
      <c r="M6431" s="8">
        <v>1</v>
      </c>
      <c r="N6431" s="8">
        <f>IF(L6431&gt;0,1,"")</f>
        <v>1</v>
      </c>
      <c r="O6431" s="11" t="s">
        <v>1702</v>
      </c>
      <c r="P6431" s="16" t="str">
        <f>IF(LEN(G6431)=10,CONCATENATE("0",G6431),G6431)</f>
        <v>28-Oct-1920</v>
      </c>
      <c r="R6431" s="16" t="str">
        <f>IF($L6431&gt;0,"x","")</f>
        <v>x</v>
      </c>
      <c r="S6431" s="16" t="str">
        <f>IF($L6431&gt;0,"x","")</f>
        <v>x</v>
      </c>
      <c r="U6431" s="46" t="str">
        <f t="shared" si="2762"/>
        <v/>
      </c>
      <c r="V6431" s="46">
        <f t="shared" si="2762"/>
        <v>8</v>
      </c>
      <c r="W6431" s="46" t="str">
        <f t="shared" si="2762"/>
        <v/>
      </c>
      <c r="X6431" s="46" t="str">
        <f t="shared" si="2762"/>
        <v/>
      </c>
    </row>
    <row r="6432" spans="2:24" x14ac:dyDescent="0.25">
      <c r="N6432" s="8" t="str">
        <f>IF(R6432="x",1,"")</f>
        <v/>
      </c>
      <c r="U6432" s="46" t="str">
        <f t="shared" si="2762"/>
        <v/>
      </c>
      <c r="V6432" s="46" t="str">
        <f t="shared" si="2762"/>
        <v/>
      </c>
      <c r="W6432" s="46" t="str">
        <f t="shared" si="2762"/>
        <v/>
      </c>
      <c r="X6432" s="46" t="str">
        <f t="shared" si="2762"/>
        <v/>
      </c>
    </row>
    <row r="6433" spans="2:24" x14ac:dyDescent="0.25">
      <c r="B6433" s="18"/>
      <c r="C6433" s="18"/>
      <c r="D6433" s="18"/>
      <c r="E6433" s="40"/>
      <c r="F6433" s="18"/>
      <c r="G6433" s="40"/>
      <c r="H6433" s="7">
        <f t="shared" ref="H6433:N6433" si="2763">SUM(H6431:H6432)</f>
        <v>8</v>
      </c>
      <c r="I6433" s="7">
        <f t="shared" si="2763"/>
        <v>0</v>
      </c>
      <c r="J6433" s="7">
        <f>SUM(J6431:J6432)</f>
        <v>0</v>
      </c>
      <c r="K6433" s="7">
        <f t="shared" si="2763"/>
        <v>0</v>
      </c>
      <c r="L6433" s="7">
        <f t="shared" si="2763"/>
        <v>8</v>
      </c>
      <c r="M6433" s="7">
        <f t="shared" si="2763"/>
        <v>1</v>
      </c>
      <c r="N6433" s="7">
        <f t="shared" si="2763"/>
        <v>1</v>
      </c>
      <c r="O6433" s="18"/>
      <c r="P6433" s="13"/>
      <c r="Q6433" s="13"/>
      <c r="S6433" s="13"/>
      <c r="T6433" s="15"/>
      <c r="U6433" s="46" t="str">
        <f t="shared" si="2762"/>
        <v/>
      </c>
      <c r="V6433" s="46" t="str">
        <f t="shared" si="2762"/>
        <v/>
      </c>
      <c r="W6433" s="46" t="str">
        <f t="shared" si="2762"/>
        <v/>
      </c>
      <c r="X6433" s="46" t="str">
        <f t="shared" si="2762"/>
        <v/>
      </c>
    </row>
    <row r="6434" spans="2:24" x14ac:dyDescent="0.25">
      <c r="B6434" s="18"/>
      <c r="C6434" s="18"/>
      <c r="D6434" s="18"/>
      <c r="E6434" s="40"/>
      <c r="F6434" s="18"/>
      <c r="G6434" s="40"/>
      <c r="N6434" s="8" t="str">
        <f>IF(R6434="x",1,"")</f>
        <v/>
      </c>
      <c r="O6434" s="18"/>
      <c r="P6434" s="13"/>
      <c r="Q6434" s="13"/>
      <c r="R6434" s="13"/>
      <c r="S6434" s="13"/>
      <c r="T6434" s="15"/>
      <c r="U6434" s="46" t="str">
        <f t="shared" ref="U6434:X6438" si="2764">IF($O6434=U$5,$L6434,"")</f>
        <v/>
      </c>
      <c r="V6434" s="46" t="str">
        <f t="shared" si="2764"/>
        <v/>
      </c>
      <c r="W6434" s="46" t="str">
        <f t="shared" si="2764"/>
        <v/>
      </c>
      <c r="X6434" s="46" t="str">
        <f t="shared" si="2764"/>
        <v/>
      </c>
    </row>
    <row r="6435" spans="2:24" x14ac:dyDescent="0.25">
      <c r="B6435" s="18"/>
      <c r="C6435" s="18"/>
      <c r="D6435" s="18"/>
      <c r="E6435" s="40"/>
      <c r="F6435" s="18"/>
      <c r="G6435" s="40"/>
      <c r="N6435" s="8" t="str">
        <f>IF(R6435="x",1,"")</f>
        <v/>
      </c>
      <c r="O6435" s="18"/>
      <c r="P6435" s="13"/>
      <c r="Q6435" s="13"/>
      <c r="R6435" s="13"/>
      <c r="S6435" s="13"/>
      <c r="T6435" s="15"/>
      <c r="U6435" s="46" t="str">
        <f t="shared" si="2764"/>
        <v/>
      </c>
      <c r="V6435" s="46" t="str">
        <f t="shared" si="2764"/>
        <v/>
      </c>
      <c r="W6435" s="46" t="str">
        <f t="shared" si="2764"/>
        <v/>
      </c>
      <c r="X6435" s="46" t="str">
        <f t="shared" si="2764"/>
        <v/>
      </c>
    </row>
    <row r="6436" spans="2:24" x14ac:dyDescent="0.25">
      <c r="B6436" s="11" t="str">
        <f>CONCATENATE("TREM","-",LEFT(P6436,2),UPPER(MID(P6436,4,3)),RIGHT(P6436,4))</f>
        <v>TREM-07JUL1907</v>
      </c>
      <c r="C6436" s="11" t="s">
        <v>3438</v>
      </c>
      <c r="D6436" s="11" t="s">
        <v>3439</v>
      </c>
      <c r="E6436" s="39" t="s">
        <v>3442</v>
      </c>
      <c r="F6436" s="11" t="s">
        <v>3440</v>
      </c>
      <c r="G6436" s="39" t="s">
        <v>3441</v>
      </c>
      <c r="I6436" s="7">
        <v>2</v>
      </c>
      <c r="J6436" s="17"/>
      <c r="K6436" s="17"/>
      <c r="L6436" s="7">
        <f>SUM(H6436:K6436)</f>
        <v>2</v>
      </c>
      <c r="M6436" s="8">
        <v>1</v>
      </c>
      <c r="N6436" s="8">
        <f>IF(L6436&gt;0,1,"")</f>
        <v>1</v>
      </c>
      <c r="O6436" s="11" t="s">
        <v>1702</v>
      </c>
      <c r="P6436" s="16" t="str">
        <f>IF(LEN(G6436)=10,CONCATENATE("0",G6436),G6436)</f>
        <v>07-Jul-1907</v>
      </c>
      <c r="R6436" s="16" t="str">
        <f>IF($L6436&gt;0,"x","")</f>
        <v>x</v>
      </c>
      <c r="S6436" s="16" t="str">
        <f>IF($L6436&gt;0,"x","")</f>
        <v>x</v>
      </c>
      <c r="U6436" s="46" t="str">
        <f t="shared" si="2764"/>
        <v/>
      </c>
      <c r="V6436" s="46">
        <f t="shared" si="2764"/>
        <v>2</v>
      </c>
      <c r="W6436" s="46" t="str">
        <f t="shared" si="2764"/>
        <v/>
      </c>
      <c r="X6436" s="46" t="str">
        <f t="shared" si="2764"/>
        <v/>
      </c>
    </row>
    <row r="6437" spans="2:24" x14ac:dyDescent="0.25">
      <c r="N6437" s="8" t="str">
        <f>IF(R6437="x",1,"")</f>
        <v/>
      </c>
      <c r="U6437" s="46" t="str">
        <f t="shared" si="2764"/>
        <v/>
      </c>
      <c r="V6437" s="46" t="str">
        <f t="shared" si="2764"/>
        <v/>
      </c>
      <c r="W6437" s="46" t="str">
        <f t="shared" si="2764"/>
        <v/>
      </c>
      <c r="X6437" s="46" t="str">
        <f t="shared" si="2764"/>
        <v/>
      </c>
    </row>
    <row r="6438" spans="2:24" x14ac:dyDescent="0.25">
      <c r="B6438" s="18"/>
      <c r="C6438" s="18"/>
      <c r="D6438" s="18"/>
      <c r="E6438" s="40"/>
      <c r="F6438" s="18"/>
      <c r="G6438" s="40"/>
      <c r="H6438" s="7">
        <f t="shared" ref="H6438:N6438" si="2765">SUM(H6436:H6437)</f>
        <v>0</v>
      </c>
      <c r="I6438" s="7">
        <f t="shared" si="2765"/>
        <v>2</v>
      </c>
      <c r="J6438" s="7">
        <f>SUM(J6436:J6437)</f>
        <v>0</v>
      </c>
      <c r="K6438" s="7">
        <f t="shared" si="2765"/>
        <v>0</v>
      </c>
      <c r="L6438" s="7">
        <f t="shared" si="2765"/>
        <v>2</v>
      </c>
      <c r="M6438" s="7">
        <f t="shared" si="2765"/>
        <v>1</v>
      </c>
      <c r="N6438" s="7">
        <f t="shared" si="2765"/>
        <v>1</v>
      </c>
      <c r="O6438" s="18"/>
      <c r="P6438" s="13"/>
      <c r="Q6438" s="13"/>
      <c r="S6438" s="13"/>
      <c r="T6438" s="15"/>
      <c r="U6438" s="46" t="str">
        <f t="shared" si="2764"/>
        <v/>
      </c>
      <c r="V6438" s="46" t="str">
        <f t="shared" si="2764"/>
        <v/>
      </c>
      <c r="W6438" s="46" t="str">
        <f t="shared" si="2764"/>
        <v/>
      </c>
      <c r="X6438" s="46" t="str">
        <f t="shared" si="2764"/>
        <v/>
      </c>
    </row>
    <row r="6439" spans="2:24" x14ac:dyDescent="0.25">
      <c r="B6439" s="18"/>
      <c r="C6439" s="18"/>
      <c r="D6439" s="18"/>
      <c r="E6439" s="40"/>
      <c r="F6439" s="18"/>
      <c r="G6439" s="40"/>
      <c r="N6439" s="8" t="str">
        <f>IF(R6439="x",1,"")</f>
        <v/>
      </c>
      <c r="O6439" s="18"/>
      <c r="P6439" s="13"/>
      <c r="Q6439" s="13"/>
      <c r="R6439" s="13"/>
      <c r="S6439" s="13"/>
      <c r="T6439" s="15"/>
      <c r="U6439" s="46" t="str">
        <f t="shared" ref="U6439:X6447" si="2766">IF($O6439=U$5,$L6439,"")</f>
        <v/>
      </c>
      <c r="V6439" s="46" t="str">
        <f t="shared" si="2766"/>
        <v/>
      </c>
      <c r="W6439" s="46" t="str">
        <f t="shared" si="2766"/>
        <v/>
      </c>
      <c r="X6439" s="46" t="str">
        <f t="shared" si="2766"/>
        <v/>
      </c>
    </row>
    <row r="6440" spans="2:24" x14ac:dyDescent="0.25">
      <c r="B6440" s="18"/>
      <c r="C6440" s="18"/>
      <c r="D6440" s="18"/>
      <c r="E6440" s="40"/>
      <c r="F6440" s="18"/>
      <c r="G6440" s="40"/>
      <c r="N6440" s="8" t="str">
        <f>IF(R6440="x",1,"")</f>
        <v/>
      </c>
      <c r="O6440" s="18"/>
      <c r="P6440" s="13"/>
      <c r="Q6440" s="13"/>
      <c r="R6440" s="13"/>
      <c r="S6440" s="13"/>
      <c r="T6440" s="15"/>
      <c r="U6440" s="46" t="str">
        <f t="shared" si="2766"/>
        <v/>
      </c>
      <c r="V6440" s="46" t="str">
        <f t="shared" si="2766"/>
        <v/>
      </c>
      <c r="W6440" s="46" t="str">
        <f t="shared" si="2766"/>
        <v/>
      </c>
      <c r="X6440" s="46" t="str">
        <f t="shared" si="2766"/>
        <v/>
      </c>
    </row>
    <row r="6441" spans="2:24" x14ac:dyDescent="0.25">
      <c r="B6441" s="11" t="str">
        <f>CONCATENATE("TRIT","-",LEFT(P6441,2),UPPER(MID(P6441,4,3)),RIGHT(P6441,4))</f>
        <v>TRIT-10JAN1909</v>
      </c>
      <c r="C6441" s="11" t="s">
        <v>6024</v>
      </c>
      <c r="D6441" s="11" t="s">
        <v>3249</v>
      </c>
      <c r="E6441" s="39" t="s">
        <v>6025</v>
      </c>
      <c r="F6441" s="11" t="s">
        <v>211</v>
      </c>
      <c r="G6441" s="39" t="s">
        <v>6026</v>
      </c>
      <c r="I6441" s="7">
        <v>2</v>
      </c>
      <c r="J6441" s="17"/>
      <c r="K6441" s="17"/>
      <c r="L6441" s="7">
        <f>SUM(H6441:K6441)</f>
        <v>2</v>
      </c>
      <c r="M6441" s="8">
        <v>1</v>
      </c>
      <c r="N6441" s="8">
        <f>IF(L6441&gt;0,1,"")</f>
        <v>1</v>
      </c>
      <c r="O6441" s="11" t="s">
        <v>1702</v>
      </c>
      <c r="P6441" s="16" t="str">
        <f>IF(LEN(G6441)=10,CONCATENATE("0",G6441),G6441)</f>
        <v>10-Jan-1909</v>
      </c>
      <c r="R6441" s="16" t="str">
        <f>IF($L6441&gt;0,"x","")</f>
        <v>x</v>
      </c>
      <c r="S6441" s="16" t="str">
        <f>IF($L6441&gt;0,"x","")</f>
        <v>x</v>
      </c>
      <c r="U6441" s="46" t="str">
        <f t="shared" si="2766"/>
        <v/>
      </c>
      <c r="V6441" s="46">
        <f t="shared" si="2766"/>
        <v>2</v>
      </c>
      <c r="W6441" s="46" t="str">
        <f t="shared" si="2766"/>
        <v/>
      </c>
      <c r="X6441" s="46" t="str">
        <f t="shared" si="2766"/>
        <v/>
      </c>
    </row>
    <row r="6442" spans="2:24" x14ac:dyDescent="0.25">
      <c r="N6442" s="8" t="str">
        <f>IF(R6442="x",1,"")</f>
        <v/>
      </c>
      <c r="U6442" s="46" t="str">
        <f t="shared" si="2766"/>
        <v/>
      </c>
      <c r="V6442" s="46" t="str">
        <f t="shared" si="2766"/>
        <v/>
      </c>
      <c r="W6442" s="46" t="str">
        <f t="shared" si="2766"/>
        <v/>
      </c>
      <c r="X6442" s="46" t="str">
        <f t="shared" si="2766"/>
        <v/>
      </c>
    </row>
    <row r="6443" spans="2:24" x14ac:dyDescent="0.25">
      <c r="B6443" s="18"/>
      <c r="C6443" s="18"/>
      <c r="D6443" s="18"/>
      <c r="E6443" s="40"/>
      <c r="F6443" s="18"/>
      <c r="G6443" s="40"/>
      <c r="H6443" s="7">
        <f t="shared" ref="H6443:N6443" si="2767">SUM(H6441:H6442)</f>
        <v>0</v>
      </c>
      <c r="I6443" s="7">
        <f t="shared" si="2767"/>
        <v>2</v>
      </c>
      <c r="J6443" s="7">
        <f>SUM(J6441:J6442)</f>
        <v>0</v>
      </c>
      <c r="K6443" s="7">
        <f t="shared" si="2767"/>
        <v>0</v>
      </c>
      <c r="L6443" s="7">
        <f t="shared" si="2767"/>
        <v>2</v>
      </c>
      <c r="M6443" s="7">
        <f t="shared" si="2767"/>
        <v>1</v>
      </c>
      <c r="N6443" s="7">
        <f t="shared" si="2767"/>
        <v>1</v>
      </c>
      <c r="O6443" s="18"/>
      <c r="P6443" s="13"/>
      <c r="Q6443" s="13"/>
      <c r="S6443" s="13"/>
      <c r="T6443" s="15"/>
      <c r="U6443" s="46" t="str">
        <f t="shared" si="2766"/>
        <v/>
      </c>
      <c r="V6443" s="46" t="str">
        <f t="shared" si="2766"/>
        <v/>
      </c>
      <c r="W6443" s="46" t="str">
        <f t="shared" si="2766"/>
        <v/>
      </c>
      <c r="X6443" s="46" t="str">
        <f t="shared" si="2766"/>
        <v/>
      </c>
    </row>
    <row r="6444" spans="2:24" x14ac:dyDescent="0.25">
      <c r="B6444" s="18"/>
      <c r="C6444" s="18"/>
      <c r="D6444" s="18"/>
      <c r="E6444" s="40"/>
      <c r="F6444" s="18"/>
      <c r="G6444" s="40"/>
      <c r="N6444" s="8" t="str">
        <f>IF(R6444="x",1,"")</f>
        <v/>
      </c>
      <c r="O6444" s="18"/>
      <c r="P6444" s="13"/>
      <c r="Q6444" s="13"/>
      <c r="R6444" s="13"/>
      <c r="S6444" s="13"/>
      <c r="T6444" s="15"/>
      <c r="U6444" s="46" t="str">
        <f t="shared" si="2766"/>
        <v/>
      </c>
      <c r="V6444" s="46" t="str">
        <f t="shared" si="2766"/>
        <v/>
      </c>
      <c r="W6444" s="46" t="str">
        <f t="shared" si="2766"/>
        <v/>
      </c>
      <c r="X6444" s="46" t="str">
        <f t="shared" si="2766"/>
        <v/>
      </c>
    </row>
    <row r="6445" spans="2:24" x14ac:dyDescent="0.25">
      <c r="B6445" s="18"/>
      <c r="C6445" s="18"/>
      <c r="D6445" s="18"/>
      <c r="E6445" s="40"/>
      <c r="F6445" s="18"/>
      <c r="G6445" s="40"/>
      <c r="N6445" s="8" t="str">
        <f>IF(R6445="x",1,"")</f>
        <v/>
      </c>
      <c r="O6445" s="18"/>
      <c r="P6445" s="13"/>
      <c r="Q6445" s="13"/>
      <c r="R6445" s="13"/>
      <c r="S6445" s="13"/>
      <c r="T6445" s="15"/>
      <c r="U6445" s="46" t="str">
        <f t="shared" si="2766"/>
        <v/>
      </c>
      <c r="V6445" s="46" t="str">
        <f t="shared" si="2766"/>
        <v/>
      </c>
      <c r="W6445" s="46" t="str">
        <f t="shared" si="2766"/>
        <v/>
      </c>
      <c r="X6445" s="46" t="str">
        <f t="shared" si="2766"/>
        <v/>
      </c>
    </row>
    <row r="6446" spans="2:24" x14ac:dyDescent="0.25">
      <c r="B6446" s="11" t="str">
        <f t="shared" ref="B6446:B6452" si="2768">CONCATENATE("TUNI","-",LEFT(P6446,2),UPPER(MID(P6446,4,3)),RIGHT(P6446,4))</f>
        <v>TUNI-20JAN1907</v>
      </c>
      <c r="C6446" s="11" t="s">
        <v>3459</v>
      </c>
      <c r="D6446" s="11" t="s">
        <v>2097</v>
      </c>
      <c r="E6446" s="39" t="s">
        <v>5600</v>
      </c>
      <c r="F6446" s="11" t="s">
        <v>2904</v>
      </c>
      <c r="G6446" s="39" t="s">
        <v>5601</v>
      </c>
      <c r="H6446" s="7">
        <v>0</v>
      </c>
      <c r="I6446" s="7">
        <v>2</v>
      </c>
      <c r="J6446" s="17">
        <v>1</v>
      </c>
      <c r="K6446" s="17"/>
      <c r="L6446" s="7">
        <f t="shared" ref="L6446:L6452" si="2769">SUM(H6446:K6446)</f>
        <v>3</v>
      </c>
      <c r="M6446" s="8">
        <v>1</v>
      </c>
      <c r="N6446" s="8">
        <f t="shared" ref="N6446:N6452" si="2770">IF(L6446&gt;0,1,"")</f>
        <v>1</v>
      </c>
      <c r="O6446" s="11" t="s">
        <v>1702</v>
      </c>
      <c r="P6446" s="16" t="str">
        <f t="shared" ref="P6446:P6452" si="2771">IF(LEN(G6446)=10,CONCATENATE("0",G6446),G6446)</f>
        <v>20-Jan-1907</v>
      </c>
      <c r="R6446" s="16" t="str">
        <f t="shared" ref="R6446:S6448" si="2772">IF($L6446&gt;0,"x","")</f>
        <v>x</v>
      </c>
      <c r="S6446" s="16" t="str">
        <f t="shared" si="2772"/>
        <v>x</v>
      </c>
      <c r="U6446" s="46" t="str">
        <f t="shared" si="2766"/>
        <v/>
      </c>
      <c r="V6446" s="46">
        <f t="shared" si="2766"/>
        <v>3</v>
      </c>
      <c r="W6446" s="46" t="str">
        <f t="shared" si="2766"/>
        <v/>
      </c>
      <c r="X6446" s="46" t="str">
        <f t="shared" si="2766"/>
        <v/>
      </c>
    </row>
    <row r="6447" spans="2:24" x14ac:dyDescent="0.25">
      <c r="B6447" s="11" t="str">
        <f t="shared" si="2768"/>
        <v>TUNI-13APR1907</v>
      </c>
      <c r="C6447" s="11" t="s">
        <v>3459</v>
      </c>
      <c r="D6447" s="11" t="s">
        <v>2097</v>
      </c>
      <c r="E6447" s="39" t="s">
        <v>5476</v>
      </c>
      <c r="F6447" s="11" t="s">
        <v>2904</v>
      </c>
      <c r="G6447" s="39" t="s">
        <v>1201</v>
      </c>
      <c r="H6447" s="7">
        <v>0</v>
      </c>
      <c r="I6447" s="7">
        <v>6</v>
      </c>
      <c r="J6447" s="17">
        <v>0</v>
      </c>
      <c r="K6447" s="17"/>
      <c r="L6447" s="7">
        <f t="shared" si="2769"/>
        <v>6</v>
      </c>
      <c r="M6447" s="8">
        <v>1</v>
      </c>
      <c r="N6447" s="8">
        <f t="shared" si="2770"/>
        <v>1</v>
      </c>
      <c r="O6447" s="11" t="s">
        <v>1702</v>
      </c>
      <c r="P6447" s="16" t="str">
        <f t="shared" si="2771"/>
        <v>13-Apr-1907</v>
      </c>
      <c r="R6447" s="16" t="str">
        <f t="shared" si="2772"/>
        <v>x</v>
      </c>
      <c r="S6447" s="16" t="str">
        <f t="shared" si="2772"/>
        <v>x</v>
      </c>
      <c r="U6447" s="46" t="str">
        <f t="shared" si="2766"/>
        <v/>
      </c>
      <c r="V6447" s="46">
        <f t="shared" si="2766"/>
        <v>6</v>
      </c>
      <c r="W6447" s="46" t="str">
        <f t="shared" si="2766"/>
        <v/>
      </c>
      <c r="X6447" s="46" t="str">
        <f t="shared" si="2766"/>
        <v/>
      </c>
    </row>
    <row r="6448" spans="2:24" x14ac:dyDescent="0.25">
      <c r="B6448" s="11" t="str">
        <f t="shared" si="2768"/>
        <v>TUNI-07JUN1907</v>
      </c>
      <c r="C6448" s="11" t="s">
        <v>3459</v>
      </c>
      <c r="D6448" s="11" t="s">
        <v>2097</v>
      </c>
      <c r="E6448" s="39" t="s">
        <v>5485</v>
      </c>
      <c r="F6448" s="11" t="s">
        <v>2813</v>
      </c>
      <c r="G6448" s="39" t="s">
        <v>3385</v>
      </c>
      <c r="I6448" s="7">
        <v>0</v>
      </c>
      <c r="J6448" s="17">
        <v>8</v>
      </c>
      <c r="K6448" s="17"/>
      <c r="L6448" s="7">
        <f t="shared" si="2769"/>
        <v>8</v>
      </c>
      <c r="M6448" s="8">
        <v>1</v>
      </c>
      <c r="N6448" s="8">
        <f t="shared" si="2770"/>
        <v>1</v>
      </c>
      <c r="O6448" s="11" t="s">
        <v>1702</v>
      </c>
      <c r="P6448" s="16" t="str">
        <f t="shared" si="2771"/>
        <v>07-Jun-1907</v>
      </c>
      <c r="R6448" s="16" t="str">
        <f t="shared" si="2772"/>
        <v>x</v>
      </c>
      <c r="S6448" s="16" t="str">
        <f t="shared" si="2772"/>
        <v>x</v>
      </c>
      <c r="U6448" s="46" t="str">
        <f t="shared" ref="U6448:X6449" si="2773">IF($O6448=U$5,$L6448,"")</f>
        <v/>
      </c>
      <c r="V6448" s="46">
        <f t="shared" si="2773"/>
        <v>8</v>
      </c>
      <c r="W6448" s="46" t="str">
        <f t="shared" si="2773"/>
        <v/>
      </c>
      <c r="X6448" s="46" t="str">
        <f t="shared" si="2773"/>
        <v/>
      </c>
    </row>
    <row r="6449" spans="2:24" x14ac:dyDescent="0.25">
      <c r="B6449" s="11" t="str">
        <f t="shared" si="2768"/>
        <v>TUNI-25OCT1907</v>
      </c>
      <c r="C6449" s="11" t="s">
        <v>3459</v>
      </c>
      <c r="D6449" s="11" t="s">
        <v>2097</v>
      </c>
      <c r="E6449" s="39" t="s">
        <v>3029</v>
      </c>
      <c r="F6449" s="11" t="s">
        <v>2813</v>
      </c>
      <c r="G6449" s="39" t="s">
        <v>3589</v>
      </c>
      <c r="H6449" s="7">
        <v>0</v>
      </c>
      <c r="I6449" s="7">
        <v>0</v>
      </c>
      <c r="J6449" s="17">
        <v>7</v>
      </c>
      <c r="K6449" s="17"/>
      <c r="L6449" s="7">
        <f t="shared" si="2769"/>
        <v>7</v>
      </c>
      <c r="M6449" s="8">
        <v>1</v>
      </c>
      <c r="N6449" s="8">
        <f t="shared" si="2770"/>
        <v>1</v>
      </c>
      <c r="O6449" s="11" t="s">
        <v>1702</v>
      </c>
      <c r="P6449" s="16" t="str">
        <f t="shared" si="2771"/>
        <v>25-Oct-1907</v>
      </c>
      <c r="R6449" s="16" t="str">
        <f t="shared" ref="R6449:S6452" si="2774">IF($L6449&gt;0,"x","")</f>
        <v>x</v>
      </c>
      <c r="S6449" s="16" t="str">
        <f t="shared" si="2774"/>
        <v>x</v>
      </c>
      <c r="U6449" s="46" t="str">
        <f t="shared" si="2773"/>
        <v/>
      </c>
      <c r="V6449" s="46">
        <f t="shared" si="2773"/>
        <v>7</v>
      </c>
      <c r="W6449" s="46" t="str">
        <f t="shared" si="2773"/>
        <v/>
      </c>
      <c r="X6449" s="46" t="str">
        <f t="shared" si="2773"/>
        <v/>
      </c>
    </row>
    <row r="6450" spans="2:24" x14ac:dyDescent="0.25">
      <c r="B6450" s="11" t="str">
        <f t="shared" si="2768"/>
        <v>TUNI-22NOV1907</v>
      </c>
      <c r="C6450" s="11" t="s">
        <v>3459</v>
      </c>
      <c r="D6450" s="11" t="s">
        <v>2097</v>
      </c>
      <c r="E6450" s="39" t="s">
        <v>3460</v>
      </c>
      <c r="F6450" s="11" t="s">
        <v>2904</v>
      </c>
      <c r="G6450" s="39" t="s">
        <v>3461</v>
      </c>
      <c r="H6450" s="7">
        <v>0</v>
      </c>
      <c r="I6450" s="7">
        <v>1</v>
      </c>
      <c r="J6450" s="17">
        <f>43+36</f>
        <v>79</v>
      </c>
      <c r="K6450" s="17"/>
      <c r="L6450" s="7">
        <f t="shared" si="2769"/>
        <v>80</v>
      </c>
      <c r="M6450" s="8">
        <v>1</v>
      </c>
      <c r="N6450" s="8">
        <f t="shared" si="2770"/>
        <v>1</v>
      </c>
      <c r="O6450" s="11" t="s">
        <v>1702</v>
      </c>
      <c r="P6450" s="16" t="str">
        <f t="shared" si="2771"/>
        <v>22-Nov-1907</v>
      </c>
      <c r="R6450" s="16" t="str">
        <f t="shared" si="2774"/>
        <v>x</v>
      </c>
      <c r="S6450" s="16" t="str">
        <f t="shared" si="2774"/>
        <v>x</v>
      </c>
      <c r="U6450" s="46" t="str">
        <f t="shared" ref="U6450:X6454" si="2775">IF($O6450=U$5,$L6450,"")</f>
        <v/>
      </c>
      <c r="V6450" s="46">
        <f t="shared" si="2775"/>
        <v>80</v>
      </c>
      <c r="W6450" s="46" t="str">
        <f t="shared" si="2775"/>
        <v/>
      </c>
      <c r="X6450" s="46" t="str">
        <f t="shared" si="2775"/>
        <v/>
      </c>
    </row>
    <row r="6451" spans="2:24" x14ac:dyDescent="0.25">
      <c r="B6451" s="11" t="str">
        <f>CONCATENATE("TUNI","-",LEFT(P6451,2),UPPER(MID(P6451,4,3)),RIGHT(P6451,4))</f>
        <v>TUNI-14MAR1908</v>
      </c>
      <c r="C6451" s="11" t="s">
        <v>3459</v>
      </c>
      <c r="D6451" s="11" t="s">
        <v>2097</v>
      </c>
      <c r="E6451" s="39" t="s">
        <v>11460</v>
      </c>
      <c r="F6451" s="11" t="s">
        <v>2904</v>
      </c>
      <c r="G6451" s="39" t="s">
        <v>1817</v>
      </c>
      <c r="H6451" s="7">
        <v>0</v>
      </c>
      <c r="J6451" s="17">
        <v>4</v>
      </c>
      <c r="K6451" s="17"/>
      <c r="L6451" s="7">
        <f>SUM(H6451:K6451)</f>
        <v>4</v>
      </c>
      <c r="M6451" s="8">
        <v>1</v>
      </c>
      <c r="N6451" s="8">
        <f>IF(L6451&gt;0,1,"")</f>
        <v>1</v>
      </c>
      <c r="O6451" s="11" t="s">
        <v>1702</v>
      </c>
      <c r="P6451" s="16" t="str">
        <f>IF(LEN(G6451)=10,CONCATENATE("0",G6451),G6451)</f>
        <v>14-Mar-1908</v>
      </c>
      <c r="R6451" s="16" t="str">
        <f t="shared" si="2774"/>
        <v>x</v>
      </c>
      <c r="S6451" s="16" t="str">
        <f t="shared" si="2774"/>
        <v>x</v>
      </c>
      <c r="U6451" s="46" t="str">
        <f t="shared" si="2775"/>
        <v/>
      </c>
      <c r="V6451" s="46">
        <f t="shared" si="2775"/>
        <v>4</v>
      </c>
      <c r="W6451" s="46" t="str">
        <f t="shared" si="2775"/>
        <v/>
      </c>
      <c r="X6451" s="46" t="str">
        <f t="shared" si="2775"/>
        <v/>
      </c>
    </row>
    <row r="6452" spans="2:24" x14ac:dyDescent="0.25">
      <c r="B6452" s="11" t="str">
        <f t="shared" si="2768"/>
        <v>TUNI-15AUG1920</v>
      </c>
      <c r="C6452" s="11" t="s">
        <v>3459</v>
      </c>
      <c r="D6452" s="11" t="s">
        <v>1699</v>
      </c>
      <c r="E6452" s="39" t="s">
        <v>4586</v>
      </c>
      <c r="F6452" s="11" t="s">
        <v>2813</v>
      </c>
      <c r="G6452" s="39" t="s">
        <v>4922</v>
      </c>
      <c r="H6452" s="7">
        <v>0</v>
      </c>
      <c r="I6452" s="7">
        <v>0</v>
      </c>
      <c r="J6452" s="17">
        <f>18+11</f>
        <v>29</v>
      </c>
      <c r="K6452" s="17"/>
      <c r="L6452" s="7">
        <f t="shared" si="2769"/>
        <v>29</v>
      </c>
      <c r="M6452" s="8">
        <v>1</v>
      </c>
      <c r="N6452" s="8">
        <f t="shared" si="2770"/>
        <v>1</v>
      </c>
      <c r="O6452" s="11" t="s">
        <v>1702</v>
      </c>
      <c r="P6452" s="16" t="str">
        <f t="shared" si="2771"/>
        <v>15-Aug-1920</v>
      </c>
      <c r="R6452" s="16" t="str">
        <f t="shared" si="2774"/>
        <v>x</v>
      </c>
      <c r="S6452" s="16" t="str">
        <f t="shared" si="2774"/>
        <v>x</v>
      </c>
      <c r="U6452" s="46" t="str">
        <f t="shared" si="2775"/>
        <v/>
      </c>
      <c r="V6452" s="46">
        <f t="shared" si="2775"/>
        <v>29</v>
      </c>
      <c r="W6452" s="46" t="str">
        <f t="shared" si="2775"/>
        <v/>
      </c>
      <c r="X6452" s="46" t="str">
        <f t="shared" si="2775"/>
        <v/>
      </c>
    </row>
    <row r="6453" spans="2:24" x14ac:dyDescent="0.25">
      <c r="N6453" s="8" t="str">
        <f>IF(R6453="x",1,"")</f>
        <v/>
      </c>
      <c r="U6453" s="46" t="str">
        <f t="shared" si="2775"/>
        <v/>
      </c>
      <c r="V6453" s="46" t="str">
        <f t="shared" si="2775"/>
        <v/>
      </c>
      <c r="W6453" s="46" t="str">
        <f t="shared" si="2775"/>
        <v/>
      </c>
      <c r="X6453" s="46" t="str">
        <f t="shared" si="2775"/>
        <v/>
      </c>
    </row>
    <row r="6454" spans="2:24" x14ac:dyDescent="0.25">
      <c r="B6454" s="18"/>
      <c r="C6454" s="18"/>
      <c r="D6454" s="18"/>
      <c r="E6454" s="40"/>
      <c r="F6454" s="18"/>
      <c r="G6454" s="40"/>
      <c r="H6454" s="7">
        <f t="shared" ref="H6454:N6454" si="2776">SUM(H6446:H6453)</f>
        <v>0</v>
      </c>
      <c r="I6454" s="7">
        <f t="shared" si="2776"/>
        <v>9</v>
      </c>
      <c r="J6454" s="7">
        <f>SUM(J6446:J6453)</f>
        <v>128</v>
      </c>
      <c r="K6454" s="7">
        <f t="shared" si="2776"/>
        <v>0</v>
      </c>
      <c r="L6454" s="7">
        <f t="shared" si="2776"/>
        <v>137</v>
      </c>
      <c r="M6454" s="7">
        <f t="shared" si="2776"/>
        <v>7</v>
      </c>
      <c r="N6454" s="7">
        <f t="shared" si="2776"/>
        <v>7</v>
      </c>
      <c r="O6454" s="18"/>
      <c r="P6454" s="13"/>
      <c r="Q6454" s="13"/>
      <c r="S6454" s="13"/>
      <c r="T6454" s="15"/>
      <c r="U6454" s="46" t="str">
        <f t="shared" si="2775"/>
        <v/>
      </c>
      <c r="V6454" s="46" t="str">
        <f t="shared" si="2775"/>
        <v/>
      </c>
      <c r="W6454" s="46" t="str">
        <f t="shared" si="2775"/>
        <v/>
      </c>
      <c r="X6454" s="46" t="str">
        <f t="shared" si="2775"/>
        <v/>
      </c>
    </row>
    <row r="6455" spans="2:24" x14ac:dyDescent="0.25">
      <c r="B6455" s="18"/>
      <c r="C6455" s="18"/>
      <c r="D6455" s="18"/>
      <c r="E6455" s="40"/>
      <c r="F6455" s="18"/>
      <c r="G6455" s="40"/>
      <c r="N6455" s="8" t="str">
        <f>IF(R6455="x",1,"")</f>
        <v/>
      </c>
      <c r="O6455" s="18"/>
      <c r="P6455" s="13"/>
      <c r="Q6455" s="13"/>
      <c r="R6455" s="13"/>
      <c r="S6455" s="13"/>
      <c r="T6455" s="15"/>
      <c r="U6455" s="46" t="str">
        <f t="shared" ref="U6455:X6470" si="2777">IF($O6455=U$5,$L6455,"")</f>
        <v/>
      </c>
      <c r="V6455" s="46" t="str">
        <f t="shared" si="2777"/>
        <v/>
      </c>
      <c r="W6455" s="46" t="str">
        <f t="shared" si="2777"/>
        <v/>
      </c>
      <c r="X6455" s="46" t="str">
        <f t="shared" si="2777"/>
        <v/>
      </c>
    </row>
    <row r="6456" spans="2:24" x14ac:dyDescent="0.25">
      <c r="B6456" s="18"/>
      <c r="C6456" s="18"/>
      <c r="D6456" s="18"/>
      <c r="E6456" s="40"/>
      <c r="F6456" s="18"/>
      <c r="G6456" s="40"/>
      <c r="N6456" s="8" t="str">
        <f>IF(R6456="x",1,"")</f>
        <v/>
      </c>
      <c r="O6456" s="18"/>
      <c r="P6456" s="13"/>
      <c r="Q6456" s="13"/>
      <c r="R6456" s="13"/>
      <c r="S6456" s="13"/>
      <c r="T6456" s="15"/>
      <c r="U6456" s="46" t="str">
        <f t="shared" si="2777"/>
        <v/>
      </c>
      <c r="V6456" s="46" t="str">
        <f t="shared" si="2777"/>
        <v/>
      </c>
      <c r="W6456" s="46" t="str">
        <f t="shared" si="2777"/>
        <v/>
      </c>
      <c r="X6456" s="46" t="str">
        <f t="shared" si="2777"/>
        <v/>
      </c>
    </row>
    <row r="6457" spans="2:24" x14ac:dyDescent="0.25">
      <c r="B6457" s="11" t="str">
        <f>CONCATENATE("TURR","-",LEFT(P6457,2),UPPER(MID(P6457,4,3)),RIGHT(P6457,4))</f>
        <v>TURR-07OCT1927</v>
      </c>
      <c r="C6457" s="11" t="s">
        <v>4772</v>
      </c>
      <c r="D6457" s="11" t="s">
        <v>3122</v>
      </c>
      <c r="E6457" s="39" t="s">
        <v>4773</v>
      </c>
      <c r="F6457" s="11" t="s">
        <v>3075</v>
      </c>
      <c r="G6457" s="39" t="s">
        <v>4774</v>
      </c>
      <c r="H6457" s="7">
        <v>1</v>
      </c>
      <c r="J6457" s="17"/>
      <c r="K6457" s="17"/>
      <c r="L6457" s="7">
        <f>SUM(H6457:K6457)</f>
        <v>1</v>
      </c>
      <c r="M6457" s="8">
        <v>1</v>
      </c>
      <c r="N6457" s="8">
        <f>IF(L6457&gt;0,1,"")</f>
        <v>1</v>
      </c>
      <c r="O6457" s="11" t="s">
        <v>1702</v>
      </c>
      <c r="P6457" s="16" t="str">
        <f>IF(LEN(G6457)=10,CONCATENATE("0",G6457),G6457)</f>
        <v>07-Oct-1927</v>
      </c>
      <c r="S6457" s="16" t="s">
        <v>1703</v>
      </c>
      <c r="U6457" s="46" t="str">
        <f t="shared" si="2777"/>
        <v/>
      </c>
      <c r="V6457" s="46">
        <f t="shared" si="2777"/>
        <v>1</v>
      </c>
      <c r="W6457" s="46" t="str">
        <f t="shared" si="2777"/>
        <v/>
      </c>
      <c r="X6457" s="46" t="str">
        <f t="shared" si="2777"/>
        <v/>
      </c>
    </row>
    <row r="6458" spans="2:24" x14ac:dyDescent="0.25">
      <c r="B6458" s="11" t="str">
        <f>CONCATENATE("TURR","-",LEFT(P6458,2),UPPER(MID(P6458,4,3)),RIGHT(P6458,4))</f>
        <v>TURR-07FEB1930</v>
      </c>
      <c r="C6458" s="11" t="s">
        <v>4772</v>
      </c>
      <c r="D6458" s="11" t="s">
        <v>3122</v>
      </c>
      <c r="E6458" s="39" t="s">
        <v>6125</v>
      </c>
      <c r="F6458" s="11" t="s">
        <v>3075</v>
      </c>
      <c r="G6458" s="39" t="s">
        <v>6126</v>
      </c>
      <c r="H6458" s="7">
        <v>1</v>
      </c>
      <c r="J6458" s="17"/>
      <c r="K6458" s="17"/>
      <c r="L6458" s="7">
        <f>SUM(H6458:K6458)</f>
        <v>1</v>
      </c>
      <c r="M6458" s="8">
        <v>1</v>
      </c>
      <c r="N6458" s="8">
        <f>IF(L6458&gt;0,1,"")</f>
        <v>1</v>
      </c>
      <c r="O6458" s="11" t="s">
        <v>1702</v>
      </c>
      <c r="P6458" s="16" t="str">
        <f>IF(LEN(G6458)=10,CONCATENATE("0",G6458),G6458)</f>
        <v>07-Feb-1930</v>
      </c>
      <c r="R6458" s="16" t="str">
        <f>IF($L6458&gt;0,"x","")</f>
        <v>x</v>
      </c>
      <c r="S6458" s="16" t="str">
        <f>IF($L6458&gt;0,"x","")</f>
        <v>x</v>
      </c>
      <c r="U6458" s="46" t="str">
        <f t="shared" si="2777"/>
        <v/>
      </c>
      <c r="V6458" s="46">
        <f t="shared" si="2777"/>
        <v>1</v>
      </c>
      <c r="W6458" s="46" t="str">
        <f t="shared" si="2777"/>
        <v/>
      </c>
      <c r="X6458" s="46" t="str">
        <f t="shared" si="2777"/>
        <v/>
      </c>
    </row>
    <row r="6459" spans="2:24" x14ac:dyDescent="0.25">
      <c r="N6459" s="8" t="str">
        <f>IF(R6459="x",1,"")</f>
        <v/>
      </c>
      <c r="U6459" s="46" t="str">
        <f t="shared" si="2777"/>
        <v/>
      </c>
      <c r="V6459" s="46" t="str">
        <f t="shared" si="2777"/>
        <v/>
      </c>
      <c r="W6459" s="46" t="str">
        <f t="shared" si="2777"/>
        <v/>
      </c>
      <c r="X6459" s="46" t="str">
        <f t="shared" si="2777"/>
        <v/>
      </c>
    </row>
    <row r="6460" spans="2:24" x14ac:dyDescent="0.25">
      <c r="B6460" s="18"/>
      <c r="C6460" s="18"/>
      <c r="D6460" s="18"/>
      <c r="E6460" s="40"/>
      <c r="F6460" s="18"/>
      <c r="G6460" s="40"/>
      <c r="H6460" s="7">
        <f t="shared" ref="H6460:N6460" si="2778">SUM(H6457:H6459)</f>
        <v>2</v>
      </c>
      <c r="I6460" s="7">
        <f t="shared" si="2778"/>
        <v>0</v>
      </c>
      <c r="J6460" s="7">
        <f>SUM(J6457:J6459)</f>
        <v>0</v>
      </c>
      <c r="K6460" s="7">
        <f t="shared" si="2778"/>
        <v>0</v>
      </c>
      <c r="L6460" s="7">
        <f t="shared" si="2778"/>
        <v>2</v>
      </c>
      <c r="M6460" s="7">
        <f t="shared" si="2778"/>
        <v>2</v>
      </c>
      <c r="N6460" s="7">
        <f t="shared" si="2778"/>
        <v>2</v>
      </c>
      <c r="O6460" s="18"/>
      <c r="P6460" s="13"/>
      <c r="Q6460" s="13"/>
      <c r="S6460" s="13"/>
      <c r="T6460" s="15"/>
      <c r="U6460" s="46" t="str">
        <f t="shared" si="2777"/>
        <v/>
      </c>
      <c r="V6460" s="46" t="str">
        <f t="shared" si="2777"/>
        <v/>
      </c>
      <c r="W6460" s="46" t="str">
        <f t="shared" si="2777"/>
        <v/>
      </c>
      <c r="X6460" s="46" t="str">
        <f t="shared" si="2777"/>
        <v/>
      </c>
    </row>
    <row r="6461" spans="2:24" x14ac:dyDescent="0.25">
      <c r="B6461" s="18"/>
      <c r="C6461" s="18"/>
      <c r="D6461" s="18"/>
      <c r="E6461" s="40"/>
      <c r="F6461" s="18"/>
      <c r="G6461" s="40"/>
      <c r="N6461" s="8" t="str">
        <f>IF(R6461="x",1,"")</f>
        <v/>
      </c>
      <c r="O6461" s="18"/>
      <c r="P6461" s="13"/>
      <c r="Q6461" s="13"/>
      <c r="R6461" s="13"/>
      <c r="S6461" s="13"/>
      <c r="T6461" s="15"/>
      <c r="U6461" s="46" t="str">
        <f t="shared" si="2777"/>
        <v/>
      </c>
      <c r="V6461" s="46" t="str">
        <f t="shared" si="2777"/>
        <v/>
      </c>
      <c r="W6461" s="46" t="str">
        <f t="shared" si="2777"/>
        <v/>
      </c>
      <c r="X6461" s="46" t="str">
        <f t="shared" si="2777"/>
        <v/>
      </c>
    </row>
    <row r="6462" spans="2:24" x14ac:dyDescent="0.25">
      <c r="B6462" s="18"/>
      <c r="C6462" s="18"/>
      <c r="D6462" s="18"/>
      <c r="E6462" s="40"/>
      <c r="F6462" s="18"/>
      <c r="G6462" s="40"/>
      <c r="N6462" s="8" t="str">
        <f>IF(R6462="x",1,"")</f>
        <v/>
      </c>
      <c r="O6462" s="18"/>
      <c r="P6462" s="13"/>
      <c r="Q6462" s="13"/>
      <c r="R6462" s="13"/>
      <c r="S6462" s="13"/>
      <c r="T6462" s="15"/>
      <c r="U6462" s="46" t="str">
        <f t="shared" si="2777"/>
        <v/>
      </c>
      <c r="V6462" s="46" t="str">
        <f t="shared" si="2777"/>
        <v/>
      </c>
      <c r="W6462" s="46" t="str">
        <f t="shared" si="2777"/>
        <v/>
      </c>
      <c r="X6462" s="46" t="str">
        <f t="shared" si="2777"/>
        <v/>
      </c>
    </row>
    <row r="6463" spans="2:24" x14ac:dyDescent="0.25">
      <c r="B6463" s="11" t="str">
        <f>CONCATENATE("TUSC","-",LEFT(P6463,2),UPPER(MID(P6463,4,3)),RIGHT(P6463,4))</f>
        <v>TUSC-22MAR1915</v>
      </c>
      <c r="C6463" s="11" t="s">
        <v>5273</v>
      </c>
      <c r="D6463" s="11" t="s">
        <v>2097</v>
      </c>
      <c r="E6463" s="39" t="s">
        <v>1952</v>
      </c>
      <c r="F6463" s="11" t="s">
        <v>1700</v>
      </c>
      <c r="G6463" s="39" t="s">
        <v>1953</v>
      </c>
      <c r="H6463" s="7">
        <v>0</v>
      </c>
      <c r="I6463" s="7">
        <v>4</v>
      </c>
      <c r="J6463" s="17">
        <v>0</v>
      </c>
      <c r="K6463" s="17"/>
      <c r="L6463" s="7">
        <f>SUM(H6463:K6463)</f>
        <v>4</v>
      </c>
      <c r="M6463" s="8">
        <v>1</v>
      </c>
      <c r="N6463" s="8">
        <f>IF(L6463&gt;0,1,"")</f>
        <v>1</v>
      </c>
      <c r="O6463" s="11" t="s">
        <v>1702</v>
      </c>
      <c r="P6463" s="16" t="str">
        <f>IF(LEN(G6463)=10,CONCATENATE("0",G6463),G6463)</f>
        <v>22-Mar-1915</v>
      </c>
      <c r="R6463" s="16" t="str">
        <f>IF($L6463&gt;0,"x","")</f>
        <v>x</v>
      </c>
      <c r="S6463" s="16" t="str">
        <f>IF($L6463&gt;0,"x","")</f>
        <v>x</v>
      </c>
      <c r="U6463" s="46" t="str">
        <f t="shared" si="2777"/>
        <v/>
      </c>
      <c r="V6463" s="46">
        <f t="shared" si="2777"/>
        <v>4</v>
      </c>
      <c r="W6463" s="46" t="str">
        <f t="shared" si="2777"/>
        <v/>
      </c>
      <c r="X6463" s="46" t="str">
        <f t="shared" si="2777"/>
        <v/>
      </c>
    </row>
    <row r="6464" spans="2:24" x14ac:dyDescent="0.25">
      <c r="N6464" s="8" t="str">
        <f>IF(R6464="x",1,"")</f>
        <v/>
      </c>
      <c r="U6464" s="46" t="str">
        <f t="shared" si="2777"/>
        <v/>
      </c>
      <c r="V6464" s="46" t="str">
        <f t="shared" si="2777"/>
        <v/>
      </c>
      <c r="W6464" s="46" t="str">
        <f t="shared" si="2777"/>
        <v/>
      </c>
      <c r="X6464" s="46" t="str">
        <f t="shared" si="2777"/>
        <v/>
      </c>
    </row>
    <row r="6465" spans="2:24" x14ac:dyDescent="0.25">
      <c r="B6465" s="18"/>
      <c r="C6465" s="18"/>
      <c r="D6465" s="18"/>
      <c r="E6465" s="40"/>
      <c r="F6465" s="18"/>
      <c r="G6465" s="40"/>
      <c r="H6465" s="7">
        <f t="shared" ref="H6465:N6465" si="2779">SUM(H6463:H6464)</f>
        <v>0</v>
      </c>
      <c r="I6465" s="7">
        <f t="shared" si="2779"/>
        <v>4</v>
      </c>
      <c r="J6465" s="7">
        <f>SUM(J6463:J6464)</f>
        <v>0</v>
      </c>
      <c r="K6465" s="7">
        <f t="shared" si="2779"/>
        <v>0</v>
      </c>
      <c r="L6465" s="7">
        <f t="shared" si="2779"/>
        <v>4</v>
      </c>
      <c r="M6465" s="7">
        <f t="shared" si="2779"/>
        <v>1</v>
      </c>
      <c r="N6465" s="7">
        <f t="shared" si="2779"/>
        <v>1</v>
      </c>
      <c r="O6465" s="18"/>
      <c r="P6465" s="13"/>
      <c r="Q6465" s="13"/>
      <c r="S6465" s="13"/>
      <c r="T6465" s="15"/>
      <c r="U6465" s="46" t="str">
        <f t="shared" si="2777"/>
        <v/>
      </c>
      <c r="V6465" s="46" t="str">
        <f t="shared" si="2777"/>
        <v/>
      </c>
      <c r="W6465" s="46" t="str">
        <f t="shared" si="2777"/>
        <v/>
      </c>
      <c r="X6465" s="46" t="str">
        <f t="shared" si="2777"/>
        <v/>
      </c>
    </row>
    <row r="6466" spans="2:24" x14ac:dyDescent="0.25">
      <c r="B6466" s="18"/>
      <c r="C6466" s="18"/>
      <c r="D6466" s="18"/>
      <c r="E6466" s="40"/>
      <c r="F6466" s="18"/>
      <c r="G6466" s="40" t="s">
        <v>5950</v>
      </c>
      <c r="N6466" s="8" t="str">
        <f>IF(R6466="x",1,"")</f>
        <v/>
      </c>
      <c r="O6466" s="18"/>
      <c r="P6466" s="13"/>
      <c r="Q6466" s="13"/>
      <c r="R6466" s="13"/>
      <c r="S6466" s="13"/>
      <c r="T6466" s="15"/>
      <c r="U6466" s="46" t="str">
        <f t="shared" si="2777"/>
        <v/>
      </c>
      <c r="V6466" s="46" t="str">
        <f t="shared" si="2777"/>
        <v/>
      </c>
      <c r="W6466" s="46" t="str">
        <f t="shared" si="2777"/>
        <v/>
      </c>
      <c r="X6466" s="46" t="str">
        <f t="shared" si="2777"/>
        <v/>
      </c>
    </row>
    <row r="6467" spans="2:24" x14ac:dyDescent="0.25">
      <c r="B6467" s="18"/>
      <c r="C6467" s="18"/>
      <c r="D6467" s="18"/>
      <c r="E6467" s="40"/>
      <c r="F6467" s="18"/>
      <c r="G6467" s="40"/>
      <c r="N6467" s="8" t="str">
        <f>IF(R6467="x",1,"")</f>
        <v/>
      </c>
      <c r="O6467" s="18"/>
      <c r="P6467" s="13"/>
      <c r="Q6467" s="13"/>
      <c r="R6467" s="13"/>
      <c r="S6467" s="13"/>
      <c r="T6467" s="15"/>
      <c r="U6467" s="46" t="str">
        <f t="shared" si="2777"/>
        <v/>
      </c>
      <c r="V6467" s="46" t="str">
        <f t="shared" si="2777"/>
        <v/>
      </c>
      <c r="W6467" s="46" t="str">
        <f t="shared" si="2777"/>
        <v/>
      </c>
      <c r="X6467" s="46" t="str">
        <f t="shared" si="2777"/>
        <v/>
      </c>
    </row>
    <row r="6468" spans="2:24" x14ac:dyDescent="0.25">
      <c r="B6468" s="11" t="str">
        <f>CONCATENATE("TYRO","-",LEFT(P6468,2),UPPER(MID(P6468,4,3)),RIGHT(P6468,4))</f>
        <v>TYRO-03JUL1913</v>
      </c>
      <c r="C6468" s="11" t="s">
        <v>5832</v>
      </c>
      <c r="D6468" s="11" t="s">
        <v>3064</v>
      </c>
      <c r="E6468" s="39" t="s">
        <v>2523</v>
      </c>
      <c r="F6468" s="11" t="s">
        <v>2813</v>
      </c>
      <c r="G6468" s="39" t="s">
        <v>3362</v>
      </c>
      <c r="I6468" s="7">
        <v>0</v>
      </c>
      <c r="J6468" s="17">
        <v>42</v>
      </c>
      <c r="K6468" s="17"/>
      <c r="L6468" s="7">
        <f>SUM(H6468:K6468)</f>
        <v>42</v>
      </c>
      <c r="M6468" s="8">
        <v>1</v>
      </c>
      <c r="N6468" s="8">
        <f>IF(L6468&gt;0,1,"")</f>
        <v>1</v>
      </c>
      <c r="O6468" s="11" t="s">
        <v>1702</v>
      </c>
      <c r="P6468" s="16" t="str">
        <f>IF(LEN(G6468)=10,CONCATENATE("0",G6468),G6468)</f>
        <v>03-Jul-1913</v>
      </c>
      <c r="R6468" s="16" t="str">
        <f>IF($L6468&gt;0,"x","")</f>
        <v>x</v>
      </c>
      <c r="S6468" s="16" t="str">
        <f>IF($L6468&gt;0,"x","")</f>
        <v>x</v>
      </c>
      <c r="T6468" s="11"/>
      <c r="U6468" s="46" t="str">
        <f t="shared" si="2777"/>
        <v/>
      </c>
      <c r="V6468" s="46">
        <f t="shared" si="2777"/>
        <v>42</v>
      </c>
      <c r="W6468" s="46" t="str">
        <f t="shared" si="2777"/>
        <v/>
      </c>
      <c r="X6468" s="46" t="str">
        <f t="shared" si="2777"/>
        <v/>
      </c>
    </row>
    <row r="6469" spans="2:24" x14ac:dyDescent="0.25">
      <c r="N6469" s="8" t="str">
        <f>IF(R6469="x",1,"")</f>
        <v/>
      </c>
      <c r="U6469" s="46" t="str">
        <f t="shared" si="2777"/>
        <v/>
      </c>
      <c r="V6469" s="46" t="str">
        <f t="shared" si="2777"/>
        <v/>
      </c>
      <c r="W6469" s="46" t="str">
        <f t="shared" si="2777"/>
        <v/>
      </c>
      <c r="X6469" s="46" t="str">
        <f t="shared" si="2777"/>
        <v/>
      </c>
    </row>
    <row r="6470" spans="2:24" x14ac:dyDescent="0.25">
      <c r="B6470" s="18"/>
      <c r="C6470" s="18"/>
      <c r="D6470" s="18"/>
      <c r="E6470" s="40"/>
      <c r="F6470" s="18"/>
      <c r="G6470" s="40"/>
      <c r="H6470" s="7">
        <f t="shared" ref="H6470:N6470" si="2780">SUM(H6468:H6469)</f>
        <v>0</v>
      </c>
      <c r="I6470" s="7">
        <f t="shared" si="2780"/>
        <v>0</v>
      </c>
      <c r="J6470" s="7">
        <f>SUM(J6468:J6469)</f>
        <v>42</v>
      </c>
      <c r="K6470" s="7">
        <f t="shared" si="2780"/>
        <v>0</v>
      </c>
      <c r="L6470" s="7">
        <f t="shared" si="2780"/>
        <v>42</v>
      </c>
      <c r="M6470" s="7">
        <f t="shared" si="2780"/>
        <v>1</v>
      </c>
      <c r="N6470" s="7">
        <f t="shared" si="2780"/>
        <v>1</v>
      </c>
      <c r="O6470" s="18"/>
      <c r="P6470" s="13"/>
      <c r="Q6470" s="13"/>
      <c r="S6470" s="13"/>
      <c r="T6470" s="15"/>
      <c r="U6470" s="46" t="str">
        <f t="shared" si="2777"/>
        <v/>
      </c>
      <c r="V6470" s="46" t="str">
        <f t="shared" si="2777"/>
        <v/>
      </c>
      <c r="W6470" s="46" t="str">
        <f t="shared" si="2777"/>
        <v/>
      </c>
      <c r="X6470" s="46" t="str">
        <f t="shared" si="2777"/>
        <v/>
      </c>
    </row>
    <row r="6471" spans="2:24" x14ac:dyDescent="0.25">
      <c r="B6471" s="18"/>
      <c r="C6471" s="18"/>
      <c r="D6471" s="18"/>
      <c r="E6471" s="40"/>
      <c r="F6471" s="18"/>
      <c r="G6471" s="40" t="s">
        <v>5950</v>
      </c>
      <c r="N6471" s="8" t="str">
        <f>IF(R6471="x",1,"")</f>
        <v/>
      </c>
      <c r="O6471" s="18"/>
      <c r="P6471" s="13"/>
      <c r="Q6471" s="13"/>
      <c r="R6471" s="13"/>
      <c r="S6471" s="13"/>
      <c r="T6471" s="15"/>
      <c r="U6471" s="46" t="str">
        <f t="shared" ref="U6471:X6475" si="2781">IF($O6471=U$5,$L6471,"")</f>
        <v/>
      </c>
      <c r="V6471" s="46" t="str">
        <f t="shared" si="2781"/>
        <v/>
      </c>
      <c r="W6471" s="46" t="str">
        <f t="shared" si="2781"/>
        <v/>
      </c>
      <c r="X6471" s="46" t="str">
        <f t="shared" si="2781"/>
        <v/>
      </c>
    </row>
    <row r="6472" spans="2:24" x14ac:dyDescent="0.25">
      <c r="B6472" s="18"/>
      <c r="C6472" s="18"/>
      <c r="D6472" s="18"/>
      <c r="E6472" s="40"/>
      <c r="F6472" s="18"/>
      <c r="G6472" s="40"/>
      <c r="N6472" s="8" t="str">
        <f>IF(R6472="x",1,"")</f>
        <v/>
      </c>
      <c r="O6472" s="18"/>
      <c r="P6472" s="13"/>
      <c r="Q6472" s="13"/>
      <c r="R6472" s="13"/>
      <c r="S6472" s="13"/>
      <c r="T6472" s="15"/>
      <c r="U6472" s="46" t="str">
        <f t="shared" si="2781"/>
        <v/>
      </c>
      <c r="V6472" s="46" t="str">
        <f t="shared" si="2781"/>
        <v/>
      </c>
      <c r="W6472" s="46" t="str">
        <f t="shared" si="2781"/>
        <v/>
      </c>
      <c r="X6472" s="46" t="str">
        <f t="shared" si="2781"/>
        <v/>
      </c>
    </row>
    <row r="6473" spans="2:24" x14ac:dyDescent="0.25">
      <c r="B6473" s="11" t="str">
        <f>CONCATENATE("TYRR","-",LEFT(P6473,2),UPPER(MID(P6473,4,3)),RIGHT(P6473,4))</f>
        <v>TYRR-01AUG1923</v>
      </c>
      <c r="C6473" s="11" t="s">
        <v>11217</v>
      </c>
      <c r="D6473" s="11" t="s">
        <v>2224</v>
      </c>
      <c r="E6473" s="39" t="s">
        <v>3777</v>
      </c>
      <c r="F6473" s="11" t="s">
        <v>3050</v>
      </c>
      <c r="G6473" s="39" t="s">
        <v>2970</v>
      </c>
      <c r="H6473" s="7">
        <v>0</v>
      </c>
      <c r="I6473" s="7">
        <v>15</v>
      </c>
      <c r="J6473" s="17">
        <v>14</v>
      </c>
      <c r="K6473" s="17"/>
      <c r="L6473" s="7">
        <f>SUM(H6473:K6473)</f>
        <v>29</v>
      </c>
      <c r="M6473" s="8">
        <v>1</v>
      </c>
      <c r="N6473" s="8">
        <f>IF(L6473&gt;0,1,"")</f>
        <v>1</v>
      </c>
      <c r="O6473" s="11" t="s">
        <v>1702</v>
      </c>
      <c r="P6473" s="16" t="str">
        <f>IF(LEN(G6473)=10,CONCATENATE("0",G6473),G6473)</f>
        <v>01-Aug-1923</v>
      </c>
      <c r="R6473" s="16" t="str">
        <f>IF($L6473&gt;0,"x","")</f>
        <v>x</v>
      </c>
      <c r="S6473" s="16" t="str">
        <f>IF($L6473&gt;0,"x","")</f>
        <v>x</v>
      </c>
      <c r="U6473" s="46" t="str">
        <f t="shared" si="2781"/>
        <v/>
      </c>
      <c r="V6473" s="46">
        <f t="shared" si="2781"/>
        <v>29</v>
      </c>
      <c r="W6473" s="46" t="str">
        <f t="shared" si="2781"/>
        <v/>
      </c>
      <c r="X6473" s="46" t="str">
        <f t="shared" si="2781"/>
        <v/>
      </c>
    </row>
    <row r="6474" spans="2:24" x14ac:dyDescent="0.25">
      <c r="N6474" s="8" t="str">
        <f>IF(R6474="x",1,"")</f>
        <v/>
      </c>
      <c r="U6474" s="46" t="str">
        <f t="shared" si="2781"/>
        <v/>
      </c>
      <c r="V6474" s="46" t="str">
        <f t="shared" si="2781"/>
        <v/>
      </c>
      <c r="W6474" s="46" t="str">
        <f t="shared" si="2781"/>
        <v/>
      </c>
      <c r="X6474" s="46" t="str">
        <f t="shared" si="2781"/>
        <v/>
      </c>
    </row>
    <row r="6475" spans="2:24" x14ac:dyDescent="0.25">
      <c r="B6475" s="18"/>
      <c r="C6475" s="18"/>
      <c r="D6475" s="18"/>
      <c r="E6475" s="40"/>
      <c r="F6475" s="18"/>
      <c r="G6475" s="40"/>
      <c r="H6475" s="7">
        <f t="shared" ref="H6475:N6475" si="2782">SUM(H6473:H6474)</f>
        <v>0</v>
      </c>
      <c r="I6475" s="7">
        <f t="shared" si="2782"/>
        <v>15</v>
      </c>
      <c r="J6475" s="7">
        <f>SUM(J6473:J6474)</f>
        <v>14</v>
      </c>
      <c r="K6475" s="7">
        <f t="shared" si="2782"/>
        <v>0</v>
      </c>
      <c r="L6475" s="7">
        <f t="shared" si="2782"/>
        <v>29</v>
      </c>
      <c r="M6475" s="7">
        <f t="shared" si="2782"/>
        <v>1</v>
      </c>
      <c r="N6475" s="7">
        <f t="shared" si="2782"/>
        <v>1</v>
      </c>
      <c r="O6475" s="18"/>
      <c r="P6475" s="13"/>
      <c r="Q6475" s="13"/>
      <c r="S6475" s="13"/>
      <c r="T6475" s="15"/>
      <c r="U6475" s="46" t="str">
        <f t="shared" si="2781"/>
        <v/>
      </c>
      <c r="V6475" s="46" t="str">
        <f t="shared" si="2781"/>
        <v/>
      </c>
      <c r="W6475" s="46" t="str">
        <f t="shared" si="2781"/>
        <v/>
      </c>
      <c r="X6475" s="46" t="str">
        <f t="shared" si="2781"/>
        <v/>
      </c>
    </row>
    <row r="6476" spans="2:24" x14ac:dyDescent="0.25">
      <c r="B6476" s="18"/>
      <c r="C6476" s="18"/>
      <c r="D6476" s="18"/>
      <c r="E6476" s="40"/>
      <c r="F6476" s="18"/>
      <c r="G6476" s="40"/>
      <c r="N6476" s="8" t="str">
        <f>IF(R6476="x",1,"")</f>
        <v/>
      </c>
      <c r="O6476" s="18"/>
      <c r="P6476" s="13"/>
      <c r="Q6476" s="13"/>
      <c r="R6476" s="13"/>
      <c r="S6476" s="13"/>
      <c r="T6476" s="15"/>
      <c r="U6476" s="46" t="str">
        <f t="shared" ref="U6476:X6479" si="2783">IF($O6476=U$5,$L6476,"")</f>
        <v/>
      </c>
      <c r="V6476" s="46" t="str">
        <f t="shared" si="2783"/>
        <v/>
      </c>
      <c r="W6476" s="46" t="str">
        <f t="shared" si="2783"/>
        <v/>
      </c>
      <c r="X6476" s="46" t="str">
        <f t="shared" si="2783"/>
        <v/>
      </c>
    </row>
    <row r="6477" spans="2:24" x14ac:dyDescent="0.25">
      <c r="B6477" s="18"/>
      <c r="C6477" s="18"/>
      <c r="D6477" s="18"/>
      <c r="E6477" s="40"/>
      <c r="F6477" s="18"/>
      <c r="G6477" s="40"/>
      <c r="N6477" s="8" t="str">
        <f>IF(R6477="x",1,"")</f>
        <v/>
      </c>
      <c r="O6477" s="18"/>
      <c r="P6477" s="13"/>
      <c r="Q6477" s="13"/>
      <c r="R6477" s="13"/>
      <c r="S6477" s="13"/>
      <c r="T6477" s="15"/>
      <c r="U6477" s="46" t="str">
        <f t="shared" si="2783"/>
        <v/>
      </c>
      <c r="V6477" s="46" t="str">
        <f t="shared" si="2783"/>
        <v/>
      </c>
      <c r="W6477" s="46" t="str">
        <f t="shared" si="2783"/>
        <v/>
      </c>
      <c r="X6477" s="46" t="str">
        <f t="shared" si="2783"/>
        <v/>
      </c>
    </row>
    <row r="6478" spans="2:24" x14ac:dyDescent="0.25">
      <c r="B6478" s="11" t="str">
        <f t="shared" ref="B6478:B6488" si="2784">CONCATENATE("ULTO","-",LEFT(P6478,2),UPPER(MID(P6478,4,3)),RIGHT(P6478,4))</f>
        <v>ULTO-12SEP1903</v>
      </c>
      <c r="C6478" s="11" t="s">
        <v>4108</v>
      </c>
      <c r="D6478" s="11" t="s">
        <v>2097</v>
      </c>
      <c r="E6478" s="39" t="s">
        <v>3470</v>
      </c>
      <c r="F6478" s="11" t="s">
        <v>3050</v>
      </c>
      <c r="G6478" s="39" t="s">
        <v>755</v>
      </c>
      <c r="J6478" s="17">
        <v>1</v>
      </c>
      <c r="K6478" s="17"/>
      <c r="L6478" s="7">
        <f t="shared" ref="L6478:L6488" si="2785">SUM(H6478:K6478)</f>
        <v>1</v>
      </c>
      <c r="M6478" s="8">
        <v>1</v>
      </c>
      <c r="N6478" s="8">
        <f t="shared" ref="N6478:N6488" si="2786">IF(L6478&gt;0,1,"")</f>
        <v>1</v>
      </c>
      <c r="O6478" s="11" t="s">
        <v>1702</v>
      </c>
      <c r="P6478" s="16" t="str">
        <f t="shared" ref="P6478:P6488" si="2787">IF(LEN(G6478)=10,CONCATENATE("0",G6478),G6478)</f>
        <v>12-Sep-1903</v>
      </c>
      <c r="R6478" s="16" t="str">
        <f>IF($L6478&gt;0,"x","")</f>
        <v>x</v>
      </c>
      <c r="S6478" s="16" t="str">
        <f>IF($L6478&gt;0,"x","")</f>
        <v>x</v>
      </c>
      <c r="U6478" s="46" t="str">
        <f t="shared" si="2783"/>
        <v/>
      </c>
      <c r="V6478" s="46">
        <f t="shared" si="2783"/>
        <v>1</v>
      </c>
      <c r="W6478" s="46" t="str">
        <f t="shared" si="2783"/>
        <v/>
      </c>
      <c r="X6478" s="46" t="str">
        <f t="shared" si="2783"/>
        <v/>
      </c>
    </row>
    <row r="6479" spans="2:24" x14ac:dyDescent="0.25">
      <c r="B6479" s="11" t="str">
        <f>CONCATENATE("ULTO","-",LEFT(P6479,2),UPPER(MID(P6479,4,3)),RIGHT(P6479,4))</f>
        <v>ULTO-12OCT1903</v>
      </c>
      <c r="C6479" s="11" t="s">
        <v>4108</v>
      </c>
      <c r="D6479" s="11" t="s">
        <v>2097</v>
      </c>
      <c r="E6479" s="39" t="s">
        <v>3541</v>
      </c>
      <c r="F6479" s="11" t="s">
        <v>3050</v>
      </c>
      <c r="G6479" s="39" t="s">
        <v>2613</v>
      </c>
      <c r="J6479" s="17">
        <v>14</v>
      </c>
      <c r="K6479" s="17"/>
      <c r="L6479" s="7">
        <f>SUM(H6479:K6479)</f>
        <v>14</v>
      </c>
      <c r="M6479" s="8">
        <v>1</v>
      </c>
      <c r="N6479" s="8">
        <f>IF(L6479&gt;0,1,"")</f>
        <v>1</v>
      </c>
      <c r="O6479" s="11" t="s">
        <v>1702</v>
      </c>
      <c r="P6479" s="16" t="str">
        <f>IF(LEN(G6479)=10,CONCATENATE("0",G6479),G6479)</f>
        <v>12-Oct-1903</v>
      </c>
      <c r="R6479" s="16" t="str">
        <f t="shared" ref="R6479:S6488" si="2788">IF($L6479&gt;0,"x","")</f>
        <v>x</v>
      </c>
      <c r="S6479" s="16" t="str">
        <f t="shared" si="2788"/>
        <v>x</v>
      </c>
      <c r="U6479" s="46" t="str">
        <f t="shared" si="2783"/>
        <v/>
      </c>
      <c r="V6479" s="46">
        <f t="shared" si="2783"/>
        <v>14</v>
      </c>
      <c r="W6479" s="46" t="str">
        <f t="shared" si="2783"/>
        <v/>
      </c>
      <c r="X6479" s="46" t="str">
        <f t="shared" si="2783"/>
        <v/>
      </c>
    </row>
    <row r="6480" spans="2:24" x14ac:dyDescent="0.25">
      <c r="B6480" s="11" t="str">
        <f>CONCATENATE("ULTO","-",LEFT(P6480,2),UPPER(MID(P6480,4,3)),RIGHT(P6480,4))</f>
        <v>ULTO-13OCT1904</v>
      </c>
      <c r="C6480" s="11" t="s">
        <v>4108</v>
      </c>
      <c r="D6480" s="11" t="s">
        <v>3064</v>
      </c>
      <c r="E6480" s="39" t="s">
        <v>5951</v>
      </c>
      <c r="F6480" s="11" t="s">
        <v>1700</v>
      </c>
      <c r="G6480" s="39" t="s">
        <v>5570</v>
      </c>
      <c r="I6480" s="7">
        <v>11</v>
      </c>
      <c r="J6480" s="17">
        <v>6</v>
      </c>
      <c r="K6480" s="17"/>
      <c r="L6480" s="7">
        <f>SUM(H6480:K6480)</f>
        <v>17</v>
      </c>
      <c r="M6480" s="8">
        <v>1</v>
      </c>
      <c r="N6480" s="8">
        <f>IF(L6480&gt;0,1,"")</f>
        <v>1</v>
      </c>
      <c r="O6480" s="11" t="s">
        <v>1702</v>
      </c>
      <c r="P6480" s="16" t="str">
        <f>IF(LEN(G6480)=10,CONCATENATE("0",G6480),G6480)</f>
        <v>13-Oct-1904</v>
      </c>
      <c r="R6480" s="16" t="str">
        <f t="shared" si="2788"/>
        <v>x</v>
      </c>
      <c r="S6480" s="16" t="str">
        <f t="shared" si="2788"/>
        <v>x</v>
      </c>
      <c r="T6480" s="11"/>
      <c r="U6480" s="46" t="str">
        <f t="shared" ref="U6480:X6487" si="2789">IF($O6480=U$5,$L6480,"")</f>
        <v/>
      </c>
      <c r="V6480" s="46">
        <f t="shared" si="2789"/>
        <v>17</v>
      </c>
      <c r="W6480" s="46" t="str">
        <f t="shared" si="2789"/>
        <v/>
      </c>
      <c r="X6480" s="46" t="str">
        <f t="shared" si="2789"/>
        <v/>
      </c>
    </row>
    <row r="6481" spans="2:24" x14ac:dyDescent="0.25">
      <c r="B6481" s="11" t="str">
        <f>CONCATENATE("ULTO","-",LEFT(P6481,2),UPPER(MID(P6481,4,3)),RIGHT(P6481,4))</f>
        <v>ULTO-16MAR1906</v>
      </c>
      <c r="C6481" s="11" t="s">
        <v>4108</v>
      </c>
      <c r="D6481" s="11" t="s">
        <v>3064</v>
      </c>
      <c r="E6481" s="39" t="s">
        <v>5964</v>
      </c>
      <c r="F6481" s="11" t="s">
        <v>1700</v>
      </c>
      <c r="G6481" s="39" t="s">
        <v>11438</v>
      </c>
      <c r="I6481" s="7">
        <v>0</v>
      </c>
      <c r="J6481" s="17">
        <v>1</v>
      </c>
      <c r="K6481" s="17"/>
      <c r="L6481" s="7">
        <f>SUM(H6481:K6481)</f>
        <v>1</v>
      </c>
      <c r="M6481" s="8">
        <v>1</v>
      </c>
      <c r="N6481" s="8">
        <f>IF(L6481&gt;0,1,"")</f>
        <v>1</v>
      </c>
      <c r="O6481" s="11" t="s">
        <v>1702</v>
      </c>
      <c r="P6481" s="16" t="str">
        <f>IF(LEN(G6481)=10,CONCATENATE("0",G6481),G6481)</f>
        <v>16-Mar-1906</v>
      </c>
      <c r="R6481" s="16" t="str">
        <f t="shared" si="2788"/>
        <v>x</v>
      </c>
      <c r="S6481" s="16" t="str">
        <f t="shared" si="2788"/>
        <v>x</v>
      </c>
      <c r="U6481" s="46" t="str">
        <f t="shared" si="2789"/>
        <v/>
      </c>
      <c r="V6481" s="46">
        <f t="shared" si="2789"/>
        <v>1</v>
      </c>
      <c r="W6481" s="46" t="str">
        <f t="shared" si="2789"/>
        <v/>
      </c>
      <c r="X6481" s="46" t="str">
        <f t="shared" si="2789"/>
        <v/>
      </c>
    </row>
    <row r="6482" spans="2:24" x14ac:dyDescent="0.25">
      <c r="B6482" s="11" t="str">
        <f>CONCATENATE("ULTO","-",LEFT(P6482,2),UPPER(MID(P6482,4,3)),RIGHT(P6482,4))</f>
        <v>ULTO-03NOV1910</v>
      </c>
      <c r="C6482" s="11" t="s">
        <v>4108</v>
      </c>
      <c r="D6482" s="11" t="s">
        <v>3064</v>
      </c>
      <c r="E6482" s="39" t="s">
        <v>11466</v>
      </c>
      <c r="F6482" s="11" t="s">
        <v>1700</v>
      </c>
      <c r="G6482" s="39" t="s">
        <v>11467</v>
      </c>
      <c r="I6482" s="7">
        <v>18</v>
      </c>
      <c r="J6482" s="17">
        <v>0</v>
      </c>
      <c r="K6482" s="17"/>
      <c r="L6482" s="7">
        <f>SUM(H6482:K6482)</f>
        <v>18</v>
      </c>
      <c r="M6482" s="8">
        <v>1</v>
      </c>
      <c r="N6482" s="8">
        <f>IF(L6482&gt;0,1,"")</f>
        <v>1</v>
      </c>
      <c r="O6482" s="11" t="s">
        <v>1702</v>
      </c>
      <c r="P6482" s="16" t="str">
        <f>IF(LEN(G6482)=10,CONCATENATE("0",G6482),G6482)</f>
        <v>03-Nov-1910</v>
      </c>
      <c r="R6482" s="16" t="str">
        <f t="shared" si="2788"/>
        <v>x</v>
      </c>
      <c r="S6482" s="16" t="str">
        <f t="shared" si="2788"/>
        <v>x</v>
      </c>
      <c r="U6482" s="46" t="str">
        <f t="shared" si="2789"/>
        <v/>
      </c>
      <c r="V6482" s="46">
        <f t="shared" si="2789"/>
        <v>18</v>
      </c>
      <c r="W6482" s="46" t="str">
        <f t="shared" si="2789"/>
        <v/>
      </c>
      <c r="X6482" s="46" t="str">
        <f t="shared" si="2789"/>
        <v/>
      </c>
    </row>
    <row r="6483" spans="2:24" x14ac:dyDescent="0.25">
      <c r="B6483" s="11" t="str">
        <f t="shared" si="2784"/>
        <v>ULTO-29MAR1913</v>
      </c>
      <c r="C6483" s="11" t="s">
        <v>4108</v>
      </c>
      <c r="D6483" s="11" t="s">
        <v>3064</v>
      </c>
      <c r="E6483" s="39" t="s">
        <v>4643</v>
      </c>
      <c r="F6483" s="11" t="s">
        <v>1700</v>
      </c>
      <c r="G6483" s="39" t="s">
        <v>2360</v>
      </c>
      <c r="I6483" s="7">
        <v>0</v>
      </c>
      <c r="J6483" s="17">
        <v>19</v>
      </c>
      <c r="K6483" s="17"/>
      <c r="L6483" s="7">
        <f t="shared" si="2785"/>
        <v>19</v>
      </c>
      <c r="M6483" s="8">
        <v>1</v>
      </c>
      <c r="N6483" s="8">
        <f t="shared" si="2786"/>
        <v>1</v>
      </c>
      <c r="O6483" s="11" t="s">
        <v>1702</v>
      </c>
      <c r="P6483" s="16" t="str">
        <f t="shared" si="2787"/>
        <v>29-Mar-1913</v>
      </c>
      <c r="R6483" s="16" t="str">
        <f t="shared" si="2788"/>
        <v>x</v>
      </c>
      <c r="S6483" s="16" t="str">
        <f t="shared" si="2788"/>
        <v>x</v>
      </c>
      <c r="U6483" s="46" t="str">
        <f t="shared" si="2789"/>
        <v/>
      </c>
      <c r="V6483" s="46">
        <f t="shared" si="2789"/>
        <v>19</v>
      </c>
      <c r="W6483" s="46" t="str">
        <f t="shared" si="2789"/>
        <v/>
      </c>
      <c r="X6483" s="46" t="str">
        <f t="shared" si="2789"/>
        <v/>
      </c>
    </row>
    <row r="6484" spans="2:24" x14ac:dyDescent="0.25">
      <c r="B6484" s="11" t="str">
        <f t="shared" si="2784"/>
        <v>ULTO-16JUL1913</v>
      </c>
      <c r="C6484" s="11" t="s">
        <v>4108</v>
      </c>
      <c r="D6484" s="11" t="s">
        <v>3064</v>
      </c>
      <c r="E6484" s="39" t="s">
        <v>3648</v>
      </c>
      <c r="F6484" s="11" t="s">
        <v>1700</v>
      </c>
      <c r="G6484" s="39" t="s">
        <v>4563</v>
      </c>
      <c r="I6484" s="7">
        <v>0</v>
      </c>
      <c r="J6484" s="17">
        <v>40</v>
      </c>
      <c r="K6484" s="17"/>
      <c r="L6484" s="7">
        <f t="shared" si="2785"/>
        <v>40</v>
      </c>
      <c r="M6484" s="8">
        <v>1</v>
      </c>
      <c r="N6484" s="8">
        <f t="shared" si="2786"/>
        <v>1</v>
      </c>
      <c r="O6484" s="11" t="s">
        <v>1702</v>
      </c>
      <c r="P6484" s="16" t="str">
        <f t="shared" si="2787"/>
        <v>16-Jul-1913</v>
      </c>
      <c r="R6484" s="16" t="str">
        <f t="shared" si="2788"/>
        <v>x</v>
      </c>
      <c r="S6484" s="16" t="str">
        <f t="shared" si="2788"/>
        <v>x</v>
      </c>
      <c r="U6484" s="46" t="str">
        <f t="shared" si="2789"/>
        <v/>
      </c>
      <c r="V6484" s="46">
        <f t="shared" si="2789"/>
        <v>40</v>
      </c>
      <c r="W6484" s="46" t="str">
        <f t="shared" si="2789"/>
        <v/>
      </c>
      <c r="X6484" s="46" t="str">
        <f t="shared" si="2789"/>
        <v/>
      </c>
    </row>
    <row r="6485" spans="2:24" x14ac:dyDescent="0.25">
      <c r="B6485" s="11" t="str">
        <f t="shared" si="2784"/>
        <v>ULTO-16JUL1913</v>
      </c>
      <c r="C6485" s="11" t="s">
        <v>4108</v>
      </c>
      <c r="D6485" s="11" t="s">
        <v>1906</v>
      </c>
      <c r="E6485" s="39" t="s">
        <v>3364</v>
      </c>
      <c r="F6485" s="11" t="s">
        <v>1700</v>
      </c>
      <c r="G6485" s="39" t="s">
        <v>4563</v>
      </c>
      <c r="I6485" s="7">
        <v>10</v>
      </c>
      <c r="J6485" s="17"/>
      <c r="K6485" s="17"/>
      <c r="L6485" s="7">
        <f t="shared" si="2785"/>
        <v>10</v>
      </c>
      <c r="M6485" s="8">
        <v>1</v>
      </c>
      <c r="N6485" s="8">
        <f t="shared" si="2786"/>
        <v>1</v>
      </c>
      <c r="O6485" s="11" t="s">
        <v>1702</v>
      </c>
      <c r="P6485" s="16" t="str">
        <f t="shared" si="2787"/>
        <v>16-Jul-1913</v>
      </c>
      <c r="R6485" s="16" t="str">
        <f>IF($L6485&gt;0,"x","")</f>
        <v>x</v>
      </c>
      <c r="S6485" s="16" t="str">
        <f>IF($L6485&gt;0,"x","")</f>
        <v>x</v>
      </c>
      <c r="U6485" s="46" t="str">
        <f t="shared" si="2789"/>
        <v/>
      </c>
      <c r="V6485" s="46">
        <f t="shared" si="2789"/>
        <v>10</v>
      </c>
      <c r="W6485" s="46" t="str">
        <f t="shared" si="2789"/>
        <v/>
      </c>
      <c r="X6485" s="46" t="str">
        <f t="shared" si="2789"/>
        <v/>
      </c>
    </row>
    <row r="6486" spans="2:24" x14ac:dyDescent="0.25">
      <c r="B6486" s="11" t="str">
        <f t="shared" si="2784"/>
        <v>ULTO-27OCT1913</v>
      </c>
      <c r="C6486" s="11" t="s">
        <v>4108</v>
      </c>
      <c r="D6486" s="11" t="s">
        <v>3064</v>
      </c>
      <c r="E6486" s="39" t="s">
        <v>4234</v>
      </c>
      <c r="F6486" s="11" t="s">
        <v>1700</v>
      </c>
      <c r="G6486" s="39" t="s">
        <v>4235</v>
      </c>
      <c r="I6486" s="7">
        <v>0</v>
      </c>
      <c r="J6486" s="17">
        <v>43</v>
      </c>
      <c r="K6486" s="17"/>
      <c r="L6486" s="7">
        <f t="shared" si="2785"/>
        <v>43</v>
      </c>
      <c r="M6486" s="8">
        <v>1</v>
      </c>
      <c r="N6486" s="8">
        <f t="shared" si="2786"/>
        <v>1</v>
      </c>
      <c r="O6486" s="11" t="s">
        <v>1702</v>
      </c>
      <c r="P6486" s="16" t="str">
        <f t="shared" si="2787"/>
        <v>27-Oct-1913</v>
      </c>
      <c r="R6486" s="16" t="str">
        <f t="shared" si="2788"/>
        <v>x</v>
      </c>
      <c r="S6486" s="16" t="str">
        <f t="shared" si="2788"/>
        <v>x</v>
      </c>
      <c r="U6486" s="46" t="str">
        <f t="shared" si="2789"/>
        <v/>
      </c>
      <c r="V6486" s="46">
        <f t="shared" si="2789"/>
        <v>43</v>
      </c>
      <c r="W6486" s="46" t="str">
        <f t="shared" si="2789"/>
        <v/>
      </c>
      <c r="X6486" s="46" t="str">
        <f t="shared" si="2789"/>
        <v/>
      </c>
    </row>
    <row r="6487" spans="2:24" x14ac:dyDescent="0.25">
      <c r="B6487" s="11" t="str">
        <f>CONCATENATE("ULTO","-",LEFT(P6487,2),UPPER(MID(P6487,4,3)),RIGHT(P6487,4))</f>
        <v>ULTO-25MAY1914</v>
      </c>
      <c r="C6487" s="11" t="s">
        <v>4108</v>
      </c>
      <c r="D6487" s="11" t="s">
        <v>1906</v>
      </c>
      <c r="E6487" s="39" t="s">
        <v>5187</v>
      </c>
      <c r="F6487" s="11" t="s">
        <v>1700</v>
      </c>
      <c r="G6487" s="39" t="s">
        <v>1042</v>
      </c>
      <c r="I6487" s="7">
        <v>0</v>
      </c>
      <c r="J6487" s="17">
        <v>9</v>
      </c>
      <c r="K6487" s="17"/>
      <c r="L6487" s="7">
        <f>SUM(H6487:K6487)</f>
        <v>9</v>
      </c>
      <c r="M6487" s="8">
        <v>1</v>
      </c>
      <c r="N6487" s="8">
        <f>IF(L6487&gt;0,1,"")</f>
        <v>1</v>
      </c>
      <c r="O6487" s="11" t="s">
        <v>1702</v>
      </c>
      <c r="P6487" s="16" t="str">
        <f>IF(LEN(G6487)=10,CONCATENATE("0",G6487),G6487)</f>
        <v>25-May-1914</v>
      </c>
      <c r="R6487" s="16" t="str">
        <f t="shared" si="2788"/>
        <v>x</v>
      </c>
      <c r="S6487" s="16" t="str">
        <f t="shared" si="2788"/>
        <v>x</v>
      </c>
      <c r="U6487" s="46" t="str">
        <f t="shared" si="2789"/>
        <v/>
      </c>
      <c r="V6487" s="46">
        <f t="shared" si="2789"/>
        <v>9</v>
      </c>
      <c r="W6487" s="46" t="str">
        <f t="shared" si="2789"/>
        <v/>
      </c>
      <c r="X6487" s="46" t="str">
        <f t="shared" si="2789"/>
        <v/>
      </c>
    </row>
    <row r="6488" spans="2:24" x14ac:dyDescent="0.25">
      <c r="B6488" s="11" t="str">
        <f t="shared" si="2784"/>
        <v>ULTO-20JUL1914</v>
      </c>
      <c r="C6488" s="11" t="s">
        <v>4108</v>
      </c>
      <c r="D6488" s="11" t="s">
        <v>1906</v>
      </c>
      <c r="E6488" s="39" t="s">
        <v>6107</v>
      </c>
      <c r="F6488" s="11" t="s">
        <v>1700</v>
      </c>
      <c r="G6488" s="39" t="s">
        <v>1939</v>
      </c>
      <c r="I6488" s="7">
        <v>0</v>
      </c>
      <c r="J6488" s="17">
        <v>10</v>
      </c>
      <c r="K6488" s="17"/>
      <c r="L6488" s="7">
        <f t="shared" si="2785"/>
        <v>10</v>
      </c>
      <c r="M6488" s="8">
        <v>1</v>
      </c>
      <c r="N6488" s="8">
        <f t="shared" si="2786"/>
        <v>1</v>
      </c>
      <c r="O6488" s="11" t="s">
        <v>1702</v>
      </c>
      <c r="P6488" s="16" t="str">
        <f t="shared" si="2787"/>
        <v>20-Jul-1914</v>
      </c>
      <c r="R6488" s="16" t="str">
        <f t="shared" si="2788"/>
        <v>x</v>
      </c>
      <c r="S6488" s="16" t="str">
        <f t="shared" si="2788"/>
        <v>x</v>
      </c>
      <c r="U6488" s="46" t="str">
        <f t="shared" ref="U6488:X6497" si="2790">IF($O6488=U$5,$L6488,"")</f>
        <v/>
      </c>
      <c r="V6488" s="46">
        <f t="shared" si="2790"/>
        <v>10</v>
      </c>
      <c r="W6488" s="46" t="str">
        <f t="shared" si="2790"/>
        <v/>
      </c>
      <c r="X6488" s="46" t="str">
        <f t="shared" si="2790"/>
        <v/>
      </c>
    </row>
    <row r="6489" spans="2:24" x14ac:dyDescent="0.25">
      <c r="N6489" s="8" t="str">
        <f>IF(R6489="x",1,"")</f>
        <v/>
      </c>
      <c r="U6489" s="46" t="str">
        <f t="shared" si="2790"/>
        <v/>
      </c>
      <c r="V6489" s="46" t="str">
        <f t="shared" si="2790"/>
        <v/>
      </c>
      <c r="W6489" s="46" t="str">
        <f t="shared" si="2790"/>
        <v/>
      </c>
      <c r="X6489" s="46" t="str">
        <f t="shared" si="2790"/>
        <v/>
      </c>
    </row>
    <row r="6490" spans="2:24" x14ac:dyDescent="0.25">
      <c r="B6490" s="18"/>
      <c r="C6490" s="18"/>
      <c r="D6490" s="18"/>
      <c r="E6490" s="40"/>
      <c r="F6490" s="18"/>
      <c r="G6490" s="40"/>
      <c r="H6490" s="7">
        <f t="shared" ref="H6490:N6490" si="2791">SUM(H6478:H6489)</f>
        <v>0</v>
      </c>
      <c r="I6490" s="7">
        <f t="shared" si="2791"/>
        <v>39</v>
      </c>
      <c r="J6490" s="7">
        <f>SUM(J6478:J6489)</f>
        <v>143</v>
      </c>
      <c r="K6490" s="7">
        <f t="shared" si="2791"/>
        <v>0</v>
      </c>
      <c r="L6490" s="7">
        <f t="shared" si="2791"/>
        <v>182</v>
      </c>
      <c r="M6490" s="7">
        <f t="shared" si="2791"/>
        <v>11</v>
      </c>
      <c r="N6490" s="7">
        <f t="shared" si="2791"/>
        <v>11</v>
      </c>
      <c r="O6490" s="18"/>
      <c r="P6490" s="13"/>
      <c r="Q6490" s="13"/>
      <c r="S6490" s="13"/>
      <c r="T6490" s="15"/>
      <c r="U6490" s="46" t="str">
        <f t="shared" si="2790"/>
        <v/>
      </c>
      <c r="V6490" s="46" t="str">
        <f t="shared" si="2790"/>
        <v/>
      </c>
      <c r="W6490" s="46" t="str">
        <f t="shared" si="2790"/>
        <v/>
      </c>
      <c r="X6490" s="46" t="str">
        <f t="shared" si="2790"/>
        <v/>
      </c>
    </row>
    <row r="6491" spans="2:24" x14ac:dyDescent="0.25">
      <c r="B6491" s="18"/>
      <c r="C6491" s="18"/>
      <c r="D6491" s="18"/>
      <c r="E6491" s="40"/>
      <c r="F6491" s="18"/>
      <c r="G6491" s="40"/>
      <c r="N6491" s="8" t="str">
        <f>IF(R6491="x",1,"")</f>
        <v/>
      </c>
      <c r="O6491" s="18"/>
      <c r="P6491" s="13"/>
      <c r="Q6491" s="13"/>
      <c r="R6491" s="13"/>
      <c r="S6491" s="13"/>
      <c r="T6491" s="15"/>
      <c r="U6491" s="46" t="str">
        <f t="shared" si="2790"/>
        <v/>
      </c>
      <c r="V6491" s="46" t="str">
        <f t="shared" si="2790"/>
        <v/>
      </c>
      <c r="W6491" s="46" t="str">
        <f t="shared" si="2790"/>
        <v/>
      </c>
      <c r="X6491" s="46" t="str">
        <f t="shared" si="2790"/>
        <v/>
      </c>
    </row>
    <row r="6492" spans="2:24" x14ac:dyDescent="0.25">
      <c r="B6492" s="18"/>
      <c r="C6492" s="18"/>
      <c r="D6492" s="18"/>
      <c r="E6492" s="40"/>
      <c r="F6492" s="18"/>
      <c r="G6492" s="40"/>
      <c r="N6492" s="8" t="str">
        <f>IF(R6492="x",1,"")</f>
        <v/>
      </c>
      <c r="O6492" s="18"/>
      <c r="P6492" s="13"/>
      <c r="Q6492" s="13"/>
      <c r="R6492" s="13"/>
      <c r="S6492" s="13"/>
      <c r="T6492" s="15"/>
      <c r="U6492" s="46" t="str">
        <f t="shared" si="2790"/>
        <v/>
      </c>
      <c r="V6492" s="46" t="str">
        <f t="shared" si="2790"/>
        <v/>
      </c>
      <c r="W6492" s="46" t="str">
        <f t="shared" si="2790"/>
        <v/>
      </c>
      <c r="X6492" s="46" t="str">
        <f t="shared" si="2790"/>
        <v/>
      </c>
    </row>
    <row r="6493" spans="2:24" x14ac:dyDescent="0.25">
      <c r="B6493" s="11" t="str">
        <f t="shared" ref="B6493:B6499" si="2792">CONCATENATE("UMBR","-",LEFT(P6493,2),UPPER(MID(P6493,4,3)),RIGHT(P6493,4))</f>
        <v>UMBR-28NOV1892</v>
      </c>
      <c r="C6493" s="11" t="s">
        <v>3208</v>
      </c>
      <c r="D6493" s="11" t="s">
        <v>2097</v>
      </c>
      <c r="F6493" s="11" t="s">
        <v>1700</v>
      </c>
      <c r="G6493" s="39" t="s">
        <v>411</v>
      </c>
      <c r="H6493" s="7">
        <v>0</v>
      </c>
      <c r="I6493" s="7">
        <v>0</v>
      </c>
      <c r="J6493" s="17">
        <v>4</v>
      </c>
      <c r="K6493" s="17"/>
      <c r="L6493" s="7">
        <f t="shared" ref="L6493:L6499" si="2793">SUM(H6493:K6493)</f>
        <v>4</v>
      </c>
      <c r="M6493" s="8">
        <v>1</v>
      </c>
      <c r="N6493" s="8">
        <f t="shared" ref="N6493:N6499" si="2794">IF(L6493&gt;0,1,"")</f>
        <v>1</v>
      </c>
      <c r="O6493" s="11" t="s">
        <v>1702</v>
      </c>
      <c r="P6493" s="16" t="str">
        <f t="shared" ref="P6493:P6499" si="2795">IF(LEN(G6493)=10,CONCATENATE("0",G6493),G6493)</f>
        <v>28-Nov-1892</v>
      </c>
      <c r="R6493" s="16" t="str">
        <f t="shared" ref="R6493:S6500" si="2796">IF($L6493&gt;0,"x","")</f>
        <v>x</v>
      </c>
      <c r="S6493" s="16" t="str">
        <f t="shared" si="2796"/>
        <v>x</v>
      </c>
      <c r="U6493" s="46" t="str">
        <f t="shared" si="2790"/>
        <v/>
      </c>
      <c r="V6493" s="46">
        <f t="shared" si="2790"/>
        <v>4</v>
      </c>
      <c r="W6493" s="46" t="str">
        <f t="shared" si="2790"/>
        <v/>
      </c>
      <c r="X6493" s="46" t="str">
        <f t="shared" si="2790"/>
        <v/>
      </c>
    </row>
    <row r="6494" spans="2:24" x14ac:dyDescent="0.25">
      <c r="B6494" s="11" t="str">
        <f t="shared" si="2792"/>
        <v>UMBR-25NOV1895</v>
      </c>
      <c r="C6494" s="11" t="s">
        <v>3208</v>
      </c>
      <c r="D6494" s="11" t="s">
        <v>2097</v>
      </c>
      <c r="F6494" s="11" t="s">
        <v>1700</v>
      </c>
      <c r="G6494" s="39" t="s">
        <v>383</v>
      </c>
      <c r="H6494" s="7">
        <v>0</v>
      </c>
      <c r="I6494" s="7">
        <v>1</v>
      </c>
      <c r="J6494" s="17">
        <v>0</v>
      </c>
      <c r="K6494" s="17"/>
      <c r="L6494" s="7">
        <f t="shared" si="2793"/>
        <v>1</v>
      </c>
      <c r="M6494" s="8">
        <v>1</v>
      </c>
      <c r="N6494" s="8">
        <f t="shared" si="2794"/>
        <v>1</v>
      </c>
      <c r="O6494" s="11" t="s">
        <v>1702</v>
      </c>
      <c r="P6494" s="16" t="str">
        <f t="shared" si="2795"/>
        <v>25-Nov-1895</v>
      </c>
      <c r="R6494" s="16" t="str">
        <f t="shared" si="2796"/>
        <v>x</v>
      </c>
      <c r="S6494" s="16" t="str">
        <f t="shared" si="2796"/>
        <v>x</v>
      </c>
      <c r="U6494" s="46" t="str">
        <f t="shared" si="2790"/>
        <v/>
      </c>
      <c r="V6494" s="46">
        <f t="shared" si="2790"/>
        <v>1</v>
      </c>
      <c r="W6494" s="46" t="str">
        <f t="shared" si="2790"/>
        <v/>
      </c>
      <c r="X6494" s="46" t="str">
        <f t="shared" si="2790"/>
        <v/>
      </c>
    </row>
    <row r="6495" spans="2:24" x14ac:dyDescent="0.25">
      <c r="B6495" s="11" t="str">
        <f t="shared" si="2792"/>
        <v>UMBR-30MAR1896</v>
      </c>
      <c r="C6495" s="11" t="s">
        <v>3208</v>
      </c>
      <c r="D6495" s="11" t="s">
        <v>2097</v>
      </c>
      <c r="F6495" s="11" t="s">
        <v>1700</v>
      </c>
      <c r="G6495" s="39" t="s">
        <v>10</v>
      </c>
      <c r="H6495" s="7">
        <v>0</v>
      </c>
      <c r="I6495" s="7">
        <v>6</v>
      </c>
      <c r="J6495" s="17">
        <v>0</v>
      </c>
      <c r="K6495" s="17"/>
      <c r="L6495" s="7">
        <f t="shared" si="2793"/>
        <v>6</v>
      </c>
      <c r="M6495" s="8">
        <v>1</v>
      </c>
      <c r="N6495" s="8">
        <f t="shared" si="2794"/>
        <v>1</v>
      </c>
      <c r="O6495" s="11" t="s">
        <v>1702</v>
      </c>
      <c r="P6495" s="16" t="str">
        <f t="shared" si="2795"/>
        <v>30-Mar-1896</v>
      </c>
      <c r="R6495" s="16" t="str">
        <f t="shared" si="2796"/>
        <v>x</v>
      </c>
      <c r="S6495" s="16" t="str">
        <f t="shared" si="2796"/>
        <v>x</v>
      </c>
      <c r="U6495" s="46" t="str">
        <f t="shared" si="2790"/>
        <v/>
      </c>
      <c r="V6495" s="46">
        <f t="shared" si="2790"/>
        <v>6</v>
      </c>
      <c r="W6495" s="46" t="str">
        <f t="shared" si="2790"/>
        <v/>
      </c>
      <c r="X6495" s="46" t="str">
        <f t="shared" si="2790"/>
        <v/>
      </c>
    </row>
    <row r="6496" spans="2:24" x14ac:dyDescent="0.25">
      <c r="B6496" s="11" t="str">
        <f t="shared" si="2792"/>
        <v>UMBR-07NOV1896</v>
      </c>
      <c r="C6496" s="11" t="s">
        <v>3208</v>
      </c>
      <c r="D6496" s="11" t="s">
        <v>2097</v>
      </c>
      <c r="F6496" s="11" t="s">
        <v>1700</v>
      </c>
      <c r="G6496" s="39" t="s">
        <v>4468</v>
      </c>
      <c r="I6496" s="7">
        <v>2</v>
      </c>
      <c r="J6496" s="17">
        <v>0</v>
      </c>
      <c r="K6496" s="17"/>
      <c r="L6496" s="7">
        <f t="shared" si="2793"/>
        <v>2</v>
      </c>
      <c r="M6496" s="8">
        <v>1</v>
      </c>
      <c r="N6496" s="8">
        <f t="shared" si="2794"/>
        <v>1</v>
      </c>
      <c r="O6496" s="11" t="s">
        <v>1702</v>
      </c>
      <c r="P6496" s="16" t="str">
        <f t="shared" si="2795"/>
        <v>07-Nov-1896</v>
      </c>
      <c r="R6496" s="16" t="str">
        <f t="shared" si="2796"/>
        <v>x</v>
      </c>
      <c r="S6496" s="16" t="str">
        <f t="shared" si="2796"/>
        <v>x</v>
      </c>
      <c r="U6496" s="46" t="str">
        <f t="shared" si="2790"/>
        <v/>
      </c>
      <c r="V6496" s="46">
        <f t="shared" si="2790"/>
        <v>2</v>
      </c>
      <c r="W6496" s="46" t="str">
        <f t="shared" si="2790"/>
        <v/>
      </c>
      <c r="X6496" s="46" t="str">
        <f t="shared" si="2790"/>
        <v/>
      </c>
    </row>
    <row r="6497" spans="2:24" x14ac:dyDescent="0.25">
      <c r="B6497" s="11" t="str">
        <f>CONCATENATE("UMBR","-",LEFT(P6497,2),UPPER(MID(P6497,4,3)),RIGHT(P6497,4))</f>
        <v>UMBR-26APR1897</v>
      </c>
      <c r="C6497" s="11" t="s">
        <v>3208</v>
      </c>
      <c r="D6497" s="11" t="s">
        <v>2097</v>
      </c>
      <c r="F6497" s="11" t="s">
        <v>1700</v>
      </c>
      <c r="G6497" s="39" t="s">
        <v>446</v>
      </c>
      <c r="H6497" s="7">
        <v>0</v>
      </c>
      <c r="I6497" s="7">
        <v>0</v>
      </c>
      <c r="J6497" s="17">
        <v>2</v>
      </c>
      <c r="K6497" s="17"/>
      <c r="L6497" s="7">
        <f>SUM(H6497:K6497)</f>
        <v>2</v>
      </c>
      <c r="M6497" s="8">
        <v>1</v>
      </c>
      <c r="N6497" s="8">
        <f>IF(L6497&gt;0,1,"")</f>
        <v>1</v>
      </c>
      <c r="O6497" s="11" t="s">
        <v>1702</v>
      </c>
      <c r="P6497" s="16" t="str">
        <f>IF(LEN(G6497)=10,CONCATENATE("0",G6497),G6497)</f>
        <v>26-Apr-1897</v>
      </c>
      <c r="R6497" s="16" t="str">
        <f t="shared" si="2796"/>
        <v>x</v>
      </c>
      <c r="S6497" s="16" t="str">
        <f t="shared" si="2796"/>
        <v>x</v>
      </c>
      <c r="U6497" s="46" t="str">
        <f t="shared" si="2790"/>
        <v/>
      </c>
      <c r="V6497" s="46">
        <f t="shared" si="2790"/>
        <v>2</v>
      </c>
      <c r="W6497" s="46" t="str">
        <f t="shared" si="2790"/>
        <v/>
      </c>
      <c r="X6497" s="46" t="str">
        <f t="shared" si="2790"/>
        <v/>
      </c>
    </row>
    <row r="6498" spans="2:24" x14ac:dyDescent="0.25">
      <c r="B6498" s="11" t="str">
        <f t="shared" si="2792"/>
        <v>UMBR-21MAY1899</v>
      </c>
      <c r="C6498" s="11" t="s">
        <v>3208</v>
      </c>
      <c r="D6498" s="11" t="s">
        <v>2097</v>
      </c>
      <c r="E6498" s="39" t="s">
        <v>6038</v>
      </c>
      <c r="F6498" s="11" t="s">
        <v>1700</v>
      </c>
      <c r="G6498" s="39" t="s">
        <v>6039</v>
      </c>
      <c r="H6498" s="7">
        <v>0</v>
      </c>
      <c r="I6498" s="7">
        <v>0</v>
      </c>
      <c r="J6498" s="17">
        <v>4</v>
      </c>
      <c r="K6498" s="17"/>
      <c r="L6498" s="7">
        <f t="shared" si="2793"/>
        <v>4</v>
      </c>
      <c r="M6498" s="8">
        <v>1</v>
      </c>
      <c r="N6498" s="8">
        <f t="shared" si="2794"/>
        <v>1</v>
      </c>
      <c r="O6498" s="11" t="s">
        <v>1702</v>
      </c>
      <c r="P6498" s="16" t="str">
        <f t="shared" si="2795"/>
        <v>21-May-1899</v>
      </c>
      <c r="R6498" s="16" t="str">
        <f t="shared" si="2796"/>
        <v>x</v>
      </c>
      <c r="S6498" s="16" t="str">
        <f t="shared" si="2796"/>
        <v>x</v>
      </c>
      <c r="U6498" s="46" t="str">
        <f t="shared" ref="U6498:X6500" si="2797">IF($O6498=U$5,$L6498,"")</f>
        <v/>
      </c>
      <c r="V6498" s="46">
        <f t="shared" si="2797"/>
        <v>4</v>
      </c>
      <c r="W6498" s="46" t="str">
        <f t="shared" si="2797"/>
        <v/>
      </c>
      <c r="X6498" s="46" t="str">
        <f t="shared" si="2797"/>
        <v/>
      </c>
    </row>
    <row r="6499" spans="2:24" x14ac:dyDescent="0.25">
      <c r="B6499" s="11" t="str">
        <f t="shared" si="2792"/>
        <v>UMBR-04JAN1903</v>
      </c>
      <c r="C6499" s="11" t="s">
        <v>3208</v>
      </c>
      <c r="D6499" s="11" t="s">
        <v>2097</v>
      </c>
      <c r="E6499" s="39" t="s">
        <v>1647</v>
      </c>
      <c r="F6499" s="11" t="s">
        <v>1700</v>
      </c>
      <c r="G6499" s="39" t="s">
        <v>5893</v>
      </c>
      <c r="H6499" s="7">
        <v>0</v>
      </c>
      <c r="I6499" s="7">
        <v>0</v>
      </c>
      <c r="J6499" s="17">
        <v>1</v>
      </c>
      <c r="K6499" s="17"/>
      <c r="L6499" s="7">
        <f t="shared" si="2793"/>
        <v>1</v>
      </c>
      <c r="M6499" s="8">
        <v>1</v>
      </c>
      <c r="N6499" s="8">
        <f t="shared" si="2794"/>
        <v>1</v>
      </c>
      <c r="O6499" s="11" t="s">
        <v>1702</v>
      </c>
      <c r="P6499" s="16" t="str">
        <f t="shared" si="2795"/>
        <v>04-Jan-1903</v>
      </c>
      <c r="R6499" s="16" t="str">
        <f t="shared" si="2796"/>
        <v>x</v>
      </c>
      <c r="S6499" s="16" t="str">
        <f t="shared" si="2796"/>
        <v>x</v>
      </c>
      <c r="U6499" s="46" t="str">
        <f t="shared" si="2797"/>
        <v/>
      </c>
      <c r="V6499" s="46">
        <f t="shared" si="2797"/>
        <v>1</v>
      </c>
      <c r="W6499" s="46" t="str">
        <f t="shared" si="2797"/>
        <v/>
      </c>
      <c r="X6499" s="46" t="str">
        <f t="shared" si="2797"/>
        <v/>
      </c>
    </row>
    <row r="6500" spans="2:24" x14ac:dyDescent="0.25">
      <c r="B6500" s="11" t="str">
        <f>CONCATENATE("UMBR","-",LEFT(P6500,2),UPPER(MID(P6500,4,3)),RIGHT(P6500,4))</f>
        <v>UMBR-30JUN1907</v>
      </c>
      <c r="C6500" s="11" t="s">
        <v>3208</v>
      </c>
      <c r="D6500" s="11" t="s">
        <v>2097</v>
      </c>
      <c r="E6500" s="39" t="s">
        <v>2726</v>
      </c>
      <c r="F6500" s="11" t="s">
        <v>1700</v>
      </c>
      <c r="G6500" s="39" t="s">
        <v>6169</v>
      </c>
      <c r="H6500" s="7">
        <v>0</v>
      </c>
      <c r="I6500" s="7">
        <v>0</v>
      </c>
      <c r="J6500" s="17">
        <v>4</v>
      </c>
      <c r="K6500" s="17"/>
      <c r="L6500" s="7">
        <f>SUM(H6500:K6500)</f>
        <v>4</v>
      </c>
      <c r="M6500" s="8">
        <v>1</v>
      </c>
      <c r="N6500" s="8">
        <f>IF(L6500&gt;0,1,"")</f>
        <v>1</v>
      </c>
      <c r="O6500" s="11" t="s">
        <v>1702</v>
      </c>
      <c r="P6500" s="16" t="str">
        <f>IF(LEN(G6500)=10,CONCATENATE("0",G6500),G6500)</f>
        <v>30-Jun-1907</v>
      </c>
      <c r="R6500" s="16" t="str">
        <f t="shared" si="2796"/>
        <v>x</v>
      </c>
      <c r="S6500" s="16" t="str">
        <f t="shared" si="2796"/>
        <v>x</v>
      </c>
      <c r="U6500" s="46" t="str">
        <f t="shared" si="2797"/>
        <v/>
      </c>
      <c r="V6500" s="46">
        <f t="shared" si="2797"/>
        <v>4</v>
      </c>
      <c r="W6500" s="46" t="str">
        <f t="shared" si="2797"/>
        <v/>
      </c>
      <c r="X6500" s="46" t="str">
        <f t="shared" si="2797"/>
        <v/>
      </c>
    </row>
    <row r="6501" spans="2:24" x14ac:dyDescent="0.25">
      <c r="N6501" s="8" t="str">
        <f>IF(R6501="x",1,"")</f>
        <v/>
      </c>
      <c r="U6501" s="46" t="str">
        <f t="shared" ref="U6501:X6504" si="2798">IF($O6501=U$5,$L6501,"")</f>
        <v/>
      </c>
      <c r="V6501" s="46" t="str">
        <f t="shared" si="2798"/>
        <v/>
      </c>
      <c r="W6501" s="46" t="str">
        <f t="shared" si="2798"/>
        <v/>
      </c>
      <c r="X6501" s="46" t="str">
        <f t="shared" si="2798"/>
        <v/>
      </c>
    </row>
    <row r="6502" spans="2:24" x14ac:dyDescent="0.25">
      <c r="B6502" s="18"/>
      <c r="C6502" s="18"/>
      <c r="D6502" s="18"/>
      <c r="E6502" s="40"/>
      <c r="F6502" s="18"/>
      <c r="G6502" s="40"/>
      <c r="H6502" s="7">
        <f t="shared" ref="H6502:N6502" si="2799">SUM(H6493:H6501)</f>
        <v>0</v>
      </c>
      <c r="I6502" s="7">
        <f t="shared" si="2799"/>
        <v>9</v>
      </c>
      <c r="J6502" s="7">
        <f>SUM(J6493:J6501)</f>
        <v>15</v>
      </c>
      <c r="K6502" s="7">
        <f t="shared" si="2799"/>
        <v>0</v>
      </c>
      <c r="L6502" s="7">
        <f t="shared" si="2799"/>
        <v>24</v>
      </c>
      <c r="M6502" s="7">
        <f t="shared" si="2799"/>
        <v>8</v>
      </c>
      <c r="N6502" s="7">
        <f t="shared" si="2799"/>
        <v>8</v>
      </c>
      <c r="O6502" s="18"/>
      <c r="P6502" s="13"/>
      <c r="Q6502" s="13"/>
      <c r="S6502" s="13"/>
      <c r="T6502" s="15"/>
      <c r="U6502" s="46" t="str">
        <f t="shared" si="2798"/>
        <v/>
      </c>
      <c r="V6502" s="46" t="str">
        <f t="shared" si="2798"/>
        <v/>
      </c>
      <c r="W6502" s="46" t="str">
        <f t="shared" si="2798"/>
        <v/>
      </c>
      <c r="X6502" s="46" t="str">
        <f t="shared" si="2798"/>
        <v/>
      </c>
    </row>
    <row r="6503" spans="2:24" x14ac:dyDescent="0.25">
      <c r="B6503" s="18"/>
      <c r="C6503" s="18"/>
      <c r="D6503" s="18"/>
      <c r="E6503" s="40"/>
      <c r="F6503" s="18"/>
      <c r="G6503" s="40"/>
      <c r="N6503" s="8" t="str">
        <f>IF(R6503="x",1,"")</f>
        <v/>
      </c>
      <c r="O6503" s="18"/>
      <c r="P6503" s="13"/>
      <c r="Q6503" s="13"/>
      <c r="R6503" s="13"/>
      <c r="S6503" s="13"/>
      <c r="T6503" s="15"/>
      <c r="U6503" s="46" t="str">
        <f t="shared" si="2798"/>
        <v/>
      </c>
      <c r="V6503" s="46" t="str">
        <f t="shared" si="2798"/>
        <v/>
      </c>
      <c r="W6503" s="46" t="str">
        <f t="shared" si="2798"/>
        <v/>
      </c>
      <c r="X6503" s="46" t="str">
        <f t="shared" si="2798"/>
        <v/>
      </c>
    </row>
    <row r="6504" spans="2:24" x14ac:dyDescent="0.25">
      <c r="B6504" s="18"/>
      <c r="C6504" s="18"/>
      <c r="D6504" s="18"/>
      <c r="E6504" s="40"/>
      <c r="F6504" s="18"/>
      <c r="G6504" s="40"/>
      <c r="N6504" s="8" t="str">
        <f>IF(R6504="x",1,"")</f>
        <v/>
      </c>
      <c r="O6504" s="18"/>
      <c r="P6504" s="13"/>
      <c r="Q6504" s="13"/>
      <c r="R6504" s="13"/>
      <c r="S6504" s="13"/>
      <c r="T6504" s="15"/>
      <c r="U6504" s="46" t="str">
        <f t="shared" si="2798"/>
        <v/>
      </c>
      <c r="V6504" s="46" t="str">
        <f t="shared" si="2798"/>
        <v/>
      </c>
      <c r="W6504" s="46" t="str">
        <f t="shared" si="2798"/>
        <v/>
      </c>
      <c r="X6504" s="46" t="str">
        <f t="shared" si="2798"/>
        <v/>
      </c>
    </row>
    <row r="6505" spans="2:24" x14ac:dyDescent="0.25">
      <c r="B6505" s="11" t="str">
        <f>CONCATENATE("UNIT","-",LEFT(P6505,2),UPPER(MID(P6505,4,3)),RIGHT(P6505,4))</f>
        <v>UNIT-25JUL1916</v>
      </c>
      <c r="C6505" s="11" t="s">
        <v>3105</v>
      </c>
      <c r="D6505" s="11" t="s">
        <v>117</v>
      </c>
      <c r="E6505" s="39" t="s">
        <v>5175</v>
      </c>
      <c r="F6505" s="11" t="s">
        <v>1700</v>
      </c>
      <c r="G6505" s="39" t="s">
        <v>5176</v>
      </c>
      <c r="H6505" s="7">
        <v>0</v>
      </c>
      <c r="I6505" s="7">
        <v>0</v>
      </c>
      <c r="J6505" s="17">
        <v>22</v>
      </c>
      <c r="K6505" s="17"/>
      <c r="L6505" s="7">
        <f>SUM(H6505:K6505)</f>
        <v>22</v>
      </c>
      <c r="M6505" s="8">
        <v>1</v>
      </c>
      <c r="N6505" s="8">
        <f>IF(L6505&gt;0,1,"")</f>
        <v>1</v>
      </c>
      <c r="O6505" s="11" t="s">
        <v>1702</v>
      </c>
      <c r="P6505" s="16" t="str">
        <f>IF(LEN(G6505)=10,CONCATENATE("0",G6505),G6505)</f>
        <v>25-Jul-1916</v>
      </c>
      <c r="R6505" s="16" t="str">
        <f t="shared" ref="R6505:S6509" si="2800">IF($L6505&gt;0,"x","")</f>
        <v>x</v>
      </c>
      <c r="S6505" s="16" t="str">
        <f t="shared" si="2800"/>
        <v>x</v>
      </c>
      <c r="U6505" s="46" t="str">
        <f t="shared" ref="U6505:X6627" si="2801">IF($O6505=U$5,$L6505,"")</f>
        <v/>
      </c>
      <c r="V6505" s="46">
        <f t="shared" si="2801"/>
        <v>22</v>
      </c>
      <c r="W6505" s="46" t="str">
        <f t="shared" si="2801"/>
        <v/>
      </c>
      <c r="X6505" s="46" t="str">
        <f t="shared" si="2801"/>
        <v/>
      </c>
    </row>
    <row r="6506" spans="2:24" x14ac:dyDescent="0.25">
      <c r="B6506" s="11" t="str">
        <f>CONCATENATE("UNIT","-",LEFT(P6506,2),UPPER(MID(P6506,4,3)),RIGHT(P6506,4))</f>
        <v>UNIT-05SEP1916</v>
      </c>
      <c r="C6506" s="11" t="s">
        <v>3105</v>
      </c>
      <c r="D6506" s="11" t="s">
        <v>117</v>
      </c>
      <c r="E6506" s="39" t="s">
        <v>4910</v>
      </c>
      <c r="F6506" s="11" t="s">
        <v>1700</v>
      </c>
      <c r="G6506" s="39" t="s">
        <v>4911</v>
      </c>
      <c r="H6506" s="7">
        <v>0</v>
      </c>
      <c r="I6506" s="7">
        <v>0</v>
      </c>
      <c r="J6506" s="17">
        <v>1</v>
      </c>
      <c r="K6506" s="17"/>
      <c r="L6506" s="7">
        <f>SUM(H6506:K6506)</f>
        <v>1</v>
      </c>
      <c r="M6506" s="8">
        <v>1</v>
      </c>
      <c r="N6506" s="8">
        <f>IF(L6506&gt;0,1,"")</f>
        <v>1</v>
      </c>
      <c r="O6506" s="11" t="s">
        <v>1702</v>
      </c>
      <c r="P6506" s="16" t="str">
        <f>IF(LEN(G6506)=10,CONCATENATE("0",G6506),G6506)</f>
        <v>05-Sep-1916</v>
      </c>
      <c r="R6506" s="16" t="str">
        <f t="shared" si="2800"/>
        <v>x</v>
      </c>
      <c r="S6506" s="16" t="str">
        <f t="shared" si="2800"/>
        <v>x</v>
      </c>
      <c r="U6506" s="46" t="str">
        <f t="shared" ref="U6506:X6508" si="2802">IF($O6506=U$5,$L6506,"")</f>
        <v/>
      </c>
      <c r="V6506" s="46">
        <f t="shared" si="2802"/>
        <v>1</v>
      </c>
      <c r="W6506" s="46" t="str">
        <f t="shared" si="2802"/>
        <v/>
      </c>
      <c r="X6506" s="46" t="str">
        <f t="shared" si="2802"/>
        <v/>
      </c>
    </row>
    <row r="6507" spans="2:24" x14ac:dyDescent="0.25">
      <c r="B6507" s="11" t="str">
        <f>CONCATENATE("UNIT","-",LEFT(P6507,2),UPPER(MID(P6507,4,3)),RIGHT(P6507,4))</f>
        <v>UNIT-30NOV1916</v>
      </c>
      <c r="C6507" s="11" t="s">
        <v>3105</v>
      </c>
      <c r="D6507" s="11" t="s">
        <v>117</v>
      </c>
      <c r="E6507" s="39" t="s">
        <v>3358</v>
      </c>
      <c r="F6507" s="11" t="s">
        <v>1700</v>
      </c>
      <c r="G6507" s="39" t="s">
        <v>3357</v>
      </c>
      <c r="H6507" s="7">
        <v>0</v>
      </c>
      <c r="I6507" s="7">
        <v>2</v>
      </c>
      <c r="J6507" s="17">
        <v>20</v>
      </c>
      <c r="K6507" s="17"/>
      <c r="L6507" s="7">
        <f>SUM(H6507:K6507)</f>
        <v>22</v>
      </c>
      <c r="M6507" s="8">
        <v>1</v>
      </c>
      <c r="N6507" s="8">
        <f>IF(L6507&gt;0,1,"")</f>
        <v>1</v>
      </c>
      <c r="O6507" s="11" t="s">
        <v>1702</v>
      </c>
      <c r="P6507" s="16" t="str">
        <f>IF(LEN(G6507)=10,CONCATENATE("0",G6507),G6507)</f>
        <v>30-Nov-1916</v>
      </c>
      <c r="R6507" s="16" t="str">
        <f t="shared" si="2800"/>
        <v>x</v>
      </c>
      <c r="S6507" s="16" t="str">
        <f t="shared" si="2800"/>
        <v>x</v>
      </c>
      <c r="U6507" s="46" t="str">
        <f t="shared" si="2802"/>
        <v/>
      </c>
      <c r="V6507" s="46">
        <f t="shared" si="2802"/>
        <v>22</v>
      </c>
      <c r="W6507" s="46" t="str">
        <f t="shared" si="2802"/>
        <v/>
      </c>
      <c r="X6507" s="46" t="str">
        <f t="shared" si="2802"/>
        <v/>
      </c>
    </row>
    <row r="6508" spans="2:24" x14ac:dyDescent="0.25">
      <c r="B6508" s="11" t="str">
        <f>CONCATENATE("UNIT","-",LEFT(P6508,2),UPPER(MID(P6508,4,3)),RIGHT(P6508,4))</f>
        <v>UNIT-04MAY1917</v>
      </c>
      <c r="C6508" s="11" t="s">
        <v>3105</v>
      </c>
      <c r="D6508" s="11" t="s">
        <v>3001</v>
      </c>
      <c r="E6508" s="39" t="s">
        <v>5734</v>
      </c>
      <c r="F6508" s="11" t="s">
        <v>1700</v>
      </c>
      <c r="G6508" s="39" t="s">
        <v>3107</v>
      </c>
      <c r="H6508" s="7">
        <v>1</v>
      </c>
      <c r="I6508" s="7">
        <v>0</v>
      </c>
      <c r="J6508" s="17">
        <v>2</v>
      </c>
      <c r="K6508" s="17"/>
      <c r="L6508" s="7">
        <f>SUM(H6508:K6508)</f>
        <v>3</v>
      </c>
      <c r="M6508" s="8">
        <v>1</v>
      </c>
      <c r="N6508" s="8">
        <f>IF(L6508&gt;0,1,"")</f>
        <v>1</v>
      </c>
      <c r="O6508" s="11" t="s">
        <v>1702</v>
      </c>
      <c r="P6508" s="16" t="str">
        <f>IF(LEN(G6508)=10,CONCATENATE("0",G6508),G6508)</f>
        <v>04-May-1917</v>
      </c>
      <c r="R6508" s="16" t="str">
        <f t="shared" si="2800"/>
        <v>x</v>
      </c>
      <c r="S6508" s="16" t="str">
        <f t="shared" si="2800"/>
        <v>x</v>
      </c>
      <c r="U6508" s="46" t="str">
        <f t="shared" si="2802"/>
        <v/>
      </c>
      <c r="V6508" s="46">
        <f t="shared" si="2802"/>
        <v>3</v>
      </c>
      <c r="W6508" s="46" t="str">
        <f t="shared" si="2802"/>
        <v/>
      </c>
      <c r="X6508" s="46" t="str">
        <f t="shared" si="2802"/>
        <v/>
      </c>
    </row>
    <row r="6509" spans="2:24" x14ac:dyDescent="0.25">
      <c r="B6509" s="11" t="str">
        <f>CONCATENATE("UNIT","-",LEFT(P6509,2),UPPER(MID(P6509,4,3)),RIGHT(P6509,4))</f>
        <v>UNIT-04MAY1917</v>
      </c>
      <c r="C6509" s="11" t="s">
        <v>3105</v>
      </c>
      <c r="D6509" s="11" t="s">
        <v>117</v>
      </c>
      <c r="E6509" s="39" t="s">
        <v>3106</v>
      </c>
      <c r="F6509" s="11" t="s">
        <v>1700</v>
      </c>
      <c r="G6509" s="39" t="s">
        <v>3107</v>
      </c>
      <c r="H6509" s="7">
        <v>0</v>
      </c>
      <c r="I6509" s="7">
        <v>0</v>
      </c>
      <c r="J6509" s="17">
        <f>37+3</f>
        <v>40</v>
      </c>
      <c r="K6509" s="17"/>
      <c r="L6509" s="7">
        <f>SUM(H6509:K6509)</f>
        <v>40</v>
      </c>
      <c r="M6509" s="8">
        <v>1</v>
      </c>
      <c r="N6509" s="8">
        <f>IF(L6509&gt;0,1,"")</f>
        <v>1</v>
      </c>
      <c r="O6509" s="11" t="s">
        <v>1702</v>
      </c>
      <c r="P6509" s="16" t="str">
        <f>IF(LEN(G6509)=10,CONCATENATE("0",G6509),G6509)</f>
        <v>04-May-1917</v>
      </c>
      <c r="R6509" s="16" t="str">
        <f t="shared" si="2800"/>
        <v>x</v>
      </c>
      <c r="S6509" s="16" t="str">
        <f t="shared" si="2800"/>
        <v>x</v>
      </c>
      <c r="U6509" s="46" t="str">
        <f t="shared" si="2801"/>
        <v/>
      </c>
      <c r="V6509" s="46">
        <f t="shared" si="2801"/>
        <v>40</v>
      </c>
      <c r="W6509" s="46" t="str">
        <f t="shared" si="2801"/>
        <v/>
      </c>
      <c r="X6509" s="46" t="str">
        <f t="shared" si="2801"/>
        <v/>
      </c>
    </row>
    <row r="6510" spans="2:24" x14ac:dyDescent="0.25">
      <c r="N6510" s="8" t="str">
        <f>IF(R6510="x",1,"")</f>
        <v/>
      </c>
      <c r="U6510" s="46" t="str">
        <f t="shared" si="2801"/>
        <v/>
      </c>
      <c r="V6510" s="46" t="str">
        <f t="shared" si="2801"/>
        <v/>
      </c>
      <c r="W6510" s="46" t="str">
        <f t="shared" si="2801"/>
        <v/>
      </c>
      <c r="X6510" s="46" t="str">
        <f t="shared" si="2801"/>
        <v/>
      </c>
    </row>
    <row r="6511" spans="2:24" x14ac:dyDescent="0.25">
      <c r="B6511" s="18"/>
      <c r="C6511" s="18"/>
      <c r="D6511" s="18"/>
      <c r="E6511" s="40"/>
      <c r="F6511" s="18"/>
      <c r="G6511" s="40"/>
      <c r="H6511" s="7">
        <f t="shared" ref="H6511:N6511" si="2803">SUM(H6505:H6510)</f>
        <v>1</v>
      </c>
      <c r="I6511" s="7">
        <f t="shared" si="2803"/>
        <v>2</v>
      </c>
      <c r="J6511" s="7">
        <f>SUM(J6505:J6510)</f>
        <v>85</v>
      </c>
      <c r="K6511" s="7">
        <f t="shared" si="2803"/>
        <v>0</v>
      </c>
      <c r="L6511" s="7">
        <f t="shared" si="2803"/>
        <v>88</v>
      </c>
      <c r="M6511" s="7">
        <f t="shared" si="2803"/>
        <v>5</v>
      </c>
      <c r="N6511" s="7">
        <f t="shared" si="2803"/>
        <v>5</v>
      </c>
      <c r="O6511" s="18"/>
      <c r="P6511" s="13"/>
      <c r="Q6511" s="13"/>
      <c r="S6511" s="13"/>
      <c r="T6511" s="15"/>
      <c r="U6511" s="46" t="str">
        <f t="shared" si="2801"/>
        <v/>
      </c>
      <c r="V6511" s="46" t="str">
        <f t="shared" si="2801"/>
        <v/>
      </c>
      <c r="W6511" s="46" t="str">
        <f t="shared" si="2801"/>
        <v/>
      </c>
      <c r="X6511" s="46" t="str">
        <f t="shared" si="2801"/>
        <v/>
      </c>
    </row>
    <row r="6512" spans="2:24" x14ac:dyDescent="0.25">
      <c r="B6512" s="18"/>
      <c r="C6512" s="18"/>
      <c r="D6512" s="18"/>
      <c r="E6512" s="40"/>
      <c r="F6512" s="18"/>
      <c r="G6512" s="40"/>
      <c r="N6512" s="8" t="str">
        <f>IF(R6512="x",1,"")</f>
        <v/>
      </c>
      <c r="O6512" s="18"/>
      <c r="P6512" s="13"/>
      <c r="Q6512" s="13"/>
      <c r="R6512" s="13"/>
      <c r="S6512" s="13"/>
      <c r="T6512" s="15"/>
      <c r="U6512" s="46" t="str">
        <f t="shared" si="2801"/>
        <v/>
      </c>
      <c r="V6512" s="46" t="str">
        <f t="shared" si="2801"/>
        <v/>
      </c>
      <c r="W6512" s="46" t="str">
        <f t="shared" si="2801"/>
        <v/>
      </c>
      <c r="X6512" s="46" t="str">
        <f t="shared" si="2801"/>
        <v/>
      </c>
    </row>
    <row r="6513" spans="2:26" x14ac:dyDescent="0.25">
      <c r="B6513" s="18"/>
      <c r="C6513" s="18"/>
      <c r="D6513" s="18"/>
      <c r="E6513" s="40"/>
      <c r="F6513" s="18"/>
      <c r="G6513" s="40"/>
      <c r="N6513" s="8" t="str">
        <f>IF(R6513="x",1,"")</f>
        <v/>
      </c>
      <c r="O6513" s="18"/>
      <c r="P6513" s="13"/>
      <c r="Q6513" s="13"/>
      <c r="R6513" s="13"/>
      <c r="S6513" s="13"/>
      <c r="T6513" s="15"/>
      <c r="U6513" s="46" t="str">
        <f t="shared" si="2801"/>
        <v/>
      </c>
      <c r="V6513" s="46" t="str">
        <f t="shared" si="2801"/>
        <v/>
      </c>
      <c r="W6513" s="46" t="str">
        <f t="shared" si="2801"/>
        <v/>
      </c>
      <c r="X6513" s="46" t="str">
        <f t="shared" si="2801"/>
        <v/>
      </c>
    </row>
    <row r="6514" spans="2:26" x14ac:dyDescent="0.25">
      <c r="B6514" s="11" t="str">
        <f>CONCATENATE("UNKN","-",LEFT(P6514,2),UPPER(MID(P6514,4,3)),RIGHT(P6514,4))</f>
        <v>UNKN-24DEC1906</v>
      </c>
      <c r="C6514" s="11" t="s">
        <v>3399</v>
      </c>
      <c r="F6514" s="11" t="s">
        <v>211</v>
      </c>
      <c r="G6514" s="39" t="s">
        <v>3400</v>
      </c>
      <c r="J6514" s="17">
        <v>4</v>
      </c>
      <c r="K6514" s="17"/>
      <c r="L6514" s="7">
        <f>SUM(H6514:K6514)</f>
        <v>4</v>
      </c>
      <c r="M6514" s="8">
        <v>1</v>
      </c>
      <c r="N6514" s="8">
        <f>IF(L6514&gt;0,1,"")</f>
        <v>1</v>
      </c>
      <c r="O6514" s="11" t="s">
        <v>1702</v>
      </c>
      <c r="P6514" s="16" t="str">
        <f>IF(LEN(G6514)=10,CONCATENATE("0",G6514),G6514)</f>
        <v>24-Dec-1906</v>
      </c>
      <c r="R6514" s="16" t="str">
        <f>IF($L6514&gt;0,"x","")</f>
        <v>x</v>
      </c>
      <c r="S6514" s="16" t="str">
        <f>IF($L6514&gt;0,"x","")</f>
        <v>x</v>
      </c>
      <c r="U6514" s="46" t="str">
        <f t="shared" si="2801"/>
        <v/>
      </c>
      <c r="V6514" s="46">
        <f t="shared" si="2801"/>
        <v>4</v>
      </c>
      <c r="W6514" s="46" t="str">
        <f t="shared" si="2801"/>
        <v/>
      </c>
      <c r="X6514" s="46" t="str">
        <f t="shared" si="2801"/>
        <v/>
      </c>
    </row>
    <row r="6515" spans="2:26" x14ac:dyDescent="0.25">
      <c r="N6515" s="8" t="str">
        <f>IF(R6515="x",1,"")</f>
        <v/>
      </c>
      <c r="U6515" s="46" t="str">
        <f t="shared" si="2801"/>
        <v/>
      </c>
      <c r="V6515" s="46" t="str">
        <f t="shared" si="2801"/>
        <v/>
      </c>
      <c r="W6515" s="46" t="str">
        <f t="shared" si="2801"/>
        <v/>
      </c>
      <c r="X6515" s="46" t="str">
        <f t="shared" si="2801"/>
        <v/>
      </c>
    </row>
    <row r="6516" spans="2:26" x14ac:dyDescent="0.25">
      <c r="B6516" s="18"/>
      <c r="C6516" s="18"/>
      <c r="D6516" s="18"/>
      <c r="E6516" s="40"/>
      <c r="F6516" s="18"/>
      <c r="G6516" s="40"/>
      <c r="H6516" s="7">
        <f t="shared" ref="H6516:N6516" si="2804">SUM(H6514:H6515)</f>
        <v>0</v>
      </c>
      <c r="I6516" s="7">
        <f t="shared" si="2804"/>
        <v>0</v>
      </c>
      <c r="J6516" s="7">
        <f>SUM(J6514:J6515)</f>
        <v>4</v>
      </c>
      <c r="K6516" s="7">
        <f t="shared" si="2804"/>
        <v>0</v>
      </c>
      <c r="L6516" s="7">
        <f t="shared" si="2804"/>
        <v>4</v>
      </c>
      <c r="M6516" s="7">
        <f t="shared" si="2804"/>
        <v>1</v>
      </c>
      <c r="N6516" s="7">
        <f t="shared" si="2804"/>
        <v>1</v>
      </c>
      <c r="O6516" s="18"/>
      <c r="P6516" s="13"/>
      <c r="Q6516" s="13"/>
      <c r="S6516" s="13"/>
      <c r="T6516" s="15"/>
      <c r="U6516" s="46" t="str">
        <f t="shared" si="2801"/>
        <v/>
      </c>
      <c r="V6516" s="46" t="str">
        <f t="shared" si="2801"/>
        <v/>
      </c>
      <c r="W6516" s="46" t="str">
        <f t="shared" si="2801"/>
        <v/>
      </c>
      <c r="X6516" s="46" t="str">
        <f t="shared" si="2801"/>
        <v/>
      </c>
    </row>
    <row r="6517" spans="2:26" x14ac:dyDescent="0.25">
      <c r="B6517" s="18"/>
      <c r="C6517" s="18"/>
      <c r="D6517" s="18"/>
      <c r="E6517" s="40"/>
      <c r="F6517" s="18"/>
      <c r="G6517" s="40"/>
      <c r="N6517" s="8" t="str">
        <f>IF(R6517="x",1,"")</f>
        <v/>
      </c>
      <c r="O6517" s="18"/>
      <c r="P6517" s="13"/>
      <c r="Q6517" s="13"/>
      <c r="R6517" s="13"/>
      <c r="S6517" s="13"/>
      <c r="T6517" s="15"/>
      <c r="U6517" s="46" t="str">
        <f t="shared" si="2801"/>
        <v/>
      </c>
      <c r="V6517" s="46" t="str">
        <f t="shared" si="2801"/>
        <v/>
      </c>
      <c r="W6517" s="46" t="str">
        <f t="shared" si="2801"/>
        <v/>
      </c>
      <c r="X6517" s="46" t="str">
        <f t="shared" si="2801"/>
        <v/>
      </c>
    </row>
    <row r="6518" spans="2:26" x14ac:dyDescent="0.25">
      <c r="B6518" s="18"/>
      <c r="C6518" s="18"/>
      <c r="D6518" s="18"/>
      <c r="E6518" s="40"/>
      <c r="F6518" s="18"/>
      <c r="G6518" s="40"/>
      <c r="N6518" s="8" t="str">
        <f>IF(R6518="x",1,"")</f>
        <v/>
      </c>
      <c r="O6518" s="18"/>
      <c r="P6518" s="13"/>
      <c r="Q6518" s="13"/>
      <c r="R6518" s="13"/>
      <c r="S6518" s="13"/>
      <c r="T6518" s="15"/>
      <c r="U6518" s="46" t="str">
        <f t="shared" si="2801"/>
        <v/>
      </c>
      <c r="V6518" s="46" t="str">
        <f t="shared" si="2801"/>
        <v/>
      </c>
      <c r="W6518" s="46" t="str">
        <f t="shared" si="2801"/>
        <v/>
      </c>
      <c r="X6518" s="46" t="str">
        <f t="shared" si="2801"/>
        <v/>
      </c>
    </row>
    <row r="6519" spans="2:26" x14ac:dyDescent="0.25">
      <c r="B6519" s="11" t="str">
        <f t="shared" ref="B6519:B6527" si="2805">CONCATENATE("URAN","-",LEFT(P6519,2),UPPER(MID(P6519,4,3)),RIGHT(P6519,4))</f>
        <v>URAN-16APR1909</v>
      </c>
      <c r="C6519" s="11" t="s">
        <v>2913</v>
      </c>
      <c r="D6519" s="11" t="s">
        <v>2097</v>
      </c>
      <c r="E6519" s="39" t="s">
        <v>2669</v>
      </c>
      <c r="F6519" s="11" t="s">
        <v>2904</v>
      </c>
      <c r="G6519" s="39" t="s">
        <v>2940</v>
      </c>
      <c r="J6519" s="17">
        <f>23+1</f>
        <v>24</v>
      </c>
      <c r="K6519" s="17"/>
      <c r="L6519" s="7">
        <f t="shared" ref="L6519:L6527" si="2806">SUM(H6519:K6519)</f>
        <v>24</v>
      </c>
      <c r="M6519" s="8">
        <v>1</v>
      </c>
      <c r="N6519" s="8">
        <f t="shared" ref="N6519:N6527" si="2807">IF(L6519&gt;0,1,"")</f>
        <v>1</v>
      </c>
      <c r="O6519" s="11" t="s">
        <v>1702</v>
      </c>
      <c r="P6519" s="16" t="str">
        <f t="shared" ref="P6519:P6527" si="2808">IF(LEN(G6519)=10,CONCATENATE("0",G6519),G6519)</f>
        <v>16-Apr-1909</v>
      </c>
      <c r="R6519" s="16" t="str">
        <f t="shared" ref="R6519:S6527" si="2809">IF($L6519&gt;0,"x","")</f>
        <v>x</v>
      </c>
      <c r="S6519" s="16" t="str">
        <f t="shared" si="2809"/>
        <v>x</v>
      </c>
      <c r="U6519" s="46" t="str">
        <f t="shared" si="2801"/>
        <v/>
      </c>
      <c r="V6519" s="46">
        <f t="shared" si="2801"/>
        <v>24</v>
      </c>
      <c r="W6519" s="46" t="str">
        <f t="shared" si="2801"/>
        <v/>
      </c>
      <c r="X6519" s="46" t="str">
        <f t="shared" si="2801"/>
        <v/>
      </c>
    </row>
    <row r="6520" spans="2:26" x14ac:dyDescent="0.25">
      <c r="B6520" s="11" t="str">
        <f>CONCATENATE("URAN","-",LEFT(P6520,2),UPPER(MID(P6520,4,3)),RIGHT(P6520,4))</f>
        <v>URAN-29MAY1909</v>
      </c>
      <c r="C6520" s="11" t="s">
        <v>2913</v>
      </c>
      <c r="D6520" s="11" t="s">
        <v>3462</v>
      </c>
      <c r="E6520" s="39" t="s">
        <v>2737</v>
      </c>
      <c r="F6520" s="11" t="s">
        <v>2904</v>
      </c>
      <c r="G6520" s="39" t="s">
        <v>1239</v>
      </c>
      <c r="J6520" s="17">
        <v>34</v>
      </c>
      <c r="K6520" s="17"/>
      <c r="L6520" s="7">
        <f>SUM(H6520:K6520)</f>
        <v>34</v>
      </c>
      <c r="M6520" s="8">
        <v>1</v>
      </c>
      <c r="N6520" s="8">
        <f>IF(L6520&gt;0,1,"")</f>
        <v>1</v>
      </c>
      <c r="O6520" s="11" t="s">
        <v>1702</v>
      </c>
      <c r="P6520" s="16" t="str">
        <f>IF(LEN(G6520)=10,CONCATENATE("0",G6520),G6520)</f>
        <v>29-May-1909</v>
      </c>
      <c r="R6520" s="16" t="str">
        <f t="shared" si="2809"/>
        <v>x</v>
      </c>
      <c r="S6520" s="16" t="str">
        <f t="shared" si="2809"/>
        <v>x</v>
      </c>
      <c r="U6520" s="46" t="str">
        <f t="shared" ref="U6520:X6522" si="2810">IF($O6520=U$5,$L6520,"")</f>
        <v/>
      </c>
      <c r="V6520" s="46">
        <f t="shared" si="2810"/>
        <v>34</v>
      </c>
      <c r="W6520" s="46" t="str">
        <f t="shared" si="2810"/>
        <v/>
      </c>
      <c r="X6520" s="46" t="str">
        <f t="shared" si="2810"/>
        <v/>
      </c>
      <c r="Z6520" s="11" t="s">
        <v>3977</v>
      </c>
    </row>
    <row r="6521" spans="2:26" x14ac:dyDescent="0.25">
      <c r="B6521" s="11" t="str">
        <f>CONCATENATE("URAN","-",LEFT(P6521,2),UPPER(MID(P6521,4,3)),RIGHT(P6521,4))</f>
        <v>URAN-14JUL1909</v>
      </c>
      <c r="C6521" s="11" t="s">
        <v>2913</v>
      </c>
      <c r="D6521" s="11" t="s">
        <v>3462</v>
      </c>
      <c r="E6521" s="39" t="s">
        <v>1839</v>
      </c>
      <c r="F6521" s="11" t="s">
        <v>2904</v>
      </c>
      <c r="G6521" s="39" t="s">
        <v>4892</v>
      </c>
      <c r="I6521" s="7">
        <v>3</v>
      </c>
      <c r="J6521" s="17">
        <f>47+1</f>
        <v>48</v>
      </c>
      <c r="K6521" s="17"/>
      <c r="L6521" s="7">
        <f>SUM(H6521:K6521)</f>
        <v>51</v>
      </c>
      <c r="M6521" s="8">
        <v>1</v>
      </c>
      <c r="N6521" s="8">
        <f>IF(L6521&gt;0,1,"")</f>
        <v>1</v>
      </c>
      <c r="O6521" s="11" t="s">
        <v>1702</v>
      </c>
      <c r="P6521" s="16" t="str">
        <f>IF(LEN(G6521)=10,CONCATENATE("0",G6521),G6521)</f>
        <v>14-Jul-1909</v>
      </c>
      <c r="R6521" s="16" t="str">
        <f t="shared" si="2809"/>
        <v>x</v>
      </c>
      <c r="S6521" s="16" t="str">
        <f t="shared" si="2809"/>
        <v>x</v>
      </c>
      <c r="U6521" s="46" t="str">
        <f t="shared" si="2810"/>
        <v/>
      </c>
      <c r="V6521" s="46">
        <f t="shared" si="2810"/>
        <v>51</v>
      </c>
      <c r="W6521" s="46" t="str">
        <f t="shared" si="2810"/>
        <v/>
      </c>
      <c r="X6521" s="46" t="str">
        <f t="shared" si="2810"/>
        <v/>
      </c>
      <c r="Z6521" s="11" t="s">
        <v>3977</v>
      </c>
    </row>
    <row r="6522" spans="2:26" x14ac:dyDescent="0.25">
      <c r="B6522" s="11" t="str">
        <f>CONCATENATE("URAN","-",LEFT(P6522,2),UPPER(MID(P6522,4,3)),RIGHT(P6522,4))</f>
        <v>URAN-30AUG1909</v>
      </c>
      <c r="C6522" s="11" t="s">
        <v>2913</v>
      </c>
      <c r="D6522" s="11" t="s">
        <v>3462</v>
      </c>
      <c r="E6522" s="39" t="s">
        <v>5327</v>
      </c>
      <c r="F6522" s="11" t="s">
        <v>2904</v>
      </c>
      <c r="G6522" s="39" t="s">
        <v>1844</v>
      </c>
      <c r="J6522" s="17">
        <v>49</v>
      </c>
      <c r="K6522" s="17"/>
      <c r="L6522" s="7">
        <f>SUM(H6522:K6522)</f>
        <v>49</v>
      </c>
      <c r="M6522" s="8">
        <v>1</v>
      </c>
      <c r="N6522" s="8">
        <f>IF(L6522&gt;0,1,"")</f>
        <v>1</v>
      </c>
      <c r="O6522" s="11" t="s">
        <v>1702</v>
      </c>
      <c r="P6522" s="16" t="str">
        <f>IF(LEN(G6522)=10,CONCATENATE("0",G6522),G6522)</f>
        <v>30-Aug-1909</v>
      </c>
      <c r="R6522" s="16" t="str">
        <f>IF($L6522&gt;0,"x","")</f>
        <v>x</v>
      </c>
      <c r="S6522" s="16" t="str">
        <f>IF($L6522&gt;0,"x","")</f>
        <v>x</v>
      </c>
      <c r="U6522" s="46" t="str">
        <f t="shared" si="2810"/>
        <v/>
      </c>
      <c r="V6522" s="46">
        <f t="shared" si="2810"/>
        <v>49</v>
      </c>
      <c r="W6522" s="46" t="str">
        <f t="shared" si="2810"/>
        <v/>
      </c>
      <c r="X6522" s="46" t="str">
        <f t="shared" si="2810"/>
        <v/>
      </c>
      <c r="Z6522" s="11" t="s">
        <v>3977</v>
      </c>
    </row>
    <row r="6523" spans="2:26" x14ac:dyDescent="0.25">
      <c r="B6523" s="11" t="str">
        <f t="shared" si="2805"/>
        <v>URAN-23NOV1909</v>
      </c>
      <c r="C6523" s="11" t="s">
        <v>2913</v>
      </c>
      <c r="D6523" s="11" t="s">
        <v>2097</v>
      </c>
      <c r="E6523" s="39" t="s">
        <v>3529</v>
      </c>
      <c r="F6523" s="11" t="s">
        <v>2904</v>
      </c>
      <c r="G6523" s="39" t="s">
        <v>3528</v>
      </c>
      <c r="I6523" s="7">
        <v>6</v>
      </c>
      <c r="J6523" s="17">
        <f>84+5</f>
        <v>89</v>
      </c>
      <c r="K6523" s="17"/>
      <c r="L6523" s="7">
        <f t="shared" si="2806"/>
        <v>95</v>
      </c>
      <c r="M6523" s="8">
        <v>1</v>
      </c>
      <c r="N6523" s="8">
        <f t="shared" si="2807"/>
        <v>1</v>
      </c>
      <c r="O6523" s="11" t="s">
        <v>1702</v>
      </c>
      <c r="P6523" s="16" t="str">
        <f t="shared" si="2808"/>
        <v>23-Nov-1909</v>
      </c>
      <c r="R6523" s="16" t="str">
        <f t="shared" si="2809"/>
        <v>x</v>
      </c>
      <c r="S6523" s="16" t="str">
        <f t="shared" si="2809"/>
        <v>x</v>
      </c>
      <c r="U6523" s="46" t="str">
        <f t="shared" si="2801"/>
        <v/>
      </c>
      <c r="V6523" s="46">
        <f t="shared" si="2801"/>
        <v>95</v>
      </c>
      <c r="W6523" s="46" t="str">
        <f t="shared" si="2801"/>
        <v/>
      </c>
      <c r="X6523" s="46" t="str">
        <f t="shared" si="2801"/>
        <v/>
      </c>
    </row>
    <row r="6524" spans="2:26" x14ac:dyDescent="0.25">
      <c r="B6524" s="11" t="str">
        <f t="shared" si="2805"/>
        <v>URAN-08JAN1910</v>
      </c>
      <c r="C6524" s="11" t="s">
        <v>2913</v>
      </c>
      <c r="D6524" s="11" t="s">
        <v>2097</v>
      </c>
      <c r="E6524" s="39" t="s">
        <v>2914</v>
      </c>
      <c r="F6524" s="11" t="s">
        <v>2904</v>
      </c>
      <c r="G6524" s="39" t="s">
        <v>2326</v>
      </c>
      <c r="I6524" s="7">
        <v>5</v>
      </c>
      <c r="J6524" s="17">
        <f>27+3</f>
        <v>30</v>
      </c>
      <c r="K6524" s="17"/>
      <c r="L6524" s="7">
        <f t="shared" si="2806"/>
        <v>35</v>
      </c>
      <c r="M6524" s="8">
        <v>1</v>
      </c>
      <c r="N6524" s="8">
        <f t="shared" si="2807"/>
        <v>1</v>
      </c>
      <c r="O6524" s="11" t="s">
        <v>1702</v>
      </c>
      <c r="P6524" s="16" t="str">
        <f t="shared" si="2808"/>
        <v>08-Jan-1910</v>
      </c>
      <c r="R6524" s="16" t="str">
        <f t="shared" si="2809"/>
        <v>x</v>
      </c>
      <c r="S6524" s="16" t="str">
        <f t="shared" si="2809"/>
        <v>x</v>
      </c>
      <c r="U6524" s="46" t="str">
        <f t="shared" si="2801"/>
        <v/>
      </c>
      <c r="V6524" s="46">
        <f t="shared" si="2801"/>
        <v>35</v>
      </c>
      <c r="W6524" s="46" t="str">
        <f t="shared" si="2801"/>
        <v/>
      </c>
      <c r="X6524" s="46" t="str">
        <f t="shared" si="2801"/>
        <v/>
      </c>
    </row>
    <row r="6525" spans="2:26" x14ac:dyDescent="0.25">
      <c r="B6525" s="11" t="str">
        <f t="shared" si="2805"/>
        <v>URAN-14JUN1910</v>
      </c>
      <c r="C6525" s="11" t="s">
        <v>2913</v>
      </c>
      <c r="D6525" s="11" t="s">
        <v>2097</v>
      </c>
      <c r="E6525" s="39" t="s">
        <v>1250</v>
      </c>
      <c r="F6525" s="11" t="s">
        <v>2904</v>
      </c>
      <c r="G6525" s="39" t="s">
        <v>3175</v>
      </c>
      <c r="J6525" s="17">
        <v>45</v>
      </c>
      <c r="K6525" s="17"/>
      <c r="L6525" s="7">
        <f t="shared" si="2806"/>
        <v>45</v>
      </c>
      <c r="M6525" s="8">
        <v>1</v>
      </c>
      <c r="N6525" s="8">
        <f t="shared" si="2807"/>
        <v>1</v>
      </c>
      <c r="O6525" s="11" t="s">
        <v>1702</v>
      </c>
      <c r="P6525" s="16" t="str">
        <f t="shared" si="2808"/>
        <v>14-Jun-1910</v>
      </c>
      <c r="R6525" s="16" t="str">
        <f t="shared" si="2809"/>
        <v>x</v>
      </c>
      <c r="S6525" s="16" t="str">
        <f t="shared" si="2809"/>
        <v>x</v>
      </c>
      <c r="U6525" s="46" t="str">
        <f t="shared" si="2801"/>
        <v/>
      </c>
      <c r="V6525" s="46">
        <f t="shared" si="2801"/>
        <v>45</v>
      </c>
      <c r="W6525" s="46" t="str">
        <f t="shared" si="2801"/>
        <v/>
      </c>
      <c r="X6525" s="46" t="str">
        <f t="shared" si="2801"/>
        <v/>
      </c>
    </row>
    <row r="6526" spans="2:26" x14ac:dyDescent="0.25">
      <c r="B6526" s="11" t="str">
        <f t="shared" si="2805"/>
        <v>URAN-23JUL1910</v>
      </c>
      <c r="C6526" s="11" t="s">
        <v>2913</v>
      </c>
      <c r="D6526" s="11" t="s">
        <v>3462</v>
      </c>
      <c r="E6526" s="39" t="s">
        <v>3976</v>
      </c>
      <c r="F6526" s="11" t="s">
        <v>2904</v>
      </c>
      <c r="G6526" s="39" t="s">
        <v>1861</v>
      </c>
      <c r="I6526" s="7">
        <v>0</v>
      </c>
      <c r="J6526" s="17">
        <f>25+2</f>
        <v>27</v>
      </c>
      <c r="K6526" s="17"/>
      <c r="L6526" s="7">
        <f t="shared" si="2806"/>
        <v>27</v>
      </c>
      <c r="M6526" s="8">
        <v>1</v>
      </c>
      <c r="N6526" s="8">
        <f t="shared" si="2807"/>
        <v>1</v>
      </c>
      <c r="O6526" s="11" t="s">
        <v>1702</v>
      </c>
      <c r="P6526" s="16" t="str">
        <f t="shared" si="2808"/>
        <v>23-Jul-1910</v>
      </c>
      <c r="R6526" s="16" t="str">
        <f t="shared" si="2809"/>
        <v>x</v>
      </c>
      <c r="S6526" s="16" t="str">
        <f t="shared" si="2809"/>
        <v>x</v>
      </c>
      <c r="U6526" s="46" t="str">
        <f t="shared" si="2801"/>
        <v/>
      </c>
      <c r="V6526" s="46">
        <f t="shared" si="2801"/>
        <v>27</v>
      </c>
      <c r="W6526" s="46" t="str">
        <f t="shared" si="2801"/>
        <v/>
      </c>
      <c r="X6526" s="46" t="str">
        <f t="shared" si="2801"/>
        <v/>
      </c>
      <c r="Z6526" s="11" t="s">
        <v>3977</v>
      </c>
    </row>
    <row r="6527" spans="2:26" x14ac:dyDescent="0.25">
      <c r="B6527" s="11" t="str">
        <f t="shared" si="2805"/>
        <v>URAN-06SEP1910</v>
      </c>
      <c r="C6527" s="11" t="s">
        <v>2913</v>
      </c>
      <c r="D6527" s="11" t="s">
        <v>3462</v>
      </c>
      <c r="E6527" s="39" t="s">
        <v>3638</v>
      </c>
      <c r="F6527" s="11" t="s">
        <v>1700</v>
      </c>
      <c r="G6527" s="39" t="s">
        <v>3637</v>
      </c>
      <c r="H6527" s="7">
        <v>0</v>
      </c>
      <c r="I6527" s="7">
        <v>1</v>
      </c>
      <c r="J6527" s="17">
        <v>0</v>
      </c>
      <c r="K6527" s="17"/>
      <c r="L6527" s="7">
        <f t="shared" si="2806"/>
        <v>1</v>
      </c>
      <c r="M6527" s="8">
        <v>1</v>
      </c>
      <c r="N6527" s="8">
        <f t="shared" si="2807"/>
        <v>1</v>
      </c>
      <c r="O6527" s="11" t="s">
        <v>1702</v>
      </c>
      <c r="P6527" s="16" t="str">
        <f t="shared" si="2808"/>
        <v>06-Sep-1910</v>
      </c>
      <c r="R6527" s="16" t="str">
        <f t="shared" si="2809"/>
        <v>x</v>
      </c>
      <c r="S6527" s="16" t="str">
        <f t="shared" si="2809"/>
        <v>x</v>
      </c>
      <c r="U6527" s="46" t="str">
        <f t="shared" si="2801"/>
        <v/>
      </c>
      <c r="V6527" s="46">
        <f t="shared" si="2801"/>
        <v>1</v>
      </c>
      <c r="W6527" s="46" t="str">
        <f t="shared" si="2801"/>
        <v/>
      </c>
      <c r="X6527" s="46" t="str">
        <f t="shared" si="2801"/>
        <v/>
      </c>
    </row>
    <row r="6528" spans="2:26" x14ac:dyDescent="0.25">
      <c r="N6528" s="8" t="str">
        <f>IF(R6528="x",1,"")</f>
        <v/>
      </c>
      <c r="U6528" s="46" t="str">
        <f t="shared" si="2801"/>
        <v/>
      </c>
      <c r="V6528" s="46" t="str">
        <f t="shared" si="2801"/>
        <v/>
      </c>
      <c r="W6528" s="46" t="str">
        <f t="shared" si="2801"/>
        <v/>
      </c>
      <c r="X6528" s="46" t="str">
        <f t="shared" si="2801"/>
        <v/>
      </c>
    </row>
    <row r="6529" spans="2:24" x14ac:dyDescent="0.25">
      <c r="B6529" s="18"/>
      <c r="C6529" s="18"/>
      <c r="D6529" s="18"/>
      <c r="E6529" s="40"/>
      <c r="F6529" s="18"/>
      <c r="G6529" s="40"/>
      <c r="H6529" s="7">
        <f t="shared" ref="H6529:N6529" si="2811">SUM(H6519:H6528)</f>
        <v>0</v>
      </c>
      <c r="I6529" s="7">
        <f t="shared" si="2811"/>
        <v>15</v>
      </c>
      <c r="J6529" s="7">
        <f>SUM(J6519:J6528)</f>
        <v>346</v>
      </c>
      <c r="K6529" s="7">
        <f t="shared" si="2811"/>
        <v>0</v>
      </c>
      <c r="L6529" s="7">
        <f t="shared" si="2811"/>
        <v>361</v>
      </c>
      <c r="M6529" s="7">
        <f t="shared" si="2811"/>
        <v>9</v>
      </c>
      <c r="N6529" s="7">
        <f t="shared" si="2811"/>
        <v>9</v>
      </c>
      <c r="O6529" s="18"/>
      <c r="P6529" s="13"/>
      <c r="Q6529" s="13"/>
      <c r="S6529" s="13"/>
      <c r="T6529" s="15"/>
      <c r="U6529" s="46" t="str">
        <f t="shared" si="2801"/>
        <v/>
      </c>
      <c r="V6529" s="46" t="str">
        <f t="shared" si="2801"/>
        <v/>
      </c>
      <c r="W6529" s="46" t="str">
        <f t="shared" si="2801"/>
        <v/>
      </c>
      <c r="X6529" s="46" t="str">
        <f t="shared" si="2801"/>
        <v/>
      </c>
    </row>
    <row r="6530" spans="2:24" x14ac:dyDescent="0.25">
      <c r="B6530" s="18"/>
      <c r="C6530" s="18"/>
      <c r="D6530" s="18"/>
      <c r="E6530" s="40"/>
      <c r="F6530" s="18"/>
      <c r="G6530" s="40"/>
      <c r="N6530" s="8" t="str">
        <f>IF(R6530="x",1,"")</f>
        <v/>
      </c>
      <c r="O6530" s="18"/>
      <c r="P6530" s="13"/>
      <c r="Q6530" s="13"/>
      <c r="R6530" s="13"/>
      <c r="S6530" s="13"/>
      <c r="T6530" s="15"/>
      <c r="U6530" s="46" t="str">
        <f t="shared" si="2801"/>
        <v/>
      </c>
      <c r="V6530" s="46" t="str">
        <f t="shared" si="2801"/>
        <v/>
      </c>
      <c r="W6530" s="46" t="str">
        <f t="shared" si="2801"/>
        <v/>
      </c>
      <c r="X6530" s="46" t="str">
        <f t="shared" si="2801"/>
        <v/>
      </c>
    </row>
    <row r="6531" spans="2:24" x14ac:dyDescent="0.25">
      <c r="B6531" s="18"/>
      <c r="C6531" s="18"/>
      <c r="D6531" s="18"/>
      <c r="E6531" s="40"/>
      <c r="F6531" s="18"/>
      <c r="G6531" s="40"/>
      <c r="N6531" s="8" t="str">
        <f>IF(R6531="x",1,"")</f>
        <v/>
      </c>
      <c r="O6531" s="18"/>
      <c r="P6531" s="13"/>
      <c r="Q6531" s="13"/>
      <c r="R6531" s="13"/>
      <c r="S6531" s="13"/>
      <c r="T6531" s="15"/>
      <c r="U6531" s="46" t="str">
        <f t="shared" si="2801"/>
        <v/>
      </c>
      <c r="V6531" s="46" t="str">
        <f t="shared" si="2801"/>
        <v/>
      </c>
      <c r="W6531" s="46" t="str">
        <f t="shared" si="2801"/>
        <v/>
      </c>
      <c r="X6531" s="46" t="str">
        <f t="shared" si="2801"/>
        <v/>
      </c>
    </row>
    <row r="6532" spans="2:24" x14ac:dyDescent="0.25">
      <c r="B6532" s="11" t="str">
        <f>CONCATENATE("VADE","-",LEFT(P6532,2),UPPER(MID(P6532,4,3)),RIGHT(P6532,4))</f>
        <v>VADE-12NOV1901</v>
      </c>
      <c r="C6532" s="11" t="s">
        <v>4401</v>
      </c>
      <c r="D6532" s="11" t="s">
        <v>2814</v>
      </c>
      <c r="E6532" s="39" t="s">
        <v>1368</v>
      </c>
      <c r="F6532" s="11" t="s">
        <v>4980</v>
      </c>
      <c r="G6532" s="39" t="s">
        <v>5036</v>
      </c>
      <c r="J6532" s="17">
        <v>2</v>
      </c>
      <c r="K6532" s="17"/>
      <c r="L6532" s="7">
        <f>SUM(H6532:K6532)</f>
        <v>2</v>
      </c>
      <c r="M6532" s="8">
        <v>1</v>
      </c>
      <c r="N6532" s="8">
        <f>IF(L6532&gt;0,1,"")</f>
        <v>1</v>
      </c>
      <c r="O6532" s="11" t="s">
        <v>1702</v>
      </c>
      <c r="P6532" s="16" t="str">
        <f>IF(LEN(G6532)=10,CONCATENATE("0",G6532),G6532)</f>
        <v>12-Nov-1901</v>
      </c>
      <c r="R6532" s="16" t="str">
        <f t="shared" ref="R6532:S6535" si="2812">IF($L6532&gt;0,"x","")</f>
        <v>x</v>
      </c>
      <c r="S6532" s="16" t="str">
        <f t="shared" si="2812"/>
        <v>x</v>
      </c>
      <c r="U6532" s="46" t="str">
        <f t="shared" si="2801"/>
        <v/>
      </c>
      <c r="V6532" s="46">
        <f t="shared" si="2801"/>
        <v>2</v>
      </c>
      <c r="W6532" s="46" t="str">
        <f t="shared" si="2801"/>
        <v/>
      </c>
      <c r="X6532" s="46" t="str">
        <f t="shared" si="2801"/>
        <v/>
      </c>
    </row>
    <row r="6533" spans="2:24" x14ac:dyDescent="0.25">
      <c r="B6533" s="11" t="str">
        <f>CONCATENATE("VADE","-",LEFT(P6533,2),UPPER(MID(P6533,4,3)),RIGHT(P6533,4))</f>
        <v>VADE-08JAN1904</v>
      </c>
      <c r="C6533" s="11" t="s">
        <v>4401</v>
      </c>
      <c r="D6533" s="11" t="s">
        <v>2814</v>
      </c>
      <c r="E6533" s="39" t="s">
        <v>1754</v>
      </c>
      <c r="F6533" s="11" t="s">
        <v>4980</v>
      </c>
      <c r="G6533" s="39" t="s">
        <v>4981</v>
      </c>
      <c r="H6533" s="7">
        <v>0</v>
      </c>
      <c r="I6533" s="7">
        <v>0</v>
      </c>
      <c r="J6533" s="17">
        <v>1</v>
      </c>
      <c r="K6533" s="17"/>
      <c r="L6533" s="7">
        <f>SUM(H6533:K6533)</f>
        <v>1</v>
      </c>
      <c r="M6533" s="8">
        <v>1</v>
      </c>
      <c r="N6533" s="8">
        <f>IF(L6533&gt;0,1,"")</f>
        <v>1</v>
      </c>
      <c r="O6533" s="11" t="s">
        <v>1702</v>
      </c>
      <c r="P6533" s="16" t="str">
        <f>IF(LEN(G6533)=10,CONCATENATE("0",G6533),G6533)</f>
        <v>08-Jan-1904</v>
      </c>
      <c r="R6533" s="16" t="str">
        <f t="shared" si="2812"/>
        <v>x</v>
      </c>
      <c r="S6533" s="16" t="str">
        <f t="shared" si="2812"/>
        <v>x</v>
      </c>
      <c r="U6533" s="46" t="str">
        <f t="shared" ref="U6533:X6535" si="2813">IF($O6533=U$5,$L6533,"")</f>
        <v/>
      </c>
      <c r="V6533" s="46">
        <f t="shared" si="2813"/>
        <v>1</v>
      </c>
      <c r="W6533" s="46" t="str">
        <f t="shared" si="2813"/>
        <v/>
      </c>
      <c r="X6533" s="46" t="str">
        <f t="shared" si="2813"/>
        <v/>
      </c>
    </row>
    <row r="6534" spans="2:24" x14ac:dyDescent="0.25">
      <c r="B6534" s="11" t="str">
        <f>CONCATENATE("VADE","-",LEFT(P6534,2),UPPER(MID(P6534,4,3)),RIGHT(P6534,4))</f>
        <v>VADE-21SEP1904</v>
      </c>
      <c r="C6534" s="11" t="s">
        <v>4401</v>
      </c>
      <c r="D6534" s="11" t="s">
        <v>2814</v>
      </c>
      <c r="E6534" s="39" t="s">
        <v>1671</v>
      </c>
      <c r="F6534" s="11" t="s">
        <v>4980</v>
      </c>
      <c r="G6534" s="39" t="s">
        <v>5710</v>
      </c>
      <c r="H6534" s="7">
        <v>0</v>
      </c>
      <c r="I6534" s="7">
        <v>0</v>
      </c>
      <c r="J6534" s="17">
        <v>4</v>
      </c>
      <c r="K6534" s="17"/>
      <c r="L6534" s="7">
        <f>SUM(H6534:K6534)</f>
        <v>4</v>
      </c>
      <c r="M6534" s="8">
        <v>1</v>
      </c>
      <c r="N6534" s="8">
        <f>IF(L6534&gt;0,1,"")</f>
        <v>1</v>
      </c>
      <c r="O6534" s="11" t="s">
        <v>1702</v>
      </c>
      <c r="P6534" s="16" t="str">
        <f>IF(LEN(G6534)=10,CONCATENATE("0",G6534),G6534)</f>
        <v>21-Sep-1904</v>
      </c>
      <c r="R6534" s="16" t="str">
        <f t="shared" si="2812"/>
        <v>x</v>
      </c>
      <c r="S6534" s="16" t="str">
        <f t="shared" si="2812"/>
        <v>x</v>
      </c>
      <c r="U6534" s="46" t="str">
        <f t="shared" si="2813"/>
        <v/>
      </c>
      <c r="V6534" s="46">
        <f t="shared" si="2813"/>
        <v>4</v>
      </c>
      <c r="W6534" s="46" t="str">
        <f t="shared" si="2813"/>
        <v/>
      </c>
      <c r="X6534" s="46" t="str">
        <f t="shared" si="2813"/>
        <v/>
      </c>
    </row>
    <row r="6535" spans="2:24" x14ac:dyDescent="0.25">
      <c r="B6535" s="11" t="str">
        <f>CONCATENATE("VADE","-",LEFT(P6535,2),UPPER(MID(P6535,4,3)),RIGHT(P6535,4))</f>
        <v>VADE-16JAN1915</v>
      </c>
      <c r="C6535" s="11" t="s">
        <v>4401</v>
      </c>
      <c r="D6535" s="11" t="s">
        <v>2097</v>
      </c>
      <c r="E6535" s="39" t="s">
        <v>4402</v>
      </c>
      <c r="F6535" s="11" t="s">
        <v>2922</v>
      </c>
      <c r="G6535" s="39" t="s">
        <v>4403</v>
      </c>
      <c r="I6535" s="7">
        <v>2</v>
      </c>
      <c r="J6535" s="17">
        <v>2</v>
      </c>
      <c r="K6535" s="17"/>
      <c r="L6535" s="7">
        <f>SUM(H6535:K6535)</f>
        <v>4</v>
      </c>
      <c r="M6535" s="8">
        <v>1</v>
      </c>
      <c r="N6535" s="8">
        <f>IF(L6535&gt;0,1,"")</f>
        <v>1</v>
      </c>
      <c r="O6535" s="11" t="s">
        <v>1702</v>
      </c>
      <c r="P6535" s="16" t="str">
        <f>IF(LEN(G6535)=10,CONCATENATE("0",G6535),G6535)</f>
        <v>16-Jan-1915</v>
      </c>
      <c r="R6535" s="16" t="str">
        <f t="shared" si="2812"/>
        <v>x</v>
      </c>
      <c r="S6535" s="16" t="str">
        <f t="shared" si="2812"/>
        <v>x</v>
      </c>
      <c r="U6535" s="46" t="str">
        <f t="shared" si="2813"/>
        <v/>
      </c>
      <c r="V6535" s="46">
        <f t="shared" si="2813"/>
        <v>4</v>
      </c>
      <c r="W6535" s="46" t="str">
        <f t="shared" si="2813"/>
        <v/>
      </c>
      <c r="X6535" s="46" t="str">
        <f t="shared" si="2813"/>
        <v/>
      </c>
    </row>
    <row r="6536" spans="2:24" x14ac:dyDescent="0.25">
      <c r="N6536" s="8" t="str">
        <f>IF(R6536="x",1,"")</f>
        <v/>
      </c>
      <c r="U6536" s="46" t="str">
        <f t="shared" si="2801"/>
        <v/>
      </c>
      <c r="V6536" s="46" t="str">
        <f t="shared" si="2801"/>
        <v/>
      </c>
      <c r="W6536" s="46" t="str">
        <f t="shared" si="2801"/>
        <v/>
      </c>
      <c r="X6536" s="46" t="str">
        <f t="shared" si="2801"/>
        <v/>
      </c>
    </row>
    <row r="6537" spans="2:24" x14ac:dyDescent="0.25">
      <c r="B6537" s="18"/>
      <c r="C6537" s="18"/>
      <c r="D6537" s="18"/>
      <c r="E6537" s="40"/>
      <c r="F6537" s="18"/>
      <c r="G6537" s="40"/>
      <c r="H6537" s="7">
        <f t="shared" ref="H6537:N6537" si="2814">SUM(H6532:H6536)</f>
        <v>0</v>
      </c>
      <c r="I6537" s="7">
        <f t="shared" si="2814"/>
        <v>2</v>
      </c>
      <c r="J6537" s="7">
        <f>SUM(J6532:J6536)</f>
        <v>9</v>
      </c>
      <c r="K6537" s="7">
        <f t="shared" si="2814"/>
        <v>0</v>
      </c>
      <c r="L6537" s="7">
        <f t="shared" si="2814"/>
        <v>11</v>
      </c>
      <c r="M6537" s="7">
        <f t="shared" si="2814"/>
        <v>4</v>
      </c>
      <c r="N6537" s="7">
        <f t="shared" si="2814"/>
        <v>4</v>
      </c>
      <c r="O6537" s="18"/>
      <c r="P6537" s="13"/>
      <c r="Q6537" s="13"/>
      <c r="S6537" s="13"/>
      <c r="T6537" s="15"/>
      <c r="U6537" s="46" t="str">
        <f t="shared" si="2801"/>
        <v/>
      </c>
      <c r="V6537" s="46" t="str">
        <f t="shared" si="2801"/>
        <v/>
      </c>
      <c r="W6537" s="46" t="str">
        <f t="shared" si="2801"/>
        <v/>
      </c>
      <c r="X6537" s="46" t="str">
        <f t="shared" si="2801"/>
        <v/>
      </c>
    </row>
    <row r="6538" spans="2:24" x14ac:dyDescent="0.25">
      <c r="B6538" s="18"/>
      <c r="C6538" s="18"/>
      <c r="D6538" s="18"/>
      <c r="E6538" s="40"/>
      <c r="F6538" s="18"/>
      <c r="G6538" s="40"/>
      <c r="N6538" s="8" t="str">
        <f>IF(R6538="x",1,"")</f>
        <v/>
      </c>
      <c r="O6538" s="18"/>
      <c r="P6538" s="13"/>
      <c r="Q6538" s="13"/>
      <c r="R6538" s="13"/>
      <c r="S6538" s="13"/>
      <c r="T6538" s="15"/>
      <c r="U6538" s="46" t="str">
        <f t="shared" si="2801"/>
        <v/>
      </c>
      <c r="V6538" s="46" t="str">
        <f t="shared" si="2801"/>
        <v/>
      </c>
      <c r="W6538" s="46" t="str">
        <f t="shared" si="2801"/>
        <v/>
      </c>
      <c r="X6538" s="46" t="str">
        <f t="shared" si="2801"/>
        <v/>
      </c>
    </row>
    <row r="6539" spans="2:24" x14ac:dyDescent="0.25">
      <c r="B6539" s="18"/>
      <c r="C6539" s="18"/>
      <c r="D6539" s="18"/>
      <c r="E6539" s="40"/>
      <c r="F6539" s="18"/>
      <c r="G6539" s="40"/>
      <c r="N6539" s="8" t="str">
        <f>IF(R6539="x",1,"")</f>
        <v/>
      </c>
      <c r="O6539" s="18"/>
      <c r="P6539" s="13"/>
      <c r="Q6539" s="13"/>
      <c r="R6539" s="13"/>
      <c r="S6539" s="13"/>
      <c r="T6539" s="15"/>
      <c r="U6539" s="46" t="str">
        <f t="shared" si="2801"/>
        <v/>
      </c>
      <c r="V6539" s="46" t="str">
        <f t="shared" si="2801"/>
        <v/>
      </c>
      <c r="W6539" s="46" t="str">
        <f t="shared" si="2801"/>
        <v/>
      </c>
      <c r="X6539" s="46" t="str">
        <f t="shared" si="2801"/>
        <v/>
      </c>
    </row>
    <row r="6540" spans="2:24" x14ac:dyDescent="0.25">
      <c r="B6540" s="11" t="str">
        <f>CONCATENATE("VANC","-",LEFT(P6540,2),UPPER(MID(P6540,4,3)),RIGHT(P6540,4))</f>
        <v>VANC-15DEC1896</v>
      </c>
      <c r="C6540" s="11" t="s">
        <v>2920</v>
      </c>
      <c r="D6540" s="11" t="s">
        <v>2097</v>
      </c>
      <c r="E6540" s="39" t="s">
        <v>270</v>
      </c>
      <c r="F6540" s="11" t="s">
        <v>2904</v>
      </c>
      <c r="G6540" s="39" t="s">
        <v>2921</v>
      </c>
      <c r="I6540" s="7">
        <v>0</v>
      </c>
      <c r="J6540" s="17">
        <v>20</v>
      </c>
      <c r="K6540" s="17"/>
      <c r="L6540" s="7">
        <f>SUM(H6540:K6540)</f>
        <v>20</v>
      </c>
      <c r="M6540" s="8">
        <v>1</v>
      </c>
      <c r="N6540" s="8">
        <f>IF(L6540&gt;0,1,"")</f>
        <v>1</v>
      </c>
      <c r="O6540" s="11" t="s">
        <v>1702</v>
      </c>
      <c r="P6540" s="16" t="str">
        <f>IF(LEN(G6540)=10,CONCATENATE("0",G6540),G6540)</f>
        <v>15-Dec-1896</v>
      </c>
      <c r="R6540" s="16" t="str">
        <f t="shared" ref="R6540:S6544" si="2815">IF($L6540&gt;0,"x","")</f>
        <v>x</v>
      </c>
      <c r="S6540" s="16" t="str">
        <f t="shared" si="2815"/>
        <v>x</v>
      </c>
      <c r="U6540" s="46" t="str">
        <f t="shared" si="2801"/>
        <v/>
      </c>
      <c r="V6540" s="46">
        <f t="shared" si="2801"/>
        <v>20</v>
      </c>
      <c r="W6540" s="46" t="str">
        <f t="shared" si="2801"/>
        <v/>
      </c>
      <c r="X6540" s="46" t="str">
        <f t="shared" si="2801"/>
        <v/>
      </c>
    </row>
    <row r="6541" spans="2:24" x14ac:dyDescent="0.25">
      <c r="B6541" s="11" t="str">
        <f>CONCATENATE("VANC","-",LEFT(P6541,2),UPPER(MID(P6541,4,3)),RIGHT(P6541,4))</f>
        <v>VANC-19DEC1896</v>
      </c>
      <c r="C6541" s="11" t="s">
        <v>2920</v>
      </c>
      <c r="D6541" s="11" t="s">
        <v>2097</v>
      </c>
      <c r="E6541" s="39" t="s">
        <v>270</v>
      </c>
      <c r="F6541" s="11" t="s">
        <v>2922</v>
      </c>
      <c r="G6541" s="39" t="s">
        <v>2923</v>
      </c>
      <c r="I6541" s="7">
        <v>0</v>
      </c>
      <c r="J6541" s="17">
        <v>2</v>
      </c>
      <c r="K6541" s="17"/>
      <c r="L6541" s="7">
        <f>SUM(H6541:K6541)</f>
        <v>2</v>
      </c>
      <c r="M6541" s="8">
        <v>1</v>
      </c>
      <c r="N6541" s="8">
        <f>IF(L6541&gt;0,1,"")</f>
        <v>1</v>
      </c>
      <c r="O6541" s="11" t="s">
        <v>1702</v>
      </c>
      <c r="P6541" s="16" t="str">
        <f>IF(LEN(G6541)=10,CONCATENATE("0",G6541),G6541)</f>
        <v>19-Dec-1896</v>
      </c>
      <c r="R6541" s="16" t="str">
        <f t="shared" si="2815"/>
        <v>x</v>
      </c>
      <c r="S6541" s="16" t="str">
        <f t="shared" si="2815"/>
        <v>x</v>
      </c>
      <c r="U6541" s="46" t="str">
        <f t="shared" ref="U6541:X6543" si="2816">IF($O6541=U$5,$L6541,"")</f>
        <v/>
      </c>
      <c r="V6541" s="46">
        <f t="shared" si="2816"/>
        <v>2</v>
      </c>
      <c r="W6541" s="46" t="str">
        <f t="shared" si="2816"/>
        <v/>
      </c>
      <c r="X6541" s="46" t="str">
        <f t="shared" si="2816"/>
        <v/>
      </c>
    </row>
    <row r="6542" spans="2:24" x14ac:dyDescent="0.25">
      <c r="B6542" s="11" t="str">
        <f>CONCATENATE("VANC","-",LEFT(P6542,2),UPPER(MID(P6542,4,3)),RIGHT(P6542,4))</f>
        <v>VANC-27NOV1902</v>
      </c>
      <c r="C6542" s="11" t="s">
        <v>2920</v>
      </c>
      <c r="D6542" s="11" t="s">
        <v>3217</v>
      </c>
      <c r="E6542" s="39" t="s">
        <v>1630</v>
      </c>
      <c r="F6542" s="11" t="s">
        <v>3050</v>
      </c>
      <c r="G6542" s="39" t="s">
        <v>5678</v>
      </c>
      <c r="I6542" s="7">
        <v>2</v>
      </c>
      <c r="J6542" s="17"/>
      <c r="K6542" s="17"/>
      <c r="L6542" s="7">
        <f>SUM(H6542:K6542)</f>
        <v>2</v>
      </c>
      <c r="M6542" s="8">
        <v>1</v>
      </c>
      <c r="N6542" s="8">
        <f>IF(L6542&gt;0,1,"")</f>
        <v>1</v>
      </c>
      <c r="O6542" s="11" t="s">
        <v>1702</v>
      </c>
      <c r="P6542" s="16" t="str">
        <f>IF(LEN(G6542)=10,CONCATENATE("0",G6542),G6542)</f>
        <v>27-Nov-1902</v>
      </c>
      <c r="R6542" s="16" t="str">
        <f t="shared" si="2815"/>
        <v>x</v>
      </c>
      <c r="S6542" s="16" t="str">
        <f t="shared" si="2815"/>
        <v>x</v>
      </c>
      <c r="U6542" s="46" t="str">
        <f t="shared" si="2816"/>
        <v/>
      </c>
      <c r="V6542" s="46">
        <f t="shared" si="2816"/>
        <v>2</v>
      </c>
      <c r="W6542" s="46" t="str">
        <f t="shared" si="2816"/>
        <v/>
      </c>
      <c r="X6542" s="46" t="str">
        <f t="shared" si="2816"/>
        <v/>
      </c>
    </row>
    <row r="6543" spans="2:24" x14ac:dyDescent="0.25">
      <c r="B6543" s="11" t="str">
        <f>CONCATENATE("VANC","-",LEFT(P6543,2),UPPER(MID(P6543,4,3)),RIGHT(P6543,4))</f>
        <v>VANC-11JAN1903</v>
      </c>
      <c r="C6543" s="11" t="s">
        <v>2920</v>
      </c>
      <c r="D6543" s="11" t="s">
        <v>3007</v>
      </c>
      <c r="E6543" s="39" t="s">
        <v>3346</v>
      </c>
      <c r="F6543" s="11" t="s">
        <v>3050</v>
      </c>
      <c r="G6543" s="39" t="s">
        <v>6008</v>
      </c>
      <c r="J6543" s="17">
        <v>10</v>
      </c>
      <c r="K6543" s="17"/>
      <c r="L6543" s="7">
        <f>SUM(H6543:K6543)</f>
        <v>10</v>
      </c>
      <c r="M6543" s="8">
        <v>1</v>
      </c>
      <c r="N6543" s="8">
        <f>IF(L6543&gt;0,1,"")</f>
        <v>1</v>
      </c>
      <c r="O6543" s="11" t="s">
        <v>1702</v>
      </c>
      <c r="P6543" s="16" t="str">
        <f>IF(LEN(G6543)=10,CONCATENATE("0",G6543),G6543)</f>
        <v>11-Jan-1903</v>
      </c>
      <c r="R6543" s="16" t="str">
        <f t="shared" si="2815"/>
        <v>x</v>
      </c>
      <c r="S6543" s="16" t="str">
        <f t="shared" si="2815"/>
        <v>x</v>
      </c>
      <c r="U6543" s="46" t="str">
        <f t="shared" si="2816"/>
        <v/>
      </c>
      <c r="V6543" s="46">
        <f t="shared" si="2816"/>
        <v>10</v>
      </c>
      <c r="W6543" s="46" t="str">
        <f t="shared" si="2816"/>
        <v/>
      </c>
      <c r="X6543" s="46" t="str">
        <f t="shared" si="2816"/>
        <v/>
      </c>
    </row>
    <row r="6544" spans="2:24" x14ac:dyDescent="0.25">
      <c r="B6544" s="11" t="str">
        <f>CONCATENATE("VANC","-",LEFT(P6544,2),UPPER(MID(P6544,4,3)),RIGHT(P6544,4))</f>
        <v>VANC-23MAR1909</v>
      </c>
      <c r="C6544" s="11" t="s">
        <v>2920</v>
      </c>
      <c r="D6544" s="11" t="s">
        <v>2097</v>
      </c>
      <c r="E6544" s="39" t="s">
        <v>5173</v>
      </c>
      <c r="F6544" s="11" t="s">
        <v>2922</v>
      </c>
      <c r="G6544" s="39" t="s">
        <v>926</v>
      </c>
      <c r="I6544" s="7">
        <v>0</v>
      </c>
      <c r="J6544" s="17">
        <v>5</v>
      </c>
      <c r="K6544" s="17"/>
      <c r="L6544" s="7">
        <f>SUM(H6544:K6544)</f>
        <v>5</v>
      </c>
      <c r="M6544" s="8">
        <v>1</v>
      </c>
      <c r="N6544" s="8">
        <f>IF(L6544&gt;0,1,"")</f>
        <v>1</v>
      </c>
      <c r="O6544" s="11" t="s">
        <v>1702</v>
      </c>
      <c r="P6544" s="16" t="str">
        <f>IF(LEN(G6544)=10,CONCATENATE("0",G6544),G6544)</f>
        <v>23-Mar-1909</v>
      </c>
      <c r="R6544" s="16" t="str">
        <f t="shared" si="2815"/>
        <v>x</v>
      </c>
      <c r="S6544" s="16" t="str">
        <f t="shared" si="2815"/>
        <v>x</v>
      </c>
      <c r="U6544" s="46" t="str">
        <f t="shared" si="2801"/>
        <v/>
      </c>
      <c r="V6544" s="46">
        <f t="shared" si="2801"/>
        <v>5</v>
      </c>
      <c r="W6544" s="46" t="str">
        <f t="shared" si="2801"/>
        <v/>
      </c>
      <c r="X6544" s="46" t="str">
        <f t="shared" si="2801"/>
        <v/>
      </c>
    </row>
    <row r="6545" spans="2:24" x14ac:dyDescent="0.25">
      <c r="N6545" s="8" t="str">
        <f>IF(R6545="x",1,"")</f>
        <v/>
      </c>
      <c r="U6545" s="46" t="str">
        <f t="shared" si="2801"/>
        <v/>
      </c>
      <c r="V6545" s="46" t="str">
        <f t="shared" si="2801"/>
        <v/>
      </c>
      <c r="W6545" s="46" t="str">
        <f t="shared" si="2801"/>
        <v/>
      </c>
      <c r="X6545" s="46" t="str">
        <f t="shared" si="2801"/>
        <v/>
      </c>
    </row>
    <row r="6546" spans="2:24" x14ac:dyDescent="0.25">
      <c r="B6546" s="18"/>
      <c r="C6546" s="18"/>
      <c r="D6546" s="18"/>
      <c r="E6546" s="40"/>
      <c r="F6546" s="18"/>
      <c r="G6546" s="40"/>
      <c r="H6546" s="7">
        <f t="shared" ref="H6546:N6546" si="2817">SUM(H6540:H6545)</f>
        <v>0</v>
      </c>
      <c r="I6546" s="7">
        <f t="shared" si="2817"/>
        <v>2</v>
      </c>
      <c r="J6546" s="7">
        <f>SUM(J6540:J6545)</f>
        <v>37</v>
      </c>
      <c r="K6546" s="7">
        <f t="shared" si="2817"/>
        <v>0</v>
      </c>
      <c r="L6546" s="7">
        <f t="shared" si="2817"/>
        <v>39</v>
      </c>
      <c r="M6546" s="7">
        <f t="shared" si="2817"/>
        <v>5</v>
      </c>
      <c r="N6546" s="7">
        <f t="shared" si="2817"/>
        <v>5</v>
      </c>
      <c r="O6546" s="18"/>
      <c r="P6546" s="13"/>
      <c r="Q6546" s="13"/>
      <c r="S6546" s="13"/>
      <c r="T6546" s="15"/>
      <c r="U6546" s="46" t="str">
        <f t="shared" si="2801"/>
        <v/>
      </c>
      <c r="V6546" s="46" t="str">
        <f t="shared" si="2801"/>
        <v/>
      </c>
      <c r="W6546" s="46" t="str">
        <f t="shared" si="2801"/>
        <v/>
      </c>
      <c r="X6546" s="46" t="str">
        <f t="shared" si="2801"/>
        <v/>
      </c>
    </row>
    <row r="6547" spans="2:24" x14ac:dyDescent="0.25">
      <c r="B6547" s="18"/>
      <c r="C6547" s="18"/>
      <c r="D6547" s="18"/>
      <c r="E6547" s="40"/>
      <c r="F6547" s="18"/>
      <c r="G6547" s="40"/>
      <c r="N6547" s="8" t="str">
        <f>IF(R6547="x",1,"")</f>
        <v/>
      </c>
      <c r="O6547" s="18"/>
      <c r="P6547" s="13"/>
      <c r="Q6547" s="13"/>
      <c r="R6547" s="13"/>
      <c r="S6547" s="13"/>
      <c r="T6547" s="15"/>
      <c r="U6547" s="46" t="str">
        <f t="shared" si="2801"/>
        <v/>
      </c>
      <c r="V6547" s="46" t="str">
        <f t="shared" si="2801"/>
        <v/>
      </c>
      <c r="W6547" s="46" t="str">
        <f t="shared" si="2801"/>
        <v/>
      </c>
      <c r="X6547" s="46" t="str">
        <f t="shared" si="2801"/>
        <v/>
      </c>
    </row>
    <row r="6548" spans="2:24" x14ac:dyDescent="0.25">
      <c r="B6548" s="18"/>
      <c r="C6548" s="18"/>
      <c r="D6548" s="18"/>
      <c r="E6548" s="40"/>
      <c r="F6548" s="18"/>
      <c r="G6548" s="40"/>
      <c r="N6548" s="8" t="str">
        <f>IF(R6548="x",1,"")</f>
        <v/>
      </c>
      <c r="O6548" s="18"/>
      <c r="P6548" s="13"/>
      <c r="Q6548" s="13"/>
      <c r="R6548" s="13"/>
      <c r="S6548" s="13"/>
      <c r="T6548" s="15"/>
      <c r="U6548" s="46" t="str">
        <f t="shared" si="2801"/>
        <v/>
      </c>
      <c r="V6548" s="46" t="str">
        <f t="shared" si="2801"/>
        <v/>
      </c>
      <c r="W6548" s="46" t="str">
        <f t="shared" si="2801"/>
        <v/>
      </c>
      <c r="X6548" s="46" t="str">
        <f t="shared" si="2801"/>
        <v/>
      </c>
    </row>
    <row r="6549" spans="2:24" x14ac:dyDescent="0.25">
      <c r="B6549" s="11" t="str">
        <f>CONCATENATE("VASA","-",LEFT(P6549,2),UPPER(MID(P6549,4,3)),RIGHT(P6549,4))</f>
        <v>VASA-30JAN1916</v>
      </c>
      <c r="C6549" s="11" t="s">
        <v>4493</v>
      </c>
      <c r="D6549" s="11" t="s">
        <v>4494</v>
      </c>
      <c r="E6549" s="39" t="s">
        <v>1967</v>
      </c>
      <c r="F6549" s="11" t="s">
        <v>1700</v>
      </c>
      <c r="G6549" s="39" t="s">
        <v>4637</v>
      </c>
      <c r="H6549" s="7">
        <v>0</v>
      </c>
      <c r="I6549" s="7">
        <v>0</v>
      </c>
      <c r="J6549" s="17">
        <v>0</v>
      </c>
      <c r="K6549" s="17"/>
      <c r="L6549" s="7">
        <f>SUM(H6549:K6549)</f>
        <v>0</v>
      </c>
      <c r="M6549" s="8">
        <v>1</v>
      </c>
      <c r="N6549" s="8" t="str">
        <f>IF(L6549&gt;0,1,"")</f>
        <v/>
      </c>
      <c r="O6549" s="11" t="s">
        <v>1702</v>
      </c>
      <c r="P6549" s="16" t="str">
        <f>IF(LEN(G6549)=10,CONCATENATE("0",G6549),G6549)</f>
        <v>30-Jan-1916</v>
      </c>
      <c r="R6549" s="16" t="str">
        <f>IF($L6549&gt;0,"x","")</f>
        <v/>
      </c>
      <c r="S6549" s="16" t="str">
        <f>IF($L6549&gt;0,"x","")</f>
        <v/>
      </c>
      <c r="U6549" s="46" t="str">
        <f t="shared" si="2801"/>
        <v/>
      </c>
      <c r="V6549" s="46">
        <f t="shared" si="2801"/>
        <v>0</v>
      </c>
      <c r="W6549" s="46" t="str">
        <f t="shared" si="2801"/>
        <v/>
      </c>
      <c r="X6549" s="46" t="str">
        <f t="shared" si="2801"/>
        <v/>
      </c>
    </row>
    <row r="6550" spans="2:24" x14ac:dyDescent="0.25">
      <c r="B6550" s="11" t="str">
        <f>CONCATENATE("VASA","-",LEFT(P6550,2),UPPER(MID(P6550,4,3)),RIGHT(P6550,4))</f>
        <v>VASA-22APR1916</v>
      </c>
      <c r="C6550" s="11" t="s">
        <v>4493</v>
      </c>
      <c r="D6550" s="11" t="s">
        <v>4494</v>
      </c>
      <c r="E6550" s="39" t="s">
        <v>4495</v>
      </c>
      <c r="F6550" s="11" t="s">
        <v>1700</v>
      </c>
      <c r="G6550" s="39" t="s">
        <v>4496</v>
      </c>
      <c r="H6550" s="7">
        <v>0</v>
      </c>
      <c r="I6550" s="7">
        <v>2</v>
      </c>
      <c r="J6550" s="17">
        <v>16</v>
      </c>
      <c r="K6550" s="17"/>
      <c r="L6550" s="7">
        <f>SUM(H6550:K6550)</f>
        <v>18</v>
      </c>
      <c r="M6550" s="8">
        <v>1</v>
      </c>
      <c r="N6550" s="8">
        <f>IF(L6550&gt;0,1,"")</f>
        <v>1</v>
      </c>
      <c r="O6550" s="11" t="s">
        <v>1702</v>
      </c>
      <c r="P6550" s="16" t="str">
        <f>IF(LEN(G6550)=10,CONCATENATE("0",G6550),G6550)</f>
        <v>22-Apr-1916</v>
      </c>
      <c r="R6550" s="16" t="str">
        <f t="shared" ref="R6550:S6552" si="2818">IF($L6550&gt;0,"x","")</f>
        <v>x</v>
      </c>
      <c r="S6550" s="16" t="str">
        <f t="shared" si="2818"/>
        <v>x</v>
      </c>
      <c r="U6550" s="46" t="str">
        <f>IF($O6550=U$5,$L6550,"")</f>
        <v/>
      </c>
      <c r="V6550" s="46">
        <f>IF($O6550=V$5,$L6550,"")</f>
        <v>18</v>
      </c>
      <c r="W6550" s="46" t="str">
        <f>IF($O6550=W$5,$L6550,"")</f>
        <v/>
      </c>
      <c r="X6550" s="46" t="str">
        <f>IF($O6550=X$5,$L6550,"")</f>
        <v/>
      </c>
    </row>
    <row r="6551" spans="2:24" x14ac:dyDescent="0.25">
      <c r="B6551" s="11" t="str">
        <f>CONCATENATE("VASA","-",LEFT(P6551,2),UPPER(MID(P6551,4,3)),RIGHT(P6551,4))</f>
        <v>VASA-20AUG1916</v>
      </c>
      <c r="C6551" s="11" t="s">
        <v>4493</v>
      </c>
      <c r="D6551" s="11" t="s">
        <v>4494</v>
      </c>
      <c r="E6551" s="39" t="s">
        <v>4571</v>
      </c>
      <c r="F6551" s="11" t="s">
        <v>1700</v>
      </c>
      <c r="G6551" s="39" t="s">
        <v>4572</v>
      </c>
      <c r="H6551" s="7">
        <v>0</v>
      </c>
      <c r="I6551" s="7">
        <v>0</v>
      </c>
      <c r="J6551" s="17">
        <f>42+3</f>
        <v>45</v>
      </c>
      <c r="K6551" s="17"/>
      <c r="L6551" s="7">
        <f>SUM(H6551:K6551)</f>
        <v>45</v>
      </c>
      <c r="M6551" s="8">
        <v>1</v>
      </c>
      <c r="N6551" s="8">
        <f>IF(L6551&gt;0,1,"")</f>
        <v>1</v>
      </c>
      <c r="O6551" s="11" t="s">
        <v>1702</v>
      </c>
      <c r="P6551" s="16" t="str">
        <f>IF(LEN(G6551)=10,CONCATENATE("0",G6551),G6551)</f>
        <v>20-Aug-1916</v>
      </c>
      <c r="R6551" s="16" t="str">
        <f t="shared" si="2818"/>
        <v>x</v>
      </c>
      <c r="S6551" s="16" t="str">
        <f t="shared" si="2818"/>
        <v>x</v>
      </c>
      <c r="U6551" s="46" t="str">
        <f t="shared" ref="U6551:X6552" si="2819">IF($O6551=U$5,$L6551,"")</f>
        <v/>
      </c>
      <c r="V6551" s="46">
        <f t="shared" si="2819"/>
        <v>45</v>
      </c>
      <c r="W6551" s="46" t="str">
        <f t="shared" si="2819"/>
        <v/>
      </c>
      <c r="X6551" s="46" t="str">
        <f t="shared" si="2819"/>
        <v/>
      </c>
    </row>
    <row r="6552" spans="2:24" x14ac:dyDescent="0.25">
      <c r="B6552" s="11" t="str">
        <f>CONCATENATE("VASA","-",LEFT(P6552,2),UPPER(MID(P6552,4,3)),RIGHT(P6552,4))</f>
        <v>VASA-11DEC1916</v>
      </c>
      <c r="C6552" s="11" t="s">
        <v>4493</v>
      </c>
      <c r="D6552" s="11" t="s">
        <v>4494</v>
      </c>
      <c r="E6552" s="39" t="s">
        <v>4638</v>
      </c>
      <c r="F6552" s="11" t="s">
        <v>1700</v>
      </c>
      <c r="G6552" s="39" t="s">
        <v>1984</v>
      </c>
      <c r="H6552" s="7">
        <v>0</v>
      </c>
      <c r="I6552" s="7">
        <v>0</v>
      </c>
      <c r="J6552" s="17">
        <v>22</v>
      </c>
      <c r="K6552" s="17"/>
      <c r="L6552" s="7">
        <f>SUM(H6552:K6552)</f>
        <v>22</v>
      </c>
      <c r="M6552" s="8">
        <v>1</v>
      </c>
      <c r="N6552" s="8">
        <f>IF(L6552&gt;0,1,"")</f>
        <v>1</v>
      </c>
      <c r="O6552" s="11" t="s">
        <v>1702</v>
      </c>
      <c r="P6552" s="16" t="str">
        <f>IF(LEN(G6552)=10,CONCATENATE("0",G6552),G6552)</f>
        <v>11-Dec-1916</v>
      </c>
      <c r="R6552" s="16" t="str">
        <f t="shared" si="2818"/>
        <v>x</v>
      </c>
      <c r="S6552" s="16" t="str">
        <f t="shared" si="2818"/>
        <v>x</v>
      </c>
      <c r="U6552" s="46" t="str">
        <f t="shared" si="2819"/>
        <v/>
      </c>
      <c r="V6552" s="46">
        <f t="shared" si="2819"/>
        <v>22</v>
      </c>
      <c r="W6552" s="46" t="str">
        <f t="shared" si="2819"/>
        <v/>
      </c>
      <c r="X6552" s="46" t="str">
        <f t="shared" si="2819"/>
        <v/>
      </c>
    </row>
    <row r="6553" spans="2:24" x14ac:dyDescent="0.25">
      <c r="N6553" s="8" t="str">
        <f>IF(R6553="x",1,"")</f>
        <v/>
      </c>
      <c r="U6553" s="46" t="str">
        <f t="shared" si="2801"/>
        <v/>
      </c>
      <c r="V6553" s="46" t="str">
        <f t="shared" si="2801"/>
        <v/>
      </c>
      <c r="W6553" s="46" t="str">
        <f t="shared" si="2801"/>
        <v/>
      </c>
      <c r="X6553" s="46" t="str">
        <f t="shared" si="2801"/>
        <v/>
      </c>
    </row>
    <row r="6554" spans="2:24" x14ac:dyDescent="0.25">
      <c r="B6554" s="18"/>
      <c r="C6554" s="18"/>
      <c r="D6554" s="18"/>
      <c r="E6554" s="40"/>
      <c r="F6554" s="18"/>
      <c r="G6554" s="40"/>
      <c r="H6554" s="7">
        <f t="shared" ref="H6554:N6554" si="2820">SUM(H6549:H6553)</f>
        <v>0</v>
      </c>
      <c r="I6554" s="7">
        <f t="shared" si="2820"/>
        <v>2</v>
      </c>
      <c r="J6554" s="7">
        <f>SUM(J6549:J6553)</f>
        <v>83</v>
      </c>
      <c r="K6554" s="7">
        <f t="shared" si="2820"/>
        <v>0</v>
      </c>
      <c r="L6554" s="7">
        <f t="shared" si="2820"/>
        <v>85</v>
      </c>
      <c r="M6554" s="7">
        <f t="shared" si="2820"/>
        <v>4</v>
      </c>
      <c r="N6554" s="7">
        <f t="shared" si="2820"/>
        <v>3</v>
      </c>
      <c r="O6554" s="18"/>
      <c r="P6554" s="13"/>
      <c r="Q6554" s="13"/>
      <c r="S6554" s="13"/>
      <c r="T6554" s="15"/>
      <c r="U6554" s="46" t="str">
        <f t="shared" si="2801"/>
        <v/>
      </c>
      <c r="V6554" s="46" t="str">
        <f t="shared" si="2801"/>
        <v/>
      </c>
      <c r="W6554" s="46" t="str">
        <f t="shared" si="2801"/>
        <v/>
      </c>
      <c r="X6554" s="46" t="str">
        <f t="shared" si="2801"/>
        <v/>
      </c>
    </row>
    <row r="6555" spans="2:24" x14ac:dyDescent="0.25">
      <c r="B6555" s="18"/>
      <c r="C6555" s="18"/>
      <c r="D6555" s="18"/>
      <c r="E6555" s="40"/>
      <c r="F6555" s="18"/>
      <c r="G6555" s="40"/>
      <c r="N6555" s="8" t="str">
        <f>IF(R6555="x",1,"")</f>
        <v/>
      </c>
      <c r="O6555" s="18"/>
      <c r="P6555" s="13"/>
      <c r="Q6555" s="13"/>
      <c r="R6555" s="13"/>
      <c r="S6555" s="13"/>
      <c r="T6555" s="15"/>
      <c r="U6555" s="46" t="str">
        <f t="shared" si="2801"/>
        <v/>
      </c>
      <c r="V6555" s="46" t="str">
        <f t="shared" si="2801"/>
        <v/>
      </c>
      <c r="W6555" s="46" t="str">
        <f t="shared" si="2801"/>
        <v/>
      </c>
      <c r="X6555" s="46" t="str">
        <f t="shared" si="2801"/>
        <v/>
      </c>
    </row>
    <row r="6556" spans="2:24" x14ac:dyDescent="0.25">
      <c r="B6556" s="18"/>
      <c r="C6556" s="18"/>
      <c r="D6556" s="18"/>
      <c r="E6556" s="40"/>
      <c r="F6556" s="18"/>
      <c r="G6556" s="40"/>
      <c r="N6556" s="8" t="str">
        <f>IF(R6556="x",1,"")</f>
        <v/>
      </c>
      <c r="O6556" s="18"/>
      <c r="P6556" s="13"/>
      <c r="Q6556" s="13"/>
      <c r="R6556" s="13"/>
      <c r="S6556" s="13"/>
      <c r="T6556" s="15"/>
      <c r="U6556" s="46" t="str">
        <f t="shared" si="2801"/>
        <v/>
      </c>
      <c r="V6556" s="46" t="str">
        <f t="shared" si="2801"/>
        <v/>
      </c>
      <c r="W6556" s="46" t="str">
        <f t="shared" si="2801"/>
        <v/>
      </c>
      <c r="X6556" s="46" t="str">
        <f t="shared" si="2801"/>
        <v/>
      </c>
    </row>
    <row r="6557" spans="2:24" x14ac:dyDescent="0.25">
      <c r="B6557" s="11" t="str">
        <f>CONCATENATE("VACO","-",LEFT(P6557,2),UPPER(MID(P6557,4,3)),RIGHT(P6557,4))</f>
        <v>VACO-24AUG1915</v>
      </c>
      <c r="C6557" s="11" t="s">
        <v>4191</v>
      </c>
      <c r="D6557" s="11" t="s">
        <v>847</v>
      </c>
      <c r="E6557" s="39" t="s">
        <v>5493</v>
      </c>
      <c r="F6557" s="11" t="s">
        <v>1700</v>
      </c>
      <c r="G6557" s="39" t="s">
        <v>5494</v>
      </c>
      <c r="H6557" s="7">
        <f>0+2</f>
        <v>2</v>
      </c>
      <c r="I6557" s="7">
        <v>7</v>
      </c>
      <c r="J6557" s="17">
        <v>24</v>
      </c>
      <c r="K6557" s="17"/>
      <c r="L6557" s="7">
        <f>SUM(H6557:K6557)</f>
        <v>33</v>
      </c>
      <c r="M6557" s="8">
        <v>1</v>
      </c>
      <c r="N6557" s="8">
        <f>IF(L6557&gt;0,1,"")</f>
        <v>1</v>
      </c>
      <c r="O6557" s="11" t="s">
        <v>1702</v>
      </c>
      <c r="P6557" s="16" t="str">
        <f>IF(LEN(G6557)=10,CONCATENATE("0",G6557),G6557)</f>
        <v>24-Aug-1915</v>
      </c>
      <c r="R6557" s="16" t="str">
        <f t="shared" ref="R6557:S6559" si="2821">IF($L6557&gt;0,"x","")</f>
        <v>x</v>
      </c>
      <c r="S6557" s="16" t="str">
        <f t="shared" si="2821"/>
        <v>x</v>
      </c>
      <c r="U6557" s="46" t="str">
        <f t="shared" si="2801"/>
        <v/>
      </c>
      <c r="V6557" s="46">
        <f t="shared" si="2801"/>
        <v>33</v>
      </c>
      <c r="W6557" s="46" t="str">
        <f t="shared" si="2801"/>
        <v/>
      </c>
      <c r="X6557" s="46" t="str">
        <f t="shared" si="2801"/>
        <v/>
      </c>
    </row>
    <row r="6558" spans="2:24" x14ac:dyDescent="0.25">
      <c r="B6558" s="11" t="str">
        <f>CONCATENATE("VACO","-",LEFT(P6558,2),UPPER(MID(P6558,4,3)),RIGHT(P6558,4))</f>
        <v>VACO-15JUN1916</v>
      </c>
      <c r="C6558" s="11" t="s">
        <v>4191</v>
      </c>
      <c r="D6558" s="11" t="s">
        <v>847</v>
      </c>
      <c r="E6558" s="39" t="s">
        <v>5255</v>
      </c>
      <c r="F6558" s="11" t="s">
        <v>1700</v>
      </c>
      <c r="G6558" s="39" t="s">
        <v>5256</v>
      </c>
      <c r="H6558" s="7">
        <v>0</v>
      </c>
      <c r="I6558" s="7">
        <v>0</v>
      </c>
      <c r="J6558" s="17">
        <v>1</v>
      </c>
      <c r="K6558" s="17"/>
      <c r="L6558" s="7">
        <f>SUM(H6558:K6558)</f>
        <v>1</v>
      </c>
      <c r="M6558" s="8">
        <v>1</v>
      </c>
      <c r="N6558" s="8">
        <f>IF(L6558&gt;0,1,"")</f>
        <v>1</v>
      </c>
      <c r="O6558" s="11" t="s">
        <v>1702</v>
      </c>
      <c r="P6558" s="16" t="str">
        <f>IF(LEN(G6558)=10,CONCATENATE("0",G6558),G6558)</f>
        <v>15-Jun-1916</v>
      </c>
      <c r="R6558" s="16" t="str">
        <f t="shared" si="2821"/>
        <v>x</v>
      </c>
      <c r="S6558" s="16" t="str">
        <f t="shared" si="2821"/>
        <v>x</v>
      </c>
      <c r="U6558" s="46" t="str">
        <f t="shared" ref="U6558:X6559" si="2822">IF($O6558=U$5,$L6558,"")</f>
        <v/>
      </c>
      <c r="V6558" s="46">
        <f t="shared" si="2822"/>
        <v>1</v>
      </c>
      <c r="W6558" s="46" t="str">
        <f t="shared" si="2822"/>
        <v/>
      </c>
      <c r="X6558" s="46" t="str">
        <f t="shared" si="2822"/>
        <v/>
      </c>
    </row>
    <row r="6559" spans="2:24" x14ac:dyDescent="0.25">
      <c r="B6559" s="11" t="str">
        <f>CONCATENATE("VACO","-",LEFT(P6559,2),UPPER(MID(P6559,4,3)),RIGHT(P6559,4))</f>
        <v>VACO-06AUG1916</v>
      </c>
      <c r="C6559" s="11" t="s">
        <v>4191</v>
      </c>
      <c r="D6559" s="11" t="s">
        <v>847</v>
      </c>
      <c r="E6559" s="39" t="s">
        <v>4192</v>
      </c>
      <c r="F6559" s="11" t="s">
        <v>1700</v>
      </c>
      <c r="G6559" s="39" t="s">
        <v>4193</v>
      </c>
      <c r="H6559" s="7">
        <f>0+2</f>
        <v>2</v>
      </c>
      <c r="I6559" s="7">
        <v>1</v>
      </c>
      <c r="J6559" s="17">
        <v>0</v>
      </c>
      <c r="K6559" s="17"/>
      <c r="L6559" s="7">
        <f>SUM(H6559:K6559)</f>
        <v>3</v>
      </c>
      <c r="M6559" s="8">
        <v>1</v>
      </c>
      <c r="N6559" s="8">
        <f>IF(L6559&gt;0,1,"")</f>
        <v>1</v>
      </c>
      <c r="O6559" s="11" t="s">
        <v>1702</v>
      </c>
      <c r="P6559" s="16" t="str">
        <f>IF(LEN(G6559)=10,CONCATENATE("0",G6559),G6559)</f>
        <v>06-Aug-1916</v>
      </c>
      <c r="R6559" s="16" t="str">
        <f t="shared" si="2821"/>
        <v>x</v>
      </c>
      <c r="S6559" s="16" t="str">
        <f t="shared" si="2821"/>
        <v>x</v>
      </c>
      <c r="U6559" s="46" t="str">
        <f t="shared" si="2822"/>
        <v/>
      </c>
      <c r="V6559" s="46">
        <f t="shared" si="2822"/>
        <v>3</v>
      </c>
      <c r="W6559" s="46" t="str">
        <f t="shared" si="2822"/>
        <v/>
      </c>
      <c r="X6559" s="46" t="str">
        <f t="shared" si="2822"/>
        <v/>
      </c>
    </row>
    <row r="6560" spans="2:24" x14ac:dyDescent="0.25">
      <c r="N6560" s="8" t="str">
        <f>IF(R6560="x",1,"")</f>
        <v/>
      </c>
      <c r="U6560" s="46" t="str">
        <f t="shared" si="2801"/>
        <v/>
      </c>
      <c r="V6560" s="46" t="str">
        <f t="shared" si="2801"/>
        <v/>
      </c>
      <c r="W6560" s="46" t="str">
        <f t="shared" si="2801"/>
        <v/>
      </c>
      <c r="X6560" s="46" t="str">
        <f t="shared" si="2801"/>
        <v/>
      </c>
    </row>
    <row r="6561" spans="2:24" x14ac:dyDescent="0.25">
      <c r="B6561" s="18"/>
      <c r="C6561" s="18"/>
      <c r="D6561" s="18"/>
      <c r="E6561" s="40"/>
      <c r="F6561" s="18"/>
      <c r="G6561" s="40"/>
      <c r="H6561" s="7">
        <f t="shared" ref="H6561:N6561" si="2823">SUM(H6557:H6560)</f>
        <v>4</v>
      </c>
      <c r="I6561" s="7">
        <f t="shared" si="2823"/>
        <v>8</v>
      </c>
      <c r="J6561" s="7">
        <f>SUM(J6557:J6560)</f>
        <v>25</v>
      </c>
      <c r="K6561" s="7">
        <f t="shared" si="2823"/>
        <v>0</v>
      </c>
      <c r="L6561" s="7">
        <f t="shared" si="2823"/>
        <v>37</v>
      </c>
      <c r="M6561" s="7">
        <f t="shared" si="2823"/>
        <v>3</v>
      </c>
      <c r="N6561" s="7">
        <f t="shared" si="2823"/>
        <v>3</v>
      </c>
      <c r="O6561" s="18"/>
      <c r="P6561" s="13"/>
      <c r="Q6561" s="13"/>
      <c r="S6561" s="13"/>
      <c r="T6561" s="15"/>
      <c r="U6561" s="46" t="str">
        <f t="shared" si="2801"/>
        <v/>
      </c>
      <c r="V6561" s="46" t="str">
        <f t="shared" si="2801"/>
        <v/>
      </c>
      <c r="W6561" s="46" t="str">
        <f t="shared" si="2801"/>
        <v/>
      </c>
      <c r="X6561" s="46" t="str">
        <f t="shared" si="2801"/>
        <v/>
      </c>
    </row>
    <row r="6562" spans="2:24" x14ac:dyDescent="0.25">
      <c r="B6562" s="18"/>
      <c r="C6562" s="18"/>
      <c r="D6562" s="18"/>
      <c r="E6562" s="40"/>
      <c r="F6562" s="18"/>
      <c r="G6562" s="40"/>
      <c r="N6562" s="8" t="str">
        <f>IF(R6562="x",1,"")</f>
        <v/>
      </c>
      <c r="O6562" s="18"/>
      <c r="P6562" s="13"/>
      <c r="Q6562" s="13"/>
      <c r="R6562" s="13"/>
      <c r="S6562" s="13"/>
      <c r="T6562" s="15"/>
      <c r="U6562" s="46" t="str">
        <f t="shared" si="2801"/>
        <v/>
      </c>
      <c r="V6562" s="46" t="str">
        <f t="shared" si="2801"/>
        <v/>
      </c>
      <c r="W6562" s="46" t="str">
        <f t="shared" si="2801"/>
        <v/>
      </c>
      <c r="X6562" s="46" t="str">
        <f t="shared" si="2801"/>
        <v/>
      </c>
    </row>
    <row r="6563" spans="2:24" x14ac:dyDescent="0.25">
      <c r="B6563" s="18"/>
      <c r="C6563" s="18"/>
      <c r="D6563" s="18"/>
      <c r="E6563" s="40"/>
      <c r="F6563" s="18"/>
      <c r="G6563" s="40"/>
      <c r="N6563" s="8" t="str">
        <f>IF(R6563="x",1,"")</f>
        <v/>
      </c>
      <c r="O6563" s="18"/>
      <c r="P6563" s="13"/>
      <c r="Q6563" s="13"/>
      <c r="R6563" s="13"/>
      <c r="S6563" s="13"/>
      <c r="T6563" s="15"/>
      <c r="U6563" s="46" t="str">
        <f t="shared" si="2801"/>
        <v/>
      </c>
      <c r="V6563" s="46" t="str">
        <f t="shared" si="2801"/>
        <v/>
      </c>
      <c r="W6563" s="46" t="str">
        <f t="shared" si="2801"/>
        <v/>
      </c>
      <c r="X6563" s="46" t="str">
        <f t="shared" si="2801"/>
        <v/>
      </c>
    </row>
    <row r="6564" spans="2:24" x14ac:dyDescent="0.25">
      <c r="B6564" s="11" t="str">
        <f t="shared" ref="B6564:B6569" si="2824">CONCATENATE("VAUB","-",LEFT(P6564,2),UPPER(MID(P6564,4,3)),RIGHT(P6564,4))</f>
        <v>VAUB-21JAN1914</v>
      </c>
      <c r="C6564" s="11" t="s">
        <v>3179</v>
      </c>
      <c r="D6564" s="11" t="s">
        <v>4494</v>
      </c>
      <c r="E6564" s="39" t="s">
        <v>1539</v>
      </c>
      <c r="F6564" s="11" t="s">
        <v>1700</v>
      </c>
      <c r="G6564" s="39" t="s">
        <v>2558</v>
      </c>
      <c r="H6564" s="7">
        <v>0</v>
      </c>
      <c r="I6564" s="7">
        <v>0</v>
      </c>
      <c r="J6564" s="17">
        <v>6</v>
      </c>
      <c r="K6564" s="17"/>
      <c r="L6564" s="7">
        <f t="shared" ref="L6564:L6569" si="2825">SUM(H6564:K6564)</f>
        <v>6</v>
      </c>
      <c r="M6564" s="8">
        <v>1</v>
      </c>
      <c r="N6564" s="8">
        <f t="shared" ref="N6564:N6569" si="2826">IF(L6564&gt;0,1,"")</f>
        <v>1</v>
      </c>
      <c r="O6564" s="11" t="s">
        <v>1702</v>
      </c>
      <c r="P6564" s="16" t="str">
        <f t="shared" ref="P6564:P6569" si="2827">IF(LEN(G6564)=10,CONCATENATE("0",G6564),G6564)</f>
        <v>21-Jan-1914</v>
      </c>
      <c r="R6564" s="16" t="str">
        <f>IF($L6564&gt;0,"x","")</f>
        <v>x</v>
      </c>
      <c r="S6564" s="16" t="str">
        <f>IF($L6564&gt;0,"x","")</f>
        <v>x</v>
      </c>
      <c r="U6564" s="46" t="str">
        <f t="shared" si="2801"/>
        <v/>
      </c>
      <c r="V6564" s="46">
        <f t="shared" si="2801"/>
        <v>6</v>
      </c>
      <c r="W6564" s="46" t="str">
        <f t="shared" si="2801"/>
        <v/>
      </c>
      <c r="X6564" s="46" t="str">
        <f t="shared" si="2801"/>
        <v/>
      </c>
    </row>
    <row r="6565" spans="2:24" x14ac:dyDescent="0.25">
      <c r="B6565" s="11" t="str">
        <f t="shared" si="2824"/>
        <v>VAUB-23OCT1915</v>
      </c>
      <c r="C6565" s="11" t="s">
        <v>3179</v>
      </c>
      <c r="D6565" s="11" t="s">
        <v>4494</v>
      </c>
      <c r="E6565" s="39" t="s">
        <v>5447</v>
      </c>
      <c r="F6565" s="11" t="s">
        <v>1700</v>
      </c>
      <c r="G6565" s="39" t="s">
        <v>1964</v>
      </c>
      <c r="H6565" s="7">
        <v>0</v>
      </c>
      <c r="I6565" s="7">
        <v>0</v>
      </c>
      <c r="J6565" s="17">
        <v>2</v>
      </c>
      <c r="K6565" s="17"/>
      <c r="L6565" s="7">
        <f t="shared" si="2825"/>
        <v>2</v>
      </c>
      <c r="M6565" s="8">
        <v>1</v>
      </c>
      <c r="N6565" s="8">
        <f t="shared" si="2826"/>
        <v>1</v>
      </c>
      <c r="O6565" s="11" t="s">
        <v>1702</v>
      </c>
      <c r="P6565" s="16" t="str">
        <f t="shared" si="2827"/>
        <v>23-Oct-1915</v>
      </c>
      <c r="R6565" s="16" t="str">
        <f>IF($L6565&gt;0,"x","")</f>
        <v>x</v>
      </c>
      <c r="S6565" s="16" t="str">
        <f>IF($L6565&gt;0,"x","")</f>
        <v>x</v>
      </c>
      <c r="U6565" s="46" t="str">
        <f t="shared" ref="U6565:X6566" si="2828">IF($O6565=U$5,$L6565,"")</f>
        <v/>
      </c>
      <c r="V6565" s="46">
        <f t="shared" si="2828"/>
        <v>2</v>
      </c>
      <c r="W6565" s="46" t="str">
        <f t="shared" si="2828"/>
        <v/>
      </c>
      <c r="X6565" s="46" t="str">
        <f t="shared" si="2828"/>
        <v/>
      </c>
    </row>
    <row r="6566" spans="2:24" x14ac:dyDescent="0.25">
      <c r="B6566" s="11" t="str">
        <f t="shared" si="2824"/>
        <v>VAUB-08APR1916</v>
      </c>
      <c r="C6566" s="11" t="s">
        <v>3179</v>
      </c>
      <c r="D6566" s="11" t="s">
        <v>3887</v>
      </c>
      <c r="E6566" s="39" t="s">
        <v>1971</v>
      </c>
      <c r="F6566" s="11" t="s">
        <v>1700</v>
      </c>
      <c r="G6566" s="39" t="s">
        <v>3180</v>
      </c>
      <c r="H6566" s="7">
        <v>0</v>
      </c>
      <c r="I6566" s="7">
        <v>0</v>
      </c>
      <c r="J6566" s="17">
        <v>33</v>
      </c>
      <c r="K6566" s="17"/>
      <c r="L6566" s="7">
        <f t="shared" si="2825"/>
        <v>33</v>
      </c>
      <c r="M6566" s="8">
        <v>1</v>
      </c>
      <c r="N6566" s="8">
        <f t="shared" si="2826"/>
        <v>1</v>
      </c>
      <c r="O6566" s="11" t="s">
        <v>1702</v>
      </c>
      <c r="P6566" s="16" t="str">
        <f t="shared" si="2827"/>
        <v>08-Apr-1916</v>
      </c>
      <c r="R6566" s="16" t="str">
        <f t="shared" ref="R6566:S6568" si="2829">IF($L6566&gt;0,"x","")</f>
        <v>x</v>
      </c>
      <c r="S6566" s="16" t="str">
        <f t="shared" si="2829"/>
        <v>x</v>
      </c>
      <c r="U6566" s="46" t="str">
        <f t="shared" si="2828"/>
        <v/>
      </c>
      <c r="V6566" s="46">
        <f t="shared" si="2828"/>
        <v>33</v>
      </c>
      <c r="W6566" s="46" t="str">
        <f t="shared" si="2828"/>
        <v/>
      </c>
      <c r="X6566" s="46" t="str">
        <f t="shared" si="2828"/>
        <v/>
      </c>
    </row>
    <row r="6567" spans="2:24" x14ac:dyDescent="0.25">
      <c r="B6567" s="11" t="str">
        <f t="shared" si="2824"/>
        <v>VAUB-09MAR1917</v>
      </c>
      <c r="C6567" s="11" t="s">
        <v>3179</v>
      </c>
      <c r="D6567" s="11" t="s">
        <v>4494</v>
      </c>
      <c r="E6567" s="39" t="s">
        <v>1083</v>
      </c>
      <c r="F6567" s="11" t="s">
        <v>1700</v>
      </c>
      <c r="G6567" s="39" t="s">
        <v>4588</v>
      </c>
      <c r="H6567" s="7">
        <v>0</v>
      </c>
      <c r="I6567" s="7">
        <v>0</v>
      </c>
      <c r="J6567" s="17">
        <v>6</v>
      </c>
      <c r="K6567" s="17"/>
      <c r="L6567" s="7">
        <f t="shared" si="2825"/>
        <v>6</v>
      </c>
      <c r="M6567" s="8">
        <v>1</v>
      </c>
      <c r="N6567" s="8">
        <f t="shared" si="2826"/>
        <v>1</v>
      </c>
      <c r="O6567" s="11" t="s">
        <v>1702</v>
      </c>
      <c r="P6567" s="16" t="str">
        <f t="shared" si="2827"/>
        <v>09-Mar-1917</v>
      </c>
      <c r="R6567" s="16" t="str">
        <f t="shared" si="2829"/>
        <v>x</v>
      </c>
      <c r="S6567" s="16" t="str">
        <f t="shared" si="2829"/>
        <v>x</v>
      </c>
      <c r="U6567" s="46" t="str">
        <f t="shared" ref="U6567:X6569" si="2830">IF($O6567=U$5,$L6567,"")</f>
        <v/>
      </c>
      <c r="V6567" s="46">
        <f t="shared" si="2830"/>
        <v>6</v>
      </c>
      <c r="W6567" s="46" t="str">
        <f t="shared" si="2830"/>
        <v/>
      </c>
      <c r="X6567" s="46" t="str">
        <f t="shared" si="2830"/>
        <v/>
      </c>
    </row>
    <row r="6568" spans="2:24" x14ac:dyDescent="0.25">
      <c r="B6568" s="11" t="str">
        <f t="shared" si="2824"/>
        <v>VAUB-08JUN1919</v>
      </c>
      <c r="C6568" s="11" t="s">
        <v>3179</v>
      </c>
      <c r="D6568" s="11" t="s">
        <v>2097</v>
      </c>
      <c r="E6568" s="39" t="s">
        <v>5419</v>
      </c>
      <c r="F6568" s="11" t="s">
        <v>1700</v>
      </c>
      <c r="G6568" s="39" t="s">
        <v>5420</v>
      </c>
      <c r="H6568" s="7">
        <v>0</v>
      </c>
      <c r="I6568" s="7">
        <v>0</v>
      </c>
      <c r="J6568" s="17">
        <v>4</v>
      </c>
      <c r="K6568" s="17"/>
      <c r="L6568" s="7">
        <f t="shared" si="2825"/>
        <v>4</v>
      </c>
      <c r="M6568" s="8">
        <v>1</v>
      </c>
      <c r="N6568" s="8">
        <f t="shared" si="2826"/>
        <v>1</v>
      </c>
      <c r="O6568" s="11" t="s">
        <v>1702</v>
      </c>
      <c r="P6568" s="16" t="str">
        <f t="shared" si="2827"/>
        <v>08-Jun-1919</v>
      </c>
      <c r="R6568" s="16" t="str">
        <f t="shared" si="2829"/>
        <v>x</v>
      </c>
      <c r="S6568" s="16" t="str">
        <f t="shared" si="2829"/>
        <v>x</v>
      </c>
      <c r="U6568" s="46" t="str">
        <f t="shared" si="2830"/>
        <v/>
      </c>
      <c r="V6568" s="46">
        <f t="shared" si="2830"/>
        <v>4</v>
      </c>
      <c r="W6568" s="46" t="str">
        <f t="shared" si="2830"/>
        <v/>
      </c>
      <c r="X6568" s="46" t="str">
        <f t="shared" si="2830"/>
        <v/>
      </c>
    </row>
    <row r="6569" spans="2:24" x14ac:dyDescent="0.25">
      <c r="B6569" s="11" t="str">
        <f t="shared" si="2824"/>
        <v>VAUB-13JAN1924</v>
      </c>
      <c r="C6569" s="11" t="s">
        <v>3179</v>
      </c>
      <c r="D6569" s="11" t="s">
        <v>4494</v>
      </c>
      <c r="E6569" s="39" t="s">
        <v>4331</v>
      </c>
      <c r="F6569" s="11" t="s">
        <v>1700</v>
      </c>
      <c r="G6569" s="39" t="s">
        <v>5730</v>
      </c>
      <c r="H6569" s="7">
        <v>0</v>
      </c>
      <c r="I6569" s="7">
        <v>9</v>
      </c>
      <c r="J6569" s="17">
        <v>0</v>
      </c>
      <c r="K6569" s="17"/>
      <c r="L6569" s="7">
        <f t="shared" si="2825"/>
        <v>9</v>
      </c>
      <c r="M6569" s="8">
        <v>1</v>
      </c>
      <c r="N6569" s="8">
        <f t="shared" si="2826"/>
        <v>1</v>
      </c>
      <c r="O6569" s="11" t="s">
        <v>1702</v>
      </c>
      <c r="P6569" s="16" t="str">
        <f t="shared" si="2827"/>
        <v>13-Jan-1924</v>
      </c>
      <c r="R6569" s="16" t="str">
        <f>IF($L6569&gt;0,"x","")</f>
        <v>x</v>
      </c>
      <c r="S6569" s="16" t="str">
        <f>IF($L6569&gt;0,"x","")</f>
        <v>x</v>
      </c>
      <c r="U6569" s="46" t="str">
        <f t="shared" si="2830"/>
        <v/>
      </c>
      <c r="V6569" s="46">
        <f t="shared" si="2830"/>
        <v>9</v>
      </c>
      <c r="W6569" s="46" t="str">
        <f t="shared" si="2830"/>
        <v/>
      </c>
      <c r="X6569" s="46" t="str">
        <f t="shared" si="2830"/>
        <v/>
      </c>
    </row>
    <row r="6570" spans="2:24" x14ac:dyDescent="0.25">
      <c r="N6570" s="8" t="str">
        <f>IF(R6570="x",1,"")</f>
        <v/>
      </c>
      <c r="U6570" s="46" t="str">
        <f t="shared" si="2801"/>
        <v/>
      </c>
      <c r="V6570" s="46" t="str">
        <f t="shared" si="2801"/>
        <v/>
      </c>
      <c r="W6570" s="46" t="str">
        <f t="shared" si="2801"/>
        <v/>
      </c>
      <c r="X6570" s="46" t="str">
        <f t="shared" si="2801"/>
        <v/>
      </c>
    </row>
    <row r="6571" spans="2:24" x14ac:dyDescent="0.25">
      <c r="B6571" s="18"/>
      <c r="C6571" s="18"/>
      <c r="D6571" s="18"/>
      <c r="E6571" s="40"/>
      <c r="F6571" s="18"/>
      <c r="G6571" s="40"/>
      <c r="H6571" s="7">
        <f t="shared" ref="H6571:N6571" si="2831">SUM(H6564:H6570)</f>
        <v>0</v>
      </c>
      <c r="I6571" s="7">
        <f t="shared" si="2831"/>
        <v>9</v>
      </c>
      <c r="J6571" s="7">
        <f>SUM(J6564:J6570)</f>
        <v>51</v>
      </c>
      <c r="K6571" s="7">
        <f t="shared" si="2831"/>
        <v>0</v>
      </c>
      <c r="L6571" s="7">
        <f t="shared" si="2831"/>
        <v>60</v>
      </c>
      <c r="M6571" s="7">
        <f t="shared" si="2831"/>
        <v>6</v>
      </c>
      <c r="N6571" s="7">
        <f t="shared" si="2831"/>
        <v>6</v>
      </c>
      <c r="O6571" s="18"/>
      <c r="P6571" s="13"/>
      <c r="Q6571" s="13"/>
      <c r="S6571" s="13"/>
      <c r="T6571" s="15"/>
      <c r="U6571" s="46" t="str">
        <f t="shared" si="2801"/>
        <v/>
      </c>
      <c r="V6571" s="46" t="str">
        <f t="shared" si="2801"/>
        <v/>
      </c>
      <c r="W6571" s="46" t="str">
        <f t="shared" si="2801"/>
        <v/>
      </c>
      <c r="X6571" s="46" t="str">
        <f t="shared" si="2801"/>
        <v/>
      </c>
    </row>
    <row r="6572" spans="2:24" x14ac:dyDescent="0.25">
      <c r="B6572" s="18"/>
      <c r="C6572" s="18"/>
      <c r="D6572" s="18"/>
      <c r="E6572" s="40"/>
      <c r="F6572" s="18"/>
      <c r="G6572" s="40"/>
      <c r="N6572" s="8" t="str">
        <f>IF(R6572="x",1,"")</f>
        <v/>
      </c>
      <c r="O6572" s="18"/>
      <c r="P6572" s="13"/>
      <c r="Q6572" s="13"/>
      <c r="R6572" s="13"/>
      <c r="S6572" s="13"/>
      <c r="T6572" s="15"/>
      <c r="U6572" s="46" t="str">
        <f t="shared" si="2801"/>
        <v/>
      </c>
      <c r="V6572" s="46" t="str">
        <f t="shared" si="2801"/>
        <v/>
      </c>
      <c r="W6572" s="46" t="str">
        <f t="shared" si="2801"/>
        <v/>
      </c>
      <c r="X6572" s="46" t="str">
        <f t="shared" si="2801"/>
        <v/>
      </c>
    </row>
    <row r="6573" spans="2:24" x14ac:dyDescent="0.25">
      <c r="B6573" s="18"/>
      <c r="C6573" s="18"/>
      <c r="D6573" s="18"/>
      <c r="E6573" s="40"/>
      <c r="F6573" s="18"/>
      <c r="G6573" s="40"/>
      <c r="N6573" s="8" t="str">
        <f>IF(R6573="x",1,"")</f>
        <v/>
      </c>
      <c r="O6573" s="18"/>
      <c r="P6573" s="13"/>
      <c r="Q6573" s="13"/>
      <c r="R6573" s="13"/>
      <c r="S6573" s="13"/>
      <c r="T6573" s="15"/>
      <c r="U6573" s="46" t="str">
        <f t="shared" si="2801"/>
        <v/>
      </c>
      <c r="V6573" s="46" t="str">
        <f t="shared" si="2801"/>
        <v/>
      </c>
      <c r="W6573" s="46" t="str">
        <f t="shared" si="2801"/>
        <v/>
      </c>
      <c r="X6573" s="46" t="str">
        <f t="shared" si="2801"/>
        <v/>
      </c>
    </row>
    <row r="6574" spans="2:24" x14ac:dyDescent="0.25">
      <c r="B6574" s="11" t="str">
        <f t="shared" ref="B6574:B6582" si="2832">CONCATENATE("VEEN","-",LEFT(P6574,2),UPPER(MID(P6574,4,3)),RIGHT(P6574,4))</f>
        <v>VEEN-03OCT1889</v>
      </c>
      <c r="C6574" s="11" t="s">
        <v>3509</v>
      </c>
      <c r="D6574" s="11" t="s">
        <v>3707</v>
      </c>
      <c r="F6574" s="11" t="s">
        <v>1700</v>
      </c>
      <c r="G6574" s="39" t="s">
        <v>6288</v>
      </c>
      <c r="H6574" s="7">
        <v>0</v>
      </c>
      <c r="I6574" s="7">
        <v>0</v>
      </c>
      <c r="J6574" s="17">
        <v>3</v>
      </c>
      <c r="K6574" s="17"/>
      <c r="L6574" s="7">
        <f t="shared" ref="L6574:L6582" si="2833">SUM(H6574:K6574)</f>
        <v>3</v>
      </c>
      <c r="M6574" s="8">
        <v>1</v>
      </c>
      <c r="N6574" s="8">
        <f t="shared" ref="N6574:N6582" si="2834">IF(L6574&gt;0,1,"")</f>
        <v>1</v>
      </c>
      <c r="O6574" s="11" t="s">
        <v>1702</v>
      </c>
      <c r="P6574" s="16" t="str">
        <f t="shared" ref="P6574:P6582" si="2835">IF(LEN(G6574)=10,CONCATENATE("0",G6574),G6574)</f>
        <v>03-Oct-1889</v>
      </c>
      <c r="R6574" s="16" t="str">
        <f>IF($L6574&gt;0,"x","")</f>
        <v>x</v>
      </c>
      <c r="S6574" s="16" t="str">
        <f>IF($L6574&gt;0,"x","")</f>
        <v>x</v>
      </c>
      <c r="U6574" s="46" t="str">
        <f t="shared" si="2801"/>
        <v/>
      </c>
      <c r="V6574" s="46">
        <f t="shared" si="2801"/>
        <v>3</v>
      </c>
      <c r="W6574" s="46" t="str">
        <f t="shared" si="2801"/>
        <v/>
      </c>
      <c r="X6574" s="46" t="str">
        <f t="shared" si="2801"/>
        <v/>
      </c>
    </row>
    <row r="6575" spans="2:24" x14ac:dyDescent="0.25">
      <c r="B6575" s="11" t="str">
        <f>CONCATENATE("VEEN","-",LEFT(P6575,2),UPPER(MID(P6575,4,3)),RIGHT(P6575,4))</f>
        <v>VEEN-03SEP1895</v>
      </c>
      <c r="C6575" s="11" t="s">
        <v>3509</v>
      </c>
      <c r="D6575" s="11" t="s">
        <v>3707</v>
      </c>
      <c r="F6575" s="11" t="s">
        <v>1700</v>
      </c>
      <c r="G6575" s="39" t="s">
        <v>5943</v>
      </c>
      <c r="H6575" s="7">
        <v>0</v>
      </c>
      <c r="I6575" s="7">
        <v>0</v>
      </c>
      <c r="J6575" s="17">
        <v>4</v>
      </c>
      <c r="K6575" s="17"/>
      <c r="L6575" s="7">
        <f>SUM(H6575:K6575)</f>
        <v>4</v>
      </c>
      <c r="M6575" s="8">
        <v>1</v>
      </c>
      <c r="N6575" s="8">
        <f>IF(L6575&gt;0,1,"")</f>
        <v>1</v>
      </c>
      <c r="O6575" s="11" t="s">
        <v>1702</v>
      </c>
      <c r="P6575" s="16" t="str">
        <f>IF(LEN(G6575)=10,CONCATENATE("0",G6575),G6575)</f>
        <v>03-Sep-1895</v>
      </c>
      <c r="R6575" s="16" t="str">
        <f t="shared" ref="R6575:S6578" si="2836">IF($L6575&gt;0,"x","")</f>
        <v>x</v>
      </c>
      <c r="S6575" s="16" t="str">
        <f t="shared" si="2836"/>
        <v>x</v>
      </c>
      <c r="T6575" s="11"/>
      <c r="U6575" s="46" t="str">
        <f t="shared" ref="U6575:X6576" si="2837">IF($O6575=U$5,$L6575,"")</f>
        <v/>
      </c>
      <c r="V6575" s="46">
        <f t="shared" si="2837"/>
        <v>4</v>
      </c>
      <c r="W6575" s="46" t="str">
        <f t="shared" si="2837"/>
        <v/>
      </c>
      <c r="X6575" s="46" t="str">
        <f t="shared" si="2837"/>
        <v/>
      </c>
    </row>
    <row r="6576" spans="2:24" x14ac:dyDescent="0.25">
      <c r="B6576" s="11" t="str">
        <f>CONCATENATE("VEEN","-",LEFT(P6576,2),UPPER(MID(P6576,4,3)),RIGHT(P6576,4))</f>
        <v>VEEN-07OCT1895</v>
      </c>
      <c r="C6576" s="11" t="s">
        <v>3509</v>
      </c>
      <c r="D6576" s="11" t="s">
        <v>2103</v>
      </c>
      <c r="F6576" s="11" t="s">
        <v>1700</v>
      </c>
      <c r="G6576" s="39" t="s">
        <v>1701</v>
      </c>
      <c r="H6576" s="7">
        <v>0</v>
      </c>
      <c r="I6576" s="7">
        <v>0</v>
      </c>
      <c r="J6576" s="17">
        <v>9</v>
      </c>
      <c r="K6576" s="17"/>
      <c r="L6576" s="7">
        <f>SUM(H6576:K6576)</f>
        <v>9</v>
      </c>
      <c r="M6576" s="8">
        <v>1</v>
      </c>
      <c r="N6576" s="8">
        <f>IF(L6576&gt;0,1,"")</f>
        <v>1</v>
      </c>
      <c r="O6576" s="11" t="s">
        <v>1702</v>
      </c>
      <c r="P6576" s="16" t="str">
        <f>IF(LEN(G6576)=10,CONCATENATE("0",G6576),G6576)</f>
        <v>07-Oct-1895</v>
      </c>
      <c r="R6576" s="16" t="str">
        <f t="shared" si="2836"/>
        <v>x</v>
      </c>
      <c r="S6576" s="16" t="str">
        <f t="shared" si="2836"/>
        <v>x</v>
      </c>
      <c r="U6576" s="46" t="str">
        <f t="shared" si="2837"/>
        <v/>
      </c>
      <c r="V6576" s="46">
        <f t="shared" si="2837"/>
        <v>9</v>
      </c>
      <c r="W6576" s="46" t="str">
        <f t="shared" si="2837"/>
        <v/>
      </c>
      <c r="X6576" s="46" t="str">
        <f t="shared" si="2837"/>
        <v/>
      </c>
    </row>
    <row r="6577" spans="2:24" x14ac:dyDescent="0.25">
      <c r="B6577" s="11" t="str">
        <f t="shared" si="2832"/>
        <v>VEEN-25MAY1896</v>
      </c>
      <c r="C6577" s="11" t="s">
        <v>3509</v>
      </c>
      <c r="D6577" s="11" t="s">
        <v>2103</v>
      </c>
      <c r="F6577" s="11" t="s">
        <v>1700</v>
      </c>
      <c r="G6577" s="39" t="s">
        <v>12</v>
      </c>
      <c r="H6577" s="7">
        <v>0</v>
      </c>
      <c r="I6577" s="7">
        <v>0</v>
      </c>
      <c r="J6577" s="17">
        <v>4</v>
      </c>
      <c r="K6577" s="17"/>
      <c r="L6577" s="7">
        <f t="shared" si="2833"/>
        <v>4</v>
      </c>
      <c r="M6577" s="8">
        <v>1</v>
      </c>
      <c r="N6577" s="8">
        <f t="shared" si="2834"/>
        <v>1</v>
      </c>
      <c r="O6577" s="11" t="s">
        <v>1702</v>
      </c>
      <c r="P6577" s="16" t="str">
        <f t="shared" si="2835"/>
        <v>25-May-1896</v>
      </c>
      <c r="R6577" s="16" t="str">
        <f t="shared" si="2836"/>
        <v>x</v>
      </c>
      <c r="S6577" s="16" t="str">
        <f t="shared" si="2836"/>
        <v>x</v>
      </c>
      <c r="U6577" s="46" t="str">
        <f t="shared" ref="U6577:X6579" si="2838">IF($O6577=U$5,$L6577,"")</f>
        <v/>
      </c>
      <c r="V6577" s="46">
        <f t="shared" si="2838"/>
        <v>4</v>
      </c>
      <c r="W6577" s="46" t="str">
        <f t="shared" si="2838"/>
        <v/>
      </c>
      <c r="X6577" s="46" t="str">
        <f t="shared" si="2838"/>
        <v/>
      </c>
    </row>
    <row r="6578" spans="2:24" x14ac:dyDescent="0.25">
      <c r="B6578" s="11" t="str">
        <f t="shared" si="2832"/>
        <v>VEEN-03AUG1896</v>
      </c>
      <c r="C6578" s="11" t="s">
        <v>3509</v>
      </c>
      <c r="D6578" s="11" t="s">
        <v>2103</v>
      </c>
      <c r="F6578" s="11" t="s">
        <v>1700</v>
      </c>
      <c r="G6578" s="39" t="s">
        <v>391</v>
      </c>
      <c r="H6578" s="7">
        <v>0</v>
      </c>
      <c r="I6578" s="7">
        <v>1</v>
      </c>
      <c r="J6578" s="17">
        <v>6</v>
      </c>
      <c r="K6578" s="17"/>
      <c r="L6578" s="7">
        <f t="shared" si="2833"/>
        <v>7</v>
      </c>
      <c r="M6578" s="8">
        <v>1</v>
      </c>
      <c r="N6578" s="8">
        <f t="shared" si="2834"/>
        <v>1</v>
      </c>
      <c r="O6578" s="11" t="s">
        <v>1702</v>
      </c>
      <c r="P6578" s="16" t="str">
        <f t="shared" si="2835"/>
        <v>03-Aug-1896</v>
      </c>
      <c r="R6578" s="16" t="str">
        <f t="shared" si="2836"/>
        <v>x</v>
      </c>
      <c r="S6578" s="16" t="str">
        <f t="shared" si="2836"/>
        <v>x</v>
      </c>
      <c r="U6578" s="46" t="str">
        <f t="shared" si="2838"/>
        <v/>
      </c>
      <c r="V6578" s="46">
        <f t="shared" si="2838"/>
        <v>7</v>
      </c>
      <c r="W6578" s="46" t="str">
        <f t="shared" si="2838"/>
        <v/>
      </c>
      <c r="X6578" s="46" t="str">
        <f t="shared" si="2838"/>
        <v/>
      </c>
    </row>
    <row r="6579" spans="2:24" x14ac:dyDescent="0.25">
      <c r="B6579" s="11" t="str">
        <f t="shared" si="2832"/>
        <v>VEEN-07JUN1897</v>
      </c>
      <c r="C6579" s="11" t="s">
        <v>3509</v>
      </c>
      <c r="D6579" s="11" t="s">
        <v>2103</v>
      </c>
      <c r="F6579" s="11" t="s">
        <v>1700</v>
      </c>
      <c r="G6579" s="39" t="s">
        <v>22</v>
      </c>
      <c r="H6579" s="7">
        <v>0</v>
      </c>
      <c r="I6579" s="7">
        <v>0</v>
      </c>
      <c r="J6579" s="17">
        <v>19</v>
      </c>
      <c r="K6579" s="17"/>
      <c r="L6579" s="7">
        <f t="shared" si="2833"/>
        <v>19</v>
      </c>
      <c r="M6579" s="8">
        <v>1</v>
      </c>
      <c r="N6579" s="8">
        <f t="shared" si="2834"/>
        <v>1</v>
      </c>
      <c r="O6579" s="11" t="s">
        <v>1702</v>
      </c>
      <c r="P6579" s="16" t="str">
        <f t="shared" si="2835"/>
        <v>07-Jun-1897</v>
      </c>
      <c r="R6579" s="16" t="str">
        <f t="shared" ref="R6579:S6583" si="2839">IF($L6579&gt;0,"x","")</f>
        <v>x</v>
      </c>
      <c r="S6579" s="16" t="str">
        <f t="shared" si="2839"/>
        <v>x</v>
      </c>
      <c r="U6579" s="46" t="str">
        <f t="shared" si="2838"/>
        <v/>
      </c>
      <c r="V6579" s="46">
        <f t="shared" si="2838"/>
        <v>19</v>
      </c>
      <c r="W6579" s="46" t="str">
        <f t="shared" si="2838"/>
        <v/>
      </c>
      <c r="X6579" s="46" t="str">
        <f t="shared" si="2838"/>
        <v/>
      </c>
    </row>
    <row r="6580" spans="2:24" x14ac:dyDescent="0.25">
      <c r="B6580" s="11" t="str">
        <f>CONCATENATE("VEEN","-",LEFT(P6580,2),UPPER(MID(P6580,4,3)),RIGHT(P6580,4))</f>
        <v>VEEN-11JUL1897</v>
      </c>
      <c r="C6580" s="11" t="s">
        <v>3509</v>
      </c>
      <c r="D6580" s="11" t="s">
        <v>2103</v>
      </c>
      <c r="E6580" s="39" t="s">
        <v>5163</v>
      </c>
      <c r="F6580" s="11" t="s">
        <v>1700</v>
      </c>
      <c r="G6580" s="39" t="s">
        <v>545</v>
      </c>
      <c r="J6580" s="17">
        <v>15</v>
      </c>
      <c r="K6580" s="17"/>
      <c r="L6580" s="7">
        <f>SUM(H6580:K6580)</f>
        <v>15</v>
      </c>
      <c r="M6580" s="8">
        <v>1</v>
      </c>
      <c r="N6580" s="8">
        <f>IF(L6580&gt;0,1,"")</f>
        <v>1</v>
      </c>
      <c r="O6580" s="11" t="s">
        <v>1702</v>
      </c>
      <c r="P6580" s="16" t="str">
        <f>IF(LEN(G6580)=10,CONCATENATE("0",G6580),G6580)</f>
        <v>11-Jul-1897</v>
      </c>
      <c r="R6580" s="16" t="str">
        <f t="shared" si="2839"/>
        <v>x</v>
      </c>
      <c r="S6580" s="16" t="str">
        <f t="shared" si="2839"/>
        <v>x</v>
      </c>
      <c r="U6580" s="46" t="str">
        <f t="shared" ref="U6580:X6583" si="2840">IF($O6580=U$5,$L6580,"")</f>
        <v/>
      </c>
      <c r="V6580" s="46">
        <f t="shared" si="2840"/>
        <v>15</v>
      </c>
      <c r="W6580" s="46" t="str">
        <f t="shared" si="2840"/>
        <v/>
      </c>
      <c r="X6580" s="46" t="str">
        <f t="shared" si="2840"/>
        <v/>
      </c>
    </row>
    <row r="6581" spans="2:24" x14ac:dyDescent="0.25">
      <c r="B6581" s="11" t="str">
        <f t="shared" si="2832"/>
        <v>VEEN-19SEP1897</v>
      </c>
      <c r="C6581" s="11" t="s">
        <v>3509</v>
      </c>
      <c r="D6581" s="11" t="s">
        <v>2103</v>
      </c>
      <c r="E6581" s="39" t="s">
        <v>3510</v>
      </c>
      <c r="F6581" s="11" t="s">
        <v>1700</v>
      </c>
      <c r="G6581" s="39" t="s">
        <v>3511</v>
      </c>
      <c r="J6581" s="17">
        <v>24</v>
      </c>
      <c r="K6581" s="17"/>
      <c r="L6581" s="7">
        <f t="shared" si="2833"/>
        <v>24</v>
      </c>
      <c r="M6581" s="8">
        <v>1</v>
      </c>
      <c r="N6581" s="8">
        <f t="shared" si="2834"/>
        <v>1</v>
      </c>
      <c r="O6581" s="11" t="s">
        <v>1702</v>
      </c>
      <c r="P6581" s="16" t="str">
        <f t="shared" si="2835"/>
        <v>19-Sep-1897</v>
      </c>
      <c r="R6581" s="16" t="str">
        <f t="shared" si="2839"/>
        <v>x</v>
      </c>
      <c r="S6581" s="16" t="str">
        <f t="shared" si="2839"/>
        <v>x</v>
      </c>
      <c r="U6581" s="46" t="str">
        <f t="shared" si="2840"/>
        <v/>
      </c>
      <c r="V6581" s="46">
        <f t="shared" si="2840"/>
        <v>24</v>
      </c>
      <c r="W6581" s="46" t="str">
        <f t="shared" si="2840"/>
        <v/>
      </c>
      <c r="X6581" s="46" t="str">
        <f t="shared" si="2840"/>
        <v/>
      </c>
    </row>
    <row r="6582" spans="2:24" x14ac:dyDescent="0.25">
      <c r="B6582" s="11" t="str">
        <f t="shared" si="2832"/>
        <v>VEEN-04JAN1898</v>
      </c>
      <c r="C6582" s="11" t="s">
        <v>3509</v>
      </c>
      <c r="D6582" s="11" t="s">
        <v>2103</v>
      </c>
      <c r="E6582" s="39" t="s">
        <v>4578</v>
      </c>
      <c r="F6582" s="11" t="s">
        <v>1700</v>
      </c>
      <c r="G6582" s="39" t="s">
        <v>4579</v>
      </c>
      <c r="J6582" s="17">
        <v>13</v>
      </c>
      <c r="K6582" s="17"/>
      <c r="L6582" s="7">
        <f t="shared" si="2833"/>
        <v>13</v>
      </c>
      <c r="M6582" s="8">
        <v>1</v>
      </c>
      <c r="N6582" s="8">
        <f t="shared" si="2834"/>
        <v>1</v>
      </c>
      <c r="O6582" s="11" t="s">
        <v>1702</v>
      </c>
      <c r="P6582" s="16" t="str">
        <f t="shared" si="2835"/>
        <v>04-Jan-1898</v>
      </c>
      <c r="R6582" s="16" t="str">
        <f t="shared" si="2839"/>
        <v>x</v>
      </c>
      <c r="S6582" s="16" t="str">
        <f t="shared" si="2839"/>
        <v>x</v>
      </c>
      <c r="U6582" s="46" t="str">
        <f t="shared" si="2840"/>
        <v/>
      </c>
      <c r="V6582" s="46">
        <f t="shared" si="2840"/>
        <v>13</v>
      </c>
      <c r="W6582" s="46" t="str">
        <f t="shared" si="2840"/>
        <v/>
      </c>
      <c r="X6582" s="46" t="str">
        <f t="shared" si="2840"/>
        <v/>
      </c>
    </row>
    <row r="6583" spans="2:24" x14ac:dyDescent="0.25">
      <c r="B6583" s="11" t="str">
        <f>CONCATENATE("VEEN","-",LEFT(P6583,2),UPPER(MID(P6583,4,3)),RIGHT(P6583,4))</f>
        <v>VEEN-30APR1925</v>
      </c>
      <c r="C6583" s="11" t="s">
        <v>3509</v>
      </c>
      <c r="D6583" s="11" t="s">
        <v>2103</v>
      </c>
      <c r="E6583" s="39" t="s">
        <v>11416</v>
      </c>
      <c r="F6583" s="11" t="s">
        <v>2904</v>
      </c>
      <c r="G6583" s="39" t="s">
        <v>11417</v>
      </c>
      <c r="H6583" s="7">
        <v>1</v>
      </c>
      <c r="J6583" s="17">
        <v>0</v>
      </c>
      <c r="K6583" s="17"/>
      <c r="L6583" s="7">
        <f>SUM(H6583:K6583)</f>
        <v>1</v>
      </c>
      <c r="M6583" s="8">
        <v>1</v>
      </c>
      <c r="N6583" s="8">
        <f>IF(L6583&gt;0,1,"")</f>
        <v>1</v>
      </c>
      <c r="O6583" s="11" t="s">
        <v>1702</v>
      </c>
      <c r="P6583" s="16" t="str">
        <f>IF(LEN(G6583)=10,CONCATENATE("0",G6583),G6583)</f>
        <v>30-Apr-1925</v>
      </c>
      <c r="Q6583" s="80"/>
      <c r="S6583" s="16" t="str">
        <f t="shared" si="2839"/>
        <v>x</v>
      </c>
      <c r="V6583" s="46">
        <f t="shared" si="2840"/>
        <v>1</v>
      </c>
      <c r="W6583" s="46" t="str">
        <f t="shared" si="2840"/>
        <v/>
      </c>
      <c r="X6583" s="46" t="str">
        <f t="shared" si="2840"/>
        <v/>
      </c>
    </row>
    <row r="6584" spans="2:24" x14ac:dyDescent="0.25">
      <c r="N6584" s="8" t="str">
        <f>IF(R6584="x",1,"")</f>
        <v/>
      </c>
      <c r="U6584" s="46" t="str">
        <f t="shared" si="2801"/>
        <v/>
      </c>
      <c r="V6584" s="46" t="str">
        <f t="shared" si="2801"/>
        <v/>
      </c>
      <c r="W6584" s="46" t="str">
        <f t="shared" si="2801"/>
        <v/>
      </c>
      <c r="X6584" s="46" t="str">
        <f t="shared" si="2801"/>
        <v/>
      </c>
    </row>
    <row r="6585" spans="2:24" x14ac:dyDescent="0.25">
      <c r="B6585" s="18"/>
      <c r="C6585" s="18"/>
      <c r="D6585" s="18"/>
      <c r="E6585" s="40"/>
      <c r="F6585" s="18"/>
      <c r="G6585" s="40"/>
      <c r="H6585" s="7">
        <f t="shared" ref="H6585:N6585" si="2841">SUM(H6574:H6584)</f>
        <v>1</v>
      </c>
      <c r="I6585" s="7">
        <f t="shared" si="2841"/>
        <v>1</v>
      </c>
      <c r="J6585" s="7">
        <f>SUM(J6574:J6584)</f>
        <v>97</v>
      </c>
      <c r="K6585" s="7">
        <f t="shared" si="2841"/>
        <v>0</v>
      </c>
      <c r="L6585" s="7">
        <f t="shared" si="2841"/>
        <v>99</v>
      </c>
      <c r="M6585" s="7">
        <f t="shared" si="2841"/>
        <v>10</v>
      </c>
      <c r="N6585" s="7">
        <f t="shared" si="2841"/>
        <v>10</v>
      </c>
      <c r="O6585" s="18"/>
      <c r="P6585" s="13"/>
      <c r="Q6585" s="13"/>
      <c r="S6585" s="13"/>
      <c r="T6585" s="15"/>
      <c r="U6585" s="46" t="str">
        <f t="shared" si="2801"/>
        <v/>
      </c>
      <c r="V6585" s="46" t="str">
        <f t="shared" si="2801"/>
        <v/>
      </c>
      <c r="W6585" s="46" t="str">
        <f t="shared" si="2801"/>
        <v/>
      </c>
      <c r="X6585" s="46" t="str">
        <f t="shared" si="2801"/>
        <v/>
      </c>
    </row>
    <row r="6586" spans="2:24" x14ac:dyDescent="0.25">
      <c r="B6586" s="18"/>
      <c r="C6586" s="18"/>
      <c r="D6586" s="18"/>
      <c r="E6586" s="40"/>
      <c r="F6586" s="18"/>
      <c r="G6586" s="40"/>
      <c r="N6586" s="8" t="str">
        <f>IF(R6586="x",1,"")</f>
        <v/>
      </c>
      <c r="O6586" s="18"/>
      <c r="P6586" s="13"/>
      <c r="Q6586" s="13"/>
      <c r="R6586" s="13"/>
      <c r="S6586" s="13"/>
      <c r="T6586" s="15"/>
      <c r="U6586" s="46" t="str">
        <f t="shared" ref="U6586:X6590" si="2842">IF($O6586=U$5,$L6586,"")</f>
        <v/>
      </c>
      <c r="V6586" s="46" t="str">
        <f t="shared" si="2842"/>
        <v/>
      </c>
      <c r="W6586" s="46" t="str">
        <f t="shared" si="2842"/>
        <v/>
      </c>
      <c r="X6586" s="46" t="str">
        <f t="shared" si="2842"/>
        <v/>
      </c>
    </row>
    <row r="6587" spans="2:24" x14ac:dyDescent="0.25">
      <c r="B6587" s="18"/>
      <c r="C6587" s="18"/>
      <c r="D6587" s="18"/>
      <c r="E6587" s="40"/>
      <c r="F6587" s="18"/>
      <c r="G6587" s="40"/>
      <c r="N6587" s="8" t="str">
        <f>IF(R6587="x",1,"")</f>
        <v/>
      </c>
      <c r="O6587" s="18"/>
      <c r="P6587" s="13"/>
      <c r="Q6587" s="13"/>
      <c r="R6587" s="13"/>
      <c r="S6587" s="13"/>
      <c r="T6587" s="15"/>
      <c r="U6587" s="46" t="str">
        <f t="shared" si="2842"/>
        <v/>
      </c>
      <c r="V6587" s="46" t="str">
        <f t="shared" si="2842"/>
        <v/>
      </c>
      <c r="W6587" s="46" t="str">
        <f t="shared" si="2842"/>
        <v/>
      </c>
      <c r="X6587" s="46" t="str">
        <f t="shared" si="2842"/>
        <v/>
      </c>
    </row>
    <row r="6588" spans="2:24" x14ac:dyDescent="0.25">
      <c r="B6588" s="11" t="str">
        <f>CONCATENATE("VNTA","-",LEFT(P6588,2),UPPER(MID(P6588,4,3)),RIGHT(P6588,4))</f>
        <v>VNTA-06JUN1892</v>
      </c>
      <c r="C6588" s="11" t="s">
        <v>136</v>
      </c>
      <c r="D6588" s="11" t="s">
        <v>1699</v>
      </c>
      <c r="F6588" s="11" t="s">
        <v>1700</v>
      </c>
      <c r="G6588" s="39" t="s">
        <v>350</v>
      </c>
      <c r="H6588" s="7">
        <v>0</v>
      </c>
      <c r="J6588" s="17">
        <v>7</v>
      </c>
      <c r="K6588" s="17"/>
      <c r="L6588" s="7">
        <f>SUM(H6588:K6588)</f>
        <v>7</v>
      </c>
      <c r="M6588" s="8">
        <v>1</v>
      </c>
      <c r="N6588" s="8">
        <f>IF(L6588&gt;0,1,"")</f>
        <v>1</v>
      </c>
      <c r="O6588" s="11" t="s">
        <v>1702</v>
      </c>
      <c r="P6588" s="16" t="str">
        <f>IF(LEN(G6588)=10,CONCATENATE("0",G6588),G6588)</f>
        <v>06-Jun-1892</v>
      </c>
      <c r="R6588" s="16" t="str">
        <f>IF($L6588&gt;0,"x","")</f>
        <v>x</v>
      </c>
      <c r="S6588" s="16" t="str">
        <f>IF($L6588&gt;0,"x","")</f>
        <v>x</v>
      </c>
      <c r="U6588" s="46" t="str">
        <f t="shared" si="2842"/>
        <v/>
      </c>
      <c r="V6588" s="46">
        <f t="shared" si="2842"/>
        <v>7</v>
      </c>
      <c r="W6588" s="46" t="str">
        <f t="shared" si="2842"/>
        <v/>
      </c>
      <c r="X6588" s="46" t="str">
        <f t="shared" si="2842"/>
        <v/>
      </c>
    </row>
    <row r="6589" spans="2:24" x14ac:dyDescent="0.25">
      <c r="N6589" s="8" t="str">
        <f>IF(R6589="x",1,"")</f>
        <v/>
      </c>
      <c r="U6589" s="46" t="str">
        <f t="shared" si="2842"/>
        <v/>
      </c>
      <c r="V6589" s="46" t="str">
        <f t="shared" si="2842"/>
        <v/>
      </c>
      <c r="W6589" s="46" t="str">
        <f t="shared" si="2842"/>
        <v/>
      </c>
      <c r="X6589" s="46" t="str">
        <f t="shared" si="2842"/>
        <v/>
      </c>
    </row>
    <row r="6590" spans="2:24" x14ac:dyDescent="0.25">
      <c r="B6590" s="18"/>
      <c r="C6590" s="18"/>
      <c r="D6590" s="18"/>
      <c r="E6590" s="40"/>
      <c r="F6590" s="18"/>
      <c r="G6590" s="40"/>
      <c r="H6590" s="7">
        <f t="shared" ref="H6590:N6590" si="2843">SUM(H6588:H6589)</f>
        <v>0</v>
      </c>
      <c r="I6590" s="7">
        <f t="shared" si="2843"/>
        <v>0</v>
      </c>
      <c r="J6590" s="7">
        <f>SUM(J6588:J6589)</f>
        <v>7</v>
      </c>
      <c r="K6590" s="7">
        <f t="shared" si="2843"/>
        <v>0</v>
      </c>
      <c r="L6590" s="7">
        <f t="shared" si="2843"/>
        <v>7</v>
      </c>
      <c r="M6590" s="7">
        <f t="shared" si="2843"/>
        <v>1</v>
      </c>
      <c r="N6590" s="7">
        <f t="shared" si="2843"/>
        <v>1</v>
      </c>
      <c r="O6590" s="18"/>
      <c r="P6590" s="13"/>
      <c r="Q6590" s="13"/>
      <c r="S6590" s="13"/>
      <c r="T6590" s="15"/>
      <c r="U6590" s="46" t="str">
        <f t="shared" si="2842"/>
        <v/>
      </c>
      <c r="V6590" s="46" t="str">
        <f t="shared" si="2842"/>
        <v/>
      </c>
      <c r="W6590" s="46" t="str">
        <f t="shared" si="2842"/>
        <v/>
      </c>
      <c r="X6590" s="46" t="str">
        <f t="shared" si="2842"/>
        <v/>
      </c>
    </row>
    <row r="6591" spans="2:24" x14ac:dyDescent="0.25">
      <c r="B6591" s="18"/>
      <c r="C6591" s="18"/>
      <c r="D6591" s="18"/>
      <c r="E6591" s="40"/>
      <c r="F6591" s="18"/>
      <c r="G6591" s="40"/>
      <c r="N6591" s="8" t="str">
        <f>IF(R6591="x",1,"")</f>
        <v/>
      </c>
      <c r="O6591" s="18"/>
      <c r="P6591" s="13"/>
      <c r="Q6591" s="13"/>
      <c r="R6591" s="13"/>
      <c r="S6591" s="13"/>
      <c r="T6591" s="15"/>
      <c r="U6591" s="46" t="str">
        <f t="shared" ref="U6591:X6598" si="2844">IF($O6591=U$5,$L6591,"")</f>
        <v/>
      </c>
      <c r="V6591" s="46" t="str">
        <f t="shared" si="2844"/>
        <v/>
      </c>
      <c r="W6591" s="46" t="str">
        <f t="shared" si="2844"/>
        <v/>
      </c>
      <c r="X6591" s="46" t="str">
        <f t="shared" si="2844"/>
        <v/>
      </c>
    </row>
    <row r="6592" spans="2:24" x14ac:dyDescent="0.25">
      <c r="B6592" s="18"/>
      <c r="C6592" s="18"/>
      <c r="D6592" s="18"/>
      <c r="E6592" s="40"/>
      <c r="F6592" s="18"/>
      <c r="G6592" s="40"/>
      <c r="N6592" s="8" t="str">
        <f>IF(R6592="x",1,"")</f>
        <v/>
      </c>
      <c r="O6592" s="18"/>
      <c r="P6592" s="13"/>
      <c r="Q6592" s="13"/>
      <c r="R6592" s="13"/>
      <c r="S6592" s="13"/>
      <c r="T6592" s="15"/>
      <c r="U6592" s="46" t="str">
        <f t="shared" si="2844"/>
        <v/>
      </c>
      <c r="V6592" s="46" t="str">
        <f t="shared" si="2844"/>
        <v/>
      </c>
      <c r="W6592" s="46" t="str">
        <f t="shared" si="2844"/>
        <v/>
      </c>
      <c r="X6592" s="46" t="str">
        <f t="shared" si="2844"/>
        <v/>
      </c>
    </row>
    <row r="6593" spans="2:24" x14ac:dyDescent="0.25">
      <c r="B6593" s="11" t="str">
        <f>CONCATENATE("VNZA","-",LEFT(P6593,2),UPPER(MID(P6593,4,3)),RIGHT(P6593,4))</f>
        <v>VNZA-10JAN1908</v>
      </c>
      <c r="C6593" s="11" t="s">
        <v>3157</v>
      </c>
      <c r="D6593" s="11" t="s">
        <v>870</v>
      </c>
      <c r="E6593" s="39" t="s">
        <v>2253</v>
      </c>
      <c r="F6593" s="11" t="s">
        <v>1700</v>
      </c>
      <c r="G6593" s="39" t="s">
        <v>6269</v>
      </c>
      <c r="H6593" s="7">
        <v>0</v>
      </c>
      <c r="J6593" s="17">
        <v>0</v>
      </c>
      <c r="K6593" s="17"/>
      <c r="L6593" s="7">
        <f>SUM(H6593:K6593)</f>
        <v>0</v>
      </c>
      <c r="M6593" s="8">
        <v>1</v>
      </c>
      <c r="N6593" s="8" t="str">
        <f>IF(L6593&gt;0,1,"")</f>
        <v/>
      </c>
      <c r="O6593" s="11" t="s">
        <v>1702</v>
      </c>
      <c r="P6593" s="16" t="str">
        <f>IF(LEN(G6593)=10,CONCATENATE("0",G6593),G6593)</f>
        <v>10-Jan-1908</v>
      </c>
      <c r="R6593" s="16" t="str">
        <f t="shared" ref="R6593:S6596" si="2845">IF($L6593&gt;0,"x","")</f>
        <v/>
      </c>
      <c r="S6593" s="16" t="str">
        <f t="shared" si="2845"/>
        <v/>
      </c>
      <c r="U6593" s="46" t="str">
        <f t="shared" si="2844"/>
        <v/>
      </c>
      <c r="V6593" s="46">
        <f t="shared" si="2844"/>
        <v>0</v>
      </c>
      <c r="W6593" s="46" t="str">
        <f t="shared" si="2844"/>
        <v/>
      </c>
      <c r="X6593" s="46" t="str">
        <f t="shared" si="2844"/>
        <v/>
      </c>
    </row>
    <row r="6594" spans="2:24" x14ac:dyDescent="0.25">
      <c r="B6594" s="11" t="str">
        <f>CONCATENATE("VNZA","-",LEFT(P6594,2),UPPER(MID(P6594,4,3)),RIGHT(P6594,4))</f>
        <v>VNZA-10JAN1908</v>
      </c>
      <c r="C6594" s="11" t="s">
        <v>3157</v>
      </c>
      <c r="D6594" s="11" t="s">
        <v>3007</v>
      </c>
      <c r="E6594" s="39" t="s">
        <v>1198</v>
      </c>
      <c r="F6594" s="11" t="s">
        <v>1700</v>
      </c>
      <c r="G6594" s="39" t="s">
        <v>6269</v>
      </c>
      <c r="H6594" s="7">
        <v>4</v>
      </c>
      <c r="J6594" s="17">
        <v>0</v>
      </c>
      <c r="K6594" s="17"/>
      <c r="L6594" s="7">
        <f>SUM(H6594:K6594)</f>
        <v>4</v>
      </c>
      <c r="M6594" s="8">
        <v>1</v>
      </c>
      <c r="N6594" s="8">
        <f>IF(L6594&gt;0,1,"")</f>
        <v>1</v>
      </c>
      <c r="O6594" s="11" t="s">
        <v>1702</v>
      </c>
      <c r="P6594" s="16" t="str">
        <f>IF(LEN(G6594)=10,CONCATENATE("0",G6594),G6594)</f>
        <v>10-Jan-1908</v>
      </c>
      <c r="R6594" s="16" t="str">
        <f t="shared" si="2845"/>
        <v>x</v>
      </c>
      <c r="S6594" s="16" t="str">
        <f t="shared" si="2845"/>
        <v>x</v>
      </c>
      <c r="U6594" s="46" t="str">
        <f t="shared" si="2844"/>
        <v/>
      </c>
      <c r="V6594" s="46">
        <f t="shared" si="2844"/>
        <v>4</v>
      </c>
      <c r="W6594" s="46" t="str">
        <f t="shared" si="2844"/>
        <v/>
      </c>
      <c r="X6594" s="46" t="str">
        <f t="shared" si="2844"/>
        <v/>
      </c>
    </row>
    <row r="6595" spans="2:24" x14ac:dyDescent="0.25">
      <c r="B6595" s="11" t="str">
        <f>CONCATENATE("VNZA","-",LEFT(P6595,2),UPPER(MID(P6595,4,3)),RIGHT(P6595,4))</f>
        <v>VNZA-19OCT1908</v>
      </c>
      <c r="C6595" s="11" t="s">
        <v>3157</v>
      </c>
      <c r="D6595" s="11" t="s">
        <v>870</v>
      </c>
      <c r="E6595" s="39" t="s">
        <v>6068</v>
      </c>
      <c r="F6595" s="11" t="s">
        <v>1602</v>
      </c>
      <c r="G6595" s="39" t="s">
        <v>6108</v>
      </c>
      <c r="H6595" s="7">
        <v>0</v>
      </c>
      <c r="J6595" s="17">
        <v>8</v>
      </c>
      <c r="K6595" s="17"/>
      <c r="L6595" s="7">
        <f>SUM(H6595:K6595)</f>
        <v>8</v>
      </c>
      <c r="M6595" s="8">
        <v>1</v>
      </c>
      <c r="N6595" s="8">
        <f>IF(L6595&gt;0,1,"")</f>
        <v>1</v>
      </c>
      <c r="O6595" s="11" t="s">
        <v>1702</v>
      </c>
      <c r="P6595" s="16" t="str">
        <f>IF(LEN(G6595)=10,CONCATENATE("0",G6595),G6595)</f>
        <v>19-Oct-1908</v>
      </c>
      <c r="R6595" s="16" t="str">
        <f t="shared" si="2845"/>
        <v>x</v>
      </c>
      <c r="S6595" s="16" t="str">
        <f t="shared" si="2845"/>
        <v>x</v>
      </c>
      <c r="U6595" s="46" t="str">
        <f t="shared" si="2844"/>
        <v/>
      </c>
      <c r="V6595" s="46">
        <f t="shared" si="2844"/>
        <v>8</v>
      </c>
      <c r="W6595" s="46" t="str">
        <f t="shared" si="2844"/>
        <v/>
      </c>
      <c r="X6595" s="46" t="str">
        <f t="shared" si="2844"/>
        <v/>
      </c>
    </row>
    <row r="6596" spans="2:24" x14ac:dyDescent="0.25">
      <c r="B6596" s="11" t="str">
        <f>CONCATENATE("VNZA","-",LEFT(P6596,2),UPPER(MID(P6596,4,3)),RIGHT(P6596,4))</f>
        <v>VNZA-04NOV1914</v>
      </c>
      <c r="C6596" s="11" t="s">
        <v>3157</v>
      </c>
      <c r="D6596" s="11" t="s">
        <v>870</v>
      </c>
      <c r="E6596" s="39" t="s">
        <v>3159</v>
      </c>
      <c r="F6596" s="11" t="s">
        <v>1602</v>
      </c>
      <c r="G6596" s="39" t="s">
        <v>3158</v>
      </c>
      <c r="H6596" s="7">
        <v>0</v>
      </c>
      <c r="I6596" s="7">
        <v>0</v>
      </c>
      <c r="J6596" s="17">
        <v>25</v>
      </c>
      <c r="K6596" s="17"/>
      <c r="L6596" s="7">
        <f>SUM(H6596:K6596)</f>
        <v>25</v>
      </c>
      <c r="M6596" s="8">
        <v>1</v>
      </c>
      <c r="N6596" s="8">
        <f>IF(L6596&gt;0,1,"")</f>
        <v>1</v>
      </c>
      <c r="O6596" s="11" t="s">
        <v>1702</v>
      </c>
      <c r="P6596" s="16" t="str">
        <f>IF(LEN(G6596)=10,CONCATENATE("0",G6596),G6596)</f>
        <v>04-Nov-1914</v>
      </c>
      <c r="R6596" s="16" t="str">
        <f t="shared" si="2845"/>
        <v>x</v>
      </c>
      <c r="S6596" s="16" t="str">
        <f t="shared" si="2845"/>
        <v>x</v>
      </c>
      <c r="U6596" s="46" t="str">
        <f t="shared" si="2844"/>
        <v/>
      </c>
      <c r="V6596" s="46">
        <f t="shared" si="2844"/>
        <v>25</v>
      </c>
      <c r="W6596" s="46" t="str">
        <f t="shared" si="2844"/>
        <v/>
      </c>
      <c r="X6596" s="46" t="str">
        <f t="shared" si="2844"/>
        <v/>
      </c>
    </row>
    <row r="6597" spans="2:24" x14ac:dyDescent="0.25">
      <c r="N6597" s="8" t="str">
        <f>IF(R6597="x",1,"")</f>
        <v/>
      </c>
      <c r="U6597" s="46" t="str">
        <f t="shared" si="2844"/>
        <v/>
      </c>
      <c r="V6597" s="46" t="str">
        <f t="shared" si="2844"/>
        <v/>
      </c>
      <c r="W6597" s="46" t="str">
        <f t="shared" si="2844"/>
        <v/>
      </c>
      <c r="X6597" s="46" t="str">
        <f t="shared" si="2844"/>
        <v/>
      </c>
    </row>
    <row r="6598" spans="2:24" x14ac:dyDescent="0.25">
      <c r="B6598" s="18"/>
      <c r="C6598" s="18"/>
      <c r="D6598" s="18"/>
      <c r="E6598" s="40"/>
      <c r="F6598" s="18"/>
      <c r="G6598" s="40"/>
      <c r="H6598" s="7">
        <f t="shared" ref="H6598:N6598" si="2846">SUM(H6593:H6597)</f>
        <v>4</v>
      </c>
      <c r="I6598" s="7">
        <f t="shared" si="2846"/>
        <v>0</v>
      </c>
      <c r="J6598" s="7">
        <f>SUM(J6593:J6597)</f>
        <v>33</v>
      </c>
      <c r="K6598" s="7">
        <f t="shared" si="2846"/>
        <v>0</v>
      </c>
      <c r="L6598" s="7">
        <f t="shared" si="2846"/>
        <v>37</v>
      </c>
      <c r="M6598" s="7">
        <f t="shared" si="2846"/>
        <v>4</v>
      </c>
      <c r="N6598" s="7">
        <f t="shared" si="2846"/>
        <v>3</v>
      </c>
      <c r="O6598" s="18"/>
      <c r="P6598" s="13"/>
      <c r="Q6598" s="13"/>
      <c r="S6598" s="13"/>
      <c r="T6598" s="15"/>
      <c r="U6598" s="46" t="str">
        <f t="shared" si="2844"/>
        <v/>
      </c>
      <c r="V6598" s="46" t="str">
        <f t="shared" si="2844"/>
        <v/>
      </c>
      <c r="W6598" s="46" t="str">
        <f t="shared" si="2844"/>
        <v/>
      </c>
      <c r="X6598" s="46" t="str">
        <f t="shared" si="2844"/>
        <v/>
      </c>
    </row>
    <row r="6599" spans="2:24" x14ac:dyDescent="0.25">
      <c r="B6599" s="18"/>
      <c r="C6599" s="18"/>
      <c r="D6599" s="18"/>
      <c r="E6599" s="40"/>
      <c r="F6599" s="18"/>
      <c r="G6599" s="40"/>
      <c r="N6599" s="8" t="str">
        <f>IF(R6599="x",1,"")</f>
        <v/>
      </c>
      <c r="O6599" s="18"/>
      <c r="P6599" s="13"/>
      <c r="Q6599" s="13"/>
      <c r="R6599" s="13"/>
      <c r="S6599" s="13"/>
      <c r="T6599" s="15"/>
      <c r="U6599" s="46" t="str">
        <f t="shared" si="2801"/>
        <v/>
      </c>
      <c r="V6599" s="46" t="str">
        <f t="shared" si="2801"/>
        <v/>
      </c>
      <c r="W6599" s="46" t="str">
        <f t="shared" si="2801"/>
        <v/>
      </c>
      <c r="X6599" s="46" t="str">
        <f t="shared" si="2801"/>
        <v/>
      </c>
    </row>
    <row r="6600" spans="2:24" x14ac:dyDescent="0.25">
      <c r="B6600" s="18"/>
      <c r="C6600" s="18"/>
      <c r="D6600" s="18"/>
      <c r="E6600" s="40"/>
      <c r="F6600" s="18"/>
      <c r="G6600" s="40"/>
      <c r="N6600" s="8" t="str">
        <f>IF(R6600="x",1,"")</f>
        <v/>
      </c>
      <c r="O6600" s="18"/>
      <c r="P6600" s="13"/>
      <c r="Q6600" s="13"/>
      <c r="R6600" s="13"/>
      <c r="S6600" s="13"/>
      <c r="T6600" s="15"/>
      <c r="U6600" s="46" t="str">
        <f t="shared" si="2801"/>
        <v/>
      </c>
      <c r="V6600" s="46" t="str">
        <f t="shared" si="2801"/>
        <v/>
      </c>
      <c r="W6600" s="46" t="str">
        <f t="shared" si="2801"/>
        <v/>
      </c>
      <c r="X6600" s="46" t="str">
        <f t="shared" si="2801"/>
        <v/>
      </c>
    </row>
    <row r="6601" spans="2:24" x14ac:dyDescent="0.25">
      <c r="B6601" s="11" t="str">
        <f>CONCATENATE("VERO","-",LEFT(P6601,2),UPPER(MID(P6601,4,3)),RIGHT(P6601,4))</f>
        <v>VERO-06APR1910</v>
      </c>
      <c r="C6601" s="11" t="s">
        <v>5477</v>
      </c>
      <c r="D6601" s="11" t="s">
        <v>3007</v>
      </c>
      <c r="E6601" s="39" t="s">
        <v>1497</v>
      </c>
      <c r="F6601" s="11" t="s">
        <v>3039</v>
      </c>
      <c r="G6601" s="39" t="s">
        <v>5478</v>
      </c>
      <c r="H6601" s="7">
        <v>0</v>
      </c>
      <c r="J6601" s="17">
        <v>2</v>
      </c>
      <c r="K6601" s="17"/>
      <c r="L6601" s="7">
        <f>SUM(H6601:K6601)</f>
        <v>2</v>
      </c>
      <c r="M6601" s="8">
        <v>1</v>
      </c>
      <c r="N6601" s="8">
        <f>IF(L6601&gt;0,1,"")</f>
        <v>1</v>
      </c>
      <c r="O6601" s="11" t="s">
        <v>1702</v>
      </c>
      <c r="P6601" s="16" t="str">
        <f>IF(LEN(G6601)=10,CONCATENATE("0",G6601),G6601)</f>
        <v>06-Apr-1910</v>
      </c>
      <c r="R6601" s="16" t="str">
        <f>IF($L6601&gt;0,"x","")</f>
        <v>x</v>
      </c>
      <c r="S6601" s="16" t="str">
        <f>IF($L6601&gt;0,"x","")</f>
        <v>x</v>
      </c>
      <c r="U6601" s="46" t="str">
        <f t="shared" si="2801"/>
        <v/>
      </c>
      <c r="V6601" s="46">
        <f t="shared" si="2801"/>
        <v>2</v>
      </c>
      <c r="W6601" s="46" t="str">
        <f t="shared" si="2801"/>
        <v/>
      </c>
      <c r="X6601" s="46" t="str">
        <f t="shared" si="2801"/>
        <v/>
      </c>
    </row>
    <row r="6602" spans="2:24" x14ac:dyDescent="0.25">
      <c r="N6602" s="8" t="str">
        <f>IF(R6602="x",1,"")</f>
        <v/>
      </c>
      <c r="U6602" s="46" t="str">
        <f t="shared" si="2801"/>
        <v/>
      </c>
      <c r="V6602" s="46" t="str">
        <f t="shared" si="2801"/>
        <v/>
      </c>
      <c r="W6602" s="46" t="str">
        <f t="shared" si="2801"/>
        <v/>
      </c>
      <c r="X6602" s="46" t="str">
        <f t="shared" si="2801"/>
        <v/>
      </c>
    </row>
    <row r="6603" spans="2:24" x14ac:dyDescent="0.25">
      <c r="B6603" s="18"/>
      <c r="C6603" s="18"/>
      <c r="D6603" s="18"/>
      <c r="E6603" s="40"/>
      <c r="F6603" s="18"/>
      <c r="G6603" s="40"/>
      <c r="H6603" s="7">
        <f t="shared" ref="H6603:N6603" si="2847">SUM(H6601:H6602)</f>
        <v>0</v>
      </c>
      <c r="I6603" s="7">
        <f t="shared" si="2847"/>
        <v>0</v>
      </c>
      <c r="J6603" s="7">
        <f>SUM(J6601:J6602)</f>
        <v>2</v>
      </c>
      <c r="K6603" s="7">
        <f t="shared" si="2847"/>
        <v>0</v>
      </c>
      <c r="L6603" s="7">
        <f t="shared" si="2847"/>
        <v>2</v>
      </c>
      <c r="M6603" s="7">
        <f t="shared" si="2847"/>
        <v>1</v>
      </c>
      <c r="N6603" s="7">
        <f t="shared" si="2847"/>
        <v>1</v>
      </c>
      <c r="O6603" s="18"/>
      <c r="P6603" s="13"/>
      <c r="Q6603" s="13"/>
      <c r="S6603" s="13"/>
      <c r="T6603" s="15"/>
      <c r="U6603" s="46" t="str">
        <f t="shared" si="2801"/>
        <v/>
      </c>
      <c r="V6603" s="46" t="str">
        <f t="shared" si="2801"/>
        <v/>
      </c>
      <c r="W6603" s="46" t="str">
        <f t="shared" si="2801"/>
        <v/>
      </c>
      <c r="X6603" s="46" t="str">
        <f t="shared" si="2801"/>
        <v/>
      </c>
    </row>
    <row r="6604" spans="2:24" x14ac:dyDescent="0.25">
      <c r="B6604" s="18"/>
      <c r="C6604" s="18"/>
      <c r="D6604" s="18"/>
      <c r="E6604" s="40"/>
      <c r="F6604" s="18"/>
      <c r="G6604" s="40"/>
      <c r="N6604" s="8" t="str">
        <f>IF(R6604="x",1,"")</f>
        <v/>
      </c>
      <c r="O6604" s="18"/>
      <c r="P6604" s="13"/>
      <c r="Q6604" s="13"/>
      <c r="R6604" s="13"/>
      <c r="S6604" s="13"/>
      <c r="T6604" s="15"/>
      <c r="U6604" s="46" t="str">
        <f t="shared" ref="U6604:X6609" si="2848">IF($O6604=U$5,$L6604,"")</f>
        <v/>
      </c>
      <c r="V6604" s="46" t="str">
        <f t="shared" si="2848"/>
        <v/>
      </c>
      <c r="W6604" s="46" t="str">
        <f t="shared" si="2848"/>
        <v/>
      </c>
      <c r="X6604" s="46" t="str">
        <f t="shared" si="2848"/>
        <v/>
      </c>
    </row>
    <row r="6605" spans="2:24" x14ac:dyDescent="0.25">
      <c r="B6605" s="18"/>
      <c r="C6605" s="18"/>
      <c r="D6605" s="18"/>
      <c r="E6605" s="40"/>
      <c r="F6605" s="18"/>
      <c r="G6605" s="40"/>
      <c r="N6605" s="8" t="str">
        <f>IF(R6605="x",1,"")</f>
        <v/>
      </c>
      <c r="O6605" s="18"/>
      <c r="P6605" s="13"/>
      <c r="Q6605" s="13"/>
      <c r="R6605" s="13"/>
      <c r="S6605" s="13"/>
      <c r="T6605" s="15"/>
      <c r="U6605" s="46" t="str">
        <f t="shared" si="2848"/>
        <v/>
      </c>
      <c r="V6605" s="46" t="str">
        <f t="shared" si="2848"/>
        <v/>
      </c>
      <c r="W6605" s="46" t="str">
        <f t="shared" si="2848"/>
        <v/>
      </c>
      <c r="X6605" s="46" t="str">
        <f t="shared" si="2848"/>
        <v/>
      </c>
    </row>
    <row r="6606" spans="2:24" x14ac:dyDescent="0.25">
      <c r="B6606" s="11" t="str">
        <f>CONCATENATE("VRDI","-",LEFT(P6606,2),UPPER(MID(P6606,4,3)),RIGHT(P6606,4))</f>
        <v>VRDI-07JUL1913</v>
      </c>
      <c r="C6606" s="11" t="s">
        <v>6140</v>
      </c>
      <c r="D6606" s="11" t="s">
        <v>4494</v>
      </c>
      <c r="E6606" s="39" t="s">
        <v>2523</v>
      </c>
      <c r="F6606" s="11" t="s">
        <v>1700</v>
      </c>
      <c r="G6606" s="39" t="s">
        <v>3257</v>
      </c>
      <c r="H6606" s="7">
        <v>0</v>
      </c>
      <c r="I6606" s="7">
        <v>0</v>
      </c>
      <c r="J6606" s="17">
        <v>1</v>
      </c>
      <c r="K6606" s="17"/>
      <c r="L6606" s="7">
        <f>SUM(H6606:K6606)</f>
        <v>1</v>
      </c>
      <c r="M6606" s="8">
        <v>1</v>
      </c>
      <c r="N6606" s="8">
        <f>IF(L6606&gt;0,1,"")</f>
        <v>1</v>
      </c>
      <c r="O6606" s="11" t="s">
        <v>1702</v>
      </c>
      <c r="P6606" s="16" t="str">
        <f>IF(LEN(G6606)=10,CONCATENATE("0",G6606),G6606)</f>
        <v>07-Jul-1913</v>
      </c>
      <c r="R6606" s="16" t="str">
        <f>IF($L6606&gt;0,"x","")</f>
        <v>x</v>
      </c>
      <c r="S6606" s="16" t="str">
        <f>IF($L6606&gt;0,"x","")</f>
        <v>x</v>
      </c>
      <c r="U6606" s="46" t="str">
        <f t="shared" si="2848"/>
        <v/>
      </c>
      <c r="V6606" s="46">
        <f t="shared" si="2848"/>
        <v>1</v>
      </c>
      <c r="W6606" s="46" t="str">
        <f t="shared" si="2848"/>
        <v/>
      </c>
      <c r="X6606" s="46" t="str">
        <f t="shared" si="2848"/>
        <v/>
      </c>
    </row>
    <row r="6607" spans="2:24" x14ac:dyDescent="0.25">
      <c r="B6607" s="11" t="str">
        <f>CONCATENATE("VRDI","-",LEFT(P6607,2),UPPER(MID(P6607,4,3)),RIGHT(P6607,4))</f>
        <v>VRDI-06MAY1916</v>
      </c>
      <c r="C6607" s="11" t="s">
        <v>6140</v>
      </c>
      <c r="D6607" s="11" t="s">
        <v>4494</v>
      </c>
      <c r="E6607" s="39" t="s">
        <v>11385</v>
      </c>
      <c r="F6607" s="11" t="s">
        <v>1700</v>
      </c>
      <c r="G6607" s="39" t="s">
        <v>11386</v>
      </c>
      <c r="H6607" s="7">
        <v>0</v>
      </c>
      <c r="I6607" s="7">
        <v>0</v>
      </c>
      <c r="J6607" s="17">
        <v>41</v>
      </c>
      <c r="K6607" s="17"/>
      <c r="L6607" s="7">
        <f>SUM(H6607:K6607)</f>
        <v>41</v>
      </c>
      <c r="M6607" s="8">
        <v>1</v>
      </c>
      <c r="N6607" s="8">
        <f>IF(L6607&gt;0,1,"")</f>
        <v>1</v>
      </c>
      <c r="O6607" s="11" t="s">
        <v>1702</v>
      </c>
      <c r="P6607" s="16" t="str">
        <f>IF(LEN(G6607)=10,CONCATENATE("0",G6607),G6607)</f>
        <v>06-May-1916</v>
      </c>
      <c r="R6607" s="16" t="str">
        <f>IF($L6607&gt;0,"x","")</f>
        <v>x</v>
      </c>
      <c r="S6607" s="16" t="str">
        <f>IF($L6607&gt;0,"x","")</f>
        <v>x</v>
      </c>
      <c r="U6607" s="46" t="str">
        <f t="shared" si="2848"/>
        <v/>
      </c>
      <c r="V6607" s="46">
        <f t="shared" si="2848"/>
        <v>41</v>
      </c>
      <c r="W6607" s="46" t="str">
        <f t="shared" si="2848"/>
        <v/>
      </c>
      <c r="X6607" s="46" t="str">
        <f t="shared" si="2848"/>
        <v/>
      </c>
    </row>
    <row r="6608" spans="2:24" x14ac:dyDescent="0.25">
      <c r="N6608" s="8" t="str">
        <f>IF(R6608="x",1,"")</f>
        <v/>
      </c>
      <c r="U6608" s="46" t="str">
        <f t="shared" si="2848"/>
        <v/>
      </c>
      <c r="V6608" s="46" t="str">
        <f t="shared" si="2848"/>
        <v/>
      </c>
      <c r="W6608" s="46" t="str">
        <f t="shared" si="2848"/>
        <v/>
      </c>
      <c r="X6608" s="46" t="str">
        <f t="shared" si="2848"/>
        <v/>
      </c>
    </row>
    <row r="6609" spans="2:24" x14ac:dyDescent="0.25">
      <c r="B6609" s="18"/>
      <c r="C6609" s="18"/>
      <c r="D6609" s="18"/>
      <c r="E6609" s="40"/>
      <c r="F6609" s="18"/>
      <c r="G6609" s="40"/>
      <c r="H6609" s="7">
        <f t="shared" ref="H6609:N6609" si="2849">SUM(H6606:H6608)</f>
        <v>0</v>
      </c>
      <c r="I6609" s="7">
        <f t="shared" si="2849"/>
        <v>0</v>
      </c>
      <c r="J6609" s="7">
        <f>SUM(J6606:J6608)</f>
        <v>42</v>
      </c>
      <c r="K6609" s="7">
        <f t="shared" si="2849"/>
        <v>0</v>
      </c>
      <c r="L6609" s="7">
        <f t="shared" si="2849"/>
        <v>42</v>
      </c>
      <c r="M6609" s="7">
        <f t="shared" si="2849"/>
        <v>2</v>
      </c>
      <c r="N6609" s="7">
        <f t="shared" si="2849"/>
        <v>2</v>
      </c>
      <c r="O6609" s="18"/>
      <c r="P6609" s="13"/>
      <c r="Q6609" s="13"/>
      <c r="S6609" s="13"/>
      <c r="T6609" s="15"/>
      <c r="U6609" s="46" t="str">
        <f t="shared" si="2848"/>
        <v/>
      </c>
      <c r="V6609" s="46" t="str">
        <f t="shared" si="2848"/>
        <v/>
      </c>
      <c r="W6609" s="46" t="str">
        <f t="shared" si="2848"/>
        <v/>
      </c>
      <c r="X6609" s="46" t="str">
        <f t="shared" si="2848"/>
        <v/>
      </c>
    </row>
    <row r="6610" spans="2:24" x14ac:dyDescent="0.25">
      <c r="B6610" s="18"/>
      <c r="C6610" s="18"/>
      <c r="D6610" s="18"/>
      <c r="E6610" s="40"/>
      <c r="F6610" s="18"/>
      <c r="G6610" s="40"/>
      <c r="N6610" s="8" t="str">
        <f>IF(R6610="x",1,"")</f>
        <v/>
      </c>
      <c r="O6610" s="18"/>
      <c r="P6610" s="13"/>
      <c r="Q6610" s="13"/>
      <c r="R6610" s="13"/>
      <c r="S6610" s="13"/>
      <c r="T6610" s="15"/>
      <c r="U6610" s="46" t="str">
        <f t="shared" si="2801"/>
        <v/>
      </c>
      <c r="V6610" s="46" t="str">
        <f t="shared" si="2801"/>
        <v/>
      </c>
      <c r="W6610" s="46" t="str">
        <f t="shared" si="2801"/>
        <v/>
      </c>
      <c r="X6610" s="46" t="str">
        <f t="shared" si="2801"/>
        <v/>
      </c>
    </row>
    <row r="6611" spans="2:24" x14ac:dyDescent="0.25">
      <c r="B6611" s="18"/>
      <c r="C6611" s="18"/>
      <c r="D6611" s="18"/>
      <c r="E6611" s="40"/>
      <c r="F6611" s="18"/>
      <c r="G6611" s="40"/>
      <c r="N6611" s="8" t="str">
        <f>IF(R6611="x",1,"")</f>
        <v/>
      </c>
      <c r="O6611" s="18"/>
      <c r="P6611" s="13"/>
      <c r="Q6611" s="13"/>
      <c r="R6611" s="13"/>
      <c r="S6611" s="13"/>
      <c r="T6611" s="15"/>
      <c r="U6611" s="46" t="str">
        <f t="shared" si="2801"/>
        <v/>
      </c>
      <c r="V6611" s="46" t="str">
        <f t="shared" si="2801"/>
        <v/>
      </c>
      <c r="W6611" s="46" t="str">
        <f t="shared" si="2801"/>
        <v/>
      </c>
      <c r="X6611" s="46" t="str">
        <f t="shared" si="2801"/>
        <v/>
      </c>
    </row>
    <row r="6612" spans="2:24" x14ac:dyDescent="0.25">
      <c r="B6612" s="11" t="str">
        <f t="shared" ref="B6612:B6618" si="2850">CONCATENATE("VEST","-",LEFT(P6612,2),UPPER(MID(P6612,4,3)),RIGHT(P6612,4))</f>
        <v>VEST-18DEC1915</v>
      </c>
      <c r="C6612" s="11" t="s">
        <v>3269</v>
      </c>
      <c r="D6612" s="11" t="s">
        <v>3887</v>
      </c>
      <c r="E6612" s="39" t="s">
        <v>5652</v>
      </c>
      <c r="F6612" s="11" t="s">
        <v>1700</v>
      </c>
      <c r="G6612" s="39" t="s">
        <v>4413</v>
      </c>
      <c r="H6612" s="7">
        <v>0</v>
      </c>
      <c r="I6612" s="7">
        <v>0</v>
      </c>
      <c r="J6612" s="17">
        <v>1</v>
      </c>
      <c r="K6612" s="17"/>
      <c r="L6612" s="7">
        <f t="shared" ref="L6612:L6618" si="2851">SUM(H6612:K6612)</f>
        <v>1</v>
      </c>
      <c r="M6612" s="8">
        <v>1</v>
      </c>
      <c r="N6612" s="8">
        <f t="shared" ref="N6612:N6618" si="2852">IF(L6612&gt;0,1,"")</f>
        <v>1</v>
      </c>
      <c r="O6612" s="11" t="s">
        <v>1702</v>
      </c>
      <c r="P6612" s="16" t="str">
        <f t="shared" ref="P6612:P6618" si="2853">IF(LEN(G6612)=10,CONCATENATE("0",G6612),G6612)</f>
        <v>18-Dec-1915</v>
      </c>
      <c r="R6612" s="16" t="str">
        <f>IF($L6612&gt;0,"x","")</f>
        <v>x</v>
      </c>
      <c r="S6612" s="16" t="str">
        <f>IF($L6612&gt;0,"x","")</f>
        <v>x</v>
      </c>
      <c r="U6612" s="46" t="str">
        <f t="shared" si="2801"/>
        <v/>
      </c>
      <c r="V6612" s="46">
        <f t="shared" si="2801"/>
        <v>1</v>
      </c>
      <c r="W6612" s="46" t="str">
        <f t="shared" si="2801"/>
        <v/>
      </c>
      <c r="X6612" s="46" t="str">
        <f t="shared" si="2801"/>
        <v/>
      </c>
    </row>
    <row r="6613" spans="2:24" x14ac:dyDescent="0.25">
      <c r="B6613" s="11" t="str">
        <f t="shared" si="2850"/>
        <v>VEST-10MAR1916</v>
      </c>
      <c r="C6613" s="11" t="s">
        <v>3269</v>
      </c>
      <c r="D6613" s="11" t="s">
        <v>3887</v>
      </c>
      <c r="E6613" s="39" t="s">
        <v>3270</v>
      </c>
      <c r="F6613" s="11" t="s">
        <v>1700</v>
      </c>
      <c r="G6613" s="39" t="s">
        <v>1065</v>
      </c>
      <c r="H6613" s="7">
        <v>0</v>
      </c>
      <c r="I6613" s="7">
        <v>0</v>
      </c>
      <c r="J6613" s="17">
        <v>45</v>
      </c>
      <c r="K6613" s="17"/>
      <c r="L6613" s="7">
        <f t="shared" si="2851"/>
        <v>45</v>
      </c>
      <c r="M6613" s="8">
        <v>1</v>
      </c>
      <c r="N6613" s="8">
        <f t="shared" si="2852"/>
        <v>1</v>
      </c>
      <c r="O6613" s="11" t="s">
        <v>1702</v>
      </c>
      <c r="P6613" s="16" t="str">
        <f t="shared" si="2853"/>
        <v>10-Mar-1916</v>
      </c>
      <c r="R6613" s="16" t="str">
        <f t="shared" ref="R6613:S6618" si="2854">IF($L6613&gt;0,"x","")</f>
        <v>x</v>
      </c>
      <c r="S6613" s="16" t="str">
        <f t="shared" si="2854"/>
        <v>x</v>
      </c>
      <c r="U6613" s="46" t="str">
        <f t="shared" ref="U6613:X6614" si="2855">IF($O6613=U$5,$L6613,"")</f>
        <v/>
      </c>
      <c r="V6613" s="46">
        <f t="shared" si="2855"/>
        <v>45</v>
      </c>
      <c r="W6613" s="46" t="str">
        <f t="shared" si="2855"/>
        <v/>
      </c>
      <c r="X6613" s="46" t="str">
        <f t="shared" si="2855"/>
        <v/>
      </c>
    </row>
    <row r="6614" spans="2:24" x14ac:dyDescent="0.25">
      <c r="B6614" s="11" t="str">
        <f t="shared" si="2850"/>
        <v>VEST-03JUN1916</v>
      </c>
      <c r="C6614" s="11" t="s">
        <v>3269</v>
      </c>
      <c r="D6614" s="11" t="s">
        <v>3887</v>
      </c>
      <c r="E6614" s="39" t="s">
        <v>5802</v>
      </c>
      <c r="F6614" s="11" t="s">
        <v>1700</v>
      </c>
      <c r="G6614" s="39" t="s">
        <v>1974</v>
      </c>
      <c r="H6614" s="7">
        <v>0</v>
      </c>
      <c r="I6614" s="7">
        <v>1</v>
      </c>
      <c r="J6614" s="17">
        <v>37</v>
      </c>
      <c r="K6614" s="17"/>
      <c r="L6614" s="7">
        <f t="shared" si="2851"/>
        <v>38</v>
      </c>
      <c r="M6614" s="8">
        <v>1</v>
      </c>
      <c r="N6614" s="8">
        <f t="shared" si="2852"/>
        <v>1</v>
      </c>
      <c r="O6614" s="11" t="s">
        <v>1702</v>
      </c>
      <c r="P6614" s="16" t="str">
        <f t="shared" si="2853"/>
        <v>03-Jun-1916</v>
      </c>
      <c r="R6614" s="16" t="str">
        <f t="shared" si="2854"/>
        <v>x</v>
      </c>
      <c r="S6614" s="16" t="str">
        <f t="shared" si="2854"/>
        <v>x</v>
      </c>
      <c r="U6614" s="46" t="str">
        <f t="shared" si="2855"/>
        <v/>
      </c>
      <c r="V6614" s="46">
        <f t="shared" si="2855"/>
        <v>38</v>
      </c>
      <c r="W6614" s="46" t="str">
        <f t="shared" si="2855"/>
        <v/>
      </c>
      <c r="X6614" s="46" t="str">
        <f t="shared" si="2855"/>
        <v/>
      </c>
    </row>
    <row r="6615" spans="2:24" x14ac:dyDescent="0.25">
      <c r="B6615" s="11" t="str">
        <f t="shared" si="2850"/>
        <v>VEST-28SEP1916</v>
      </c>
      <c r="C6615" s="11" t="s">
        <v>3269</v>
      </c>
      <c r="D6615" s="11" t="s">
        <v>3887</v>
      </c>
      <c r="E6615" s="39" t="s">
        <v>3886</v>
      </c>
      <c r="F6615" s="11" t="s">
        <v>1700</v>
      </c>
      <c r="G6615" s="39" t="s">
        <v>3885</v>
      </c>
      <c r="H6615" s="7">
        <v>0</v>
      </c>
      <c r="I6615" s="7">
        <v>2</v>
      </c>
      <c r="J6615" s="17">
        <v>43</v>
      </c>
      <c r="K6615" s="17"/>
      <c r="L6615" s="7">
        <f t="shared" si="2851"/>
        <v>45</v>
      </c>
      <c r="M6615" s="8">
        <v>1</v>
      </c>
      <c r="N6615" s="8">
        <f t="shared" si="2852"/>
        <v>1</v>
      </c>
      <c r="O6615" s="11" t="s">
        <v>1702</v>
      </c>
      <c r="P6615" s="16" t="str">
        <f t="shared" si="2853"/>
        <v>28-Sep-1916</v>
      </c>
      <c r="R6615" s="16" t="str">
        <f t="shared" si="2854"/>
        <v>x</v>
      </c>
      <c r="S6615" s="16" t="str">
        <f t="shared" si="2854"/>
        <v>x</v>
      </c>
      <c r="U6615" s="46" t="str">
        <f t="shared" si="2801"/>
        <v/>
      </c>
      <c r="V6615" s="46">
        <f t="shared" si="2801"/>
        <v>45</v>
      </c>
      <c r="W6615" s="46" t="str">
        <f t="shared" si="2801"/>
        <v/>
      </c>
      <c r="X6615" s="46" t="str">
        <f t="shared" si="2801"/>
        <v/>
      </c>
    </row>
    <row r="6616" spans="2:24" x14ac:dyDescent="0.25">
      <c r="B6616" s="11" t="str">
        <f>CONCATENATE("VEST","-",LEFT(P6616,2),UPPER(MID(P6616,4,3)),RIGHT(P6616,4))</f>
        <v>VEST-28SEP1916</v>
      </c>
      <c r="C6616" s="11" t="s">
        <v>3269</v>
      </c>
      <c r="D6616" s="11" t="s">
        <v>4635</v>
      </c>
      <c r="E6616" s="39" t="s">
        <v>11276</v>
      </c>
      <c r="F6616" s="11" t="s">
        <v>1700</v>
      </c>
      <c r="G6616" s="39" t="s">
        <v>3885</v>
      </c>
      <c r="H6616" s="7">
        <v>0</v>
      </c>
      <c r="I6616" s="7">
        <v>0</v>
      </c>
      <c r="J6616" s="17">
        <v>1</v>
      </c>
      <c r="K6616" s="17"/>
      <c r="L6616" s="7">
        <f>SUM(H6616:K6616)</f>
        <v>1</v>
      </c>
      <c r="M6616" s="8">
        <v>1</v>
      </c>
      <c r="N6616" s="8">
        <f>IF(L6616&gt;0,1,"")</f>
        <v>1</v>
      </c>
      <c r="O6616" s="11" t="s">
        <v>1702</v>
      </c>
      <c r="P6616" s="16" t="str">
        <f>IF(LEN(G6616)=10,CONCATENATE("0",G6616),G6616)</f>
        <v>28-Sep-1916</v>
      </c>
      <c r="R6616" s="16" t="str">
        <f t="shared" si="2854"/>
        <v>x</v>
      </c>
      <c r="S6616" s="16" t="str">
        <f t="shared" si="2854"/>
        <v>x</v>
      </c>
      <c r="U6616" s="46" t="str">
        <f t="shared" ref="U6616:X6617" si="2856">IF($O6616=U$5,$L6616,"")</f>
        <v/>
      </c>
      <c r="V6616" s="46">
        <f t="shared" si="2856"/>
        <v>1</v>
      </c>
      <c r="W6616" s="46" t="str">
        <f t="shared" si="2856"/>
        <v/>
      </c>
      <c r="X6616" s="46" t="str">
        <f t="shared" si="2856"/>
        <v/>
      </c>
    </row>
    <row r="6617" spans="2:24" x14ac:dyDescent="0.25">
      <c r="B6617" s="11" t="str">
        <f t="shared" si="2850"/>
        <v>VEST-25JAN1917</v>
      </c>
      <c r="C6617" s="11" t="s">
        <v>3269</v>
      </c>
      <c r="D6617" s="11" t="s">
        <v>3887</v>
      </c>
      <c r="E6617" s="39" t="s">
        <v>3919</v>
      </c>
      <c r="F6617" s="11" t="s">
        <v>1700</v>
      </c>
      <c r="G6617" s="39" t="s">
        <v>4950</v>
      </c>
      <c r="H6617" s="7">
        <v>0</v>
      </c>
      <c r="I6617" s="7">
        <v>0</v>
      </c>
      <c r="J6617" s="17">
        <v>15</v>
      </c>
      <c r="K6617" s="17"/>
      <c r="L6617" s="7">
        <f t="shared" si="2851"/>
        <v>15</v>
      </c>
      <c r="M6617" s="8">
        <v>1</v>
      </c>
      <c r="N6617" s="8">
        <f t="shared" si="2852"/>
        <v>1</v>
      </c>
      <c r="O6617" s="11" t="s">
        <v>1702</v>
      </c>
      <c r="P6617" s="16" t="str">
        <f t="shared" si="2853"/>
        <v>25-Jan-1917</v>
      </c>
      <c r="R6617" s="16" t="str">
        <f>IF($L6617&gt;0,"x","")</f>
        <v>x</v>
      </c>
      <c r="S6617" s="16" t="str">
        <f>IF($L6617&gt;0,"x","")</f>
        <v>x</v>
      </c>
      <c r="U6617" s="46" t="str">
        <f t="shared" si="2856"/>
        <v/>
      </c>
      <c r="V6617" s="46">
        <f t="shared" si="2856"/>
        <v>15</v>
      </c>
      <c r="W6617" s="46" t="str">
        <f t="shared" si="2856"/>
        <v/>
      </c>
      <c r="X6617" s="46" t="str">
        <f t="shared" si="2856"/>
        <v/>
      </c>
    </row>
    <row r="6618" spans="2:24" x14ac:dyDescent="0.25">
      <c r="B6618" s="11" t="str">
        <f t="shared" si="2850"/>
        <v>VEST-17MAY1917</v>
      </c>
      <c r="C6618" s="11" t="s">
        <v>3269</v>
      </c>
      <c r="D6618" s="11" t="s">
        <v>3887</v>
      </c>
      <c r="E6618" s="39" t="s">
        <v>4507</v>
      </c>
      <c r="F6618" s="11" t="s">
        <v>1700</v>
      </c>
      <c r="G6618" s="39" t="s">
        <v>4508</v>
      </c>
      <c r="H6618" s="7">
        <v>0</v>
      </c>
      <c r="I6618" s="7">
        <v>0</v>
      </c>
      <c r="J6618" s="17">
        <v>7</v>
      </c>
      <c r="K6618" s="17"/>
      <c r="L6618" s="7">
        <f t="shared" si="2851"/>
        <v>7</v>
      </c>
      <c r="M6618" s="8">
        <v>1</v>
      </c>
      <c r="N6618" s="8">
        <f t="shared" si="2852"/>
        <v>1</v>
      </c>
      <c r="O6618" s="11" t="s">
        <v>1702</v>
      </c>
      <c r="P6618" s="16" t="str">
        <f t="shared" si="2853"/>
        <v>17-May-1917</v>
      </c>
      <c r="R6618" s="16" t="str">
        <f t="shared" si="2854"/>
        <v>x</v>
      </c>
      <c r="S6618" s="16" t="str">
        <f t="shared" si="2854"/>
        <v>x</v>
      </c>
      <c r="U6618" s="46" t="str">
        <f t="shared" si="2801"/>
        <v/>
      </c>
      <c r="V6618" s="46">
        <f t="shared" si="2801"/>
        <v>7</v>
      </c>
      <c r="W6618" s="46" t="str">
        <f t="shared" si="2801"/>
        <v/>
      </c>
      <c r="X6618" s="46" t="str">
        <f t="shared" si="2801"/>
        <v/>
      </c>
    </row>
    <row r="6619" spans="2:24" x14ac:dyDescent="0.25">
      <c r="N6619" s="8" t="str">
        <f>IF(R6619="x",1,"")</f>
        <v/>
      </c>
      <c r="U6619" s="46" t="str">
        <f t="shared" si="2801"/>
        <v/>
      </c>
      <c r="V6619" s="46" t="str">
        <f t="shared" si="2801"/>
        <v/>
      </c>
      <c r="W6619" s="46" t="str">
        <f t="shared" si="2801"/>
        <v/>
      </c>
      <c r="X6619" s="46" t="str">
        <f t="shared" si="2801"/>
        <v/>
      </c>
    </row>
    <row r="6620" spans="2:24" x14ac:dyDescent="0.25">
      <c r="B6620" s="18"/>
      <c r="C6620" s="18"/>
      <c r="D6620" s="18"/>
      <c r="E6620" s="40"/>
      <c r="F6620" s="18"/>
      <c r="G6620" s="40"/>
      <c r="H6620" s="7">
        <f t="shared" ref="H6620:N6620" si="2857">SUM(H6612:H6619)</f>
        <v>0</v>
      </c>
      <c r="I6620" s="7">
        <f t="shared" si="2857"/>
        <v>3</v>
      </c>
      <c r="J6620" s="7">
        <f>SUM(J6612:J6619)</f>
        <v>149</v>
      </c>
      <c r="K6620" s="7">
        <f t="shared" si="2857"/>
        <v>0</v>
      </c>
      <c r="L6620" s="7">
        <f t="shared" si="2857"/>
        <v>152</v>
      </c>
      <c r="M6620" s="7">
        <f t="shared" si="2857"/>
        <v>7</v>
      </c>
      <c r="N6620" s="7">
        <f t="shared" si="2857"/>
        <v>7</v>
      </c>
      <c r="O6620" s="18"/>
      <c r="P6620" s="13"/>
      <c r="Q6620" s="13"/>
      <c r="S6620" s="13"/>
      <c r="T6620" s="15"/>
      <c r="U6620" s="46" t="str">
        <f t="shared" si="2801"/>
        <v/>
      </c>
      <c r="V6620" s="46" t="str">
        <f t="shared" si="2801"/>
        <v/>
      </c>
      <c r="W6620" s="46" t="str">
        <f t="shared" si="2801"/>
        <v/>
      </c>
      <c r="X6620" s="46" t="str">
        <f t="shared" si="2801"/>
        <v/>
      </c>
    </row>
    <row r="6621" spans="2:24" x14ac:dyDescent="0.25">
      <c r="B6621" s="18"/>
      <c r="C6621" s="18"/>
      <c r="D6621" s="18"/>
      <c r="E6621" s="40"/>
      <c r="F6621" s="18"/>
      <c r="G6621" s="40"/>
      <c r="N6621" s="8" t="str">
        <f>IF(R6621="x",1,"")</f>
        <v/>
      </c>
      <c r="O6621" s="18"/>
      <c r="P6621" s="13"/>
      <c r="Q6621" s="13"/>
      <c r="R6621" s="13"/>
      <c r="S6621" s="13"/>
      <c r="T6621" s="15"/>
      <c r="U6621" s="46" t="str">
        <f t="shared" ref="U6621:X6625" si="2858">IF($O6621=U$5,$L6621,"")</f>
        <v/>
      </c>
      <c r="V6621" s="46" t="str">
        <f t="shared" si="2858"/>
        <v/>
      </c>
      <c r="W6621" s="46" t="str">
        <f t="shared" si="2858"/>
        <v/>
      </c>
      <c r="X6621" s="46" t="str">
        <f t="shared" si="2858"/>
        <v/>
      </c>
    </row>
    <row r="6622" spans="2:24" x14ac:dyDescent="0.25">
      <c r="B6622" s="18"/>
      <c r="C6622" s="18"/>
      <c r="D6622" s="18"/>
      <c r="E6622" s="40"/>
      <c r="F6622" s="18"/>
      <c r="G6622" s="40"/>
      <c r="N6622" s="8" t="str">
        <f>IF(R6622="x",1,"")</f>
        <v/>
      </c>
      <c r="O6622" s="18"/>
      <c r="P6622" s="13"/>
      <c r="Q6622" s="13"/>
      <c r="R6622" s="13"/>
      <c r="S6622" s="13"/>
      <c r="T6622" s="15"/>
      <c r="U6622" s="46" t="str">
        <f t="shared" si="2858"/>
        <v/>
      </c>
      <c r="V6622" s="46" t="str">
        <f t="shared" si="2858"/>
        <v/>
      </c>
      <c r="W6622" s="46" t="str">
        <f t="shared" si="2858"/>
        <v/>
      </c>
      <c r="X6622" s="46" t="str">
        <f>IF($O6622=X$5,$L6622,"")</f>
        <v/>
      </c>
    </row>
    <row r="6623" spans="2:24" x14ac:dyDescent="0.25">
      <c r="B6623" s="11" t="str">
        <f>CONCATENATE("VCTA","-",LEFT(P6623,2),UPPER(MID(P6623,4,3)),RIGHT(P6623,4))</f>
        <v>VCTA-08DEC1903</v>
      </c>
      <c r="C6623" s="11" t="s">
        <v>11506</v>
      </c>
      <c r="D6623" s="11" t="s">
        <v>3007</v>
      </c>
      <c r="E6623" s="39" t="s">
        <v>11507</v>
      </c>
      <c r="F6623" s="11" t="s">
        <v>1700</v>
      </c>
      <c r="G6623" s="39" t="s">
        <v>3569</v>
      </c>
      <c r="H6623" s="7">
        <v>0</v>
      </c>
      <c r="J6623" s="17">
        <v>5</v>
      </c>
      <c r="K6623" s="17"/>
      <c r="L6623" s="7">
        <f>SUM(H6623:K6623)</f>
        <v>5</v>
      </c>
      <c r="M6623" s="8">
        <v>1</v>
      </c>
      <c r="N6623" s="8">
        <f>IF(L6623&gt;0,1,"")</f>
        <v>1</v>
      </c>
      <c r="O6623" s="11" t="s">
        <v>1702</v>
      </c>
      <c r="P6623" s="16" t="str">
        <f>IF(LEN(G6623)=10,CONCATENATE("0",G6623),G6623)</f>
        <v>08-Dec-1903</v>
      </c>
      <c r="R6623" s="16" t="str">
        <f>IF($L6623&gt;0,"x","")</f>
        <v>x</v>
      </c>
      <c r="S6623" s="80"/>
      <c r="U6623" s="46" t="str">
        <f t="shared" si="2858"/>
        <v/>
      </c>
      <c r="V6623" s="46">
        <f t="shared" si="2858"/>
        <v>5</v>
      </c>
      <c r="W6623" s="46" t="str">
        <f t="shared" si="2858"/>
        <v/>
      </c>
      <c r="X6623" s="46" t="str">
        <f t="shared" si="2858"/>
        <v/>
      </c>
    </row>
    <row r="6624" spans="2:24" x14ac:dyDescent="0.25">
      <c r="N6624" s="8" t="str">
        <f>IF(R6624="x",1,"")</f>
        <v/>
      </c>
      <c r="U6624" s="46" t="str">
        <f t="shared" si="2858"/>
        <v/>
      </c>
      <c r="V6624" s="46" t="str">
        <f t="shared" si="2858"/>
        <v/>
      </c>
      <c r="W6624" s="46" t="str">
        <f t="shared" si="2858"/>
        <v/>
      </c>
      <c r="X6624" s="46" t="str">
        <f t="shared" si="2858"/>
        <v/>
      </c>
    </row>
    <row r="6625" spans="2:24" x14ac:dyDescent="0.25">
      <c r="B6625" s="18"/>
      <c r="C6625" s="18"/>
      <c r="D6625" s="18"/>
      <c r="E6625" s="40"/>
      <c r="F6625" s="18"/>
      <c r="G6625" s="40"/>
      <c r="H6625" s="7">
        <f t="shared" ref="H6625:N6625" si="2859">SUM(H6623:H6624)</f>
        <v>0</v>
      </c>
      <c r="I6625" s="7">
        <f t="shared" si="2859"/>
        <v>0</v>
      </c>
      <c r="J6625" s="7">
        <f t="shared" si="2859"/>
        <v>5</v>
      </c>
      <c r="K6625" s="7">
        <f t="shared" si="2859"/>
        <v>0</v>
      </c>
      <c r="L6625" s="7">
        <f t="shared" si="2859"/>
        <v>5</v>
      </c>
      <c r="M6625" s="7">
        <f t="shared" si="2859"/>
        <v>1</v>
      </c>
      <c r="N6625" s="7">
        <f t="shared" si="2859"/>
        <v>1</v>
      </c>
      <c r="O6625" s="18"/>
      <c r="P6625" s="13"/>
      <c r="Q6625" s="13"/>
      <c r="S6625" s="13"/>
      <c r="T6625" s="15"/>
      <c r="U6625" s="46" t="str">
        <f t="shared" si="2858"/>
        <v/>
      </c>
      <c r="V6625" s="46" t="str">
        <f t="shared" si="2858"/>
        <v/>
      </c>
      <c r="W6625" s="46" t="str">
        <f t="shared" si="2858"/>
        <v/>
      </c>
      <c r="X6625" s="46" t="str">
        <f t="shared" si="2858"/>
        <v/>
      </c>
    </row>
    <row r="6626" spans="2:24" x14ac:dyDescent="0.25">
      <c r="B6626" s="18"/>
      <c r="C6626" s="18"/>
      <c r="D6626" s="18"/>
      <c r="E6626" s="40"/>
      <c r="F6626" s="18"/>
      <c r="G6626" s="40"/>
      <c r="N6626" s="8" t="str">
        <f>IF(R6626="x",1,"")</f>
        <v/>
      </c>
      <c r="O6626" s="18"/>
      <c r="P6626" s="13"/>
      <c r="Q6626" s="13"/>
      <c r="R6626" s="13"/>
      <c r="S6626" s="13"/>
      <c r="T6626" s="15"/>
      <c r="U6626" s="46" t="str">
        <f t="shared" si="2801"/>
        <v/>
      </c>
      <c r="V6626" s="46" t="str">
        <f t="shared" si="2801"/>
        <v/>
      </c>
      <c r="W6626" s="46" t="str">
        <f t="shared" si="2801"/>
        <v/>
      </c>
      <c r="X6626" s="46" t="str">
        <f t="shared" si="2801"/>
        <v/>
      </c>
    </row>
    <row r="6627" spans="2:24" x14ac:dyDescent="0.25">
      <c r="B6627" s="18"/>
      <c r="C6627" s="18"/>
      <c r="D6627" s="18"/>
      <c r="E6627" s="40"/>
      <c r="F6627" s="18"/>
      <c r="G6627" s="40"/>
      <c r="N6627" s="8" t="str">
        <f>IF(R6627="x",1,"")</f>
        <v/>
      </c>
      <c r="O6627" s="18"/>
      <c r="P6627" s="13"/>
      <c r="Q6627" s="13"/>
      <c r="R6627" s="13"/>
      <c r="S6627" s="13"/>
      <c r="T6627" s="15"/>
      <c r="U6627" s="46" t="str">
        <f t="shared" si="2801"/>
        <v/>
      </c>
      <c r="V6627" s="46" t="str">
        <f t="shared" si="2801"/>
        <v/>
      </c>
      <c r="W6627" s="46" t="str">
        <f t="shared" si="2801"/>
        <v/>
      </c>
      <c r="X6627" s="46" t="str">
        <f>IF($O6627=X$5,$L6627,"")</f>
        <v/>
      </c>
    </row>
    <row r="6628" spans="2:24" x14ac:dyDescent="0.25">
      <c r="B6628" s="11" t="str">
        <f>CONCATENATE("VICT","-",LEFT(P6628,2),UPPER(MID(P6628,4,3)),RIGHT(P6628,4))</f>
        <v>VICT-24FEB1907</v>
      </c>
      <c r="C6628" s="11" t="s">
        <v>2910</v>
      </c>
      <c r="D6628" s="11" t="s">
        <v>2097</v>
      </c>
      <c r="E6628" s="39" t="s">
        <v>2911</v>
      </c>
      <c r="F6628" s="11" t="s">
        <v>2904</v>
      </c>
      <c r="G6628" s="39" t="s">
        <v>2912</v>
      </c>
      <c r="H6628" s="7">
        <v>0</v>
      </c>
      <c r="I6628" s="7">
        <v>0</v>
      </c>
      <c r="J6628" s="17">
        <f>17+1</f>
        <v>18</v>
      </c>
      <c r="K6628" s="17"/>
      <c r="L6628" s="7">
        <f>SUM(H6628:K6628)</f>
        <v>18</v>
      </c>
      <c r="M6628" s="8">
        <v>1</v>
      </c>
      <c r="N6628" s="8">
        <f>IF(L6628&gt;0,1,"")</f>
        <v>1</v>
      </c>
      <c r="O6628" s="11" t="s">
        <v>1702</v>
      </c>
      <c r="P6628" s="16" t="str">
        <f>IF(LEN(G6628)=10,CONCATENATE("0",G6628),G6628)</f>
        <v>24-Feb-1907</v>
      </c>
      <c r="R6628" s="16" t="str">
        <f t="shared" ref="R6628:S6630" si="2860">IF($L6628&gt;0,"x","")</f>
        <v>x</v>
      </c>
      <c r="S6628" s="16" t="str">
        <f t="shared" si="2860"/>
        <v>x</v>
      </c>
      <c r="U6628" s="46" t="str">
        <f t="shared" ref="U6628:X6735" si="2861">IF($O6628=U$5,$L6628,"")</f>
        <v/>
      </c>
      <c r="V6628" s="46">
        <f t="shared" si="2861"/>
        <v>18</v>
      </c>
      <c r="W6628" s="46" t="str">
        <f t="shared" si="2861"/>
        <v/>
      </c>
      <c r="X6628" s="46" t="str">
        <f t="shared" si="2861"/>
        <v/>
      </c>
    </row>
    <row r="6629" spans="2:24" x14ac:dyDescent="0.25">
      <c r="B6629" s="11" t="str">
        <f>CONCATENATE("VICT","-",LEFT(P6629,2),UPPER(MID(P6629,4,3)),RIGHT(P6629,4))</f>
        <v>VICT-15OCT1913</v>
      </c>
      <c r="C6629" s="11" t="s">
        <v>2910</v>
      </c>
      <c r="D6629" s="11" t="s">
        <v>2097</v>
      </c>
      <c r="E6629" s="39" t="s">
        <v>3724</v>
      </c>
      <c r="F6629" s="11" t="s">
        <v>3978</v>
      </c>
      <c r="G6629" s="39" t="s">
        <v>2541</v>
      </c>
      <c r="H6629" s="7">
        <v>0</v>
      </c>
      <c r="I6629" s="7">
        <v>3</v>
      </c>
      <c r="J6629" s="17">
        <v>0</v>
      </c>
      <c r="K6629" s="17"/>
      <c r="L6629" s="7">
        <f>SUM(H6629:K6629)</f>
        <v>3</v>
      </c>
      <c r="M6629" s="8">
        <v>1</v>
      </c>
      <c r="N6629" s="8">
        <f>IF(L6629&gt;0,1,"")</f>
        <v>1</v>
      </c>
      <c r="O6629" s="11" t="s">
        <v>1702</v>
      </c>
      <c r="P6629" s="16" t="str">
        <f>IF(LEN(G6629)=10,CONCATENATE("0",G6629),G6629)</f>
        <v>15-Oct-1913</v>
      </c>
      <c r="R6629" s="16" t="str">
        <f t="shared" si="2860"/>
        <v>x</v>
      </c>
      <c r="S6629" s="16" t="str">
        <f t="shared" si="2860"/>
        <v>x</v>
      </c>
      <c r="U6629" s="46" t="str">
        <f>IF($O6629=U$5,$L6629,"")</f>
        <v/>
      </c>
      <c r="V6629" s="46">
        <f>IF($O6629=V$5,$L6629,"")</f>
        <v>3</v>
      </c>
      <c r="W6629" s="46" t="str">
        <f>IF($O6629=W$5,$L6629,"")</f>
        <v/>
      </c>
      <c r="X6629" s="46" t="str">
        <f>IF($O6629=X$5,$L6629,"")</f>
        <v/>
      </c>
    </row>
    <row r="6630" spans="2:24" x14ac:dyDescent="0.25">
      <c r="B6630" s="11" t="str">
        <f>CONCATENATE("VICT","-",LEFT(P6630,2),UPPER(MID(P6630,4,3)),RIGHT(P6630,4))</f>
        <v>VICT-20OCT1920</v>
      </c>
      <c r="C6630" s="11" t="s">
        <v>2910</v>
      </c>
      <c r="D6630" s="11" t="s">
        <v>2097</v>
      </c>
      <c r="E6630" s="39" t="s">
        <v>4655</v>
      </c>
      <c r="F6630" s="11" t="s">
        <v>2813</v>
      </c>
      <c r="G6630" s="39" t="s">
        <v>11232</v>
      </c>
      <c r="I6630" s="7">
        <v>0</v>
      </c>
      <c r="J6630" s="17">
        <v>2</v>
      </c>
      <c r="K6630" s="17"/>
      <c r="L6630" s="7">
        <f>SUM(H6630:K6630)</f>
        <v>2</v>
      </c>
      <c r="M6630" s="8">
        <v>1</v>
      </c>
      <c r="N6630" s="8">
        <f>IF(L6630&gt;0,1,"")</f>
        <v>1</v>
      </c>
      <c r="O6630" s="11" t="s">
        <v>1702</v>
      </c>
      <c r="P6630" s="16" t="str">
        <f>IF(LEN(G6630)=10,CONCATENATE("0",G6630),G6630)</f>
        <v>20-Oct-1920</v>
      </c>
      <c r="R6630" s="16" t="str">
        <f t="shared" si="2860"/>
        <v>x</v>
      </c>
      <c r="S6630" s="16" t="str">
        <f t="shared" si="2860"/>
        <v>x</v>
      </c>
      <c r="U6630" s="46" t="str">
        <f t="shared" si="2861"/>
        <v/>
      </c>
      <c r="V6630" s="46">
        <f t="shared" si="2861"/>
        <v>2</v>
      </c>
      <c r="W6630" s="46" t="str">
        <f t="shared" si="2861"/>
        <v/>
      </c>
      <c r="X6630" s="46" t="str">
        <f t="shared" si="2861"/>
        <v/>
      </c>
    </row>
    <row r="6631" spans="2:24" x14ac:dyDescent="0.25">
      <c r="N6631" s="8" t="str">
        <f>IF(R6631="x",1,"")</f>
        <v/>
      </c>
      <c r="U6631" s="46" t="str">
        <f t="shared" si="2861"/>
        <v/>
      </c>
      <c r="V6631" s="46" t="str">
        <f t="shared" si="2861"/>
        <v/>
      </c>
      <c r="W6631" s="46" t="str">
        <f t="shared" si="2861"/>
        <v/>
      </c>
      <c r="X6631" s="46" t="str">
        <f t="shared" si="2861"/>
        <v/>
      </c>
    </row>
    <row r="6632" spans="2:24" x14ac:dyDescent="0.25">
      <c r="B6632" s="18"/>
      <c r="C6632" s="18"/>
      <c r="D6632" s="18"/>
      <c r="E6632" s="40"/>
      <c r="F6632" s="18"/>
      <c r="G6632" s="40"/>
      <c r="H6632" s="7">
        <f t="shared" ref="H6632:N6632" si="2862">SUM(H6628:H6631)</f>
        <v>0</v>
      </c>
      <c r="I6632" s="7">
        <f t="shared" si="2862"/>
        <v>3</v>
      </c>
      <c r="J6632" s="7">
        <f>SUM(J6628:J6631)</f>
        <v>20</v>
      </c>
      <c r="K6632" s="7">
        <f t="shared" si="2862"/>
        <v>0</v>
      </c>
      <c r="L6632" s="7">
        <f t="shared" si="2862"/>
        <v>23</v>
      </c>
      <c r="M6632" s="7">
        <f t="shared" si="2862"/>
        <v>3</v>
      </c>
      <c r="N6632" s="7">
        <f t="shared" si="2862"/>
        <v>3</v>
      </c>
      <c r="O6632" s="18"/>
      <c r="P6632" s="13"/>
      <c r="Q6632" s="13"/>
      <c r="S6632" s="13"/>
      <c r="T6632" s="15"/>
      <c r="U6632" s="46" t="str">
        <f t="shared" si="2861"/>
        <v/>
      </c>
      <c r="V6632" s="46" t="str">
        <f t="shared" si="2861"/>
        <v/>
      </c>
      <c r="W6632" s="46" t="str">
        <f t="shared" si="2861"/>
        <v/>
      </c>
      <c r="X6632" s="46" t="str">
        <f t="shared" si="2861"/>
        <v/>
      </c>
    </row>
    <row r="6633" spans="2:24" x14ac:dyDescent="0.25">
      <c r="B6633" s="18"/>
      <c r="C6633" s="18"/>
      <c r="D6633" s="18"/>
      <c r="E6633" s="40"/>
      <c r="F6633" s="18"/>
      <c r="G6633" s="40"/>
      <c r="N6633" s="8" t="str">
        <f>IF(R6633="x",1,"")</f>
        <v/>
      </c>
      <c r="O6633" s="18"/>
      <c r="P6633" s="13"/>
      <c r="Q6633" s="13"/>
      <c r="R6633" s="13"/>
      <c r="S6633" s="13"/>
      <c r="T6633" s="15"/>
      <c r="U6633" s="46" t="str">
        <f t="shared" si="2861"/>
        <v/>
      </c>
      <c r="V6633" s="46" t="str">
        <f t="shared" si="2861"/>
        <v/>
      </c>
      <c r="W6633" s="46" t="str">
        <f t="shared" si="2861"/>
        <v/>
      </c>
      <c r="X6633" s="46" t="str">
        <f t="shared" si="2861"/>
        <v/>
      </c>
    </row>
    <row r="6634" spans="2:24" x14ac:dyDescent="0.25">
      <c r="B6634" s="18"/>
      <c r="C6634" s="18"/>
      <c r="D6634" s="18"/>
      <c r="E6634" s="40"/>
      <c r="F6634" s="18"/>
      <c r="G6634" s="40"/>
      <c r="N6634" s="8" t="str">
        <f>IF(R6634="x",1,"")</f>
        <v/>
      </c>
      <c r="O6634" s="18"/>
      <c r="P6634" s="13"/>
      <c r="Q6634" s="13"/>
      <c r="R6634" s="13"/>
      <c r="S6634" s="13"/>
      <c r="T6634" s="15"/>
      <c r="U6634" s="46" t="str">
        <f t="shared" si="2861"/>
        <v/>
      </c>
      <c r="V6634" s="46" t="str">
        <f t="shared" si="2861"/>
        <v/>
      </c>
      <c r="W6634" s="46" t="str">
        <f t="shared" si="2861"/>
        <v/>
      </c>
      <c r="X6634" s="46" t="str">
        <f t="shared" si="2861"/>
        <v/>
      </c>
    </row>
    <row r="6635" spans="2:24" x14ac:dyDescent="0.25">
      <c r="B6635" s="11" t="str">
        <f>CONCATENATE("VINC","-",LEFT(P6635,2),UPPER(MID(P6635,4,3)),RIGHT(P6635,4))</f>
        <v>VINC-26OCT1880</v>
      </c>
      <c r="C6635" s="11" t="s">
        <v>4372</v>
      </c>
      <c r="D6635" s="11" t="s">
        <v>870</v>
      </c>
      <c r="F6635" s="11" t="s">
        <v>1700</v>
      </c>
      <c r="G6635" s="39" t="s">
        <v>4373</v>
      </c>
      <c r="J6635" s="17">
        <v>16</v>
      </c>
      <c r="K6635" s="17"/>
      <c r="L6635" s="7">
        <f>SUM(H6635:K6635)</f>
        <v>16</v>
      </c>
      <c r="M6635" s="8">
        <v>1</v>
      </c>
      <c r="N6635" s="8">
        <f>IF(L6635&gt;0,1,"")</f>
        <v>1</v>
      </c>
      <c r="O6635" s="11" t="s">
        <v>1702</v>
      </c>
      <c r="P6635" s="16" t="str">
        <f>IF(LEN(G6635)=10,CONCATENATE("0",G6635),G6635)</f>
        <v>26-Oct-1880</v>
      </c>
      <c r="R6635" s="16" t="str">
        <f>IF($L6635&gt;0,"x","")</f>
        <v>x</v>
      </c>
      <c r="S6635" s="16" t="str">
        <f>IF($L6635&gt;0,"x","")</f>
        <v>x</v>
      </c>
      <c r="U6635" s="46" t="str">
        <f t="shared" si="2861"/>
        <v/>
      </c>
      <c r="V6635" s="46">
        <f t="shared" si="2861"/>
        <v>16</v>
      </c>
      <c r="W6635" s="46" t="str">
        <f t="shared" si="2861"/>
        <v/>
      </c>
      <c r="X6635" s="46" t="str">
        <f t="shared" si="2861"/>
        <v/>
      </c>
    </row>
    <row r="6636" spans="2:24" x14ac:dyDescent="0.25">
      <c r="N6636" s="8" t="str">
        <f>IF(R6636="x",1,"")</f>
        <v/>
      </c>
      <c r="U6636" s="46" t="str">
        <f t="shared" si="2861"/>
        <v/>
      </c>
      <c r="V6636" s="46" t="str">
        <f t="shared" si="2861"/>
        <v/>
      </c>
      <c r="W6636" s="46" t="str">
        <f t="shared" si="2861"/>
        <v/>
      </c>
      <c r="X6636" s="46" t="str">
        <f t="shared" si="2861"/>
        <v/>
      </c>
    </row>
    <row r="6637" spans="2:24" x14ac:dyDescent="0.25">
      <c r="B6637" s="18"/>
      <c r="C6637" s="18"/>
      <c r="D6637" s="18"/>
      <c r="E6637" s="40"/>
      <c r="F6637" s="18"/>
      <c r="G6637" s="40"/>
      <c r="H6637" s="7">
        <f t="shared" ref="H6637:N6637" si="2863">SUM(H6635:H6636)</f>
        <v>0</v>
      </c>
      <c r="I6637" s="7">
        <f t="shared" si="2863"/>
        <v>0</v>
      </c>
      <c r="J6637" s="7">
        <f>SUM(J6635:J6636)</f>
        <v>16</v>
      </c>
      <c r="K6637" s="7">
        <f t="shared" si="2863"/>
        <v>0</v>
      </c>
      <c r="L6637" s="7">
        <f t="shared" si="2863"/>
        <v>16</v>
      </c>
      <c r="M6637" s="7">
        <f t="shared" si="2863"/>
        <v>1</v>
      </c>
      <c r="N6637" s="7">
        <f t="shared" si="2863"/>
        <v>1</v>
      </c>
      <c r="O6637" s="18"/>
      <c r="P6637" s="13"/>
      <c r="Q6637" s="13"/>
      <c r="S6637" s="13"/>
      <c r="T6637" s="15"/>
      <c r="U6637" s="46" t="str">
        <f t="shared" si="2861"/>
        <v/>
      </c>
      <c r="V6637" s="46" t="str">
        <f t="shared" si="2861"/>
        <v/>
      </c>
      <c r="W6637" s="46" t="str">
        <f t="shared" si="2861"/>
        <v/>
      </c>
      <c r="X6637" s="46" t="str">
        <f t="shared" si="2861"/>
        <v/>
      </c>
    </row>
    <row r="6638" spans="2:24" x14ac:dyDescent="0.25">
      <c r="B6638" s="18"/>
      <c r="C6638" s="18"/>
      <c r="D6638" s="18"/>
      <c r="E6638" s="40"/>
      <c r="F6638" s="18"/>
      <c r="G6638" s="40"/>
      <c r="N6638" s="8" t="str">
        <f>IF(R6638="x",1,"")</f>
        <v/>
      </c>
      <c r="O6638" s="18"/>
      <c r="P6638" s="13"/>
      <c r="Q6638" s="13"/>
      <c r="R6638" s="13"/>
      <c r="S6638" s="13"/>
      <c r="T6638" s="15"/>
      <c r="U6638" s="46" t="str">
        <f t="shared" ref="U6638:X6645" si="2864">IF($O6638=U$5,$L6638,"")</f>
        <v/>
      </c>
      <c r="V6638" s="46" t="str">
        <f t="shared" si="2864"/>
        <v/>
      </c>
      <c r="W6638" s="46" t="str">
        <f t="shared" si="2864"/>
        <v/>
      </c>
      <c r="X6638" s="46" t="str">
        <f t="shared" si="2864"/>
        <v/>
      </c>
    </row>
    <row r="6639" spans="2:24" x14ac:dyDescent="0.25">
      <c r="B6639" s="18"/>
      <c r="C6639" s="18"/>
      <c r="D6639" s="18"/>
      <c r="E6639" s="40"/>
      <c r="F6639" s="18"/>
      <c r="G6639" s="40"/>
      <c r="N6639" s="8" t="str">
        <f>IF(R6639="x",1,"")</f>
        <v/>
      </c>
      <c r="O6639" s="18"/>
      <c r="P6639" s="13"/>
      <c r="Q6639" s="13"/>
      <c r="R6639" s="13"/>
      <c r="S6639" s="13"/>
      <c r="T6639" s="15"/>
      <c r="U6639" s="46" t="str">
        <f t="shared" si="2864"/>
        <v/>
      </c>
      <c r="V6639" s="46" t="str">
        <f t="shared" si="2864"/>
        <v/>
      </c>
      <c r="W6639" s="46" t="str">
        <f t="shared" si="2864"/>
        <v/>
      </c>
      <c r="X6639" s="46" t="str">
        <f t="shared" si="2864"/>
        <v/>
      </c>
    </row>
    <row r="6640" spans="2:24" x14ac:dyDescent="0.25">
      <c r="B6640" s="11" t="str">
        <f>CONCATENATE("VRGA","-",LEFT(P6640,2),UPPER(MID(P6640,4,3)),RIGHT(P6640,4))</f>
        <v>VRGA-16MAR1892</v>
      </c>
      <c r="C6640" s="11" t="s">
        <v>137</v>
      </c>
      <c r="D6640" s="11" t="s">
        <v>1699</v>
      </c>
      <c r="F6640" s="11" t="s">
        <v>1700</v>
      </c>
      <c r="G6640" s="39" t="s">
        <v>4657</v>
      </c>
      <c r="J6640" s="17">
        <v>32</v>
      </c>
      <c r="K6640" s="17"/>
      <c r="L6640" s="7">
        <f>SUM(H6640:K6640)</f>
        <v>32</v>
      </c>
      <c r="M6640" s="8">
        <v>1</v>
      </c>
      <c r="N6640" s="8">
        <f>IF(L6640&gt;0,1,"")</f>
        <v>1</v>
      </c>
      <c r="O6640" s="11" t="s">
        <v>1702</v>
      </c>
      <c r="P6640" s="16" t="str">
        <f>IF(LEN(G6640)=10,CONCATENATE("0",G6640),G6640)</f>
        <v>16-Mar-1892</v>
      </c>
      <c r="R6640" s="16" t="str">
        <f t="shared" ref="R6640:S6642" si="2865">IF($L6640&gt;0,"x","")</f>
        <v>x</v>
      </c>
      <c r="S6640" s="16" t="str">
        <f t="shared" si="2865"/>
        <v>x</v>
      </c>
      <c r="U6640" s="46" t="str">
        <f t="shared" si="2864"/>
        <v/>
      </c>
      <c r="V6640" s="46">
        <f t="shared" si="2864"/>
        <v>32</v>
      </c>
      <c r="W6640" s="46" t="str">
        <f t="shared" si="2864"/>
        <v/>
      </c>
      <c r="X6640" s="46" t="str">
        <f t="shared" si="2864"/>
        <v/>
      </c>
    </row>
    <row r="6641" spans="2:24" x14ac:dyDescent="0.25">
      <c r="B6641" s="11" t="str">
        <f>CONCATENATE("VRGA","-",LEFT(P6641,2),UPPER(MID(P6641,4,3)),RIGHT(P6641,4))</f>
        <v>VRGA-04DEC1895</v>
      </c>
      <c r="C6641" s="11" t="s">
        <v>137</v>
      </c>
      <c r="D6641" s="11" t="s">
        <v>1699</v>
      </c>
      <c r="F6641" s="11" t="s">
        <v>1700</v>
      </c>
      <c r="G6641" s="39" t="s">
        <v>11186</v>
      </c>
      <c r="J6641" s="17">
        <v>9</v>
      </c>
      <c r="K6641" s="17"/>
      <c r="L6641" s="7">
        <f>SUM(H6641:K6641)</f>
        <v>9</v>
      </c>
      <c r="M6641" s="8">
        <v>1</v>
      </c>
      <c r="N6641" s="8">
        <f>IF(L6641&gt;0,1,"")</f>
        <v>1</v>
      </c>
      <c r="O6641" s="11" t="s">
        <v>1702</v>
      </c>
      <c r="P6641" s="16" t="str">
        <f>IF(LEN(G6641)=10,CONCATENATE("0",G6641),G6641)</f>
        <v>04-Dec-1895</v>
      </c>
      <c r="R6641" s="16" t="str">
        <f t="shared" si="2865"/>
        <v>x</v>
      </c>
      <c r="S6641" s="16" t="str">
        <f t="shared" si="2865"/>
        <v>x</v>
      </c>
      <c r="U6641" s="46" t="str">
        <f t="shared" si="2864"/>
        <v/>
      </c>
      <c r="V6641" s="46">
        <f t="shared" si="2864"/>
        <v>9</v>
      </c>
      <c r="W6641" s="46" t="str">
        <f t="shared" si="2864"/>
        <v/>
      </c>
      <c r="X6641" s="46" t="str">
        <f t="shared" si="2864"/>
        <v/>
      </c>
    </row>
    <row r="6642" spans="2:24" x14ac:dyDescent="0.25">
      <c r="B6642" s="11" t="str">
        <f>CONCATENATE("VRGA","-",LEFT(P6642,2),UPPER(MID(P6642,4,3)),RIGHT(P6642,4))</f>
        <v>VRGA-31OCT1909</v>
      </c>
      <c r="C6642" s="11" t="s">
        <v>137</v>
      </c>
      <c r="D6642" s="11" t="s">
        <v>3007</v>
      </c>
      <c r="E6642" s="39" t="s">
        <v>1240</v>
      </c>
      <c r="F6642" s="11" t="s">
        <v>1700</v>
      </c>
      <c r="G6642" s="39" t="s">
        <v>5371</v>
      </c>
      <c r="H6642" s="7">
        <v>0</v>
      </c>
      <c r="J6642" s="17">
        <v>20</v>
      </c>
      <c r="K6642" s="17"/>
      <c r="L6642" s="7">
        <f>SUM(H6642:K6642)</f>
        <v>20</v>
      </c>
      <c r="M6642" s="8">
        <v>1</v>
      </c>
      <c r="N6642" s="8">
        <f>IF(L6642&gt;0,1,"")</f>
        <v>1</v>
      </c>
      <c r="O6642" s="11" t="s">
        <v>1702</v>
      </c>
      <c r="P6642" s="16" t="str">
        <f>IF(LEN(G6642)=10,CONCATENATE("0",G6642),G6642)</f>
        <v>31-Oct-1909</v>
      </c>
      <c r="R6642" s="16" t="str">
        <f t="shared" si="2865"/>
        <v>x</v>
      </c>
      <c r="S6642" s="16" t="str">
        <f t="shared" si="2865"/>
        <v>x</v>
      </c>
      <c r="U6642" s="46" t="str">
        <f t="shared" si="2864"/>
        <v/>
      </c>
      <c r="V6642" s="46">
        <f t="shared" si="2864"/>
        <v>20</v>
      </c>
      <c r="W6642" s="46" t="str">
        <f t="shared" si="2864"/>
        <v/>
      </c>
      <c r="X6642" s="46" t="str">
        <f t="shared" si="2864"/>
        <v/>
      </c>
    </row>
    <row r="6643" spans="2:24" x14ac:dyDescent="0.25">
      <c r="B6643" s="11" t="str">
        <f>CONCATENATE("VRGA","-",LEFT(P6643,2),UPPER(MID(P6643,4,3)),RIGHT(P6643,4))</f>
        <v>VRGA-26FEB1910</v>
      </c>
      <c r="C6643" s="11" t="s">
        <v>137</v>
      </c>
      <c r="D6643" s="11" t="s">
        <v>3007</v>
      </c>
      <c r="E6643" s="39" t="s">
        <v>11383</v>
      </c>
      <c r="F6643" s="11" t="s">
        <v>1700</v>
      </c>
      <c r="G6643" s="39" t="s">
        <v>2327</v>
      </c>
      <c r="H6643" s="7">
        <v>0</v>
      </c>
      <c r="J6643" s="17">
        <v>6</v>
      </c>
      <c r="K6643" s="17"/>
      <c r="L6643" s="7">
        <f>SUM(H6643:K6643)</f>
        <v>6</v>
      </c>
      <c r="M6643" s="8">
        <v>1</v>
      </c>
      <c r="N6643" s="8">
        <f>IF(L6643&gt;0,1,"")</f>
        <v>1</v>
      </c>
      <c r="O6643" s="11" t="s">
        <v>1702</v>
      </c>
      <c r="P6643" s="16" t="str">
        <f>IF(LEN(G6643)=10,CONCATENATE("0",G6643),G6643)</f>
        <v>26-Feb-1910</v>
      </c>
      <c r="R6643" s="16" t="str">
        <f>IF($L6643&gt;0,"x","")</f>
        <v>x</v>
      </c>
      <c r="S6643" s="16" t="str">
        <f>IF($L6643&gt;0,"x","")</f>
        <v>x</v>
      </c>
      <c r="U6643" s="46" t="str">
        <f t="shared" si="2864"/>
        <v/>
      </c>
      <c r="V6643" s="46">
        <f t="shared" si="2864"/>
        <v>6</v>
      </c>
      <c r="W6643" s="46" t="str">
        <f t="shared" si="2864"/>
        <v/>
      </c>
      <c r="X6643" s="46" t="str">
        <f t="shared" si="2864"/>
        <v/>
      </c>
    </row>
    <row r="6644" spans="2:24" x14ac:dyDescent="0.25">
      <c r="N6644" s="8" t="str">
        <f>IF(R6644="x",1,"")</f>
        <v/>
      </c>
      <c r="U6644" s="46" t="str">
        <f t="shared" si="2864"/>
        <v/>
      </c>
      <c r="V6644" s="46" t="str">
        <f t="shared" si="2864"/>
        <v/>
      </c>
      <c r="W6644" s="46" t="str">
        <f t="shared" si="2864"/>
        <v/>
      </c>
      <c r="X6644" s="46" t="str">
        <f t="shared" si="2864"/>
        <v/>
      </c>
    </row>
    <row r="6645" spans="2:24" x14ac:dyDescent="0.25">
      <c r="B6645" s="18"/>
      <c r="C6645" s="18"/>
      <c r="D6645" s="18"/>
      <c r="E6645" s="40"/>
      <c r="F6645" s="18"/>
      <c r="G6645" s="40"/>
      <c r="H6645" s="7">
        <f t="shared" ref="H6645:N6645" si="2866">SUM(H6640:H6644)</f>
        <v>0</v>
      </c>
      <c r="I6645" s="7">
        <f t="shared" si="2866"/>
        <v>0</v>
      </c>
      <c r="J6645" s="7">
        <f>SUM(J6640:J6644)</f>
        <v>67</v>
      </c>
      <c r="K6645" s="7">
        <f t="shared" si="2866"/>
        <v>0</v>
      </c>
      <c r="L6645" s="7">
        <f t="shared" si="2866"/>
        <v>67</v>
      </c>
      <c r="M6645" s="7">
        <f t="shared" si="2866"/>
        <v>4</v>
      </c>
      <c r="N6645" s="7">
        <f t="shared" si="2866"/>
        <v>4</v>
      </c>
      <c r="O6645" s="18"/>
      <c r="P6645" s="13"/>
      <c r="Q6645" s="13"/>
      <c r="S6645" s="13"/>
      <c r="T6645" s="15"/>
      <c r="U6645" s="46" t="str">
        <f t="shared" si="2864"/>
        <v/>
      </c>
      <c r="V6645" s="46" t="str">
        <f t="shared" si="2864"/>
        <v/>
      </c>
      <c r="W6645" s="46" t="str">
        <f t="shared" si="2864"/>
        <v/>
      </c>
      <c r="X6645" s="46" t="str">
        <f t="shared" si="2864"/>
        <v/>
      </c>
    </row>
    <row r="6646" spans="2:24" x14ac:dyDescent="0.25">
      <c r="B6646" s="18"/>
      <c r="C6646" s="18"/>
      <c r="D6646" s="18"/>
      <c r="E6646" s="40"/>
      <c r="F6646" s="18"/>
      <c r="G6646" s="40"/>
      <c r="N6646" s="8" t="str">
        <f>IF(R6646="x",1,"")</f>
        <v/>
      </c>
      <c r="O6646" s="18"/>
      <c r="P6646" s="13"/>
      <c r="Q6646" s="13"/>
      <c r="R6646" s="13"/>
      <c r="S6646" s="13"/>
      <c r="T6646" s="15"/>
      <c r="U6646" s="46" t="str">
        <f t="shared" ref="U6646:X6650" si="2867">IF($O6646=U$5,$L6646,"")</f>
        <v/>
      </c>
      <c r="V6646" s="46" t="str">
        <f t="shared" si="2867"/>
        <v/>
      </c>
      <c r="W6646" s="46" t="str">
        <f t="shared" si="2867"/>
        <v/>
      </c>
      <c r="X6646" s="46" t="str">
        <f t="shared" si="2867"/>
        <v/>
      </c>
    </row>
    <row r="6647" spans="2:24" x14ac:dyDescent="0.25">
      <c r="B6647" s="18"/>
      <c r="C6647" s="18"/>
      <c r="D6647" s="18"/>
      <c r="E6647" s="40"/>
      <c r="F6647" s="18"/>
      <c r="G6647" s="40"/>
      <c r="N6647" s="8" t="str">
        <f>IF(R6647="x",1,"")</f>
        <v/>
      </c>
      <c r="O6647" s="18"/>
      <c r="P6647" s="13"/>
      <c r="Q6647" s="13"/>
      <c r="R6647" s="13"/>
      <c r="S6647" s="13"/>
      <c r="T6647" s="15"/>
      <c r="U6647" s="46" t="str">
        <f t="shared" si="2867"/>
        <v/>
      </c>
      <c r="V6647" s="46" t="str">
        <f t="shared" si="2867"/>
        <v/>
      </c>
      <c r="W6647" s="46" t="str">
        <f t="shared" si="2867"/>
        <v/>
      </c>
      <c r="X6647" s="46" t="str">
        <f t="shared" si="2867"/>
        <v/>
      </c>
    </row>
    <row r="6648" spans="2:24" x14ac:dyDescent="0.25">
      <c r="B6648" s="11" t="str">
        <f>CONCATENATE("VRGN","-",LEFT(P6648,2),UPPER(MID(P6648,4,3)),RIGHT(P6648,4))</f>
        <v>VRGN-29OCT1913</v>
      </c>
      <c r="C6648" s="11" t="s">
        <v>6293</v>
      </c>
      <c r="D6648" s="11" t="s">
        <v>2097</v>
      </c>
      <c r="E6648" s="39" t="s">
        <v>2529</v>
      </c>
      <c r="F6648" s="11" t="s">
        <v>2813</v>
      </c>
      <c r="G6648" s="39" t="s">
        <v>5987</v>
      </c>
      <c r="H6648" s="7">
        <v>0</v>
      </c>
      <c r="I6648" s="7">
        <v>0</v>
      </c>
      <c r="J6648" s="17">
        <v>1</v>
      </c>
      <c r="K6648" s="17"/>
      <c r="L6648" s="7">
        <f>SUM(H6648:K6648)</f>
        <v>1</v>
      </c>
      <c r="M6648" s="8">
        <v>1</v>
      </c>
      <c r="N6648" s="8">
        <f>IF(L6648&gt;0,1,"")</f>
        <v>1</v>
      </c>
      <c r="O6648" s="11" t="s">
        <v>1702</v>
      </c>
      <c r="P6648" s="16" t="str">
        <f>IF(LEN(G6648)=10,CONCATENATE("0",G6648),G6648)</f>
        <v>29-Oct-1913</v>
      </c>
      <c r="R6648" s="16" t="str">
        <f>IF($L6648&gt;0,"x","")</f>
        <v>x</v>
      </c>
      <c r="S6648" s="16" t="str">
        <f>IF($L6648&gt;0,"x","")</f>
        <v>x</v>
      </c>
      <c r="U6648" s="46" t="str">
        <f t="shared" si="2867"/>
        <v/>
      </c>
      <c r="V6648" s="46">
        <f t="shared" si="2867"/>
        <v>1</v>
      </c>
      <c r="W6648" s="46" t="str">
        <f t="shared" si="2867"/>
        <v/>
      </c>
      <c r="X6648" s="46" t="str">
        <f t="shared" si="2867"/>
        <v/>
      </c>
    </row>
    <row r="6649" spans="2:24" x14ac:dyDescent="0.25">
      <c r="N6649" s="8" t="str">
        <f>IF(R6649="x",1,"")</f>
        <v/>
      </c>
      <c r="U6649" s="46" t="str">
        <f t="shared" si="2867"/>
        <v/>
      </c>
      <c r="V6649" s="46" t="str">
        <f t="shared" si="2867"/>
        <v/>
      </c>
      <c r="W6649" s="46" t="str">
        <f t="shared" si="2867"/>
        <v/>
      </c>
      <c r="X6649" s="46" t="str">
        <f t="shared" si="2867"/>
        <v/>
      </c>
    </row>
    <row r="6650" spans="2:24" x14ac:dyDescent="0.25">
      <c r="B6650" s="18"/>
      <c r="C6650" s="18"/>
      <c r="D6650" s="18"/>
      <c r="E6650" s="40"/>
      <c r="F6650" s="18"/>
      <c r="G6650" s="40"/>
      <c r="H6650" s="7">
        <f t="shared" ref="H6650:N6650" si="2868">SUM(H6648:H6649)</f>
        <v>0</v>
      </c>
      <c r="I6650" s="7">
        <f t="shared" si="2868"/>
        <v>0</v>
      </c>
      <c r="J6650" s="7">
        <f>SUM(J6648:J6649)</f>
        <v>1</v>
      </c>
      <c r="K6650" s="7">
        <f t="shared" si="2868"/>
        <v>0</v>
      </c>
      <c r="L6650" s="7">
        <f t="shared" si="2868"/>
        <v>1</v>
      </c>
      <c r="M6650" s="7">
        <f t="shared" si="2868"/>
        <v>1</v>
      </c>
      <c r="N6650" s="7">
        <f t="shared" si="2868"/>
        <v>1</v>
      </c>
      <c r="O6650" s="18"/>
      <c r="P6650" s="13"/>
      <c r="Q6650" s="13"/>
      <c r="S6650" s="13"/>
      <c r="T6650" s="15"/>
      <c r="U6650" s="46" t="str">
        <f t="shared" si="2867"/>
        <v/>
      </c>
      <c r="V6650" s="46" t="str">
        <f t="shared" si="2867"/>
        <v/>
      </c>
      <c r="W6650" s="46" t="str">
        <f t="shared" si="2867"/>
        <v/>
      </c>
      <c r="X6650" s="46" t="str">
        <f t="shared" si="2867"/>
        <v/>
      </c>
    </row>
    <row r="6651" spans="2:24" x14ac:dyDescent="0.25">
      <c r="B6651" s="18"/>
      <c r="C6651" s="18"/>
      <c r="D6651" s="18"/>
      <c r="E6651" s="40"/>
      <c r="F6651" s="18"/>
      <c r="G6651" s="40"/>
      <c r="N6651" s="8" t="str">
        <f>IF(R6651="x",1,"")</f>
        <v/>
      </c>
      <c r="O6651" s="18"/>
      <c r="P6651" s="13"/>
      <c r="Q6651" s="13"/>
      <c r="R6651" s="13"/>
      <c r="S6651" s="13"/>
      <c r="T6651" s="15"/>
      <c r="U6651" s="46" t="str">
        <f t="shared" si="2861"/>
        <v/>
      </c>
      <c r="V6651" s="46" t="str">
        <f t="shared" si="2861"/>
        <v/>
      </c>
      <c r="W6651" s="46" t="str">
        <f t="shared" si="2861"/>
        <v/>
      </c>
      <c r="X6651" s="46" t="str">
        <f t="shared" si="2861"/>
        <v/>
      </c>
    </row>
    <row r="6652" spans="2:24" x14ac:dyDescent="0.25">
      <c r="B6652" s="18"/>
      <c r="C6652" s="18"/>
      <c r="D6652" s="18"/>
      <c r="E6652" s="40"/>
      <c r="F6652" s="18"/>
      <c r="G6652" s="40"/>
      <c r="N6652" s="8" t="str">
        <f>IF(R6652="x",1,"")</f>
        <v/>
      </c>
      <c r="O6652" s="18"/>
      <c r="P6652" s="13"/>
      <c r="Q6652" s="13"/>
      <c r="R6652" s="13"/>
      <c r="S6652" s="13"/>
      <c r="T6652" s="15"/>
      <c r="U6652" s="46" t="str">
        <f t="shared" si="2861"/>
        <v/>
      </c>
      <c r="V6652" s="46" t="str">
        <f t="shared" si="2861"/>
        <v/>
      </c>
      <c r="W6652" s="46" t="str">
        <f t="shared" si="2861"/>
        <v/>
      </c>
      <c r="X6652" s="46" t="str">
        <f t="shared" si="2861"/>
        <v/>
      </c>
    </row>
    <row r="6653" spans="2:24" x14ac:dyDescent="0.25">
      <c r="B6653" s="11" t="str">
        <f>CONCATENATE("VIRG","-",LEFT(P6653,2),UPPER(MID(P6653,4,3)),RIGHT(P6653,4))</f>
        <v>VIRG-05AUG1911</v>
      </c>
      <c r="C6653" s="11" t="s">
        <v>3127</v>
      </c>
      <c r="D6653" s="11" t="s">
        <v>1699</v>
      </c>
      <c r="E6653" s="39" t="s">
        <v>5343</v>
      </c>
      <c r="F6653" s="11" t="s">
        <v>1700</v>
      </c>
      <c r="G6653" s="39" t="s">
        <v>1258</v>
      </c>
      <c r="I6653" s="7">
        <v>0</v>
      </c>
      <c r="J6653" s="17">
        <v>5</v>
      </c>
      <c r="K6653" s="17"/>
      <c r="L6653" s="7">
        <f>SUM(H6653:K6653)</f>
        <v>5</v>
      </c>
      <c r="M6653" s="8">
        <v>1</v>
      </c>
      <c r="N6653" s="8">
        <f>IF(L6653&gt;0,1,"")</f>
        <v>1</v>
      </c>
      <c r="O6653" s="11" t="s">
        <v>1702</v>
      </c>
      <c r="P6653" s="16" t="str">
        <f>IF(LEN(G6653)=10,CONCATENATE("0",G6653),G6653)</f>
        <v>05-Aug-1911</v>
      </c>
      <c r="R6653" s="16" t="str">
        <f>IF($L6653&gt;0,"x","")</f>
        <v>x</v>
      </c>
      <c r="S6653" s="16" t="str">
        <f>IF($L6653&gt;0,"x","")</f>
        <v>x</v>
      </c>
      <c r="U6653" s="46" t="str">
        <f t="shared" si="2861"/>
        <v/>
      </c>
      <c r="V6653" s="46">
        <f t="shared" si="2861"/>
        <v>5</v>
      </c>
      <c r="W6653" s="46" t="str">
        <f t="shared" si="2861"/>
        <v/>
      </c>
      <c r="X6653" s="46" t="str">
        <f t="shared" si="2861"/>
        <v/>
      </c>
    </row>
    <row r="6654" spans="2:24" x14ac:dyDescent="0.25">
      <c r="B6654" s="11" t="str">
        <f>CONCATENATE("VIRG","-",LEFT(P6654,2),UPPER(MID(P6654,4,3)),RIGHT(P6654,4))</f>
        <v>VIRG-08OCT1911</v>
      </c>
      <c r="C6654" s="11" t="s">
        <v>3127</v>
      </c>
      <c r="D6654" s="11" t="s">
        <v>1699</v>
      </c>
      <c r="E6654" s="39" t="s">
        <v>1260</v>
      </c>
      <c r="F6654" s="11" t="s">
        <v>1700</v>
      </c>
      <c r="G6654" s="39" t="s">
        <v>2335</v>
      </c>
      <c r="I6654" s="7">
        <v>0</v>
      </c>
      <c r="J6654" s="17">
        <v>28</v>
      </c>
      <c r="K6654" s="17"/>
      <c r="L6654" s="7">
        <f>SUM(H6654:K6654)</f>
        <v>28</v>
      </c>
      <c r="M6654" s="8">
        <v>1</v>
      </c>
      <c r="N6654" s="8">
        <f>IF(L6654&gt;0,1,"")</f>
        <v>1</v>
      </c>
      <c r="O6654" s="11" t="s">
        <v>1702</v>
      </c>
      <c r="P6654" s="16" t="str">
        <f>IF(LEN(G6654)=10,CONCATENATE("0",G6654),G6654)</f>
        <v>08-Oct-1911</v>
      </c>
      <c r="R6654" s="16" t="str">
        <f t="shared" ref="R6654:S6656" si="2869">IF($L6654&gt;0,"x","")</f>
        <v>x</v>
      </c>
      <c r="S6654" s="16" t="str">
        <f t="shared" si="2869"/>
        <v>x</v>
      </c>
      <c r="U6654" s="46" t="str">
        <f>IF($O6654=U$5,$L6654,"")</f>
        <v/>
      </c>
      <c r="V6654" s="46">
        <f>IF($O6654=V$5,$L6654,"")</f>
        <v>28</v>
      </c>
      <c r="W6654" s="46" t="str">
        <f>IF($O6654=W$5,$L6654,"")</f>
        <v/>
      </c>
      <c r="X6654" s="46" t="str">
        <f>IF($O6654=X$5,$L6654,"")</f>
        <v/>
      </c>
    </row>
    <row r="6655" spans="2:24" x14ac:dyDescent="0.25">
      <c r="B6655" s="11" t="str">
        <f>CONCATENATE("VIRG","-",LEFT(P6655,2),UPPER(MID(P6655,4,3)),RIGHT(P6655,4))</f>
        <v>VIRG-25AUG1912</v>
      </c>
      <c r="C6655" s="11" t="s">
        <v>3127</v>
      </c>
      <c r="D6655" s="11" t="s">
        <v>1699</v>
      </c>
      <c r="E6655" s="39" t="s">
        <v>3128</v>
      </c>
      <c r="F6655" s="11" t="s">
        <v>1700</v>
      </c>
      <c r="G6655" s="39" t="s">
        <v>2346</v>
      </c>
      <c r="I6655" s="7">
        <v>0</v>
      </c>
      <c r="J6655" s="17">
        <v>24</v>
      </c>
      <c r="K6655" s="17"/>
      <c r="L6655" s="7">
        <f>SUM(H6655:K6655)</f>
        <v>24</v>
      </c>
      <c r="M6655" s="8">
        <v>1</v>
      </c>
      <c r="N6655" s="8">
        <f>IF(L6655&gt;0,1,"")</f>
        <v>1</v>
      </c>
      <c r="O6655" s="11" t="s">
        <v>1702</v>
      </c>
      <c r="P6655" s="16" t="str">
        <f>IF(LEN(G6655)=10,CONCATENATE("0",G6655),G6655)</f>
        <v>25-Aug-1912</v>
      </c>
      <c r="R6655" s="16" t="str">
        <f t="shared" si="2869"/>
        <v>x</v>
      </c>
      <c r="S6655" s="16" t="str">
        <f t="shared" si="2869"/>
        <v>x</v>
      </c>
      <c r="U6655" s="46" t="str">
        <f t="shared" si="2861"/>
        <v/>
      </c>
      <c r="V6655" s="46">
        <f t="shared" si="2861"/>
        <v>24</v>
      </c>
      <c r="W6655" s="46" t="str">
        <f t="shared" si="2861"/>
        <v/>
      </c>
      <c r="X6655" s="46" t="str">
        <f t="shared" si="2861"/>
        <v/>
      </c>
    </row>
    <row r="6656" spans="2:24" x14ac:dyDescent="0.25">
      <c r="B6656" s="11" t="str">
        <f>CONCATENATE("VIRG","-",LEFT(P6656,2),UPPER(MID(P6656,4,3)),RIGHT(P6656,4))</f>
        <v>VIRG-23AUG1913</v>
      </c>
      <c r="C6656" s="11" t="s">
        <v>3127</v>
      </c>
      <c r="D6656" s="11" t="s">
        <v>1699</v>
      </c>
      <c r="E6656" s="39" t="s">
        <v>1536</v>
      </c>
      <c r="F6656" s="11" t="s">
        <v>1700</v>
      </c>
      <c r="G6656" s="39" t="s">
        <v>1299</v>
      </c>
      <c r="I6656" s="7">
        <v>0</v>
      </c>
      <c r="J6656" s="17">
        <v>17</v>
      </c>
      <c r="K6656" s="17"/>
      <c r="L6656" s="7">
        <f>SUM(H6656:K6656)</f>
        <v>17</v>
      </c>
      <c r="M6656" s="8">
        <v>1</v>
      </c>
      <c r="N6656" s="8">
        <f>IF(L6656&gt;0,1,"")</f>
        <v>1</v>
      </c>
      <c r="O6656" s="11" t="s">
        <v>1702</v>
      </c>
      <c r="P6656" s="16" t="str">
        <f>IF(LEN(G6656)=10,CONCATENATE("0",G6656),G6656)</f>
        <v>23-Aug-1913</v>
      </c>
      <c r="R6656" s="16" t="str">
        <f t="shared" si="2869"/>
        <v>x</v>
      </c>
      <c r="S6656" s="16" t="str">
        <f t="shared" si="2869"/>
        <v>x</v>
      </c>
      <c r="U6656" s="46" t="str">
        <f t="shared" si="2861"/>
        <v/>
      </c>
      <c r="V6656" s="46">
        <f t="shared" si="2861"/>
        <v>17</v>
      </c>
      <c r="W6656" s="46" t="str">
        <f t="shared" si="2861"/>
        <v/>
      </c>
      <c r="X6656" s="46" t="str">
        <f t="shared" si="2861"/>
        <v/>
      </c>
    </row>
    <row r="6657" spans="2:24" x14ac:dyDescent="0.25">
      <c r="N6657" s="8" t="str">
        <f>IF(R6657="x",1,"")</f>
        <v/>
      </c>
      <c r="U6657" s="46" t="str">
        <f t="shared" si="2861"/>
        <v/>
      </c>
      <c r="V6657" s="46" t="str">
        <f t="shared" si="2861"/>
        <v/>
      </c>
      <c r="W6657" s="46" t="str">
        <f t="shared" si="2861"/>
        <v/>
      </c>
      <c r="X6657" s="46" t="str">
        <f t="shared" si="2861"/>
        <v/>
      </c>
    </row>
    <row r="6658" spans="2:24" x14ac:dyDescent="0.25">
      <c r="B6658" s="18"/>
      <c r="C6658" s="18"/>
      <c r="D6658" s="18"/>
      <c r="E6658" s="40"/>
      <c r="F6658" s="18"/>
      <c r="G6658" s="40"/>
      <c r="H6658" s="7">
        <f t="shared" ref="H6658:N6658" si="2870">SUM(H6653:H6657)</f>
        <v>0</v>
      </c>
      <c r="I6658" s="7">
        <f t="shared" si="2870"/>
        <v>0</v>
      </c>
      <c r="J6658" s="7">
        <f>SUM(J6653:J6657)</f>
        <v>74</v>
      </c>
      <c r="K6658" s="7">
        <f t="shared" si="2870"/>
        <v>0</v>
      </c>
      <c r="L6658" s="7">
        <f t="shared" si="2870"/>
        <v>74</v>
      </c>
      <c r="M6658" s="7">
        <f t="shared" si="2870"/>
        <v>4</v>
      </c>
      <c r="N6658" s="7">
        <f t="shared" si="2870"/>
        <v>4</v>
      </c>
      <c r="O6658" s="18"/>
      <c r="P6658" s="13"/>
      <c r="Q6658" s="13"/>
      <c r="S6658" s="13"/>
      <c r="T6658" s="15"/>
      <c r="U6658" s="46" t="str">
        <f t="shared" si="2861"/>
        <v/>
      </c>
      <c r="V6658" s="46" t="str">
        <f t="shared" si="2861"/>
        <v/>
      </c>
      <c r="W6658" s="46" t="str">
        <f t="shared" si="2861"/>
        <v/>
      </c>
      <c r="X6658" s="46" t="str">
        <f t="shared" si="2861"/>
        <v/>
      </c>
    </row>
    <row r="6659" spans="2:24" x14ac:dyDescent="0.25">
      <c r="B6659" s="18"/>
      <c r="C6659" s="18"/>
      <c r="D6659" s="18"/>
      <c r="E6659" s="40"/>
      <c r="F6659" s="18"/>
      <c r="G6659" s="40"/>
      <c r="N6659" s="8" t="str">
        <f>IF(R6659="x",1,"")</f>
        <v/>
      </c>
      <c r="O6659" s="18"/>
      <c r="P6659" s="13"/>
      <c r="Q6659" s="13"/>
      <c r="R6659" s="13"/>
      <c r="S6659" s="13"/>
      <c r="T6659" s="15"/>
      <c r="U6659" s="46" t="str">
        <f t="shared" ref="U6659:X6664" si="2871">IF($O6659=U$5,$L6659,"")</f>
        <v/>
      </c>
      <c r="V6659" s="46" t="str">
        <f t="shared" si="2871"/>
        <v/>
      </c>
      <c r="W6659" s="46" t="str">
        <f t="shared" si="2871"/>
        <v/>
      </c>
      <c r="X6659" s="46" t="str">
        <f t="shared" si="2871"/>
        <v/>
      </c>
    </row>
    <row r="6660" spans="2:24" x14ac:dyDescent="0.25">
      <c r="B6660" s="18"/>
      <c r="C6660" s="18"/>
      <c r="D6660" s="18"/>
      <c r="E6660" s="40"/>
      <c r="F6660" s="18"/>
      <c r="G6660" s="40"/>
      <c r="N6660" s="8" t="str">
        <f>IF(R6660="x",1,"")</f>
        <v/>
      </c>
      <c r="O6660" s="18"/>
      <c r="P6660" s="13"/>
      <c r="Q6660" s="13"/>
      <c r="R6660" s="13"/>
      <c r="S6660" s="13"/>
      <c r="T6660" s="15"/>
      <c r="U6660" s="46" t="str">
        <f t="shared" si="2871"/>
        <v/>
      </c>
      <c r="V6660" s="46" t="str">
        <f t="shared" si="2871"/>
        <v/>
      </c>
      <c r="W6660" s="46" t="str">
        <f t="shared" si="2871"/>
        <v/>
      </c>
      <c r="X6660" s="46" t="str">
        <f t="shared" si="2871"/>
        <v/>
      </c>
    </row>
    <row r="6661" spans="2:24" x14ac:dyDescent="0.25">
      <c r="B6661" s="11" t="str">
        <f>CONCATENATE("VOLN","-",LEFT(P6661,2),UPPER(MID(P6661,4,3)),RIGHT(P6661,4))</f>
        <v>VOLN-02APR1925</v>
      </c>
      <c r="C6661" s="11" t="s">
        <v>11203</v>
      </c>
      <c r="D6661" s="11" t="s">
        <v>3462</v>
      </c>
      <c r="E6661" s="39" t="s">
        <v>11412</v>
      </c>
      <c r="F6661" s="11" t="s">
        <v>2904</v>
      </c>
      <c r="G6661" s="39" t="s">
        <v>4423</v>
      </c>
      <c r="J6661" s="17">
        <v>0</v>
      </c>
      <c r="K6661" s="17"/>
      <c r="L6661" s="7">
        <f>SUM(H6661:K6661)</f>
        <v>0</v>
      </c>
      <c r="M6661" s="8">
        <v>1</v>
      </c>
      <c r="N6661" s="8" t="str">
        <f>IF(L6661&gt;0,1,"")</f>
        <v/>
      </c>
      <c r="O6661" s="11" t="s">
        <v>1702</v>
      </c>
      <c r="P6661" s="16" t="str">
        <f>IF(LEN(G6661)=10,CONCATENATE("0",G6661),G6661)</f>
        <v>02-Apr-1925</v>
      </c>
      <c r="Q6661" s="80"/>
      <c r="U6661" s="46" t="str">
        <f t="shared" si="2871"/>
        <v/>
      </c>
      <c r="V6661" s="46">
        <f t="shared" si="2871"/>
        <v>0</v>
      </c>
      <c r="W6661" s="46" t="str">
        <f t="shared" si="2871"/>
        <v/>
      </c>
      <c r="X6661" s="46" t="str">
        <f t="shared" si="2871"/>
        <v/>
      </c>
    </row>
    <row r="6662" spans="2:24" x14ac:dyDescent="0.25">
      <c r="B6662" s="11" t="str">
        <f>CONCATENATE("VOLN","-",LEFT(P6662,2),UPPER(MID(P6662,4,3)),RIGHT(P6662,4))</f>
        <v>VOLN-09JAN1926</v>
      </c>
      <c r="C6662" s="11" t="s">
        <v>11203</v>
      </c>
      <c r="D6662" s="11" t="s">
        <v>2103</v>
      </c>
      <c r="E6662" s="39" t="s">
        <v>11204</v>
      </c>
      <c r="F6662" s="11" t="s">
        <v>2904</v>
      </c>
      <c r="G6662" s="39" t="s">
        <v>11205</v>
      </c>
      <c r="J6662" s="17">
        <v>5</v>
      </c>
      <c r="K6662" s="17"/>
      <c r="L6662" s="7">
        <f>SUM(H6662:K6662)</f>
        <v>5</v>
      </c>
      <c r="M6662" s="8">
        <v>1</v>
      </c>
      <c r="N6662" s="8">
        <f>IF(L6662&gt;0,1,"")</f>
        <v>1</v>
      </c>
      <c r="O6662" s="11" t="s">
        <v>1702</v>
      </c>
      <c r="P6662" s="16" t="str">
        <f>IF(LEN(G6662)=10,CONCATENATE("0",G6662),G6662)</f>
        <v>09-Jan-1926</v>
      </c>
      <c r="R6662" s="16" t="str">
        <f>IF($L6662&gt;0,"x","")</f>
        <v>x</v>
      </c>
      <c r="S6662" s="16" t="str">
        <f>IF($L6662&gt;0,"x","")</f>
        <v>x</v>
      </c>
      <c r="U6662" s="46" t="str">
        <f t="shared" si="2871"/>
        <v/>
      </c>
      <c r="V6662" s="46">
        <f t="shared" si="2871"/>
        <v>5</v>
      </c>
      <c r="W6662" s="46" t="str">
        <f t="shared" si="2871"/>
        <v/>
      </c>
      <c r="X6662" s="46" t="str">
        <f t="shared" si="2871"/>
        <v/>
      </c>
    </row>
    <row r="6663" spans="2:24" x14ac:dyDescent="0.25">
      <c r="N6663" s="8" t="str">
        <f>IF(R6663="x",1,"")</f>
        <v/>
      </c>
      <c r="U6663" s="46" t="str">
        <f t="shared" si="2871"/>
        <v/>
      </c>
      <c r="V6663" s="46" t="str">
        <f t="shared" si="2871"/>
        <v/>
      </c>
      <c r="W6663" s="46" t="str">
        <f t="shared" si="2871"/>
        <v/>
      </c>
      <c r="X6663" s="46" t="str">
        <f t="shared" si="2871"/>
        <v/>
      </c>
    </row>
    <row r="6664" spans="2:24" x14ac:dyDescent="0.25">
      <c r="B6664" s="18"/>
      <c r="C6664" s="18"/>
      <c r="D6664" s="18"/>
      <c r="E6664" s="40"/>
      <c r="F6664" s="18"/>
      <c r="G6664" s="40"/>
      <c r="H6664" s="7">
        <f t="shared" ref="H6664:N6664" si="2872">SUM(H6661:H6663)</f>
        <v>0</v>
      </c>
      <c r="I6664" s="7">
        <f t="shared" si="2872"/>
        <v>0</v>
      </c>
      <c r="J6664" s="7">
        <f>SUM(J6661:J6663)</f>
        <v>5</v>
      </c>
      <c r="K6664" s="7">
        <f t="shared" si="2872"/>
        <v>0</v>
      </c>
      <c r="L6664" s="7">
        <f t="shared" si="2872"/>
        <v>5</v>
      </c>
      <c r="M6664" s="7">
        <f t="shared" si="2872"/>
        <v>2</v>
      </c>
      <c r="N6664" s="7">
        <f t="shared" si="2872"/>
        <v>1</v>
      </c>
      <c r="O6664" s="18"/>
      <c r="P6664" s="13"/>
      <c r="Q6664" s="13"/>
      <c r="S6664" s="13"/>
      <c r="T6664" s="15"/>
      <c r="U6664" s="46" t="str">
        <f t="shared" si="2871"/>
        <v/>
      </c>
      <c r="V6664" s="46" t="str">
        <f t="shared" si="2871"/>
        <v/>
      </c>
      <c r="W6664" s="46" t="str">
        <f t="shared" si="2871"/>
        <v/>
      </c>
      <c r="X6664" s="46" t="str">
        <f t="shared" si="2871"/>
        <v/>
      </c>
    </row>
    <row r="6665" spans="2:24" x14ac:dyDescent="0.25">
      <c r="B6665" s="18"/>
      <c r="C6665" s="18"/>
      <c r="D6665" s="18"/>
      <c r="E6665" s="40"/>
      <c r="F6665" s="18"/>
      <c r="G6665" s="40"/>
      <c r="N6665" s="8" t="str">
        <f>IF(R6665="x",1,"")</f>
        <v/>
      </c>
      <c r="O6665" s="18"/>
      <c r="P6665" s="13"/>
      <c r="Q6665" s="13"/>
      <c r="R6665" s="13"/>
      <c r="S6665" s="13"/>
      <c r="T6665" s="15"/>
      <c r="U6665" s="46" t="str">
        <f t="shared" si="2861"/>
        <v/>
      </c>
      <c r="V6665" s="46" t="str">
        <f t="shared" si="2861"/>
        <v/>
      </c>
      <c r="W6665" s="46" t="str">
        <f t="shared" si="2861"/>
        <v/>
      </c>
      <c r="X6665" s="46" t="str">
        <f t="shared" si="2861"/>
        <v/>
      </c>
    </row>
    <row r="6666" spans="2:24" x14ac:dyDescent="0.25">
      <c r="B6666" s="18"/>
      <c r="C6666" s="18"/>
      <c r="D6666" s="18"/>
      <c r="E6666" s="40"/>
      <c r="F6666" s="18"/>
      <c r="G6666" s="40"/>
      <c r="N6666" s="8" t="str">
        <f>IF(R6666="x",1,"")</f>
        <v/>
      </c>
      <c r="O6666" s="18"/>
      <c r="P6666" s="13"/>
      <c r="Q6666" s="13"/>
      <c r="R6666" s="13"/>
      <c r="S6666" s="13"/>
      <c r="T6666" s="15"/>
      <c r="U6666" s="46" t="str">
        <f t="shared" si="2861"/>
        <v/>
      </c>
      <c r="V6666" s="46" t="str">
        <f t="shared" si="2861"/>
        <v/>
      </c>
      <c r="W6666" s="46" t="str">
        <f t="shared" si="2861"/>
        <v/>
      </c>
      <c r="X6666" s="46" t="str">
        <f t="shared" si="2861"/>
        <v/>
      </c>
    </row>
    <row r="6667" spans="2:24" x14ac:dyDescent="0.25">
      <c r="B6667" s="11" t="str">
        <f>CONCATENATE("VLTR","-",LEFT(P6667,2),UPPER(MID(P6667,4,3)),RIGHT(P6667,4))</f>
        <v>VLTR-03JAN1916</v>
      </c>
      <c r="C6667" s="11" t="s">
        <v>3181</v>
      </c>
      <c r="D6667" s="11" t="s">
        <v>3887</v>
      </c>
      <c r="E6667" s="39" t="s">
        <v>3182</v>
      </c>
      <c r="F6667" s="11" t="s">
        <v>1700</v>
      </c>
      <c r="G6667" s="39" t="s">
        <v>3183</v>
      </c>
      <c r="H6667" s="7">
        <v>0</v>
      </c>
      <c r="J6667" s="17">
        <v>8</v>
      </c>
      <c r="K6667" s="17"/>
      <c r="L6667" s="7">
        <f>SUM(H6667:K6667)</f>
        <v>8</v>
      </c>
      <c r="M6667" s="8">
        <v>1</v>
      </c>
      <c r="N6667" s="8">
        <f>IF(L6667&gt;0,1,"")</f>
        <v>1</v>
      </c>
      <c r="O6667" s="11" t="s">
        <v>1702</v>
      </c>
      <c r="P6667" s="16" t="str">
        <f>IF(LEN(G6667)=10,CONCATENATE("0",G6667),G6667)</f>
        <v>03-Jan-1916</v>
      </c>
      <c r="R6667" s="16" t="str">
        <f>IF($L6667&gt;0,"x","")</f>
        <v>x</v>
      </c>
      <c r="S6667" s="16" t="str">
        <f>IF($L6667&gt;0,"x","")</f>
        <v>x</v>
      </c>
      <c r="U6667" s="46" t="str">
        <f t="shared" si="2861"/>
        <v/>
      </c>
      <c r="V6667" s="46">
        <f t="shared" si="2861"/>
        <v>8</v>
      </c>
      <c r="W6667" s="46" t="str">
        <f t="shared" si="2861"/>
        <v/>
      </c>
      <c r="X6667" s="46" t="str">
        <f t="shared" si="2861"/>
        <v/>
      </c>
    </row>
    <row r="6668" spans="2:24" x14ac:dyDescent="0.25">
      <c r="B6668" s="11" t="str">
        <f>CONCATENATE("VLTR","-",LEFT(P6668,2),UPPER(MID(P6668,4,3)),RIGHT(P6668,4))</f>
        <v>VLTR-09FEB1924</v>
      </c>
      <c r="C6668" s="11" t="s">
        <v>3181</v>
      </c>
      <c r="D6668" s="11" t="s">
        <v>4494</v>
      </c>
      <c r="E6668" s="39" t="s">
        <v>4577</v>
      </c>
      <c r="F6668" s="11" t="s">
        <v>1700</v>
      </c>
      <c r="G6668" s="39" t="s">
        <v>4248</v>
      </c>
      <c r="H6668" s="7">
        <v>0</v>
      </c>
      <c r="I6668" s="7">
        <v>0</v>
      </c>
      <c r="J6668" s="17">
        <v>20</v>
      </c>
      <c r="K6668" s="17"/>
      <c r="L6668" s="7">
        <f>SUM(H6668:K6668)</f>
        <v>20</v>
      </c>
      <c r="M6668" s="8">
        <v>1</v>
      </c>
      <c r="N6668" s="8">
        <f>IF(L6668&gt;0,1,"")</f>
        <v>1</v>
      </c>
      <c r="O6668" s="11" t="s">
        <v>1702</v>
      </c>
      <c r="P6668" s="16" t="str">
        <f>IF(LEN(G6668)=10,CONCATENATE("0",G6668),G6668)</f>
        <v>09-Feb-1924</v>
      </c>
      <c r="R6668" s="16" t="str">
        <f>IF($L6668&gt;0,"x","")</f>
        <v>x</v>
      </c>
      <c r="S6668" s="16" t="str">
        <f>IF($L6668&gt;0,"x","")</f>
        <v>x</v>
      </c>
      <c r="U6668" s="46" t="str">
        <f>IF($O6668=U$5,$L6668,"")</f>
        <v/>
      </c>
      <c r="V6668" s="46">
        <f>IF($O6668=V$5,$L6668,"")</f>
        <v>20</v>
      </c>
      <c r="W6668" s="46" t="str">
        <f>IF($O6668=W$5,$L6668,"")</f>
        <v/>
      </c>
      <c r="X6668" s="46" t="str">
        <f>IF($O6668=X$5,$L6668,"")</f>
        <v/>
      </c>
    </row>
    <row r="6669" spans="2:24" x14ac:dyDescent="0.25">
      <c r="N6669" s="8" t="str">
        <f>IF(R6669="x",1,"")</f>
        <v/>
      </c>
      <c r="U6669" s="46" t="str">
        <f t="shared" si="2861"/>
        <v/>
      </c>
      <c r="V6669" s="46" t="str">
        <f t="shared" si="2861"/>
        <v/>
      </c>
      <c r="W6669" s="46" t="str">
        <f t="shared" si="2861"/>
        <v/>
      </c>
      <c r="X6669" s="46" t="str">
        <f t="shared" si="2861"/>
        <v/>
      </c>
    </row>
    <row r="6670" spans="2:24" x14ac:dyDescent="0.25">
      <c r="B6670" s="18"/>
      <c r="C6670" s="18"/>
      <c r="D6670" s="18"/>
      <c r="E6670" s="40"/>
      <c r="F6670" s="18"/>
      <c r="G6670" s="40"/>
      <c r="H6670" s="7">
        <f t="shared" ref="H6670:N6670" si="2873">SUM(H6667:H6669)</f>
        <v>0</v>
      </c>
      <c r="I6670" s="7">
        <f t="shared" si="2873"/>
        <v>0</v>
      </c>
      <c r="J6670" s="7">
        <f>SUM(J6667:J6669)</f>
        <v>28</v>
      </c>
      <c r="K6670" s="7">
        <f t="shared" si="2873"/>
        <v>0</v>
      </c>
      <c r="L6670" s="7">
        <f t="shared" si="2873"/>
        <v>28</v>
      </c>
      <c r="M6670" s="7">
        <f t="shared" si="2873"/>
        <v>2</v>
      </c>
      <c r="N6670" s="7">
        <f t="shared" si="2873"/>
        <v>2</v>
      </c>
      <c r="O6670" s="18"/>
      <c r="P6670" s="13"/>
      <c r="Q6670" s="13"/>
      <c r="S6670" s="13"/>
      <c r="T6670" s="15"/>
      <c r="U6670" s="46" t="str">
        <f t="shared" si="2861"/>
        <v/>
      </c>
      <c r="V6670" s="46" t="str">
        <f t="shared" si="2861"/>
        <v/>
      </c>
      <c r="W6670" s="46" t="str">
        <f t="shared" si="2861"/>
        <v/>
      </c>
      <c r="X6670" s="46" t="str">
        <f t="shared" si="2861"/>
        <v/>
      </c>
    </row>
    <row r="6671" spans="2:24" x14ac:dyDescent="0.25">
      <c r="B6671" s="18"/>
      <c r="C6671" s="18"/>
      <c r="D6671" s="18"/>
      <c r="E6671" s="40"/>
      <c r="F6671" s="18"/>
      <c r="G6671" s="40"/>
      <c r="N6671" s="8" t="str">
        <f>IF(R6671="x",1,"")</f>
        <v/>
      </c>
      <c r="O6671" s="18"/>
      <c r="P6671" s="13"/>
      <c r="Q6671" s="13"/>
      <c r="R6671" s="13"/>
      <c r="S6671" s="13"/>
      <c r="T6671" s="15"/>
      <c r="U6671" s="46" t="str">
        <f t="shared" si="2861"/>
        <v/>
      </c>
      <c r="V6671" s="46" t="str">
        <f t="shared" si="2861"/>
        <v/>
      </c>
      <c r="W6671" s="46" t="str">
        <f t="shared" si="2861"/>
        <v/>
      </c>
      <c r="X6671" s="46" t="str">
        <f t="shared" si="2861"/>
        <v/>
      </c>
    </row>
    <row r="6672" spans="2:24" x14ac:dyDescent="0.25">
      <c r="B6672" s="18"/>
      <c r="C6672" s="18"/>
      <c r="D6672" s="18"/>
      <c r="E6672" s="40"/>
      <c r="F6672" s="18"/>
      <c r="G6672" s="40"/>
      <c r="N6672" s="8" t="str">
        <f>IF(R6672="x",1,"")</f>
        <v/>
      </c>
      <c r="O6672" s="18"/>
      <c r="P6672" s="13"/>
      <c r="Q6672" s="13"/>
      <c r="R6672" s="13"/>
      <c r="S6672" s="13"/>
      <c r="T6672" s="15"/>
      <c r="U6672" s="46" t="str">
        <f t="shared" si="2861"/>
        <v/>
      </c>
      <c r="V6672" s="46" t="str">
        <f t="shared" si="2861"/>
        <v/>
      </c>
      <c r="W6672" s="46" t="str">
        <f t="shared" si="2861"/>
        <v/>
      </c>
      <c r="X6672" s="46" t="str">
        <f t="shared" si="2861"/>
        <v/>
      </c>
    </row>
    <row r="6673" spans="2:24" x14ac:dyDescent="0.25">
      <c r="B6673" s="11" t="str">
        <f t="shared" ref="B6673:B6689" si="2874">CONCATENATE("VOLT","-",LEFT(P6673,2),UPPER(MID(P6673,4,3)),RIGHT(P6673,4))</f>
        <v>VOLT-06APR1908</v>
      </c>
      <c r="C6673" s="11" t="s">
        <v>2903</v>
      </c>
      <c r="D6673" s="11" t="s">
        <v>2097</v>
      </c>
      <c r="E6673" s="39" t="s">
        <v>2673</v>
      </c>
      <c r="F6673" s="11" t="s">
        <v>2904</v>
      </c>
      <c r="G6673" s="39" t="s">
        <v>2944</v>
      </c>
      <c r="J6673" s="17">
        <v>7</v>
      </c>
      <c r="K6673" s="17"/>
      <c r="L6673" s="7">
        <f t="shared" ref="L6673:L6689" si="2875">SUM(H6673:K6673)</f>
        <v>7</v>
      </c>
      <c r="M6673" s="8">
        <v>1</v>
      </c>
      <c r="N6673" s="8">
        <f t="shared" ref="N6673:N6689" si="2876">IF(L6673&gt;0,1,"")</f>
        <v>1</v>
      </c>
      <c r="O6673" s="11" t="s">
        <v>1702</v>
      </c>
      <c r="P6673" s="16" t="str">
        <f t="shared" ref="P6673:P6689" si="2877">IF(LEN(G6673)=10,CONCATENATE("0",G6673),G6673)</f>
        <v>06-Apr-1908</v>
      </c>
      <c r="R6673" s="16" t="str">
        <f t="shared" ref="R6673:S6689" si="2878">IF($L6673&gt;0,"x","")</f>
        <v>x</v>
      </c>
      <c r="S6673" s="16" t="str">
        <f t="shared" si="2878"/>
        <v>x</v>
      </c>
      <c r="U6673" s="46" t="str">
        <f t="shared" si="2861"/>
        <v/>
      </c>
      <c r="V6673" s="46">
        <f t="shared" si="2861"/>
        <v>7</v>
      </c>
      <c r="W6673" s="46" t="str">
        <f t="shared" si="2861"/>
        <v/>
      </c>
      <c r="X6673" s="46" t="str">
        <f t="shared" si="2861"/>
        <v/>
      </c>
    </row>
    <row r="6674" spans="2:24" x14ac:dyDescent="0.25">
      <c r="B6674" s="11" t="str">
        <f t="shared" si="2874"/>
        <v>VOLT-28MAY1908</v>
      </c>
      <c r="C6674" s="11" t="s">
        <v>2903</v>
      </c>
      <c r="D6674" s="11" t="s">
        <v>2097</v>
      </c>
      <c r="E6674" s="39" t="s">
        <v>1470</v>
      </c>
      <c r="F6674" s="11" t="s">
        <v>2904</v>
      </c>
      <c r="G6674" s="39" t="s">
        <v>2945</v>
      </c>
      <c r="I6674" s="7">
        <v>0</v>
      </c>
      <c r="J6674" s="17">
        <v>3</v>
      </c>
      <c r="K6674" s="17"/>
      <c r="L6674" s="7">
        <f t="shared" si="2875"/>
        <v>3</v>
      </c>
      <c r="M6674" s="8">
        <v>1</v>
      </c>
      <c r="N6674" s="8">
        <f t="shared" si="2876"/>
        <v>1</v>
      </c>
      <c r="O6674" s="11" t="s">
        <v>1702</v>
      </c>
      <c r="P6674" s="16" t="str">
        <f t="shared" si="2877"/>
        <v>28-May-1908</v>
      </c>
      <c r="R6674" s="16" t="str">
        <f t="shared" si="2878"/>
        <v>x</v>
      </c>
      <c r="S6674" s="16" t="str">
        <f t="shared" si="2878"/>
        <v>x</v>
      </c>
      <c r="U6674" s="46" t="str">
        <f t="shared" si="2861"/>
        <v/>
      </c>
      <c r="V6674" s="46">
        <f t="shared" si="2861"/>
        <v>3</v>
      </c>
      <c r="W6674" s="46" t="str">
        <f t="shared" si="2861"/>
        <v/>
      </c>
      <c r="X6674" s="46" t="str">
        <f t="shared" si="2861"/>
        <v/>
      </c>
    </row>
    <row r="6675" spans="2:24" x14ac:dyDescent="0.25">
      <c r="B6675" s="11" t="str">
        <f t="shared" si="2874"/>
        <v>VOLT-12AUG1908</v>
      </c>
      <c r="C6675" s="11" t="s">
        <v>2903</v>
      </c>
      <c r="D6675" s="11" t="s">
        <v>2097</v>
      </c>
      <c r="E6675" s="39" t="s">
        <v>844</v>
      </c>
      <c r="F6675" s="11" t="s">
        <v>2904</v>
      </c>
      <c r="G6675" s="39" t="s">
        <v>2950</v>
      </c>
      <c r="H6675" s="7">
        <v>0</v>
      </c>
      <c r="I6675" s="7">
        <v>0</v>
      </c>
      <c r="J6675" s="17">
        <f>24+12</f>
        <v>36</v>
      </c>
      <c r="K6675" s="17"/>
      <c r="L6675" s="7">
        <f t="shared" si="2875"/>
        <v>36</v>
      </c>
      <c r="M6675" s="8">
        <v>1</v>
      </c>
      <c r="N6675" s="8">
        <f t="shared" si="2876"/>
        <v>1</v>
      </c>
      <c r="O6675" s="11" t="s">
        <v>1702</v>
      </c>
      <c r="P6675" s="16" t="str">
        <f t="shared" si="2877"/>
        <v>12-Aug-1908</v>
      </c>
      <c r="R6675" s="16" t="str">
        <f t="shared" si="2878"/>
        <v>x</v>
      </c>
      <c r="S6675" s="16" t="str">
        <f t="shared" si="2878"/>
        <v>x</v>
      </c>
      <c r="U6675" s="46" t="str">
        <f t="shared" si="2861"/>
        <v/>
      </c>
      <c r="V6675" s="46">
        <f t="shared" si="2861"/>
        <v>36</v>
      </c>
      <c r="W6675" s="46" t="str">
        <f t="shared" si="2861"/>
        <v/>
      </c>
      <c r="X6675" s="46" t="str">
        <f t="shared" si="2861"/>
        <v/>
      </c>
    </row>
    <row r="6676" spans="2:24" x14ac:dyDescent="0.25">
      <c r="B6676" s="11" t="str">
        <f t="shared" si="2874"/>
        <v>VOLT-18FEB1909</v>
      </c>
      <c r="C6676" s="11" t="s">
        <v>2903</v>
      </c>
      <c r="D6676" s="11" t="s">
        <v>2097</v>
      </c>
      <c r="E6676" s="39" t="s">
        <v>1235</v>
      </c>
      <c r="F6676" s="11" t="s">
        <v>2904</v>
      </c>
      <c r="G6676" s="39" t="s">
        <v>2946</v>
      </c>
      <c r="I6676" s="7">
        <v>0</v>
      </c>
      <c r="J6676" s="17">
        <v>55</v>
      </c>
      <c r="K6676" s="17"/>
      <c r="L6676" s="7">
        <f t="shared" si="2875"/>
        <v>55</v>
      </c>
      <c r="M6676" s="8">
        <v>1</v>
      </c>
      <c r="N6676" s="8">
        <f t="shared" si="2876"/>
        <v>1</v>
      </c>
      <c r="O6676" s="11" t="s">
        <v>1702</v>
      </c>
      <c r="P6676" s="16" t="str">
        <f t="shared" si="2877"/>
        <v>18-Feb-1909</v>
      </c>
      <c r="R6676" s="16" t="str">
        <f t="shared" si="2878"/>
        <v>x</v>
      </c>
      <c r="S6676" s="16" t="str">
        <f t="shared" si="2878"/>
        <v>x</v>
      </c>
      <c r="U6676" s="46" t="str">
        <f t="shared" si="2861"/>
        <v/>
      </c>
      <c r="V6676" s="46">
        <f t="shared" si="2861"/>
        <v>55</v>
      </c>
      <c r="W6676" s="46" t="str">
        <f t="shared" si="2861"/>
        <v/>
      </c>
      <c r="X6676" s="46" t="str">
        <f t="shared" si="2861"/>
        <v/>
      </c>
    </row>
    <row r="6677" spans="2:24" x14ac:dyDescent="0.25">
      <c r="B6677" s="11" t="str">
        <f t="shared" si="2874"/>
        <v>VOLT-01APR1909</v>
      </c>
      <c r="C6677" s="11" t="s">
        <v>2903</v>
      </c>
      <c r="D6677" s="11" t="s">
        <v>2097</v>
      </c>
      <c r="E6677" s="39" t="s">
        <v>1837</v>
      </c>
      <c r="F6677" s="11" t="s">
        <v>2904</v>
      </c>
      <c r="G6677" s="39" t="s">
        <v>853</v>
      </c>
      <c r="J6677" s="17">
        <v>45</v>
      </c>
      <c r="K6677" s="17"/>
      <c r="L6677" s="7">
        <f t="shared" si="2875"/>
        <v>45</v>
      </c>
      <c r="M6677" s="8">
        <v>1</v>
      </c>
      <c r="N6677" s="8">
        <f t="shared" si="2876"/>
        <v>1</v>
      </c>
      <c r="O6677" s="11" t="s">
        <v>1702</v>
      </c>
      <c r="P6677" s="16" t="str">
        <f t="shared" si="2877"/>
        <v>01-Apr-1909</v>
      </c>
      <c r="R6677" s="16" t="str">
        <f t="shared" si="2878"/>
        <v>x</v>
      </c>
      <c r="S6677" s="16" t="str">
        <f t="shared" si="2878"/>
        <v>x</v>
      </c>
      <c r="U6677" s="46" t="str">
        <f t="shared" si="2861"/>
        <v/>
      </c>
      <c r="V6677" s="46">
        <f t="shared" si="2861"/>
        <v>45</v>
      </c>
      <c r="W6677" s="46" t="str">
        <f t="shared" si="2861"/>
        <v/>
      </c>
      <c r="X6677" s="46" t="str">
        <f t="shared" si="2861"/>
        <v/>
      </c>
    </row>
    <row r="6678" spans="2:24" x14ac:dyDescent="0.25">
      <c r="B6678" s="11" t="str">
        <f t="shared" si="2874"/>
        <v>VOLT-13MAY1909</v>
      </c>
      <c r="C6678" s="11" t="s">
        <v>2903</v>
      </c>
      <c r="D6678" s="11" t="s">
        <v>2097</v>
      </c>
      <c r="E6678" s="39" t="s">
        <v>1238</v>
      </c>
      <c r="F6678" s="11" t="s">
        <v>2904</v>
      </c>
      <c r="G6678" s="39" t="s">
        <v>2948</v>
      </c>
      <c r="I6678" s="7">
        <v>0</v>
      </c>
      <c r="J6678" s="17">
        <v>9</v>
      </c>
      <c r="K6678" s="17"/>
      <c r="L6678" s="7">
        <f t="shared" si="2875"/>
        <v>9</v>
      </c>
      <c r="M6678" s="8">
        <v>1</v>
      </c>
      <c r="N6678" s="8">
        <f t="shared" si="2876"/>
        <v>1</v>
      </c>
      <c r="O6678" s="11" t="s">
        <v>1702</v>
      </c>
      <c r="P6678" s="16" t="str">
        <f t="shared" si="2877"/>
        <v>13-May-1909</v>
      </c>
      <c r="R6678" s="16" t="str">
        <f t="shared" si="2878"/>
        <v>x</v>
      </c>
      <c r="S6678" s="16" t="str">
        <f t="shared" si="2878"/>
        <v>x</v>
      </c>
      <c r="U6678" s="46" t="str">
        <f t="shared" si="2861"/>
        <v/>
      </c>
      <c r="V6678" s="46">
        <f t="shared" si="2861"/>
        <v>9</v>
      </c>
      <c r="W6678" s="46" t="str">
        <f t="shared" si="2861"/>
        <v/>
      </c>
      <c r="X6678" s="46" t="str">
        <f t="shared" si="2861"/>
        <v/>
      </c>
    </row>
    <row r="6679" spans="2:24" x14ac:dyDescent="0.25">
      <c r="B6679" s="11" t="str">
        <f t="shared" si="2874"/>
        <v>VOLT-30JUN1909</v>
      </c>
      <c r="C6679" s="11" t="s">
        <v>2903</v>
      </c>
      <c r="D6679" s="11" t="s">
        <v>2097</v>
      </c>
      <c r="E6679" s="39" t="s">
        <v>935</v>
      </c>
      <c r="F6679" s="11" t="s">
        <v>2904</v>
      </c>
      <c r="G6679" s="39" t="s">
        <v>2942</v>
      </c>
      <c r="I6679" s="7">
        <v>0</v>
      </c>
      <c r="J6679" s="17">
        <f>19+7</f>
        <v>26</v>
      </c>
      <c r="K6679" s="17"/>
      <c r="L6679" s="7">
        <f t="shared" si="2875"/>
        <v>26</v>
      </c>
      <c r="M6679" s="8">
        <v>1</v>
      </c>
      <c r="N6679" s="8">
        <f t="shared" si="2876"/>
        <v>1</v>
      </c>
      <c r="O6679" s="11" t="s">
        <v>1702</v>
      </c>
      <c r="P6679" s="16" t="str">
        <f t="shared" si="2877"/>
        <v>30-Jun-1909</v>
      </c>
      <c r="R6679" s="16" t="str">
        <f t="shared" si="2878"/>
        <v>x</v>
      </c>
      <c r="S6679" s="16" t="str">
        <f t="shared" si="2878"/>
        <v>x</v>
      </c>
      <c r="U6679" s="46" t="str">
        <f t="shared" si="2861"/>
        <v/>
      </c>
      <c r="V6679" s="46">
        <f t="shared" si="2861"/>
        <v>26</v>
      </c>
      <c r="W6679" s="46" t="str">
        <f t="shared" si="2861"/>
        <v/>
      </c>
      <c r="X6679" s="46" t="str">
        <f t="shared" si="2861"/>
        <v/>
      </c>
    </row>
    <row r="6680" spans="2:24" x14ac:dyDescent="0.25">
      <c r="B6680" s="11" t="str">
        <f t="shared" si="2874"/>
        <v>VOLT-11AUG1909</v>
      </c>
      <c r="C6680" s="11" t="s">
        <v>2903</v>
      </c>
      <c r="D6680" s="11" t="s">
        <v>2097</v>
      </c>
      <c r="E6680" s="39" t="s">
        <v>1841</v>
      </c>
      <c r="F6680" s="11" t="s">
        <v>2904</v>
      </c>
      <c r="G6680" s="39" t="s">
        <v>2943</v>
      </c>
      <c r="H6680" s="7">
        <v>0</v>
      </c>
      <c r="I6680" s="7">
        <v>0</v>
      </c>
      <c r="J6680" s="17">
        <v>29</v>
      </c>
      <c r="K6680" s="17"/>
      <c r="L6680" s="7">
        <f t="shared" si="2875"/>
        <v>29</v>
      </c>
      <c r="M6680" s="8">
        <v>1</v>
      </c>
      <c r="N6680" s="8">
        <f t="shared" si="2876"/>
        <v>1</v>
      </c>
      <c r="O6680" s="11" t="s">
        <v>1702</v>
      </c>
      <c r="P6680" s="16" t="str">
        <f t="shared" si="2877"/>
        <v>11-Aug-1909</v>
      </c>
      <c r="R6680" s="16" t="str">
        <f t="shared" si="2878"/>
        <v>x</v>
      </c>
      <c r="S6680" s="16" t="str">
        <f t="shared" si="2878"/>
        <v>x</v>
      </c>
      <c r="U6680" s="46" t="str">
        <f t="shared" si="2861"/>
        <v/>
      </c>
      <c r="V6680" s="46">
        <f t="shared" si="2861"/>
        <v>29</v>
      </c>
      <c r="W6680" s="46" t="str">
        <f t="shared" si="2861"/>
        <v/>
      </c>
      <c r="X6680" s="46" t="str">
        <f t="shared" si="2861"/>
        <v/>
      </c>
    </row>
    <row r="6681" spans="2:24" x14ac:dyDescent="0.25">
      <c r="B6681" s="11" t="str">
        <f t="shared" si="2874"/>
        <v>VOLT-30SEP1909</v>
      </c>
      <c r="C6681" s="11" t="s">
        <v>2903</v>
      </c>
      <c r="D6681" s="11" t="s">
        <v>3462</v>
      </c>
      <c r="E6681" s="39" t="s">
        <v>936</v>
      </c>
      <c r="F6681" s="11" t="s">
        <v>2904</v>
      </c>
      <c r="G6681" s="39" t="s">
        <v>2947</v>
      </c>
      <c r="I6681" s="7">
        <v>3</v>
      </c>
      <c r="J6681" s="17">
        <v>35</v>
      </c>
      <c r="K6681" s="17"/>
      <c r="L6681" s="7">
        <f t="shared" si="2875"/>
        <v>38</v>
      </c>
      <c r="M6681" s="8">
        <v>1</v>
      </c>
      <c r="N6681" s="8">
        <f t="shared" si="2876"/>
        <v>1</v>
      </c>
      <c r="O6681" s="11" t="s">
        <v>1702</v>
      </c>
      <c r="P6681" s="16" t="str">
        <f t="shared" si="2877"/>
        <v>30-Sep-1909</v>
      </c>
      <c r="R6681" s="16" t="str">
        <f t="shared" si="2878"/>
        <v>x</v>
      </c>
      <c r="S6681" s="16" t="str">
        <f t="shared" si="2878"/>
        <v>x</v>
      </c>
      <c r="U6681" s="46" t="str">
        <f t="shared" si="2861"/>
        <v/>
      </c>
      <c r="V6681" s="46">
        <f t="shared" si="2861"/>
        <v>38</v>
      </c>
      <c r="W6681" s="46" t="str">
        <f t="shared" si="2861"/>
        <v/>
      </c>
      <c r="X6681" s="46" t="str">
        <f t="shared" si="2861"/>
        <v/>
      </c>
    </row>
    <row r="6682" spans="2:24" x14ac:dyDescent="0.25">
      <c r="B6682" s="11" t="str">
        <f t="shared" si="2874"/>
        <v>VOLT-09NOV1909</v>
      </c>
      <c r="C6682" s="11" t="s">
        <v>2903</v>
      </c>
      <c r="D6682" s="11" t="s">
        <v>2097</v>
      </c>
      <c r="E6682" s="39" t="s">
        <v>1486</v>
      </c>
      <c r="F6682" s="11" t="s">
        <v>2904</v>
      </c>
      <c r="G6682" s="39" t="s">
        <v>2675</v>
      </c>
      <c r="I6682" s="7">
        <v>2</v>
      </c>
      <c r="J6682" s="17">
        <f>61+1</f>
        <v>62</v>
      </c>
      <c r="K6682" s="17"/>
      <c r="L6682" s="7">
        <f t="shared" si="2875"/>
        <v>64</v>
      </c>
      <c r="M6682" s="8">
        <v>1</v>
      </c>
      <c r="N6682" s="8">
        <f t="shared" si="2876"/>
        <v>1</v>
      </c>
      <c r="O6682" s="11" t="s">
        <v>1702</v>
      </c>
      <c r="P6682" s="16" t="str">
        <f t="shared" si="2877"/>
        <v>09-Nov-1909</v>
      </c>
      <c r="R6682" s="16" t="str">
        <f t="shared" si="2878"/>
        <v>x</v>
      </c>
      <c r="S6682" s="16" t="str">
        <f t="shared" si="2878"/>
        <v>x</v>
      </c>
      <c r="U6682" s="46" t="str">
        <f t="shared" si="2861"/>
        <v/>
      </c>
      <c r="V6682" s="46">
        <f t="shared" si="2861"/>
        <v>64</v>
      </c>
      <c r="W6682" s="46" t="str">
        <f t="shared" si="2861"/>
        <v/>
      </c>
      <c r="X6682" s="46" t="str">
        <f t="shared" si="2861"/>
        <v/>
      </c>
    </row>
    <row r="6683" spans="2:24" x14ac:dyDescent="0.25">
      <c r="B6683" s="11" t="str">
        <f>CONCATENATE("VOLT","-",LEFT(P6683,2),UPPER(MID(P6683,4,3)),RIGHT(P6683,4))</f>
        <v>VOLT-25DEC1909</v>
      </c>
      <c r="C6683" s="11" t="s">
        <v>2903</v>
      </c>
      <c r="D6683" s="11" t="s">
        <v>2097</v>
      </c>
      <c r="E6683" s="39" t="s">
        <v>2951</v>
      </c>
      <c r="F6683" s="11" t="s">
        <v>2904</v>
      </c>
      <c r="G6683" s="39" t="s">
        <v>888</v>
      </c>
      <c r="I6683" s="7">
        <v>3</v>
      </c>
      <c r="J6683" s="17">
        <v>40</v>
      </c>
      <c r="K6683" s="17"/>
      <c r="L6683" s="7">
        <f>SUM(H6683:K6683)</f>
        <v>43</v>
      </c>
      <c r="M6683" s="8">
        <v>1</v>
      </c>
      <c r="N6683" s="8">
        <f>IF(L6683&gt;0,1,"")</f>
        <v>1</v>
      </c>
      <c r="O6683" s="11" t="s">
        <v>1702</v>
      </c>
      <c r="P6683" s="16" t="str">
        <f>IF(LEN(G6683)=10,CONCATENATE("0",G6683),G6683)</f>
        <v>25-Dec-1909</v>
      </c>
      <c r="R6683" s="16" t="str">
        <f t="shared" si="2878"/>
        <v>x</v>
      </c>
      <c r="S6683" s="16" t="str">
        <f t="shared" si="2878"/>
        <v>x</v>
      </c>
      <c r="U6683" s="46" t="str">
        <f>IF($O6683=U$5,$L6683,"")</f>
        <v/>
      </c>
      <c r="V6683" s="46">
        <f>IF($O6683=V$5,$L6683,"")</f>
        <v>43</v>
      </c>
      <c r="W6683" s="46" t="str">
        <f>IF($O6683=W$5,$L6683,"")</f>
        <v/>
      </c>
      <c r="X6683" s="46" t="str">
        <f>IF($O6683=X$5,$L6683,"")</f>
        <v/>
      </c>
    </row>
    <row r="6684" spans="2:24" x14ac:dyDescent="0.25">
      <c r="B6684" s="11" t="str">
        <f t="shared" si="2874"/>
        <v>VOLT-28DEC1909</v>
      </c>
      <c r="C6684" s="11" t="s">
        <v>2903</v>
      </c>
      <c r="D6684" s="11" t="s">
        <v>3462</v>
      </c>
      <c r="E6684" s="39" t="s">
        <v>2951</v>
      </c>
      <c r="F6684" s="11" t="s">
        <v>1700</v>
      </c>
      <c r="G6684" s="39" t="s">
        <v>2914</v>
      </c>
      <c r="I6684" s="7">
        <v>0</v>
      </c>
      <c r="J6684" s="17">
        <v>1</v>
      </c>
      <c r="K6684" s="17"/>
      <c r="L6684" s="7">
        <f t="shared" si="2875"/>
        <v>1</v>
      </c>
      <c r="M6684" s="8">
        <v>1</v>
      </c>
      <c r="N6684" s="8">
        <f t="shared" si="2876"/>
        <v>1</v>
      </c>
      <c r="O6684" s="11" t="s">
        <v>1702</v>
      </c>
      <c r="P6684" s="16" t="str">
        <f t="shared" si="2877"/>
        <v>28-Dec-1909</v>
      </c>
      <c r="R6684" s="16" t="str">
        <f t="shared" si="2878"/>
        <v>x</v>
      </c>
      <c r="S6684" s="16" t="str">
        <f t="shared" si="2878"/>
        <v>x</v>
      </c>
      <c r="U6684" s="46" t="str">
        <f t="shared" si="2861"/>
        <v/>
      </c>
      <c r="V6684" s="46">
        <f t="shared" si="2861"/>
        <v>1</v>
      </c>
      <c r="W6684" s="46" t="str">
        <f t="shared" si="2861"/>
        <v/>
      </c>
      <c r="X6684" s="46" t="str">
        <f t="shared" si="2861"/>
        <v/>
      </c>
    </row>
    <row r="6685" spans="2:24" x14ac:dyDescent="0.25">
      <c r="B6685" s="11" t="str">
        <f t="shared" si="2874"/>
        <v>VOLT-04FEB1910</v>
      </c>
      <c r="C6685" s="11" t="s">
        <v>2903</v>
      </c>
      <c r="D6685" s="11" t="s">
        <v>2097</v>
      </c>
      <c r="E6685" s="39" t="s">
        <v>889</v>
      </c>
      <c r="F6685" s="11" t="s">
        <v>2904</v>
      </c>
      <c r="G6685" s="39" t="s">
        <v>2905</v>
      </c>
      <c r="H6685" s="7">
        <v>0</v>
      </c>
      <c r="I6685" s="7">
        <v>2</v>
      </c>
      <c r="J6685" s="17">
        <v>13</v>
      </c>
      <c r="K6685" s="17"/>
      <c r="L6685" s="7">
        <f t="shared" si="2875"/>
        <v>15</v>
      </c>
      <c r="M6685" s="8">
        <v>1</v>
      </c>
      <c r="N6685" s="8">
        <f t="shared" si="2876"/>
        <v>1</v>
      </c>
      <c r="O6685" s="11" t="s">
        <v>1702</v>
      </c>
      <c r="P6685" s="16" t="str">
        <f t="shared" si="2877"/>
        <v>04-Feb-1910</v>
      </c>
      <c r="R6685" s="16" t="str">
        <f t="shared" si="2878"/>
        <v>x</v>
      </c>
      <c r="S6685" s="16" t="str">
        <f t="shared" si="2878"/>
        <v>x</v>
      </c>
      <c r="U6685" s="46" t="str">
        <f t="shared" si="2861"/>
        <v/>
      </c>
      <c r="V6685" s="46">
        <f t="shared" si="2861"/>
        <v>15</v>
      </c>
      <c r="W6685" s="46" t="str">
        <f t="shared" si="2861"/>
        <v/>
      </c>
      <c r="X6685" s="46" t="str">
        <f t="shared" si="2861"/>
        <v/>
      </c>
    </row>
    <row r="6686" spans="2:24" x14ac:dyDescent="0.25">
      <c r="B6686" s="11" t="str">
        <f t="shared" si="2874"/>
        <v>VOLT-11MAY1910</v>
      </c>
      <c r="C6686" s="11" t="s">
        <v>2903</v>
      </c>
      <c r="D6686" s="11" t="s">
        <v>2097</v>
      </c>
      <c r="E6686" s="39" t="s">
        <v>1498</v>
      </c>
      <c r="F6686" s="11" t="s">
        <v>2904</v>
      </c>
      <c r="G6686" s="39" t="s">
        <v>2949</v>
      </c>
      <c r="I6686" s="7">
        <v>1</v>
      </c>
      <c r="J6686" s="17">
        <f>11+1</f>
        <v>12</v>
      </c>
      <c r="K6686" s="17"/>
      <c r="L6686" s="7">
        <f t="shared" si="2875"/>
        <v>13</v>
      </c>
      <c r="M6686" s="8">
        <v>1</v>
      </c>
      <c r="N6686" s="8">
        <f t="shared" si="2876"/>
        <v>1</v>
      </c>
      <c r="O6686" s="11" t="s">
        <v>1702</v>
      </c>
      <c r="P6686" s="16" t="str">
        <f t="shared" si="2877"/>
        <v>11-May-1910</v>
      </c>
      <c r="R6686" s="16" t="str">
        <f t="shared" si="2878"/>
        <v>x</v>
      </c>
      <c r="S6686" s="16" t="str">
        <f t="shared" si="2878"/>
        <v>x</v>
      </c>
      <c r="U6686" s="46" t="str">
        <f t="shared" si="2861"/>
        <v/>
      </c>
      <c r="V6686" s="46">
        <f t="shared" si="2861"/>
        <v>13</v>
      </c>
      <c r="W6686" s="46" t="str">
        <f t="shared" si="2861"/>
        <v/>
      </c>
      <c r="X6686" s="46" t="str">
        <f t="shared" si="2861"/>
        <v/>
      </c>
    </row>
    <row r="6687" spans="2:24" x14ac:dyDescent="0.25">
      <c r="B6687" s="11" t="str">
        <f t="shared" si="2874"/>
        <v>VOLT-26JUN1910</v>
      </c>
      <c r="C6687" s="11" t="s">
        <v>2903</v>
      </c>
      <c r="D6687" s="11" t="s">
        <v>2097</v>
      </c>
      <c r="E6687" s="39" t="s">
        <v>2927</v>
      </c>
      <c r="F6687" s="11" t="s">
        <v>2904</v>
      </c>
      <c r="G6687" s="39" t="s">
        <v>2928</v>
      </c>
      <c r="I6687" s="7">
        <v>1</v>
      </c>
      <c r="J6687" s="17">
        <f>46+4</f>
        <v>50</v>
      </c>
      <c r="K6687" s="17"/>
      <c r="L6687" s="7">
        <f t="shared" si="2875"/>
        <v>51</v>
      </c>
      <c r="M6687" s="8">
        <v>1</v>
      </c>
      <c r="N6687" s="8">
        <f t="shared" si="2876"/>
        <v>1</v>
      </c>
      <c r="O6687" s="11" t="s">
        <v>1702</v>
      </c>
      <c r="P6687" s="16" t="str">
        <f t="shared" si="2877"/>
        <v>26-Jun-1910</v>
      </c>
      <c r="R6687" s="16" t="str">
        <f t="shared" si="2878"/>
        <v>x</v>
      </c>
      <c r="S6687" s="16" t="str">
        <f t="shared" si="2878"/>
        <v>x</v>
      </c>
      <c r="U6687" s="46" t="str">
        <f t="shared" si="2861"/>
        <v/>
      </c>
      <c r="V6687" s="46">
        <f t="shared" si="2861"/>
        <v>51</v>
      </c>
      <c r="W6687" s="46" t="str">
        <f t="shared" si="2861"/>
        <v/>
      </c>
      <c r="X6687" s="46" t="str">
        <f t="shared" si="2861"/>
        <v/>
      </c>
    </row>
    <row r="6688" spans="2:24" x14ac:dyDescent="0.25">
      <c r="B6688" s="11" t="str">
        <f t="shared" si="2874"/>
        <v>VOLT-08AUG1910</v>
      </c>
      <c r="C6688" s="11" t="s">
        <v>2903</v>
      </c>
      <c r="D6688" s="11" t="s">
        <v>2097</v>
      </c>
      <c r="E6688" s="39" t="s">
        <v>1861</v>
      </c>
      <c r="F6688" s="11" t="s">
        <v>2904</v>
      </c>
      <c r="G6688" s="39" t="s">
        <v>877</v>
      </c>
      <c r="I6688" s="7">
        <v>0</v>
      </c>
      <c r="J6688" s="17">
        <f>18+4</f>
        <v>22</v>
      </c>
      <c r="K6688" s="17"/>
      <c r="L6688" s="7">
        <f t="shared" si="2875"/>
        <v>22</v>
      </c>
      <c r="M6688" s="8">
        <v>1</v>
      </c>
      <c r="N6688" s="8">
        <f t="shared" si="2876"/>
        <v>1</v>
      </c>
      <c r="O6688" s="11" t="s">
        <v>1702</v>
      </c>
      <c r="P6688" s="16" t="str">
        <f t="shared" si="2877"/>
        <v>08-Aug-1910</v>
      </c>
      <c r="R6688" s="16" t="str">
        <f t="shared" si="2878"/>
        <v>x</v>
      </c>
      <c r="S6688" s="16" t="str">
        <f t="shared" si="2878"/>
        <v>x</v>
      </c>
      <c r="U6688" s="46" t="str">
        <f t="shared" si="2861"/>
        <v/>
      </c>
      <c r="V6688" s="46">
        <f t="shared" si="2861"/>
        <v>22</v>
      </c>
      <c r="W6688" s="46" t="str">
        <f t="shared" si="2861"/>
        <v/>
      </c>
      <c r="X6688" s="46" t="str">
        <f t="shared" si="2861"/>
        <v/>
      </c>
    </row>
    <row r="6689" spans="2:24" x14ac:dyDescent="0.25">
      <c r="B6689" s="11" t="str">
        <f t="shared" si="2874"/>
        <v>VOLT-18SEP1910</v>
      </c>
      <c r="C6689" s="11" t="s">
        <v>2903</v>
      </c>
      <c r="D6689" s="11" t="s">
        <v>2097</v>
      </c>
      <c r="E6689" s="39" t="s">
        <v>2952</v>
      </c>
      <c r="F6689" s="11" t="s">
        <v>2904</v>
      </c>
      <c r="G6689" s="39" t="s">
        <v>2324</v>
      </c>
      <c r="I6689" s="7">
        <v>2</v>
      </c>
      <c r="J6689" s="17">
        <v>10</v>
      </c>
      <c r="K6689" s="17"/>
      <c r="L6689" s="7">
        <f t="shared" si="2875"/>
        <v>12</v>
      </c>
      <c r="M6689" s="8">
        <v>1</v>
      </c>
      <c r="N6689" s="8">
        <f t="shared" si="2876"/>
        <v>1</v>
      </c>
      <c r="O6689" s="11" t="s">
        <v>1702</v>
      </c>
      <c r="P6689" s="16" t="str">
        <f t="shared" si="2877"/>
        <v>18-Sep-1910</v>
      </c>
      <c r="R6689" s="16" t="str">
        <f t="shared" si="2878"/>
        <v>x</v>
      </c>
      <c r="S6689" s="16" t="str">
        <f t="shared" si="2878"/>
        <v>x</v>
      </c>
      <c r="U6689" s="46" t="str">
        <f t="shared" si="2861"/>
        <v/>
      </c>
      <c r="V6689" s="46">
        <f t="shared" si="2861"/>
        <v>12</v>
      </c>
      <c r="W6689" s="46" t="str">
        <f t="shared" si="2861"/>
        <v/>
      </c>
      <c r="X6689" s="46" t="str">
        <f t="shared" si="2861"/>
        <v/>
      </c>
    </row>
    <row r="6690" spans="2:24" x14ac:dyDescent="0.25">
      <c r="N6690" s="8" t="str">
        <f>IF(R6690="x",1,"")</f>
        <v/>
      </c>
      <c r="U6690" s="46" t="str">
        <f t="shared" si="2861"/>
        <v/>
      </c>
      <c r="V6690" s="46" t="str">
        <f t="shared" si="2861"/>
        <v/>
      </c>
      <c r="W6690" s="46" t="str">
        <f t="shared" si="2861"/>
        <v/>
      </c>
      <c r="X6690" s="46" t="str">
        <f t="shared" si="2861"/>
        <v/>
      </c>
    </row>
    <row r="6691" spans="2:24" x14ac:dyDescent="0.25">
      <c r="B6691" s="18"/>
      <c r="C6691" s="18"/>
      <c r="D6691" s="18"/>
      <c r="E6691" s="40"/>
      <c r="F6691" s="18"/>
      <c r="G6691" s="40"/>
      <c r="H6691" s="7">
        <f t="shared" ref="H6691:N6691" si="2879">SUM(H6673:H6690)</f>
        <v>0</v>
      </c>
      <c r="I6691" s="7">
        <f t="shared" si="2879"/>
        <v>14</v>
      </c>
      <c r="J6691" s="7">
        <f>SUM(J6673:J6690)</f>
        <v>455</v>
      </c>
      <c r="K6691" s="7">
        <f t="shared" si="2879"/>
        <v>0</v>
      </c>
      <c r="L6691" s="7">
        <f t="shared" si="2879"/>
        <v>469</v>
      </c>
      <c r="M6691" s="7">
        <f t="shared" si="2879"/>
        <v>17</v>
      </c>
      <c r="N6691" s="7">
        <f t="shared" si="2879"/>
        <v>17</v>
      </c>
      <c r="O6691" s="18"/>
      <c r="P6691" s="13"/>
      <c r="Q6691" s="13"/>
      <c r="S6691" s="13"/>
      <c r="T6691" s="15"/>
      <c r="U6691" s="46" t="str">
        <f t="shared" si="2861"/>
        <v/>
      </c>
      <c r="V6691" s="46" t="str">
        <f t="shared" si="2861"/>
        <v/>
      </c>
      <c r="W6691" s="46" t="str">
        <f t="shared" si="2861"/>
        <v/>
      </c>
      <c r="X6691" s="46" t="str">
        <f t="shared" si="2861"/>
        <v/>
      </c>
    </row>
    <row r="6692" spans="2:24" x14ac:dyDescent="0.25">
      <c r="B6692" s="18"/>
      <c r="C6692" s="18"/>
      <c r="D6692" s="18"/>
      <c r="E6692" s="40"/>
      <c r="F6692" s="18"/>
      <c r="G6692" s="40"/>
      <c r="N6692" s="8" t="str">
        <f>IF(R6692="x",1,"")</f>
        <v/>
      </c>
      <c r="O6692" s="18"/>
      <c r="P6692" s="13"/>
      <c r="Q6692" s="13"/>
      <c r="R6692" s="13"/>
      <c r="S6692" s="13"/>
      <c r="T6692" s="15"/>
      <c r="U6692" s="46" t="str">
        <f t="shared" si="2861"/>
        <v/>
      </c>
      <c r="V6692" s="46" t="str">
        <f t="shared" si="2861"/>
        <v/>
      </c>
      <c r="W6692" s="46" t="str">
        <f t="shared" si="2861"/>
        <v/>
      </c>
      <c r="X6692" s="46" t="str">
        <f t="shared" si="2861"/>
        <v/>
      </c>
    </row>
    <row r="6693" spans="2:24" x14ac:dyDescent="0.25">
      <c r="B6693" s="18"/>
      <c r="C6693" s="18"/>
      <c r="D6693" s="18"/>
      <c r="E6693" s="40"/>
      <c r="F6693" s="18"/>
      <c r="G6693" s="40"/>
      <c r="N6693" s="8" t="str">
        <f>IF(R6693="x",1,"")</f>
        <v/>
      </c>
      <c r="O6693" s="18"/>
      <c r="P6693" s="13"/>
      <c r="Q6693" s="13"/>
      <c r="R6693" s="13"/>
      <c r="S6693" s="13"/>
      <c r="T6693" s="15"/>
      <c r="U6693" s="46" t="str">
        <f t="shared" si="2861"/>
        <v/>
      </c>
      <c r="V6693" s="46" t="str">
        <f t="shared" si="2861"/>
        <v/>
      </c>
      <c r="W6693" s="46" t="str">
        <f t="shared" si="2861"/>
        <v/>
      </c>
      <c r="X6693" s="46" t="str">
        <f t="shared" si="2861"/>
        <v/>
      </c>
    </row>
    <row r="6694" spans="2:24" x14ac:dyDescent="0.25">
      <c r="B6694" s="11" t="str">
        <f>CONCATENATE("WAES","-",LEFT(P6694,2),UPPER(MID(P6694,4,3)),RIGHT(P6694,4))</f>
        <v>WAES-14OCT1886</v>
      </c>
      <c r="C6694" s="11" t="s">
        <v>3192</v>
      </c>
      <c r="D6694" s="11" t="s">
        <v>2814</v>
      </c>
      <c r="F6694" s="11" t="s">
        <v>1700</v>
      </c>
      <c r="G6694" s="39" t="s">
        <v>4223</v>
      </c>
      <c r="H6694" s="7">
        <v>0</v>
      </c>
      <c r="I6694" s="7">
        <v>0</v>
      </c>
      <c r="J6694" s="17">
        <v>1</v>
      </c>
      <c r="K6694" s="17"/>
      <c r="L6694" s="7">
        <f>SUM(H6694:K6694)</f>
        <v>1</v>
      </c>
      <c r="M6694" s="8">
        <v>1</v>
      </c>
      <c r="N6694" s="8">
        <f>IF(L6694&gt;0,1,"")</f>
        <v>1</v>
      </c>
      <c r="O6694" s="11" t="s">
        <v>1702</v>
      </c>
      <c r="P6694" s="16" t="str">
        <f>IF(LEN(G6694)=10,CONCATENATE("0",G6694),G6694)</f>
        <v>14-Oct-1886</v>
      </c>
      <c r="R6694" s="16" t="str">
        <f t="shared" ref="R6694:S6697" si="2880">IF($L6694&gt;0,"x","")</f>
        <v>x</v>
      </c>
      <c r="S6694" s="16" t="str">
        <f t="shared" si="2880"/>
        <v>x</v>
      </c>
      <c r="U6694" s="46" t="str">
        <f t="shared" si="2861"/>
        <v/>
      </c>
      <c r="V6694" s="46">
        <f t="shared" si="2861"/>
        <v>1</v>
      </c>
      <c r="W6694" s="46" t="str">
        <f t="shared" si="2861"/>
        <v/>
      </c>
      <c r="X6694" s="46" t="str">
        <f t="shared" si="2861"/>
        <v/>
      </c>
    </row>
    <row r="6695" spans="2:24" x14ac:dyDescent="0.25">
      <c r="B6695" s="11" t="str">
        <f>CONCATENATE("WAES","-",LEFT(P6695,2),UPPER(MID(P6695,4,3)),RIGHT(P6695,4))</f>
        <v>WAES-26MAY1891</v>
      </c>
      <c r="C6695" s="11" t="s">
        <v>3192</v>
      </c>
      <c r="D6695" s="11" t="s">
        <v>2814</v>
      </c>
      <c r="F6695" s="11" t="s">
        <v>1700</v>
      </c>
      <c r="G6695" s="39" t="s">
        <v>5122</v>
      </c>
      <c r="H6695" s="7">
        <v>0</v>
      </c>
      <c r="I6695" s="7">
        <v>0</v>
      </c>
      <c r="J6695" s="17">
        <v>7</v>
      </c>
      <c r="K6695" s="17"/>
      <c r="L6695" s="7">
        <f>SUM(H6695:K6695)</f>
        <v>7</v>
      </c>
      <c r="M6695" s="8">
        <v>1</v>
      </c>
      <c r="N6695" s="8">
        <f>IF(L6695&gt;0,1,"")</f>
        <v>1</v>
      </c>
      <c r="O6695" s="11" t="s">
        <v>1702</v>
      </c>
      <c r="P6695" s="16" t="str">
        <f>IF(LEN(G6695)=10,CONCATENATE("0",G6695),G6695)</f>
        <v>26-May-1891</v>
      </c>
      <c r="R6695" s="16" t="str">
        <f t="shared" si="2880"/>
        <v>x</v>
      </c>
      <c r="S6695" s="16" t="str">
        <f t="shared" si="2880"/>
        <v>x</v>
      </c>
      <c r="U6695" s="46" t="str">
        <f>IF($O6695=U$5,$L6695,"")</f>
        <v/>
      </c>
      <c r="V6695" s="46">
        <f>IF($O6695=V$5,$L6695,"")</f>
        <v>7</v>
      </c>
      <c r="W6695" s="46" t="str">
        <f>IF($O6695=W$5,$L6695,"")</f>
        <v/>
      </c>
      <c r="X6695" s="46" t="str">
        <f>IF($O6695=X$5,$L6695,"")</f>
        <v/>
      </c>
    </row>
    <row r="6696" spans="2:24" x14ac:dyDescent="0.25">
      <c r="B6696" s="11" t="str">
        <f>CONCATENATE("WAES","-",LEFT(P6696,2),UPPER(MID(P6696,4,3)),RIGHT(P6696,4))</f>
        <v>WAES-01JUL1891</v>
      </c>
      <c r="C6696" s="11" t="s">
        <v>3192</v>
      </c>
      <c r="D6696" s="11" t="s">
        <v>2814</v>
      </c>
      <c r="F6696" s="11" t="s">
        <v>1700</v>
      </c>
      <c r="G6696" s="39" t="s">
        <v>3193</v>
      </c>
      <c r="H6696" s="7">
        <v>0</v>
      </c>
      <c r="I6696" s="7">
        <v>0</v>
      </c>
      <c r="J6696" s="17">
        <v>13</v>
      </c>
      <c r="K6696" s="17"/>
      <c r="L6696" s="7">
        <f>SUM(H6696:K6696)</f>
        <v>13</v>
      </c>
      <c r="M6696" s="8">
        <v>1</v>
      </c>
      <c r="N6696" s="8">
        <f>IF(L6696&gt;0,1,"")</f>
        <v>1</v>
      </c>
      <c r="O6696" s="11" t="s">
        <v>1702</v>
      </c>
      <c r="P6696" s="16" t="str">
        <f>IF(LEN(G6696)=10,CONCATENATE("0",G6696),G6696)</f>
        <v>01-Jul-1891</v>
      </c>
      <c r="R6696" s="16" t="str">
        <f t="shared" si="2880"/>
        <v>x</v>
      </c>
      <c r="S6696" s="16" t="str">
        <f t="shared" si="2880"/>
        <v>x</v>
      </c>
      <c r="U6696" s="46" t="str">
        <f t="shared" si="2861"/>
        <v/>
      </c>
      <c r="V6696" s="46">
        <f t="shared" si="2861"/>
        <v>13</v>
      </c>
      <c r="W6696" s="46" t="str">
        <f t="shared" si="2861"/>
        <v/>
      </c>
      <c r="X6696" s="46" t="str">
        <f t="shared" si="2861"/>
        <v/>
      </c>
    </row>
    <row r="6697" spans="2:24" x14ac:dyDescent="0.25">
      <c r="B6697" s="11" t="str">
        <f>CONCATENATE("WAES","-",LEFT(P6697,2),UPPER(MID(P6697,4,3)),RIGHT(P6697,4))</f>
        <v>WAES-29AUG1893</v>
      </c>
      <c r="C6697" s="11" t="s">
        <v>3192</v>
      </c>
      <c r="D6697" s="11" t="s">
        <v>2814</v>
      </c>
      <c r="F6697" s="11" t="s">
        <v>1700</v>
      </c>
      <c r="G6697" s="39" t="s">
        <v>4074</v>
      </c>
      <c r="H6697" s="7">
        <v>0</v>
      </c>
      <c r="I6697" s="7">
        <v>0</v>
      </c>
      <c r="J6697" s="17">
        <v>20</v>
      </c>
      <c r="K6697" s="17"/>
      <c r="L6697" s="7">
        <f>SUM(H6697:K6697)</f>
        <v>20</v>
      </c>
      <c r="M6697" s="8">
        <v>1</v>
      </c>
      <c r="N6697" s="8">
        <f>IF(L6697&gt;0,1,"")</f>
        <v>1</v>
      </c>
      <c r="O6697" s="11" t="s">
        <v>1702</v>
      </c>
      <c r="P6697" s="16" t="str">
        <f>IF(LEN(G6697)=10,CONCATENATE("0",G6697),G6697)</f>
        <v>29-Aug-1893</v>
      </c>
      <c r="R6697" s="16" t="str">
        <f t="shared" si="2880"/>
        <v>x</v>
      </c>
      <c r="S6697" s="16" t="str">
        <f t="shared" si="2880"/>
        <v>x</v>
      </c>
      <c r="U6697" s="46" t="str">
        <f t="shared" si="2861"/>
        <v/>
      </c>
      <c r="V6697" s="46">
        <f t="shared" si="2861"/>
        <v>20</v>
      </c>
      <c r="W6697" s="46" t="str">
        <f t="shared" si="2861"/>
        <v/>
      </c>
      <c r="X6697" s="46" t="str">
        <f t="shared" si="2861"/>
        <v/>
      </c>
    </row>
    <row r="6698" spans="2:24" x14ac:dyDescent="0.25">
      <c r="N6698" s="8" t="str">
        <f>IF(R6698="x",1,"")</f>
        <v/>
      </c>
      <c r="U6698" s="46" t="str">
        <f t="shared" si="2861"/>
        <v/>
      </c>
      <c r="V6698" s="46" t="str">
        <f t="shared" si="2861"/>
        <v/>
      </c>
      <c r="W6698" s="46" t="str">
        <f t="shared" si="2861"/>
        <v/>
      </c>
      <c r="X6698" s="46" t="str">
        <f t="shared" si="2861"/>
        <v/>
      </c>
    </row>
    <row r="6699" spans="2:24" x14ac:dyDescent="0.25">
      <c r="B6699" s="18"/>
      <c r="C6699" s="18"/>
      <c r="D6699" s="18"/>
      <c r="E6699" s="40"/>
      <c r="F6699" s="18"/>
      <c r="G6699" s="40"/>
      <c r="H6699" s="7">
        <f t="shared" ref="H6699:N6699" si="2881">SUM(H6694:H6698)</f>
        <v>0</v>
      </c>
      <c r="I6699" s="7">
        <f t="shared" si="2881"/>
        <v>0</v>
      </c>
      <c r="J6699" s="7">
        <f>SUM(J6694:J6698)</f>
        <v>41</v>
      </c>
      <c r="K6699" s="7">
        <f t="shared" si="2881"/>
        <v>0</v>
      </c>
      <c r="L6699" s="7">
        <f t="shared" si="2881"/>
        <v>41</v>
      </c>
      <c r="M6699" s="7">
        <f t="shared" si="2881"/>
        <v>4</v>
      </c>
      <c r="N6699" s="7">
        <f t="shared" si="2881"/>
        <v>4</v>
      </c>
      <c r="O6699" s="18"/>
      <c r="P6699" s="13"/>
      <c r="Q6699" s="13"/>
      <c r="S6699" s="13"/>
      <c r="T6699" s="15"/>
      <c r="U6699" s="46" t="str">
        <f t="shared" si="2861"/>
        <v/>
      </c>
      <c r="V6699" s="46" t="str">
        <f t="shared" si="2861"/>
        <v/>
      </c>
      <c r="W6699" s="46" t="str">
        <f t="shared" si="2861"/>
        <v/>
      </c>
      <c r="X6699" s="46" t="str">
        <f t="shared" si="2861"/>
        <v/>
      </c>
    </row>
    <row r="6700" spans="2:24" x14ac:dyDescent="0.25">
      <c r="B6700" s="18"/>
      <c r="C6700" s="18"/>
      <c r="D6700" s="18"/>
      <c r="E6700" s="40"/>
      <c r="F6700" s="18"/>
      <c r="G6700" s="40"/>
      <c r="N6700" s="8" t="str">
        <f>IF(R6700="x",1,"")</f>
        <v/>
      </c>
      <c r="O6700" s="18"/>
      <c r="P6700" s="13"/>
      <c r="Q6700" s="13"/>
      <c r="R6700" s="13"/>
      <c r="S6700" s="13"/>
      <c r="T6700" s="15"/>
      <c r="U6700" s="46" t="str">
        <f t="shared" si="2861"/>
        <v/>
      </c>
      <c r="V6700" s="46" t="str">
        <f t="shared" si="2861"/>
        <v/>
      </c>
      <c r="W6700" s="46" t="str">
        <f t="shared" si="2861"/>
        <v/>
      </c>
      <c r="X6700" s="46" t="str">
        <f t="shared" si="2861"/>
        <v/>
      </c>
    </row>
    <row r="6701" spans="2:24" x14ac:dyDescent="0.25">
      <c r="B6701" s="18"/>
      <c r="C6701" s="18"/>
      <c r="D6701" s="18"/>
      <c r="E6701" s="40"/>
      <c r="F6701" s="18"/>
      <c r="G6701" s="40"/>
      <c r="N6701" s="8" t="str">
        <f>IF(R6701="x",1,"")</f>
        <v/>
      </c>
      <c r="O6701" s="18"/>
      <c r="P6701" s="13"/>
      <c r="Q6701" s="13"/>
      <c r="R6701" s="13"/>
      <c r="S6701" s="13"/>
      <c r="T6701" s="15"/>
      <c r="U6701" s="46" t="str">
        <f t="shared" si="2861"/>
        <v/>
      </c>
      <c r="V6701" s="46" t="str">
        <f t="shared" si="2861"/>
        <v/>
      </c>
      <c r="W6701" s="46" t="str">
        <f t="shared" si="2861"/>
        <v/>
      </c>
      <c r="X6701" s="46" t="str">
        <f t="shared" si="2861"/>
        <v/>
      </c>
    </row>
    <row r="6702" spans="2:24" x14ac:dyDescent="0.25">
      <c r="B6702" s="11" t="str">
        <f>CONCATENATE("WASH","-",LEFT(P6702,2),UPPER(MID(P6702,4,3)),RIGHT(P6702,4))</f>
        <v>WASH-01JUL1923</v>
      </c>
      <c r="C6702" s="11" t="s">
        <v>4237</v>
      </c>
      <c r="D6702" s="11" t="s">
        <v>2808</v>
      </c>
      <c r="E6702" s="39" t="s">
        <v>5405</v>
      </c>
      <c r="F6702" s="11" t="s">
        <v>1700</v>
      </c>
      <c r="G6702" s="39" t="s">
        <v>3130</v>
      </c>
      <c r="I6702" s="7">
        <v>6</v>
      </c>
      <c r="J6702" s="17">
        <v>28</v>
      </c>
      <c r="K6702" s="17"/>
      <c r="L6702" s="7">
        <f>SUM(H6702:K6702)</f>
        <v>34</v>
      </c>
      <c r="M6702" s="8">
        <v>1</v>
      </c>
      <c r="N6702" s="8">
        <f>IF(L6702&gt;0,1,"")</f>
        <v>1</v>
      </c>
      <c r="O6702" s="11" t="s">
        <v>1702</v>
      </c>
      <c r="P6702" s="16" t="str">
        <f>IF(LEN(G6702)=10,CONCATENATE("0",G6702),G6702)</f>
        <v>01-Jul-1923</v>
      </c>
      <c r="R6702" s="16" t="str">
        <f t="shared" ref="R6702:S6704" si="2882">IF($L6702&gt;0,"x","")</f>
        <v>x</v>
      </c>
      <c r="S6702" s="16" t="str">
        <f t="shared" si="2882"/>
        <v>x</v>
      </c>
      <c r="U6702" s="46" t="str">
        <f t="shared" si="2861"/>
        <v/>
      </c>
      <c r="V6702" s="46">
        <f t="shared" si="2861"/>
        <v>34</v>
      </c>
      <c r="W6702" s="46" t="str">
        <f t="shared" si="2861"/>
        <v/>
      </c>
      <c r="X6702" s="46" t="str">
        <f t="shared" si="2861"/>
        <v/>
      </c>
    </row>
    <row r="6703" spans="2:24" x14ac:dyDescent="0.25">
      <c r="B6703" s="11" t="str">
        <f>CONCATENATE("WASH","-",LEFT(P6703,2),UPPER(MID(P6703,4,3)),RIGHT(P6703,4))</f>
        <v>WASH-01JUL1923</v>
      </c>
      <c r="C6703" s="11" t="s">
        <v>4237</v>
      </c>
      <c r="D6703" s="11" t="s">
        <v>847</v>
      </c>
      <c r="E6703" s="39" t="s">
        <v>2820</v>
      </c>
      <c r="F6703" s="11" t="s">
        <v>1700</v>
      </c>
      <c r="G6703" s="39" t="s">
        <v>3130</v>
      </c>
      <c r="I6703" s="7">
        <v>6</v>
      </c>
      <c r="J6703" s="17">
        <f>6+1</f>
        <v>7</v>
      </c>
      <c r="K6703" s="17"/>
      <c r="L6703" s="7">
        <f>SUM(H6703:K6703)</f>
        <v>13</v>
      </c>
      <c r="M6703" s="8">
        <v>1</v>
      </c>
      <c r="N6703" s="8">
        <f>IF(L6703&gt;0,1,"")</f>
        <v>1</v>
      </c>
      <c r="O6703" s="11" t="s">
        <v>1702</v>
      </c>
      <c r="P6703" s="16" t="str">
        <f>IF(LEN(G6703)=10,CONCATENATE("0",G6703),G6703)</f>
        <v>01-Jul-1923</v>
      </c>
      <c r="R6703" s="16" t="str">
        <f t="shared" si="2882"/>
        <v>x</v>
      </c>
      <c r="S6703" s="16" t="str">
        <f t="shared" si="2882"/>
        <v>x</v>
      </c>
      <c r="U6703" s="46" t="str">
        <f t="shared" ref="U6703:X6705" si="2883">IF($O6703=U$5,$L6703,"")</f>
        <v/>
      </c>
      <c r="V6703" s="46">
        <f t="shared" si="2883"/>
        <v>13</v>
      </c>
      <c r="W6703" s="46" t="str">
        <f t="shared" si="2883"/>
        <v/>
      </c>
      <c r="X6703" s="46" t="str">
        <f t="shared" si="2883"/>
        <v/>
      </c>
    </row>
    <row r="6704" spans="2:24" x14ac:dyDescent="0.25">
      <c r="B6704" s="11" t="str">
        <f>CONCATENATE("WASH","-",LEFT(P6704,2),UPPER(MID(P6704,4,3)),RIGHT(P6704,4))</f>
        <v>WASH-01SEP1923</v>
      </c>
      <c r="C6704" s="11" t="s">
        <v>4237</v>
      </c>
      <c r="D6704" s="11" t="s">
        <v>2808</v>
      </c>
      <c r="E6704" s="39" t="s">
        <v>4238</v>
      </c>
      <c r="F6704" s="11" t="s">
        <v>1700</v>
      </c>
      <c r="G6704" s="39" t="s">
        <v>1168</v>
      </c>
      <c r="I6704" s="7">
        <v>38</v>
      </c>
      <c r="J6704" s="17">
        <v>40</v>
      </c>
      <c r="K6704" s="17"/>
      <c r="L6704" s="7">
        <f>SUM(H6704:K6704)</f>
        <v>78</v>
      </c>
      <c r="M6704" s="8">
        <v>1</v>
      </c>
      <c r="N6704" s="8">
        <f>IF(L6704&gt;0,1,"")</f>
        <v>1</v>
      </c>
      <c r="O6704" s="11" t="s">
        <v>1702</v>
      </c>
      <c r="P6704" s="16" t="str">
        <f>IF(LEN(G6704)=10,CONCATENATE("0",G6704),G6704)</f>
        <v>01-Sep-1923</v>
      </c>
      <c r="R6704" s="16" t="str">
        <f t="shared" si="2882"/>
        <v>x</v>
      </c>
      <c r="S6704" s="16" t="str">
        <f t="shared" si="2882"/>
        <v>x</v>
      </c>
      <c r="U6704" s="46" t="str">
        <f t="shared" si="2883"/>
        <v/>
      </c>
      <c r="V6704" s="46">
        <f t="shared" si="2883"/>
        <v>78</v>
      </c>
      <c r="W6704" s="46" t="str">
        <f t="shared" si="2883"/>
        <v/>
      </c>
      <c r="X6704" s="46" t="str">
        <f t="shared" si="2883"/>
        <v/>
      </c>
    </row>
    <row r="6705" spans="2:24" x14ac:dyDescent="0.25">
      <c r="B6705" s="11" t="str">
        <f>CONCATENATE("WASH","-",LEFT(P6705,2),UPPER(MID(P6705,4,3)),RIGHT(P6705,4))</f>
        <v>WASH-22AUG1935</v>
      </c>
      <c r="C6705" s="11" t="s">
        <v>4237</v>
      </c>
      <c r="D6705" s="11" t="s">
        <v>1699</v>
      </c>
      <c r="E6705" s="39" t="s">
        <v>11379</v>
      </c>
      <c r="F6705" s="11" t="s">
        <v>1700</v>
      </c>
      <c r="G6705" s="39" t="s">
        <v>11380</v>
      </c>
      <c r="H6705" s="7">
        <f>0+1</f>
        <v>1</v>
      </c>
      <c r="J6705" s="17">
        <v>2</v>
      </c>
      <c r="K6705" s="17"/>
      <c r="L6705" s="7">
        <f>SUM(H6705:K6705)</f>
        <v>3</v>
      </c>
      <c r="M6705" s="8">
        <v>1</v>
      </c>
      <c r="N6705" s="8">
        <f>IF(L6705&gt;0,1,"")</f>
        <v>1</v>
      </c>
      <c r="O6705" s="11" t="s">
        <v>1702</v>
      </c>
      <c r="P6705" s="16" t="str">
        <f>IF(LEN(G6705)=10,CONCATENATE("0",G6705),G6705)</f>
        <v>22-Aug-1935</v>
      </c>
      <c r="R6705" s="16" t="str">
        <f>IF($L6705&gt;0,"x","")</f>
        <v>x</v>
      </c>
      <c r="S6705" s="16" t="str">
        <f>IF($L6705&gt;0,"x","")</f>
        <v>x</v>
      </c>
      <c r="U6705" s="46" t="str">
        <f t="shared" si="2883"/>
        <v/>
      </c>
      <c r="V6705" s="46">
        <f t="shared" si="2883"/>
        <v>3</v>
      </c>
      <c r="W6705" s="46" t="str">
        <f t="shared" si="2883"/>
        <v/>
      </c>
      <c r="X6705" s="46" t="str">
        <f t="shared" si="2883"/>
        <v/>
      </c>
    </row>
    <row r="6706" spans="2:24" x14ac:dyDescent="0.25">
      <c r="N6706" s="8" t="str">
        <f>IF(R6706="x",1,"")</f>
        <v/>
      </c>
      <c r="U6706" s="46" t="str">
        <f t="shared" si="2861"/>
        <v/>
      </c>
      <c r="V6706" s="46" t="str">
        <f t="shared" si="2861"/>
        <v/>
      </c>
      <c r="W6706" s="46" t="str">
        <f t="shared" si="2861"/>
        <v/>
      </c>
      <c r="X6706" s="46" t="str">
        <f t="shared" si="2861"/>
        <v/>
      </c>
    </row>
    <row r="6707" spans="2:24" x14ac:dyDescent="0.25">
      <c r="B6707" s="18"/>
      <c r="C6707" s="18"/>
      <c r="D6707" s="18"/>
      <c r="E6707" s="40"/>
      <c r="F6707" s="18"/>
      <c r="G6707" s="40"/>
      <c r="H6707" s="7">
        <f t="shared" ref="H6707:N6707" si="2884">SUM(H6702:H6706)</f>
        <v>1</v>
      </c>
      <c r="I6707" s="7">
        <f t="shared" si="2884"/>
        <v>50</v>
      </c>
      <c r="J6707" s="7">
        <f>SUM(J6702:J6706)</f>
        <v>77</v>
      </c>
      <c r="K6707" s="7">
        <f t="shared" si="2884"/>
        <v>0</v>
      </c>
      <c r="L6707" s="7">
        <f t="shared" si="2884"/>
        <v>128</v>
      </c>
      <c r="M6707" s="7">
        <f t="shared" si="2884"/>
        <v>4</v>
      </c>
      <c r="N6707" s="7">
        <f t="shared" si="2884"/>
        <v>4</v>
      </c>
      <c r="O6707" s="18"/>
      <c r="P6707" s="13"/>
      <c r="Q6707" s="13"/>
      <c r="S6707" s="13"/>
      <c r="T6707" s="15"/>
      <c r="U6707" s="46" t="str">
        <f t="shared" si="2861"/>
        <v/>
      </c>
      <c r="V6707" s="46" t="str">
        <f t="shared" si="2861"/>
        <v/>
      </c>
      <c r="W6707" s="46" t="str">
        <f t="shared" si="2861"/>
        <v/>
      </c>
      <c r="X6707" s="46" t="str">
        <f t="shared" si="2861"/>
        <v/>
      </c>
    </row>
    <row r="6708" spans="2:24" x14ac:dyDescent="0.25">
      <c r="B6708" s="18"/>
      <c r="C6708" s="18"/>
      <c r="D6708" s="18"/>
      <c r="E6708" s="40"/>
      <c r="F6708" s="18"/>
      <c r="G6708" s="40"/>
      <c r="N6708" s="8" t="str">
        <f>IF(R6708="x",1,"")</f>
        <v/>
      </c>
      <c r="O6708" s="18"/>
      <c r="P6708" s="13"/>
      <c r="Q6708" s="13"/>
      <c r="R6708" s="13"/>
      <c r="S6708" s="13"/>
      <c r="T6708" s="15"/>
      <c r="U6708" s="46" t="str">
        <f t="shared" ref="U6708:X6713" si="2885">IF($O6708=U$5,$L6708,"")</f>
        <v/>
      </c>
      <c r="V6708" s="46" t="str">
        <f t="shared" si="2885"/>
        <v/>
      </c>
      <c r="W6708" s="46" t="str">
        <f t="shared" si="2885"/>
        <v/>
      </c>
      <c r="X6708" s="46" t="str">
        <f t="shared" si="2885"/>
        <v/>
      </c>
    </row>
    <row r="6709" spans="2:24" x14ac:dyDescent="0.25">
      <c r="B6709" s="18"/>
      <c r="C6709" s="18"/>
      <c r="D6709" s="18"/>
      <c r="E6709" s="40"/>
      <c r="F6709" s="18"/>
      <c r="G6709" s="40"/>
      <c r="N6709" s="8" t="str">
        <f>IF(R6709="x",1,"")</f>
        <v/>
      </c>
      <c r="O6709" s="18"/>
      <c r="P6709" s="13"/>
      <c r="Q6709" s="13"/>
      <c r="R6709" s="13"/>
      <c r="S6709" s="13"/>
      <c r="T6709" s="15"/>
      <c r="U6709" s="46" t="str">
        <f t="shared" si="2885"/>
        <v/>
      </c>
      <c r="V6709" s="46" t="str">
        <f t="shared" si="2885"/>
        <v/>
      </c>
      <c r="W6709" s="46" t="str">
        <f t="shared" si="2885"/>
        <v/>
      </c>
      <c r="X6709" s="46" t="str">
        <f t="shared" si="2885"/>
        <v/>
      </c>
    </row>
    <row r="6710" spans="2:24" x14ac:dyDescent="0.25">
      <c r="B6710" s="11" t="str">
        <f>CONCATENATE("WASS","-",LEFT(P6710,2),UPPER(MID(P6710,4,3)),RIGHT(P6710,4))</f>
        <v>WASS-21APR1901</v>
      </c>
      <c r="C6710" s="11" t="s">
        <v>4988</v>
      </c>
      <c r="D6710" s="11" t="s">
        <v>2097</v>
      </c>
      <c r="E6710" s="39" t="s">
        <v>5726</v>
      </c>
      <c r="F6710" s="11" t="s">
        <v>211</v>
      </c>
      <c r="G6710" s="39" t="s">
        <v>5727</v>
      </c>
      <c r="J6710" s="17">
        <v>6</v>
      </c>
      <c r="K6710" s="17"/>
      <c r="L6710" s="7">
        <f>SUM(H6710:K6710)</f>
        <v>6</v>
      </c>
      <c r="M6710" s="8">
        <v>1</v>
      </c>
      <c r="N6710" s="8">
        <f>IF(L6710&gt;0,1,"")</f>
        <v>1</v>
      </c>
      <c r="O6710" s="11" t="s">
        <v>1702</v>
      </c>
      <c r="P6710" s="16" t="str">
        <f>IF(LEN(G6710)=10,CONCATENATE("0",G6710),G6710)</f>
        <v>21-Apr-1901</v>
      </c>
      <c r="R6710" s="16" t="str">
        <f>IF($L6710&gt;0,"x","")</f>
        <v>x</v>
      </c>
      <c r="S6710" s="16" t="str">
        <f>IF($L6710&gt;0,"x","")</f>
        <v>x</v>
      </c>
      <c r="U6710" s="46" t="str">
        <f t="shared" si="2885"/>
        <v/>
      </c>
      <c r="V6710" s="46">
        <f t="shared" si="2885"/>
        <v>6</v>
      </c>
      <c r="W6710" s="46" t="str">
        <f t="shared" si="2885"/>
        <v/>
      </c>
      <c r="X6710" s="46" t="str">
        <f t="shared" si="2885"/>
        <v/>
      </c>
    </row>
    <row r="6711" spans="2:24" x14ac:dyDescent="0.25">
      <c r="B6711" s="11" t="str">
        <f>CONCATENATE("WASS","-",LEFT(P6711,2),UPPER(MID(P6711,4,3)),RIGHT(P6711,4))</f>
        <v>WASS-10JUL1901</v>
      </c>
      <c r="C6711" s="11" t="s">
        <v>4988</v>
      </c>
      <c r="D6711" s="11" t="s">
        <v>1699</v>
      </c>
      <c r="F6711" s="11" t="s">
        <v>2813</v>
      </c>
      <c r="G6711" s="39" t="s">
        <v>3419</v>
      </c>
      <c r="H6711" s="7">
        <v>0</v>
      </c>
      <c r="I6711" s="7">
        <v>0</v>
      </c>
      <c r="J6711" s="17">
        <v>7</v>
      </c>
      <c r="K6711" s="17"/>
      <c r="L6711" s="7">
        <f>SUM(H6711:K6711)</f>
        <v>7</v>
      </c>
      <c r="M6711" s="8">
        <v>1</v>
      </c>
      <c r="N6711" s="8">
        <f>IF(L6711&gt;0,1,"")</f>
        <v>1</v>
      </c>
      <c r="O6711" s="11" t="s">
        <v>1702</v>
      </c>
      <c r="P6711" s="16" t="str">
        <f>IF(LEN(G6711)=10,CONCATENATE("0",G6711),G6711)</f>
        <v>10-Jul-1901</v>
      </c>
      <c r="R6711" s="16" t="str">
        <f>IF($L6711&gt;0,"x","")</f>
        <v>x</v>
      </c>
      <c r="S6711" s="16" t="str">
        <f>IF($L6711&gt;0,"x","")</f>
        <v>x</v>
      </c>
      <c r="U6711" s="46" t="str">
        <f t="shared" si="2885"/>
        <v/>
      </c>
      <c r="V6711" s="46">
        <f t="shared" si="2885"/>
        <v>7</v>
      </c>
      <c r="W6711" s="46" t="str">
        <f t="shared" si="2885"/>
        <v/>
      </c>
      <c r="X6711" s="46" t="str">
        <f t="shared" si="2885"/>
        <v/>
      </c>
    </row>
    <row r="6712" spans="2:24" x14ac:dyDescent="0.25">
      <c r="N6712" s="8" t="str">
        <f>IF(R6712="x",1,"")</f>
        <v/>
      </c>
      <c r="U6712" s="46" t="str">
        <f t="shared" si="2885"/>
        <v/>
      </c>
      <c r="V6712" s="46" t="str">
        <f t="shared" si="2885"/>
        <v/>
      </c>
      <c r="W6712" s="46" t="str">
        <f t="shared" si="2885"/>
        <v/>
      </c>
      <c r="X6712" s="46" t="str">
        <f t="shared" si="2885"/>
        <v/>
      </c>
    </row>
    <row r="6713" spans="2:24" x14ac:dyDescent="0.25">
      <c r="B6713" s="18"/>
      <c r="C6713" s="18"/>
      <c r="D6713" s="18"/>
      <c r="E6713" s="40"/>
      <c r="F6713" s="18"/>
      <c r="G6713" s="40"/>
      <c r="H6713" s="7">
        <f t="shared" ref="H6713:N6713" si="2886">SUM(H6710:H6712)</f>
        <v>0</v>
      </c>
      <c r="I6713" s="7">
        <f t="shared" si="2886"/>
        <v>0</v>
      </c>
      <c r="J6713" s="7">
        <f>SUM(J6710:J6712)</f>
        <v>13</v>
      </c>
      <c r="K6713" s="7">
        <f t="shared" si="2886"/>
        <v>0</v>
      </c>
      <c r="L6713" s="7">
        <f t="shared" si="2886"/>
        <v>13</v>
      </c>
      <c r="M6713" s="7">
        <f t="shared" si="2886"/>
        <v>2</v>
      </c>
      <c r="N6713" s="7">
        <f t="shared" si="2886"/>
        <v>2</v>
      </c>
      <c r="O6713" s="18"/>
      <c r="P6713" s="13"/>
      <c r="Q6713" s="13"/>
      <c r="S6713" s="13"/>
      <c r="T6713" s="15"/>
      <c r="U6713" s="46" t="str">
        <f t="shared" si="2885"/>
        <v/>
      </c>
      <c r="V6713" s="46" t="str">
        <f t="shared" si="2885"/>
        <v/>
      </c>
      <c r="W6713" s="46" t="str">
        <f t="shared" si="2885"/>
        <v/>
      </c>
      <c r="X6713" s="46" t="str">
        <f t="shared" si="2885"/>
        <v/>
      </c>
    </row>
    <row r="6714" spans="2:24" x14ac:dyDescent="0.25">
      <c r="B6714" s="18"/>
      <c r="C6714" s="18"/>
      <c r="D6714" s="18"/>
      <c r="E6714" s="40"/>
      <c r="F6714" s="18"/>
      <c r="G6714" s="40"/>
      <c r="N6714" s="8" t="str">
        <f>IF(R6714="x",1,"")</f>
        <v/>
      </c>
      <c r="O6714" s="18"/>
      <c r="P6714" s="13"/>
      <c r="Q6714" s="13"/>
      <c r="R6714" s="13"/>
      <c r="S6714" s="13"/>
      <c r="T6714" s="15"/>
      <c r="U6714" s="46" t="str">
        <f t="shared" si="2861"/>
        <v/>
      </c>
      <c r="V6714" s="46" t="str">
        <f t="shared" si="2861"/>
        <v/>
      </c>
      <c r="W6714" s="46" t="str">
        <f t="shared" si="2861"/>
        <v/>
      </c>
      <c r="X6714" s="46" t="str">
        <f t="shared" si="2861"/>
        <v/>
      </c>
    </row>
    <row r="6715" spans="2:24" x14ac:dyDescent="0.25">
      <c r="B6715" s="18"/>
      <c r="C6715" s="18"/>
      <c r="D6715" s="18"/>
      <c r="E6715" s="40"/>
      <c r="F6715" s="18"/>
      <c r="G6715" s="40"/>
      <c r="N6715" s="8" t="str">
        <f>IF(R6715="x",1,"")</f>
        <v/>
      </c>
      <c r="O6715" s="18"/>
      <c r="P6715" s="13"/>
      <c r="Q6715" s="13"/>
      <c r="R6715" s="13"/>
      <c r="S6715" s="13"/>
      <c r="T6715" s="15"/>
      <c r="U6715" s="46" t="str">
        <f t="shared" si="2861"/>
        <v/>
      </c>
      <c r="V6715" s="46" t="str">
        <f t="shared" si="2861"/>
        <v/>
      </c>
      <c r="W6715" s="46" t="str">
        <f t="shared" si="2861"/>
        <v/>
      </c>
      <c r="X6715" s="46" t="str">
        <f t="shared" si="2861"/>
        <v/>
      </c>
    </row>
    <row r="6716" spans="2:24" x14ac:dyDescent="0.25">
      <c r="B6716" s="11" t="str">
        <f t="shared" ref="B6716:B6724" si="2887">CONCATENATE("WERK","-",LEFT(P6716,2),UPPER(MID(P6716,4,3)),RIGHT(P6716,4))</f>
        <v>WERK-08MAR1890</v>
      </c>
      <c r="C6716" s="11" t="s">
        <v>3426</v>
      </c>
      <c r="D6716" s="11" t="s">
        <v>3707</v>
      </c>
      <c r="F6716" s="11" t="s">
        <v>1700</v>
      </c>
      <c r="G6716" s="39" t="s">
        <v>4078</v>
      </c>
      <c r="H6716" s="7">
        <v>0</v>
      </c>
      <c r="I6716" s="7">
        <v>0</v>
      </c>
      <c r="J6716" s="17">
        <v>9</v>
      </c>
      <c r="K6716" s="17"/>
      <c r="L6716" s="7">
        <f t="shared" ref="L6716:L6724" si="2888">SUM(H6716:K6716)</f>
        <v>9</v>
      </c>
      <c r="M6716" s="8">
        <v>1</v>
      </c>
      <c r="N6716" s="8">
        <f t="shared" ref="N6716:N6724" si="2889">IF(L6716&gt;0,1,"")</f>
        <v>1</v>
      </c>
      <c r="O6716" s="11" t="s">
        <v>1702</v>
      </c>
      <c r="P6716" s="16" t="str">
        <f t="shared" ref="P6716:P6724" si="2890">IF(LEN(G6716)=10,CONCATENATE("0",G6716),G6716)</f>
        <v>08-Mar-1890</v>
      </c>
      <c r="R6716" s="16" t="str">
        <f t="shared" ref="R6716:S6725" si="2891">IF($L6716&gt;0,"x","")</f>
        <v>x</v>
      </c>
      <c r="S6716" s="16" t="str">
        <f t="shared" si="2891"/>
        <v>x</v>
      </c>
      <c r="U6716" s="46" t="str">
        <f t="shared" si="2861"/>
        <v/>
      </c>
      <c r="V6716" s="46">
        <f t="shared" si="2861"/>
        <v>9</v>
      </c>
      <c r="W6716" s="46" t="str">
        <f t="shared" si="2861"/>
        <v/>
      </c>
      <c r="X6716" s="46" t="str">
        <f t="shared" si="2861"/>
        <v/>
      </c>
    </row>
    <row r="6717" spans="2:24" x14ac:dyDescent="0.25">
      <c r="B6717" s="11" t="str">
        <f>CONCATENATE("WERK","-",LEFT(P6717,2),UPPER(MID(P6717,4,3)),RIGHT(P6717,4))</f>
        <v>WERK-02NOV1891</v>
      </c>
      <c r="C6717" s="11" t="s">
        <v>3426</v>
      </c>
      <c r="D6717" s="11" t="s">
        <v>3707</v>
      </c>
      <c r="F6717" s="11" t="s">
        <v>1700</v>
      </c>
      <c r="G6717" s="39" t="s">
        <v>5648</v>
      </c>
      <c r="J6717" s="17">
        <f>2+8</f>
        <v>10</v>
      </c>
      <c r="K6717" s="17"/>
      <c r="L6717" s="7">
        <f>SUM(H6717:K6717)</f>
        <v>10</v>
      </c>
      <c r="M6717" s="8">
        <v>1</v>
      </c>
      <c r="N6717" s="8">
        <f>IF(L6717&gt;0,1,"")</f>
        <v>1</v>
      </c>
      <c r="O6717" s="11" t="s">
        <v>1702</v>
      </c>
      <c r="P6717" s="16" t="str">
        <f>IF(LEN(G6717)=10,CONCATENATE("0",G6717),G6717)</f>
        <v>02-Nov-1891</v>
      </c>
      <c r="R6717" s="16" t="str">
        <f t="shared" si="2891"/>
        <v>x</v>
      </c>
      <c r="S6717" s="16" t="str">
        <f t="shared" si="2891"/>
        <v>x</v>
      </c>
      <c r="U6717" s="46" t="str">
        <f t="shared" ref="U6717:X6718" si="2892">IF($O6717=U$5,$L6717,"")</f>
        <v/>
      </c>
      <c r="V6717" s="46">
        <f t="shared" si="2892"/>
        <v>10</v>
      </c>
      <c r="W6717" s="46" t="str">
        <f t="shared" si="2892"/>
        <v/>
      </c>
      <c r="X6717" s="46" t="str">
        <f t="shared" si="2892"/>
        <v/>
      </c>
    </row>
    <row r="6718" spans="2:24" x14ac:dyDescent="0.25">
      <c r="B6718" s="11" t="str">
        <f>CONCATENATE("WERK","-",LEFT(P6718,2),UPPER(MID(P6718,4,3)),RIGHT(P6718,4))</f>
        <v>WERK-26AUG1892</v>
      </c>
      <c r="C6718" s="11" t="s">
        <v>3426</v>
      </c>
      <c r="D6718" s="11" t="s">
        <v>2103</v>
      </c>
      <c r="F6718" s="11" t="s">
        <v>1700</v>
      </c>
      <c r="G6718" s="39" t="s">
        <v>6000</v>
      </c>
      <c r="H6718" s="7">
        <v>0</v>
      </c>
      <c r="I6718" s="7">
        <v>0</v>
      </c>
      <c r="J6718" s="17">
        <v>9</v>
      </c>
      <c r="K6718" s="17"/>
      <c r="L6718" s="7">
        <f>SUM(H6718:K6718)</f>
        <v>9</v>
      </c>
      <c r="M6718" s="8">
        <v>1</v>
      </c>
      <c r="N6718" s="8">
        <f>IF(L6718&gt;0,1,"")</f>
        <v>1</v>
      </c>
      <c r="O6718" s="11" t="s">
        <v>1702</v>
      </c>
      <c r="P6718" s="16" t="str">
        <f>IF(LEN(G6718)=10,CONCATENATE("0",G6718),G6718)</f>
        <v>26-Aug-1892</v>
      </c>
      <c r="R6718" s="16" t="str">
        <f t="shared" si="2891"/>
        <v>x</v>
      </c>
      <c r="S6718" s="16" t="str">
        <f t="shared" si="2891"/>
        <v>x</v>
      </c>
      <c r="U6718" s="46" t="str">
        <f t="shared" si="2892"/>
        <v/>
      </c>
      <c r="V6718" s="46">
        <f t="shared" si="2892"/>
        <v>9</v>
      </c>
      <c r="W6718" s="46" t="str">
        <f t="shared" si="2892"/>
        <v/>
      </c>
      <c r="X6718" s="46" t="str">
        <f t="shared" si="2892"/>
        <v/>
      </c>
    </row>
    <row r="6719" spans="2:24" x14ac:dyDescent="0.25">
      <c r="B6719" s="11" t="str">
        <f t="shared" si="2887"/>
        <v>WERK-02JAN1893</v>
      </c>
      <c r="C6719" s="11" t="s">
        <v>3426</v>
      </c>
      <c r="D6719" s="11" t="s">
        <v>2103</v>
      </c>
      <c r="F6719" s="11" t="s">
        <v>1700</v>
      </c>
      <c r="G6719" s="39" t="s">
        <v>412</v>
      </c>
      <c r="H6719" s="7">
        <v>0</v>
      </c>
      <c r="I6719" s="7">
        <v>0</v>
      </c>
      <c r="J6719" s="17">
        <v>6</v>
      </c>
      <c r="K6719" s="17"/>
      <c r="L6719" s="7">
        <f t="shared" si="2888"/>
        <v>6</v>
      </c>
      <c r="M6719" s="8">
        <v>1</v>
      </c>
      <c r="N6719" s="8">
        <f t="shared" si="2889"/>
        <v>1</v>
      </c>
      <c r="O6719" s="11" t="s">
        <v>1702</v>
      </c>
      <c r="P6719" s="16" t="str">
        <f t="shared" si="2890"/>
        <v>02-Jan-1893</v>
      </c>
      <c r="R6719" s="16" t="str">
        <f t="shared" si="2891"/>
        <v>x</v>
      </c>
      <c r="S6719" s="16" t="str">
        <f t="shared" si="2891"/>
        <v>x</v>
      </c>
      <c r="U6719" s="46" t="str">
        <f t="shared" si="2861"/>
        <v/>
      </c>
      <c r="V6719" s="46">
        <f t="shared" si="2861"/>
        <v>6</v>
      </c>
      <c r="W6719" s="46" t="str">
        <f t="shared" si="2861"/>
        <v/>
      </c>
      <c r="X6719" s="46" t="str">
        <f t="shared" si="2861"/>
        <v/>
      </c>
    </row>
    <row r="6720" spans="2:24" x14ac:dyDescent="0.25">
      <c r="B6720" s="11" t="str">
        <f t="shared" si="2887"/>
        <v>WERK-26MAY1897</v>
      </c>
      <c r="C6720" s="11" t="s">
        <v>3426</v>
      </c>
      <c r="D6720" s="11" t="s">
        <v>2103</v>
      </c>
      <c r="F6720" s="11" t="s">
        <v>1700</v>
      </c>
      <c r="G6720" s="39" t="s">
        <v>4380</v>
      </c>
      <c r="H6720" s="7">
        <v>0</v>
      </c>
      <c r="I6720" s="7">
        <v>0</v>
      </c>
      <c r="J6720" s="17">
        <v>19</v>
      </c>
      <c r="K6720" s="17"/>
      <c r="L6720" s="7">
        <f t="shared" si="2888"/>
        <v>19</v>
      </c>
      <c r="M6720" s="8">
        <v>1</v>
      </c>
      <c r="N6720" s="8">
        <f t="shared" si="2889"/>
        <v>1</v>
      </c>
      <c r="O6720" s="11" t="s">
        <v>1702</v>
      </c>
      <c r="P6720" s="16" t="str">
        <f t="shared" si="2890"/>
        <v>26-May-1897</v>
      </c>
      <c r="R6720" s="16" t="str">
        <f t="shared" si="2891"/>
        <v>x</v>
      </c>
      <c r="S6720" s="16" t="str">
        <f t="shared" si="2891"/>
        <v>x</v>
      </c>
      <c r="U6720" s="46" t="str">
        <f t="shared" si="2861"/>
        <v/>
      </c>
      <c r="V6720" s="46">
        <f t="shared" si="2861"/>
        <v>19</v>
      </c>
      <c r="W6720" s="46" t="str">
        <f t="shared" si="2861"/>
        <v/>
      </c>
      <c r="X6720" s="46" t="str">
        <f t="shared" si="2861"/>
        <v/>
      </c>
    </row>
    <row r="6721" spans="2:24" x14ac:dyDescent="0.25">
      <c r="B6721" s="11" t="str">
        <f t="shared" si="2887"/>
        <v>WERK-06DEC1897</v>
      </c>
      <c r="C6721" s="11" t="s">
        <v>3426</v>
      </c>
      <c r="D6721" s="11" t="s">
        <v>2103</v>
      </c>
      <c r="E6721" s="39" t="s">
        <v>3427</v>
      </c>
      <c r="F6721" s="11" t="s">
        <v>1700</v>
      </c>
      <c r="G6721" s="39" t="s">
        <v>3428</v>
      </c>
      <c r="J6721" s="17">
        <v>27</v>
      </c>
      <c r="K6721" s="17"/>
      <c r="L6721" s="7">
        <f t="shared" si="2888"/>
        <v>27</v>
      </c>
      <c r="M6721" s="8">
        <v>1</v>
      </c>
      <c r="N6721" s="8">
        <f t="shared" si="2889"/>
        <v>1</v>
      </c>
      <c r="O6721" s="11" t="s">
        <v>1702</v>
      </c>
      <c r="P6721" s="16" t="str">
        <f t="shared" si="2890"/>
        <v>06-Dec-1897</v>
      </c>
      <c r="R6721" s="16" t="str">
        <f t="shared" si="2891"/>
        <v>x</v>
      </c>
      <c r="S6721" s="16" t="str">
        <f t="shared" si="2891"/>
        <v>x</v>
      </c>
      <c r="U6721" s="46" t="str">
        <f t="shared" ref="U6721:X6723" si="2893">IF($O6721=U$5,$L6721,"")</f>
        <v/>
      </c>
      <c r="V6721" s="46">
        <f t="shared" si="2893"/>
        <v>27</v>
      </c>
      <c r="W6721" s="46" t="str">
        <f t="shared" si="2893"/>
        <v/>
      </c>
      <c r="X6721" s="46" t="str">
        <f t="shared" si="2893"/>
        <v/>
      </c>
    </row>
    <row r="6722" spans="2:24" x14ac:dyDescent="0.25">
      <c r="B6722" s="11" t="str">
        <f>CONCATENATE("WERK","-",LEFT(P6722,2),UPPER(MID(P6722,4,3)),RIGHT(P6722,4))</f>
        <v>WERK-30AUG1898</v>
      </c>
      <c r="C6722" s="11" t="s">
        <v>3426</v>
      </c>
      <c r="D6722" s="11" t="s">
        <v>2103</v>
      </c>
      <c r="E6722" s="39" t="s">
        <v>5936</v>
      </c>
      <c r="F6722" s="11" t="s">
        <v>1700</v>
      </c>
      <c r="G6722" s="39" t="s">
        <v>5937</v>
      </c>
      <c r="J6722" s="17">
        <v>6</v>
      </c>
      <c r="K6722" s="17"/>
      <c r="L6722" s="7">
        <f>SUM(H6722:K6722)</f>
        <v>6</v>
      </c>
      <c r="M6722" s="8">
        <v>1</v>
      </c>
      <c r="N6722" s="8">
        <f>IF(L6722&gt;0,1,"")</f>
        <v>1</v>
      </c>
      <c r="O6722" s="11" t="s">
        <v>1702</v>
      </c>
      <c r="P6722" s="16" t="str">
        <f>IF(LEN(G6722)=10,CONCATENATE("0",G6722),G6722)</f>
        <v>30-Aug-1898</v>
      </c>
      <c r="R6722" s="16" t="str">
        <f t="shared" si="2891"/>
        <v>x</v>
      </c>
      <c r="S6722" s="16" t="str">
        <f t="shared" si="2891"/>
        <v>x</v>
      </c>
      <c r="T6722" s="11"/>
      <c r="U6722" s="46" t="str">
        <f t="shared" si="2893"/>
        <v/>
      </c>
      <c r="V6722" s="46">
        <f t="shared" si="2893"/>
        <v>6</v>
      </c>
      <c r="W6722" s="46" t="str">
        <f t="shared" si="2893"/>
        <v/>
      </c>
      <c r="X6722" s="46" t="str">
        <f t="shared" si="2893"/>
        <v/>
      </c>
    </row>
    <row r="6723" spans="2:24" x14ac:dyDescent="0.25">
      <c r="B6723" s="11" t="str">
        <f t="shared" si="2887"/>
        <v>WERK-29AUG1899</v>
      </c>
      <c r="C6723" s="11" t="s">
        <v>3426</v>
      </c>
      <c r="D6723" s="11" t="s">
        <v>2103</v>
      </c>
      <c r="E6723" s="39" t="s">
        <v>5078</v>
      </c>
      <c r="F6723" s="11" t="s">
        <v>1700</v>
      </c>
      <c r="G6723" s="39" t="s">
        <v>5079</v>
      </c>
      <c r="J6723" s="17">
        <v>4</v>
      </c>
      <c r="K6723" s="17"/>
      <c r="L6723" s="7">
        <f t="shared" si="2888"/>
        <v>4</v>
      </c>
      <c r="M6723" s="8">
        <v>1</v>
      </c>
      <c r="N6723" s="8">
        <f t="shared" si="2889"/>
        <v>1</v>
      </c>
      <c r="O6723" s="11" t="s">
        <v>1702</v>
      </c>
      <c r="P6723" s="16" t="str">
        <f t="shared" si="2890"/>
        <v>29-Aug-1899</v>
      </c>
      <c r="R6723" s="16" t="str">
        <f t="shared" si="2891"/>
        <v>x</v>
      </c>
      <c r="S6723" s="16" t="str">
        <f t="shared" si="2891"/>
        <v>x</v>
      </c>
      <c r="U6723" s="46" t="str">
        <f t="shared" si="2893"/>
        <v/>
      </c>
      <c r="V6723" s="46">
        <f t="shared" si="2893"/>
        <v>4</v>
      </c>
      <c r="W6723" s="46" t="str">
        <f t="shared" si="2893"/>
        <v/>
      </c>
      <c r="X6723" s="46" t="str">
        <f t="shared" si="2893"/>
        <v/>
      </c>
    </row>
    <row r="6724" spans="2:24" x14ac:dyDescent="0.25">
      <c r="B6724" s="11" t="str">
        <f t="shared" si="2887"/>
        <v>WERK-13FEB1900</v>
      </c>
      <c r="C6724" s="11" t="s">
        <v>3426</v>
      </c>
      <c r="D6724" s="11" t="s">
        <v>2103</v>
      </c>
      <c r="E6724" s="39" t="s">
        <v>5073</v>
      </c>
      <c r="F6724" s="11" t="s">
        <v>1700</v>
      </c>
      <c r="G6724" s="39" t="s">
        <v>5074</v>
      </c>
      <c r="J6724" s="17">
        <v>5</v>
      </c>
      <c r="K6724" s="17"/>
      <c r="L6724" s="7">
        <f t="shared" si="2888"/>
        <v>5</v>
      </c>
      <c r="M6724" s="8">
        <v>1</v>
      </c>
      <c r="N6724" s="8">
        <f t="shared" si="2889"/>
        <v>1</v>
      </c>
      <c r="O6724" s="11" t="s">
        <v>1702</v>
      </c>
      <c r="P6724" s="16" t="str">
        <f t="shared" si="2890"/>
        <v>13-Feb-1900</v>
      </c>
      <c r="R6724" s="16" t="str">
        <f t="shared" si="2891"/>
        <v>x</v>
      </c>
      <c r="S6724" s="16" t="str">
        <f t="shared" si="2891"/>
        <v>x</v>
      </c>
      <c r="U6724" s="46" t="str">
        <f t="shared" si="2861"/>
        <v/>
      </c>
      <c r="V6724" s="46">
        <f t="shared" si="2861"/>
        <v>5</v>
      </c>
      <c r="W6724" s="46" t="str">
        <f t="shared" si="2861"/>
        <v/>
      </c>
      <c r="X6724" s="46" t="str">
        <f t="shared" si="2861"/>
        <v/>
      </c>
    </row>
    <row r="6725" spans="2:24" x14ac:dyDescent="0.25">
      <c r="B6725" s="11" t="str">
        <f>CONCATENATE("WERK","-",LEFT(P6725,2),UPPER(MID(P6725,4,3)),RIGHT(P6725,4))</f>
        <v>WERK-20MAR1900</v>
      </c>
      <c r="C6725" s="11" t="s">
        <v>3426</v>
      </c>
      <c r="D6725" s="11" t="s">
        <v>2103</v>
      </c>
      <c r="E6725" s="39" t="s">
        <v>5924</v>
      </c>
      <c r="F6725" s="11" t="s">
        <v>1700</v>
      </c>
      <c r="G6725" s="39" t="s">
        <v>5925</v>
      </c>
      <c r="J6725" s="17">
        <v>7</v>
      </c>
      <c r="K6725" s="17"/>
      <c r="L6725" s="7">
        <f>SUM(H6725:K6725)</f>
        <v>7</v>
      </c>
      <c r="M6725" s="8">
        <v>1</v>
      </c>
      <c r="N6725" s="8">
        <f>IF(L6725&gt;0,1,"")</f>
        <v>1</v>
      </c>
      <c r="O6725" s="11" t="s">
        <v>1702</v>
      </c>
      <c r="P6725" s="16" t="str">
        <f>IF(LEN(G6725)=10,CONCATENATE("0",G6725),G6725)</f>
        <v>20-Mar-1900</v>
      </c>
      <c r="R6725" s="16" t="str">
        <f t="shared" si="2891"/>
        <v>x</v>
      </c>
      <c r="S6725" s="16" t="str">
        <f t="shared" si="2891"/>
        <v>x</v>
      </c>
      <c r="U6725" s="46" t="str">
        <f>IF($O6725=U$5,$L6725,"")</f>
        <v/>
      </c>
      <c r="V6725" s="46">
        <f>IF($O6725=V$5,$L6725,"")</f>
        <v>7</v>
      </c>
      <c r="W6725" s="46" t="str">
        <f>IF($O6725=W$5,$L6725,"")</f>
        <v/>
      </c>
      <c r="X6725" s="46" t="str">
        <f>IF($O6725=X$5,$L6725,"")</f>
        <v/>
      </c>
    </row>
    <row r="6726" spans="2:24" x14ac:dyDescent="0.25">
      <c r="N6726" s="8" t="str">
        <f>IF(R6726="x",1,"")</f>
        <v/>
      </c>
      <c r="U6726" s="46" t="str">
        <f t="shared" si="2861"/>
        <v/>
      </c>
      <c r="V6726" s="46" t="str">
        <f t="shared" si="2861"/>
        <v/>
      </c>
      <c r="W6726" s="46" t="str">
        <f t="shared" si="2861"/>
        <v/>
      </c>
      <c r="X6726" s="46" t="str">
        <f t="shared" si="2861"/>
        <v/>
      </c>
    </row>
    <row r="6727" spans="2:24" x14ac:dyDescent="0.25">
      <c r="B6727" s="18"/>
      <c r="C6727" s="18"/>
      <c r="D6727" s="18"/>
      <c r="E6727" s="40"/>
      <c r="F6727" s="18"/>
      <c r="G6727" s="40"/>
      <c r="H6727" s="7">
        <f t="shared" ref="H6727:N6727" si="2894">SUM(H6716:H6726)</f>
        <v>0</v>
      </c>
      <c r="I6727" s="7">
        <f t="shared" si="2894"/>
        <v>0</v>
      </c>
      <c r="J6727" s="7">
        <f>SUM(J6716:J6726)</f>
        <v>102</v>
      </c>
      <c r="K6727" s="7">
        <f t="shared" si="2894"/>
        <v>0</v>
      </c>
      <c r="L6727" s="7">
        <f t="shared" si="2894"/>
        <v>102</v>
      </c>
      <c r="M6727" s="7">
        <f t="shared" si="2894"/>
        <v>10</v>
      </c>
      <c r="N6727" s="7">
        <f t="shared" si="2894"/>
        <v>10</v>
      </c>
      <c r="O6727" s="18"/>
      <c r="P6727" s="13"/>
      <c r="Q6727" s="13"/>
      <c r="S6727" s="13"/>
      <c r="T6727" s="15"/>
      <c r="U6727" s="46" t="str">
        <f t="shared" si="2861"/>
        <v/>
      </c>
      <c r="V6727" s="46" t="str">
        <f t="shared" si="2861"/>
        <v/>
      </c>
      <c r="W6727" s="46" t="str">
        <f t="shared" si="2861"/>
        <v/>
      </c>
      <c r="X6727" s="46" t="str">
        <f t="shared" si="2861"/>
        <v/>
      </c>
    </row>
    <row r="6728" spans="2:24" x14ac:dyDescent="0.25">
      <c r="B6728" s="18"/>
      <c r="C6728" s="18"/>
      <c r="D6728" s="18"/>
      <c r="E6728" s="40"/>
      <c r="F6728" s="18"/>
      <c r="G6728" s="40"/>
      <c r="N6728" s="8" t="str">
        <f>IF(R6728="x",1,"")</f>
        <v/>
      </c>
      <c r="O6728" s="18"/>
      <c r="P6728" s="13"/>
      <c r="Q6728" s="13"/>
      <c r="R6728" s="13"/>
      <c r="S6728" s="13"/>
      <c r="T6728" s="15"/>
      <c r="U6728" s="46" t="str">
        <f t="shared" ref="U6728:X6732" si="2895">IF($O6728=U$5,$L6728,"")</f>
        <v/>
      </c>
      <c r="V6728" s="46" t="str">
        <f t="shared" si="2895"/>
        <v/>
      </c>
      <c r="W6728" s="46" t="str">
        <f t="shared" si="2895"/>
        <v/>
      </c>
      <c r="X6728" s="46" t="str">
        <f t="shared" si="2895"/>
        <v/>
      </c>
    </row>
    <row r="6729" spans="2:24" x14ac:dyDescent="0.25">
      <c r="B6729" s="18"/>
      <c r="C6729" s="18"/>
      <c r="D6729" s="18"/>
      <c r="E6729" s="40"/>
      <c r="F6729" s="18"/>
      <c r="G6729" s="40"/>
      <c r="N6729" s="8" t="str">
        <f>IF(R6729="x",1,"")</f>
        <v/>
      </c>
      <c r="O6729" s="18"/>
      <c r="P6729" s="13"/>
      <c r="Q6729" s="13"/>
      <c r="R6729" s="13"/>
      <c r="S6729" s="13"/>
      <c r="T6729" s="15"/>
      <c r="U6729" s="46" t="str">
        <f t="shared" si="2895"/>
        <v/>
      </c>
      <c r="V6729" s="46" t="str">
        <f t="shared" si="2895"/>
        <v/>
      </c>
      <c r="W6729" s="46" t="str">
        <f t="shared" si="2895"/>
        <v/>
      </c>
      <c r="X6729" s="46" t="str">
        <f t="shared" si="2895"/>
        <v/>
      </c>
    </row>
    <row r="6730" spans="2:24" x14ac:dyDescent="0.25">
      <c r="B6730" s="11" t="str">
        <f>CONCATENATE("WERR","-",LEFT(P6730,2),UPPER(MID(P6730,4,3)),RIGHT(P6730,4))</f>
        <v>WERR-01NOV1892</v>
      </c>
      <c r="C6730" s="11" t="s">
        <v>3241</v>
      </c>
      <c r="D6730" s="11" t="s">
        <v>3217</v>
      </c>
      <c r="F6730" s="11" t="s">
        <v>1700</v>
      </c>
      <c r="G6730" s="39" t="s">
        <v>3242</v>
      </c>
      <c r="H6730" s="7">
        <v>0</v>
      </c>
      <c r="I6730" s="7">
        <v>28</v>
      </c>
      <c r="J6730" s="17"/>
      <c r="K6730" s="17"/>
      <c r="L6730" s="7">
        <f>SUM(H6730:K6730)</f>
        <v>28</v>
      </c>
      <c r="M6730" s="8">
        <v>1</v>
      </c>
      <c r="N6730" s="8">
        <f>IF(L6730&gt;0,1,"")</f>
        <v>1</v>
      </c>
      <c r="O6730" s="11" t="s">
        <v>1702</v>
      </c>
      <c r="P6730" s="16" t="str">
        <f>IF(LEN(G6730)=10,CONCATENATE("0",G6730),G6730)</f>
        <v>01-Nov-1892</v>
      </c>
      <c r="R6730" s="16" t="str">
        <f>IF($L6730&gt;0,"x","")</f>
        <v>x</v>
      </c>
      <c r="S6730" s="16" t="str">
        <f>IF($L6730&gt;0,"x","")</f>
        <v>x</v>
      </c>
      <c r="U6730" s="46" t="str">
        <f t="shared" si="2895"/>
        <v/>
      </c>
      <c r="V6730" s="46">
        <f t="shared" si="2895"/>
        <v>28</v>
      </c>
      <c r="W6730" s="46" t="str">
        <f t="shared" si="2895"/>
        <v/>
      </c>
      <c r="X6730" s="46" t="str">
        <f>IF($O6730=X$5,$L6730,"")</f>
        <v/>
      </c>
    </row>
    <row r="6731" spans="2:24" x14ac:dyDescent="0.25">
      <c r="N6731" s="8" t="str">
        <f>IF(R6731="x",1,"")</f>
        <v/>
      </c>
      <c r="U6731" s="46" t="str">
        <f t="shared" si="2895"/>
        <v/>
      </c>
      <c r="V6731" s="46" t="str">
        <f t="shared" si="2895"/>
        <v/>
      </c>
      <c r="W6731" s="46" t="str">
        <f t="shared" si="2895"/>
        <v/>
      </c>
      <c r="X6731" s="46" t="str">
        <f t="shared" si="2895"/>
        <v/>
      </c>
    </row>
    <row r="6732" spans="2:24" x14ac:dyDescent="0.25">
      <c r="B6732" s="18"/>
      <c r="C6732" s="18"/>
      <c r="D6732" s="18"/>
      <c r="E6732" s="40"/>
      <c r="F6732" s="18"/>
      <c r="G6732" s="40"/>
      <c r="H6732" s="7">
        <f t="shared" ref="H6732:N6732" si="2896">SUM(H6730:H6731)</f>
        <v>0</v>
      </c>
      <c r="I6732" s="7">
        <f t="shared" si="2896"/>
        <v>28</v>
      </c>
      <c r="J6732" s="7">
        <f>SUM(J6730:J6731)</f>
        <v>0</v>
      </c>
      <c r="K6732" s="7">
        <f t="shared" si="2896"/>
        <v>0</v>
      </c>
      <c r="L6732" s="7">
        <f t="shared" si="2896"/>
        <v>28</v>
      </c>
      <c r="M6732" s="7">
        <f t="shared" si="2896"/>
        <v>1</v>
      </c>
      <c r="N6732" s="7">
        <f t="shared" si="2896"/>
        <v>1</v>
      </c>
      <c r="O6732" s="18"/>
      <c r="P6732" s="13"/>
      <c r="Q6732" s="13"/>
      <c r="S6732" s="13"/>
      <c r="T6732" s="15"/>
      <c r="U6732" s="46" t="str">
        <f t="shared" si="2895"/>
        <v/>
      </c>
      <c r="V6732" s="46" t="str">
        <f t="shared" si="2895"/>
        <v/>
      </c>
      <c r="W6732" s="46" t="str">
        <f t="shared" si="2895"/>
        <v/>
      </c>
      <c r="X6732" s="46" t="str">
        <f t="shared" si="2895"/>
        <v/>
      </c>
    </row>
    <row r="6733" spans="2:24" x14ac:dyDescent="0.25">
      <c r="B6733" s="18"/>
      <c r="C6733" s="18"/>
      <c r="D6733" s="18"/>
      <c r="E6733" s="40"/>
      <c r="F6733" s="18"/>
      <c r="G6733" s="40"/>
      <c r="N6733" s="8" t="str">
        <f>IF(R6733="x",1,"")</f>
        <v/>
      </c>
      <c r="O6733" s="18"/>
      <c r="P6733" s="13"/>
      <c r="Q6733" s="13"/>
      <c r="R6733" s="13"/>
      <c r="S6733" s="13"/>
      <c r="T6733" s="15"/>
      <c r="U6733" s="46" t="str">
        <f t="shared" si="2861"/>
        <v/>
      </c>
      <c r="V6733" s="46" t="str">
        <f t="shared" si="2861"/>
        <v/>
      </c>
      <c r="W6733" s="46" t="str">
        <f t="shared" si="2861"/>
        <v/>
      </c>
      <c r="X6733" s="46" t="str">
        <f t="shared" si="2861"/>
        <v/>
      </c>
    </row>
    <row r="6734" spans="2:24" x14ac:dyDescent="0.25">
      <c r="B6734" s="18"/>
      <c r="C6734" s="18"/>
      <c r="D6734" s="18"/>
      <c r="E6734" s="40"/>
      <c r="F6734" s="18"/>
      <c r="G6734" s="40"/>
      <c r="N6734" s="8" t="str">
        <f>IF(R6734="x",1,"")</f>
        <v/>
      </c>
      <c r="O6734" s="18"/>
      <c r="P6734" s="13"/>
      <c r="Q6734" s="13"/>
      <c r="R6734" s="13"/>
      <c r="S6734" s="13"/>
      <c r="T6734" s="15"/>
      <c r="U6734" s="46" t="str">
        <f t="shared" si="2861"/>
        <v/>
      </c>
      <c r="V6734" s="46" t="str">
        <f t="shared" si="2861"/>
        <v/>
      </c>
      <c r="W6734" s="46" t="str">
        <f t="shared" si="2861"/>
        <v/>
      </c>
      <c r="X6734" s="46" t="str">
        <f t="shared" si="2861"/>
        <v/>
      </c>
    </row>
    <row r="6735" spans="2:24" x14ac:dyDescent="0.25">
      <c r="B6735" s="11" t="str">
        <f>CONCATENATE("WESR","-",LEFT(P6735,2),UPPER(MID(P6735,4,3)),RIGHT(P6735,4))</f>
        <v>WESR-30NOV1893</v>
      </c>
      <c r="C6735" s="11" t="s">
        <v>5611</v>
      </c>
      <c r="D6735" s="11" t="s">
        <v>3007</v>
      </c>
      <c r="F6735" s="11" t="s">
        <v>1700</v>
      </c>
      <c r="G6735" s="39" t="s">
        <v>5612</v>
      </c>
      <c r="J6735" s="17">
        <v>6</v>
      </c>
      <c r="K6735" s="17"/>
      <c r="L6735" s="7">
        <f>SUM(H6735:K6735)</f>
        <v>6</v>
      </c>
      <c r="M6735" s="8">
        <v>1</v>
      </c>
      <c r="N6735" s="8">
        <f>IF(L6735&gt;0,1,"")</f>
        <v>1</v>
      </c>
      <c r="O6735" s="11" t="s">
        <v>1702</v>
      </c>
      <c r="P6735" s="16" t="str">
        <f>IF(LEN(G6735)=10,CONCATENATE("0",G6735),G6735)</f>
        <v>30-Nov-1893</v>
      </c>
      <c r="R6735" s="16" t="str">
        <f>IF($L6735&gt;0,"x","")</f>
        <v>x</v>
      </c>
      <c r="S6735" s="16" t="str">
        <f>IF($L6735&gt;0,"x","")</f>
        <v>x</v>
      </c>
      <c r="U6735" s="46" t="str">
        <f t="shared" si="2861"/>
        <v/>
      </c>
      <c r="V6735" s="46">
        <f t="shared" si="2861"/>
        <v>6</v>
      </c>
      <c r="W6735" s="46" t="str">
        <f t="shared" si="2861"/>
        <v/>
      </c>
      <c r="X6735" s="46" t="str">
        <f>IF($O6735=X$5,$L6735,"")</f>
        <v/>
      </c>
    </row>
    <row r="6736" spans="2:24" x14ac:dyDescent="0.25">
      <c r="N6736" s="8" t="str">
        <f>IF(R6736="x",1,"")</f>
        <v/>
      </c>
      <c r="U6736" s="46" t="str">
        <f t="shared" ref="U6736:X6779" si="2897">IF($O6736=U$5,$L6736,"")</f>
        <v/>
      </c>
      <c r="V6736" s="46" t="str">
        <f t="shared" si="2897"/>
        <v/>
      </c>
      <c r="W6736" s="46" t="str">
        <f t="shared" si="2897"/>
        <v/>
      </c>
      <c r="X6736" s="46" t="str">
        <f t="shared" si="2897"/>
        <v/>
      </c>
    </row>
    <row r="6737" spans="2:24" x14ac:dyDescent="0.25">
      <c r="B6737" s="18"/>
      <c r="C6737" s="18"/>
      <c r="D6737" s="18"/>
      <c r="E6737" s="40"/>
      <c r="F6737" s="18"/>
      <c r="G6737" s="40"/>
      <c r="H6737" s="7">
        <f t="shared" ref="H6737:N6737" si="2898">SUM(H6735:H6736)</f>
        <v>0</v>
      </c>
      <c r="I6737" s="7">
        <f t="shared" si="2898"/>
        <v>0</v>
      </c>
      <c r="J6737" s="7">
        <f>SUM(J6735:J6736)</f>
        <v>6</v>
      </c>
      <c r="K6737" s="7">
        <f t="shared" si="2898"/>
        <v>0</v>
      </c>
      <c r="L6737" s="7">
        <f t="shared" si="2898"/>
        <v>6</v>
      </c>
      <c r="M6737" s="7">
        <f t="shared" si="2898"/>
        <v>1</v>
      </c>
      <c r="N6737" s="7">
        <f t="shared" si="2898"/>
        <v>1</v>
      </c>
      <c r="O6737" s="18"/>
      <c r="P6737" s="13"/>
      <c r="Q6737" s="13"/>
      <c r="S6737" s="13"/>
      <c r="T6737" s="15"/>
      <c r="U6737" s="46" t="str">
        <f t="shared" si="2897"/>
        <v/>
      </c>
      <c r="V6737" s="46" t="str">
        <f t="shared" si="2897"/>
        <v/>
      </c>
      <c r="W6737" s="46" t="str">
        <f t="shared" si="2897"/>
        <v/>
      </c>
      <c r="X6737" s="46" t="str">
        <f t="shared" si="2897"/>
        <v/>
      </c>
    </row>
    <row r="6738" spans="2:24" x14ac:dyDescent="0.25">
      <c r="B6738" s="18"/>
      <c r="C6738" s="18"/>
      <c r="D6738" s="18"/>
      <c r="E6738" s="40"/>
      <c r="F6738" s="18"/>
      <c r="G6738" s="40"/>
      <c r="N6738" s="8" t="str">
        <f>IF(R6738="x",1,"")</f>
        <v/>
      </c>
      <c r="O6738" s="18"/>
      <c r="P6738" s="13"/>
      <c r="Q6738" s="13"/>
      <c r="R6738" s="13"/>
      <c r="S6738" s="13"/>
      <c r="T6738" s="15"/>
      <c r="U6738" s="46" t="str">
        <f t="shared" si="2897"/>
        <v/>
      </c>
      <c r="V6738" s="46" t="str">
        <f t="shared" si="2897"/>
        <v/>
      </c>
      <c r="W6738" s="46" t="str">
        <f t="shared" si="2897"/>
        <v/>
      </c>
      <c r="X6738" s="46" t="str">
        <f t="shared" si="2897"/>
        <v/>
      </c>
    </row>
    <row r="6739" spans="2:24" x14ac:dyDescent="0.25">
      <c r="B6739" s="18"/>
      <c r="C6739" s="18"/>
      <c r="D6739" s="18"/>
      <c r="E6739" s="40"/>
      <c r="F6739" s="18"/>
      <c r="G6739" s="40"/>
      <c r="N6739" s="8" t="str">
        <f>IF(R6739="x",1,"")</f>
        <v/>
      </c>
      <c r="O6739" s="18"/>
      <c r="P6739" s="13"/>
      <c r="Q6739" s="13"/>
      <c r="R6739" s="13"/>
      <c r="S6739" s="13"/>
      <c r="T6739" s="15"/>
      <c r="U6739" s="46" t="str">
        <f t="shared" si="2897"/>
        <v/>
      </c>
      <c r="V6739" s="46" t="str">
        <f t="shared" si="2897"/>
        <v/>
      </c>
      <c r="W6739" s="46" t="str">
        <f t="shared" si="2897"/>
        <v/>
      </c>
      <c r="X6739" s="46" t="str">
        <f t="shared" si="2897"/>
        <v/>
      </c>
    </row>
    <row r="6740" spans="2:24" x14ac:dyDescent="0.25">
      <c r="B6740" s="11" t="str">
        <f t="shared" ref="B6740:B6750" si="2899">CONCATENATE("WEST","-",LEFT(P6740,2),UPPER(MID(P6740,4,3)),RIGHT(P6740,4))</f>
        <v>WEST-05SEP1888</v>
      </c>
      <c r="C6740" s="11" t="s">
        <v>3331</v>
      </c>
      <c r="D6740" s="11" t="s">
        <v>2814</v>
      </c>
      <c r="F6740" s="11" t="s">
        <v>1700</v>
      </c>
      <c r="G6740" s="39" t="s">
        <v>5784</v>
      </c>
      <c r="H6740" s="7">
        <v>0</v>
      </c>
      <c r="I6740" s="7">
        <v>0</v>
      </c>
      <c r="J6740" s="17">
        <v>7</v>
      </c>
      <c r="K6740" s="17"/>
      <c r="L6740" s="7">
        <f t="shared" ref="L6740:L6750" si="2900">SUM(H6740:K6740)</f>
        <v>7</v>
      </c>
      <c r="M6740" s="8">
        <v>1</v>
      </c>
      <c r="N6740" s="8">
        <f t="shared" ref="N6740:N6750" si="2901">IF(L6740&gt;0,1,"")</f>
        <v>1</v>
      </c>
      <c r="O6740" s="11" t="s">
        <v>1702</v>
      </c>
      <c r="P6740" s="16" t="str">
        <f t="shared" ref="P6740:P6750" si="2902">IF(LEN(G6740)=10,CONCATENATE("0",G6740),G6740)</f>
        <v>05-Sep-1888</v>
      </c>
      <c r="R6740" s="16" t="str">
        <f>IF($L6740&gt;0,"x","")</f>
        <v>x</v>
      </c>
      <c r="S6740" s="16" t="str">
        <f>IF($L6740&gt;0,"x","")</f>
        <v>x</v>
      </c>
      <c r="U6740" s="46" t="str">
        <f t="shared" si="2897"/>
        <v/>
      </c>
      <c r="V6740" s="46">
        <f t="shared" si="2897"/>
        <v>7</v>
      </c>
      <c r="W6740" s="46" t="str">
        <f t="shared" si="2897"/>
        <v/>
      </c>
      <c r="X6740" s="46" t="str">
        <f t="shared" si="2897"/>
        <v/>
      </c>
    </row>
    <row r="6741" spans="2:24" x14ac:dyDescent="0.25">
      <c r="B6741" s="11" t="str">
        <f t="shared" si="2899"/>
        <v>WEST-20AUG1891</v>
      </c>
      <c r="C6741" s="11" t="s">
        <v>3331</v>
      </c>
      <c r="D6741" s="11" t="s">
        <v>2814</v>
      </c>
      <c r="F6741" s="11" t="s">
        <v>1700</v>
      </c>
      <c r="G6741" s="39" t="s">
        <v>5797</v>
      </c>
      <c r="H6741" s="7">
        <v>0</v>
      </c>
      <c r="I6741" s="7">
        <v>0</v>
      </c>
      <c r="J6741" s="17">
        <v>13</v>
      </c>
      <c r="K6741" s="17"/>
      <c r="L6741" s="7">
        <f t="shared" si="2900"/>
        <v>13</v>
      </c>
      <c r="M6741" s="8">
        <v>1</v>
      </c>
      <c r="N6741" s="8">
        <f t="shared" si="2901"/>
        <v>1</v>
      </c>
      <c r="O6741" s="11" t="s">
        <v>1702</v>
      </c>
      <c r="P6741" s="16" t="str">
        <f t="shared" si="2902"/>
        <v>20-Aug-1891</v>
      </c>
      <c r="R6741" s="16" t="str">
        <f>IF($L6741&gt;0,"x","")</f>
        <v>x</v>
      </c>
      <c r="S6741" s="16" t="str">
        <f>IF($L6741&gt;0,"x","")</f>
        <v>x</v>
      </c>
      <c r="U6741" s="46" t="str">
        <f t="shared" si="2897"/>
        <v/>
      </c>
      <c r="V6741" s="46">
        <f t="shared" si="2897"/>
        <v>13</v>
      </c>
      <c r="W6741" s="46" t="str">
        <f t="shared" si="2897"/>
        <v/>
      </c>
      <c r="X6741" s="46" t="str">
        <f t="shared" si="2897"/>
        <v/>
      </c>
    </row>
    <row r="6742" spans="2:24" x14ac:dyDescent="0.25">
      <c r="B6742" s="11" t="str">
        <f>CONCATENATE("WEST","-",LEFT(P6742,2),UPPER(MID(P6742,4,3)),RIGHT(P6742,4))</f>
        <v>WEST-20OCT1891</v>
      </c>
      <c r="C6742" s="11" t="s">
        <v>3331</v>
      </c>
      <c r="D6742" s="11" t="s">
        <v>2814</v>
      </c>
      <c r="F6742" s="11" t="s">
        <v>1700</v>
      </c>
      <c r="G6742" s="39" t="s">
        <v>3900</v>
      </c>
      <c r="H6742" s="7">
        <v>0</v>
      </c>
      <c r="I6742" s="7">
        <v>0</v>
      </c>
      <c r="J6742" s="17">
        <v>5</v>
      </c>
      <c r="K6742" s="17"/>
      <c r="L6742" s="7">
        <f>SUM(H6742:K6742)</f>
        <v>5</v>
      </c>
      <c r="M6742" s="8">
        <v>1</v>
      </c>
      <c r="N6742" s="8">
        <f>IF(L6742&gt;0,1,"")</f>
        <v>1</v>
      </c>
      <c r="O6742" s="11" t="s">
        <v>1702</v>
      </c>
      <c r="P6742" s="16" t="str">
        <f>IF(LEN(G6742)=10,CONCATENATE("0",G6742),G6742)</f>
        <v>20-Oct-1891</v>
      </c>
      <c r="R6742" s="16" t="str">
        <f t="shared" ref="R6742:S6745" si="2903">IF($L6742&gt;0,"x","")</f>
        <v>x</v>
      </c>
      <c r="S6742" s="16" t="str">
        <f t="shared" si="2903"/>
        <v>x</v>
      </c>
      <c r="U6742" s="46" t="str">
        <f t="shared" si="2897"/>
        <v/>
      </c>
      <c r="V6742" s="46">
        <f t="shared" si="2897"/>
        <v>5</v>
      </c>
      <c r="W6742" s="46" t="str">
        <f t="shared" si="2897"/>
        <v/>
      </c>
      <c r="X6742" s="46" t="str">
        <f t="shared" si="2897"/>
        <v/>
      </c>
    </row>
    <row r="6743" spans="2:24" x14ac:dyDescent="0.25">
      <c r="B6743" s="11" t="str">
        <f>CONCATENATE("WEST","-",LEFT(P6743,2),UPPER(MID(P6743,4,3)),RIGHT(P6743,4))</f>
        <v>WEST-18APR1904</v>
      </c>
      <c r="C6743" s="11" t="s">
        <v>3331</v>
      </c>
      <c r="D6743" s="11" t="s">
        <v>2097</v>
      </c>
      <c r="E6743" s="39" t="s">
        <v>4668</v>
      </c>
      <c r="F6743" s="11" t="s">
        <v>3039</v>
      </c>
      <c r="G6743" s="39" t="s">
        <v>761</v>
      </c>
      <c r="I6743" s="7">
        <v>0</v>
      </c>
      <c r="J6743" s="17">
        <v>2</v>
      </c>
      <c r="K6743" s="17"/>
      <c r="L6743" s="7">
        <f>SUM(H6743:K6743)</f>
        <v>2</v>
      </c>
      <c r="M6743" s="8">
        <v>1</v>
      </c>
      <c r="N6743" s="8">
        <f>IF(L6743&gt;0,1,"")</f>
        <v>1</v>
      </c>
      <c r="O6743" s="11" t="s">
        <v>1702</v>
      </c>
      <c r="P6743" s="16" t="str">
        <f>IF(LEN(G6743)=10,CONCATENATE("0",G6743),G6743)</f>
        <v>18-Apr-1904</v>
      </c>
      <c r="R6743" s="16" t="str">
        <f t="shared" si="2903"/>
        <v>x</v>
      </c>
      <c r="S6743" s="16" t="str">
        <f t="shared" si="2903"/>
        <v>x</v>
      </c>
      <c r="U6743" s="46" t="str">
        <f t="shared" si="2897"/>
        <v/>
      </c>
      <c r="V6743" s="46">
        <f t="shared" si="2897"/>
        <v>2</v>
      </c>
      <c r="W6743" s="46" t="str">
        <f t="shared" si="2897"/>
        <v/>
      </c>
      <c r="X6743" s="46" t="str">
        <f t="shared" si="2897"/>
        <v/>
      </c>
    </row>
    <row r="6744" spans="2:24" x14ac:dyDescent="0.25">
      <c r="B6744" s="11" t="str">
        <f t="shared" si="2899"/>
        <v>WEST-22MAY1904</v>
      </c>
      <c r="C6744" s="11" t="s">
        <v>3331</v>
      </c>
      <c r="D6744" s="11" t="s">
        <v>2097</v>
      </c>
      <c r="E6744" s="39" t="s">
        <v>4670</v>
      </c>
      <c r="F6744" s="11" t="s">
        <v>3039</v>
      </c>
      <c r="G6744" s="39" t="s">
        <v>4671</v>
      </c>
      <c r="I6744" s="7">
        <v>0</v>
      </c>
      <c r="J6744" s="17">
        <v>1</v>
      </c>
      <c r="K6744" s="17"/>
      <c r="L6744" s="7">
        <f t="shared" si="2900"/>
        <v>1</v>
      </c>
      <c r="M6744" s="8">
        <v>1</v>
      </c>
      <c r="N6744" s="8">
        <f t="shared" si="2901"/>
        <v>1</v>
      </c>
      <c r="O6744" s="11" t="s">
        <v>1702</v>
      </c>
      <c r="P6744" s="16" t="str">
        <f t="shared" si="2902"/>
        <v>22-May-1904</v>
      </c>
      <c r="R6744" s="16" t="str">
        <f t="shared" si="2903"/>
        <v>x</v>
      </c>
      <c r="S6744" s="16" t="str">
        <f t="shared" si="2903"/>
        <v>x</v>
      </c>
      <c r="U6744" s="46" t="str">
        <f t="shared" si="2897"/>
        <v/>
      </c>
      <c r="V6744" s="46">
        <f t="shared" si="2897"/>
        <v>1</v>
      </c>
      <c r="W6744" s="46" t="str">
        <f t="shared" si="2897"/>
        <v/>
      </c>
      <c r="X6744" s="46" t="str">
        <f t="shared" si="2897"/>
        <v/>
      </c>
    </row>
    <row r="6745" spans="2:24" x14ac:dyDescent="0.25">
      <c r="B6745" s="11" t="str">
        <f>CONCATENATE("WEST","-",LEFT(P6745,2),UPPER(MID(P6745,4,3)),RIGHT(P6745,4))</f>
        <v>WEST-04SEP1904</v>
      </c>
      <c r="C6745" s="11" t="s">
        <v>3331</v>
      </c>
      <c r="D6745" s="11" t="s">
        <v>2097</v>
      </c>
      <c r="E6745" s="39" t="s">
        <v>5399</v>
      </c>
      <c r="F6745" s="11" t="s">
        <v>3039</v>
      </c>
      <c r="G6745" s="39" t="s">
        <v>5400</v>
      </c>
      <c r="I6745" s="7">
        <v>0</v>
      </c>
      <c r="J6745" s="17">
        <v>1</v>
      </c>
      <c r="K6745" s="17"/>
      <c r="L6745" s="7">
        <f>SUM(H6745:K6745)</f>
        <v>1</v>
      </c>
      <c r="M6745" s="8">
        <v>1</v>
      </c>
      <c r="N6745" s="8">
        <f>IF(L6745&gt;0,1,"")</f>
        <v>1</v>
      </c>
      <c r="O6745" s="11" t="s">
        <v>1702</v>
      </c>
      <c r="P6745" s="16" t="str">
        <f>IF(LEN(G6745)=10,CONCATENATE("0",G6745),G6745)</f>
        <v>04-Sep-1904</v>
      </c>
      <c r="R6745" s="16" t="str">
        <f t="shared" si="2903"/>
        <v>x</v>
      </c>
      <c r="S6745" s="16" t="str">
        <f t="shared" si="2903"/>
        <v>x</v>
      </c>
      <c r="U6745" s="46" t="str">
        <f t="shared" si="2897"/>
        <v/>
      </c>
      <c r="V6745" s="46">
        <f t="shared" si="2897"/>
        <v>1</v>
      </c>
      <c r="W6745" s="46" t="str">
        <f t="shared" si="2897"/>
        <v/>
      </c>
      <c r="X6745" s="46" t="str">
        <f t="shared" si="2897"/>
        <v/>
      </c>
    </row>
    <row r="6746" spans="2:24" x14ac:dyDescent="0.25">
      <c r="B6746" s="11" t="str">
        <f t="shared" si="2899"/>
        <v>WEST-31JUL1905</v>
      </c>
      <c r="C6746" s="11" t="s">
        <v>3331</v>
      </c>
      <c r="D6746" s="11" t="s">
        <v>2097</v>
      </c>
      <c r="E6746" s="39" t="s">
        <v>3332</v>
      </c>
      <c r="F6746" s="11" t="s">
        <v>3039</v>
      </c>
      <c r="G6746" s="39" t="s">
        <v>3333</v>
      </c>
      <c r="I6746" s="7">
        <v>0</v>
      </c>
      <c r="J6746" s="17">
        <v>14</v>
      </c>
      <c r="K6746" s="17"/>
      <c r="L6746" s="7">
        <f t="shared" si="2900"/>
        <v>14</v>
      </c>
      <c r="M6746" s="8">
        <v>1</v>
      </c>
      <c r="N6746" s="8">
        <f t="shared" si="2901"/>
        <v>1</v>
      </c>
      <c r="O6746" s="11" t="s">
        <v>1702</v>
      </c>
      <c r="P6746" s="16" t="str">
        <f t="shared" si="2902"/>
        <v>31-Jul-1905</v>
      </c>
      <c r="R6746" s="16" t="str">
        <f t="shared" ref="R6746:S6750" si="2904">IF($L6746&gt;0,"x","")</f>
        <v>x</v>
      </c>
      <c r="S6746" s="16" t="str">
        <f t="shared" si="2904"/>
        <v>x</v>
      </c>
      <c r="U6746" s="46" t="str">
        <f t="shared" si="2897"/>
        <v/>
      </c>
      <c r="V6746" s="46">
        <f t="shared" si="2897"/>
        <v>14</v>
      </c>
      <c r="W6746" s="46" t="str">
        <f t="shared" si="2897"/>
        <v/>
      </c>
      <c r="X6746" s="46" t="str">
        <f t="shared" si="2897"/>
        <v/>
      </c>
    </row>
    <row r="6747" spans="2:24" x14ac:dyDescent="0.25">
      <c r="B6747" s="11" t="str">
        <f>CONCATENATE("WEST","-",LEFT(P6747,2),UPPER(MID(P6747,4,3)),RIGHT(P6747,4))</f>
        <v>WEST-08OCT1905</v>
      </c>
      <c r="C6747" s="11" t="s">
        <v>3331</v>
      </c>
      <c r="D6747" s="11" t="s">
        <v>2097</v>
      </c>
      <c r="E6747" s="39" t="s">
        <v>5225</v>
      </c>
      <c r="F6747" s="11" t="s">
        <v>3039</v>
      </c>
      <c r="G6747" s="39" t="s">
        <v>783</v>
      </c>
      <c r="I6747" s="7">
        <v>0</v>
      </c>
      <c r="J6747" s="17">
        <v>12</v>
      </c>
      <c r="K6747" s="17"/>
      <c r="L6747" s="7">
        <f>SUM(H6747:K6747)</f>
        <v>12</v>
      </c>
      <c r="M6747" s="8">
        <v>1</v>
      </c>
      <c r="N6747" s="8">
        <f>IF(L6747&gt;0,1,"")</f>
        <v>1</v>
      </c>
      <c r="O6747" s="11" t="s">
        <v>1702</v>
      </c>
      <c r="P6747" s="16" t="str">
        <f>IF(LEN(G6747)=10,CONCATENATE("0",G6747),G6747)</f>
        <v>08-Oct-1905</v>
      </c>
      <c r="R6747" s="16" t="str">
        <f t="shared" si="2904"/>
        <v>x</v>
      </c>
      <c r="S6747" s="16" t="str">
        <f t="shared" si="2904"/>
        <v>x</v>
      </c>
      <c r="U6747" s="46" t="str">
        <f t="shared" si="2897"/>
        <v/>
      </c>
      <c r="V6747" s="46">
        <f t="shared" si="2897"/>
        <v>12</v>
      </c>
      <c r="W6747" s="46" t="str">
        <f t="shared" si="2897"/>
        <v/>
      </c>
      <c r="X6747" s="46" t="str">
        <f t="shared" si="2897"/>
        <v/>
      </c>
    </row>
    <row r="6748" spans="2:24" x14ac:dyDescent="0.25">
      <c r="B6748" s="11" t="str">
        <f t="shared" si="2899"/>
        <v>WEST-11JUN1906</v>
      </c>
      <c r="C6748" s="11" t="s">
        <v>3331</v>
      </c>
      <c r="D6748" s="11" t="s">
        <v>2097</v>
      </c>
      <c r="E6748" s="39" t="s">
        <v>5161</v>
      </c>
      <c r="F6748" s="11" t="s">
        <v>3039</v>
      </c>
      <c r="G6748" s="39" t="s">
        <v>5162</v>
      </c>
      <c r="I6748" s="7">
        <v>7</v>
      </c>
      <c r="J6748" s="17">
        <v>0</v>
      </c>
      <c r="K6748" s="17"/>
      <c r="L6748" s="7">
        <f t="shared" si="2900"/>
        <v>7</v>
      </c>
      <c r="M6748" s="8">
        <v>1</v>
      </c>
      <c r="N6748" s="8">
        <f t="shared" si="2901"/>
        <v>1</v>
      </c>
      <c r="O6748" s="11" t="s">
        <v>1702</v>
      </c>
      <c r="P6748" s="16" t="str">
        <f t="shared" si="2902"/>
        <v>11-Jun-1906</v>
      </c>
      <c r="R6748" s="16" t="str">
        <f t="shared" si="2904"/>
        <v>x</v>
      </c>
      <c r="S6748" s="16" t="str">
        <f t="shared" si="2904"/>
        <v>x</v>
      </c>
      <c r="U6748" s="46" t="str">
        <f t="shared" si="2897"/>
        <v/>
      </c>
      <c r="V6748" s="46">
        <f t="shared" si="2897"/>
        <v>7</v>
      </c>
      <c r="W6748" s="46" t="str">
        <f t="shared" si="2897"/>
        <v/>
      </c>
      <c r="X6748" s="46" t="str">
        <f t="shared" si="2897"/>
        <v/>
      </c>
    </row>
    <row r="6749" spans="2:24" x14ac:dyDescent="0.25">
      <c r="B6749" s="11" t="str">
        <f t="shared" si="2899"/>
        <v>WEST-24SEP1906</v>
      </c>
      <c r="C6749" s="11" t="s">
        <v>3331</v>
      </c>
      <c r="D6749" s="11" t="s">
        <v>2097</v>
      </c>
      <c r="E6749" s="39" t="s">
        <v>4356</v>
      </c>
      <c r="F6749" s="11" t="s">
        <v>3039</v>
      </c>
      <c r="G6749" s="39" t="s">
        <v>2647</v>
      </c>
      <c r="I6749" s="7">
        <v>0</v>
      </c>
      <c r="J6749" s="17">
        <v>2</v>
      </c>
      <c r="K6749" s="17"/>
      <c r="L6749" s="7">
        <f t="shared" si="2900"/>
        <v>2</v>
      </c>
      <c r="M6749" s="8">
        <v>1</v>
      </c>
      <c r="N6749" s="8">
        <f t="shared" si="2901"/>
        <v>1</v>
      </c>
      <c r="O6749" s="11" t="s">
        <v>1702</v>
      </c>
      <c r="P6749" s="16" t="str">
        <f t="shared" si="2902"/>
        <v>24-Sep-1906</v>
      </c>
      <c r="R6749" s="16" t="str">
        <f t="shared" si="2904"/>
        <v>x</v>
      </c>
      <c r="S6749" s="16" t="str">
        <f t="shared" si="2904"/>
        <v>x</v>
      </c>
      <c r="U6749" s="46" t="str">
        <f t="shared" si="2897"/>
        <v/>
      </c>
      <c r="V6749" s="46">
        <f t="shared" si="2897"/>
        <v>2</v>
      </c>
      <c r="W6749" s="46" t="str">
        <f t="shared" si="2897"/>
        <v/>
      </c>
      <c r="X6749" s="46" t="str">
        <f t="shared" si="2897"/>
        <v/>
      </c>
    </row>
    <row r="6750" spans="2:24" x14ac:dyDescent="0.25">
      <c r="B6750" s="11" t="str">
        <f t="shared" si="2899"/>
        <v>WEST-30MAR1907</v>
      </c>
      <c r="C6750" s="11" t="s">
        <v>3331</v>
      </c>
      <c r="D6750" s="11" t="s">
        <v>2097</v>
      </c>
      <c r="E6750" s="39" t="s">
        <v>1200</v>
      </c>
      <c r="F6750" s="11" t="s">
        <v>3039</v>
      </c>
      <c r="G6750" s="39" t="s">
        <v>1803</v>
      </c>
      <c r="I6750" s="7">
        <v>0</v>
      </c>
      <c r="J6750" s="17">
        <v>6</v>
      </c>
      <c r="K6750" s="17"/>
      <c r="L6750" s="7">
        <f t="shared" si="2900"/>
        <v>6</v>
      </c>
      <c r="M6750" s="8">
        <v>1</v>
      </c>
      <c r="N6750" s="8">
        <f t="shared" si="2901"/>
        <v>1</v>
      </c>
      <c r="O6750" s="11" t="s">
        <v>1702</v>
      </c>
      <c r="P6750" s="16" t="str">
        <f t="shared" si="2902"/>
        <v>30-Mar-1907</v>
      </c>
      <c r="R6750" s="16" t="str">
        <f t="shared" si="2904"/>
        <v>x</v>
      </c>
      <c r="S6750" s="16" t="str">
        <f t="shared" si="2904"/>
        <v>x</v>
      </c>
      <c r="U6750" s="46" t="str">
        <f t="shared" si="2897"/>
        <v/>
      </c>
      <c r="V6750" s="46">
        <f t="shared" si="2897"/>
        <v>6</v>
      </c>
      <c r="W6750" s="46" t="str">
        <f t="shared" si="2897"/>
        <v/>
      </c>
      <c r="X6750" s="46" t="str">
        <f t="shared" si="2897"/>
        <v/>
      </c>
    </row>
    <row r="6751" spans="2:24" x14ac:dyDescent="0.25">
      <c r="N6751" s="8" t="str">
        <f>IF(R6751="x",1,"")</f>
        <v/>
      </c>
      <c r="U6751" s="46" t="str">
        <f t="shared" si="2897"/>
        <v/>
      </c>
      <c r="V6751" s="46" t="str">
        <f t="shared" si="2897"/>
        <v/>
      </c>
      <c r="W6751" s="46" t="str">
        <f t="shared" si="2897"/>
        <v/>
      </c>
      <c r="X6751" s="46" t="str">
        <f t="shared" si="2897"/>
        <v/>
      </c>
    </row>
    <row r="6752" spans="2:24" x14ac:dyDescent="0.25">
      <c r="B6752" s="18"/>
      <c r="C6752" s="18"/>
      <c r="D6752" s="18"/>
      <c r="E6752" s="40"/>
      <c r="F6752" s="18"/>
      <c r="G6752" s="40"/>
      <c r="H6752" s="7">
        <f t="shared" ref="H6752:N6752" si="2905">SUM(H6740:H6751)</f>
        <v>0</v>
      </c>
      <c r="I6752" s="7">
        <f t="shared" si="2905"/>
        <v>7</v>
      </c>
      <c r="J6752" s="7">
        <f>SUM(J6740:J6751)</f>
        <v>63</v>
      </c>
      <c r="K6752" s="7">
        <f t="shared" si="2905"/>
        <v>0</v>
      </c>
      <c r="L6752" s="7">
        <f t="shared" si="2905"/>
        <v>70</v>
      </c>
      <c r="M6752" s="7">
        <f t="shared" si="2905"/>
        <v>11</v>
      </c>
      <c r="N6752" s="7">
        <f t="shared" si="2905"/>
        <v>11</v>
      </c>
      <c r="O6752" s="18"/>
      <c r="P6752" s="13"/>
      <c r="Q6752" s="13"/>
      <c r="S6752" s="13"/>
      <c r="T6752" s="15"/>
      <c r="U6752" s="46" t="str">
        <f t="shared" si="2897"/>
        <v/>
      </c>
      <c r="V6752" s="46" t="str">
        <f t="shared" si="2897"/>
        <v/>
      </c>
      <c r="W6752" s="46" t="str">
        <f t="shared" si="2897"/>
        <v/>
      </c>
      <c r="X6752" s="46" t="str">
        <f t="shared" si="2897"/>
        <v/>
      </c>
    </row>
    <row r="6753" spans="2:24" x14ac:dyDescent="0.25">
      <c r="B6753" s="18"/>
      <c r="C6753" s="18"/>
      <c r="D6753" s="18"/>
      <c r="E6753" s="40"/>
      <c r="F6753" s="18"/>
      <c r="G6753" s="40"/>
      <c r="N6753" s="8" t="str">
        <f>IF(R6753="x",1,"")</f>
        <v/>
      </c>
      <c r="O6753" s="18"/>
      <c r="P6753" s="13"/>
      <c r="Q6753" s="13"/>
      <c r="R6753" s="13"/>
      <c r="S6753" s="13"/>
      <c r="T6753" s="15"/>
      <c r="U6753" s="46" t="str">
        <f t="shared" si="2897"/>
        <v/>
      </c>
      <c r="V6753" s="46" t="str">
        <f t="shared" si="2897"/>
        <v/>
      </c>
      <c r="W6753" s="46" t="str">
        <f t="shared" si="2897"/>
        <v/>
      </c>
      <c r="X6753" s="46" t="str">
        <f t="shared" si="2897"/>
        <v/>
      </c>
    </row>
    <row r="6754" spans="2:24" x14ac:dyDescent="0.25">
      <c r="B6754" s="18"/>
      <c r="C6754" s="18"/>
      <c r="D6754" s="18"/>
      <c r="E6754" s="40"/>
      <c r="F6754" s="18"/>
      <c r="G6754" s="40"/>
      <c r="N6754" s="8" t="str">
        <f>IF(R6754="x",1,"")</f>
        <v/>
      </c>
      <c r="O6754" s="18"/>
      <c r="P6754" s="13"/>
      <c r="Q6754" s="13"/>
      <c r="R6754" s="13"/>
      <c r="S6754" s="13"/>
      <c r="T6754" s="15"/>
      <c r="U6754" s="46" t="str">
        <f t="shared" si="2897"/>
        <v/>
      </c>
      <c r="V6754" s="46" t="str">
        <f t="shared" si="2897"/>
        <v/>
      </c>
      <c r="W6754" s="46" t="str">
        <f t="shared" si="2897"/>
        <v/>
      </c>
      <c r="X6754" s="46" t="str">
        <f t="shared" si="2897"/>
        <v/>
      </c>
    </row>
    <row r="6755" spans="2:24" x14ac:dyDescent="0.25">
      <c r="B6755" s="11" t="str">
        <f>CONCATENATE("WIEL","-",LEFT(P6755,2),UPPER(MID(P6755,4,3)),RIGHT(P6755,4))</f>
        <v>WIEL-26SEP1890</v>
      </c>
      <c r="C6755" s="11" t="s">
        <v>138</v>
      </c>
      <c r="D6755" s="11" t="s">
        <v>1699</v>
      </c>
      <c r="F6755" s="11" t="s">
        <v>1700</v>
      </c>
      <c r="G6755" s="39" t="s">
        <v>5942</v>
      </c>
      <c r="H6755" s="7">
        <v>1</v>
      </c>
      <c r="J6755" s="17">
        <v>2</v>
      </c>
      <c r="K6755" s="17"/>
      <c r="L6755" s="7">
        <f>SUM(H6755:K6755)</f>
        <v>3</v>
      </c>
      <c r="M6755" s="8">
        <v>1</v>
      </c>
      <c r="N6755" s="8">
        <f>IF(L6755&gt;0,1,"")</f>
        <v>1</v>
      </c>
      <c r="O6755" s="11" t="s">
        <v>1702</v>
      </c>
      <c r="P6755" s="16" t="str">
        <f>IF(LEN(G6755)=10,CONCATENATE("0",G6755),G6755)</f>
        <v>26-Sep-1890</v>
      </c>
      <c r="R6755" s="16" t="str">
        <f t="shared" ref="R6755:S6757" si="2906">IF($L6755&gt;0,"x","")</f>
        <v>x</v>
      </c>
      <c r="S6755" s="16" t="str">
        <f t="shared" si="2906"/>
        <v>x</v>
      </c>
      <c r="T6755" s="11"/>
      <c r="U6755" s="46" t="str">
        <f t="shared" si="2897"/>
        <v/>
      </c>
      <c r="V6755" s="46">
        <f t="shared" si="2897"/>
        <v>3</v>
      </c>
      <c r="W6755" s="46" t="str">
        <f t="shared" si="2897"/>
        <v/>
      </c>
      <c r="X6755" s="46" t="str">
        <f t="shared" si="2897"/>
        <v/>
      </c>
    </row>
    <row r="6756" spans="2:24" x14ac:dyDescent="0.25">
      <c r="B6756" s="11" t="str">
        <f>CONCATENATE("WIEL","-",LEFT(P6756,2),UPPER(MID(P6756,4,3)),RIGHT(P6756,4))</f>
        <v>WIEL-05JUN1891</v>
      </c>
      <c r="C6756" s="11" t="s">
        <v>138</v>
      </c>
      <c r="D6756" s="11" t="s">
        <v>1699</v>
      </c>
      <c r="F6756" s="11" t="s">
        <v>1700</v>
      </c>
      <c r="G6756" s="39" t="s">
        <v>4979</v>
      </c>
      <c r="H6756" s="7">
        <v>0</v>
      </c>
      <c r="I6756" s="7">
        <v>0</v>
      </c>
      <c r="J6756" s="17">
        <v>64</v>
      </c>
      <c r="K6756" s="17"/>
      <c r="L6756" s="7">
        <f>SUM(H6756:K6756)</f>
        <v>64</v>
      </c>
      <c r="M6756" s="8">
        <v>1</v>
      </c>
      <c r="N6756" s="8">
        <f>IF(L6756&gt;0,1,"")</f>
        <v>1</v>
      </c>
      <c r="O6756" s="11" t="s">
        <v>1702</v>
      </c>
      <c r="P6756" s="16" t="str">
        <f>IF(LEN(G6756)=10,CONCATENATE("0",G6756),G6756)</f>
        <v>05-Jun-1891</v>
      </c>
      <c r="R6756" s="16" t="str">
        <f t="shared" si="2906"/>
        <v>x</v>
      </c>
      <c r="S6756" s="16" t="str">
        <f t="shared" si="2906"/>
        <v>x</v>
      </c>
      <c r="U6756" s="46" t="str">
        <f t="shared" si="2897"/>
        <v/>
      </c>
      <c r="V6756" s="46">
        <f t="shared" si="2897"/>
        <v>64</v>
      </c>
      <c r="W6756" s="46" t="str">
        <f t="shared" si="2897"/>
        <v/>
      </c>
      <c r="X6756" s="46" t="str">
        <f t="shared" si="2897"/>
        <v/>
      </c>
    </row>
    <row r="6757" spans="2:24" x14ac:dyDescent="0.25">
      <c r="B6757" s="11" t="str">
        <f>CONCATENATE("WIEL","-",LEFT(P6757,2),UPPER(MID(P6757,4,3)),RIGHT(P6757,4))</f>
        <v>WIEL-26AUG1893</v>
      </c>
      <c r="C6757" s="11" t="s">
        <v>138</v>
      </c>
      <c r="D6757" s="11" t="s">
        <v>3585</v>
      </c>
      <c r="F6757" s="11" t="s">
        <v>1700</v>
      </c>
      <c r="G6757" s="39" t="s">
        <v>6217</v>
      </c>
      <c r="H6757" s="7">
        <v>0</v>
      </c>
      <c r="J6757" s="17">
        <v>28</v>
      </c>
      <c r="K6757" s="17"/>
      <c r="L6757" s="7">
        <f>SUM(H6757:K6757)</f>
        <v>28</v>
      </c>
      <c r="M6757" s="8">
        <v>1</v>
      </c>
      <c r="N6757" s="8">
        <f>IF(L6757&gt;0,1,"")</f>
        <v>1</v>
      </c>
      <c r="O6757" s="11" t="s">
        <v>1702</v>
      </c>
      <c r="P6757" s="16" t="str">
        <f>IF(LEN(G6757)=10,CONCATENATE("0",G6757),G6757)</f>
        <v>26-Aug-1893</v>
      </c>
      <c r="R6757" s="16" t="str">
        <f t="shared" si="2906"/>
        <v>x</v>
      </c>
      <c r="S6757" s="16" t="str">
        <f t="shared" si="2906"/>
        <v>x</v>
      </c>
      <c r="U6757" s="46" t="str">
        <f t="shared" si="2897"/>
        <v/>
      </c>
      <c r="V6757" s="46">
        <f t="shared" si="2897"/>
        <v>28</v>
      </c>
      <c r="W6757" s="46" t="str">
        <f t="shared" si="2897"/>
        <v/>
      </c>
      <c r="X6757" s="46" t="str">
        <f t="shared" si="2897"/>
        <v/>
      </c>
    </row>
    <row r="6758" spans="2:24" x14ac:dyDescent="0.25">
      <c r="N6758" s="8" t="str">
        <f>IF(R6758="x",1,"")</f>
        <v/>
      </c>
      <c r="U6758" s="46" t="str">
        <f t="shared" si="2897"/>
        <v/>
      </c>
      <c r="V6758" s="46" t="str">
        <f t="shared" si="2897"/>
        <v/>
      </c>
      <c r="W6758" s="46" t="str">
        <f t="shared" si="2897"/>
        <v/>
      </c>
      <c r="X6758" s="46" t="str">
        <f t="shared" si="2897"/>
        <v/>
      </c>
    </row>
    <row r="6759" spans="2:24" x14ac:dyDescent="0.25">
      <c r="B6759" s="18"/>
      <c r="C6759" s="18"/>
      <c r="D6759" s="18"/>
      <c r="E6759" s="40"/>
      <c r="F6759" s="18"/>
      <c r="G6759" s="40"/>
      <c r="H6759" s="7">
        <f t="shared" ref="H6759:N6759" si="2907">SUM(H6755:H6758)</f>
        <v>1</v>
      </c>
      <c r="I6759" s="7">
        <f t="shared" si="2907"/>
        <v>0</v>
      </c>
      <c r="J6759" s="7">
        <f>SUM(J6755:J6758)</f>
        <v>94</v>
      </c>
      <c r="K6759" s="7">
        <f t="shared" si="2907"/>
        <v>0</v>
      </c>
      <c r="L6759" s="7">
        <f t="shared" si="2907"/>
        <v>95</v>
      </c>
      <c r="M6759" s="7">
        <f t="shared" si="2907"/>
        <v>3</v>
      </c>
      <c r="N6759" s="7">
        <f t="shared" si="2907"/>
        <v>3</v>
      </c>
      <c r="O6759" s="18"/>
      <c r="P6759" s="13"/>
      <c r="Q6759" s="13"/>
      <c r="S6759" s="13"/>
      <c r="T6759" s="15"/>
      <c r="U6759" s="46" t="str">
        <f t="shared" si="2897"/>
        <v/>
      </c>
      <c r="V6759" s="46" t="str">
        <f t="shared" si="2897"/>
        <v/>
      </c>
      <c r="W6759" s="46" t="str">
        <f t="shared" si="2897"/>
        <v/>
      </c>
      <c r="X6759" s="46" t="str">
        <f t="shared" si="2897"/>
        <v/>
      </c>
    </row>
    <row r="6760" spans="2:24" x14ac:dyDescent="0.25">
      <c r="B6760" s="18"/>
      <c r="C6760" s="18"/>
      <c r="D6760" s="18"/>
      <c r="E6760" s="40"/>
      <c r="F6760" s="18"/>
      <c r="G6760" s="40"/>
      <c r="N6760" s="8" t="str">
        <f>IF(R6760="x",1,"")</f>
        <v/>
      </c>
      <c r="O6760" s="18"/>
      <c r="P6760" s="13"/>
      <c r="Q6760" s="13"/>
      <c r="R6760" s="13"/>
      <c r="S6760" s="13"/>
      <c r="T6760" s="15"/>
      <c r="U6760" s="46" t="str">
        <f t="shared" si="2897"/>
        <v/>
      </c>
      <c r="V6760" s="46" t="str">
        <f t="shared" si="2897"/>
        <v/>
      </c>
      <c r="W6760" s="46" t="str">
        <f t="shared" si="2897"/>
        <v/>
      </c>
      <c r="X6760" s="46" t="str">
        <f t="shared" si="2897"/>
        <v/>
      </c>
    </row>
    <row r="6761" spans="2:24" x14ac:dyDescent="0.25">
      <c r="B6761" s="18"/>
      <c r="C6761" s="18"/>
      <c r="D6761" s="18"/>
      <c r="E6761" s="40"/>
      <c r="F6761" s="18"/>
      <c r="G6761" s="40"/>
      <c r="N6761" s="8" t="str">
        <f>IF(R6761="x",1,"")</f>
        <v/>
      </c>
      <c r="O6761" s="18"/>
      <c r="P6761" s="13"/>
      <c r="Q6761" s="13"/>
      <c r="R6761" s="13"/>
      <c r="S6761" s="13"/>
      <c r="T6761" s="15"/>
      <c r="U6761" s="46" t="str">
        <f t="shared" si="2897"/>
        <v/>
      </c>
      <c r="V6761" s="46" t="str">
        <f t="shared" si="2897"/>
        <v/>
      </c>
      <c r="W6761" s="46" t="str">
        <f t="shared" si="2897"/>
        <v/>
      </c>
      <c r="X6761" s="46" t="str">
        <f t="shared" si="2897"/>
        <v/>
      </c>
    </row>
    <row r="6762" spans="2:24" x14ac:dyDescent="0.25">
      <c r="B6762" s="11" t="str">
        <f>CONCATENATE("WINI","-",LEFT(P6762,2),UPPER(MID(P6762,4,3)),RIGHT(P6762,4))</f>
        <v>WINI-13JAN1904</v>
      </c>
      <c r="C6762" s="11" t="s">
        <v>4522</v>
      </c>
      <c r="D6762" s="11" t="s">
        <v>2097</v>
      </c>
      <c r="E6762" s="39" t="s">
        <v>1403</v>
      </c>
      <c r="F6762" s="11" t="s">
        <v>1700</v>
      </c>
      <c r="G6762" s="39" t="s">
        <v>3508</v>
      </c>
      <c r="H6762" s="7">
        <v>1</v>
      </c>
      <c r="J6762" s="17"/>
      <c r="K6762" s="17"/>
      <c r="L6762" s="7">
        <f>SUM(H6762:K6762)</f>
        <v>1</v>
      </c>
      <c r="M6762" s="8">
        <v>1</v>
      </c>
      <c r="N6762" s="8">
        <f>IF(L6762&gt;0,1,"")</f>
        <v>1</v>
      </c>
      <c r="O6762" s="11" t="s">
        <v>1702</v>
      </c>
      <c r="P6762" s="16" t="str">
        <f>IF(LEN(G6762)=10,CONCATENATE("0",G6762),G6762)</f>
        <v>13-Jan-1904</v>
      </c>
      <c r="R6762" s="16" t="str">
        <f>IF($L6762&gt;0,"x","")</f>
        <v>x</v>
      </c>
      <c r="S6762" s="16" t="str">
        <f>IF($L6762&gt;0,"x","")</f>
        <v>x</v>
      </c>
      <c r="U6762" s="46" t="str">
        <f t="shared" si="2897"/>
        <v/>
      </c>
      <c r="V6762" s="46">
        <f t="shared" si="2897"/>
        <v>1</v>
      </c>
      <c r="W6762" s="46" t="str">
        <f t="shared" si="2897"/>
        <v/>
      </c>
      <c r="X6762" s="46" t="str">
        <f t="shared" si="2897"/>
        <v/>
      </c>
    </row>
    <row r="6763" spans="2:24" x14ac:dyDescent="0.25">
      <c r="N6763" s="8" t="str">
        <f>IF(R6763="x",1,"")</f>
        <v/>
      </c>
      <c r="U6763" s="46" t="str">
        <f t="shared" si="2897"/>
        <v/>
      </c>
      <c r="V6763" s="46" t="str">
        <f t="shared" si="2897"/>
        <v/>
      </c>
      <c r="W6763" s="46" t="str">
        <f t="shared" si="2897"/>
        <v/>
      </c>
      <c r="X6763" s="46" t="str">
        <f t="shared" si="2897"/>
        <v/>
      </c>
    </row>
    <row r="6764" spans="2:24" x14ac:dyDescent="0.25">
      <c r="B6764" s="18"/>
      <c r="C6764" s="18"/>
      <c r="D6764" s="18"/>
      <c r="E6764" s="40"/>
      <c r="F6764" s="18"/>
      <c r="G6764" s="40"/>
      <c r="H6764" s="7">
        <f t="shared" ref="H6764:N6764" si="2908">SUM(H6762:H6763)</f>
        <v>1</v>
      </c>
      <c r="I6764" s="7">
        <f t="shared" si="2908"/>
        <v>0</v>
      </c>
      <c r="J6764" s="7">
        <f>SUM(J6762:J6763)</f>
        <v>0</v>
      </c>
      <c r="K6764" s="7">
        <f t="shared" si="2908"/>
        <v>0</v>
      </c>
      <c r="L6764" s="7">
        <f t="shared" si="2908"/>
        <v>1</v>
      </c>
      <c r="M6764" s="7">
        <f t="shared" si="2908"/>
        <v>1</v>
      </c>
      <c r="N6764" s="7">
        <f t="shared" si="2908"/>
        <v>1</v>
      </c>
      <c r="O6764" s="18"/>
      <c r="P6764" s="13"/>
      <c r="Q6764" s="13"/>
      <c r="S6764" s="13"/>
      <c r="T6764" s="15"/>
      <c r="U6764" s="46" t="str">
        <f t="shared" si="2897"/>
        <v/>
      </c>
      <c r="V6764" s="46" t="str">
        <f t="shared" si="2897"/>
        <v/>
      </c>
      <c r="W6764" s="46" t="str">
        <f t="shared" si="2897"/>
        <v/>
      </c>
      <c r="X6764" s="46" t="str">
        <f t="shared" si="2897"/>
        <v/>
      </c>
    </row>
    <row r="6765" spans="2:24" x14ac:dyDescent="0.25">
      <c r="B6765" s="18"/>
      <c r="C6765" s="18"/>
      <c r="D6765" s="18"/>
      <c r="E6765" s="40"/>
      <c r="F6765" s="18"/>
      <c r="G6765" s="40"/>
      <c r="N6765" s="8" t="str">
        <f>IF(R6765="x",1,"")</f>
        <v/>
      </c>
      <c r="O6765" s="18"/>
      <c r="P6765" s="13"/>
      <c r="Q6765" s="13"/>
      <c r="R6765" s="13"/>
      <c r="S6765" s="13"/>
      <c r="T6765" s="15"/>
      <c r="U6765" s="46" t="str">
        <f t="shared" si="2897"/>
        <v/>
      </c>
      <c r="V6765" s="46" t="str">
        <f t="shared" si="2897"/>
        <v/>
      </c>
      <c r="W6765" s="46" t="str">
        <f t="shared" si="2897"/>
        <v/>
      </c>
      <c r="X6765" s="46" t="str">
        <f t="shared" si="2897"/>
        <v/>
      </c>
    </row>
    <row r="6766" spans="2:24" x14ac:dyDescent="0.25">
      <c r="B6766" s="18"/>
      <c r="C6766" s="18"/>
      <c r="D6766" s="18"/>
      <c r="E6766" s="40"/>
      <c r="F6766" s="18"/>
      <c r="G6766" s="40"/>
      <c r="N6766" s="8" t="str">
        <f>IF(R6766="x",1,"")</f>
        <v/>
      </c>
      <c r="O6766" s="18"/>
      <c r="P6766" s="13"/>
      <c r="Q6766" s="13"/>
      <c r="R6766" s="13"/>
      <c r="S6766" s="13"/>
      <c r="T6766" s="15"/>
      <c r="U6766" s="46" t="str">
        <f t="shared" si="2897"/>
        <v/>
      </c>
      <c r="V6766" s="46" t="str">
        <f t="shared" si="2897"/>
        <v/>
      </c>
      <c r="W6766" s="46" t="str">
        <f t="shared" si="2897"/>
        <v/>
      </c>
      <c r="X6766" s="46" t="str">
        <f t="shared" si="2897"/>
        <v/>
      </c>
    </row>
    <row r="6767" spans="2:24" x14ac:dyDescent="0.25">
      <c r="B6767" s="11" t="str">
        <f>CONCATENATE("WITT","-",LEFT(P6767,2),UPPER(MID(P6767,4,3)),RIGHT(P6767,4))</f>
        <v>WITT-03MAY1911</v>
      </c>
      <c r="C6767" s="11" t="s">
        <v>4812</v>
      </c>
      <c r="D6767" s="11" t="s">
        <v>3359</v>
      </c>
      <c r="E6767" s="39" t="s">
        <v>4813</v>
      </c>
      <c r="F6767" s="11" t="s">
        <v>4064</v>
      </c>
      <c r="G6767" s="39" t="s">
        <v>4814</v>
      </c>
      <c r="I6767" s="7">
        <v>0</v>
      </c>
      <c r="J6767" s="17">
        <v>1</v>
      </c>
      <c r="K6767" s="17"/>
      <c r="L6767" s="7">
        <f>SUM(H6767:K6767)</f>
        <v>1</v>
      </c>
      <c r="M6767" s="8">
        <v>1</v>
      </c>
      <c r="N6767" s="8">
        <f>IF(L6767&gt;0,1,"")</f>
        <v>1</v>
      </c>
      <c r="O6767" s="11" t="s">
        <v>1702</v>
      </c>
      <c r="P6767" s="16" t="str">
        <f>IF(LEN(G6767)=10,CONCATENATE("0",G6767),G6767)</f>
        <v>03-May-1911</v>
      </c>
      <c r="R6767" s="16" t="str">
        <f>IF($L6767&gt;0,"x","")</f>
        <v>x</v>
      </c>
      <c r="S6767" s="16" t="str">
        <f>IF($L6767&gt;0,"x","")</f>
        <v>x</v>
      </c>
      <c r="U6767" s="46" t="str">
        <f t="shared" si="2897"/>
        <v/>
      </c>
      <c r="V6767" s="46">
        <f t="shared" si="2897"/>
        <v>1</v>
      </c>
      <c r="W6767" s="46" t="str">
        <f t="shared" si="2897"/>
        <v/>
      </c>
      <c r="X6767" s="46" t="str">
        <f t="shared" si="2897"/>
        <v/>
      </c>
    </row>
    <row r="6768" spans="2:24" x14ac:dyDescent="0.25">
      <c r="N6768" s="8" t="str">
        <f>IF(R6768="x",1,"")</f>
        <v/>
      </c>
      <c r="U6768" s="46" t="str">
        <f t="shared" si="2897"/>
        <v/>
      </c>
      <c r="V6768" s="46" t="str">
        <f t="shared" si="2897"/>
        <v/>
      </c>
      <c r="W6768" s="46" t="str">
        <f t="shared" si="2897"/>
        <v/>
      </c>
      <c r="X6768" s="46" t="str">
        <f t="shared" si="2897"/>
        <v/>
      </c>
    </row>
    <row r="6769" spans="2:24" x14ac:dyDescent="0.25">
      <c r="B6769" s="18"/>
      <c r="C6769" s="18"/>
      <c r="D6769" s="18"/>
      <c r="E6769" s="40"/>
      <c r="F6769" s="18"/>
      <c r="G6769" s="40"/>
      <c r="H6769" s="7">
        <f t="shared" ref="H6769:N6769" si="2909">SUM(H6767:H6768)</f>
        <v>0</v>
      </c>
      <c r="I6769" s="7">
        <f t="shared" si="2909"/>
        <v>0</v>
      </c>
      <c r="J6769" s="7">
        <f>SUM(J6767:J6768)</f>
        <v>1</v>
      </c>
      <c r="K6769" s="7">
        <f t="shared" si="2909"/>
        <v>0</v>
      </c>
      <c r="L6769" s="7">
        <f t="shared" si="2909"/>
        <v>1</v>
      </c>
      <c r="M6769" s="7">
        <f t="shared" si="2909"/>
        <v>1</v>
      </c>
      <c r="N6769" s="7">
        <f t="shared" si="2909"/>
        <v>1</v>
      </c>
      <c r="O6769" s="18"/>
      <c r="P6769" s="13"/>
      <c r="Q6769" s="13"/>
      <c r="S6769" s="13"/>
      <c r="T6769" s="15"/>
      <c r="U6769" s="46" t="str">
        <f t="shared" si="2897"/>
        <v/>
      </c>
      <c r="V6769" s="46" t="str">
        <f t="shared" si="2897"/>
        <v/>
      </c>
      <c r="W6769" s="46" t="str">
        <f t="shared" si="2897"/>
        <v/>
      </c>
      <c r="X6769" s="46" t="str">
        <f t="shared" si="2897"/>
        <v/>
      </c>
    </row>
    <row r="6770" spans="2:24" x14ac:dyDescent="0.25">
      <c r="B6770" s="18"/>
      <c r="C6770" s="18"/>
      <c r="D6770" s="18"/>
      <c r="E6770" s="40"/>
      <c r="F6770" s="18"/>
      <c r="G6770" s="40"/>
      <c r="N6770" s="8" t="str">
        <f>IF(R6770="x",1,"")</f>
        <v/>
      </c>
      <c r="O6770" s="18"/>
      <c r="P6770" s="13"/>
      <c r="Q6770" s="13"/>
      <c r="R6770" s="13"/>
      <c r="S6770" s="13"/>
      <c r="T6770" s="15"/>
      <c r="U6770" s="46" t="str">
        <f t="shared" si="2897"/>
        <v/>
      </c>
      <c r="V6770" s="46" t="str">
        <f t="shared" si="2897"/>
        <v/>
      </c>
      <c r="W6770" s="46" t="str">
        <f t="shared" si="2897"/>
        <v/>
      </c>
      <c r="X6770" s="46" t="str">
        <f t="shared" si="2897"/>
        <v/>
      </c>
    </row>
    <row r="6771" spans="2:24" x14ac:dyDescent="0.25">
      <c r="B6771" s="18"/>
      <c r="C6771" s="18"/>
      <c r="D6771" s="18"/>
      <c r="E6771" s="40"/>
      <c r="F6771" s="18"/>
      <c r="G6771" s="40"/>
      <c r="N6771" s="8" t="str">
        <f>IF(R6771="x",1,"")</f>
        <v/>
      </c>
      <c r="O6771" s="18"/>
      <c r="P6771" s="13"/>
      <c r="Q6771" s="13"/>
      <c r="R6771" s="13"/>
      <c r="S6771" s="13"/>
      <c r="T6771" s="15"/>
      <c r="U6771" s="46" t="str">
        <f t="shared" si="2897"/>
        <v/>
      </c>
      <c r="V6771" s="46" t="str">
        <f t="shared" si="2897"/>
        <v/>
      </c>
      <c r="W6771" s="46" t="str">
        <f t="shared" si="2897"/>
        <v/>
      </c>
      <c r="X6771" s="46" t="str">
        <f t="shared" si="2897"/>
        <v/>
      </c>
    </row>
    <row r="6772" spans="2:24" x14ac:dyDescent="0.25">
      <c r="B6772" s="11" t="str">
        <f t="shared" ref="B6772:B6778" si="2910">CONCATENATE("ZEEL","-",LEFT(P6772,2),UPPER(MID(P6772,4,3)),RIGHT(P6772,4))</f>
        <v>ZEEL-29AUG1920</v>
      </c>
      <c r="C6772" s="11" t="s">
        <v>1608</v>
      </c>
      <c r="D6772" s="11" t="s">
        <v>2814</v>
      </c>
      <c r="E6772" s="39" t="s">
        <v>2571</v>
      </c>
      <c r="F6772" s="11" t="s">
        <v>1700</v>
      </c>
      <c r="G6772" s="39" t="s">
        <v>4512</v>
      </c>
      <c r="H6772" s="7">
        <v>0</v>
      </c>
      <c r="I6772" s="7">
        <v>0</v>
      </c>
      <c r="J6772" s="17">
        <v>15</v>
      </c>
      <c r="K6772" s="17"/>
      <c r="L6772" s="7">
        <f t="shared" ref="L6772:L6778" si="2911">SUM(H6772:K6772)</f>
        <v>15</v>
      </c>
      <c r="M6772" s="8">
        <v>1</v>
      </c>
      <c r="N6772" s="8">
        <f t="shared" ref="N6772:N6778" si="2912">IF(L6772&gt;0,1,"")</f>
        <v>1</v>
      </c>
      <c r="O6772" s="11" t="s">
        <v>1702</v>
      </c>
      <c r="P6772" s="16" t="str">
        <f t="shared" ref="P6772:P6778" si="2913">IF(LEN(G6772)=10,CONCATENATE("0",G6772),G6772)</f>
        <v>29-Aug-1920</v>
      </c>
      <c r="R6772" s="16" t="str">
        <f t="shared" ref="R6772:S6776" si="2914">IF($L6772&gt;0,"x","")</f>
        <v>x</v>
      </c>
      <c r="S6772" s="16" t="str">
        <f t="shared" si="2914"/>
        <v>x</v>
      </c>
      <c r="U6772" s="46" t="str">
        <f t="shared" si="2897"/>
        <v/>
      </c>
      <c r="V6772" s="46">
        <f t="shared" si="2897"/>
        <v>15</v>
      </c>
      <c r="W6772" s="46" t="str">
        <f t="shared" si="2897"/>
        <v/>
      </c>
      <c r="X6772" s="46" t="str">
        <f t="shared" si="2897"/>
        <v/>
      </c>
    </row>
    <row r="6773" spans="2:24" x14ac:dyDescent="0.25">
      <c r="B6773" s="11" t="str">
        <f t="shared" si="2910"/>
        <v>ZEEL-13DEC1920</v>
      </c>
      <c r="C6773" s="11" t="s">
        <v>1608</v>
      </c>
      <c r="D6773" s="11" t="s">
        <v>2224</v>
      </c>
      <c r="E6773" s="39" t="s">
        <v>1609</v>
      </c>
      <c r="F6773" s="11" t="s">
        <v>1700</v>
      </c>
      <c r="G6773" s="39" t="s">
        <v>1610</v>
      </c>
      <c r="J6773" s="17">
        <v>42</v>
      </c>
      <c r="K6773" s="17"/>
      <c r="L6773" s="7">
        <f t="shared" si="2911"/>
        <v>42</v>
      </c>
      <c r="M6773" s="8">
        <v>1</v>
      </c>
      <c r="N6773" s="8">
        <f t="shared" si="2912"/>
        <v>1</v>
      </c>
      <c r="O6773" s="11" t="s">
        <v>1702</v>
      </c>
      <c r="P6773" s="16" t="str">
        <f t="shared" si="2913"/>
        <v>13-Dec-1920</v>
      </c>
      <c r="R6773" s="16" t="str">
        <f t="shared" si="2914"/>
        <v>x</v>
      </c>
      <c r="S6773" s="16" t="str">
        <f t="shared" si="2914"/>
        <v>x</v>
      </c>
      <c r="U6773" s="46" t="str">
        <f t="shared" si="2897"/>
        <v/>
      </c>
      <c r="V6773" s="46">
        <f t="shared" si="2897"/>
        <v>42</v>
      </c>
      <c r="W6773" s="46" t="str">
        <f t="shared" si="2897"/>
        <v/>
      </c>
      <c r="X6773" s="46" t="str">
        <f t="shared" si="2897"/>
        <v/>
      </c>
    </row>
    <row r="6774" spans="2:24" x14ac:dyDescent="0.25">
      <c r="B6774" s="11" t="str">
        <f t="shared" si="2910"/>
        <v>ZEEL-20JAN1921</v>
      </c>
      <c r="C6774" s="11" t="s">
        <v>1608</v>
      </c>
      <c r="D6774" s="11" t="s">
        <v>2224</v>
      </c>
      <c r="E6774" s="39" t="s">
        <v>1611</v>
      </c>
      <c r="F6774" s="11" t="s">
        <v>1700</v>
      </c>
      <c r="G6774" s="39" t="s">
        <v>1612</v>
      </c>
      <c r="J6774" s="17">
        <v>31</v>
      </c>
      <c r="K6774" s="17"/>
      <c r="L6774" s="7">
        <f t="shared" si="2911"/>
        <v>31</v>
      </c>
      <c r="M6774" s="8">
        <v>1</v>
      </c>
      <c r="N6774" s="8">
        <f t="shared" si="2912"/>
        <v>1</v>
      </c>
      <c r="O6774" s="11" t="s">
        <v>1702</v>
      </c>
      <c r="P6774" s="16" t="str">
        <f t="shared" si="2913"/>
        <v>20-Jan-1921</v>
      </c>
      <c r="R6774" s="16" t="str">
        <f t="shared" si="2914"/>
        <v>x</v>
      </c>
      <c r="S6774" s="16" t="str">
        <f t="shared" si="2914"/>
        <v>x</v>
      </c>
      <c r="U6774" s="46" t="str">
        <f t="shared" si="2897"/>
        <v/>
      </c>
      <c r="V6774" s="46">
        <f t="shared" si="2897"/>
        <v>31</v>
      </c>
      <c r="W6774" s="46" t="str">
        <f t="shared" si="2897"/>
        <v/>
      </c>
      <c r="X6774" s="46" t="str">
        <f t="shared" si="2897"/>
        <v/>
      </c>
    </row>
    <row r="6775" spans="2:24" x14ac:dyDescent="0.25">
      <c r="B6775" s="11" t="str">
        <f t="shared" si="2910"/>
        <v>ZEEL-21NOV1924</v>
      </c>
      <c r="C6775" s="11" t="s">
        <v>1608</v>
      </c>
      <c r="D6775" s="11" t="s">
        <v>2224</v>
      </c>
      <c r="E6775" s="39" t="s">
        <v>2899</v>
      </c>
      <c r="F6775" s="11" t="s">
        <v>2904</v>
      </c>
      <c r="G6775" s="39" t="s">
        <v>5721</v>
      </c>
      <c r="J6775" s="17">
        <v>4</v>
      </c>
      <c r="K6775" s="17"/>
      <c r="L6775" s="7">
        <f t="shared" si="2911"/>
        <v>4</v>
      </c>
      <c r="M6775" s="8">
        <v>1</v>
      </c>
      <c r="N6775" s="8">
        <f t="shared" si="2912"/>
        <v>1</v>
      </c>
      <c r="O6775" s="11" t="s">
        <v>1702</v>
      </c>
      <c r="P6775" s="16" t="str">
        <f t="shared" si="2913"/>
        <v>21-Nov-1924</v>
      </c>
      <c r="R6775" s="16" t="str">
        <f t="shared" si="2914"/>
        <v>x</v>
      </c>
      <c r="S6775" s="16" t="str">
        <f t="shared" si="2914"/>
        <v>x</v>
      </c>
      <c r="T6775" s="11"/>
      <c r="U6775" s="46" t="str">
        <f t="shared" si="2897"/>
        <v/>
      </c>
      <c r="V6775" s="46">
        <f t="shared" si="2897"/>
        <v>4</v>
      </c>
      <c r="W6775" s="46" t="str">
        <f t="shared" si="2897"/>
        <v/>
      </c>
      <c r="X6775" s="46" t="str">
        <f t="shared" si="2897"/>
        <v/>
      </c>
    </row>
    <row r="6776" spans="2:24" x14ac:dyDescent="0.25">
      <c r="B6776" s="11" t="str">
        <f t="shared" si="2910"/>
        <v>ZEEL-23NOV1924</v>
      </c>
      <c r="C6776" s="11" t="s">
        <v>1608</v>
      </c>
      <c r="D6776" s="11" t="s">
        <v>2224</v>
      </c>
      <c r="E6776" s="39" t="s">
        <v>2899</v>
      </c>
      <c r="F6776" s="11" t="s">
        <v>1700</v>
      </c>
      <c r="G6776" s="39" t="s">
        <v>5931</v>
      </c>
      <c r="I6776" s="7">
        <v>0</v>
      </c>
      <c r="J6776" s="17">
        <v>0</v>
      </c>
      <c r="K6776" s="17"/>
      <c r="L6776" s="7">
        <f t="shared" si="2911"/>
        <v>0</v>
      </c>
      <c r="M6776" s="8">
        <v>1</v>
      </c>
      <c r="N6776" s="8" t="str">
        <f t="shared" si="2912"/>
        <v/>
      </c>
      <c r="O6776" s="11" t="s">
        <v>1702</v>
      </c>
      <c r="P6776" s="16" t="str">
        <f t="shared" si="2913"/>
        <v>23-Nov-1924</v>
      </c>
      <c r="R6776" s="16" t="str">
        <f t="shared" si="2914"/>
        <v/>
      </c>
      <c r="S6776" s="16" t="str">
        <f t="shared" si="2914"/>
        <v/>
      </c>
      <c r="T6776" s="11"/>
      <c r="U6776" s="46" t="str">
        <f t="shared" si="2897"/>
        <v/>
      </c>
      <c r="V6776" s="46">
        <f t="shared" si="2897"/>
        <v>0</v>
      </c>
      <c r="W6776" s="46" t="str">
        <f t="shared" si="2897"/>
        <v/>
      </c>
      <c r="X6776" s="46" t="str">
        <f t="shared" si="2897"/>
        <v/>
      </c>
    </row>
    <row r="6777" spans="2:24" x14ac:dyDescent="0.25">
      <c r="B6777" s="11" t="str">
        <f t="shared" si="2910"/>
        <v>ZEEL-02APR1925</v>
      </c>
      <c r="C6777" s="11" t="s">
        <v>1608</v>
      </c>
      <c r="D6777" s="11" t="s">
        <v>2814</v>
      </c>
      <c r="E6777" s="39" t="s">
        <v>11412</v>
      </c>
      <c r="F6777" s="11" t="s">
        <v>2904</v>
      </c>
      <c r="G6777" s="39" t="s">
        <v>4423</v>
      </c>
      <c r="H6777" s="7">
        <v>0</v>
      </c>
      <c r="J6777" s="17"/>
      <c r="K6777" s="17"/>
      <c r="L6777" s="7">
        <f t="shared" si="2911"/>
        <v>0</v>
      </c>
      <c r="M6777" s="8">
        <v>1</v>
      </c>
      <c r="N6777" s="8" t="str">
        <f t="shared" si="2912"/>
        <v/>
      </c>
      <c r="O6777" s="11" t="s">
        <v>1702</v>
      </c>
      <c r="P6777" s="16" t="str">
        <f t="shared" si="2913"/>
        <v>02-Apr-1925</v>
      </c>
      <c r="Q6777" s="80"/>
      <c r="T6777" s="11"/>
      <c r="U6777" s="46" t="str">
        <f t="shared" si="2897"/>
        <v/>
      </c>
      <c r="V6777" s="46">
        <f t="shared" si="2897"/>
        <v>0</v>
      </c>
      <c r="W6777" s="46" t="str">
        <f t="shared" si="2897"/>
        <v/>
      </c>
      <c r="X6777" s="46" t="str">
        <f t="shared" si="2897"/>
        <v/>
      </c>
    </row>
    <row r="6778" spans="2:24" x14ac:dyDescent="0.25">
      <c r="B6778" s="11" t="str">
        <f t="shared" si="2910"/>
        <v>ZEEL-02APR1925</v>
      </c>
      <c r="C6778" s="11" t="s">
        <v>1608</v>
      </c>
      <c r="D6778" s="11" t="s">
        <v>3894</v>
      </c>
      <c r="E6778" s="39" t="s">
        <v>11413</v>
      </c>
      <c r="F6778" s="11" t="s">
        <v>2904</v>
      </c>
      <c r="G6778" s="39" t="s">
        <v>4423</v>
      </c>
      <c r="H6778" s="7">
        <v>0</v>
      </c>
      <c r="J6778" s="17">
        <v>1</v>
      </c>
      <c r="K6778" s="17"/>
      <c r="L6778" s="7">
        <f t="shared" si="2911"/>
        <v>1</v>
      </c>
      <c r="M6778" s="8">
        <v>1</v>
      </c>
      <c r="N6778" s="8">
        <f t="shared" si="2912"/>
        <v>1</v>
      </c>
      <c r="O6778" s="11" t="s">
        <v>1702</v>
      </c>
      <c r="P6778" s="16" t="str">
        <f t="shared" si="2913"/>
        <v>02-Apr-1925</v>
      </c>
      <c r="Q6778" s="80"/>
      <c r="S6778" s="16" t="str">
        <f>IF($L6778&gt;0,"x","")</f>
        <v>x</v>
      </c>
      <c r="U6778" s="46" t="str">
        <f t="shared" si="2897"/>
        <v/>
      </c>
      <c r="V6778" s="46">
        <f t="shared" si="2897"/>
        <v>1</v>
      </c>
      <c r="W6778" s="46" t="str">
        <f t="shared" si="2897"/>
        <v/>
      </c>
      <c r="X6778" s="46" t="str">
        <f t="shared" si="2897"/>
        <v/>
      </c>
    </row>
    <row r="6779" spans="2:24" x14ac:dyDescent="0.25">
      <c r="N6779" s="8" t="str">
        <f>IF(R6779="x",1,"")</f>
        <v/>
      </c>
      <c r="U6779" s="46" t="str">
        <f t="shared" si="2897"/>
        <v/>
      </c>
      <c r="V6779" s="46" t="str">
        <f t="shared" si="2897"/>
        <v/>
      </c>
      <c r="W6779" s="46" t="str">
        <f t="shared" si="2897"/>
        <v/>
      </c>
      <c r="X6779" s="46" t="str">
        <f t="shared" si="2897"/>
        <v/>
      </c>
    </row>
    <row r="6780" spans="2:24" x14ac:dyDescent="0.25">
      <c r="B6780" s="18"/>
      <c r="C6780" s="18"/>
      <c r="D6780" s="18"/>
      <c r="E6780" s="40"/>
      <c r="F6780" s="18"/>
      <c r="G6780" s="40"/>
      <c r="H6780" s="7">
        <f t="shared" ref="H6780:N6780" si="2915">SUM(H6772:H6779)</f>
        <v>0</v>
      </c>
      <c r="I6780" s="7">
        <f t="shared" si="2915"/>
        <v>0</v>
      </c>
      <c r="J6780" s="7">
        <f>SUM(J6772:J6779)</f>
        <v>93</v>
      </c>
      <c r="K6780" s="7">
        <f t="shared" si="2915"/>
        <v>0</v>
      </c>
      <c r="L6780" s="7">
        <f t="shared" si="2915"/>
        <v>93</v>
      </c>
      <c r="M6780" s="7">
        <f t="shared" si="2915"/>
        <v>7</v>
      </c>
      <c r="N6780" s="7">
        <f t="shared" si="2915"/>
        <v>5</v>
      </c>
      <c r="O6780" s="18"/>
      <c r="P6780" s="13"/>
      <c r="Q6780" s="13"/>
      <c r="S6780" s="13"/>
      <c r="T6780" s="15"/>
    </row>
    <row r="6781" spans="2:24" x14ac:dyDescent="0.25">
      <c r="N6781" s="8" t="str">
        <f>IF(R6781="x",1,"")</f>
        <v/>
      </c>
    </row>
    <row r="6782" spans="2:24" x14ac:dyDescent="0.25">
      <c r="B6782" s="18"/>
      <c r="C6782" s="18"/>
      <c r="D6782" s="18"/>
      <c r="E6782" s="40"/>
      <c r="F6782" s="18"/>
      <c r="G6782" s="40"/>
      <c r="H6782" s="19">
        <f t="shared" ref="H6782:N6782" si="2916">SUM(H6:H6781)/2</f>
        <v>1185</v>
      </c>
      <c r="I6782" s="19">
        <f t="shared" si="2916"/>
        <v>6121</v>
      </c>
      <c r="J6782" s="19">
        <f t="shared" si="2916"/>
        <v>66312</v>
      </c>
      <c r="K6782" s="19">
        <f t="shared" si="2916"/>
        <v>2</v>
      </c>
      <c r="L6782" s="20">
        <f t="shared" si="2916"/>
        <v>73620</v>
      </c>
      <c r="M6782" s="21">
        <f t="shared" si="2916"/>
        <v>4709.5</v>
      </c>
      <c r="N6782" s="21">
        <f t="shared" si="2916"/>
        <v>4105</v>
      </c>
      <c r="O6782" s="18"/>
      <c r="P6782" s="13"/>
      <c r="Q6782" s="13"/>
      <c r="R6782" s="13"/>
      <c r="S6782" s="13"/>
      <c r="T6782" s="15"/>
      <c r="U6782" s="46">
        <f>SUM(U6:U6781)</f>
        <v>200</v>
      </c>
      <c r="V6782" s="46">
        <f>SUM(V6:V6781)</f>
        <v>72830</v>
      </c>
      <c r="W6782" s="46">
        <f>SUM(W6:W6781)</f>
        <v>13</v>
      </c>
      <c r="X6782" s="46">
        <f>SUM(X6:X6781)</f>
        <v>577</v>
      </c>
    </row>
    <row r="6783" spans="2:24" x14ac:dyDescent="0.25">
      <c r="B6783" s="22"/>
      <c r="C6783" s="22"/>
      <c r="D6783" s="22"/>
      <c r="E6783" s="25"/>
      <c r="F6783" s="22"/>
      <c r="G6783" s="25"/>
      <c r="H6783" s="24">
        <f>H6782/$L6782</f>
        <v>1.6096169519152406E-2</v>
      </c>
      <c r="I6783" s="24">
        <f>I6782/$L6782</f>
        <v>8.3143167617495239E-2</v>
      </c>
      <c r="J6783" s="24">
        <f>J6782/$L6782</f>
        <v>0.90073349633251831</v>
      </c>
      <c r="K6783" s="24">
        <f>K6782/$L6782</f>
        <v>2.7166530834012496E-5</v>
      </c>
      <c r="L6783" s="24"/>
      <c r="M6783" s="24"/>
      <c r="N6783" s="24"/>
      <c r="O6783" s="22"/>
      <c r="P6783" s="23"/>
      <c r="Q6783" s="23"/>
      <c r="R6783" s="23"/>
      <c r="S6783" s="23"/>
      <c r="T6783" s="25"/>
    </row>
    <row r="6785" spans="2:26" x14ac:dyDescent="0.25">
      <c r="B6785" s="18" t="s">
        <v>1879</v>
      </c>
      <c r="E6785" s="46"/>
      <c r="G6785" s="11"/>
      <c r="H6785" s="11"/>
      <c r="I6785" s="11"/>
      <c r="J6785" s="11"/>
      <c r="K6785" s="11"/>
      <c r="L6785" s="11"/>
      <c r="M6785" s="11"/>
      <c r="N6785" s="11"/>
      <c r="P6785" s="11"/>
      <c r="Q6785" s="11"/>
      <c r="R6785" s="11"/>
      <c r="S6785" s="11"/>
      <c r="T6785" s="11"/>
    </row>
    <row r="6786" spans="2:26" x14ac:dyDescent="0.25">
      <c r="B6786" s="11" t="s">
        <v>1881</v>
      </c>
      <c r="C6786" s="11" t="s">
        <v>1882</v>
      </c>
      <c r="E6786" s="46">
        <f>U6782</f>
        <v>200</v>
      </c>
      <c r="F6786" s="49">
        <f>E6786/$E$6791</f>
        <v>2.7166530834012497E-3</v>
      </c>
      <c r="G6786" s="11"/>
      <c r="H6786" s="11"/>
      <c r="I6786" s="11"/>
      <c r="J6786" s="11"/>
      <c r="K6786" s="11"/>
      <c r="L6786" s="11"/>
      <c r="M6786" s="11"/>
      <c r="N6786" s="11"/>
      <c r="P6786" s="11"/>
      <c r="Q6786" s="11"/>
      <c r="R6786" s="11"/>
      <c r="S6786" s="11"/>
      <c r="T6786" s="11"/>
    </row>
    <row r="6787" spans="2:26" x14ac:dyDescent="0.25">
      <c r="B6787" s="11" t="s">
        <v>1702</v>
      </c>
      <c r="C6787" s="11" t="s">
        <v>1880</v>
      </c>
      <c r="D6787" s="44"/>
      <c r="E6787" s="46">
        <f>V6782</f>
        <v>72830</v>
      </c>
      <c r="F6787" s="49">
        <f>E6787/$E$6791</f>
        <v>0.98926922032056508</v>
      </c>
      <c r="G6787" s="11"/>
      <c r="H6787" s="11"/>
      <c r="I6787" s="11"/>
      <c r="J6787" s="11"/>
      <c r="K6787" s="11"/>
      <c r="L6787" s="11"/>
      <c r="M6787" s="11"/>
      <c r="N6787" s="11"/>
      <c r="P6787" s="11"/>
      <c r="Q6787" s="11"/>
      <c r="R6787" s="11"/>
      <c r="S6787" s="11"/>
      <c r="T6787" s="11"/>
    </row>
    <row r="6788" spans="2:26" x14ac:dyDescent="0.25">
      <c r="B6788" s="11" t="s">
        <v>194</v>
      </c>
      <c r="C6788" s="11" t="s">
        <v>195</v>
      </c>
      <c r="D6788" s="44"/>
      <c r="E6788" s="46">
        <f>W6782</f>
        <v>13</v>
      </c>
      <c r="F6788" s="49">
        <f>E6788/$E$6791</f>
        <v>1.7658245042108124E-4</v>
      </c>
      <c r="G6788" s="11"/>
      <c r="H6788" s="11"/>
      <c r="I6788" s="11"/>
      <c r="J6788" s="11"/>
      <c r="K6788" s="11"/>
      <c r="L6788" s="11"/>
      <c r="M6788" s="11"/>
      <c r="N6788" s="11"/>
      <c r="P6788" s="11"/>
      <c r="Q6788" s="11"/>
      <c r="R6788" s="11"/>
      <c r="S6788" s="11"/>
      <c r="T6788" s="11"/>
    </row>
    <row r="6789" spans="2:26" x14ac:dyDescent="0.25">
      <c r="B6789" s="11" t="s">
        <v>3728</v>
      </c>
      <c r="C6789" s="11" t="s">
        <v>3729</v>
      </c>
      <c r="E6789" s="46">
        <f>X6782</f>
        <v>577</v>
      </c>
      <c r="F6789" s="49">
        <f>E6789/$E$6791</f>
        <v>7.8375441456126054E-3</v>
      </c>
      <c r="G6789" s="11"/>
      <c r="H6789" s="11"/>
      <c r="I6789" s="11"/>
      <c r="J6789" s="11"/>
      <c r="K6789" s="11"/>
      <c r="L6789" s="11"/>
      <c r="M6789" s="11"/>
      <c r="N6789" s="11"/>
      <c r="P6789" s="11"/>
      <c r="Q6789" s="11"/>
      <c r="R6789" s="11"/>
      <c r="S6789" s="11"/>
      <c r="T6789" s="11"/>
    </row>
    <row r="6790" spans="2:26" x14ac:dyDescent="0.25">
      <c r="E6790" s="47"/>
    </row>
    <row r="6791" spans="2:26" x14ac:dyDescent="0.25">
      <c r="E6791" s="48">
        <f>SUM(E6785:E6790)</f>
        <v>73620</v>
      </c>
    </row>
    <row r="6794" spans="2:26" s="6" customFormat="1" ht="17.399999999999999" x14ac:dyDescent="0.25">
      <c r="B6794" s="6" t="s">
        <v>5205</v>
      </c>
      <c r="E6794" s="38"/>
      <c r="G6794" s="38"/>
      <c r="H6794" s="7"/>
      <c r="I6794" s="7"/>
      <c r="J6794" s="7"/>
      <c r="K6794" s="7"/>
      <c r="L6794" s="7"/>
      <c r="M6794" s="8"/>
      <c r="N6794" s="8"/>
      <c r="P6794" s="9"/>
      <c r="Q6794" s="9"/>
      <c r="R6794" s="9"/>
      <c r="S6794" s="9"/>
      <c r="T6794" s="10"/>
      <c r="U6794" s="50"/>
      <c r="V6794" s="50"/>
      <c r="W6794" s="50"/>
      <c r="X6794" s="50"/>
    </row>
    <row r="6795" spans="2:26" s="6" customFormat="1" ht="18" customHeight="1" x14ac:dyDescent="0.25">
      <c r="B6795" s="6" t="s">
        <v>1683</v>
      </c>
      <c r="E6795" s="38"/>
      <c r="G6795" s="38"/>
      <c r="H6795" s="7"/>
      <c r="I6795" s="7"/>
      <c r="J6795" s="7"/>
      <c r="K6795" s="7"/>
      <c r="L6795" s="7"/>
      <c r="M6795" s="8"/>
      <c r="N6795" s="8"/>
      <c r="P6795" s="65"/>
      <c r="Q6795" s="81" t="s">
        <v>1684</v>
      </c>
      <c r="R6795" s="81" t="s">
        <v>1685</v>
      </c>
      <c r="S6795" s="81" t="s">
        <v>1686</v>
      </c>
      <c r="T6795" s="10"/>
      <c r="U6795" s="50"/>
      <c r="V6795" s="50"/>
      <c r="W6795" s="50"/>
      <c r="X6795" s="50"/>
    </row>
    <row r="6796" spans="2:26" x14ac:dyDescent="0.25">
      <c r="P6796" s="65"/>
      <c r="Q6796" s="81"/>
      <c r="R6796" s="81"/>
      <c r="S6796" s="81"/>
    </row>
    <row r="6797" spans="2:26" s="13" customFormat="1" x14ac:dyDescent="0.25">
      <c r="B6797" s="13" t="s">
        <v>1687</v>
      </c>
      <c r="D6797" s="13" t="s">
        <v>1689</v>
      </c>
      <c r="E6797" s="14"/>
      <c r="F6797" s="13" t="s">
        <v>1690</v>
      </c>
      <c r="G6797" s="14" t="s">
        <v>1690</v>
      </c>
      <c r="H6797" s="61"/>
      <c r="I6797" s="61"/>
      <c r="J6797" s="61"/>
      <c r="K6797" s="61"/>
      <c r="L6797" s="61" t="s">
        <v>5202</v>
      </c>
      <c r="M6797" s="82" t="s">
        <v>1909</v>
      </c>
      <c r="N6797" s="82"/>
      <c r="P6797" s="65"/>
      <c r="Q6797" s="81"/>
      <c r="R6797" s="81"/>
      <c r="S6797" s="81"/>
      <c r="T6797" s="15"/>
      <c r="U6797" s="51"/>
      <c r="V6797" s="51"/>
      <c r="W6797" s="51"/>
      <c r="X6797" s="51"/>
      <c r="Z6797" s="16"/>
    </row>
    <row r="6798" spans="2:26" s="13" customFormat="1" x14ac:dyDescent="0.25">
      <c r="B6798" s="13" t="s">
        <v>1692</v>
      </c>
      <c r="D6798" s="13" t="s">
        <v>1694</v>
      </c>
      <c r="E6798" s="14"/>
      <c r="F6798" s="13" t="s">
        <v>1694</v>
      </c>
      <c r="G6798" s="14" t="s">
        <v>1695</v>
      </c>
      <c r="H6798" s="26"/>
      <c r="I6798" s="26"/>
      <c r="J6798" s="26"/>
      <c r="K6798" s="26"/>
      <c r="L6798" s="26" t="s">
        <v>1696</v>
      </c>
      <c r="M6798" s="27" t="s">
        <v>406</v>
      </c>
      <c r="N6798" s="27" t="s">
        <v>405</v>
      </c>
      <c r="O6798" s="13" t="s">
        <v>1697</v>
      </c>
      <c r="P6798" s="65"/>
      <c r="Q6798" s="81"/>
      <c r="R6798" s="81"/>
      <c r="S6798" s="81"/>
      <c r="T6798" s="15"/>
      <c r="U6798" s="51" t="s">
        <v>1881</v>
      </c>
      <c r="V6798" s="51" t="s">
        <v>1702</v>
      </c>
      <c r="W6798" s="51" t="s">
        <v>194</v>
      </c>
      <c r="X6798" s="51" t="s">
        <v>3728</v>
      </c>
      <c r="Z6798" s="16"/>
    </row>
    <row r="6799" spans="2:26" x14ac:dyDescent="0.25">
      <c r="U6799" s="46" t="str">
        <f>IF($O6799=U$5,$L6799,"")</f>
        <v/>
      </c>
      <c r="V6799" s="46" t="str">
        <f>IF($O6799=V$5,$L6799,"")</f>
        <v/>
      </c>
      <c r="W6799" s="46" t="str">
        <f>IF($O6799=W$5,$L6799,"")</f>
        <v/>
      </c>
      <c r="X6799" s="46" t="str">
        <f>IF($O6799=X$5,$L6799,"")</f>
        <v/>
      </c>
    </row>
    <row r="6800" spans="2:26" x14ac:dyDescent="0.25">
      <c r="B6800" s="11" t="str">
        <f>CONCATENATE("BX-NIAGARAFALLSNY","-",LEFT(P6800,2),UPPER(MID(P6800,4,3)),RIGHT(P6800,4),"-0-")</f>
        <v>BX-NIAGARAFALLSNY-00JUN1903-0-</v>
      </c>
      <c r="D6800" s="39" t="s">
        <v>5336</v>
      </c>
      <c r="F6800" s="39" t="s">
        <v>5337</v>
      </c>
      <c r="G6800" s="39" t="s">
        <v>11433</v>
      </c>
      <c r="L6800" s="7">
        <v>2</v>
      </c>
      <c r="M6800" s="8">
        <v>1</v>
      </c>
      <c r="N6800" s="8">
        <f t="shared" ref="N6800:N6836" si="2917">IF(L6800&gt;0,1,"")</f>
        <v>1</v>
      </c>
      <c r="O6800" s="11" t="s">
        <v>1702</v>
      </c>
      <c r="P6800" s="16" t="str">
        <f t="shared" ref="P6800:P6836" si="2918">IF(LEN(G6800)=10,CONCATENATE("0",G6800),G6800)</f>
        <v>00-Jun-1903</v>
      </c>
      <c r="R6800" s="16" t="str">
        <f t="shared" ref="R6800:S6869" si="2919">IF($L6800&gt;0,"x","")</f>
        <v>x</v>
      </c>
      <c r="S6800" s="16" t="str">
        <f t="shared" si="2919"/>
        <v>x</v>
      </c>
      <c r="U6800" s="46" t="str">
        <f t="shared" ref="U6800:X6886" si="2920">IF($O6800=U$5,$L6800,"")</f>
        <v/>
      </c>
      <c r="V6800" s="46">
        <f t="shared" si="2920"/>
        <v>2</v>
      </c>
      <c r="W6800" s="46" t="str">
        <f t="shared" si="2920"/>
        <v/>
      </c>
      <c r="X6800" s="46" t="str">
        <f t="shared" si="2920"/>
        <v/>
      </c>
    </row>
    <row r="6801" spans="2:24" x14ac:dyDescent="0.25">
      <c r="B6801" s="11" t="str">
        <f>CONCATENATE("BX-NEWPORTVT","-",LEFT(P6801,2),UPPER(MID(P6801,4,3)),RIGHT(P6801,4),"-0-")</f>
        <v>BX-NEWPORTVT-00FEB1905-0-</v>
      </c>
      <c r="D6801" s="39" t="s">
        <v>6142</v>
      </c>
      <c r="F6801" s="39" t="s">
        <v>6144</v>
      </c>
      <c r="G6801" s="39" t="s">
        <v>6143</v>
      </c>
      <c r="L6801" s="7">
        <v>2</v>
      </c>
      <c r="M6801" s="8">
        <v>1</v>
      </c>
      <c r="N6801" s="8">
        <f>IF(L6801&gt;0,1,"")</f>
        <v>1</v>
      </c>
      <c r="O6801" s="11" t="s">
        <v>1702</v>
      </c>
      <c r="P6801" s="16" t="str">
        <f>IF(LEN(G6801)=10,CONCATENATE("0",G6801),G6801)</f>
        <v>00-Feb-1905</v>
      </c>
      <c r="R6801" s="16" t="str">
        <f t="shared" si="2919"/>
        <v>x</v>
      </c>
      <c r="S6801" s="16" t="str">
        <f t="shared" si="2919"/>
        <v>x</v>
      </c>
      <c r="U6801" s="46" t="str">
        <f>IF($O6801=U$5,$L6801,"")</f>
        <v/>
      </c>
      <c r="V6801" s="46">
        <f>IF($O6801=V$5,$L6801,"")</f>
        <v>2</v>
      </c>
      <c r="W6801" s="46" t="str">
        <f>IF($O6801=W$5,$L6801,"")</f>
        <v/>
      </c>
      <c r="X6801" s="46" t="str">
        <f>IF($O6801=X$5,$L6801,"")</f>
        <v/>
      </c>
    </row>
    <row r="6802" spans="2:24" x14ac:dyDescent="0.25">
      <c r="B6802" s="11" t="str">
        <f>CONCATENATE("BX-ELPASOTX","-",LEFT(P6802,2),UPPER(MID(P6802,4,3)),RIGHT(P6802,4),"-0-")</f>
        <v>BX-ELPASOTX-29NOV1908-0-</v>
      </c>
      <c r="D6802" s="39" t="s">
        <v>5199</v>
      </c>
      <c r="F6802" s="39" t="s">
        <v>5200</v>
      </c>
      <c r="G6802" s="39" t="s">
        <v>2732</v>
      </c>
      <c r="L6802" s="7">
        <v>12</v>
      </c>
      <c r="M6802" s="8">
        <v>1</v>
      </c>
      <c r="N6802" s="8">
        <f t="shared" si="2917"/>
        <v>1</v>
      </c>
      <c r="O6802" s="11" t="s">
        <v>1702</v>
      </c>
      <c r="P6802" s="16" t="str">
        <f t="shared" si="2918"/>
        <v>29-Nov-1908</v>
      </c>
      <c r="R6802" s="16" t="str">
        <f t="shared" si="2919"/>
        <v>x</v>
      </c>
      <c r="S6802" s="16" t="str">
        <f t="shared" si="2919"/>
        <v>x</v>
      </c>
      <c r="U6802" s="46" t="str">
        <f t="shared" si="2920"/>
        <v/>
      </c>
      <c r="V6802" s="46">
        <f t="shared" si="2920"/>
        <v>12</v>
      </c>
      <c r="W6802" s="46" t="str">
        <f t="shared" si="2920"/>
        <v/>
      </c>
      <c r="X6802" s="46" t="str">
        <f t="shared" si="2920"/>
        <v/>
      </c>
    </row>
    <row r="6803" spans="2:24" x14ac:dyDescent="0.25">
      <c r="B6803" s="11" t="str">
        <f>CONCATENATE("BX-LAREDOTX","-",LEFT(P6803,2),UPPER(MID(P6803,4,3)),RIGHT(P6803,4),"-0-")</f>
        <v>BX-LAREDOTX-26OCT1909-0-</v>
      </c>
      <c r="D6803" s="39" t="s">
        <v>5489</v>
      </c>
      <c r="F6803" s="39" t="s">
        <v>5490</v>
      </c>
      <c r="G6803" s="39" t="s">
        <v>3847</v>
      </c>
      <c r="L6803" s="7">
        <v>1</v>
      </c>
      <c r="M6803" s="8">
        <v>1</v>
      </c>
      <c r="N6803" s="8">
        <f t="shared" si="2917"/>
        <v>1</v>
      </c>
      <c r="O6803" s="11" t="s">
        <v>1702</v>
      </c>
      <c r="P6803" s="16" t="str">
        <f t="shared" si="2918"/>
        <v>26-Oct-1909</v>
      </c>
      <c r="R6803" s="16" t="str">
        <f t="shared" si="2919"/>
        <v>x</v>
      </c>
      <c r="S6803" s="16" t="str">
        <f t="shared" si="2919"/>
        <v>x</v>
      </c>
      <c r="U6803" s="46" t="str">
        <f t="shared" si="2920"/>
        <v/>
      </c>
      <c r="V6803" s="46">
        <f t="shared" si="2920"/>
        <v>1</v>
      </c>
      <c r="W6803" s="46" t="str">
        <f t="shared" si="2920"/>
        <v/>
      </c>
      <c r="X6803" s="46" t="str">
        <f t="shared" si="2920"/>
        <v/>
      </c>
    </row>
    <row r="6804" spans="2:24" x14ac:dyDescent="0.25">
      <c r="B6804" s="11" t="str">
        <f>CONCATENATE("BX-DETROITMI","-",LEFT(P6804,2),UPPER(MID(P6804,4,3)),RIGHT(P6804,4),"-0-")</f>
        <v>BX-DETROITMI-24APR1910-0-</v>
      </c>
      <c r="D6804" s="39" t="s">
        <v>5750</v>
      </c>
      <c r="F6804" s="39" t="s">
        <v>5751</v>
      </c>
      <c r="G6804" s="39" t="s">
        <v>6216</v>
      </c>
      <c r="L6804" s="17">
        <v>1</v>
      </c>
      <c r="M6804" s="8">
        <v>1</v>
      </c>
      <c r="N6804" s="8">
        <f t="shared" si="2917"/>
        <v>1</v>
      </c>
      <c r="O6804" s="11" t="s">
        <v>1702</v>
      </c>
      <c r="P6804" s="16" t="str">
        <f t="shared" si="2918"/>
        <v>24-Apr-1910</v>
      </c>
      <c r="R6804" s="16" t="str">
        <f t="shared" si="2919"/>
        <v>x</v>
      </c>
      <c r="S6804" s="16" t="str">
        <f t="shared" si="2919"/>
        <v>x</v>
      </c>
      <c r="U6804" s="46" t="str">
        <f t="shared" si="2920"/>
        <v/>
      </c>
      <c r="V6804" s="46">
        <f t="shared" si="2920"/>
        <v>1</v>
      </c>
      <c r="W6804" s="46" t="str">
        <f t="shared" si="2920"/>
        <v/>
      </c>
      <c r="X6804" s="46" t="str">
        <f t="shared" si="2920"/>
        <v/>
      </c>
    </row>
    <row r="6805" spans="2:24" x14ac:dyDescent="0.25">
      <c r="B6805" s="11" t="str">
        <f>CONCATENATE("BX-DETROITMI","-",LEFT(P6805,2),UPPER(MID(P6805,4,3)),RIGHT(P6805,4),"-0-")</f>
        <v>BX-DETROITMI-24APR1911-0-</v>
      </c>
      <c r="D6805" s="39" t="s">
        <v>5750</v>
      </c>
      <c r="F6805" s="39" t="s">
        <v>5751</v>
      </c>
      <c r="G6805" s="39" t="s">
        <v>6106</v>
      </c>
      <c r="L6805" s="17">
        <v>1</v>
      </c>
      <c r="M6805" s="8">
        <v>1</v>
      </c>
      <c r="N6805" s="8">
        <f t="shared" si="2917"/>
        <v>1</v>
      </c>
      <c r="O6805" s="11" t="s">
        <v>1702</v>
      </c>
      <c r="P6805" s="16" t="str">
        <f t="shared" si="2918"/>
        <v>24-Apr-1911</v>
      </c>
      <c r="R6805" s="16" t="str">
        <f t="shared" si="2919"/>
        <v>x</v>
      </c>
      <c r="S6805" s="16" t="str">
        <f t="shared" si="2919"/>
        <v>x</v>
      </c>
      <c r="U6805" s="46" t="str">
        <f t="shared" si="2920"/>
        <v/>
      </c>
      <c r="V6805" s="46">
        <f t="shared" si="2920"/>
        <v>1</v>
      </c>
      <c r="W6805" s="46" t="str">
        <f t="shared" si="2920"/>
        <v/>
      </c>
      <c r="X6805" s="46" t="str">
        <f t="shared" si="2920"/>
        <v/>
      </c>
    </row>
    <row r="6806" spans="2:24" x14ac:dyDescent="0.25">
      <c r="B6806" s="11" t="str">
        <f>CONCATENATE("BX-ELPASOTX","-",LEFT(P6806,2),UPPER(MID(P6806,4,3)),RIGHT(P6806,4),"-0-")</f>
        <v>BX-ELPASOTX-17AUG1911-0-</v>
      </c>
      <c r="D6806" s="39" t="s">
        <v>5199</v>
      </c>
      <c r="F6806" s="39" t="s">
        <v>5200</v>
      </c>
      <c r="G6806" s="39" t="s">
        <v>5201</v>
      </c>
      <c r="L6806" s="7">
        <v>4</v>
      </c>
      <c r="M6806" s="8">
        <v>1</v>
      </c>
      <c r="N6806" s="8">
        <f t="shared" si="2917"/>
        <v>1</v>
      </c>
      <c r="O6806" s="11" t="s">
        <v>1702</v>
      </c>
      <c r="P6806" s="16" t="str">
        <f t="shared" si="2918"/>
        <v>17-Aug-1911</v>
      </c>
      <c r="R6806" s="16" t="str">
        <f t="shared" si="2919"/>
        <v>x</v>
      </c>
      <c r="S6806" s="16" t="str">
        <f t="shared" si="2919"/>
        <v>x</v>
      </c>
      <c r="U6806" s="46" t="str">
        <f t="shared" si="2920"/>
        <v/>
      </c>
      <c r="V6806" s="46">
        <f t="shared" si="2920"/>
        <v>4</v>
      </c>
      <c r="W6806" s="46" t="str">
        <f t="shared" si="2920"/>
        <v/>
      </c>
      <c r="X6806" s="46" t="str">
        <f t="shared" si="2920"/>
        <v/>
      </c>
    </row>
    <row r="6807" spans="2:24" x14ac:dyDescent="0.25">
      <c r="B6807" s="11" t="str">
        <f>CONCATENATE("BX-SANYSIDROCA","-",LEFT(P6807,2),UPPER(MID(P6807,4,3)),RIGHT(P6807,4),"-0-")</f>
        <v>BX-SANYSIDROCA-23MAR1912-0-</v>
      </c>
      <c r="D6807" s="39" t="s">
        <v>5305</v>
      </c>
      <c r="F6807" s="39" t="s">
        <v>5306</v>
      </c>
      <c r="G6807" s="39" t="s">
        <v>1895</v>
      </c>
      <c r="L6807" s="7">
        <v>8</v>
      </c>
      <c r="M6807" s="8">
        <v>1</v>
      </c>
      <c r="N6807" s="8">
        <f t="shared" si="2917"/>
        <v>1</v>
      </c>
      <c r="O6807" s="11" t="s">
        <v>1702</v>
      </c>
      <c r="P6807" s="16" t="str">
        <f t="shared" si="2918"/>
        <v>23-Mar-1912</v>
      </c>
      <c r="R6807" s="16" t="str">
        <f t="shared" si="2919"/>
        <v>x</v>
      </c>
      <c r="S6807" s="16" t="str">
        <f t="shared" si="2919"/>
        <v>x</v>
      </c>
      <c r="U6807" s="46" t="str">
        <f t="shared" si="2920"/>
        <v/>
      </c>
      <c r="V6807" s="46">
        <f t="shared" si="2920"/>
        <v>8</v>
      </c>
      <c r="W6807" s="46" t="str">
        <f t="shared" si="2920"/>
        <v/>
      </c>
      <c r="X6807" s="46" t="str">
        <f t="shared" si="2920"/>
        <v/>
      </c>
    </row>
    <row r="6808" spans="2:24" x14ac:dyDescent="0.25">
      <c r="B6808" s="11" t="str">
        <f>CONCATENATE("BX-BROWNSVILLETX","-",LEFT(P6808,2),UPPER(MID(P6808,4,3)),RIGHT(P6808,4),"-0-")</f>
        <v>BX-BROWNSVILLETX-01APR1913-0-</v>
      </c>
      <c r="D6808" s="39" t="s">
        <v>6036</v>
      </c>
      <c r="F6808" s="39" t="s">
        <v>6037</v>
      </c>
      <c r="G6808" s="39" t="s">
        <v>2437</v>
      </c>
      <c r="L6808" s="7">
        <v>2</v>
      </c>
      <c r="M6808" s="8">
        <v>1</v>
      </c>
      <c r="N6808" s="8">
        <f t="shared" si="2917"/>
        <v>1</v>
      </c>
      <c r="O6808" s="11" t="s">
        <v>1702</v>
      </c>
      <c r="P6808" s="16" t="str">
        <f t="shared" si="2918"/>
        <v>01-Apr-1913</v>
      </c>
      <c r="R6808" s="16" t="str">
        <f t="shared" si="2919"/>
        <v>x</v>
      </c>
      <c r="S6808" s="16" t="str">
        <f t="shared" si="2919"/>
        <v>x</v>
      </c>
      <c r="U6808" s="46" t="str">
        <f t="shared" si="2920"/>
        <v/>
      </c>
      <c r="V6808" s="46">
        <f t="shared" si="2920"/>
        <v>2</v>
      </c>
      <c r="W6808" s="46" t="str">
        <f t="shared" si="2920"/>
        <v/>
      </c>
      <c r="X6808" s="46" t="str">
        <f t="shared" si="2920"/>
        <v/>
      </c>
    </row>
    <row r="6809" spans="2:24" x14ac:dyDescent="0.25">
      <c r="B6809" s="11" t="str">
        <f>CONCATENATE("BX-BROWNSVILLETX","-",LEFT(P6809,2),UPPER(MID(P6809,4,3)),RIGHT(P6809,4),"-0-")</f>
        <v>BX-BROWNSVILLETX-18JUN1913-0-</v>
      </c>
      <c r="D6809" s="39" t="s">
        <v>6036</v>
      </c>
      <c r="F6809" s="39" t="s">
        <v>6037</v>
      </c>
      <c r="G6809" s="39" t="s">
        <v>4289</v>
      </c>
      <c r="L6809" s="7">
        <v>1</v>
      </c>
      <c r="M6809" s="8">
        <v>1</v>
      </c>
      <c r="N6809" s="8">
        <f t="shared" si="2917"/>
        <v>1</v>
      </c>
      <c r="O6809" s="11" t="s">
        <v>1702</v>
      </c>
      <c r="P6809" s="16" t="str">
        <f t="shared" si="2918"/>
        <v>18-Jun-1913</v>
      </c>
      <c r="R6809" s="16" t="str">
        <f t="shared" si="2919"/>
        <v>x</v>
      </c>
      <c r="S6809" s="16" t="str">
        <f t="shared" si="2919"/>
        <v>x</v>
      </c>
      <c r="U6809" s="46" t="str">
        <f t="shared" si="2920"/>
        <v/>
      </c>
      <c r="V6809" s="46">
        <f t="shared" si="2920"/>
        <v>1</v>
      </c>
      <c r="W6809" s="46" t="str">
        <f t="shared" si="2920"/>
        <v/>
      </c>
      <c r="X6809" s="46" t="str">
        <f t="shared" si="2920"/>
        <v/>
      </c>
    </row>
    <row r="6810" spans="2:24" x14ac:dyDescent="0.25">
      <c r="B6810" s="11" t="str">
        <f>CONCATENATE("BX-SANYSIDROCA","-",LEFT(P6810,2),UPPER(MID(P6810,4,3)),RIGHT(P6810,4),"-0-")</f>
        <v>BX-SANYSIDROCA-05JUL1913-0-</v>
      </c>
      <c r="D6810" s="39" t="s">
        <v>5305</v>
      </c>
      <c r="F6810" s="39" t="s">
        <v>5306</v>
      </c>
      <c r="G6810" s="39" t="s">
        <v>1288</v>
      </c>
      <c r="L6810" s="7">
        <v>9</v>
      </c>
      <c r="M6810" s="8">
        <v>1</v>
      </c>
      <c r="N6810" s="8">
        <f t="shared" si="2917"/>
        <v>1</v>
      </c>
      <c r="O6810" s="11" t="s">
        <v>1702</v>
      </c>
      <c r="P6810" s="16" t="str">
        <f t="shared" si="2918"/>
        <v>05-Jul-1913</v>
      </c>
      <c r="R6810" s="16" t="str">
        <f t="shared" si="2919"/>
        <v>x</v>
      </c>
      <c r="S6810" s="16" t="str">
        <f t="shared" si="2919"/>
        <v>x</v>
      </c>
      <c r="U6810" s="46" t="str">
        <f t="shared" si="2920"/>
        <v/>
      </c>
      <c r="V6810" s="46">
        <f t="shared" si="2920"/>
        <v>9</v>
      </c>
      <c r="W6810" s="46" t="str">
        <f t="shared" si="2920"/>
        <v/>
      </c>
      <c r="X6810" s="46" t="str">
        <f t="shared" si="2920"/>
        <v/>
      </c>
    </row>
    <row r="6811" spans="2:24" x14ac:dyDescent="0.25">
      <c r="B6811" s="11" t="str">
        <f>CONCATENATE("BX-NIAGARAFALLSNY","-",LEFT(P6811,2),UPPER(MID(P6811,4,3)),RIGHT(P6811,4),"-0-")</f>
        <v>BX-NIAGARAFALLSNY-07FEB1914-0-</v>
      </c>
      <c r="D6811" s="39" t="s">
        <v>5336</v>
      </c>
      <c r="F6811" s="39" t="s">
        <v>5337</v>
      </c>
      <c r="G6811" s="39" t="s">
        <v>1550</v>
      </c>
      <c r="L6811" s="7">
        <v>2</v>
      </c>
      <c r="M6811" s="8">
        <v>1</v>
      </c>
      <c r="N6811" s="8">
        <f t="shared" si="2917"/>
        <v>1</v>
      </c>
      <c r="O6811" s="11" t="s">
        <v>1702</v>
      </c>
      <c r="P6811" s="16" t="str">
        <f t="shared" si="2918"/>
        <v>07-Feb-1914</v>
      </c>
      <c r="R6811" s="16" t="str">
        <f t="shared" si="2919"/>
        <v>x</v>
      </c>
      <c r="S6811" s="16" t="str">
        <f t="shared" si="2919"/>
        <v>x</v>
      </c>
      <c r="U6811" s="46" t="str">
        <f t="shared" si="2920"/>
        <v/>
      </c>
      <c r="V6811" s="46">
        <f t="shared" si="2920"/>
        <v>2</v>
      </c>
      <c r="W6811" s="46" t="str">
        <f t="shared" si="2920"/>
        <v/>
      </c>
      <c r="X6811" s="46" t="str">
        <f t="shared" si="2920"/>
        <v/>
      </c>
    </row>
    <row r="6812" spans="2:24" x14ac:dyDescent="0.25">
      <c r="B6812" s="11" t="str">
        <f>CONCATENATE("BX-SEATTLEWA","-",LEFT(P6812,2),UPPER(MID(P6812,4,3)),RIGHT(P6812,4),"-0-")</f>
        <v>BX-SEATTLEWA-19NOV1915-0-</v>
      </c>
      <c r="D6812" s="39" t="s">
        <v>5544</v>
      </c>
      <c r="F6812" s="39" t="s">
        <v>5545</v>
      </c>
      <c r="G6812" s="39" t="s">
        <v>5546</v>
      </c>
      <c r="L6812" s="7">
        <v>1</v>
      </c>
      <c r="M6812" s="8">
        <v>1</v>
      </c>
      <c r="N6812" s="8">
        <f t="shared" si="2917"/>
        <v>1</v>
      </c>
      <c r="O6812" s="11" t="s">
        <v>1702</v>
      </c>
      <c r="P6812" s="16" t="str">
        <f t="shared" si="2918"/>
        <v>19-Nov-1915</v>
      </c>
      <c r="R6812" s="16" t="str">
        <f t="shared" si="2919"/>
        <v>x</v>
      </c>
      <c r="S6812" s="16" t="str">
        <f t="shared" si="2919"/>
        <v>x</v>
      </c>
      <c r="U6812" s="46" t="str">
        <f t="shared" si="2920"/>
        <v/>
      </c>
      <c r="V6812" s="46">
        <f t="shared" si="2920"/>
        <v>1</v>
      </c>
      <c r="W6812" s="46" t="str">
        <f t="shared" si="2920"/>
        <v/>
      </c>
      <c r="X6812" s="46" t="str">
        <f t="shared" si="2920"/>
        <v/>
      </c>
    </row>
    <row r="6813" spans="2:24" x14ac:dyDescent="0.25">
      <c r="B6813" s="11" t="str">
        <f>CONCATENATE("BX-SEATTLEWA","-",LEFT(P6813,2),UPPER(MID(P6813,4,3)),RIGHT(P6813,4),"-0-")</f>
        <v>BX-SEATTLEWA-24MAR1916-0-</v>
      </c>
      <c r="D6813" s="39" t="s">
        <v>5544</v>
      </c>
      <c r="F6813" s="39" t="s">
        <v>5545</v>
      </c>
      <c r="G6813" s="39" t="s">
        <v>5547</v>
      </c>
      <c r="L6813" s="7">
        <v>4</v>
      </c>
      <c r="M6813" s="8">
        <v>1</v>
      </c>
      <c r="N6813" s="8">
        <f t="shared" si="2917"/>
        <v>1</v>
      </c>
      <c r="O6813" s="11" t="s">
        <v>1702</v>
      </c>
      <c r="P6813" s="16" t="str">
        <f t="shared" si="2918"/>
        <v>24-Mar-1916</v>
      </c>
      <c r="R6813" s="16" t="str">
        <f t="shared" si="2919"/>
        <v>x</v>
      </c>
      <c r="S6813" s="16" t="str">
        <f t="shared" si="2919"/>
        <v>x</v>
      </c>
      <c r="U6813" s="46" t="str">
        <f t="shared" si="2920"/>
        <v/>
      </c>
      <c r="V6813" s="46">
        <f t="shared" si="2920"/>
        <v>4</v>
      </c>
      <c r="W6813" s="46" t="str">
        <f t="shared" si="2920"/>
        <v/>
      </c>
      <c r="X6813" s="46" t="str">
        <f t="shared" si="2920"/>
        <v/>
      </c>
    </row>
    <row r="6814" spans="2:24" x14ac:dyDescent="0.25">
      <c r="B6814" s="11" t="str">
        <f>CONCATENATE("BX-NIAGARAFALLSNY","-",LEFT(P6814,2),UPPER(MID(P6814,4,3)),RIGHT(P6814,4),"-0-")</f>
        <v>BX-NIAGARAFALLSNY-24APR1916-0-</v>
      </c>
      <c r="D6814" s="39" t="s">
        <v>5336</v>
      </c>
      <c r="F6814" s="39" t="s">
        <v>5337</v>
      </c>
      <c r="G6814" s="39" t="s">
        <v>11394</v>
      </c>
      <c r="L6814" s="7">
        <v>22</v>
      </c>
      <c r="M6814" s="8">
        <v>1</v>
      </c>
      <c r="N6814" s="8">
        <f>IF(L6814&gt;0,1,"")</f>
        <v>1</v>
      </c>
      <c r="O6814" s="11" t="s">
        <v>1702</v>
      </c>
      <c r="P6814" s="16" t="str">
        <f>IF(LEN(G6814)=10,CONCATENATE("0",G6814),G6814)</f>
        <v>24-Apr-1916</v>
      </c>
      <c r="R6814" s="16" t="str">
        <f t="shared" si="2919"/>
        <v>x</v>
      </c>
      <c r="S6814" s="16" t="str">
        <f t="shared" si="2919"/>
        <v>x</v>
      </c>
      <c r="U6814" s="46" t="str">
        <f>IF($O6814=U$5,$L6814,"")</f>
        <v/>
      </c>
      <c r="V6814" s="46">
        <f>IF($O6814=V$5,$L6814,"")</f>
        <v>22</v>
      </c>
      <c r="W6814" s="46" t="str">
        <f>IF($O6814=W$5,$L6814,"")</f>
        <v/>
      </c>
      <c r="X6814" s="46" t="str">
        <f>IF($O6814=X$5,$L6814,"")</f>
        <v/>
      </c>
    </row>
    <row r="6815" spans="2:24" x14ac:dyDescent="0.25">
      <c r="B6815" s="11" t="str">
        <f>CONCATENATE("BX-NIAGARAFALLSNY","-",LEFT(P6815,2),UPPER(MID(P6815,4,3)),RIGHT(P6815,4),"-0-")</f>
        <v>BX-NIAGARAFALLSNY-24JUN1916-0-</v>
      </c>
      <c r="D6815" s="39" t="s">
        <v>5336</v>
      </c>
      <c r="F6815" s="39" t="s">
        <v>5337</v>
      </c>
      <c r="G6815" s="39" t="s">
        <v>6178</v>
      </c>
      <c r="L6815" s="7">
        <v>21</v>
      </c>
      <c r="M6815" s="8">
        <v>1</v>
      </c>
      <c r="N6815" s="8">
        <f t="shared" si="2917"/>
        <v>1</v>
      </c>
      <c r="O6815" s="11" t="s">
        <v>1702</v>
      </c>
      <c r="P6815" s="16" t="str">
        <f t="shared" si="2918"/>
        <v>24-Jun-1916</v>
      </c>
      <c r="R6815" s="16" t="str">
        <f t="shared" si="2919"/>
        <v>x</v>
      </c>
      <c r="S6815" s="16" t="str">
        <f t="shared" si="2919"/>
        <v>x</v>
      </c>
      <c r="U6815" s="46" t="str">
        <f t="shared" si="2920"/>
        <v/>
      </c>
      <c r="V6815" s="46">
        <f t="shared" si="2920"/>
        <v>21</v>
      </c>
      <c r="W6815" s="46" t="str">
        <f t="shared" si="2920"/>
        <v/>
      </c>
      <c r="X6815" s="46" t="str">
        <f t="shared" si="2920"/>
        <v/>
      </c>
    </row>
    <row r="6816" spans="2:24" x14ac:dyDescent="0.25">
      <c r="B6816" s="11" t="str">
        <f>CONCATENATE("BX-PORTHURONMI","-",LEFT(P6816,2),UPPER(MID(P6816,4,3)),RIGHT(P6816,4),"-0-")</f>
        <v>BX-PORTHURONMI-24NOV1916-0-</v>
      </c>
      <c r="D6816" s="39" t="s">
        <v>6127</v>
      </c>
      <c r="F6816" s="39" t="s">
        <v>6128</v>
      </c>
      <c r="G6816" s="39" t="s">
        <v>6241</v>
      </c>
      <c r="L6816" s="7">
        <v>3</v>
      </c>
      <c r="M6816" s="8">
        <v>1</v>
      </c>
      <c r="N6816" s="8">
        <f t="shared" si="2917"/>
        <v>1</v>
      </c>
      <c r="O6816" s="11" t="s">
        <v>1702</v>
      </c>
      <c r="P6816" s="16" t="str">
        <f t="shared" si="2918"/>
        <v>24-Nov-1916</v>
      </c>
      <c r="R6816" s="16" t="str">
        <f t="shared" si="2919"/>
        <v>x</v>
      </c>
      <c r="S6816" s="16" t="str">
        <f t="shared" si="2919"/>
        <v>x</v>
      </c>
      <c r="U6816" s="46" t="str">
        <f t="shared" si="2920"/>
        <v/>
      </c>
      <c r="V6816" s="46">
        <f t="shared" si="2920"/>
        <v>3</v>
      </c>
      <c r="W6816" s="46" t="str">
        <f t="shared" si="2920"/>
        <v/>
      </c>
      <c r="X6816" s="46" t="str">
        <f t="shared" si="2920"/>
        <v/>
      </c>
    </row>
    <row r="6817" spans="2:24" x14ac:dyDescent="0.25">
      <c r="B6817" s="11" t="str">
        <f>CONCATENATE("BX-DETROITMI","-",LEFT(P6817,2),UPPER(MID(P6817,4,3)),RIGHT(P6817,4),"-0-")</f>
        <v>BX-DETROITMI-24JAN1917-0-</v>
      </c>
      <c r="D6817" s="39" t="s">
        <v>5750</v>
      </c>
      <c r="F6817" s="39" t="s">
        <v>5751</v>
      </c>
      <c r="G6817" s="39" t="s">
        <v>11387</v>
      </c>
      <c r="L6817" s="17">
        <v>5</v>
      </c>
      <c r="M6817" s="8">
        <v>1</v>
      </c>
      <c r="N6817" s="8">
        <f>IF(L6817&gt;0,1,"")</f>
        <v>1</v>
      </c>
      <c r="O6817" s="11" t="s">
        <v>1702</v>
      </c>
      <c r="P6817" s="16" t="str">
        <f>IF(LEN(G6817)=10,CONCATENATE("0",G6817),G6817)</f>
        <v>24-Jan-1917</v>
      </c>
      <c r="R6817" s="16" t="str">
        <f t="shared" si="2919"/>
        <v>x</v>
      </c>
      <c r="S6817" s="16" t="str">
        <f t="shared" si="2919"/>
        <v>x</v>
      </c>
      <c r="U6817" s="46" t="str">
        <f>IF($O6817=U$5,$L6817,"")</f>
        <v/>
      </c>
      <c r="V6817" s="46">
        <f>IF($O6817=V$5,$L6817,"")</f>
        <v>5</v>
      </c>
      <c r="W6817" s="46" t="str">
        <f>IF($O6817=W$5,$L6817,"")</f>
        <v/>
      </c>
      <c r="X6817" s="46" t="str">
        <f>IF($O6817=X$5,$L6817,"")</f>
        <v/>
      </c>
    </row>
    <row r="6818" spans="2:24" x14ac:dyDescent="0.25">
      <c r="B6818" s="11" t="str">
        <f>CONCATENATE("BX-NIAGARAFALLSNY","-",LEFT(P6818,2),UPPER(MID(P6818,4,3)),RIGHT(P6818,4),"-0-")</f>
        <v>BX-NIAGARAFALLSNY-24SEP1917-0-</v>
      </c>
      <c r="D6818" s="39" t="s">
        <v>5336</v>
      </c>
      <c r="F6818" s="39" t="s">
        <v>5337</v>
      </c>
      <c r="G6818" s="39" t="s">
        <v>6182</v>
      </c>
      <c r="L6818" s="7">
        <v>3</v>
      </c>
      <c r="M6818" s="8">
        <v>1</v>
      </c>
      <c r="N6818" s="8">
        <f t="shared" si="2917"/>
        <v>1</v>
      </c>
      <c r="O6818" s="11" t="s">
        <v>1702</v>
      </c>
      <c r="P6818" s="16" t="str">
        <f t="shared" si="2918"/>
        <v>24-Sep-1917</v>
      </c>
      <c r="R6818" s="16" t="str">
        <f t="shared" si="2919"/>
        <v>x</v>
      </c>
      <c r="S6818" s="16" t="str">
        <f t="shared" si="2919"/>
        <v>x</v>
      </c>
      <c r="U6818" s="46" t="str">
        <f t="shared" si="2920"/>
        <v/>
      </c>
      <c r="V6818" s="46">
        <f t="shared" si="2920"/>
        <v>3</v>
      </c>
      <c r="W6818" s="46" t="str">
        <f t="shared" si="2920"/>
        <v/>
      </c>
      <c r="X6818" s="46" t="str">
        <f t="shared" si="2920"/>
        <v/>
      </c>
    </row>
    <row r="6819" spans="2:24" x14ac:dyDescent="0.25">
      <c r="B6819" s="11" t="str">
        <f>CONCATENATE("BX-DETROITMI","-",LEFT(P6819,2),UPPER(MID(P6819,4,3)),RIGHT(P6819,4),"-0-")</f>
        <v>BX-DETROITMI-24MAY1918-0-</v>
      </c>
      <c r="D6819" s="39" t="s">
        <v>5750</v>
      </c>
      <c r="F6819" s="39" t="s">
        <v>5751</v>
      </c>
      <c r="G6819" s="39" t="s">
        <v>6152</v>
      </c>
      <c r="L6819" s="17">
        <v>4</v>
      </c>
      <c r="M6819" s="8">
        <v>1</v>
      </c>
      <c r="N6819" s="8">
        <f t="shared" si="2917"/>
        <v>1</v>
      </c>
      <c r="O6819" s="11" t="s">
        <v>1702</v>
      </c>
      <c r="P6819" s="16" t="str">
        <f t="shared" si="2918"/>
        <v>24-May-1918</v>
      </c>
      <c r="R6819" s="16" t="str">
        <f t="shared" si="2919"/>
        <v>x</v>
      </c>
      <c r="S6819" s="16" t="str">
        <f t="shared" si="2919"/>
        <v>x</v>
      </c>
      <c r="U6819" s="46" t="str">
        <f t="shared" si="2920"/>
        <v/>
      </c>
      <c r="V6819" s="46">
        <f t="shared" si="2920"/>
        <v>4</v>
      </c>
      <c r="W6819" s="46" t="str">
        <f t="shared" si="2920"/>
        <v/>
      </c>
      <c r="X6819" s="46" t="str">
        <f t="shared" si="2920"/>
        <v/>
      </c>
    </row>
    <row r="6820" spans="2:24" x14ac:dyDescent="0.25">
      <c r="B6820" s="11" t="str">
        <f>CONCATENATE("BX-NIAGARAFALLSNY","-",LEFT(P6820,2),UPPER(MID(P6820,4,3)),RIGHT(P6820,4),"-0-")</f>
        <v>BX-NIAGARAFALLSNY-14SEP1918-0-</v>
      </c>
      <c r="D6820" s="39" t="s">
        <v>5336</v>
      </c>
      <c r="F6820" s="39" t="s">
        <v>5337</v>
      </c>
      <c r="G6820" s="39" t="s">
        <v>11398</v>
      </c>
      <c r="L6820" s="7">
        <v>1</v>
      </c>
      <c r="M6820" s="8">
        <v>1</v>
      </c>
      <c r="N6820" s="8">
        <f t="shared" ref="N6820:N6825" si="2921">IF(L6820&gt;0,1,"")</f>
        <v>1</v>
      </c>
      <c r="O6820" s="11" t="s">
        <v>1702</v>
      </c>
      <c r="P6820" s="16" t="str">
        <f t="shared" ref="P6820:P6825" si="2922">IF(LEN(G6820)=10,CONCATENATE("0",G6820),G6820)</f>
        <v>14-Sep-1918</v>
      </c>
      <c r="R6820" s="16" t="str">
        <f>IF($L6820&gt;0,"x","")</f>
        <v>x</v>
      </c>
      <c r="S6820" s="16" t="str">
        <f>IF($L6820&gt;0,"x","")</f>
        <v>x</v>
      </c>
      <c r="U6820" s="46" t="str">
        <f>IF($O6820=U$5,$L6820,"")</f>
        <v/>
      </c>
      <c r="V6820" s="46">
        <f>IF($O6820=V$5,$L6820,"")</f>
        <v>1</v>
      </c>
      <c r="W6820" s="46" t="str">
        <f>IF($O6820=W$5,$L6820,"")</f>
        <v/>
      </c>
      <c r="X6820" s="46" t="str">
        <f>IF($O6820=X$5,$L6820,"")</f>
        <v/>
      </c>
    </row>
    <row r="6821" spans="2:24" x14ac:dyDescent="0.25">
      <c r="B6821" s="11" t="str">
        <f>CONCATENATE("BX-NIAGARAFALLSNY","-",LEFT(P6821,2),UPPER(MID(P6821,4,3)),RIGHT(P6821,4),"-0-")</f>
        <v>BX-NIAGARAFALLSNY-24NOV1918-0-</v>
      </c>
      <c r="D6821" s="39" t="s">
        <v>5336</v>
      </c>
      <c r="F6821" s="39" t="s">
        <v>5337</v>
      </c>
      <c r="G6821" s="39" t="s">
        <v>5338</v>
      </c>
      <c r="L6821" s="7">
        <v>3</v>
      </c>
      <c r="M6821" s="8">
        <v>1</v>
      </c>
      <c r="N6821" s="8">
        <f t="shared" si="2921"/>
        <v>1</v>
      </c>
      <c r="O6821" s="11" t="s">
        <v>1702</v>
      </c>
      <c r="P6821" s="16" t="str">
        <f t="shared" si="2922"/>
        <v>24-Nov-1918</v>
      </c>
      <c r="R6821" s="16" t="str">
        <f t="shared" si="2919"/>
        <v>x</v>
      </c>
      <c r="S6821" s="16" t="str">
        <f t="shared" si="2919"/>
        <v>x</v>
      </c>
      <c r="U6821" s="46" t="str">
        <f t="shared" si="2920"/>
        <v/>
      </c>
      <c r="V6821" s="46">
        <f t="shared" si="2920"/>
        <v>3</v>
      </c>
      <c r="W6821" s="46" t="str">
        <f t="shared" si="2920"/>
        <v/>
      </c>
      <c r="X6821" s="46" t="str">
        <f t="shared" si="2920"/>
        <v/>
      </c>
    </row>
    <row r="6822" spans="2:24" x14ac:dyDescent="0.25">
      <c r="B6822" s="11" t="str">
        <f>CONCATENATE("BX-DETROITMI","-",LEFT(P6822,2),UPPER(MID(P6822,4,3)),RIGHT(P6822,4),"-0-")</f>
        <v>BX-DETROITMI-24DEC1918-0-</v>
      </c>
      <c r="D6822" s="39" t="s">
        <v>5750</v>
      </c>
      <c r="F6822" s="39" t="s">
        <v>5751</v>
      </c>
      <c r="G6822" s="39" t="s">
        <v>11161</v>
      </c>
      <c r="L6822" s="17">
        <v>2</v>
      </c>
      <c r="M6822" s="8">
        <v>1</v>
      </c>
      <c r="N6822" s="8">
        <f t="shared" si="2921"/>
        <v>1</v>
      </c>
      <c r="O6822" s="11" t="s">
        <v>1702</v>
      </c>
      <c r="P6822" s="16" t="str">
        <f t="shared" si="2922"/>
        <v>24-Dec-1918</v>
      </c>
      <c r="R6822" s="16" t="str">
        <f t="shared" si="2919"/>
        <v>x</v>
      </c>
      <c r="S6822" s="16" t="str">
        <f t="shared" si="2919"/>
        <v>x</v>
      </c>
      <c r="U6822" s="46" t="str">
        <f t="shared" si="2920"/>
        <v/>
      </c>
      <c r="V6822" s="46">
        <f t="shared" si="2920"/>
        <v>2</v>
      </c>
      <c r="W6822" s="46" t="str">
        <f t="shared" si="2920"/>
        <v/>
      </c>
      <c r="X6822" s="46" t="str">
        <f t="shared" si="2920"/>
        <v/>
      </c>
    </row>
    <row r="6823" spans="2:24" x14ac:dyDescent="0.25">
      <c r="B6823" s="11" t="str">
        <f>CONCATENATE("BX-DETROITMI","-",LEFT(P6823,2),UPPER(MID(P6823,4,3)),RIGHT(P6823,4),"-0-")</f>
        <v>BX-DETROITMI-24JUN1919-0-</v>
      </c>
      <c r="D6823" s="39" t="s">
        <v>5750</v>
      </c>
      <c r="F6823" s="39" t="s">
        <v>5751</v>
      </c>
      <c r="G6823" s="39" t="s">
        <v>11208</v>
      </c>
      <c r="L6823" s="17">
        <v>4</v>
      </c>
      <c r="M6823" s="8">
        <v>1</v>
      </c>
      <c r="N6823" s="8">
        <f t="shared" si="2921"/>
        <v>1</v>
      </c>
      <c r="O6823" s="11" t="s">
        <v>1702</v>
      </c>
      <c r="P6823" s="16" t="str">
        <f t="shared" si="2922"/>
        <v>24-Jun-1919</v>
      </c>
      <c r="R6823" s="16" t="str">
        <f t="shared" si="2919"/>
        <v>x</v>
      </c>
      <c r="S6823" s="16" t="str">
        <f t="shared" si="2919"/>
        <v>x</v>
      </c>
      <c r="U6823" s="46" t="str">
        <f t="shared" si="2920"/>
        <v/>
      </c>
      <c r="V6823" s="46">
        <f t="shared" si="2920"/>
        <v>4</v>
      </c>
      <c r="W6823" s="46" t="str">
        <f t="shared" si="2920"/>
        <v/>
      </c>
      <c r="X6823" s="46" t="str">
        <f t="shared" si="2920"/>
        <v/>
      </c>
    </row>
    <row r="6824" spans="2:24" x14ac:dyDescent="0.25">
      <c r="B6824" s="11" t="str">
        <f>CONCATENATE("BX-NIAGARAFALLSNY","-",LEFT(P6824,2),UPPER(MID(P6824,4,3)),RIGHT(P6824,4),"-0-")</f>
        <v>BX-NIAGARAFALLSNY-24DEC1919-0-</v>
      </c>
      <c r="D6824" s="39" t="s">
        <v>5336</v>
      </c>
      <c r="F6824" s="39" t="s">
        <v>5337</v>
      </c>
      <c r="G6824" s="39" t="s">
        <v>11373</v>
      </c>
      <c r="L6824" s="7">
        <v>6</v>
      </c>
      <c r="M6824" s="8">
        <v>1</v>
      </c>
      <c r="N6824" s="8">
        <f t="shared" si="2921"/>
        <v>1</v>
      </c>
      <c r="O6824" s="11" t="s">
        <v>1702</v>
      </c>
      <c r="P6824" s="16" t="str">
        <f t="shared" si="2922"/>
        <v>24-Dec-1919</v>
      </c>
      <c r="R6824" s="16" t="str">
        <f t="shared" si="2919"/>
        <v>x</v>
      </c>
      <c r="S6824" s="16" t="str">
        <f t="shared" si="2919"/>
        <v>x</v>
      </c>
      <c r="U6824" s="46" t="str">
        <f t="shared" ref="U6824:X6825" si="2923">IF($O6824=U$5,$L6824,"")</f>
        <v/>
      </c>
      <c r="V6824" s="46">
        <f t="shared" si="2923"/>
        <v>6</v>
      </c>
      <c r="W6824" s="46" t="str">
        <f t="shared" si="2923"/>
        <v/>
      </c>
      <c r="X6824" s="46" t="str">
        <f t="shared" si="2923"/>
        <v/>
      </c>
    </row>
    <row r="6825" spans="2:24" x14ac:dyDescent="0.25">
      <c r="B6825" s="11" t="str">
        <f>CONCATENATE("BX-NIAGARAFALLSNY","-",LEFT(P6825,2),UPPER(MID(P6825,4,3)),RIGHT(P6825,4),"-0-")</f>
        <v>BX-NIAGARAFALLSNY-21FEB1920-0-</v>
      </c>
      <c r="D6825" s="39" t="s">
        <v>5336</v>
      </c>
      <c r="F6825" s="39" t="s">
        <v>5337</v>
      </c>
      <c r="G6825" s="39" t="s">
        <v>11430</v>
      </c>
      <c r="L6825" s="7">
        <v>1</v>
      </c>
      <c r="M6825" s="8">
        <v>1</v>
      </c>
      <c r="N6825" s="8">
        <f t="shared" si="2921"/>
        <v>1</v>
      </c>
      <c r="O6825" s="11" t="s">
        <v>1702</v>
      </c>
      <c r="P6825" s="16" t="str">
        <f t="shared" si="2922"/>
        <v>21-Feb-1920</v>
      </c>
      <c r="R6825" s="16" t="str">
        <f t="shared" si="2919"/>
        <v>x</v>
      </c>
      <c r="S6825" s="16" t="str">
        <f t="shared" si="2919"/>
        <v>x</v>
      </c>
      <c r="U6825" s="46" t="str">
        <f t="shared" si="2923"/>
        <v/>
      </c>
      <c r="V6825" s="46">
        <f t="shared" si="2923"/>
        <v>1</v>
      </c>
      <c r="W6825" s="46" t="str">
        <f t="shared" si="2923"/>
        <v/>
      </c>
      <c r="X6825" s="46" t="str">
        <f t="shared" si="2923"/>
        <v/>
      </c>
    </row>
    <row r="6826" spans="2:24" x14ac:dyDescent="0.25">
      <c r="B6826" s="11" t="str">
        <f>CONCATENATE("BX-NIAGARAFALLSNY","-",LEFT(P6826,2),UPPER(MID(P6826,4,3)),RIGHT(P6826,4),"-0-")</f>
        <v>BX-NIAGARAFALLSNY-24APR1920-0-</v>
      </c>
      <c r="D6826" s="39" t="s">
        <v>5336</v>
      </c>
      <c r="F6826" s="39" t="s">
        <v>5337</v>
      </c>
      <c r="G6826" s="39" t="s">
        <v>4137</v>
      </c>
      <c r="L6826" s="7">
        <v>10</v>
      </c>
      <c r="M6826" s="8">
        <v>1</v>
      </c>
      <c r="N6826" s="8">
        <f t="shared" si="2917"/>
        <v>1</v>
      </c>
      <c r="O6826" s="11" t="s">
        <v>1702</v>
      </c>
      <c r="P6826" s="16" t="str">
        <f t="shared" si="2918"/>
        <v>24-Apr-1920</v>
      </c>
      <c r="R6826" s="16" t="str">
        <f t="shared" si="2919"/>
        <v>x</v>
      </c>
      <c r="S6826" s="16" t="str">
        <f t="shared" si="2919"/>
        <v>x</v>
      </c>
      <c r="U6826" s="46" t="str">
        <f t="shared" si="2920"/>
        <v/>
      </c>
      <c r="V6826" s="46">
        <f t="shared" si="2920"/>
        <v>10</v>
      </c>
      <c r="W6826" s="46" t="str">
        <f t="shared" si="2920"/>
        <v/>
      </c>
      <c r="X6826" s="46" t="str">
        <f t="shared" si="2920"/>
        <v/>
      </c>
    </row>
    <row r="6827" spans="2:24" x14ac:dyDescent="0.25">
      <c r="B6827" s="11" t="str">
        <f t="shared" ref="B6827:B6832" si="2924">CONCATENATE("BX-DETROITMI","-",LEFT(P6827,2),UPPER(MID(P6827,4,3)),RIGHT(P6827,4),"-0-")</f>
        <v>BX-DETROITMI-24MAY1920-0-</v>
      </c>
      <c r="D6827" s="39" t="s">
        <v>5750</v>
      </c>
      <c r="F6827" s="39" t="s">
        <v>5751</v>
      </c>
      <c r="G6827" s="39" t="s">
        <v>11366</v>
      </c>
      <c r="L6827" s="17">
        <v>3</v>
      </c>
      <c r="M6827" s="8">
        <v>1</v>
      </c>
      <c r="N6827" s="8">
        <f>IF(L6827&gt;0,1,"")</f>
        <v>1</v>
      </c>
      <c r="O6827" s="11" t="s">
        <v>1702</v>
      </c>
      <c r="P6827" s="16" t="str">
        <f>IF(LEN(G6827)=10,CONCATENATE("0",G6827),G6827)</f>
        <v>24-May-1920</v>
      </c>
      <c r="R6827" s="16" t="str">
        <f t="shared" si="2919"/>
        <v>x</v>
      </c>
      <c r="S6827" s="16" t="str">
        <f t="shared" si="2919"/>
        <v>x</v>
      </c>
      <c r="U6827" s="46" t="str">
        <f>IF($O6827=U$5,$L6827,"")</f>
        <v/>
      </c>
      <c r="V6827" s="46">
        <f>IF($O6827=V$5,$L6827,"")</f>
        <v>3</v>
      </c>
      <c r="W6827" s="46" t="str">
        <f>IF($O6827=W$5,$L6827,"")</f>
        <v/>
      </c>
      <c r="X6827" s="46" t="str">
        <f>IF($O6827=X$5,$L6827,"")</f>
        <v/>
      </c>
    </row>
    <row r="6828" spans="2:24" x14ac:dyDescent="0.25">
      <c r="B6828" s="11" t="str">
        <f t="shared" si="2924"/>
        <v>BX-DETROITMI-24JUL1920-0-</v>
      </c>
      <c r="D6828" s="39" t="s">
        <v>5750</v>
      </c>
      <c r="F6828" s="39" t="s">
        <v>5751</v>
      </c>
      <c r="G6828" s="39" t="s">
        <v>1586</v>
      </c>
      <c r="L6828" s="17">
        <v>7</v>
      </c>
      <c r="M6828" s="8">
        <v>1</v>
      </c>
      <c r="N6828" s="8">
        <f t="shared" si="2917"/>
        <v>1</v>
      </c>
      <c r="O6828" s="11" t="s">
        <v>1702</v>
      </c>
      <c r="P6828" s="16" t="str">
        <f t="shared" si="2918"/>
        <v>24-Jul-1920</v>
      </c>
      <c r="R6828" s="16" t="str">
        <f t="shared" si="2919"/>
        <v>x</v>
      </c>
      <c r="S6828" s="16" t="str">
        <f t="shared" si="2919"/>
        <v>x</v>
      </c>
      <c r="U6828" s="46" t="str">
        <f t="shared" si="2920"/>
        <v/>
      </c>
      <c r="V6828" s="46">
        <f t="shared" si="2920"/>
        <v>7</v>
      </c>
      <c r="W6828" s="46" t="str">
        <f t="shared" si="2920"/>
        <v/>
      </c>
      <c r="X6828" s="46" t="str">
        <f t="shared" si="2920"/>
        <v/>
      </c>
    </row>
    <row r="6829" spans="2:24" x14ac:dyDescent="0.25">
      <c r="B6829" s="11" t="str">
        <f t="shared" si="2924"/>
        <v>BX-DETROITMI-24NOV1920-0-</v>
      </c>
      <c r="D6829" s="39" t="s">
        <v>5750</v>
      </c>
      <c r="F6829" s="39" t="s">
        <v>5751</v>
      </c>
      <c r="G6829" s="39" t="s">
        <v>2557</v>
      </c>
      <c r="L6829" s="17">
        <v>2</v>
      </c>
      <c r="M6829" s="8">
        <v>1</v>
      </c>
      <c r="N6829" s="8">
        <f>IF(L6829&gt;0,1,"")</f>
        <v>1</v>
      </c>
      <c r="O6829" s="11" t="s">
        <v>1702</v>
      </c>
      <c r="P6829" s="16" t="str">
        <f>IF(LEN(G6829)=10,CONCATENATE("0",G6829),G6829)</f>
        <v>24-Nov-1920</v>
      </c>
      <c r="R6829" s="16" t="str">
        <f t="shared" si="2919"/>
        <v>x</v>
      </c>
      <c r="S6829" s="16" t="str">
        <f t="shared" si="2919"/>
        <v>x</v>
      </c>
      <c r="U6829" s="46" t="str">
        <f t="shared" si="2920"/>
        <v/>
      </c>
      <c r="V6829" s="46">
        <f t="shared" si="2920"/>
        <v>2</v>
      </c>
      <c r="W6829" s="46" t="str">
        <f t="shared" si="2920"/>
        <v/>
      </c>
      <c r="X6829" s="46" t="str">
        <f t="shared" si="2920"/>
        <v/>
      </c>
    </row>
    <row r="6830" spans="2:24" x14ac:dyDescent="0.25">
      <c r="B6830" s="11" t="str">
        <f t="shared" si="2924"/>
        <v>BX-DETROITMI-25MAR1921-0-</v>
      </c>
      <c r="D6830" s="39" t="s">
        <v>5750</v>
      </c>
      <c r="F6830" s="39" t="s">
        <v>5751</v>
      </c>
      <c r="G6830" s="39" t="s">
        <v>6284</v>
      </c>
      <c r="L6830" s="17">
        <v>3</v>
      </c>
      <c r="M6830" s="8">
        <v>1</v>
      </c>
      <c r="N6830" s="8">
        <f t="shared" si="2917"/>
        <v>1</v>
      </c>
      <c r="O6830" s="11" t="s">
        <v>1702</v>
      </c>
      <c r="P6830" s="16" t="str">
        <f t="shared" si="2918"/>
        <v>25-Mar-1921</v>
      </c>
      <c r="R6830" s="16" t="str">
        <f t="shared" si="2919"/>
        <v>x</v>
      </c>
      <c r="S6830" s="16" t="str">
        <f t="shared" si="2919"/>
        <v>x</v>
      </c>
      <c r="U6830" s="46" t="str">
        <f t="shared" si="2920"/>
        <v/>
      </c>
      <c r="V6830" s="46">
        <f t="shared" si="2920"/>
        <v>3</v>
      </c>
      <c r="W6830" s="46" t="str">
        <f t="shared" si="2920"/>
        <v/>
      </c>
      <c r="X6830" s="46" t="str">
        <f t="shared" si="2920"/>
        <v/>
      </c>
    </row>
    <row r="6831" spans="2:24" x14ac:dyDescent="0.25">
      <c r="B6831" s="11" t="str">
        <f t="shared" si="2924"/>
        <v>BX-DETROITMI-24MAY1921-0-</v>
      </c>
      <c r="D6831" s="39" t="s">
        <v>5750</v>
      </c>
      <c r="F6831" s="39" t="s">
        <v>5751</v>
      </c>
      <c r="G6831" s="39" t="s">
        <v>11233</v>
      </c>
      <c r="L6831" s="17">
        <v>1</v>
      </c>
      <c r="M6831" s="8">
        <v>1</v>
      </c>
      <c r="N6831" s="8">
        <f>IF(L6831&gt;0,1,"")</f>
        <v>1</v>
      </c>
      <c r="O6831" s="11" t="s">
        <v>1702</v>
      </c>
      <c r="P6831" s="16" t="str">
        <f>IF(LEN(G6831)=10,CONCATENATE("0",G6831),G6831)</f>
        <v>24-May-1921</v>
      </c>
      <c r="R6831" s="16" t="str">
        <f t="shared" si="2919"/>
        <v>x</v>
      </c>
      <c r="S6831" s="16" t="str">
        <f t="shared" si="2919"/>
        <v>x</v>
      </c>
      <c r="U6831" s="46" t="str">
        <f t="shared" si="2920"/>
        <v/>
      </c>
      <c r="V6831" s="46">
        <f t="shared" si="2920"/>
        <v>1</v>
      </c>
      <c r="W6831" s="46" t="str">
        <f t="shared" si="2920"/>
        <v/>
      </c>
      <c r="X6831" s="46" t="str">
        <f t="shared" si="2920"/>
        <v/>
      </c>
    </row>
    <row r="6832" spans="2:24" x14ac:dyDescent="0.25">
      <c r="B6832" s="11" t="str">
        <f t="shared" si="2924"/>
        <v>BX-DETROITMI-08JUL1921-0-</v>
      </c>
      <c r="D6832" s="39" t="s">
        <v>5750</v>
      </c>
      <c r="F6832" s="39" t="s">
        <v>5751</v>
      </c>
      <c r="G6832" s="39" t="s">
        <v>11153</v>
      </c>
      <c r="L6832" s="17">
        <v>3</v>
      </c>
      <c r="M6832" s="8">
        <v>1</v>
      </c>
      <c r="N6832" s="8">
        <f t="shared" si="2917"/>
        <v>1</v>
      </c>
      <c r="O6832" s="11" t="s">
        <v>1702</v>
      </c>
      <c r="P6832" s="16" t="str">
        <f t="shared" si="2918"/>
        <v>08-Jul-1921</v>
      </c>
      <c r="R6832" s="16" t="str">
        <f t="shared" si="2919"/>
        <v>x</v>
      </c>
      <c r="S6832" s="16" t="str">
        <f t="shared" si="2919"/>
        <v>x</v>
      </c>
      <c r="U6832" s="46" t="str">
        <f t="shared" si="2920"/>
        <v/>
      </c>
      <c r="V6832" s="46">
        <f t="shared" si="2920"/>
        <v>3</v>
      </c>
      <c r="W6832" s="46" t="str">
        <f t="shared" si="2920"/>
        <v/>
      </c>
      <c r="X6832" s="46" t="str">
        <f t="shared" si="2920"/>
        <v/>
      </c>
    </row>
    <row r="6833" spans="2:24" x14ac:dyDescent="0.25">
      <c r="B6833" s="11" t="str">
        <f>CONCATENATE("BX-NIAGARAFALLSNY","-",LEFT(P6833,2),UPPER(MID(P6833,4,3)),RIGHT(P6833,4),"-0-")</f>
        <v>BX-NIAGARAFALLSNY-24AUG1921-0-</v>
      </c>
      <c r="D6833" s="39" t="s">
        <v>5336</v>
      </c>
      <c r="F6833" s="39" t="s">
        <v>5337</v>
      </c>
      <c r="G6833" s="39" t="s">
        <v>11392</v>
      </c>
      <c r="L6833" s="17">
        <v>3</v>
      </c>
      <c r="M6833" s="8">
        <v>1</v>
      </c>
      <c r="N6833" s="8">
        <f t="shared" si="2917"/>
        <v>1</v>
      </c>
      <c r="O6833" s="11" t="s">
        <v>1702</v>
      </c>
      <c r="P6833" s="16" t="str">
        <f t="shared" si="2918"/>
        <v>24-Aug-1921</v>
      </c>
      <c r="R6833" s="16" t="str">
        <f t="shared" si="2919"/>
        <v>x</v>
      </c>
      <c r="S6833" s="16" t="str">
        <f t="shared" si="2919"/>
        <v>x</v>
      </c>
      <c r="U6833" s="46" t="str">
        <f t="shared" ref="U6833:X6834" si="2925">IF($O6833=U$5,$L6833,"")</f>
        <v/>
      </c>
      <c r="V6833" s="46">
        <f t="shared" si="2925"/>
        <v>3</v>
      </c>
      <c r="W6833" s="46" t="str">
        <f t="shared" si="2925"/>
        <v/>
      </c>
      <c r="X6833" s="46" t="str">
        <f t="shared" si="2925"/>
        <v/>
      </c>
    </row>
    <row r="6834" spans="2:24" x14ac:dyDescent="0.25">
      <c r="B6834" s="11" t="str">
        <f>CONCATENATE("BX-DETROITMI","-",LEFT(P6834,2),UPPER(MID(P6834,4,3)),RIGHT(P6834,4),"-0-")</f>
        <v>BX-DETROITMI-24FEB1922-0-</v>
      </c>
      <c r="D6834" s="39" t="s">
        <v>5750</v>
      </c>
      <c r="F6834" s="39" t="s">
        <v>5751</v>
      </c>
      <c r="G6834" s="39" t="s">
        <v>2965</v>
      </c>
      <c r="L6834" s="17">
        <v>2</v>
      </c>
      <c r="M6834" s="8">
        <v>1</v>
      </c>
      <c r="N6834" s="8">
        <f>IF(L6834&gt;0,1,"")</f>
        <v>1</v>
      </c>
      <c r="O6834" s="11" t="s">
        <v>1702</v>
      </c>
      <c r="P6834" s="16" t="str">
        <f>IF(LEN(G6834)=10,CONCATENATE("0",G6834),G6834)</f>
        <v>24-Feb-1922</v>
      </c>
      <c r="R6834" s="16" t="str">
        <f>IF($L6834&gt;0,"x","")</f>
        <v>x</v>
      </c>
      <c r="S6834" s="16" t="str">
        <f>IF($L6834&gt;0,"x","")</f>
        <v>x</v>
      </c>
      <c r="U6834" s="46" t="str">
        <f t="shared" si="2925"/>
        <v/>
      </c>
      <c r="V6834" s="46">
        <f t="shared" si="2925"/>
        <v>2</v>
      </c>
      <c r="W6834" s="46" t="str">
        <f t="shared" si="2925"/>
        <v/>
      </c>
      <c r="X6834" s="46" t="str">
        <f t="shared" si="2925"/>
        <v/>
      </c>
    </row>
    <row r="6835" spans="2:24" x14ac:dyDescent="0.25">
      <c r="B6835" s="11" t="str">
        <f>CONCATENATE("BX-PORTHURONMI","-",LEFT(P6835,2),UPPER(MID(P6835,4,3)),RIGHT(P6835,4),"-0-")</f>
        <v>BX-PORTHURONMI-24APR1922-0-</v>
      </c>
      <c r="D6835" s="39" t="s">
        <v>6127</v>
      </c>
      <c r="F6835" s="39" t="s">
        <v>6128</v>
      </c>
      <c r="G6835" s="39" t="s">
        <v>6129</v>
      </c>
      <c r="L6835" s="7">
        <v>6</v>
      </c>
      <c r="M6835" s="8">
        <v>1</v>
      </c>
      <c r="N6835" s="8">
        <f t="shared" si="2917"/>
        <v>1</v>
      </c>
      <c r="O6835" s="11" t="s">
        <v>1702</v>
      </c>
      <c r="P6835" s="16" t="str">
        <f t="shared" si="2918"/>
        <v>24-Apr-1922</v>
      </c>
      <c r="R6835" s="16" t="str">
        <f t="shared" si="2919"/>
        <v>x</v>
      </c>
      <c r="S6835" s="16" t="str">
        <f t="shared" si="2919"/>
        <v>x</v>
      </c>
      <c r="U6835" s="46" t="str">
        <f t="shared" si="2920"/>
        <v/>
      </c>
      <c r="V6835" s="46">
        <f t="shared" si="2920"/>
        <v>6</v>
      </c>
      <c r="W6835" s="46" t="str">
        <f t="shared" si="2920"/>
        <v/>
      </c>
      <c r="X6835" s="46" t="str">
        <f t="shared" si="2920"/>
        <v/>
      </c>
    </row>
    <row r="6836" spans="2:24" x14ac:dyDescent="0.25">
      <c r="B6836" s="11" t="str">
        <f>CONCATENATE("BX-BUFFALONY","-",LEFT(P6836,2),UPPER(MID(P6836,4,3)),RIGHT(P6836,4),"-0-")</f>
        <v>BX-BUFFALONY-25APR1922-0-</v>
      </c>
      <c r="D6836" s="39" t="s">
        <v>6277</v>
      </c>
      <c r="F6836" s="39" t="s">
        <v>6278</v>
      </c>
      <c r="G6836" s="39" t="s">
        <v>1156</v>
      </c>
      <c r="L6836" s="17">
        <v>1</v>
      </c>
      <c r="M6836" s="8">
        <v>1</v>
      </c>
      <c r="N6836" s="8">
        <f t="shared" si="2917"/>
        <v>1</v>
      </c>
      <c r="O6836" s="11" t="s">
        <v>1702</v>
      </c>
      <c r="P6836" s="16" t="str">
        <f t="shared" si="2918"/>
        <v>25-Apr-1922</v>
      </c>
      <c r="R6836" s="16" t="str">
        <f t="shared" si="2919"/>
        <v>x</v>
      </c>
      <c r="S6836" s="16" t="str">
        <f t="shared" si="2919"/>
        <v>x</v>
      </c>
      <c r="U6836" s="46" t="str">
        <f t="shared" si="2920"/>
        <v/>
      </c>
      <c r="V6836" s="46">
        <f t="shared" si="2920"/>
        <v>1</v>
      </c>
      <c r="W6836" s="46" t="str">
        <f t="shared" si="2920"/>
        <v/>
      </c>
      <c r="X6836" s="46" t="str">
        <f t="shared" si="2920"/>
        <v/>
      </c>
    </row>
    <row r="6837" spans="2:24" x14ac:dyDescent="0.25">
      <c r="B6837" s="11" t="str">
        <f t="shared" ref="B6837:B6843" si="2926">CONCATENATE("BX-DETROITMI","-",LEFT(P6837,2),UPPER(MID(P6837,4,3)),RIGHT(P6837,4),"-0-")</f>
        <v>BX-DETROITMI-24NOV1922-0-</v>
      </c>
      <c r="D6837" s="39" t="s">
        <v>5750</v>
      </c>
      <c r="F6837" s="39" t="s">
        <v>5751</v>
      </c>
      <c r="G6837" s="39" t="s">
        <v>6180</v>
      </c>
      <c r="L6837" s="17">
        <v>7</v>
      </c>
      <c r="M6837" s="8">
        <v>1</v>
      </c>
      <c r="N6837" s="8">
        <f t="shared" ref="N6837:N6853" si="2927">IF(L6837&gt;0,1,"")</f>
        <v>1</v>
      </c>
      <c r="O6837" s="11" t="s">
        <v>1702</v>
      </c>
      <c r="P6837" s="16" t="str">
        <f t="shared" ref="P6837:P6853" si="2928">IF(LEN(G6837)=10,CONCATENATE("0",G6837),G6837)</f>
        <v>24-Nov-1922</v>
      </c>
      <c r="R6837" s="16" t="str">
        <f t="shared" si="2919"/>
        <v>x</v>
      </c>
      <c r="S6837" s="16" t="str">
        <f t="shared" si="2919"/>
        <v>x</v>
      </c>
      <c r="U6837" s="46" t="str">
        <f t="shared" si="2920"/>
        <v/>
      </c>
      <c r="V6837" s="46">
        <f t="shared" si="2920"/>
        <v>7</v>
      </c>
      <c r="W6837" s="46" t="str">
        <f t="shared" si="2920"/>
        <v/>
      </c>
      <c r="X6837" s="46" t="str">
        <f t="shared" si="2920"/>
        <v/>
      </c>
    </row>
    <row r="6838" spans="2:24" x14ac:dyDescent="0.25">
      <c r="B6838" s="11" t="str">
        <f t="shared" si="2926"/>
        <v>BX-DETROITMI-24MAR1923-0-</v>
      </c>
      <c r="D6838" s="39" t="s">
        <v>5750</v>
      </c>
      <c r="F6838" s="39" t="s">
        <v>5751</v>
      </c>
      <c r="G6838" s="39" t="s">
        <v>4303</v>
      </c>
      <c r="L6838" s="17">
        <v>4</v>
      </c>
      <c r="M6838" s="8">
        <v>1</v>
      </c>
      <c r="N6838" s="8">
        <f t="shared" si="2927"/>
        <v>1</v>
      </c>
      <c r="O6838" s="11" t="s">
        <v>1702</v>
      </c>
      <c r="P6838" s="16" t="str">
        <f t="shared" si="2928"/>
        <v>24-Mar-1923</v>
      </c>
      <c r="R6838" s="16" t="str">
        <f t="shared" si="2919"/>
        <v>x</v>
      </c>
      <c r="S6838" s="16" t="str">
        <f t="shared" si="2919"/>
        <v>x</v>
      </c>
      <c r="U6838" s="46" t="str">
        <f t="shared" si="2920"/>
        <v/>
      </c>
      <c r="V6838" s="46">
        <f t="shared" si="2920"/>
        <v>4</v>
      </c>
      <c r="W6838" s="46" t="str">
        <f t="shared" si="2920"/>
        <v/>
      </c>
      <c r="X6838" s="46" t="str">
        <f t="shared" si="2920"/>
        <v/>
      </c>
    </row>
    <row r="6839" spans="2:24" x14ac:dyDescent="0.25">
      <c r="B6839" s="11" t="str">
        <f>CONCATENATE("BX-LAREDOTX","-",LEFT(P6839,2),UPPER(MID(P6839,4,3)),RIGHT(P6839,4),"-0-")</f>
        <v>BX-LAREDOTX-13JUL1923-0-</v>
      </c>
      <c r="D6839" s="39" t="s">
        <v>5489</v>
      </c>
      <c r="F6839" s="39" t="s">
        <v>5490</v>
      </c>
      <c r="G6839" s="39" t="s">
        <v>2862</v>
      </c>
      <c r="L6839" s="7">
        <v>3</v>
      </c>
      <c r="M6839" s="8">
        <v>1</v>
      </c>
      <c r="N6839" s="8">
        <f t="shared" si="2927"/>
        <v>1</v>
      </c>
      <c r="O6839" s="11" t="s">
        <v>1702</v>
      </c>
      <c r="P6839" s="16" t="str">
        <f t="shared" si="2928"/>
        <v>13-Jul-1923</v>
      </c>
      <c r="R6839" s="16" t="str">
        <f t="shared" si="2919"/>
        <v>x</v>
      </c>
      <c r="S6839" s="16" t="str">
        <f t="shared" si="2919"/>
        <v>x</v>
      </c>
      <c r="U6839" s="46" t="str">
        <f>IF($O6839=U$5,$L6839,"")</f>
        <v/>
      </c>
      <c r="V6839" s="46">
        <f>IF($O6839=V$5,$L6839,"")</f>
        <v>3</v>
      </c>
      <c r="W6839" s="46" t="str">
        <f>IF($O6839=W$5,$L6839,"")</f>
        <v/>
      </c>
      <c r="X6839" s="46" t="str">
        <f>IF($O6839=X$5,$L6839,"")</f>
        <v/>
      </c>
    </row>
    <row r="6840" spans="2:24" x14ac:dyDescent="0.25">
      <c r="B6840" s="11" t="str">
        <f t="shared" si="2926"/>
        <v>BX-DETROITMI-24JUL1923-0-</v>
      </c>
      <c r="D6840" s="39" t="s">
        <v>5750</v>
      </c>
      <c r="F6840" s="39" t="s">
        <v>5751</v>
      </c>
      <c r="G6840" s="39" t="s">
        <v>4440</v>
      </c>
      <c r="L6840" s="17">
        <v>14</v>
      </c>
      <c r="M6840" s="8">
        <v>1</v>
      </c>
      <c r="N6840" s="8">
        <f t="shared" si="2927"/>
        <v>1</v>
      </c>
      <c r="O6840" s="11" t="s">
        <v>1702</v>
      </c>
      <c r="P6840" s="16" t="str">
        <f t="shared" si="2928"/>
        <v>24-Jul-1923</v>
      </c>
      <c r="R6840" s="16" t="str">
        <f t="shared" si="2919"/>
        <v>x</v>
      </c>
      <c r="S6840" s="16" t="str">
        <f t="shared" si="2919"/>
        <v>x</v>
      </c>
      <c r="U6840" s="46" t="str">
        <f t="shared" si="2920"/>
        <v/>
      </c>
      <c r="V6840" s="46">
        <f t="shared" si="2920"/>
        <v>14</v>
      </c>
      <c r="W6840" s="46" t="str">
        <f t="shared" si="2920"/>
        <v/>
      </c>
      <c r="X6840" s="46" t="str">
        <f t="shared" si="2920"/>
        <v/>
      </c>
    </row>
    <row r="6841" spans="2:24" x14ac:dyDescent="0.25">
      <c r="B6841" s="11" t="str">
        <f t="shared" si="2926"/>
        <v>BX-DETROITMI-24SEP1923-0-</v>
      </c>
      <c r="D6841" s="39" t="s">
        <v>5750</v>
      </c>
      <c r="F6841" s="39" t="s">
        <v>5751</v>
      </c>
      <c r="G6841" s="39" t="s">
        <v>4325</v>
      </c>
      <c r="L6841" s="17">
        <v>4</v>
      </c>
      <c r="M6841" s="8">
        <v>1</v>
      </c>
      <c r="N6841" s="8">
        <f>IF(L6841&gt;0,1,"")</f>
        <v>1</v>
      </c>
      <c r="O6841" s="11" t="s">
        <v>1702</v>
      </c>
      <c r="P6841" s="16" t="str">
        <f>IF(LEN(G6841)=10,CONCATENATE("0",G6841),G6841)</f>
        <v>24-Sep-1923</v>
      </c>
      <c r="R6841" s="16" t="str">
        <f t="shared" si="2919"/>
        <v>x</v>
      </c>
      <c r="S6841" s="16" t="str">
        <f t="shared" si="2919"/>
        <v>x</v>
      </c>
      <c r="U6841" s="46" t="str">
        <f t="shared" si="2920"/>
        <v/>
      </c>
      <c r="V6841" s="46">
        <f t="shared" si="2920"/>
        <v>4</v>
      </c>
      <c r="W6841" s="46" t="str">
        <f t="shared" si="2920"/>
        <v/>
      </c>
      <c r="X6841" s="46" t="str">
        <f t="shared" si="2920"/>
        <v/>
      </c>
    </row>
    <row r="6842" spans="2:24" x14ac:dyDescent="0.25">
      <c r="B6842" s="11" t="str">
        <f t="shared" si="2926"/>
        <v>BX-DETROITMI-24NOV1923-0-</v>
      </c>
      <c r="D6842" s="39" t="s">
        <v>5750</v>
      </c>
      <c r="F6842" s="39" t="s">
        <v>5751</v>
      </c>
      <c r="G6842" s="39" t="s">
        <v>11211</v>
      </c>
      <c r="L6842" s="17">
        <v>5</v>
      </c>
      <c r="M6842" s="8">
        <v>1</v>
      </c>
      <c r="N6842" s="8">
        <f>IF(L6842&gt;0,1,"")</f>
        <v>1</v>
      </c>
      <c r="O6842" s="11" t="s">
        <v>1702</v>
      </c>
      <c r="P6842" s="16" t="str">
        <f>IF(LEN(G6842)=10,CONCATENATE("0",G6842),G6842)</f>
        <v>24-Nov-1923</v>
      </c>
      <c r="R6842" s="16" t="str">
        <f t="shared" si="2919"/>
        <v>x</v>
      </c>
      <c r="S6842" s="16" t="str">
        <f t="shared" si="2919"/>
        <v>x</v>
      </c>
      <c r="U6842" s="46" t="str">
        <f t="shared" si="2920"/>
        <v/>
      </c>
      <c r="V6842" s="46">
        <f t="shared" si="2920"/>
        <v>5</v>
      </c>
      <c r="W6842" s="46" t="str">
        <f t="shared" si="2920"/>
        <v/>
      </c>
      <c r="X6842" s="46" t="str">
        <f t="shared" si="2920"/>
        <v/>
      </c>
    </row>
    <row r="6843" spans="2:24" x14ac:dyDescent="0.25">
      <c r="B6843" s="11" t="str">
        <f t="shared" si="2926"/>
        <v>BX-DETROITMI-15DEC1923-0-</v>
      </c>
      <c r="D6843" s="39" t="s">
        <v>5750</v>
      </c>
      <c r="F6843" s="39" t="s">
        <v>5751</v>
      </c>
      <c r="G6843" s="39" t="s">
        <v>6226</v>
      </c>
      <c r="L6843" s="17">
        <v>3</v>
      </c>
      <c r="M6843" s="8">
        <v>1</v>
      </c>
      <c r="N6843" s="8">
        <f t="shared" si="2927"/>
        <v>1</v>
      </c>
      <c r="O6843" s="11" t="s">
        <v>1702</v>
      </c>
      <c r="P6843" s="16" t="str">
        <f t="shared" si="2928"/>
        <v>15-Dec-1923</v>
      </c>
      <c r="R6843" s="16" t="str">
        <f t="shared" si="2919"/>
        <v>x</v>
      </c>
      <c r="S6843" s="16" t="str">
        <f t="shared" si="2919"/>
        <v>x</v>
      </c>
      <c r="U6843" s="46" t="str">
        <f t="shared" si="2920"/>
        <v/>
      </c>
      <c r="V6843" s="46">
        <f t="shared" si="2920"/>
        <v>3</v>
      </c>
      <c r="W6843" s="46" t="str">
        <f t="shared" si="2920"/>
        <v/>
      </c>
      <c r="X6843" s="46" t="str">
        <f t="shared" si="2920"/>
        <v/>
      </c>
    </row>
    <row r="6844" spans="2:24" x14ac:dyDescent="0.25">
      <c r="B6844" s="11" t="str">
        <f>CONCATENATE("BX-NIAGARAFALLSNY","-",LEFT(P6844,2),UPPER(MID(P6844,4,3)),RIGHT(P6844,4),"-0-")</f>
        <v>BX-NIAGARAFALLSNY-24JAN1924-0-</v>
      </c>
      <c r="D6844" s="39" t="s">
        <v>5336</v>
      </c>
      <c r="F6844" s="39" t="s">
        <v>5337</v>
      </c>
      <c r="G6844" s="39" t="s">
        <v>6291</v>
      </c>
      <c r="L6844" s="7">
        <v>3</v>
      </c>
      <c r="M6844" s="8">
        <v>1</v>
      </c>
      <c r="N6844" s="8">
        <f t="shared" ref="N6844:N6849" si="2929">IF(L6844&gt;0,1,"")</f>
        <v>1</v>
      </c>
      <c r="O6844" s="11" t="s">
        <v>1702</v>
      </c>
      <c r="P6844" s="16" t="str">
        <f t="shared" ref="P6844:P6849" si="2930">IF(LEN(G6844)=10,CONCATENATE("0",G6844),G6844)</f>
        <v>24-Jan-1924</v>
      </c>
      <c r="R6844" s="16" t="str">
        <f t="shared" si="2919"/>
        <v>x</v>
      </c>
      <c r="S6844" s="16" t="str">
        <f t="shared" si="2919"/>
        <v>x</v>
      </c>
      <c r="U6844" s="46" t="str">
        <f>IF($O6844=U$5,$L6844,"")</f>
        <v/>
      </c>
      <c r="V6844" s="46">
        <f>IF($O6844=V$5,$L6844,"")</f>
        <v>3</v>
      </c>
      <c r="W6844" s="46" t="str">
        <f>IF($O6844=W$5,$L6844,"")</f>
        <v/>
      </c>
      <c r="X6844" s="46" t="str">
        <f>IF($O6844=X$5,$L6844,"")</f>
        <v/>
      </c>
    </row>
    <row r="6845" spans="2:24" x14ac:dyDescent="0.25">
      <c r="B6845" s="11" t="str">
        <f>CONCATENATE("BX-DETROITMI","-",LEFT(P6845,2),UPPER(MID(P6845,4,3)),RIGHT(P6845,4),"-0-")</f>
        <v>BX-DETROITMI-29JAN1924-0-</v>
      </c>
      <c r="D6845" s="39" t="s">
        <v>5750</v>
      </c>
      <c r="F6845" s="39" t="s">
        <v>5751</v>
      </c>
      <c r="G6845" s="39" t="s">
        <v>11212</v>
      </c>
      <c r="L6845" s="17">
        <v>2</v>
      </c>
      <c r="M6845" s="8">
        <v>1</v>
      </c>
      <c r="N6845" s="8">
        <f t="shared" si="2929"/>
        <v>1</v>
      </c>
      <c r="O6845" s="11" t="s">
        <v>1702</v>
      </c>
      <c r="P6845" s="16" t="str">
        <f t="shared" si="2930"/>
        <v>29-Jan-1924</v>
      </c>
      <c r="R6845" s="16" t="str">
        <f t="shared" si="2919"/>
        <v>x</v>
      </c>
      <c r="S6845" s="16" t="str">
        <f t="shared" si="2919"/>
        <v>x</v>
      </c>
      <c r="U6845" s="46" t="str">
        <f t="shared" si="2920"/>
        <v/>
      </c>
      <c r="V6845" s="46">
        <f t="shared" si="2920"/>
        <v>2</v>
      </c>
      <c r="W6845" s="46" t="str">
        <f t="shared" si="2920"/>
        <v/>
      </c>
      <c r="X6845" s="46" t="str">
        <f t="shared" si="2920"/>
        <v/>
      </c>
    </row>
    <row r="6846" spans="2:24" x14ac:dyDescent="0.25">
      <c r="B6846" s="11" t="str">
        <f>CONCATENATE("BX-DETROITMI","-",LEFT(P6846,2),UPPER(MID(P6846,4,3)),RIGHT(P6846,4),"-0-")</f>
        <v>BX-DETROITMI-17APR1924-0-</v>
      </c>
      <c r="D6846" s="39" t="s">
        <v>5750</v>
      </c>
      <c r="F6846" s="39" t="s">
        <v>5751</v>
      </c>
      <c r="G6846" s="39" t="s">
        <v>2849</v>
      </c>
      <c r="L6846" s="17">
        <v>1</v>
      </c>
      <c r="M6846" s="8">
        <v>1</v>
      </c>
      <c r="N6846" s="8">
        <f t="shared" si="2929"/>
        <v>1</v>
      </c>
      <c r="O6846" s="11" t="s">
        <v>1702</v>
      </c>
      <c r="P6846" s="16" t="str">
        <f t="shared" si="2930"/>
        <v>17-Apr-1924</v>
      </c>
      <c r="R6846" s="16" t="str">
        <f>IF($L6846&gt;0,"x","")</f>
        <v>x</v>
      </c>
      <c r="S6846" s="16" t="str">
        <f>IF($L6846&gt;0,"x","")</f>
        <v>x</v>
      </c>
      <c r="U6846" s="46" t="str">
        <f t="shared" si="2920"/>
        <v/>
      </c>
      <c r="V6846" s="46">
        <f t="shared" si="2920"/>
        <v>1</v>
      </c>
      <c r="W6846" s="46" t="str">
        <f t="shared" si="2920"/>
        <v/>
      </c>
      <c r="X6846" s="46" t="str">
        <f>IF($O6846=X$5,$L6846,"")</f>
        <v/>
      </c>
    </row>
    <row r="6847" spans="2:24" x14ac:dyDescent="0.25">
      <c r="B6847" s="11" t="str">
        <f>CONCATENATE("BX-DETROITMI","-",LEFT(P6847,2),UPPER(MID(P6847,4,3)),RIGHT(P6847,4),"-0-")</f>
        <v>BX-DETROITMI-24APR1924-0-</v>
      </c>
      <c r="D6847" s="39" t="s">
        <v>5750</v>
      </c>
      <c r="F6847" s="39" t="s">
        <v>5751</v>
      </c>
      <c r="G6847" s="39" t="s">
        <v>6281</v>
      </c>
      <c r="L6847" s="17">
        <v>5</v>
      </c>
      <c r="M6847" s="8">
        <v>1</v>
      </c>
      <c r="N6847" s="8">
        <f t="shared" si="2929"/>
        <v>1</v>
      </c>
      <c r="O6847" s="11" t="s">
        <v>1702</v>
      </c>
      <c r="P6847" s="16" t="str">
        <f t="shared" si="2930"/>
        <v>24-Apr-1924</v>
      </c>
      <c r="R6847" s="16" t="str">
        <f t="shared" si="2919"/>
        <v>x</v>
      </c>
      <c r="S6847" s="16" t="str">
        <f t="shared" si="2919"/>
        <v>x</v>
      </c>
      <c r="U6847" s="46" t="str">
        <f t="shared" si="2920"/>
        <v/>
      </c>
      <c r="V6847" s="46">
        <f t="shared" si="2920"/>
        <v>5</v>
      </c>
      <c r="W6847" s="46" t="str">
        <f t="shared" si="2920"/>
        <v/>
      </c>
      <c r="X6847" s="46" t="str">
        <f t="shared" si="2920"/>
        <v/>
      </c>
    </row>
    <row r="6848" spans="2:24" x14ac:dyDescent="0.25">
      <c r="B6848" s="11" t="str">
        <f>CONCATENATE("BX-ELPASOTX","-",LEFT(P6848,2),UPPER(MID(P6848,4,3)),RIGHT(P6848,4),"-0-")</f>
        <v>BX-ELPASOTX-19JAN1925-0-</v>
      </c>
      <c r="D6848" s="39" t="s">
        <v>5199</v>
      </c>
      <c r="F6848" s="39" t="s">
        <v>5200</v>
      </c>
      <c r="G6848" s="39" t="s">
        <v>11272</v>
      </c>
      <c r="L6848" s="7">
        <v>4</v>
      </c>
      <c r="M6848" s="8">
        <v>1</v>
      </c>
      <c r="N6848" s="8">
        <f t="shared" si="2929"/>
        <v>1</v>
      </c>
      <c r="O6848" s="11" t="s">
        <v>1702</v>
      </c>
      <c r="P6848" s="16" t="str">
        <f t="shared" si="2930"/>
        <v>19-Jan-1925</v>
      </c>
      <c r="R6848" s="16" t="str">
        <f t="shared" si="2919"/>
        <v>x</v>
      </c>
      <c r="S6848" s="16" t="str">
        <f t="shared" si="2919"/>
        <v>x</v>
      </c>
      <c r="U6848" s="46" t="str">
        <f>IF($O6848=U$5,$L6848,"")</f>
        <v/>
      </c>
      <c r="V6848" s="46">
        <f>IF($O6848=V$5,$L6848,"")</f>
        <v>4</v>
      </c>
      <c r="W6848" s="46" t="str">
        <f>IF($O6848=W$5,$L6848,"")</f>
        <v/>
      </c>
      <c r="X6848" s="46" t="str">
        <f>IF($O6848=X$5,$L6848,"")</f>
        <v/>
      </c>
    </row>
    <row r="6849" spans="2:24" x14ac:dyDescent="0.25">
      <c r="B6849" s="11" t="str">
        <f>CONCATENATE("BX-NIAGARAFALLSNY","-",LEFT(P6849,2),UPPER(MID(P6849,4,3)),RIGHT(P6849,4),"-0-")</f>
        <v>BX-NIAGARAFALLSNY-12FEB1925-0-</v>
      </c>
      <c r="D6849" s="39" t="s">
        <v>5336</v>
      </c>
      <c r="F6849" s="39" t="s">
        <v>5337</v>
      </c>
      <c r="G6849" s="39" t="s">
        <v>4429</v>
      </c>
      <c r="L6849" s="7">
        <v>1</v>
      </c>
      <c r="M6849" s="8">
        <v>1</v>
      </c>
      <c r="N6849" s="8">
        <f t="shared" si="2929"/>
        <v>1</v>
      </c>
      <c r="O6849" s="11" t="s">
        <v>1702</v>
      </c>
      <c r="P6849" s="16" t="str">
        <f t="shared" si="2930"/>
        <v>12-Feb-1925</v>
      </c>
      <c r="R6849" s="16" t="str">
        <f t="shared" si="2919"/>
        <v>x</v>
      </c>
      <c r="S6849" s="16" t="str">
        <f t="shared" si="2919"/>
        <v>x</v>
      </c>
      <c r="U6849" s="46" t="str">
        <f t="shared" ref="U6849:X6850" si="2931">IF($O6849=U$5,$L6849,"")</f>
        <v/>
      </c>
      <c r="V6849" s="46">
        <f t="shared" si="2931"/>
        <v>1</v>
      </c>
      <c r="W6849" s="46" t="str">
        <f t="shared" si="2931"/>
        <v/>
      </c>
      <c r="X6849" s="46" t="str">
        <f t="shared" si="2931"/>
        <v/>
      </c>
    </row>
    <row r="6850" spans="2:24" x14ac:dyDescent="0.25">
      <c r="B6850" s="11" t="str">
        <f>CONCATENATE("BX-NIAGARAFALLSNY","-",LEFT(P6850,2),UPPER(MID(P6850,4,3)),RIGHT(P6850,4),"-0-")</f>
        <v>BX-NIAGARAFALLSNY-12MAR1925-0-</v>
      </c>
      <c r="D6850" s="39" t="s">
        <v>5336</v>
      </c>
      <c r="F6850" s="39" t="s">
        <v>5337</v>
      </c>
      <c r="G6850" s="39" t="s">
        <v>6258</v>
      </c>
      <c r="L6850" s="7">
        <v>1</v>
      </c>
      <c r="M6850" s="8">
        <v>1</v>
      </c>
      <c r="N6850" s="8">
        <f t="shared" si="2927"/>
        <v>1</v>
      </c>
      <c r="O6850" s="11" t="s">
        <v>1702</v>
      </c>
      <c r="P6850" s="16" t="str">
        <f t="shared" si="2928"/>
        <v>12-Mar-1925</v>
      </c>
      <c r="R6850" s="16" t="str">
        <f t="shared" si="2919"/>
        <v>x</v>
      </c>
      <c r="S6850" s="16" t="str">
        <f t="shared" si="2919"/>
        <v>x</v>
      </c>
      <c r="U6850" s="46" t="str">
        <f t="shared" si="2931"/>
        <v/>
      </c>
      <c r="V6850" s="46">
        <f t="shared" si="2931"/>
        <v>1</v>
      </c>
      <c r="W6850" s="46" t="str">
        <f t="shared" si="2931"/>
        <v/>
      </c>
      <c r="X6850" s="46" t="str">
        <f t="shared" si="2931"/>
        <v/>
      </c>
    </row>
    <row r="6851" spans="2:24" x14ac:dyDescent="0.25">
      <c r="B6851" s="11" t="str">
        <f>CONCATENATE("BX-DETROITMI","-",LEFT(P6851,2),UPPER(MID(P6851,4,3)),RIGHT(P6851,4),"-0-")</f>
        <v>BX-DETROITMI-04JUN1925-0-</v>
      </c>
      <c r="D6851" s="39" t="s">
        <v>5750</v>
      </c>
      <c r="F6851" s="39" t="s">
        <v>5751</v>
      </c>
      <c r="G6851" s="39" t="s">
        <v>4498</v>
      </c>
      <c r="L6851" s="17">
        <v>2</v>
      </c>
      <c r="M6851" s="8">
        <v>1</v>
      </c>
      <c r="N6851" s="8">
        <f t="shared" si="2927"/>
        <v>1</v>
      </c>
      <c r="O6851" s="11" t="s">
        <v>1702</v>
      </c>
      <c r="P6851" s="16" t="str">
        <f t="shared" si="2928"/>
        <v>04-Jun-1925</v>
      </c>
      <c r="R6851" s="16" t="str">
        <f t="shared" si="2919"/>
        <v>x</v>
      </c>
      <c r="S6851" s="16" t="str">
        <f t="shared" si="2919"/>
        <v>x</v>
      </c>
      <c r="U6851" s="46" t="str">
        <f t="shared" si="2920"/>
        <v/>
      </c>
      <c r="V6851" s="46">
        <f t="shared" si="2920"/>
        <v>2</v>
      </c>
      <c r="W6851" s="46" t="str">
        <f t="shared" si="2920"/>
        <v/>
      </c>
      <c r="X6851" s="46" t="str">
        <f t="shared" si="2920"/>
        <v/>
      </c>
    </row>
    <row r="6852" spans="2:24" x14ac:dyDescent="0.25">
      <c r="B6852" s="11" t="str">
        <f>CONCATENATE("BX-EAGLEPASSTX","-",LEFT(P6852,2),UPPER(MID(P6852,4,3)),RIGHT(P6852,4),"-0-")</f>
        <v>BX-EAGLEPASSTX-19JUN1925-0-</v>
      </c>
      <c r="D6852" s="39" t="s">
        <v>11268</v>
      </c>
      <c r="F6852" s="39" t="s">
        <v>11269</v>
      </c>
      <c r="G6852" s="39" t="s">
        <v>11270</v>
      </c>
      <c r="L6852" s="17">
        <v>1</v>
      </c>
      <c r="M6852" s="8">
        <v>1</v>
      </c>
      <c r="N6852" s="8">
        <f>IF(L6852&gt;0,1,"")</f>
        <v>1</v>
      </c>
      <c r="O6852" s="11" t="s">
        <v>1702</v>
      </c>
      <c r="P6852" s="16" t="str">
        <f>IF(LEN(G6852)=10,CONCATENATE("0",G6852),G6852)</f>
        <v>19-Jun-1925</v>
      </c>
      <c r="R6852" s="16" t="str">
        <f t="shared" si="2919"/>
        <v>x</v>
      </c>
      <c r="S6852" s="16" t="str">
        <f t="shared" si="2919"/>
        <v>x</v>
      </c>
      <c r="U6852" s="46" t="str">
        <f t="shared" ref="U6852:X6853" si="2932">IF($O6852=U$5,$L6852,"")</f>
        <v/>
      </c>
      <c r="V6852" s="46">
        <f t="shared" si="2932"/>
        <v>1</v>
      </c>
      <c r="W6852" s="46" t="str">
        <f t="shared" si="2932"/>
        <v/>
      </c>
      <c r="X6852" s="46" t="str">
        <f t="shared" si="2932"/>
        <v/>
      </c>
    </row>
    <row r="6853" spans="2:24" x14ac:dyDescent="0.25">
      <c r="B6853" s="11" t="str">
        <f>CONCATENATE("BX-NIAGARAFALLSNY","-",LEFT(P6853,2),UPPER(MID(P6853,4,3)),RIGHT(P6853,4),"-0-")</f>
        <v>BX-NIAGARAFALLSNY-01AUG1925-0-</v>
      </c>
      <c r="D6853" s="39" t="s">
        <v>5336</v>
      </c>
      <c r="F6853" s="39" t="s">
        <v>5337</v>
      </c>
      <c r="G6853" s="39" t="s">
        <v>6259</v>
      </c>
      <c r="L6853" s="7">
        <v>1</v>
      </c>
      <c r="M6853" s="8">
        <v>1</v>
      </c>
      <c r="N6853" s="8">
        <f t="shared" si="2927"/>
        <v>1</v>
      </c>
      <c r="O6853" s="11" t="s">
        <v>1702</v>
      </c>
      <c r="P6853" s="16" t="str">
        <f t="shared" si="2928"/>
        <v>01-Aug-1925</v>
      </c>
      <c r="R6853" s="16" t="str">
        <f t="shared" si="2919"/>
        <v>x</v>
      </c>
      <c r="S6853" s="16" t="str">
        <f t="shared" si="2919"/>
        <v>x</v>
      </c>
      <c r="U6853" s="46" t="str">
        <f t="shared" si="2932"/>
        <v/>
      </c>
      <c r="V6853" s="46">
        <f t="shared" si="2932"/>
        <v>1</v>
      </c>
      <c r="W6853" s="46" t="str">
        <f t="shared" si="2932"/>
        <v/>
      </c>
      <c r="X6853" s="46" t="str">
        <f t="shared" si="2932"/>
        <v/>
      </c>
    </row>
    <row r="6854" spans="2:24" x14ac:dyDescent="0.25">
      <c r="B6854" s="11" t="str">
        <f>CONCATENATE("BX-SANYSIDROCA","-",LEFT(P6854,2),UPPER(MID(P6854,4,3)),RIGHT(P6854,4),"-0-")</f>
        <v>BX-SANYSIDROCA-07AUG1925-0-</v>
      </c>
      <c r="D6854" s="39" t="s">
        <v>5305</v>
      </c>
      <c r="F6854" s="39" t="s">
        <v>5306</v>
      </c>
      <c r="G6854" s="39" t="s">
        <v>5308</v>
      </c>
      <c r="L6854" s="7">
        <v>1</v>
      </c>
      <c r="M6854" s="8">
        <v>1</v>
      </c>
      <c r="N6854" s="8">
        <f t="shared" ref="N6854:N6886" si="2933">IF(L6854&gt;0,1,"")</f>
        <v>1</v>
      </c>
      <c r="O6854" s="11" t="s">
        <v>1702</v>
      </c>
      <c r="P6854" s="16" t="str">
        <f t="shared" ref="P6854:P6886" si="2934">IF(LEN(G6854)=10,CONCATENATE("0",G6854),G6854)</f>
        <v>07-Aug-1925</v>
      </c>
      <c r="R6854" s="16" t="str">
        <f t="shared" si="2919"/>
        <v>x</v>
      </c>
      <c r="S6854" s="16" t="str">
        <f t="shared" si="2919"/>
        <v>x</v>
      </c>
      <c r="U6854" s="46" t="str">
        <f t="shared" si="2920"/>
        <v/>
      </c>
      <c r="V6854" s="46">
        <f t="shared" si="2920"/>
        <v>1</v>
      </c>
      <c r="W6854" s="46" t="str">
        <f t="shared" si="2920"/>
        <v/>
      </c>
      <c r="X6854" s="46" t="str">
        <f t="shared" si="2920"/>
        <v/>
      </c>
    </row>
    <row r="6855" spans="2:24" x14ac:dyDescent="0.25">
      <c r="B6855" s="11" t="str">
        <f>CONCATENATE("BX-DETROITMI","-",LEFT(P6855,2),UPPER(MID(P6855,4,3)),RIGHT(P6855,4),"-0-")</f>
        <v>BX-DETROITMI-13AUG1925-0-</v>
      </c>
      <c r="D6855" s="39" t="s">
        <v>5750</v>
      </c>
      <c r="F6855" s="39" t="s">
        <v>5751</v>
      </c>
      <c r="G6855" s="39" t="s">
        <v>11242</v>
      </c>
      <c r="L6855" s="17">
        <v>3</v>
      </c>
      <c r="M6855" s="8">
        <v>1</v>
      </c>
      <c r="N6855" s="8">
        <f>IF(L6855&gt;0,1,"")</f>
        <v>1</v>
      </c>
      <c r="O6855" s="11" t="s">
        <v>1702</v>
      </c>
      <c r="P6855" s="16" t="str">
        <f>IF(LEN(G6855)=10,CONCATENATE("0",G6855),G6855)</f>
        <v>13-Aug-1925</v>
      </c>
      <c r="R6855" s="16" t="str">
        <f t="shared" si="2919"/>
        <v>x</v>
      </c>
      <c r="S6855" s="16" t="str">
        <f t="shared" si="2919"/>
        <v>x</v>
      </c>
      <c r="U6855" s="46" t="str">
        <f t="shared" si="2920"/>
        <v/>
      </c>
      <c r="V6855" s="46">
        <f t="shared" si="2920"/>
        <v>3</v>
      </c>
      <c r="W6855" s="46" t="str">
        <f t="shared" si="2920"/>
        <v/>
      </c>
      <c r="X6855" s="46" t="str">
        <f t="shared" si="2920"/>
        <v/>
      </c>
    </row>
    <row r="6856" spans="2:24" x14ac:dyDescent="0.25">
      <c r="B6856" s="11" t="str">
        <f>CONCATENATE("BX-DETROITMI","-",LEFT(P6856,2),UPPER(MID(P6856,4,3)),RIGHT(P6856,4),"-0-")</f>
        <v>BX-DETROITMI-04SEP1925-0-</v>
      </c>
      <c r="D6856" s="39" t="s">
        <v>5750</v>
      </c>
      <c r="F6856" s="39" t="s">
        <v>5751</v>
      </c>
      <c r="G6856" s="39" t="s">
        <v>6197</v>
      </c>
      <c r="L6856" s="17">
        <v>1</v>
      </c>
      <c r="M6856" s="8">
        <v>1</v>
      </c>
      <c r="N6856" s="8">
        <f t="shared" si="2933"/>
        <v>1</v>
      </c>
      <c r="O6856" s="11" t="s">
        <v>1702</v>
      </c>
      <c r="P6856" s="16" t="str">
        <f t="shared" si="2934"/>
        <v>04-Sep-1925</v>
      </c>
      <c r="R6856" s="16" t="str">
        <f t="shared" si="2919"/>
        <v>x</v>
      </c>
      <c r="S6856" s="16" t="str">
        <f t="shared" si="2919"/>
        <v>x</v>
      </c>
      <c r="U6856" s="46" t="str">
        <f t="shared" si="2920"/>
        <v/>
      </c>
      <c r="V6856" s="46">
        <f t="shared" si="2920"/>
        <v>1</v>
      </c>
      <c r="W6856" s="46" t="str">
        <f t="shared" si="2920"/>
        <v/>
      </c>
      <c r="X6856" s="46" t="str">
        <f t="shared" si="2920"/>
        <v/>
      </c>
    </row>
    <row r="6857" spans="2:24" x14ac:dyDescent="0.25">
      <c r="B6857" s="11" t="str">
        <f>CONCATENATE("BX-ELPASOTX","-",LEFT(P6857,2),UPPER(MID(P6857,4,3)),RIGHT(P6857,4),"-0-")</f>
        <v>BX-ELPASOTX-11AUG1926-0-</v>
      </c>
      <c r="D6857" s="39" t="s">
        <v>5199</v>
      </c>
      <c r="F6857" s="39" t="s">
        <v>5200</v>
      </c>
      <c r="G6857" s="39" t="s">
        <v>5290</v>
      </c>
      <c r="L6857" s="7">
        <v>5</v>
      </c>
      <c r="M6857" s="8">
        <v>1</v>
      </c>
      <c r="N6857" s="8">
        <f t="shared" si="2933"/>
        <v>1</v>
      </c>
      <c r="O6857" s="11" t="s">
        <v>1702</v>
      </c>
      <c r="P6857" s="16" t="str">
        <f t="shared" si="2934"/>
        <v>11-Aug-1926</v>
      </c>
      <c r="R6857" s="16" t="str">
        <f t="shared" si="2919"/>
        <v>x</v>
      </c>
      <c r="S6857" s="16" t="str">
        <f t="shared" si="2919"/>
        <v>x</v>
      </c>
      <c r="U6857" s="46" t="str">
        <f t="shared" si="2920"/>
        <v/>
      </c>
      <c r="V6857" s="46">
        <f t="shared" si="2920"/>
        <v>5</v>
      </c>
      <c r="W6857" s="46" t="str">
        <f t="shared" si="2920"/>
        <v/>
      </c>
      <c r="X6857" s="46" t="str">
        <f t="shared" si="2920"/>
        <v/>
      </c>
    </row>
    <row r="6858" spans="2:24" x14ac:dyDescent="0.25">
      <c r="B6858" s="11" t="str">
        <f>CONCATENATE("BX-LAREDOTX","-",LEFT(P6858,2),UPPER(MID(P6858,4,3)),RIGHT(P6858,4),"-0-")</f>
        <v>BX-LAREDOTX-24OCT1926-0-</v>
      </c>
      <c r="D6858" s="39" t="s">
        <v>5489</v>
      </c>
      <c r="F6858" s="39" t="s">
        <v>5490</v>
      </c>
      <c r="G6858" s="39" t="s">
        <v>6151</v>
      </c>
      <c r="L6858" s="7">
        <v>1</v>
      </c>
      <c r="M6858" s="8">
        <v>1</v>
      </c>
      <c r="N6858" s="8">
        <f t="shared" si="2933"/>
        <v>1</v>
      </c>
      <c r="O6858" s="11" t="s">
        <v>1702</v>
      </c>
      <c r="P6858" s="16" t="str">
        <f t="shared" si="2934"/>
        <v>24-Oct-1926</v>
      </c>
      <c r="R6858" s="16" t="str">
        <f t="shared" si="2919"/>
        <v>x</v>
      </c>
      <c r="S6858" s="16" t="str">
        <f t="shared" si="2919"/>
        <v>x</v>
      </c>
      <c r="U6858" s="46" t="str">
        <f t="shared" si="2920"/>
        <v/>
      </c>
      <c r="V6858" s="46">
        <f t="shared" si="2920"/>
        <v>1</v>
      </c>
      <c r="W6858" s="46" t="str">
        <f t="shared" si="2920"/>
        <v/>
      </c>
      <c r="X6858" s="46" t="str">
        <f t="shared" si="2920"/>
        <v/>
      </c>
    </row>
    <row r="6859" spans="2:24" x14ac:dyDescent="0.25">
      <c r="B6859" s="11" t="str">
        <f>CONCATENATE("BX-LAREDOTX","-",LEFT(P6859,2),UPPER(MID(P6859,4,3)),RIGHT(P6859,4),"-0-")</f>
        <v>BX-LAREDOTX-11JAN1927-0-</v>
      </c>
      <c r="D6859" s="39" t="s">
        <v>5489</v>
      </c>
      <c r="F6859" s="39" t="s">
        <v>5490</v>
      </c>
      <c r="G6859" s="39" t="s">
        <v>6147</v>
      </c>
      <c r="L6859" s="7">
        <v>3</v>
      </c>
      <c r="M6859" s="8">
        <v>1</v>
      </c>
      <c r="N6859" s="8">
        <f t="shared" si="2933"/>
        <v>1</v>
      </c>
      <c r="O6859" s="11" t="s">
        <v>1702</v>
      </c>
      <c r="P6859" s="16" t="str">
        <f t="shared" si="2934"/>
        <v>11-Jan-1927</v>
      </c>
      <c r="R6859" s="16" t="str">
        <f t="shared" si="2919"/>
        <v>x</v>
      </c>
      <c r="S6859" s="16" t="str">
        <f t="shared" si="2919"/>
        <v>x</v>
      </c>
      <c r="U6859" s="46" t="str">
        <f t="shared" si="2920"/>
        <v/>
      </c>
      <c r="V6859" s="46">
        <f t="shared" si="2920"/>
        <v>3</v>
      </c>
      <c r="W6859" s="46" t="str">
        <f t="shared" si="2920"/>
        <v/>
      </c>
      <c r="X6859" s="46" t="str">
        <f t="shared" si="2920"/>
        <v/>
      </c>
    </row>
    <row r="6860" spans="2:24" x14ac:dyDescent="0.25">
      <c r="B6860" s="11" t="str">
        <f>CONCATENATE("BX-LAREDOTX","-",LEFT(P6860,2),UPPER(MID(P6860,4,3)),RIGHT(P6860,4),"-0-")</f>
        <v>BX-LAREDOTX-05MAY1927-0-</v>
      </c>
      <c r="D6860" s="39" t="s">
        <v>5489</v>
      </c>
      <c r="F6860" s="39" t="s">
        <v>5490</v>
      </c>
      <c r="G6860" s="39" t="s">
        <v>6150</v>
      </c>
      <c r="L6860" s="7">
        <v>1</v>
      </c>
      <c r="M6860" s="8">
        <v>1</v>
      </c>
      <c r="N6860" s="8">
        <f t="shared" si="2933"/>
        <v>1</v>
      </c>
      <c r="O6860" s="11" t="s">
        <v>1702</v>
      </c>
      <c r="P6860" s="16" t="str">
        <f t="shared" si="2934"/>
        <v>05-May-1927</v>
      </c>
      <c r="R6860" s="16" t="str">
        <f t="shared" si="2919"/>
        <v>x</v>
      </c>
      <c r="S6860" s="16" t="str">
        <f t="shared" si="2919"/>
        <v>x</v>
      </c>
      <c r="U6860" s="46" t="str">
        <f t="shared" si="2920"/>
        <v/>
      </c>
      <c r="V6860" s="46">
        <f t="shared" si="2920"/>
        <v>1</v>
      </c>
      <c r="W6860" s="46" t="str">
        <f t="shared" si="2920"/>
        <v/>
      </c>
      <c r="X6860" s="46" t="str">
        <f t="shared" si="2920"/>
        <v/>
      </c>
    </row>
    <row r="6861" spans="2:24" x14ac:dyDescent="0.25">
      <c r="B6861" s="11" t="str">
        <f>CONCATENATE("BX-SANYSIDROCA","-",LEFT(P6861,2),UPPER(MID(P6861,4,3)),RIGHT(P6861,4),"-0-")</f>
        <v>BX-SANYSIDROCA-25JUN1927-0-</v>
      </c>
      <c r="D6861" s="39" t="s">
        <v>5305</v>
      </c>
      <c r="F6861" s="39" t="s">
        <v>5306</v>
      </c>
      <c r="G6861" s="39" t="s">
        <v>4598</v>
      </c>
      <c r="L6861" s="7">
        <v>3</v>
      </c>
      <c r="M6861" s="8">
        <v>1</v>
      </c>
      <c r="N6861" s="8">
        <f t="shared" si="2933"/>
        <v>1</v>
      </c>
      <c r="O6861" s="11" t="s">
        <v>1702</v>
      </c>
      <c r="P6861" s="16" t="str">
        <f t="shared" si="2934"/>
        <v>25-Jun-1927</v>
      </c>
      <c r="R6861" s="16" t="str">
        <f t="shared" si="2919"/>
        <v>x</v>
      </c>
      <c r="S6861" s="16" t="str">
        <f t="shared" si="2919"/>
        <v>x</v>
      </c>
      <c r="U6861" s="46" t="str">
        <f t="shared" si="2920"/>
        <v/>
      </c>
      <c r="V6861" s="46">
        <f t="shared" si="2920"/>
        <v>3</v>
      </c>
      <c r="W6861" s="46" t="str">
        <f t="shared" si="2920"/>
        <v/>
      </c>
      <c r="X6861" s="46" t="str">
        <f t="shared" si="2920"/>
        <v/>
      </c>
    </row>
    <row r="6862" spans="2:24" x14ac:dyDescent="0.25">
      <c r="B6862" s="11" t="str">
        <f>CONCATENATE("BX-NIAGARAFALLSNY","-",LEFT(P6862,2),UPPER(MID(P6862,4,3)),RIGHT(P6862,4),"-0-")</f>
        <v>BX-NIAGARAFALLSNY-19AUG1927-0-</v>
      </c>
      <c r="D6862" s="39" t="s">
        <v>5336</v>
      </c>
      <c r="F6862" s="39" t="s">
        <v>5337</v>
      </c>
      <c r="G6862" s="39" t="s">
        <v>4524</v>
      </c>
      <c r="L6862" s="7">
        <v>1</v>
      </c>
      <c r="M6862" s="8">
        <v>1</v>
      </c>
      <c r="N6862" s="8">
        <f t="shared" si="2933"/>
        <v>1</v>
      </c>
      <c r="O6862" s="11" t="s">
        <v>1702</v>
      </c>
      <c r="P6862" s="16" t="str">
        <f t="shared" si="2934"/>
        <v>19-Aug-1927</v>
      </c>
      <c r="R6862" s="16" t="str">
        <f t="shared" si="2919"/>
        <v>x</v>
      </c>
      <c r="S6862" s="16" t="str">
        <f t="shared" si="2919"/>
        <v>x</v>
      </c>
      <c r="U6862" s="46" t="str">
        <f t="shared" si="2920"/>
        <v/>
      </c>
      <c r="V6862" s="46">
        <f t="shared" si="2920"/>
        <v>1</v>
      </c>
      <c r="W6862" s="46" t="str">
        <f t="shared" si="2920"/>
        <v/>
      </c>
      <c r="X6862" s="46" t="str">
        <f t="shared" si="2920"/>
        <v/>
      </c>
    </row>
    <row r="6863" spans="2:24" x14ac:dyDescent="0.25">
      <c r="B6863" s="11" t="str">
        <f>CONCATENATE("BX-CALEXICOCA","-",LEFT(P6863,2),UPPER(MID(P6863,4,3)),RIGHT(P6863,4),"-0-")</f>
        <v>BX-CALEXICOCA-03OCT1927-0-</v>
      </c>
      <c r="D6863" s="39" t="s">
        <v>5535</v>
      </c>
      <c r="F6863" s="39" t="s">
        <v>5536</v>
      </c>
      <c r="G6863" s="39" t="s">
        <v>5537</v>
      </c>
      <c r="L6863" s="7">
        <v>2</v>
      </c>
      <c r="M6863" s="8">
        <v>1</v>
      </c>
      <c r="N6863" s="8">
        <f t="shared" si="2933"/>
        <v>1</v>
      </c>
      <c r="O6863" s="11" t="s">
        <v>1702</v>
      </c>
      <c r="P6863" s="16" t="str">
        <f t="shared" si="2934"/>
        <v>03-Oct-1927</v>
      </c>
      <c r="R6863" s="16" t="str">
        <f t="shared" si="2919"/>
        <v>x</v>
      </c>
      <c r="S6863" s="16" t="str">
        <f t="shared" si="2919"/>
        <v>x</v>
      </c>
      <c r="U6863" s="46" t="str">
        <f t="shared" si="2920"/>
        <v/>
      </c>
      <c r="V6863" s="46">
        <f t="shared" si="2920"/>
        <v>2</v>
      </c>
      <c r="W6863" s="46" t="str">
        <f t="shared" si="2920"/>
        <v/>
      </c>
      <c r="X6863" s="46" t="str">
        <f t="shared" si="2920"/>
        <v/>
      </c>
    </row>
    <row r="6864" spans="2:24" x14ac:dyDescent="0.25">
      <c r="B6864" s="11" t="str">
        <f>CONCATENATE("BX-SANYSIDROCA","-",LEFT(P6864,2),UPPER(MID(P6864,4,3)),RIGHT(P6864,4),"-0-")</f>
        <v>BX-SANYSIDROCA-14OCT1927-0-</v>
      </c>
      <c r="D6864" s="39" t="s">
        <v>5305</v>
      </c>
      <c r="F6864" s="39" t="s">
        <v>5306</v>
      </c>
      <c r="G6864" s="39" t="s">
        <v>5307</v>
      </c>
      <c r="L6864" s="7">
        <v>1</v>
      </c>
      <c r="M6864" s="8">
        <v>1</v>
      </c>
      <c r="N6864" s="8">
        <f t="shared" si="2933"/>
        <v>1</v>
      </c>
      <c r="O6864" s="11" t="s">
        <v>1702</v>
      </c>
      <c r="P6864" s="16" t="str">
        <f t="shared" si="2934"/>
        <v>14-Oct-1927</v>
      </c>
      <c r="R6864" s="16" t="str">
        <f t="shared" si="2919"/>
        <v>x</v>
      </c>
      <c r="S6864" s="16" t="str">
        <f t="shared" si="2919"/>
        <v>x</v>
      </c>
      <c r="U6864" s="46" t="str">
        <f t="shared" si="2920"/>
        <v/>
      </c>
      <c r="V6864" s="46">
        <f t="shared" si="2920"/>
        <v>1</v>
      </c>
      <c r="W6864" s="46" t="str">
        <f t="shared" si="2920"/>
        <v/>
      </c>
      <c r="X6864" s="46" t="str">
        <f t="shared" si="2920"/>
        <v/>
      </c>
    </row>
    <row r="6865" spans="2:24" x14ac:dyDescent="0.25">
      <c r="B6865" s="11" t="str">
        <f>CONCATENATE("BX-ELPASOTX","-",LEFT(P6865,2),UPPER(MID(P6865,4,3)),RIGHT(P6865,4),"-0-")</f>
        <v>BX-ELPASOTX-17JAN1928-0-</v>
      </c>
      <c r="D6865" s="39" t="s">
        <v>5199</v>
      </c>
      <c r="F6865" s="39" t="s">
        <v>5200</v>
      </c>
      <c r="G6865" s="39" t="s">
        <v>5644</v>
      </c>
      <c r="L6865" s="7">
        <v>6</v>
      </c>
      <c r="M6865" s="8">
        <v>1</v>
      </c>
      <c r="N6865" s="8">
        <f t="shared" si="2933"/>
        <v>1</v>
      </c>
      <c r="O6865" s="11" t="s">
        <v>1702</v>
      </c>
      <c r="P6865" s="16" t="str">
        <f t="shared" si="2934"/>
        <v>17-Jan-1928</v>
      </c>
      <c r="R6865" s="16" t="str">
        <f t="shared" si="2919"/>
        <v>x</v>
      </c>
      <c r="S6865" s="16" t="str">
        <f t="shared" si="2919"/>
        <v>x</v>
      </c>
      <c r="U6865" s="46" t="str">
        <f t="shared" si="2920"/>
        <v/>
      </c>
      <c r="V6865" s="46">
        <f t="shared" si="2920"/>
        <v>6</v>
      </c>
      <c r="W6865" s="46" t="str">
        <f t="shared" si="2920"/>
        <v/>
      </c>
      <c r="X6865" s="46" t="str">
        <f t="shared" si="2920"/>
        <v/>
      </c>
    </row>
    <row r="6866" spans="2:24" x14ac:dyDescent="0.25">
      <c r="B6866" s="11" t="str">
        <f>CONCATENATE("BX-LAREDOTX","-",LEFT(P6866,2),UPPER(MID(P6866,4,3)),RIGHT(P6866,4),"-0-")</f>
        <v>BX-LAREDOTX-18APR1928-0-</v>
      </c>
      <c r="D6866" s="39" t="s">
        <v>5489</v>
      </c>
      <c r="F6866" s="39" t="s">
        <v>5490</v>
      </c>
      <c r="G6866" s="39" t="s">
        <v>5503</v>
      </c>
      <c r="L6866" s="7">
        <v>2</v>
      </c>
      <c r="M6866" s="8">
        <v>1</v>
      </c>
      <c r="N6866" s="8">
        <f>IF(L6866&gt;0,1,"")</f>
        <v>1</v>
      </c>
      <c r="O6866" s="11" t="s">
        <v>1702</v>
      </c>
      <c r="P6866" s="16" t="str">
        <f>IF(LEN(G6866)=10,CONCATENATE("0",G6866),G6866)</f>
        <v>18-Apr-1928</v>
      </c>
      <c r="R6866" s="16" t="str">
        <f t="shared" si="2919"/>
        <v>x</v>
      </c>
      <c r="S6866" s="16" t="str">
        <f t="shared" si="2919"/>
        <v>x</v>
      </c>
      <c r="U6866" s="46" t="str">
        <f t="shared" ref="U6866:X6867" si="2935">IF($O6866=U$5,$L6866,"")</f>
        <v/>
      </c>
      <c r="V6866" s="46">
        <f t="shared" si="2935"/>
        <v>2</v>
      </c>
      <c r="W6866" s="46" t="str">
        <f t="shared" si="2935"/>
        <v/>
      </c>
      <c r="X6866" s="46" t="str">
        <f t="shared" si="2935"/>
        <v/>
      </c>
    </row>
    <row r="6867" spans="2:24" x14ac:dyDescent="0.25">
      <c r="B6867" s="11" t="str">
        <f>CONCATENATE("BX-ELPASOTX","-",LEFT(P6867,2),UPPER(MID(P6867,4,3)),RIGHT(P6867,4),"-0-")</f>
        <v>BX-ELPASOTX-24MAY1928-0-</v>
      </c>
      <c r="D6867" s="39" t="s">
        <v>5199</v>
      </c>
      <c r="F6867" s="39" t="s">
        <v>5200</v>
      </c>
      <c r="G6867" s="39" t="s">
        <v>11271</v>
      </c>
      <c r="L6867" s="7">
        <v>3</v>
      </c>
      <c r="M6867" s="8">
        <v>1</v>
      </c>
      <c r="N6867" s="8">
        <f>IF(L6867&gt;0,1,"")</f>
        <v>1</v>
      </c>
      <c r="O6867" s="11" t="s">
        <v>1702</v>
      </c>
      <c r="P6867" s="16" t="str">
        <f>IF(LEN(G6867)=10,CONCATENATE("0",G6867),G6867)</f>
        <v>24-May-1928</v>
      </c>
      <c r="R6867" s="16" t="str">
        <f t="shared" si="2919"/>
        <v>x</v>
      </c>
      <c r="S6867" s="16" t="str">
        <f t="shared" si="2919"/>
        <v>x</v>
      </c>
      <c r="U6867" s="46" t="str">
        <f t="shared" si="2935"/>
        <v/>
      </c>
      <c r="V6867" s="46">
        <f t="shared" si="2935"/>
        <v>3</v>
      </c>
      <c r="W6867" s="46" t="str">
        <f t="shared" si="2935"/>
        <v/>
      </c>
      <c r="X6867" s="46" t="str">
        <f t="shared" si="2935"/>
        <v/>
      </c>
    </row>
    <row r="6868" spans="2:24" x14ac:dyDescent="0.25">
      <c r="B6868" s="11" t="str">
        <f>CONCATENATE("BX-ELPASOTX","-",LEFT(P6868,2),UPPER(MID(P6868,4,3)),RIGHT(P6868,4),"-0-")</f>
        <v>BX-ELPASOTX-21JUL1928-0-</v>
      </c>
      <c r="D6868" s="39" t="s">
        <v>5199</v>
      </c>
      <c r="F6868" s="39" t="s">
        <v>5200</v>
      </c>
      <c r="G6868" s="39" t="s">
        <v>5651</v>
      </c>
      <c r="L6868" s="7">
        <v>2</v>
      </c>
      <c r="M6868" s="8">
        <v>1</v>
      </c>
      <c r="N6868" s="8">
        <f t="shared" si="2933"/>
        <v>1</v>
      </c>
      <c r="O6868" s="11" t="s">
        <v>1702</v>
      </c>
      <c r="P6868" s="16" t="str">
        <f t="shared" si="2934"/>
        <v>21-Jul-1928</v>
      </c>
      <c r="R6868" s="16" t="str">
        <f t="shared" si="2919"/>
        <v>x</v>
      </c>
      <c r="S6868" s="16" t="str">
        <f t="shared" si="2919"/>
        <v>x</v>
      </c>
      <c r="U6868" s="46" t="str">
        <f t="shared" si="2920"/>
        <v/>
      </c>
      <c r="V6868" s="46">
        <f t="shared" si="2920"/>
        <v>2</v>
      </c>
      <c r="W6868" s="46" t="str">
        <f t="shared" si="2920"/>
        <v/>
      </c>
      <c r="X6868" s="46" t="str">
        <f t="shared" si="2920"/>
        <v/>
      </c>
    </row>
    <row r="6869" spans="2:24" x14ac:dyDescent="0.25">
      <c r="B6869" s="11" t="str">
        <f>CONCATENATE("BX-CALEXICOCA","-",LEFT(P6869,2),UPPER(MID(P6869,4,3)),RIGHT(P6869,4),"-0-")</f>
        <v>BX-CALEXICOCA-24JUL1928-0-</v>
      </c>
      <c r="D6869" s="39" t="s">
        <v>5535</v>
      </c>
      <c r="F6869" s="39" t="s">
        <v>5536</v>
      </c>
      <c r="G6869" s="39" t="s">
        <v>6164</v>
      </c>
      <c r="L6869" s="7">
        <v>1</v>
      </c>
      <c r="M6869" s="8">
        <v>1</v>
      </c>
      <c r="N6869" s="8">
        <f t="shared" si="2933"/>
        <v>1</v>
      </c>
      <c r="O6869" s="11" t="s">
        <v>1702</v>
      </c>
      <c r="P6869" s="16" t="str">
        <f t="shared" si="2934"/>
        <v>24-Jul-1928</v>
      </c>
      <c r="R6869" s="16" t="str">
        <f t="shared" si="2919"/>
        <v>x</v>
      </c>
      <c r="S6869" s="16" t="str">
        <f t="shared" si="2919"/>
        <v>x</v>
      </c>
      <c r="U6869" s="46" t="str">
        <f t="shared" si="2920"/>
        <v/>
      </c>
      <c r="V6869" s="46">
        <f t="shared" si="2920"/>
        <v>1</v>
      </c>
      <c r="W6869" s="46" t="str">
        <f t="shared" si="2920"/>
        <v/>
      </c>
      <c r="X6869" s="46" t="str">
        <f t="shared" si="2920"/>
        <v/>
      </c>
    </row>
    <row r="6870" spans="2:24" x14ac:dyDescent="0.25">
      <c r="B6870" s="11" t="str">
        <f>CONCATENATE("BX-SANYSIDROCA","-",LEFT(P6870,2),UPPER(MID(P6870,4,3)),RIGHT(P6870,4),"-0-")</f>
        <v>BX-SANYSIDROCA-25JUL1928-0-</v>
      </c>
      <c r="D6870" s="39" t="s">
        <v>5305</v>
      </c>
      <c r="F6870" s="39" t="s">
        <v>5306</v>
      </c>
      <c r="G6870" s="39" t="s">
        <v>5280</v>
      </c>
      <c r="L6870" s="7">
        <v>2</v>
      </c>
      <c r="M6870" s="8">
        <v>1</v>
      </c>
      <c r="N6870" s="8">
        <f t="shared" si="2933"/>
        <v>1</v>
      </c>
      <c r="O6870" s="11" t="s">
        <v>1702</v>
      </c>
      <c r="P6870" s="16" t="str">
        <f t="shared" si="2934"/>
        <v>25-Jul-1928</v>
      </c>
      <c r="R6870" s="16" t="str">
        <f t="shared" ref="R6870:S6886" si="2936">IF($L6870&gt;0,"x","")</f>
        <v>x</v>
      </c>
      <c r="S6870" s="16" t="str">
        <f t="shared" si="2936"/>
        <v>x</v>
      </c>
      <c r="U6870" s="46" t="str">
        <f t="shared" si="2920"/>
        <v/>
      </c>
      <c r="V6870" s="46">
        <f t="shared" si="2920"/>
        <v>2</v>
      </c>
      <c r="W6870" s="46" t="str">
        <f t="shared" si="2920"/>
        <v/>
      </c>
      <c r="X6870" s="46" t="str">
        <f t="shared" si="2920"/>
        <v/>
      </c>
    </row>
    <row r="6871" spans="2:24" x14ac:dyDescent="0.25">
      <c r="B6871" s="11" t="str">
        <f>CONCATENATE("BX-CALEXICOCA","-",LEFT(P6871,2),UPPER(MID(P6871,4,3)),RIGHT(P6871,4),"-0-")</f>
        <v>BX-CALEXICOCA-23AUG1928-0-</v>
      </c>
      <c r="D6871" s="39" t="s">
        <v>5535</v>
      </c>
      <c r="F6871" s="39" t="s">
        <v>5536</v>
      </c>
      <c r="G6871" s="39" t="s">
        <v>5538</v>
      </c>
      <c r="L6871" s="7">
        <v>2</v>
      </c>
      <c r="M6871" s="8">
        <v>1</v>
      </c>
      <c r="N6871" s="8">
        <f t="shared" si="2933"/>
        <v>1</v>
      </c>
      <c r="O6871" s="11" t="s">
        <v>1702</v>
      </c>
      <c r="P6871" s="16" t="str">
        <f t="shared" si="2934"/>
        <v>23-Aug-1928</v>
      </c>
      <c r="R6871" s="16" t="str">
        <f t="shared" si="2936"/>
        <v>x</v>
      </c>
      <c r="S6871" s="16" t="str">
        <f t="shared" si="2936"/>
        <v>x</v>
      </c>
      <c r="U6871" s="46" t="str">
        <f t="shared" si="2920"/>
        <v/>
      </c>
      <c r="V6871" s="46">
        <f t="shared" si="2920"/>
        <v>2</v>
      </c>
      <c r="W6871" s="46" t="str">
        <f t="shared" si="2920"/>
        <v/>
      </c>
      <c r="X6871" s="46" t="str">
        <f t="shared" si="2920"/>
        <v/>
      </c>
    </row>
    <row r="6872" spans="2:24" x14ac:dyDescent="0.25">
      <c r="B6872" s="11" t="str">
        <f>CONCATENATE("BX-SANYSIDROCA","-",LEFT(P6872,2),UPPER(MID(P6872,4,3)),RIGHT(P6872,4),"-0-")</f>
        <v>BX-SANYSIDROCA-23MAR1929-0-</v>
      </c>
      <c r="D6872" s="39" t="s">
        <v>5305</v>
      </c>
      <c r="F6872" s="39" t="s">
        <v>5306</v>
      </c>
      <c r="G6872" s="39" t="s">
        <v>5551</v>
      </c>
      <c r="L6872" s="7">
        <v>3</v>
      </c>
      <c r="M6872" s="8">
        <v>1</v>
      </c>
      <c r="N6872" s="8">
        <f t="shared" si="2933"/>
        <v>1</v>
      </c>
      <c r="O6872" s="11" t="s">
        <v>1702</v>
      </c>
      <c r="P6872" s="16" t="str">
        <f t="shared" si="2934"/>
        <v>23-Mar-1929</v>
      </c>
      <c r="R6872" s="16" t="str">
        <f t="shared" si="2936"/>
        <v>x</v>
      </c>
      <c r="S6872" s="16" t="str">
        <f t="shared" si="2936"/>
        <v>x</v>
      </c>
      <c r="U6872" s="46" t="str">
        <f t="shared" si="2920"/>
        <v/>
      </c>
      <c r="V6872" s="46">
        <f t="shared" si="2920"/>
        <v>3</v>
      </c>
      <c r="W6872" s="46" t="str">
        <f t="shared" si="2920"/>
        <v/>
      </c>
      <c r="X6872" s="46" t="str">
        <f t="shared" si="2920"/>
        <v/>
      </c>
    </row>
    <row r="6873" spans="2:24" x14ac:dyDescent="0.25">
      <c r="B6873" s="11" t="str">
        <f>CONCATENATE("BX-SANYSIDROCA","-",LEFT(P6873,2),UPPER(MID(P6873,4,3)),RIGHT(P6873,4),"-0-")</f>
        <v>BX-SANYSIDROCA-06JUL1929-0-</v>
      </c>
      <c r="D6873" s="39" t="s">
        <v>5305</v>
      </c>
      <c r="F6873" s="39" t="s">
        <v>5306</v>
      </c>
      <c r="G6873" s="39" t="s">
        <v>5548</v>
      </c>
      <c r="L6873" s="7">
        <v>2</v>
      </c>
      <c r="M6873" s="8">
        <v>1</v>
      </c>
      <c r="N6873" s="8">
        <f t="shared" si="2933"/>
        <v>1</v>
      </c>
      <c r="O6873" s="11" t="s">
        <v>1702</v>
      </c>
      <c r="P6873" s="16" t="str">
        <f t="shared" si="2934"/>
        <v>06-Jul-1929</v>
      </c>
      <c r="R6873" s="16" t="str">
        <f t="shared" si="2936"/>
        <v>x</v>
      </c>
      <c r="S6873" s="16" t="str">
        <f t="shared" si="2936"/>
        <v>x</v>
      </c>
      <c r="U6873" s="46" t="str">
        <f t="shared" si="2920"/>
        <v/>
      </c>
      <c r="V6873" s="46">
        <f t="shared" si="2920"/>
        <v>2</v>
      </c>
      <c r="W6873" s="46" t="str">
        <f t="shared" si="2920"/>
        <v/>
      </c>
      <c r="X6873" s="46" t="str">
        <f t="shared" si="2920"/>
        <v/>
      </c>
    </row>
    <row r="6874" spans="2:24" x14ac:dyDescent="0.25">
      <c r="B6874" s="11" t="str">
        <f>CONCATENATE("BX-DETROITMI","-",LEFT(P6874,2),UPPER(MID(P6874,4,3)),RIGHT(P6874,4),"-0-")</f>
        <v>BX-DETROITMI-12JUL1929-0-</v>
      </c>
      <c r="D6874" s="39" t="s">
        <v>5750</v>
      </c>
      <c r="F6874" s="39" t="s">
        <v>5751</v>
      </c>
      <c r="G6874" s="39" t="s">
        <v>5753</v>
      </c>
      <c r="L6874" s="17">
        <v>1</v>
      </c>
      <c r="M6874" s="8">
        <v>1</v>
      </c>
      <c r="N6874" s="8">
        <f t="shared" si="2933"/>
        <v>1</v>
      </c>
      <c r="O6874" s="11" t="s">
        <v>1702</v>
      </c>
      <c r="P6874" s="16" t="str">
        <f t="shared" si="2934"/>
        <v>12-Jul-1929</v>
      </c>
      <c r="R6874" s="16" t="str">
        <f t="shared" si="2936"/>
        <v>x</v>
      </c>
      <c r="S6874" s="16" t="str">
        <f t="shared" si="2936"/>
        <v>x</v>
      </c>
      <c r="U6874" s="46" t="str">
        <f t="shared" si="2920"/>
        <v/>
      </c>
      <c r="V6874" s="46">
        <f t="shared" si="2920"/>
        <v>1</v>
      </c>
      <c r="W6874" s="46" t="str">
        <f t="shared" si="2920"/>
        <v/>
      </c>
      <c r="X6874" s="46" t="str">
        <f t="shared" si="2920"/>
        <v/>
      </c>
    </row>
    <row r="6875" spans="2:24" x14ac:dyDescent="0.25">
      <c r="B6875" s="11" t="str">
        <f>CONCATENATE("BX-SANYSIDROCA","-",LEFT(P6875,2),UPPER(MID(P6875,4,3)),RIGHT(P6875,4),"-0-")</f>
        <v>BX-SANYSIDROCA-23AUG1929-0-</v>
      </c>
      <c r="D6875" s="39" t="s">
        <v>5305</v>
      </c>
      <c r="F6875" s="39" t="s">
        <v>5306</v>
      </c>
      <c r="G6875" s="39" t="s">
        <v>5552</v>
      </c>
      <c r="L6875" s="7">
        <v>1</v>
      </c>
      <c r="M6875" s="8">
        <v>1</v>
      </c>
      <c r="N6875" s="8">
        <f t="shared" si="2933"/>
        <v>1</v>
      </c>
      <c r="O6875" s="11" t="s">
        <v>1702</v>
      </c>
      <c r="P6875" s="16" t="str">
        <f t="shared" si="2934"/>
        <v>23-Aug-1929</v>
      </c>
      <c r="R6875" s="16" t="str">
        <f t="shared" si="2936"/>
        <v>x</v>
      </c>
      <c r="S6875" s="16" t="str">
        <f t="shared" si="2936"/>
        <v>x</v>
      </c>
      <c r="U6875" s="46" t="str">
        <f t="shared" si="2920"/>
        <v/>
      </c>
      <c r="V6875" s="46">
        <f t="shared" si="2920"/>
        <v>1</v>
      </c>
      <c r="W6875" s="46" t="str">
        <f t="shared" si="2920"/>
        <v/>
      </c>
      <c r="X6875" s="46" t="str">
        <f t="shared" si="2920"/>
        <v/>
      </c>
    </row>
    <row r="6876" spans="2:24" x14ac:dyDescent="0.25">
      <c r="B6876" s="11" t="str">
        <f>CONCATENATE("BX-LAREDOTX","-",LEFT(P6876,2),UPPER(MID(P6876,4,3)),RIGHT(P6876,4),"-0-")</f>
        <v>BX-LAREDOTX-30AUG1929-0-</v>
      </c>
      <c r="D6876" s="39" t="s">
        <v>5489</v>
      </c>
      <c r="F6876" s="39" t="s">
        <v>5490</v>
      </c>
      <c r="G6876" s="39" t="s">
        <v>11292</v>
      </c>
      <c r="L6876" s="7">
        <v>1</v>
      </c>
      <c r="M6876" s="8">
        <v>1</v>
      </c>
      <c r="N6876" s="8">
        <f>IF(L6876&gt;0,1,"")</f>
        <v>1</v>
      </c>
      <c r="O6876" s="11" t="s">
        <v>1702</v>
      </c>
      <c r="P6876" s="16" t="str">
        <f>IF(LEN(G6876)=10,CONCATENATE("0",G6876),G6876)</f>
        <v>30-Aug-1929</v>
      </c>
      <c r="R6876" s="16" t="str">
        <f t="shared" si="2936"/>
        <v>x</v>
      </c>
      <c r="S6876" s="16" t="str">
        <f t="shared" si="2936"/>
        <v>x</v>
      </c>
      <c r="U6876" s="46" t="str">
        <f>IF($O6876=U$5,$L6876,"")</f>
        <v/>
      </c>
      <c r="V6876" s="46">
        <f>IF($O6876=V$5,$L6876,"")</f>
        <v>1</v>
      </c>
      <c r="W6876" s="46" t="str">
        <f>IF($O6876=W$5,$L6876,"")</f>
        <v/>
      </c>
      <c r="X6876" s="46" t="str">
        <f>IF($O6876=X$5,$L6876,"")</f>
        <v/>
      </c>
    </row>
    <row r="6877" spans="2:24" x14ac:dyDescent="0.25">
      <c r="B6877" s="11" t="str">
        <f>CONCATENATE("BX-DETROITMI","-",LEFT(P6877,2),UPPER(MID(P6877,4,3)),RIGHT(P6877,4),"-0-")</f>
        <v>BX-DETROITMI-23MAR1930-0-</v>
      </c>
      <c r="D6877" s="39" t="s">
        <v>5750</v>
      </c>
      <c r="F6877" s="39" t="s">
        <v>5751</v>
      </c>
      <c r="G6877" s="39" t="s">
        <v>6196</v>
      </c>
      <c r="L6877" s="17">
        <v>1</v>
      </c>
      <c r="M6877" s="8">
        <v>1</v>
      </c>
      <c r="N6877" s="8">
        <f t="shared" si="2933"/>
        <v>1</v>
      </c>
      <c r="O6877" s="11" t="s">
        <v>1702</v>
      </c>
      <c r="P6877" s="16" t="str">
        <f t="shared" si="2934"/>
        <v>23-Mar-1930</v>
      </c>
      <c r="R6877" s="16" t="str">
        <f t="shared" si="2936"/>
        <v>x</v>
      </c>
      <c r="S6877" s="16" t="str">
        <f t="shared" si="2936"/>
        <v>x</v>
      </c>
      <c r="U6877" s="46" t="str">
        <f t="shared" si="2920"/>
        <v/>
      </c>
      <c r="V6877" s="46">
        <f t="shared" si="2920"/>
        <v>1</v>
      </c>
      <c r="W6877" s="46" t="str">
        <f t="shared" si="2920"/>
        <v/>
      </c>
      <c r="X6877" s="46" t="str">
        <f t="shared" si="2920"/>
        <v/>
      </c>
    </row>
    <row r="6878" spans="2:24" x14ac:dyDescent="0.25">
      <c r="B6878" s="11" t="str">
        <f>CONCATENATE("BX-DETROITMI","-",LEFT(P6878,2),UPPER(MID(P6878,4,3)),RIGHT(P6878,4),"-0-")</f>
        <v>BX-DETROITMI-05APR1930-0-</v>
      </c>
      <c r="D6878" s="39" t="s">
        <v>5750</v>
      </c>
      <c r="F6878" s="39" t="s">
        <v>5751</v>
      </c>
      <c r="G6878" s="39" t="s">
        <v>6227</v>
      </c>
      <c r="L6878" s="17">
        <v>1</v>
      </c>
      <c r="M6878" s="8">
        <v>1</v>
      </c>
      <c r="N6878" s="8">
        <f t="shared" si="2933"/>
        <v>1</v>
      </c>
      <c r="O6878" s="11" t="s">
        <v>1702</v>
      </c>
      <c r="P6878" s="16" t="str">
        <f t="shared" si="2934"/>
        <v>05-Apr-1930</v>
      </c>
      <c r="R6878" s="16" t="str">
        <f t="shared" si="2936"/>
        <v>x</v>
      </c>
      <c r="S6878" s="16" t="str">
        <f t="shared" si="2936"/>
        <v>x</v>
      </c>
      <c r="U6878" s="46" t="str">
        <f t="shared" si="2920"/>
        <v/>
      </c>
      <c r="V6878" s="46">
        <f t="shared" si="2920"/>
        <v>1</v>
      </c>
      <c r="W6878" s="46" t="str">
        <f t="shared" si="2920"/>
        <v/>
      </c>
      <c r="X6878" s="46" t="str">
        <f t="shared" si="2920"/>
        <v/>
      </c>
    </row>
    <row r="6879" spans="2:24" x14ac:dyDescent="0.25">
      <c r="B6879" s="11" t="str">
        <f>CONCATENATE("BX-LAREDOTX","-",LEFT(P6879,2),UPPER(MID(P6879,4,3)),RIGHT(P6879,4),"-0-")</f>
        <v>BX-LAREDOTX-08JUL1930-0-</v>
      </c>
      <c r="D6879" s="39" t="s">
        <v>5489</v>
      </c>
      <c r="F6879" s="39" t="s">
        <v>5490</v>
      </c>
      <c r="G6879" s="39" t="s">
        <v>11296</v>
      </c>
      <c r="L6879" s="7">
        <v>1</v>
      </c>
      <c r="M6879" s="8">
        <v>1</v>
      </c>
      <c r="N6879" s="8">
        <f>IF(L6879&gt;0,1,"")</f>
        <v>1</v>
      </c>
      <c r="O6879" s="11" t="s">
        <v>1702</v>
      </c>
      <c r="P6879" s="16" t="str">
        <f>IF(LEN(G6879)=10,CONCATENATE("0",G6879),G6879)</f>
        <v>08-Jul-1930</v>
      </c>
      <c r="R6879" s="16" t="str">
        <f>IF($L6879&gt;0,"x","")</f>
        <v>x</v>
      </c>
      <c r="S6879" s="16" t="str">
        <f>IF($L6879&gt;0,"x","")</f>
        <v>x</v>
      </c>
      <c r="U6879" s="46" t="str">
        <f>IF($O6879=U$5,$L6879,"")</f>
        <v/>
      </c>
      <c r="V6879" s="46">
        <f>IF($O6879=V$5,$L6879,"")</f>
        <v>1</v>
      </c>
      <c r="W6879" s="46" t="str">
        <f>IF($O6879=W$5,$L6879,"")</f>
        <v/>
      </c>
      <c r="X6879" s="46" t="str">
        <f>IF($O6879=X$5,$L6879,"")</f>
        <v/>
      </c>
    </row>
    <row r="6880" spans="2:24" x14ac:dyDescent="0.25">
      <c r="B6880" s="11" t="str">
        <f>CONCATENATE("BX-DETROITMI","-",LEFT(P6880,2),UPPER(MID(P6880,4,3)),RIGHT(P6880,4),"-0-")</f>
        <v>BX-DETROITMI-25DEC1930-0-</v>
      </c>
      <c r="D6880" s="39" t="s">
        <v>5750</v>
      </c>
      <c r="F6880" s="39" t="s">
        <v>5751</v>
      </c>
      <c r="G6880" s="39" t="s">
        <v>5752</v>
      </c>
      <c r="L6880" s="17">
        <v>4</v>
      </c>
      <c r="M6880" s="8">
        <v>1</v>
      </c>
      <c r="N6880" s="8">
        <f t="shared" si="2933"/>
        <v>1</v>
      </c>
      <c r="O6880" s="11" t="s">
        <v>1702</v>
      </c>
      <c r="P6880" s="16" t="str">
        <f t="shared" si="2934"/>
        <v>25-Dec-1930</v>
      </c>
      <c r="R6880" s="16" t="str">
        <f t="shared" si="2936"/>
        <v>x</v>
      </c>
      <c r="S6880" s="16" t="str">
        <f t="shared" si="2936"/>
        <v>x</v>
      </c>
      <c r="U6880" s="46" t="str">
        <f t="shared" si="2920"/>
        <v/>
      </c>
      <c r="V6880" s="46">
        <f t="shared" si="2920"/>
        <v>4</v>
      </c>
      <c r="W6880" s="46" t="str">
        <f t="shared" si="2920"/>
        <v/>
      </c>
      <c r="X6880" s="46" t="str">
        <f t="shared" si="2920"/>
        <v/>
      </c>
    </row>
    <row r="6881" spans="2:24" x14ac:dyDescent="0.25">
      <c r="B6881" s="11" t="str">
        <f>CONCATENATE("BX-ELPASOTX","-",LEFT(P6881,2),UPPER(MID(P6881,4,3)),RIGHT(P6881,4),"-0-")</f>
        <v>BX-ELPASOTX-08FEB1932-0-</v>
      </c>
      <c r="D6881" s="39" t="s">
        <v>5199</v>
      </c>
      <c r="F6881" s="39" t="s">
        <v>5200</v>
      </c>
      <c r="G6881" s="39" t="s">
        <v>11267</v>
      </c>
      <c r="L6881" s="7">
        <v>4</v>
      </c>
      <c r="M6881" s="8">
        <v>1</v>
      </c>
      <c r="N6881" s="8">
        <f>IF(L6881&gt;0,1,"")</f>
        <v>1</v>
      </c>
      <c r="O6881" s="11" t="s">
        <v>1702</v>
      </c>
      <c r="P6881" s="16" t="str">
        <f>IF(LEN(G6881)=10,CONCATENATE("0",G6881),G6881)</f>
        <v>08-Feb-1932</v>
      </c>
      <c r="R6881" s="16" t="str">
        <f t="shared" si="2936"/>
        <v>x</v>
      </c>
      <c r="S6881" s="16" t="str">
        <f t="shared" si="2936"/>
        <v>x</v>
      </c>
      <c r="U6881" s="46" t="str">
        <f>IF($O6881=U$5,$L6881,"")</f>
        <v/>
      </c>
      <c r="V6881" s="46">
        <f>IF($O6881=V$5,$L6881,"")</f>
        <v>4</v>
      </c>
      <c r="W6881" s="46" t="str">
        <f>IF($O6881=W$5,$L6881,"")</f>
        <v/>
      </c>
      <c r="X6881" s="46" t="str">
        <f>IF($O6881=X$5,$L6881,"")</f>
        <v/>
      </c>
    </row>
    <row r="6882" spans="2:24" x14ac:dyDescent="0.25">
      <c r="B6882" s="11" t="str">
        <f>CONCATENATE("BX-CALEXICOCA","-",LEFT(P6882,2),UPPER(MID(P6882,4,3)),RIGHT(P6882,4),"-0-")</f>
        <v>BX-CALEXICOCA-13OCT1932-0-</v>
      </c>
      <c r="D6882" s="39" t="s">
        <v>5535</v>
      </c>
      <c r="F6882" s="39" t="s">
        <v>5536</v>
      </c>
      <c r="G6882" s="39" t="s">
        <v>6174</v>
      </c>
      <c r="L6882" s="7">
        <v>1</v>
      </c>
      <c r="M6882" s="8">
        <v>1</v>
      </c>
      <c r="N6882" s="8">
        <f t="shared" si="2933"/>
        <v>1</v>
      </c>
      <c r="O6882" s="11" t="s">
        <v>1702</v>
      </c>
      <c r="P6882" s="16" t="str">
        <f t="shared" si="2934"/>
        <v>13-Oct-1932</v>
      </c>
      <c r="R6882" s="16" t="str">
        <f t="shared" si="2936"/>
        <v>x</v>
      </c>
      <c r="S6882" s="16" t="str">
        <f t="shared" si="2936"/>
        <v>x</v>
      </c>
      <c r="U6882" s="46" t="str">
        <f t="shared" si="2920"/>
        <v/>
      </c>
      <c r="V6882" s="46">
        <f t="shared" si="2920"/>
        <v>1</v>
      </c>
      <c r="W6882" s="46" t="str">
        <f t="shared" si="2920"/>
        <v/>
      </c>
      <c r="X6882" s="46" t="str">
        <f t="shared" si="2920"/>
        <v/>
      </c>
    </row>
    <row r="6883" spans="2:24" x14ac:dyDescent="0.25">
      <c r="B6883" s="11" t="str">
        <f>CONCATENATE("BX-NIAGARAFALLSNY","-",LEFT(P6883,2),UPPER(MID(P6883,4,3)),RIGHT(P6883,4),"-0-")</f>
        <v>BX-NIAGARAFALLSNY-10FEB1933-0-</v>
      </c>
      <c r="D6883" s="39" t="s">
        <v>5336</v>
      </c>
      <c r="F6883" s="39" t="s">
        <v>5337</v>
      </c>
      <c r="G6883" s="39" t="s">
        <v>5628</v>
      </c>
      <c r="L6883" s="7">
        <v>1</v>
      </c>
      <c r="M6883" s="8">
        <v>1</v>
      </c>
      <c r="N6883" s="8">
        <f t="shared" si="2933"/>
        <v>1</v>
      </c>
      <c r="O6883" s="11" t="s">
        <v>1702</v>
      </c>
      <c r="P6883" s="16" t="str">
        <f t="shared" si="2934"/>
        <v>10-Feb-1933</v>
      </c>
      <c r="R6883" s="16" t="str">
        <f t="shared" si="2936"/>
        <v>x</v>
      </c>
      <c r="S6883" s="16" t="str">
        <f t="shared" si="2936"/>
        <v>x</v>
      </c>
      <c r="U6883" s="46" t="str">
        <f t="shared" si="2920"/>
        <v/>
      </c>
      <c r="V6883" s="46">
        <f t="shared" si="2920"/>
        <v>1</v>
      </c>
      <c r="W6883" s="46" t="str">
        <f t="shared" si="2920"/>
        <v/>
      </c>
      <c r="X6883" s="46" t="str">
        <f t="shared" si="2920"/>
        <v/>
      </c>
    </row>
    <row r="6884" spans="2:24" x14ac:dyDescent="0.25">
      <c r="B6884" s="11" t="str">
        <f>CONCATENATE("BX-NIAGARAFALLSNY","-",LEFT(P6884,2),UPPER(MID(P6884,4,3)),RIGHT(P6884,4),"-0-")</f>
        <v>BX-NIAGARAFALLSNY-31OCT1933-0-</v>
      </c>
      <c r="D6884" s="39" t="s">
        <v>5336</v>
      </c>
      <c r="F6884" s="39" t="s">
        <v>5337</v>
      </c>
      <c r="G6884" s="39" t="s">
        <v>11420</v>
      </c>
      <c r="L6884" s="7">
        <v>3</v>
      </c>
      <c r="M6884" s="8">
        <v>1</v>
      </c>
      <c r="N6884" s="8">
        <f>IF(L6884&gt;0,1,"")</f>
        <v>1</v>
      </c>
      <c r="O6884" s="11" t="s">
        <v>1702</v>
      </c>
      <c r="P6884" s="16" t="str">
        <f>IF(LEN(G6884)=10,CONCATENATE("0",G6884),G6884)</f>
        <v>31-Oct-1933</v>
      </c>
      <c r="Q6884" s="80"/>
      <c r="R6884" s="16" t="str">
        <f t="shared" si="2936"/>
        <v>x</v>
      </c>
      <c r="S6884" s="16" t="str">
        <f t="shared" si="2936"/>
        <v>x</v>
      </c>
      <c r="U6884" s="46" t="str">
        <f t="shared" ref="U6884:X6885" si="2937">IF($O6884=U$5,$L6884,"")</f>
        <v/>
      </c>
      <c r="V6884" s="46">
        <f t="shared" si="2937"/>
        <v>3</v>
      </c>
      <c r="W6884" s="46" t="str">
        <f t="shared" si="2937"/>
        <v/>
      </c>
      <c r="X6884" s="46" t="str">
        <f t="shared" si="2937"/>
        <v/>
      </c>
    </row>
    <row r="6885" spans="2:24" x14ac:dyDescent="0.25">
      <c r="B6885" s="11" t="str">
        <f>CONCATENATE("BX-DETROITMI","-",LEFT(P6885,2),UPPER(MID(P6885,4,3)),RIGHT(P6885,4),"-0-")</f>
        <v>BX-DETROITMI-10SEP1935-0-</v>
      </c>
      <c r="D6885" s="39" t="s">
        <v>5750</v>
      </c>
      <c r="F6885" s="39" t="s">
        <v>5751</v>
      </c>
      <c r="G6885" s="39" t="s">
        <v>6179</v>
      </c>
      <c r="L6885" s="17">
        <v>1</v>
      </c>
      <c r="M6885" s="8">
        <v>1</v>
      </c>
      <c r="N6885" s="8">
        <f>IF(L6885&gt;0,1,"")</f>
        <v>1</v>
      </c>
      <c r="O6885" s="11" t="s">
        <v>1702</v>
      </c>
      <c r="P6885" s="16" t="str">
        <f>IF(LEN(G6885)=10,CONCATENATE("0",G6885),G6885)</f>
        <v>10-Sep-1935</v>
      </c>
      <c r="R6885" s="16" t="str">
        <f t="shared" si="2936"/>
        <v>x</v>
      </c>
      <c r="S6885" s="16" t="str">
        <f t="shared" si="2936"/>
        <v>x</v>
      </c>
      <c r="U6885" s="46" t="str">
        <f t="shared" si="2937"/>
        <v/>
      </c>
      <c r="V6885" s="46">
        <f t="shared" si="2937"/>
        <v>1</v>
      </c>
      <c r="W6885" s="46" t="str">
        <f t="shared" si="2937"/>
        <v/>
      </c>
      <c r="X6885" s="46" t="str">
        <f t="shared" si="2937"/>
        <v/>
      </c>
    </row>
    <row r="6886" spans="2:24" x14ac:dyDescent="0.25">
      <c r="B6886" s="11" t="str">
        <f>CONCATENATE("BX-DETROITMI","-",LEFT(P6886,2),UPPER(MID(P6886,4,3)),RIGHT(P6886,4),"-0-")</f>
        <v>BX-DETROITMI-29MAR1938-0-</v>
      </c>
      <c r="D6886" s="39" t="s">
        <v>5750</v>
      </c>
      <c r="F6886" s="39" t="s">
        <v>5751</v>
      </c>
      <c r="G6886" s="39" t="s">
        <v>11274</v>
      </c>
      <c r="L6886" s="17">
        <v>1</v>
      </c>
      <c r="M6886" s="8">
        <v>1</v>
      </c>
      <c r="N6886" s="8">
        <f t="shared" si="2933"/>
        <v>1</v>
      </c>
      <c r="O6886" s="11" t="s">
        <v>1702</v>
      </c>
      <c r="P6886" s="16" t="str">
        <f t="shared" si="2934"/>
        <v>29-Mar-1938</v>
      </c>
      <c r="R6886" s="16" t="str">
        <f t="shared" si="2936"/>
        <v>x</v>
      </c>
      <c r="S6886" s="16" t="str">
        <f t="shared" si="2936"/>
        <v>x</v>
      </c>
      <c r="U6886" s="46" t="str">
        <f t="shared" si="2920"/>
        <v/>
      </c>
      <c r="V6886" s="46">
        <f t="shared" si="2920"/>
        <v>1</v>
      </c>
      <c r="W6886" s="46" t="str">
        <f t="shared" si="2920"/>
        <v/>
      </c>
      <c r="X6886" s="46" t="str">
        <f t="shared" si="2920"/>
        <v/>
      </c>
    </row>
    <row r="6888" spans="2:24" x14ac:dyDescent="0.25">
      <c r="L6888" s="8">
        <f>SUM(L6800:L6887)</f>
        <v>293</v>
      </c>
      <c r="M6888" s="8">
        <f>SUM(M6800:M6887)</f>
        <v>87</v>
      </c>
      <c r="N6888" s="8">
        <f>SUM(N6800:N6887)</f>
        <v>87</v>
      </c>
      <c r="U6888" s="8">
        <f>SUM(U6800:U6887)</f>
        <v>0</v>
      </c>
      <c r="V6888" s="8">
        <f>SUM(V6800:V6887)</f>
        <v>293</v>
      </c>
      <c r="W6888" s="8">
        <f>SUM(W6800:W6887)</f>
        <v>0</v>
      </c>
      <c r="X6888" s="8">
        <f>SUM(X6800:X6887)</f>
        <v>0</v>
      </c>
    </row>
    <row r="6890" spans="2:24" s="18" customFormat="1" x14ac:dyDescent="0.25">
      <c r="E6890" s="40"/>
      <c r="G6890" s="40"/>
      <c r="H6890" s="19"/>
      <c r="I6890" s="19"/>
      <c r="J6890" s="19"/>
      <c r="K6890" s="19"/>
      <c r="L6890" s="62">
        <f>SUM(L6799:L6889)/2</f>
        <v>293</v>
      </c>
      <c r="M6890" s="63">
        <f>SUM(M6799:M6889)/2</f>
        <v>87</v>
      </c>
      <c r="N6890" s="63">
        <f>SUM(N6799:N6889)/2</f>
        <v>87</v>
      </c>
      <c r="P6890" s="13"/>
      <c r="Q6890" s="13"/>
      <c r="R6890" s="13"/>
      <c r="S6890" s="13"/>
      <c r="T6890" s="15"/>
      <c r="U6890" s="63">
        <f>SUM(U6799:U6889)/2</f>
        <v>0</v>
      </c>
      <c r="V6890" s="63">
        <f>SUM(V6799:V6889)/2</f>
        <v>293</v>
      </c>
      <c r="W6890" s="63">
        <f>SUM(W6799:W6889)/2</f>
        <v>0</v>
      </c>
      <c r="X6890" s="63">
        <f>SUM(X6799:X6889)/2</f>
        <v>0</v>
      </c>
    </row>
    <row r="6892" spans="2:24" s="18" customFormat="1" x14ac:dyDescent="0.25">
      <c r="E6892" s="40"/>
      <c r="G6892" s="40"/>
      <c r="H6892" s="19"/>
      <c r="I6892" s="19"/>
      <c r="J6892" s="19"/>
      <c r="K6892" s="19"/>
      <c r="L6892" s="64">
        <f>L6782+L6890</f>
        <v>73913</v>
      </c>
      <c r="M6892" s="19">
        <f>M6782+M6890</f>
        <v>4796.5</v>
      </c>
      <c r="N6892" s="19">
        <f>N6782+N6890</f>
        <v>4192</v>
      </c>
      <c r="P6892" s="13"/>
      <c r="Q6892" s="13"/>
      <c r="R6892" s="13"/>
      <c r="S6892" s="13"/>
      <c r="T6892" s="15"/>
      <c r="U6892" s="19">
        <f>U6782+U6890</f>
        <v>200</v>
      </c>
      <c r="V6892" s="19">
        <f>V6782+V6890</f>
        <v>73123</v>
      </c>
      <c r="W6892" s="19">
        <f>W6782+W6890</f>
        <v>13</v>
      </c>
      <c r="X6892" s="19">
        <f>X6782+X6890</f>
        <v>577</v>
      </c>
    </row>
  </sheetData>
  <sheetProtection selectLockedCells="1" selectUnlockedCells="1"/>
  <mergeCells count="9">
    <mergeCell ref="S6795:S6798"/>
    <mergeCell ref="M6797:N6797"/>
    <mergeCell ref="S2:S5"/>
    <mergeCell ref="H4:L4"/>
    <mergeCell ref="M4:N4"/>
    <mergeCell ref="Q2:Q5"/>
    <mergeCell ref="R2:R5"/>
    <mergeCell ref="Q6795:Q6798"/>
    <mergeCell ref="R6795:R6798"/>
  </mergeCells>
  <phoneticPr fontId="5" type="noConversion"/>
  <pageMargins left="0.7" right="0.7" top="0.75" bottom="1.25" header="0.51180555555555596" footer="0.75"/>
  <pageSetup scale="71" firstPageNumber="0" fitToHeight="0" orientation="landscape" horizontalDpi="300" verticalDpi="300" r:id="rId1"/>
  <headerFooter alignWithMargins="0">
    <oddFooter>&amp;L&amp;"Arial,Bold"Ship Immigrants - Search Results
http://markarslan.org/ArmenianImmigrants/shiplists.html&amp;C&amp;"Arial,Bold"- &amp;P -&amp;R&amp;"Arial,Bold"&amp;D</oddFooter>
  </headerFooter>
  <rowBreaks count="1" manualBreakCount="1">
    <brk id="6793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2"/>
  <sheetViews>
    <sheetView workbookViewId="0">
      <selection activeCell="D104" sqref="A1:D104"/>
    </sheetView>
  </sheetViews>
  <sheetFormatPr defaultRowHeight="13.2" x14ac:dyDescent="0.25"/>
  <cols>
    <col min="1" max="1" width="9.109375" customWidth="1"/>
    <col min="2" max="2" width="25.44140625" customWidth="1"/>
    <col min="3" max="3" width="8.109375" style="71" customWidth="1"/>
    <col min="4" max="4" width="9.109375" style="75"/>
  </cols>
  <sheetData>
    <row r="1" spans="1:4" s="5" customFormat="1" x14ac:dyDescent="0.25">
      <c r="A1" s="5" t="s">
        <v>6337</v>
      </c>
      <c r="C1" s="69"/>
      <c r="D1" s="73"/>
    </row>
    <row r="2" spans="1:4" s="5" customFormat="1" x14ac:dyDescent="0.25">
      <c r="C2" s="69"/>
      <c r="D2" s="73"/>
    </row>
    <row r="3" spans="1:4" s="4" customFormat="1" x14ac:dyDescent="0.25">
      <c r="A3" s="4" t="s">
        <v>11131</v>
      </c>
      <c r="B3" s="4" t="s">
        <v>11129</v>
      </c>
      <c r="C3" s="70" t="s">
        <v>1696</v>
      </c>
      <c r="D3" s="74" t="s">
        <v>11130</v>
      </c>
    </row>
    <row r="4" spans="1:4" s="4" customFormat="1" x14ac:dyDescent="0.25">
      <c r="C4" s="70"/>
      <c r="D4" s="74"/>
    </row>
    <row r="5" spans="1:4" x14ac:dyDescent="0.25">
      <c r="A5">
        <v>1</v>
      </c>
      <c r="B5" t="s">
        <v>6338</v>
      </c>
      <c r="C5" s="71">
        <v>1017</v>
      </c>
      <c r="D5" s="75">
        <f>C5/$C$4822</f>
        <v>1.4267476606669379E-2</v>
      </c>
    </row>
    <row r="6" spans="1:4" x14ac:dyDescent="0.25">
      <c r="A6">
        <f>A5+1</f>
        <v>2</v>
      </c>
      <c r="B6" t="s">
        <v>6339</v>
      </c>
      <c r="C6" s="71">
        <v>973</v>
      </c>
      <c r="D6" s="75">
        <f t="shared" ref="D6:D69" si="0">C6/$C$4822</f>
        <v>1.3650201315918688E-2</v>
      </c>
    </row>
    <row r="7" spans="1:4" x14ac:dyDescent="0.25">
      <c r="A7">
        <f t="shared" ref="A7:A70" si="1">A6+1</f>
        <v>3</v>
      </c>
      <c r="B7" t="s">
        <v>6340</v>
      </c>
      <c r="C7" s="71">
        <v>865</v>
      </c>
      <c r="D7" s="75">
        <f t="shared" si="0"/>
        <v>1.2135071056803356E-2</v>
      </c>
    </row>
    <row r="8" spans="1:4" x14ac:dyDescent="0.25">
      <c r="A8">
        <f t="shared" si="1"/>
        <v>4</v>
      </c>
      <c r="B8" t="s">
        <v>6341</v>
      </c>
      <c r="C8" s="71">
        <v>845</v>
      </c>
      <c r="D8" s="75">
        <f t="shared" si="0"/>
        <v>1.1854491379189406E-2</v>
      </c>
    </row>
    <row r="9" spans="1:4" x14ac:dyDescent="0.25">
      <c r="A9">
        <f t="shared" si="1"/>
        <v>5</v>
      </c>
      <c r="B9" t="s">
        <v>6342</v>
      </c>
      <c r="C9" s="71">
        <v>816</v>
      </c>
      <c r="D9" s="75">
        <f t="shared" si="0"/>
        <v>1.1447650846649178E-2</v>
      </c>
    </row>
    <row r="10" spans="1:4" x14ac:dyDescent="0.25">
      <c r="A10">
        <f t="shared" si="1"/>
        <v>6</v>
      </c>
      <c r="B10" t="s">
        <v>6343</v>
      </c>
      <c r="C10" s="71">
        <v>664</v>
      </c>
      <c r="D10" s="75">
        <f t="shared" si="0"/>
        <v>9.3152452967831534E-3</v>
      </c>
    </row>
    <row r="11" spans="1:4" x14ac:dyDescent="0.25">
      <c r="A11">
        <f t="shared" si="1"/>
        <v>7</v>
      </c>
      <c r="B11" t="s">
        <v>6344</v>
      </c>
      <c r="C11" s="71">
        <v>651</v>
      </c>
      <c r="D11" s="75">
        <f t="shared" si="0"/>
        <v>9.1328685063340864E-3</v>
      </c>
    </row>
    <row r="12" spans="1:4" x14ac:dyDescent="0.25">
      <c r="A12">
        <f t="shared" si="1"/>
        <v>8</v>
      </c>
      <c r="B12" t="s">
        <v>6345</v>
      </c>
      <c r="C12" s="71">
        <v>651</v>
      </c>
      <c r="D12" s="75">
        <f t="shared" si="0"/>
        <v>9.1328685063340864E-3</v>
      </c>
    </row>
    <row r="13" spans="1:4" x14ac:dyDescent="0.25">
      <c r="A13">
        <f t="shared" si="1"/>
        <v>9</v>
      </c>
      <c r="B13" t="s">
        <v>6346</v>
      </c>
      <c r="C13" s="71">
        <v>619</v>
      </c>
      <c r="D13" s="75">
        <f t="shared" si="0"/>
        <v>8.6839410221517654E-3</v>
      </c>
    </row>
    <row r="14" spans="1:4" x14ac:dyDescent="0.25">
      <c r="A14">
        <f t="shared" si="1"/>
        <v>10</v>
      </c>
      <c r="B14" t="s">
        <v>6347</v>
      </c>
      <c r="C14" s="71">
        <v>606</v>
      </c>
      <c r="D14" s="75">
        <f t="shared" si="0"/>
        <v>8.5015642317026983E-3</v>
      </c>
    </row>
    <row r="15" spans="1:4" x14ac:dyDescent="0.25">
      <c r="A15">
        <f t="shared" si="1"/>
        <v>11</v>
      </c>
      <c r="B15" t="s">
        <v>6348</v>
      </c>
      <c r="C15" s="71">
        <v>605</v>
      </c>
      <c r="D15" s="75">
        <f t="shared" si="0"/>
        <v>8.4875352478219999E-3</v>
      </c>
    </row>
    <row r="16" spans="1:4" x14ac:dyDescent="0.25">
      <c r="A16">
        <f t="shared" si="1"/>
        <v>12</v>
      </c>
      <c r="B16" t="s">
        <v>6349</v>
      </c>
      <c r="C16" s="71">
        <v>576</v>
      </c>
      <c r="D16" s="75">
        <f t="shared" si="0"/>
        <v>8.0806947152817724E-3</v>
      </c>
    </row>
    <row r="17" spans="1:4" x14ac:dyDescent="0.25">
      <c r="A17">
        <f t="shared" si="1"/>
        <v>13</v>
      </c>
      <c r="B17" t="s">
        <v>6350</v>
      </c>
      <c r="C17" s="71">
        <v>554</v>
      </c>
      <c r="D17" s="75">
        <f t="shared" si="0"/>
        <v>7.7720570699064268E-3</v>
      </c>
    </row>
    <row r="18" spans="1:4" x14ac:dyDescent="0.25">
      <c r="A18">
        <f t="shared" si="1"/>
        <v>14</v>
      </c>
      <c r="B18" t="s">
        <v>6351</v>
      </c>
      <c r="C18" s="71">
        <v>548</v>
      </c>
      <c r="D18" s="75">
        <f t="shared" si="0"/>
        <v>7.6878831666222416E-3</v>
      </c>
    </row>
    <row r="19" spans="1:4" x14ac:dyDescent="0.25">
      <c r="A19">
        <f t="shared" si="1"/>
        <v>15</v>
      </c>
      <c r="B19" t="s">
        <v>6352</v>
      </c>
      <c r="C19" s="71">
        <v>543</v>
      </c>
      <c r="D19" s="75">
        <f t="shared" si="0"/>
        <v>7.6177382472187539E-3</v>
      </c>
    </row>
    <row r="20" spans="1:4" x14ac:dyDescent="0.25">
      <c r="A20">
        <f t="shared" si="1"/>
        <v>16</v>
      </c>
      <c r="B20" t="s">
        <v>6353</v>
      </c>
      <c r="C20" s="71">
        <v>539</v>
      </c>
      <c r="D20" s="75">
        <f t="shared" si="0"/>
        <v>7.5616223116959638E-3</v>
      </c>
    </row>
    <row r="21" spans="1:4" x14ac:dyDescent="0.25">
      <c r="A21">
        <f t="shared" si="1"/>
        <v>17</v>
      </c>
      <c r="B21" t="s">
        <v>6354</v>
      </c>
      <c r="C21" s="71">
        <v>490</v>
      </c>
      <c r="D21" s="75">
        <f t="shared" si="0"/>
        <v>6.8742021015417857E-3</v>
      </c>
    </row>
    <row r="22" spans="1:4" x14ac:dyDescent="0.25">
      <c r="A22">
        <f t="shared" si="1"/>
        <v>18</v>
      </c>
      <c r="B22" t="s">
        <v>6355</v>
      </c>
      <c r="C22" s="71">
        <v>441</v>
      </c>
      <c r="D22" s="75">
        <f t="shared" si="0"/>
        <v>6.1867818913876067E-3</v>
      </c>
    </row>
    <row r="23" spans="1:4" x14ac:dyDescent="0.25">
      <c r="A23">
        <f t="shared" si="1"/>
        <v>19</v>
      </c>
      <c r="B23" t="s">
        <v>6356</v>
      </c>
      <c r="C23" s="71">
        <v>430</v>
      </c>
      <c r="D23" s="75">
        <f t="shared" si="0"/>
        <v>6.0324630686999338E-3</v>
      </c>
    </row>
    <row r="24" spans="1:4" x14ac:dyDescent="0.25">
      <c r="A24">
        <f t="shared" si="1"/>
        <v>20</v>
      </c>
      <c r="B24" t="s">
        <v>6357</v>
      </c>
      <c r="C24" s="71">
        <v>418</v>
      </c>
      <c r="D24" s="75">
        <f t="shared" si="0"/>
        <v>5.8641152621315635E-3</v>
      </c>
    </row>
    <row r="25" spans="1:4" x14ac:dyDescent="0.25">
      <c r="A25">
        <f t="shared" si="1"/>
        <v>21</v>
      </c>
      <c r="B25" t="s">
        <v>6358</v>
      </c>
      <c r="C25" s="71">
        <v>412</v>
      </c>
      <c r="D25" s="75">
        <f t="shared" si="0"/>
        <v>5.7799413588473783E-3</v>
      </c>
    </row>
    <row r="26" spans="1:4" x14ac:dyDescent="0.25">
      <c r="A26">
        <f t="shared" si="1"/>
        <v>22</v>
      </c>
      <c r="B26" t="s">
        <v>6359</v>
      </c>
      <c r="C26" s="71">
        <v>399</v>
      </c>
      <c r="D26" s="75">
        <f t="shared" si="0"/>
        <v>5.5975645683983112E-3</v>
      </c>
    </row>
    <row r="27" spans="1:4" x14ac:dyDescent="0.25">
      <c r="A27">
        <f t="shared" si="1"/>
        <v>23</v>
      </c>
      <c r="B27" t="s">
        <v>6360</v>
      </c>
      <c r="C27" s="71">
        <v>397</v>
      </c>
      <c r="D27" s="75">
        <f t="shared" si="0"/>
        <v>5.5695066006369162E-3</v>
      </c>
    </row>
    <row r="28" spans="1:4" x14ac:dyDescent="0.25">
      <c r="A28">
        <f t="shared" si="1"/>
        <v>24</v>
      </c>
      <c r="B28" t="s">
        <v>6361</v>
      </c>
      <c r="C28" s="71">
        <v>387</v>
      </c>
      <c r="D28" s="75">
        <f t="shared" si="0"/>
        <v>5.4292167618299409E-3</v>
      </c>
    </row>
    <row r="29" spans="1:4" x14ac:dyDescent="0.25">
      <c r="A29">
        <f t="shared" si="1"/>
        <v>25</v>
      </c>
      <c r="B29" t="s">
        <v>6362</v>
      </c>
      <c r="C29" s="71">
        <v>381</v>
      </c>
      <c r="D29" s="75">
        <f t="shared" si="0"/>
        <v>5.3450428585457557E-3</v>
      </c>
    </row>
    <row r="30" spans="1:4" x14ac:dyDescent="0.25">
      <c r="A30">
        <f t="shared" si="1"/>
        <v>26</v>
      </c>
      <c r="B30" t="s">
        <v>6363</v>
      </c>
      <c r="C30" s="71">
        <v>373</v>
      </c>
      <c r="D30" s="75">
        <f t="shared" si="0"/>
        <v>5.2328109875001754E-3</v>
      </c>
    </row>
    <row r="31" spans="1:4" x14ac:dyDescent="0.25">
      <c r="A31">
        <f t="shared" si="1"/>
        <v>27</v>
      </c>
      <c r="B31" t="s">
        <v>6364</v>
      </c>
      <c r="C31" s="71">
        <v>371</v>
      </c>
      <c r="D31" s="75">
        <f t="shared" si="0"/>
        <v>5.2047530197387804E-3</v>
      </c>
    </row>
    <row r="32" spans="1:4" x14ac:dyDescent="0.25">
      <c r="A32">
        <f t="shared" si="1"/>
        <v>28</v>
      </c>
      <c r="B32" t="s">
        <v>6365</v>
      </c>
      <c r="C32" s="71">
        <v>359</v>
      </c>
      <c r="D32" s="75">
        <f t="shared" si="0"/>
        <v>5.03640521317041E-3</v>
      </c>
    </row>
    <row r="33" spans="1:4" x14ac:dyDescent="0.25">
      <c r="A33">
        <f t="shared" si="1"/>
        <v>29</v>
      </c>
      <c r="B33" t="s">
        <v>6366</v>
      </c>
      <c r="C33" s="71">
        <v>352</v>
      </c>
      <c r="D33" s="75">
        <f t="shared" si="0"/>
        <v>4.9382023260055273E-3</v>
      </c>
    </row>
    <row r="34" spans="1:4" x14ac:dyDescent="0.25">
      <c r="A34">
        <f t="shared" si="1"/>
        <v>30</v>
      </c>
      <c r="B34" t="s">
        <v>6367</v>
      </c>
      <c r="C34" s="71">
        <v>351</v>
      </c>
      <c r="D34" s="75">
        <f t="shared" si="0"/>
        <v>4.9241733421248298E-3</v>
      </c>
    </row>
    <row r="35" spans="1:4" x14ac:dyDescent="0.25">
      <c r="A35">
        <f t="shared" si="1"/>
        <v>31</v>
      </c>
      <c r="B35" t="s">
        <v>6368</v>
      </c>
      <c r="C35" s="71">
        <v>349</v>
      </c>
      <c r="D35" s="75">
        <f t="shared" si="0"/>
        <v>4.8961153743634347E-3</v>
      </c>
    </row>
    <row r="36" spans="1:4" x14ac:dyDescent="0.25">
      <c r="A36">
        <f t="shared" si="1"/>
        <v>32</v>
      </c>
      <c r="B36" t="s">
        <v>6369</v>
      </c>
      <c r="C36" s="71">
        <v>346</v>
      </c>
      <c r="D36" s="75">
        <f t="shared" si="0"/>
        <v>4.8540284227213421E-3</v>
      </c>
    </row>
    <row r="37" spans="1:4" x14ac:dyDescent="0.25">
      <c r="A37">
        <f t="shared" si="1"/>
        <v>33</v>
      </c>
      <c r="B37" t="s">
        <v>6370</v>
      </c>
      <c r="C37" s="71">
        <v>330</v>
      </c>
      <c r="D37" s="75">
        <f t="shared" si="0"/>
        <v>4.6295646806301816E-3</v>
      </c>
    </row>
    <row r="38" spans="1:4" x14ac:dyDescent="0.25">
      <c r="A38">
        <f t="shared" si="1"/>
        <v>34</v>
      </c>
      <c r="B38" t="s">
        <v>6371</v>
      </c>
      <c r="C38" s="71">
        <v>330</v>
      </c>
      <c r="D38" s="75">
        <f t="shared" si="0"/>
        <v>4.6295646806301816E-3</v>
      </c>
    </row>
    <row r="39" spans="1:4" x14ac:dyDescent="0.25">
      <c r="A39">
        <f t="shared" si="1"/>
        <v>35</v>
      </c>
      <c r="B39" t="s">
        <v>6372</v>
      </c>
      <c r="C39" s="71">
        <v>328</v>
      </c>
      <c r="D39" s="75">
        <f t="shared" si="0"/>
        <v>4.6015067128687866E-3</v>
      </c>
    </row>
    <row r="40" spans="1:4" x14ac:dyDescent="0.25">
      <c r="A40">
        <f t="shared" si="1"/>
        <v>36</v>
      </c>
      <c r="B40" t="s">
        <v>6373</v>
      </c>
      <c r="C40" s="71">
        <v>325</v>
      </c>
      <c r="D40" s="75">
        <f t="shared" si="0"/>
        <v>4.559419761226694E-3</v>
      </c>
    </row>
    <row r="41" spans="1:4" x14ac:dyDescent="0.25">
      <c r="A41">
        <f t="shared" si="1"/>
        <v>37</v>
      </c>
      <c r="B41" t="s">
        <v>6374</v>
      </c>
      <c r="C41" s="71">
        <v>320</v>
      </c>
      <c r="D41" s="75">
        <f t="shared" si="0"/>
        <v>4.4892748418232063E-3</v>
      </c>
    </row>
    <row r="42" spans="1:4" x14ac:dyDescent="0.25">
      <c r="A42">
        <f t="shared" si="1"/>
        <v>38</v>
      </c>
      <c r="B42" t="s">
        <v>6375</v>
      </c>
      <c r="C42" s="71">
        <v>316</v>
      </c>
      <c r="D42" s="75">
        <f t="shared" si="0"/>
        <v>4.4331589063004171E-3</v>
      </c>
    </row>
    <row r="43" spans="1:4" x14ac:dyDescent="0.25">
      <c r="A43">
        <f t="shared" si="1"/>
        <v>39</v>
      </c>
      <c r="B43" t="s">
        <v>6376</v>
      </c>
      <c r="C43" s="71">
        <v>316</v>
      </c>
      <c r="D43" s="75">
        <f t="shared" si="0"/>
        <v>4.4331589063004171E-3</v>
      </c>
    </row>
    <row r="44" spans="1:4" x14ac:dyDescent="0.25">
      <c r="A44">
        <f t="shared" si="1"/>
        <v>40</v>
      </c>
      <c r="B44" t="s">
        <v>6377</v>
      </c>
      <c r="C44" s="71">
        <v>311</v>
      </c>
      <c r="D44" s="75">
        <f t="shared" si="0"/>
        <v>4.3630139868969294E-3</v>
      </c>
    </row>
    <row r="45" spans="1:4" x14ac:dyDescent="0.25">
      <c r="A45">
        <f t="shared" si="1"/>
        <v>41</v>
      </c>
      <c r="B45" t="s">
        <v>6378</v>
      </c>
      <c r="C45" s="71">
        <v>304</v>
      </c>
      <c r="D45" s="75">
        <f t="shared" si="0"/>
        <v>4.2648110997320467E-3</v>
      </c>
    </row>
    <row r="46" spans="1:4" x14ac:dyDescent="0.25">
      <c r="A46">
        <f t="shared" si="1"/>
        <v>42</v>
      </c>
      <c r="B46" t="s">
        <v>6379</v>
      </c>
      <c r="C46" s="71">
        <v>303</v>
      </c>
      <c r="D46" s="75">
        <f t="shared" si="0"/>
        <v>4.2507821158513492E-3</v>
      </c>
    </row>
    <row r="47" spans="1:4" x14ac:dyDescent="0.25">
      <c r="A47">
        <f t="shared" si="1"/>
        <v>43</v>
      </c>
      <c r="B47" t="s">
        <v>6380</v>
      </c>
      <c r="C47" s="71">
        <v>275</v>
      </c>
      <c r="D47" s="75">
        <f t="shared" si="0"/>
        <v>3.8579705671918183E-3</v>
      </c>
    </row>
    <row r="48" spans="1:4" x14ac:dyDescent="0.25">
      <c r="A48">
        <f t="shared" si="1"/>
        <v>44</v>
      </c>
      <c r="B48" t="s">
        <v>6381</v>
      </c>
      <c r="C48" s="71">
        <v>274</v>
      </c>
      <c r="D48" s="75">
        <f t="shared" si="0"/>
        <v>3.8439415833111208E-3</v>
      </c>
    </row>
    <row r="49" spans="1:4" x14ac:dyDescent="0.25">
      <c r="A49">
        <f t="shared" si="1"/>
        <v>45</v>
      </c>
      <c r="B49" t="s">
        <v>6382</v>
      </c>
      <c r="C49" s="71">
        <v>265</v>
      </c>
      <c r="D49" s="75">
        <f t="shared" si="0"/>
        <v>3.717680728384843E-3</v>
      </c>
    </row>
    <row r="50" spans="1:4" x14ac:dyDescent="0.25">
      <c r="A50">
        <f t="shared" si="1"/>
        <v>46</v>
      </c>
      <c r="B50" t="s">
        <v>6383</v>
      </c>
      <c r="C50" s="71">
        <v>265</v>
      </c>
      <c r="D50" s="75">
        <f t="shared" si="0"/>
        <v>3.717680728384843E-3</v>
      </c>
    </row>
    <row r="51" spans="1:4" x14ac:dyDescent="0.25">
      <c r="A51">
        <f t="shared" si="1"/>
        <v>47</v>
      </c>
      <c r="B51" t="s">
        <v>6384</v>
      </c>
      <c r="C51" s="71">
        <v>263</v>
      </c>
      <c r="D51" s="75">
        <f t="shared" si="0"/>
        <v>3.6896227606234479E-3</v>
      </c>
    </row>
    <row r="52" spans="1:4" x14ac:dyDescent="0.25">
      <c r="A52">
        <f t="shared" si="1"/>
        <v>48</v>
      </c>
      <c r="B52" t="s">
        <v>6385</v>
      </c>
      <c r="C52" s="71">
        <v>259</v>
      </c>
      <c r="D52" s="75">
        <f t="shared" si="0"/>
        <v>3.6335068251006578E-3</v>
      </c>
    </row>
    <row r="53" spans="1:4" x14ac:dyDescent="0.25">
      <c r="A53">
        <f t="shared" si="1"/>
        <v>49</v>
      </c>
      <c r="B53" t="s">
        <v>6386</v>
      </c>
      <c r="C53" s="71">
        <v>259</v>
      </c>
      <c r="D53" s="75">
        <f t="shared" si="0"/>
        <v>3.6335068251006578E-3</v>
      </c>
    </row>
    <row r="54" spans="1:4" x14ac:dyDescent="0.25">
      <c r="A54">
        <f t="shared" si="1"/>
        <v>50</v>
      </c>
      <c r="B54" t="s">
        <v>6387</v>
      </c>
      <c r="C54" s="71">
        <v>258</v>
      </c>
      <c r="D54" s="75">
        <f t="shared" si="0"/>
        <v>3.6194778412199603E-3</v>
      </c>
    </row>
    <row r="55" spans="1:4" x14ac:dyDescent="0.25">
      <c r="A55">
        <f t="shared" si="1"/>
        <v>51</v>
      </c>
      <c r="B55" t="s">
        <v>6388</v>
      </c>
      <c r="C55" s="71">
        <v>243</v>
      </c>
      <c r="D55" s="75">
        <f t="shared" si="0"/>
        <v>3.4090430830094978E-3</v>
      </c>
    </row>
    <row r="56" spans="1:4" x14ac:dyDescent="0.25">
      <c r="A56">
        <f t="shared" si="1"/>
        <v>52</v>
      </c>
      <c r="B56" t="s">
        <v>6389</v>
      </c>
      <c r="C56" s="71">
        <v>243</v>
      </c>
      <c r="D56" s="75">
        <f t="shared" si="0"/>
        <v>3.4090430830094978E-3</v>
      </c>
    </row>
    <row r="57" spans="1:4" x14ac:dyDescent="0.25">
      <c r="A57">
        <f t="shared" si="1"/>
        <v>53</v>
      </c>
      <c r="B57" t="s">
        <v>6390</v>
      </c>
      <c r="C57" s="71">
        <v>234</v>
      </c>
      <c r="D57" s="75">
        <f t="shared" si="0"/>
        <v>3.28278222808322E-3</v>
      </c>
    </row>
    <row r="58" spans="1:4" x14ac:dyDescent="0.25">
      <c r="A58">
        <f t="shared" si="1"/>
        <v>54</v>
      </c>
      <c r="B58" t="s">
        <v>6391</v>
      </c>
      <c r="C58" s="71">
        <v>227</v>
      </c>
      <c r="D58" s="75">
        <f t="shared" si="0"/>
        <v>3.1845793409183373E-3</v>
      </c>
    </row>
    <row r="59" spans="1:4" x14ac:dyDescent="0.25">
      <c r="A59">
        <f t="shared" si="1"/>
        <v>55</v>
      </c>
      <c r="B59" t="s">
        <v>6392</v>
      </c>
      <c r="C59" s="71">
        <v>226</v>
      </c>
      <c r="D59" s="75">
        <f t="shared" si="0"/>
        <v>3.1705503570376397E-3</v>
      </c>
    </row>
    <row r="60" spans="1:4" x14ac:dyDescent="0.25">
      <c r="A60">
        <f t="shared" si="1"/>
        <v>56</v>
      </c>
      <c r="B60" t="s">
        <v>6393</v>
      </c>
      <c r="C60" s="71">
        <v>222</v>
      </c>
      <c r="D60" s="75">
        <f t="shared" si="0"/>
        <v>3.1144344215148496E-3</v>
      </c>
    </row>
    <row r="61" spans="1:4" x14ac:dyDescent="0.25">
      <c r="A61">
        <f t="shared" si="1"/>
        <v>57</v>
      </c>
      <c r="B61" t="s">
        <v>6394</v>
      </c>
      <c r="C61" s="71">
        <v>220</v>
      </c>
      <c r="D61" s="75">
        <f t="shared" si="0"/>
        <v>3.0863764537534546E-3</v>
      </c>
    </row>
    <row r="62" spans="1:4" x14ac:dyDescent="0.25">
      <c r="A62">
        <f t="shared" si="1"/>
        <v>58</v>
      </c>
      <c r="B62" t="s">
        <v>6395</v>
      </c>
      <c r="C62" s="71">
        <v>213</v>
      </c>
      <c r="D62" s="75">
        <f t="shared" si="0"/>
        <v>2.9881735665885719E-3</v>
      </c>
    </row>
    <row r="63" spans="1:4" x14ac:dyDescent="0.25">
      <c r="A63">
        <f t="shared" si="1"/>
        <v>59</v>
      </c>
      <c r="B63" t="s">
        <v>6396</v>
      </c>
      <c r="C63" s="71">
        <v>212</v>
      </c>
      <c r="D63" s="75">
        <f t="shared" si="0"/>
        <v>2.9741445827078743E-3</v>
      </c>
    </row>
    <row r="64" spans="1:4" x14ac:dyDescent="0.25">
      <c r="A64">
        <f t="shared" si="1"/>
        <v>60</v>
      </c>
      <c r="B64" t="s">
        <v>6397</v>
      </c>
      <c r="C64" s="71">
        <v>207</v>
      </c>
      <c r="D64" s="75">
        <f t="shared" si="0"/>
        <v>2.9039996633043867E-3</v>
      </c>
    </row>
    <row r="65" spans="1:4" x14ac:dyDescent="0.25">
      <c r="A65">
        <f t="shared" si="1"/>
        <v>61</v>
      </c>
      <c r="B65" t="s">
        <v>6398</v>
      </c>
      <c r="C65" s="71">
        <v>206</v>
      </c>
      <c r="D65" s="75">
        <f t="shared" si="0"/>
        <v>2.8899706794236891E-3</v>
      </c>
    </row>
    <row r="66" spans="1:4" x14ac:dyDescent="0.25">
      <c r="A66">
        <f t="shared" si="1"/>
        <v>62</v>
      </c>
      <c r="B66" t="s">
        <v>6399</v>
      </c>
      <c r="C66" s="71">
        <v>200</v>
      </c>
      <c r="D66" s="75">
        <f t="shared" si="0"/>
        <v>2.8057967761395044E-3</v>
      </c>
    </row>
    <row r="67" spans="1:4" x14ac:dyDescent="0.25">
      <c r="A67">
        <f t="shared" si="1"/>
        <v>63</v>
      </c>
      <c r="B67" t="s">
        <v>6400</v>
      </c>
      <c r="C67" s="71">
        <v>199</v>
      </c>
      <c r="D67" s="75">
        <f t="shared" si="0"/>
        <v>2.7917677922588069E-3</v>
      </c>
    </row>
    <row r="68" spans="1:4" x14ac:dyDescent="0.25">
      <c r="A68">
        <f t="shared" si="1"/>
        <v>64</v>
      </c>
      <c r="B68" t="s">
        <v>6401</v>
      </c>
      <c r="C68" s="71">
        <v>195</v>
      </c>
      <c r="D68" s="75">
        <f t="shared" si="0"/>
        <v>2.7356518567360167E-3</v>
      </c>
    </row>
    <row r="69" spans="1:4" x14ac:dyDescent="0.25">
      <c r="A69">
        <f t="shared" si="1"/>
        <v>65</v>
      </c>
      <c r="B69" t="s">
        <v>6402</v>
      </c>
      <c r="C69" s="71">
        <v>195</v>
      </c>
      <c r="D69" s="75">
        <f t="shared" si="0"/>
        <v>2.7356518567360167E-3</v>
      </c>
    </row>
    <row r="70" spans="1:4" x14ac:dyDescent="0.25">
      <c r="A70">
        <f t="shared" si="1"/>
        <v>66</v>
      </c>
      <c r="B70" t="s">
        <v>6403</v>
      </c>
      <c r="C70" s="71">
        <v>193</v>
      </c>
      <c r="D70" s="75">
        <f t="shared" ref="D70:D133" si="2">C70/$C$4822</f>
        <v>2.7075938889746217E-3</v>
      </c>
    </row>
    <row r="71" spans="1:4" x14ac:dyDescent="0.25">
      <c r="A71">
        <f t="shared" ref="A71:A104" si="3">A70+1</f>
        <v>67</v>
      </c>
      <c r="B71" t="s">
        <v>6404</v>
      </c>
      <c r="C71" s="71">
        <v>191</v>
      </c>
      <c r="D71" s="75">
        <f t="shared" si="2"/>
        <v>2.6795359212132266E-3</v>
      </c>
    </row>
    <row r="72" spans="1:4" x14ac:dyDescent="0.25">
      <c r="A72">
        <f t="shared" si="3"/>
        <v>68</v>
      </c>
      <c r="B72" t="s">
        <v>6405</v>
      </c>
      <c r="C72" s="71">
        <v>191</v>
      </c>
      <c r="D72" s="75">
        <f t="shared" si="2"/>
        <v>2.6795359212132266E-3</v>
      </c>
    </row>
    <row r="73" spans="1:4" x14ac:dyDescent="0.25">
      <c r="A73">
        <f t="shared" si="3"/>
        <v>69</v>
      </c>
      <c r="B73" t="s">
        <v>6406</v>
      </c>
      <c r="C73" s="71">
        <v>186</v>
      </c>
      <c r="D73" s="75">
        <f t="shared" si="2"/>
        <v>2.609391001809739E-3</v>
      </c>
    </row>
    <row r="74" spans="1:4" x14ac:dyDescent="0.25">
      <c r="A74">
        <f t="shared" si="3"/>
        <v>70</v>
      </c>
      <c r="B74" t="s">
        <v>6407</v>
      </c>
      <c r="C74" s="71">
        <v>185</v>
      </c>
      <c r="D74" s="75">
        <f t="shared" si="2"/>
        <v>2.5953620179290414E-3</v>
      </c>
    </row>
    <row r="75" spans="1:4" x14ac:dyDescent="0.25">
      <c r="A75">
        <f t="shared" si="3"/>
        <v>71</v>
      </c>
      <c r="B75" t="s">
        <v>6408</v>
      </c>
      <c r="C75" s="71">
        <v>185</v>
      </c>
      <c r="D75" s="75">
        <f t="shared" si="2"/>
        <v>2.5953620179290414E-3</v>
      </c>
    </row>
    <row r="76" spans="1:4" x14ac:dyDescent="0.25">
      <c r="A76">
        <f t="shared" si="3"/>
        <v>72</v>
      </c>
      <c r="B76" t="s">
        <v>6409</v>
      </c>
      <c r="C76" s="71">
        <v>184</v>
      </c>
      <c r="D76" s="75">
        <f t="shared" si="2"/>
        <v>2.5813330340483439E-3</v>
      </c>
    </row>
    <row r="77" spans="1:4" x14ac:dyDescent="0.25">
      <c r="A77">
        <f t="shared" si="3"/>
        <v>73</v>
      </c>
      <c r="B77" t="s">
        <v>6410</v>
      </c>
      <c r="C77" s="71">
        <v>182</v>
      </c>
      <c r="D77" s="75">
        <f t="shared" si="2"/>
        <v>2.5532750662869488E-3</v>
      </c>
    </row>
    <row r="78" spans="1:4" x14ac:dyDescent="0.25">
      <c r="A78">
        <f t="shared" si="3"/>
        <v>74</v>
      </c>
      <c r="B78" t="s">
        <v>6411</v>
      </c>
      <c r="C78" s="71">
        <v>181</v>
      </c>
      <c r="D78" s="75">
        <f t="shared" si="2"/>
        <v>2.5392460824062513E-3</v>
      </c>
    </row>
    <row r="79" spans="1:4" x14ac:dyDescent="0.25">
      <c r="A79">
        <f t="shared" si="3"/>
        <v>75</v>
      </c>
      <c r="B79" t="s">
        <v>6412</v>
      </c>
      <c r="C79" s="71">
        <v>180</v>
      </c>
      <c r="D79" s="75">
        <f t="shared" si="2"/>
        <v>2.5252170985255538E-3</v>
      </c>
    </row>
    <row r="80" spans="1:4" x14ac:dyDescent="0.25">
      <c r="A80">
        <f t="shared" si="3"/>
        <v>76</v>
      </c>
      <c r="B80" t="s">
        <v>6413</v>
      </c>
      <c r="C80" s="71">
        <v>180</v>
      </c>
      <c r="D80" s="75">
        <f t="shared" si="2"/>
        <v>2.5252170985255538E-3</v>
      </c>
    </row>
    <row r="81" spans="1:4" x14ac:dyDescent="0.25">
      <c r="A81">
        <f t="shared" si="3"/>
        <v>77</v>
      </c>
      <c r="B81" t="s">
        <v>6414</v>
      </c>
      <c r="C81" s="71">
        <v>180</v>
      </c>
      <c r="D81" s="75">
        <f t="shared" si="2"/>
        <v>2.5252170985255538E-3</v>
      </c>
    </row>
    <row r="82" spans="1:4" x14ac:dyDescent="0.25">
      <c r="A82">
        <f t="shared" si="3"/>
        <v>78</v>
      </c>
      <c r="B82" t="s">
        <v>6415</v>
      </c>
      <c r="C82" s="71">
        <v>177</v>
      </c>
      <c r="D82" s="75">
        <f t="shared" si="2"/>
        <v>2.4831301468834612E-3</v>
      </c>
    </row>
    <row r="83" spans="1:4" x14ac:dyDescent="0.25">
      <c r="A83">
        <f t="shared" si="3"/>
        <v>79</v>
      </c>
      <c r="B83" t="s">
        <v>6416</v>
      </c>
      <c r="C83" s="71">
        <v>176</v>
      </c>
      <c r="D83" s="75">
        <f t="shared" si="2"/>
        <v>2.4691011630027637E-3</v>
      </c>
    </row>
    <row r="84" spans="1:4" x14ac:dyDescent="0.25">
      <c r="A84">
        <f t="shared" si="3"/>
        <v>80</v>
      </c>
      <c r="B84" t="s">
        <v>6417</v>
      </c>
      <c r="C84" s="71">
        <v>174</v>
      </c>
      <c r="D84" s="75">
        <f t="shared" si="2"/>
        <v>2.4410431952413686E-3</v>
      </c>
    </row>
    <row r="85" spans="1:4" x14ac:dyDescent="0.25">
      <c r="A85">
        <f t="shared" si="3"/>
        <v>81</v>
      </c>
      <c r="B85" t="s">
        <v>6418</v>
      </c>
      <c r="C85" s="71">
        <v>170</v>
      </c>
      <c r="D85" s="75">
        <f t="shared" si="2"/>
        <v>2.3849272597185785E-3</v>
      </c>
    </row>
    <row r="86" spans="1:4" x14ac:dyDescent="0.25">
      <c r="A86">
        <f t="shared" si="3"/>
        <v>82</v>
      </c>
      <c r="B86" t="s">
        <v>6419</v>
      </c>
      <c r="C86" s="71">
        <v>169</v>
      </c>
      <c r="D86" s="75">
        <f t="shared" si="2"/>
        <v>2.3708982758378809E-3</v>
      </c>
    </row>
    <row r="87" spans="1:4" x14ac:dyDescent="0.25">
      <c r="A87">
        <f t="shared" si="3"/>
        <v>83</v>
      </c>
      <c r="B87" t="s">
        <v>6420</v>
      </c>
      <c r="C87" s="71">
        <v>169</v>
      </c>
      <c r="D87" s="75">
        <f t="shared" si="2"/>
        <v>2.3708982758378809E-3</v>
      </c>
    </row>
    <row r="88" spans="1:4" x14ac:dyDescent="0.25">
      <c r="A88">
        <f t="shared" si="3"/>
        <v>84</v>
      </c>
      <c r="B88" t="s">
        <v>6421</v>
      </c>
      <c r="C88" s="71">
        <v>169</v>
      </c>
      <c r="D88" s="75">
        <f t="shared" si="2"/>
        <v>2.3708982758378809E-3</v>
      </c>
    </row>
    <row r="89" spans="1:4" x14ac:dyDescent="0.25">
      <c r="A89">
        <f t="shared" si="3"/>
        <v>85</v>
      </c>
      <c r="B89" t="s">
        <v>6422</v>
      </c>
      <c r="C89" s="71">
        <v>163</v>
      </c>
      <c r="D89" s="75">
        <f t="shared" si="2"/>
        <v>2.2867243725536958E-3</v>
      </c>
    </row>
    <row r="90" spans="1:4" x14ac:dyDescent="0.25">
      <c r="A90">
        <f t="shared" si="3"/>
        <v>86</v>
      </c>
      <c r="B90" t="s">
        <v>6423</v>
      </c>
      <c r="C90" s="71">
        <v>162</v>
      </c>
      <c r="D90" s="75">
        <f t="shared" si="2"/>
        <v>2.2726953886729982E-3</v>
      </c>
    </row>
    <row r="91" spans="1:4" x14ac:dyDescent="0.25">
      <c r="A91">
        <f t="shared" si="3"/>
        <v>87</v>
      </c>
      <c r="B91" t="s">
        <v>6424</v>
      </c>
      <c r="C91" s="71">
        <v>162</v>
      </c>
      <c r="D91" s="75">
        <f t="shared" si="2"/>
        <v>2.2726953886729982E-3</v>
      </c>
    </row>
    <row r="92" spans="1:4" x14ac:dyDescent="0.25">
      <c r="A92">
        <f t="shared" si="3"/>
        <v>88</v>
      </c>
      <c r="B92" t="s">
        <v>6425</v>
      </c>
      <c r="C92" s="71">
        <v>162</v>
      </c>
      <c r="D92" s="75">
        <f t="shared" si="2"/>
        <v>2.2726953886729982E-3</v>
      </c>
    </row>
    <row r="93" spans="1:4" x14ac:dyDescent="0.25">
      <c r="A93">
        <f t="shared" si="3"/>
        <v>89</v>
      </c>
      <c r="B93" t="s">
        <v>6426</v>
      </c>
      <c r="C93" s="71">
        <v>161</v>
      </c>
      <c r="D93" s="75">
        <f t="shared" si="2"/>
        <v>2.2586664047923007E-3</v>
      </c>
    </row>
    <row r="94" spans="1:4" x14ac:dyDescent="0.25">
      <c r="A94">
        <f t="shared" si="3"/>
        <v>90</v>
      </c>
      <c r="B94" t="s">
        <v>6427</v>
      </c>
      <c r="C94" s="71">
        <v>159</v>
      </c>
      <c r="D94" s="75">
        <f t="shared" si="2"/>
        <v>2.2306084370309061E-3</v>
      </c>
    </row>
    <row r="95" spans="1:4" x14ac:dyDescent="0.25">
      <c r="A95">
        <f t="shared" si="3"/>
        <v>91</v>
      </c>
      <c r="B95" t="s">
        <v>6428</v>
      </c>
      <c r="C95" s="71">
        <v>157</v>
      </c>
      <c r="D95" s="75">
        <f t="shared" si="2"/>
        <v>2.202550469269511E-3</v>
      </c>
    </row>
    <row r="96" spans="1:4" x14ac:dyDescent="0.25">
      <c r="A96">
        <f t="shared" si="3"/>
        <v>92</v>
      </c>
      <c r="B96" t="s">
        <v>6429</v>
      </c>
      <c r="C96" s="71">
        <v>155</v>
      </c>
      <c r="D96" s="75">
        <f t="shared" si="2"/>
        <v>2.1744925015081159E-3</v>
      </c>
    </row>
    <row r="97" spans="1:4" x14ac:dyDescent="0.25">
      <c r="A97">
        <f t="shared" si="3"/>
        <v>93</v>
      </c>
      <c r="B97" t="s">
        <v>6430</v>
      </c>
      <c r="C97" s="71">
        <v>153</v>
      </c>
      <c r="D97" s="75">
        <f t="shared" si="2"/>
        <v>2.1464345337467209E-3</v>
      </c>
    </row>
    <row r="98" spans="1:4" x14ac:dyDescent="0.25">
      <c r="A98">
        <f t="shared" si="3"/>
        <v>94</v>
      </c>
      <c r="B98" t="s">
        <v>6431</v>
      </c>
      <c r="C98" s="71">
        <v>152</v>
      </c>
      <c r="D98" s="75">
        <f t="shared" si="2"/>
        <v>2.1324055498660234E-3</v>
      </c>
    </row>
    <row r="99" spans="1:4" x14ac:dyDescent="0.25">
      <c r="A99">
        <f t="shared" si="3"/>
        <v>95</v>
      </c>
      <c r="B99" t="s">
        <v>6432</v>
      </c>
      <c r="C99" s="71">
        <v>152</v>
      </c>
      <c r="D99" s="75">
        <f t="shared" si="2"/>
        <v>2.1324055498660234E-3</v>
      </c>
    </row>
    <row r="100" spans="1:4" x14ac:dyDescent="0.25">
      <c r="A100">
        <f t="shared" si="3"/>
        <v>96</v>
      </c>
      <c r="B100" t="s">
        <v>6433</v>
      </c>
      <c r="C100" s="71">
        <v>148</v>
      </c>
      <c r="D100" s="75">
        <f t="shared" si="2"/>
        <v>2.0762896143432332E-3</v>
      </c>
    </row>
    <row r="101" spans="1:4" x14ac:dyDescent="0.25">
      <c r="A101">
        <f t="shared" si="3"/>
        <v>97</v>
      </c>
      <c r="B101" t="s">
        <v>6434</v>
      </c>
      <c r="C101" s="71">
        <v>147</v>
      </c>
      <c r="D101" s="75">
        <f t="shared" si="2"/>
        <v>2.0622606304625357E-3</v>
      </c>
    </row>
    <row r="102" spans="1:4" x14ac:dyDescent="0.25">
      <c r="A102">
        <f t="shared" si="3"/>
        <v>98</v>
      </c>
      <c r="B102" t="s">
        <v>6435</v>
      </c>
      <c r="C102" s="71">
        <v>145</v>
      </c>
      <c r="D102" s="75">
        <f t="shared" si="2"/>
        <v>2.0342026627011406E-3</v>
      </c>
    </row>
    <row r="103" spans="1:4" x14ac:dyDescent="0.25">
      <c r="A103">
        <f t="shared" si="3"/>
        <v>99</v>
      </c>
      <c r="B103" t="s">
        <v>6436</v>
      </c>
      <c r="C103" s="71">
        <v>143</v>
      </c>
      <c r="D103" s="75">
        <f t="shared" si="2"/>
        <v>2.0061446949397456E-3</v>
      </c>
    </row>
    <row r="104" spans="1:4" x14ac:dyDescent="0.25">
      <c r="A104">
        <f t="shared" si="3"/>
        <v>100</v>
      </c>
      <c r="B104" t="s">
        <v>6437</v>
      </c>
      <c r="C104" s="71">
        <v>139</v>
      </c>
      <c r="D104" s="75">
        <f t="shared" si="2"/>
        <v>1.9500287594169555E-3</v>
      </c>
    </row>
    <row r="105" spans="1:4" x14ac:dyDescent="0.25">
      <c r="B105" t="s">
        <v>6438</v>
      </c>
      <c r="C105" s="71">
        <v>139</v>
      </c>
      <c r="D105" s="75">
        <f t="shared" si="2"/>
        <v>1.9500287594169555E-3</v>
      </c>
    </row>
    <row r="106" spans="1:4" x14ac:dyDescent="0.25">
      <c r="B106" t="s">
        <v>6439</v>
      </c>
      <c r="C106" s="71">
        <v>139</v>
      </c>
      <c r="D106" s="75">
        <f t="shared" si="2"/>
        <v>1.9500287594169555E-3</v>
      </c>
    </row>
    <row r="107" spans="1:4" x14ac:dyDescent="0.25">
      <c r="B107" t="s">
        <v>6440</v>
      </c>
      <c r="C107" s="71">
        <v>138</v>
      </c>
      <c r="D107" s="75">
        <f t="shared" si="2"/>
        <v>1.9359997755362579E-3</v>
      </c>
    </row>
    <row r="108" spans="1:4" x14ac:dyDescent="0.25">
      <c r="B108" t="s">
        <v>6441</v>
      </c>
      <c r="C108" s="71">
        <v>137</v>
      </c>
      <c r="D108" s="75">
        <f t="shared" si="2"/>
        <v>1.9219707916555604E-3</v>
      </c>
    </row>
    <row r="109" spans="1:4" x14ac:dyDescent="0.25">
      <c r="B109" t="s">
        <v>6442</v>
      </c>
      <c r="C109" s="71">
        <v>136</v>
      </c>
      <c r="D109" s="75">
        <f t="shared" si="2"/>
        <v>1.9079418077748629E-3</v>
      </c>
    </row>
    <row r="110" spans="1:4" x14ac:dyDescent="0.25">
      <c r="B110" t="s">
        <v>6443</v>
      </c>
      <c r="C110" s="71">
        <v>135</v>
      </c>
      <c r="D110" s="75">
        <f t="shared" si="2"/>
        <v>1.8939128238941653E-3</v>
      </c>
    </row>
    <row r="111" spans="1:4" x14ac:dyDescent="0.25">
      <c r="B111" t="s">
        <v>6444</v>
      </c>
      <c r="C111" s="71">
        <v>134</v>
      </c>
      <c r="D111" s="75">
        <f t="shared" si="2"/>
        <v>1.8798838400134678E-3</v>
      </c>
    </row>
    <row r="112" spans="1:4" x14ac:dyDescent="0.25">
      <c r="B112" t="s">
        <v>6445</v>
      </c>
      <c r="C112" s="71">
        <v>134</v>
      </c>
      <c r="D112" s="75">
        <f t="shared" si="2"/>
        <v>1.8798838400134678E-3</v>
      </c>
    </row>
    <row r="113" spans="2:4" x14ac:dyDescent="0.25">
      <c r="B113" t="s">
        <v>6446</v>
      </c>
      <c r="C113" s="71">
        <v>131</v>
      </c>
      <c r="D113" s="75">
        <f t="shared" si="2"/>
        <v>1.8377968883713752E-3</v>
      </c>
    </row>
    <row r="114" spans="2:4" x14ac:dyDescent="0.25">
      <c r="B114" t="s">
        <v>6447</v>
      </c>
      <c r="C114" s="71">
        <v>131</v>
      </c>
      <c r="D114" s="75">
        <f t="shared" si="2"/>
        <v>1.8377968883713752E-3</v>
      </c>
    </row>
    <row r="115" spans="2:4" x14ac:dyDescent="0.25">
      <c r="B115" t="s">
        <v>6448</v>
      </c>
      <c r="C115" s="71">
        <v>131</v>
      </c>
      <c r="D115" s="75">
        <f t="shared" si="2"/>
        <v>1.8377968883713752E-3</v>
      </c>
    </row>
    <row r="116" spans="2:4" x14ac:dyDescent="0.25">
      <c r="B116" t="s">
        <v>6449</v>
      </c>
      <c r="C116" s="71">
        <v>131</v>
      </c>
      <c r="D116" s="75">
        <f t="shared" si="2"/>
        <v>1.8377968883713752E-3</v>
      </c>
    </row>
    <row r="117" spans="2:4" x14ac:dyDescent="0.25">
      <c r="B117" t="s">
        <v>6450</v>
      </c>
      <c r="C117" s="71">
        <v>131</v>
      </c>
      <c r="D117" s="75">
        <f t="shared" si="2"/>
        <v>1.8377968883713752E-3</v>
      </c>
    </row>
    <row r="118" spans="2:4" x14ac:dyDescent="0.25">
      <c r="B118" t="s">
        <v>6451</v>
      </c>
      <c r="C118" s="71">
        <v>130</v>
      </c>
      <c r="D118" s="75">
        <f t="shared" si="2"/>
        <v>1.8237679044906777E-3</v>
      </c>
    </row>
    <row r="119" spans="2:4" x14ac:dyDescent="0.25">
      <c r="B119" t="s">
        <v>6452</v>
      </c>
      <c r="C119" s="71">
        <v>127</v>
      </c>
      <c r="D119" s="75">
        <f t="shared" si="2"/>
        <v>1.7816809528485851E-3</v>
      </c>
    </row>
    <row r="120" spans="2:4" x14ac:dyDescent="0.25">
      <c r="B120" t="s">
        <v>6453</v>
      </c>
      <c r="C120" s="71">
        <v>126</v>
      </c>
      <c r="D120" s="75">
        <f t="shared" si="2"/>
        <v>1.7676519689678876E-3</v>
      </c>
    </row>
    <row r="121" spans="2:4" x14ac:dyDescent="0.25">
      <c r="B121" t="s">
        <v>6454</v>
      </c>
      <c r="C121" s="71">
        <v>125</v>
      </c>
      <c r="D121" s="75">
        <f t="shared" si="2"/>
        <v>1.7536229850871902E-3</v>
      </c>
    </row>
    <row r="122" spans="2:4" x14ac:dyDescent="0.25">
      <c r="B122" t="s">
        <v>6455</v>
      </c>
      <c r="C122" s="71">
        <v>124</v>
      </c>
      <c r="D122" s="75">
        <f t="shared" si="2"/>
        <v>1.7395940012064927E-3</v>
      </c>
    </row>
    <row r="123" spans="2:4" x14ac:dyDescent="0.25">
      <c r="B123" t="s">
        <v>6456</v>
      </c>
      <c r="C123" s="71">
        <v>124</v>
      </c>
      <c r="D123" s="75">
        <f t="shared" si="2"/>
        <v>1.7395940012064927E-3</v>
      </c>
    </row>
    <row r="124" spans="2:4" x14ac:dyDescent="0.25">
      <c r="B124" t="s">
        <v>6457</v>
      </c>
      <c r="C124" s="71">
        <v>123</v>
      </c>
      <c r="D124" s="75">
        <f t="shared" si="2"/>
        <v>1.7255650173257952E-3</v>
      </c>
    </row>
    <row r="125" spans="2:4" x14ac:dyDescent="0.25">
      <c r="B125" t="s">
        <v>6458</v>
      </c>
      <c r="C125" s="71">
        <v>122</v>
      </c>
      <c r="D125" s="75">
        <f t="shared" si="2"/>
        <v>1.7115360334450976E-3</v>
      </c>
    </row>
    <row r="126" spans="2:4" x14ac:dyDescent="0.25">
      <c r="B126" t="s">
        <v>6459</v>
      </c>
      <c r="C126" s="71">
        <v>122</v>
      </c>
      <c r="D126" s="75">
        <f t="shared" si="2"/>
        <v>1.7115360334450976E-3</v>
      </c>
    </row>
    <row r="127" spans="2:4" x14ac:dyDescent="0.25">
      <c r="B127" t="s">
        <v>6460</v>
      </c>
      <c r="C127" s="71">
        <v>121</v>
      </c>
      <c r="D127" s="75">
        <f t="shared" si="2"/>
        <v>1.6975070495644001E-3</v>
      </c>
    </row>
    <row r="128" spans="2:4" x14ac:dyDescent="0.25">
      <c r="B128" t="s">
        <v>6461</v>
      </c>
      <c r="C128" s="71">
        <v>121</v>
      </c>
      <c r="D128" s="75">
        <f t="shared" si="2"/>
        <v>1.6975070495644001E-3</v>
      </c>
    </row>
    <row r="129" spans="2:4" x14ac:dyDescent="0.25">
      <c r="B129" t="s">
        <v>6462</v>
      </c>
      <c r="C129" s="71">
        <v>120</v>
      </c>
      <c r="D129" s="75">
        <f t="shared" si="2"/>
        <v>1.6834780656837026E-3</v>
      </c>
    </row>
    <row r="130" spans="2:4" x14ac:dyDescent="0.25">
      <c r="B130" t="s">
        <v>6463</v>
      </c>
      <c r="C130" s="71">
        <v>120</v>
      </c>
      <c r="D130" s="75">
        <f t="shared" si="2"/>
        <v>1.6834780656837026E-3</v>
      </c>
    </row>
    <row r="131" spans="2:4" x14ac:dyDescent="0.25">
      <c r="B131" t="s">
        <v>6464</v>
      </c>
      <c r="C131" s="71">
        <v>120</v>
      </c>
      <c r="D131" s="75">
        <f t="shared" si="2"/>
        <v>1.6834780656837026E-3</v>
      </c>
    </row>
    <row r="132" spans="2:4" x14ac:dyDescent="0.25">
      <c r="B132" t="s">
        <v>6465</v>
      </c>
      <c r="C132" s="71">
        <v>117</v>
      </c>
      <c r="D132" s="75">
        <f t="shared" si="2"/>
        <v>1.64139111404161E-3</v>
      </c>
    </row>
    <row r="133" spans="2:4" x14ac:dyDescent="0.25">
      <c r="B133" t="s">
        <v>6466</v>
      </c>
      <c r="C133" s="71">
        <v>116</v>
      </c>
      <c r="D133" s="75">
        <f t="shared" si="2"/>
        <v>1.6273621301609125E-3</v>
      </c>
    </row>
    <row r="134" spans="2:4" x14ac:dyDescent="0.25">
      <c r="B134" t="s">
        <v>6467</v>
      </c>
      <c r="C134" s="71">
        <v>116</v>
      </c>
      <c r="D134" s="75">
        <f t="shared" ref="D134:D197" si="4">C134/$C$4822</f>
        <v>1.6273621301609125E-3</v>
      </c>
    </row>
    <row r="135" spans="2:4" x14ac:dyDescent="0.25">
      <c r="B135" t="s">
        <v>6468</v>
      </c>
      <c r="C135" s="71">
        <v>114</v>
      </c>
      <c r="D135" s="75">
        <f t="shared" si="4"/>
        <v>1.5993041623995174E-3</v>
      </c>
    </row>
    <row r="136" spans="2:4" x14ac:dyDescent="0.25">
      <c r="B136" t="s">
        <v>6469</v>
      </c>
      <c r="C136" s="71">
        <v>114</v>
      </c>
      <c r="D136" s="75">
        <f t="shared" si="4"/>
        <v>1.5993041623995174E-3</v>
      </c>
    </row>
    <row r="137" spans="2:4" x14ac:dyDescent="0.25">
      <c r="B137" t="s">
        <v>6470</v>
      </c>
      <c r="C137" s="71">
        <v>113</v>
      </c>
      <c r="D137" s="75">
        <f t="shared" si="4"/>
        <v>1.5852751785188199E-3</v>
      </c>
    </row>
    <row r="138" spans="2:4" x14ac:dyDescent="0.25">
      <c r="B138" t="s">
        <v>6471</v>
      </c>
      <c r="C138" s="71">
        <v>112</v>
      </c>
      <c r="D138" s="75">
        <f t="shared" si="4"/>
        <v>1.5712461946381223E-3</v>
      </c>
    </row>
    <row r="139" spans="2:4" x14ac:dyDescent="0.25">
      <c r="B139" t="s">
        <v>6472</v>
      </c>
      <c r="C139" s="71">
        <v>111</v>
      </c>
      <c r="D139" s="75">
        <f t="shared" si="4"/>
        <v>1.5572172107574248E-3</v>
      </c>
    </row>
    <row r="140" spans="2:4" x14ac:dyDescent="0.25">
      <c r="B140" t="s">
        <v>6473</v>
      </c>
      <c r="C140" s="71">
        <v>111</v>
      </c>
      <c r="D140" s="75">
        <f t="shared" si="4"/>
        <v>1.5572172107574248E-3</v>
      </c>
    </row>
    <row r="141" spans="2:4" x14ac:dyDescent="0.25">
      <c r="B141" t="s">
        <v>6474</v>
      </c>
      <c r="C141" s="71">
        <v>110</v>
      </c>
      <c r="D141" s="75">
        <f t="shared" si="4"/>
        <v>1.5431882268767273E-3</v>
      </c>
    </row>
    <row r="142" spans="2:4" x14ac:dyDescent="0.25">
      <c r="B142" t="s">
        <v>6475</v>
      </c>
      <c r="C142" s="71">
        <v>110</v>
      </c>
      <c r="D142" s="75">
        <f t="shared" si="4"/>
        <v>1.5431882268767273E-3</v>
      </c>
    </row>
    <row r="143" spans="2:4" x14ac:dyDescent="0.25">
      <c r="B143" t="s">
        <v>6476</v>
      </c>
      <c r="C143" s="71">
        <v>109</v>
      </c>
      <c r="D143" s="75">
        <f t="shared" si="4"/>
        <v>1.5291592429960298E-3</v>
      </c>
    </row>
    <row r="144" spans="2:4" x14ac:dyDescent="0.25">
      <c r="B144" t="s">
        <v>6477</v>
      </c>
      <c r="C144" s="71">
        <v>108</v>
      </c>
      <c r="D144" s="75">
        <f t="shared" si="4"/>
        <v>1.5151302591153322E-3</v>
      </c>
    </row>
    <row r="145" spans="2:4" x14ac:dyDescent="0.25">
      <c r="B145" t="s">
        <v>6478</v>
      </c>
      <c r="C145" s="71">
        <v>108</v>
      </c>
      <c r="D145" s="75">
        <f t="shared" si="4"/>
        <v>1.5151302591153322E-3</v>
      </c>
    </row>
    <row r="146" spans="2:4" x14ac:dyDescent="0.25">
      <c r="B146" t="s">
        <v>6479</v>
      </c>
      <c r="C146" s="71">
        <v>108</v>
      </c>
      <c r="D146" s="75">
        <f t="shared" si="4"/>
        <v>1.5151302591153322E-3</v>
      </c>
    </row>
    <row r="147" spans="2:4" x14ac:dyDescent="0.25">
      <c r="B147" t="s">
        <v>6480</v>
      </c>
      <c r="C147" s="71">
        <v>106</v>
      </c>
      <c r="D147" s="75">
        <f t="shared" si="4"/>
        <v>1.4870722913539372E-3</v>
      </c>
    </row>
    <row r="148" spans="2:4" x14ac:dyDescent="0.25">
      <c r="B148" t="s">
        <v>6481</v>
      </c>
      <c r="C148" s="71">
        <v>106</v>
      </c>
      <c r="D148" s="75">
        <f t="shared" si="4"/>
        <v>1.4870722913539372E-3</v>
      </c>
    </row>
    <row r="149" spans="2:4" x14ac:dyDescent="0.25">
      <c r="B149" t="s">
        <v>6482</v>
      </c>
      <c r="C149" s="71">
        <v>104</v>
      </c>
      <c r="D149" s="75">
        <f t="shared" si="4"/>
        <v>1.4590143235925421E-3</v>
      </c>
    </row>
    <row r="150" spans="2:4" x14ac:dyDescent="0.25">
      <c r="B150" t="s">
        <v>6483</v>
      </c>
      <c r="C150" s="71">
        <v>103</v>
      </c>
      <c r="D150" s="75">
        <f t="shared" si="4"/>
        <v>1.4449853397118446E-3</v>
      </c>
    </row>
    <row r="151" spans="2:4" x14ac:dyDescent="0.25">
      <c r="B151" t="s">
        <v>6484</v>
      </c>
      <c r="C151" s="71">
        <v>103</v>
      </c>
      <c r="D151" s="75">
        <f t="shared" si="4"/>
        <v>1.4449853397118446E-3</v>
      </c>
    </row>
    <row r="152" spans="2:4" x14ac:dyDescent="0.25">
      <c r="B152" t="s">
        <v>6485</v>
      </c>
      <c r="C152" s="71">
        <v>103</v>
      </c>
      <c r="D152" s="75">
        <f t="shared" si="4"/>
        <v>1.4449853397118446E-3</v>
      </c>
    </row>
    <row r="153" spans="2:4" x14ac:dyDescent="0.25">
      <c r="B153" t="s">
        <v>6486</v>
      </c>
      <c r="C153" s="71">
        <v>102</v>
      </c>
      <c r="D153" s="75">
        <f t="shared" si="4"/>
        <v>1.4309563558311473E-3</v>
      </c>
    </row>
    <row r="154" spans="2:4" x14ac:dyDescent="0.25">
      <c r="B154" t="s">
        <v>6487</v>
      </c>
      <c r="C154" s="71">
        <v>101</v>
      </c>
      <c r="D154" s="75">
        <f t="shared" si="4"/>
        <v>1.4169273719504497E-3</v>
      </c>
    </row>
    <row r="155" spans="2:4" x14ac:dyDescent="0.25">
      <c r="B155" t="s">
        <v>6488</v>
      </c>
      <c r="C155" s="71">
        <v>101</v>
      </c>
      <c r="D155" s="75">
        <f t="shared" si="4"/>
        <v>1.4169273719504497E-3</v>
      </c>
    </row>
    <row r="156" spans="2:4" x14ac:dyDescent="0.25">
      <c r="B156" t="s">
        <v>6489</v>
      </c>
      <c r="C156" s="71">
        <v>100</v>
      </c>
      <c r="D156" s="75">
        <f t="shared" si="4"/>
        <v>1.4028983880697522E-3</v>
      </c>
    </row>
    <row r="157" spans="2:4" x14ac:dyDescent="0.25">
      <c r="B157" t="s">
        <v>6490</v>
      </c>
      <c r="C157" s="71">
        <v>100</v>
      </c>
      <c r="D157" s="75">
        <f t="shared" si="4"/>
        <v>1.4028983880697522E-3</v>
      </c>
    </row>
    <row r="158" spans="2:4" x14ac:dyDescent="0.25">
      <c r="B158" t="s">
        <v>6491</v>
      </c>
      <c r="C158" s="71">
        <v>99</v>
      </c>
      <c r="D158" s="75">
        <f t="shared" si="4"/>
        <v>1.3888694041890547E-3</v>
      </c>
    </row>
    <row r="159" spans="2:4" x14ac:dyDescent="0.25">
      <c r="B159" t="s">
        <v>6492</v>
      </c>
      <c r="C159" s="71">
        <v>99</v>
      </c>
      <c r="D159" s="75">
        <f t="shared" si="4"/>
        <v>1.3888694041890547E-3</v>
      </c>
    </row>
    <row r="160" spans="2:4" x14ac:dyDescent="0.25">
      <c r="B160" t="s">
        <v>6493</v>
      </c>
      <c r="C160" s="71">
        <v>97</v>
      </c>
      <c r="D160" s="75">
        <f t="shared" si="4"/>
        <v>1.3608114364276596E-3</v>
      </c>
    </row>
    <row r="161" spans="2:4" x14ac:dyDescent="0.25">
      <c r="B161" t="s">
        <v>6494</v>
      </c>
      <c r="C161" s="71">
        <v>97</v>
      </c>
      <c r="D161" s="75">
        <f t="shared" si="4"/>
        <v>1.3608114364276596E-3</v>
      </c>
    </row>
    <row r="162" spans="2:4" x14ac:dyDescent="0.25">
      <c r="B162" t="s">
        <v>6495</v>
      </c>
      <c r="C162" s="71">
        <v>96</v>
      </c>
      <c r="D162" s="75">
        <f t="shared" si="4"/>
        <v>1.3467824525469621E-3</v>
      </c>
    </row>
    <row r="163" spans="2:4" x14ac:dyDescent="0.25">
      <c r="B163" t="s">
        <v>6496</v>
      </c>
      <c r="C163" s="71">
        <v>95</v>
      </c>
      <c r="D163" s="75">
        <f t="shared" si="4"/>
        <v>1.3327534686662645E-3</v>
      </c>
    </row>
    <row r="164" spans="2:4" x14ac:dyDescent="0.25">
      <c r="B164" t="s">
        <v>6497</v>
      </c>
      <c r="C164" s="71">
        <v>95</v>
      </c>
      <c r="D164" s="75">
        <f t="shared" si="4"/>
        <v>1.3327534686662645E-3</v>
      </c>
    </row>
    <row r="165" spans="2:4" x14ac:dyDescent="0.25">
      <c r="B165" t="s">
        <v>6498</v>
      </c>
      <c r="C165" s="71">
        <v>93</v>
      </c>
      <c r="D165" s="75">
        <f t="shared" si="4"/>
        <v>1.3046955009048695E-3</v>
      </c>
    </row>
    <row r="166" spans="2:4" x14ac:dyDescent="0.25">
      <c r="B166" t="s">
        <v>6499</v>
      </c>
      <c r="C166" s="71">
        <v>92</v>
      </c>
      <c r="D166" s="75">
        <f t="shared" si="4"/>
        <v>1.2906665170241719E-3</v>
      </c>
    </row>
    <row r="167" spans="2:4" x14ac:dyDescent="0.25">
      <c r="B167" t="s">
        <v>6500</v>
      </c>
      <c r="C167" s="71">
        <v>92</v>
      </c>
      <c r="D167" s="75">
        <f t="shared" si="4"/>
        <v>1.2906665170241719E-3</v>
      </c>
    </row>
    <row r="168" spans="2:4" x14ac:dyDescent="0.25">
      <c r="B168" t="s">
        <v>6501</v>
      </c>
      <c r="C168" s="71">
        <v>92</v>
      </c>
      <c r="D168" s="75">
        <f t="shared" si="4"/>
        <v>1.2906665170241719E-3</v>
      </c>
    </row>
    <row r="169" spans="2:4" x14ac:dyDescent="0.25">
      <c r="B169" t="s">
        <v>6502</v>
      </c>
      <c r="C169" s="71">
        <v>91</v>
      </c>
      <c r="D169" s="75">
        <f t="shared" si="4"/>
        <v>1.2766375331434744E-3</v>
      </c>
    </row>
    <row r="170" spans="2:4" x14ac:dyDescent="0.25">
      <c r="B170" t="s">
        <v>6503</v>
      </c>
      <c r="C170" s="71">
        <v>91</v>
      </c>
      <c r="D170" s="75">
        <f t="shared" si="4"/>
        <v>1.2766375331434744E-3</v>
      </c>
    </row>
    <row r="171" spans="2:4" x14ac:dyDescent="0.25">
      <c r="B171" t="s">
        <v>6504</v>
      </c>
      <c r="C171" s="71">
        <v>91</v>
      </c>
      <c r="D171" s="75">
        <f t="shared" si="4"/>
        <v>1.2766375331434744E-3</v>
      </c>
    </row>
    <row r="172" spans="2:4" x14ac:dyDescent="0.25">
      <c r="B172" t="s">
        <v>6505</v>
      </c>
      <c r="C172" s="71">
        <v>91</v>
      </c>
      <c r="D172" s="75">
        <f t="shared" si="4"/>
        <v>1.2766375331434744E-3</v>
      </c>
    </row>
    <row r="173" spans="2:4" x14ac:dyDescent="0.25">
      <c r="B173" t="s">
        <v>6506</v>
      </c>
      <c r="C173" s="71">
        <v>90</v>
      </c>
      <c r="D173" s="75">
        <f t="shared" si="4"/>
        <v>1.2626085492627769E-3</v>
      </c>
    </row>
    <row r="174" spans="2:4" x14ac:dyDescent="0.25">
      <c r="B174" t="s">
        <v>6507</v>
      </c>
      <c r="C174" s="71">
        <v>90</v>
      </c>
      <c r="D174" s="75">
        <f t="shared" si="4"/>
        <v>1.2626085492627769E-3</v>
      </c>
    </row>
    <row r="175" spans="2:4" x14ac:dyDescent="0.25">
      <c r="B175" t="s">
        <v>6508</v>
      </c>
      <c r="C175" s="71">
        <v>90</v>
      </c>
      <c r="D175" s="75">
        <f t="shared" si="4"/>
        <v>1.2626085492627769E-3</v>
      </c>
    </row>
    <row r="176" spans="2:4" x14ac:dyDescent="0.25">
      <c r="B176" t="s">
        <v>6509</v>
      </c>
      <c r="C176" s="71">
        <v>89</v>
      </c>
      <c r="D176" s="75">
        <f t="shared" si="4"/>
        <v>1.2485795653820794E-3</v>
      </c>
    </row>
    <row r="177" spans="2:4" x14ac:dyDescent="0.25">
      <c r="B177" t="s">
        <v>6510</v>
      </c>
      <c r="C177" s="71">
        <v>89</v>
      </c>
      <c r="D177" s="75">
        <f t="shared" si="4"/>
        <v>1.2485795653820794E-3</v>
      </c>
    </row>
    <row r="178" spans="2:4" x14ac:dyDescent="0.25">
      <c r="B178" t="s">
        <v>6511</v>
      </c>
      <c r="C178" s="71">
        <v>89</v>
      </c>
      <c r="D178" s="75">
        <f t="shared" si="4"/>
        <v>1.2485795653820794E-3</v>
      </c>
    </row>
    <row r="179" spans="2:4" x14ac:dyDescent="0.25">
      <c r="B179" t="s">
        <v>6512</v>
      </c>
      <c r="C179" s="71">
        <v>89</v>
      </c>
      <c r="D179" s="75">
        <f t="shared" si="4"/>
        <v>1.2485795653820794E-3</v>
      </c>
    </row>
    <row r="180" spans="2:4" x14ac:dyDescent="0.25">
      <c r="B180" t="s">
        <v>6513</v>
      </c>
      <c r="C180" s="71">
        <v>87</v>
      </c>
      <c r="D180" s="75">
        <f t="shared" si="4"/>
        <v>1.2205215976206843E-3</v>
      </c>
    </row>
    <row r="181" spans="2:4" x14ac:dyDescent="0.25">
      <c r="B181" t="s">
        <v>6514</v>
      </c>
      <c r="C181" s="71">
        <v>87</v>
      </c>
      <c r="D181" s="75">
        <f t="shared" si="4"/>
        <v>1.2205215976206843E-3</v>
      </c>
    </row>
    <row r="182" spans="2:4" x14ac:dyDescent="0.25">
      <c r="B182" t="s">
        <v>6515</v>
      </c>
      <c r="C182" s="71">
        <v>86</v>
      </c>
      <c r="D182" s="75">
        <f t="shared" si="4"/>
        <v>1.2064926137399868E-3</v>
      </c>
    </row>
    <row r="183" spans="2:4" x14ac:dyDescent="0.25">
      <c r="B183" t="s">
        <v>6516</v>
      </c>
      <c r="C183" s="71">
        <v>85</v>
      </c>
      <c r="D183" s="75">
        <f t="shared" si="4"/>
        <v>1.1924636298592892E-3</v>
      </c>
    </row>
    <row r="184" spans="2:4" x14ac:dyDescent="0.25">
      <c r="B184" t="s">
        <v>6517</v>
      </c>
      <c r="C184" s="71">
        <v>85</v>
      </c>
      <c r="D184" s="75">
        <f t="shared" si="4"/>
        <v>1.1924636298592892E-3</v>
      </c>
    </row>
    <row r="185" spans="2:4" x14ac:dyDescent="0.25">
      <c r="B185" t="s">
        <v>6518</v>
      </c>
      <c r="C185" s="71">
        <v>85</v>
      </c>
      <c r="D185" s="75">
        <f t="shared" si="4"/>
        <v>1.1924636298592892E-3</v>
      </c>
    </row>
    <row r="186" spans="2:4" x14ac:dyDescent="0.25">
      <c r="B186" t="s">
        <v>6519</v>
      </c>
      <c r="C186" s="71">
        <v>84</v>
      </c>
      <c r="D186" s="75">
        <f t="shared" si="4"/>
        <v>1.1784346459785917E-3</v>
      </c>
    </row>
    <row r="187" spans="2:4" x14ac:dyDescent="0.25">
      <c r="B187" t="s">
        <v>6520</v>
      </c>
      <c r="C187" s="71">
        <v>83</v>
      </c>
      <c r="D187" s="75">
        <f t="shared" si="4"/>
        <v>1.1644056620978942E-3</v>
      </c>
    </row>
    <row r="188" spans="2:4" x14ac:dyDescent="0.25">
      <c r="B188" t="s">
        <v>6521</v>
      </c>
      <c r="C188" s="71">
        <v>82</v>
      </c>
      <c r="D188" s="75">
        <f t="shared" si="4"/>
        <v>1.1503766782171966E-3</v>
      </c>
    </row>
    <row r="189" spans="2:4" x14ac:dyDescent="0.25">
      <c r="B189" t="s">
        <v>6522</v>
      </c>
      <c r="C189" s="71">
        <v>82</v>
      </c>
      <c r="D189" s="75">
        <f t="shared" si="4"/>
        <v>1.1503766782171966E-3</v>
      </c>
    </row>
    <row r="190" spans="2:4" x14ac:dyDescent="0.25">
      <c r="B190" t="s">
        <v>6523</v>
      </c>
      <c r="C190" s="71">
        <v>81</v>
      </c>
      <c r="D190" s="75">
        <f t="shared" si="4"/>
        <v>1.1363476943364991E-3</v>
      </c>
    </row>
    <row r="191" spans="2:4" x14ac:dyDescent="0.25">
      <c r="B191" t="s">
        <v>6524</v>
      </c>
      <c r="C191" s="71">
        <v>81</v>
      </c>
      <c r="D191" s="75">
        <f t="shared" si="4"/>
        <v>1.1363476943364991E-3</v>
      </c>
    </row>
    <row r="192" spans="2:4" x14ac:dyDescent="0.25">
      <c r="B192" t="s">
        <v>6525</v>
      </c>
      <c r="C192" s="71">
        <v>81</v>
      </c>
      <c r="D192" s="75">
        <f t="shared" si="4"/>
        <v>1.1363476943364991E-3</v>
      </c>
    </row>
    <row r="193" spans="2:4" x14ac:dyDescent="0.25">
      <c r="B193" t="s">
        <v>6526</v>
      </c>
      <c r="C193" s="71">
        <v>81</v>
      </c>
      <c r="D193" s="75">
        <f t="shared" si="4"/>
        <v>1.1363476943364991E-3</v>
      </c>
    </row>
    <row r="194" spans="2:4" x14ac:dyDescent="0.25">
      <c r="B194" t="s">
        <v>6527</v>
      </c>
      <c r="C194" s="71">
        <v>81</v>
      </c>
      <c r="D194" s="75">
        <f t="shared" si="4"/>
        <v>1.1363476943364991E-3</v>
      </c>
    </row>
    <row r="195" spans="2:4" x14ac:dyDescent="0.25">
      <c r="B195" t="s">
        <v>6528</v>
      </c>
      <c r="C195" s="71">
        <v>80</v>
      </c>
      <c r="D195" s="75">
        <f t="shared" si="4"/>
        <v>1.1223187104558016E-3</v>
      </c>
    </row>
    <row r="196" spans="2:4" x14ac:dyDescent="0.25">
      <c r="B196" t="s">
        <v>6529</v>
      </c>
      <c r="C196" s="71">
        <v>80</v>
      </c>
      <c r="D196" s="75">
        <f t="shared" si="4"/>
        <v>1.1223187104558016E-3</v>
      </c>
    </row>
    <row r="197" spans="2:4" x14ac:dyDescent="0.25">
      <c r="B197" t="s">
        <v>6530</v>
      </c>
      <c r="C197" s="71">
        <v>79</v>
      </c>
      <c r="D197" s="75">
        <f t="shared" si="4"/>
        <v>1.1082897265751043E-3</v>
      </c>
    </row>
    <row r="198" spans="2:4" x14ac:dyDescent="0.25">
      <c r="B198" t="s">
        <v>6531</v>
      </c>
      <c r="C198" s="71">
        <v>79</v>
      </c>
      <c r="D198" s="75">
        <f t="shared" ref="D198:D261" si="5">C198/$C$4822</f>
        <v>1.1082897265751043E-3</v>
      </c>
    </row>
    <row r="199" spans="2:4" x14ac:dyDescent="0.25">
      <c r="B199" t="s">
        <v>6532</v>
      </c>
      <c r="C199" s="71">
        <v>78</v>
      </c>
      <c r="D199" s="75">
        <f t="shared" si="5"/>
        <v>1.0942607426944067E-3</v>
      </c>
    </row>
    <row r="200" spans="2:4" x14ac:dyDescent="0.25">
      <c r="B200" t="s">
        <v>6533</v>
      </c>
      <c r="C200" s="71">
        <v>78</v>
      </c>
      <c r="D200" s="75">
        <f t="shared" si="5"/>
        <v>1.0942607426944067E-3</v>
      </c>
    </row>
    <row r="201" spans="2:4" x14ac:dyDescent="0.25">
      <c r="B201" t="s">
        <v>6534</v>
      </c>
      <c r="C201" s="71">
        <v>78</v>
      </c>
      <c r="D201" s="75">
        <f t="shared" si="5"/>
        <v>1.0942607426944067E-3</v>
      </c>
    </row>
    <row r="202" spans="2:4" x14ac:dyDescent="0.25">
      <c r="B202" t="s">
        <v>6535</v>
      </c>
      <c r="C202" s="71">
        <v>77</v>
      </c>
      <c r="D202" s="75">
        <f t="shared" si="5"/>
        <v>1.0802317588137092E-3</v>
      </c>
    </row>
    <row r="203" spans="2:4" x14ac:dyDescent="0.25">
      <c r="B203" t="s">
        <v>6536</v>
      </c>
      <c r="C203" s="71">
        <v>77</v>
      </c>
      <c r="D203" s="75">
        <f t="shared" si="5"/>
        <v>1.0802317588137092E-3</v>
      </c>
    </row>
    <row r="204" spans="2:4" x14ac:dyDescent="0.25">
      <c r="B204" t="s">
        <v>6537</v>
      </c>
      <c r="C204" s="71">
        <v>76</v>
      </c>
      <c r="D204" s="75">
        <f t="shared" si="5"/>
        <v>1.0662027749330117E-3</v>
      </c>
    </row>
    <row r="205" spans="2:4" x14ac:dyDescent="0.25">
      <c r="B205" t="s">
        <v>6538</v>
      </c>
      <c r="C205" s="71">
        <v>76</v>
      </c>
      <c r="D205" s="75">
        <f t="shared" si="5"/>
        <v>1.0662027749330117E-3</v>
      </c>
    </row>
    <row r="206" spans="2:4" x14ac:dyDescent="0.25">
      <c r="B206" t="s">
        <v>6539</v>
      </c>
      <c r="C206" s="71">
        <v>76</v>
      </c>
      <c r="D206" s="75">
        <f t="shared" si="5"/>
        <v>1.0662027749330117E-3</v>
      </c>
    </row>
    <row r="207" spans="2:4" x14ac:dyDescent="0.25">
      <c r="B207" t="s">
        <v>6540</v>
      </c>
      <c r="C207" s="71">
        <v>76</v>
      </c>
      <c r="D207" s="75">
        <f t="shared" si="5"/>
        <v>1.0662027749330117E-3</v>
      </c>
    </row>
    <row r="208" spans="2:4" x14ac:dyDescent="0.25">
      <c r="B208" t="s">
        <v>6541</v>
      </c>
      <c r="C208" s="71">
        <v>75</v>
      </c>
      <c r="D208" s="75">
        <f t="shared" si="5"/>
        <v>1.0521737910523141E-3</v>
      </c>
    </row>
    <row r="209" spans="2:4" x14ac:dyDescent="0.25">
      <c r="B209" t="s">
        <v>6542</v>
      </c>
      <c r="C209" s="71">
        <v>75</v>
      </c>
      <c r="D209" s="75">
        <f t="shared" si="5"/>
        <v>1.0521737910523141E-3</v>
      </c>
    </row>
    <row r="210" spans="2:4" x14ac:dyDescent="0.25">
      <c r="B210" t="s">
        <v>6543</v>
      </c>
      <c r="C210" s="71">
        <v>75</v>
      </c>
      <c r="D210" s="75">
        <f t="shared" si="5"/>
        <v>1.0521737910523141E-3</v>
      </c>
    </row>
    <row r="211" spans="2:4" x14ac:dyDescent="0.25">
      <c r="B211" t="s">
        <v>6544</v>
      </c>
      <c r="C211" s="71">
        <v>74</v>
      </c>
      <c r="D211" s="75">
        <f t="shared" si="5"/>
        <v>1.0381448071716166E-3</v>
      </c>
    </row>
    <row r="212" spans="2:4" x14ac:dyDescent="0.25">
      <c r="B212" t="s">
        <v>6545</v>
      </c>
      <c r="C212" s="71">
        <v>74</v>
      </c>
      <c r="D212" s="75">
        <f t="shared" si="5"/>
        <v>1.0381448071716166E-3</v>
      </c>
    </row>
    <row r="213" spans="2:4" x14ac:dyDescent="0.25">
      <c r="B213" t="s">
        <v>6546</v>
      </c>
      <c r="C213" s="71">
        <v>74</v>
      </c>
      <c r="D213" s="75">
        <f t="shared" si="5"/>
        <v>1.0381448071716166E-3</v>
      </c>
    </row>
    <row r="214" spans="2:4" x14ac:dyDescent="0.25">
      <c r="B214" t="s">
        <v>6547</v>
      </c>
      <c r="C214" s="71">
        <v>73</v>
      </c>
      <c r="D214" s="75">
        <f t="shared" si="5"/>
        <v>1.0241158232909191E-3</v>
      </c>
    </row>
    <row r="215" spans="2:4" x14ac:dyDescent="0.25">
      <c r="B215" t="s">
        <v>6548</v>
      </c>
      <c r="C215" s="71">
        <v>73</v>
      </c>
      <c r="D215" s="75">
        <f t="shared" si="5"/>
        <v>1.0241158232909191E-3</v>
      </c>
    </row>
    <row r="216" spans="2:4" x14ac:dyDescent="0.25">
      <c r="B216" t="s">
        <v>6549</v>
      </c>
      <c r="C216" s="71">
        <v>73</v>
      </c>
      <c r="D216" s="75">
        <f t="shared" si="5"/>
        <v>1.0241158232909191E-3</v>
      </c>
    </row>
    <row r="217" spans="2:4" x14ac:dyDescent="0.25">
      <c r="B217" t="s">
        <v>6550</v>
      </c>
      <c r="C217" s="71">
        <v>72</v>
      </c>
      <c r="D217" s="75">
        <f t="shared" si="5"/>
        <v>1.0100868394102216E-3</v>
      </c>
    </row>
    <row r="218" spans="2:4" x14ac:dyDescent="0.25">
      <c r="B218" t="s">
        <v>6551</v>
      </c>
      <c r="C218" s="71">
        <v>72</v>
      </c>
      <c r="D218" s="75">
        <f t="shared" si="5"/>
        <v>1.0100868394102216E-3</v>
      </c>
    </row>
    <row r="219" spans="2:4" x14ac:dyDescent="0.25">
      <c r="B219" t="s">
        <v>6552</v>
      </c>
      <c r="C219" s="71">
        <v>71</v>
      </c>
      <c r="D219" s="75">
        <f t="shared" si="5"/>
        <v>9.9605785552952402E-4</v>
      </c>
    </row>
    <row r="220" spans="2:4" x14ac:dyDescent="0.25">
      <c r="B220" t="s">
        <v>6553</v>
      </c>
      <c r="C220" s="71">
        <v>71</v>
      </c>
      <c r="D220" s="75">
        <f t="shared" si="5"/>
        <v>9.9605785552952402E-4</v>
      </c>
    </row>
    <row r="221" spans="2:4" x14ac:dyDescent="0.25">
      <c r="B221" t="s">
        <v>6554</v>
      </c>
      <c r="C221" s="71">
        <v>71</v>
      </c>
      <c r="D221" s="75">
        <f t="shared" si="5"/>
        <v>9.9605785552952402E-4</v>
      </c>
    </row>
    <row r="222" spans="2:4" x14ac:dyDescent="0.25">
      <c r="B222" t="s">
        <v>6555</v>
      </c>
      <c r="C222" s="71">
        <v>71</v>
      </c>
      <c r="D222" s="75">
        <f t="shared" si="5"/>
        <v>9.9605785552952402E-4</v>
      </c>
    </row>
    <row r="223" spans="2:4" x14ac:dyDescent="0.25">
      <c r="B223" t="s">
        <v>6556</v>
      </c>
      <c r="C223" s="71">
        <v>71</v>
      </c>
      <c r="D223" s="75">
        <f t="shared" si="5"/>
        <v>9.9605785552952402E-4</v>
      </c>
    </row>
    <row r="224" spans="2:4" x14ac:dyDescent="0.25">
      <c r="B224" t="s">
        <v>6557</v>
      </c>
      <c r="C224" s="71">
        <v>70</v>
      </c>
      <c r="D224" s="75">
        <f t="shared" si="5"/>
        <v>9.8202887164882649E-4</v>
      </c>
    </row>
    <row r="225" spans="2:4" x14ac:dyDescent="0.25">
      <c r="B225" t="s">
        <v>6558</v>
      </c>
      <c r="C225" s="71">
        <v>70</v>
      </c>
      <c r="D225" s="75">
        <f t="shared" si="5"/>
        <v>9.8202887164882649E-4</v>
      </c>
    </row>
    <row r="226" spans="2:4" x14ac:dyDescent="0.25">
      <c r="B226" t="s">
        <v>6559</v>
      </c>
      <c r="C226" s="71">
        <v>70</v>
      </c>
      <c r="D226" s="75">
        <f t="shared" si="5"/>
        <v>9.8202887164882649E-4</v>
      </c>
    </row>
    <row r="227" spans="2:4" x14ac:dyDescent="0.25">
      <c r="B227" t="s">
        <v>6560</v>
      </c>
      <c r="C227" s="71">
        <v>69</v>
      </c>
      <c r="D227" s="75">
        <f t="shared" si="5"/>
        <v>9.6799988776812896E-4</v>
      </c>
    </row>
    <row r="228" spans="2:4" x14ac:dyDescent="0.25">
      <c r="B228" t="s">
        <v>6561</v>
      </c>
      <c r="C228" s="71">
        <v>69</v>
      </c>
      <c r="D228" s="75">
        <f t="shared" si="5"/>
        <v>9.6799988776812896E-4</v>
      </c>
    </row>
    <row r="229" spans="2:4" x14ac:dyDescent="0.25">
      <c r="B229" t="s">
        <v>6562</v>
      </c>
      <c r="C229" s="71">
        <v>69</v>
      </c>
      <c r="D229" s="75">
        <f t="shared" si="5"/>
        <v>9.6799988776812896E-4</v>
      </c>
    </row>
    <row r="230" spans="2:4" x14ac:dyDescent="0.25">
      <c r="B230" t="s">
        <v>6563</v>
      </c>
      <c r="C230" s="71">
        <v>69</v>
      </c>
      <c r="D230" s="75">
        <f t="shared" si="5"/>
        <v>9.6799988776812896E-4</v>
      </c>
    </row>
    <row r="231" spans="2:4" x14ac:dyDescent="0.25">
      <c r="B231" t="s">
        <v>6564</v>
      </c>
      <c r="C231" s="71">
        <v>69</v>
      </c>
      <c r="D231" s="75">
        <f t="shared" si="5"/>
        <v>9.6799988776812896E-4</v>
      </c>
    </row>
    <row r="232" spans="2:4" x14ac:dyDescent="0.25">
      <c r="B232" t="s">
        <v>6565</v>
      </c>
      <c r="C232" s="71">
        <v>69</v>
      </c>
      <c r="D232" s="75">
        <f t="shared" si="5"/>
        <v>9.6799988776812896E-4</v>
      </c>
    </row>
    <row r="233" spans="2:4" x14ac:dyDescent="0.25">
      <c r="B233" t="s">
        <v>6566</v>
      </c>
      <c r="C233" s="71">
        <v>69</v>
      </c>
      <c r="D233" s="75">
        <f t="shared" si="5"/>
        <v>9.6799988776812896E-4</v>
      </c>
    </row>
    <row r="234" spans="2:4" x14ac:dyDescent="0.25">
      <c r="B234" t="s">
        <v>6567</v>
      </c>
      <c r="C234" s="71">
        <v>69</v>
      </c>
      <c r="D234" s="75">
        <f t="shared" si="5"/>
        <v>9.6799988776812896E-4</v>
      </c>
    </row>
    <row r="235" spans="2:4" x14ac:dyDescent="0.25">
      <c r="B235" t="s">
        <v>6568</v>
      </c>
      <c r="C235" s="71">
        <v>68</v>
      </c>
      <c r="D235" s="75">
        <f t="shared" si="5"/>
        <v>9.5397090388743143E-4</v>
      </c>
    </row>
    <row r="236" spans="2:4" x14ac:dyDescent="0.25">
      <c r="B236" t="s">
        <v>6569</v>
      </c>
      <c r="C236" s="71">
        <v>68</v>
      </c>
      <c r="D236" s="75">
        <f t="shared" si="5"/>
        <v>9.5397090388743143E-4</v>
      </c>
    </row>
    <row r="237" spans="2:4" x14ac:dyDescent="0.25">
      <c r="B237" t="s">
        <v>6570</v>
      </c>
      <c r="C237" s="71">
        <v>68</v>
      </c>
      <c r="D237" s="75">
        <f t="shared" si="5"/>
        <v>9.5397090388743143E-4</v>
      </c>
    </row>
    <row r="238" spans="2:4" x14ac:dyDescent="0.25">
      <c r="B238" t="s">
        <v>6571</v>
      </c>
      <c r="C238" s="71">
        <v>68</v>
      </c>
      <c r="D238" s="75">
        <f t="shared" si="5"/>
        <v>9.5397090388743143E-4</v>
      </c>
    </row>
    <row r="239" spans="2:4" x14ac:dyDescent="0.25">
      <c r="B239" t="s">
        <v>6572</v>
      </c>
      <c r="C239" s="71">
        <v>67</v>
      </c>
      <c r="D239" s="75">
        <f t="shared" si="5"/>
        <v>9.399419200067339E-4</v>
      </c>
    </row>
    <row r="240" spans="2:4" x14ac:dyDescent="0.25">
      <c r="B240" t="s">
        <v>6573</v>
      </c>
      <c r="C240" s="71">
        <v>65</v>
      </c>
      <c r="D240" s="75">
        <f t="shared" si="5"/>
        <v>9.1188395224533884E-4</v>
      </c>
    </row>
    <row r="241" spans="2:4" x14ac:dyDescent="0.25">
      <c r="B241" t="s">
        <v>6574</v>
      </c>
      <c r="C241" s="71">
        <v>65</v>
      </c>
      <c r="D241" s="75">
        <f t="shared" si="5"/>
        <v>9.1188395224533884E-4</v>
      </c>
    </row>
    <row r="242" spans="2:4" x14ac:dyDescent="0.25">
      <c r="B242" t="s">
        <v>6575</v>
      </c>
      <c r="C242" s="71">
        <v>64</v>
      </c>
      <c r="D242" s="75">
        <f t="shared" si="5"/>
        <v>8.9785496836464131E-4</v>
      </c>
    </row>
    <row r="243" spans="2:4" x14ac:dyDescent="0.25">
      <c r="B243" t="s">
        <v>6576</v>
      </c>
      <c r="C243" s="71">
        <v>63</v>
      </c>
      <c r="D243" s="75">
        <f t="shared" si="5"/>
        <v>8.8382598448394378E-4</v>
      </c>
    </row>
    <row r="244" spans="2:4" x14ac:dyDescent="0.25">
      <c r="B244" t="s">
        <v>6577</v>
      </c>
      <c r="C244" s="71">
        <v>63</v>
      </c>
      <c r="D244" s="75">
        <f t="shared" si="5"/>
        <v>8.8382598448394378E-4</v>
      </c>
    </row>
    <row r="245" spans="2:4" x14ac:dyDescent="0.25">
      <c r="B245" t="s">
        <v>6578</v>
      </c>
      <c r="C245" s="71">
        <v>63</v>
      </c>
      <c r="D245" s="75">
        <f t="shared" si="5"/>
        <v>8.8382598448394378E-4</v>
      </c>
    </row>
    <row r="246" spans="2:4" x14ac:dyDescent="0.25">
      <c r="B246" t="s">
        <v>6579</v>
      </c>
      <c r="C246" s="71">
        <v>61</v>
      </c>
      <c r="D246" s="75">
        <f t="shared" si="5"/>
        <v>8.5576801672254882E-4</v>
      </c>
    </row>
    <row r="247" spans="2:4" x14ac:dyDescent="0.25">
      <c r="B247" t="s">
        <v>6580</v>
      </c>
      <c r="C247" s="71">
        <v>61</v>
      </c>
      <c r="D247" s="75">
        <f t="shared" si="5"/>
        <v>8.5576801672254882E-4</v>
      </c>
    </row>
    <row r="248" spans="2:4" x14ac:dyDescent="0.25">
      <c r="B248" t="s">
        <v>6581</v>
      </c>
      <c r="C248" s="71">
        <v>61</v>
      </c>
      <c r="D248" s="75">
        <f t="shared" si="5"/>
        <v>8.5576801672254882E-4</v>
      </c>
    </row>
    <row r="249" spans="2:4" x14ac:dyDescent="0.25">
      <c r="B249" t="s">
        <v>6582</v>
      </c>
      <c r="C249" s="71">
        <v>61</v>
      </c>
      <c r="D249" s="75">
        <f t="shared" si="5"/>
        <v>8.5576801672254882E-4</v>
      </c>
    </row>
    <row r="250" spans="2:4" x14ac:dyDescent="0.25">
      <c r="B250" t="s">
        <v>6583</v>
      </c>
      <c r="C250" s="71">
        <v>60</v>
      </c>
      <c r="D250" s="75">
        <f t="shared" si="5"/>
        <v>8.4173903284185129E-4</v>
      </c>
    </row>
    <row r="251" spans="2:4" x14ac:dyDescent="0.25">
      <c r="B251" t="s">
        <v>6584</v>
      </c>
      <c r="C251" s="71">
        <v>60</v>
      </c>
      <c r="D251" s="75">
        <f t="shared" si="5"/>
        <v>8.4173903284185129E-4</v>
      </c>
    </row>
    <row r="252" spans="2:4" x14ac:dyDescent="0.25">
      <c r="B252" t="s">
        <v>6585</v>
      </c>
      <c r="C252" s="71">
        <v>60</v>
      </c>
      <c r="D252" s="75">
        <f t="shared" si="5"/>
        <v>8.4173903284185129E-4</v>
      </c>
    </row>
    <row r="253" spans="2:4" x14ac:dyDescent="0.25">
      <c r="B253" t="s">
        <v>6586</v>
      </c>
      <c r="C253" s="71">
        <v>60</v>
      </c>
      <c r="D253" s="75">
        <f t="shared" si="5"/>
        <v>8.4173903284185129E-4</v>
      </c>
    </row>
    <row r="254" spans="2:4" x14ac:dyDescent="0.25">
      <c r="B254" t="s">
        <v>6587</v>
      </c>
      <c r="C254" s="71">
        <v>59</v>
      </c>
      <c r="D254" s="75">
        <f t="shared" si="5"/>
        <v>8.2771004896115376E-4</v>
      </c>
    </row>
    <row r="255" spans="2:4" x14ac:dyDescent="0.25">
      <c r="B255" t="s">
        <v>6588</v>
      </c>
      <c r="C255" s="71">
        <v>59</v>
      </c>
      <c r="D255" s="75">
        <f t="shared" si="5"/>
        <v>8.2771004896115376E-4</v>
      </c>
    </row>
    <row r="256" spans="2:4" x14ac:dyDescent="0.25">
      <c r="B256" t="s">
        <v>6589</v>
      </c>
      <c r="C256" s="71">
        <v>59</v>
      </c>
      <c r="D256" s="75">
        <f t="shared" si="5"/>
        <v>8.2771004896115376E-4</v>
      </c>
    </row>
    <row r="257" spans="2:4" x14ac:dyDescent="0.25">
      <c r="B257" t="s">
        <v>6590</v>
      </c>
      <c r="C257" s="71">
        <v>59</v>
      </c>
      <c r="D257" s="75">
        <f t="shared" si="5"/>
        <v>8.2771004896115376E-4</v>
      </c>
    </row>
    <row r="258" spans="2:4" x14ac:dyDescent="0.25">
      <c r="B258" t="s">
        <v>6591</v>
      </c>
      <c r="C258" s="71">
        <v>59</v>
      </c>
      <c r="D258" s="75">
        <f t="shared" si="5"/>
        <v>8.2771004896115376E-4</v>
      </c>
    </row>
    <row r="259" spans="2:4" x14ac:dyDescent="0.25">
      <c r="B259" t="s">
        <v>6592</v>
      </c>
      <c r="C259" s="71">
        <v>58</v>
      </c>
      <c r="D259" s="75">
        <f t="shared" si="5"/>
        <v>8.1368106508045623E-4</v>
      </c>
    </row>
    <row r="260" spans="2:4" x14ac:dyDescent="0.25">
      <c r="B260" t="s">
        <v>6593</v>
      </c>
      <c r="C260" s="71">
        <v>58</v>
      </c>
      <c r="D260" s="75">
        <f t="shared" si="5"/>
        <v>8.1368106508045623E-4</v>
      </c>
    </row>
    <row r="261" spans="2:4" x14ac:dyDescent="0.25">
      <c r="B261" t="s">
        <v>6594</v>
      </c>
      <c r="C261" s="71">
        <v>58</v>
      </c>
      <c r="D261" s="75">
        <f t="shared" si="5"/>
        <v>8.1368106508045623E-4</v>
      </c>
    </row>
    <row r="262" spans="2:4" x14ac:dyDescent="0.25">
      <c r="B262" t="s">
        <v>6595</v>
      </c>
      <c r="C262" s="71">
        <v>58</v>
      </c>
      <c r="D262" s="75">
        <f t="shared" ref="D262:D325" si="6">C262/$C$4822</f>
        <v>8.1368106508045623E-4</v>
      </c>
    </row>
    <row r="263" spans="2:4" x14ac:dyDescent="0.25">
      <c r="B263" t="s">
        <v>6596</v>
      </c>
      <c r="C263" s="71">
        <v>58</v>
      </c>
      <c r="D263" s="75">
        <f t="shared" si="6"/>
        <v>8.1368106508045623E-4</v>
      </c>
    </row>
    <row r="264" spans="2:4" x14ac:dyDescent="0.25">
      <c r="B264" t="s">
        <v>6597</v>
      </c>
      <c r="C264" s="71">
        <v>58</v>
      </c>
      <c r="D264" s="75">
        <f t="shared" si="6"/>
        <v>8.1368106508045623E-4</v>
      </c>
    </row>
    <row r="265" spans="2:4" x14ac:dyDescent="0.25">
      <c r="B265" t="s">
        <v>6598</v>
      </c>
      <c r="C265" s="71">
        <v>57</v>
      </c>
      <c r="D265" s="75">
        <f t="shared" si="6"/>
        <v>7.996520811997587E-4</v>
      </c>
    </row>
    <row r="266" spans="2:4" x14ac:dyDescent="0.25">
      <c r="B266" t="s">
        <v>6599</v>
      </c>
      <c r="C266" s="71">
        <v>57</v>
      </c>
      <c r="D266" s="75">
        <f t="shared" si="6"/>
        <v>7.996520811997587E-4</v>
      </c>
    </row>
    <row r="267" spans="2:4" x14ac:dyDescent="0.25">
      <c r="B267" t="s">
        <v>6600</v>
      </c>
      <c r="C267" s="71">
        <v>56</v>
      </c>
      <c r="D267" s="75">
        <f t="shared" si="6"/>
        <v>7.8562309731906117E-4</v>
      </c>
    </row>
    <row r="268" spans="2:4" x14ac:dyDescent="0.25">
      <c r="B268" t="s">
        <v>6601</v>
      </c>
      <c r="C268" s="71">
        <v>56</v>
      </c>
      <c r="D268" s="75">
        <f t="shared" si="6"/>
        <v>7.8562309731906117E-4</v>
      </c>
    </row>
    <row r="269" spans="2:4" x14ac:dyDescent="0.25">
      <c r="B269" t="s">
        <v>6602</v>
      </c>
      <c r="C269" s="71">
        <v>56</v>
      </c>
      <c r="D269" s="75">
        <f t="shared" si="6"/>
        <v>7.8562309731906117E-4</v>
      </c>
    </row>
    <row r="270" spans="2:4" x14ac:dyDescent="0.25">
      <c r="B270" t="s">
        <v>6603</v>
      </c>
      <c r="C270" s="71">
        <v>56</v>
      </c>
      <c r="D270" s="75">
        <f t="shared" si="6"/>
        <v>7.8562309731906117E-4</v>
      </c>
    </row>
    <row r="271" spans="2:4" x14ac:dyDescent="0.25">
      <c r="B271" t="s">
        <v>6604</v>
      </c>
      <c r="C271" s="71">
        <v>56</v>
      </c>
      <c r="D271" s="75">
        <f t="shared" si="6"/>
        <v>7.8562309731906117E-4</v>
      </c>
    </row>
    <row r="272" spans="2:4" x14ac:dyDescent="0.25">
      <c r="B272" t="s">
        <v>6605</v>
      </c>
      <c r="C272" s="71">
        <v>55</v>
      </c>
      <c r="D272" s="75">
        <f t="shared" si="6"/>
        <v>7.7159411343836364E-4</v>
      </c>
    </row>
    <row r="273" spans="2:4" x14ac:dyDescent="0.25">
      <c r="B273" t="s">
        <v>6606</v>
      </c>
      <c r="C273" s="71">
        <v>55</v>
      </c>
      <c r="D273" s="75">
        <f t="shared" si="6"/>
        <v>7.7159411343836364E-4</v>
      </c>
    </row>
    <row r="274" spans="2:4" x14ac:dyDescent="0.25">
      <c r="B274" t="s">
        <v>6607</v>
      </c>
      <c r="C274" s="71">
        <v>55</v>
      </c>
      <c r="D274" s="75">
        <f t="shared" si="6"/>
        <v>7.7159411343836364E-4</v>
      </c>
    </row>
    <row r="275" spans="2:4" x14ac:dyDescent="0.25">
      <c r="B275" t="s">
        <v>6608</v>
      </c>
      <c r="C275" s="71">
        <v>55</v>
      </c>
      <c r="D275" s="75">
        <f t="shared" si="6"/>
        <v>7.7159411343836364E-4</v>
      </c>
    </row>
    <row r="276" spans="2:4" x14ac:dyDescent="0.25">
      <c r="B276" t="s">
        <v>6609</v>
      </c>
      <c r="C276" s="71">
        <v>55</v>
      </c>
      <c r="D276" s="75">
        <f t="shared" si="6"/>
        <v>7.7159411343836364E-4</v>
      </c>
    </row>
    <row r="277" spans="2:4" x14ac:dyDescent="0.25">
      <c r="B277" t="s">
        <v>6610</v>
      </c>
      <c r="C277" s="71">
        <v>54</v>
      </c>
      <c r="D277" s="75">
        <f t="shared" si="6"/>
        <v>7.5756512955766611E-4</v>
      </c>
    </row>
    <row r="278" spans="2:4" x14ac:dyDescent="0.25">
      <c r="B278" t="s">
        <v>6611</v>
      </c>
      <c r="C278" s="71">
        <v>54</v>
      </c>
      <c r="D278" s="75">
        <f t="shared" si="6"/>
        <v>7.5756512955766611E-4</v>
      </c>
    </row>
    <row r="279" spans="2:4" x14ac:dyDescent="0.25">
      <c r="B279" t="s">
        <v>6612</v>
      </c>
      <c r="C279" s="71">
        <v>54</v>
      </c>
      <c r="D279" s="75">
        <f t="shared" si="6"/>
        <v>7.5756512955766611E-4</v>
      </c>
    </row>
    <row r="280" spans="2:4" x14ac:dyDescent="0.25">
      <c r="B280" t="s">
        <v>6613</v>
      </c>
      <c r="C280" s="71">
        <v>54</v>
      </c>
      <c r="D280" s="75">
        <f t="shared" si="6"/>
        <v>7.5756512955766611E-4</v>
      </c>
    </row>
    <row r="281" spans="2:4" x14ac:dyDescent="0.25">
      <c r="B281" t="s">
        <v>6614</v>
      </c>
      <c r="C281" s="71">
        <v>53</v>
      </c>
      <c r="D281" s="75">
        <f t="shared" si="6"/>
        <v>7.4353614567696858E-4</v>
      </c>
    </row>
    <row r="282" spans="2:4" x14ac:dyDescent="0.25">
      <c r="B282" t="s">
        <v>6615</v>
      </c>
      <c r="C282" s="71">
        <v>53</v>
      </c>
      <c r="D282" s="75">
        <f t="shared" si="6"/>
        <v>7.4353614567696858E-4</v>
      </c>
    </row>
    <row r="283" spans="2:4" x14ac:dyDescent="0.25">
      <c r="B283" t="s">
        <v>6616</v>
      </c>
      <c r="C283" s="71">
        <v>53</v>
      </c>
      <c r="D283" s="75">
        <f t="shared" si="6"/>
        <v>7.4353614567696858E-4</v>
      </c>
    </row>
    <row r="284" spans="2:4" x14ac:dyDescent="0.25">
      <c r="B284" t="s">
        <v>6617</v>
      </c>
      <c r="C284" s="71">
        <v>53</v>
      </c>
      <c r="D284" s="75">
        <f t="shared" si="6"/>
        <v>7.4353614567696858E-4</v>
      </c>
    </row>
    <row r="285" spans="2:4" x14ac:dyDescent="0.25">
      <c r="B285" t="s">
        <v>6618</v>
      </c>
      <c r="C285" s="71">
        <v>53</v>
      </c>
      <c r="D285" s="75">
        <f t="shared" si="6"/>
        <v>7.4353614567696858E-4</v>
      </c>
    </row>
    <row r="286" spans="2:4" x14ac:dyDescent="0.25">
      <c r="B286" t="s">
        <v>6619</v>
      </c>
      <c r="C286" s="71">
        <v>52</v>
      </c>
      <c r="D286" s="75">
        <f t="shared" si="6"/>
        <v>7.2950716179627105E-4</v>
      </c>
    </row>
    <row r="287" spans="2:4" x14ac:dyDescent="0.25">
      <c r="B287" t="s">
        <v>6620</v>
      </c>
      <c r="C287" s="71">
        <v>52</v>
      </c>
      <c r="D287" s="75">
        <f t="shared" si="6"/>
        <v>7.2950716179627105E-4</v>
      </c>
    </row>
    <row r="288" spans="2:4" x14ac:dyDescent="0.25">
      <c r="B288" t="s">
        <v>6621</v>
      </c>
      <c r="C288" s="71">
        <v>52</v>
      </c>
      <c r="D288" s="75">
        <f t="shared" si="6"/>
        <v>7.2950716179627105E-4</v>
      </c>
    </row>
    <row r="289" spans="2:4" x14ac:dyDescent="0.25">
      <c r="B289" t="s">
        <v>6622</v>
      </c>
      <c r="C289" s="71">
        <v>52</v>
      </c>
      <c r="D289" s="75">
        <f t="shared" si="6"/>
        <v>7.2950716179627105E-4</v>
      </c>
    </row>
    <row r="290" spans="2:4" x14ac:dyDescent="0.25">
      <c r="B290" t="s">
        <v>6623</v>
      </c>
      <c r="C290" s="71">
        <v>52</v>
      </c>
      <c r="D290" s="75">
        <f t="shared" si="6"/>
        <v>7.2950716179627105E-4</v>
      </c>
    </row>
    <row r="291" spans="2:4" x14ac:dyDescent="0.25">
      <c r="B291" t="s">
        <v>6624</v>
      </c>
      <c r="C291" s="71">
        <v>52</v>
      </c>
      <c r="D291" s="75">
        <f t="shared" si="6"/>
        <v>7.2950716179627105E-4</v>
      </c>
    </row>
    <row r="292" spans="2:4" x14ac:dyDescent="0.25">
      <c r="B292" t="s">
        <v>6625</v>
      </c>
      <c r="C292" s="71">
        <v>51</v>
      </c>
      <c r="D292" s="75">
        <f t="shared" si="6"/>
        <v>7.1547817791557363E-4</v>
      </c>
    </row>
    <row r="293" spans="2:4" x14ac:dyDescent="0.25">
      <c r="B293" t="s">
        <v>6626</v>
      </c>
      <c r="C293" s="71">
        <v>50</v>
      </c>
      <c r="D293" s="75">
        <f t="shared" si="6"/>
        <v>7.014491940348761E-4</v>
      </c>
    </row>
    <row r="294" spans="2:4" x14ac:dyDescent="0.25">
      <c r="B294" t="s">
        <v>6627</v>
      </c>
      <c r="C294" s="71">
        <v>50</v>
      </c>
      <c r="D294" s="75">
        <f t="shared" si="6"/>
        <v>7.014491940348761E-4</v>
      </c>
    </row>
    <row r="295" spans="2:4" x14ac:dyDescent="0.25">
      <c r="B295" t="s">
        <v>6628</v>
      </c>
      <c r="C295" s="71">
        <v>49</v>
      </c>
      <c r="D295" s="75">
        <f t="shared" si="6"/>
        <v>6.8742021015417857E-4</v>
      </c>
    </row>
    <row r="296" spans="2:4" x14ac:dyDescent="0.25">
      <c r="B296" t="s">
        <v>6629</v>
      </c>
      <c r="C296" s="71">
        <v>49</v>
      </c>
      <c r="D296" s="75">
        <f t="shared" si="6"/>
        <v>6.8742021015417857E-4</v>
      </c>
    </row>
    <row r="297" spans="2:4" x14ac:dyDescent="0.25">
      <c r="B297" t="s">
        <v>6630</v>
      </c>
      <c r="C297" s="71">
        <v>49</v>
      </c>
      <c r="D297" s="75">
        <f t="shared" si="6"/>
        <v>6.8742021015417857E-4</v>
      </c>
    </row>
    <row r="298" spans="2:4" x14ac:dyDescent="0.25">
      <c r="B298" t="s">
        <v>6631</v>
      </c>
      <c r="C298" s="71">
        <v>49</v>
      </c>
      <c r="D298" s="75">
        <f t="shared" si="6"/>
        <v>6.8742021015417857E-4</v>
      </c>
    </row>
    <row r="299" spans="2:4" x14ac:dyDescent="0.25">
      <c r="B299" t="s">
        <v>6632</v>
      </c>
      <c r="C299" s="71">
        <v>48</v>
      </c>
      <c r="D299" s="75">
        <f t="shared" si="6"/>
        <v>6.7339122627348104E-4</v>
      </c>
    </row>
    <row r="300" spans="2:4" x14ac:dyDescent="0.25">
      <c r="B300" t="s">
        <v>6633</v>
      </c>
      <c r="C300" s="71">
        <v>48</v>
      </c>
      <c r="D300" s="75">
        <f t="shared" si="6"/>
        <v>6.7339122627348104E-4</v>
      </c>
    </row>
    <row r="301" spans="2:4" x14ac:dyDescent="0.25">
      <c r="B301" t="s">
        <v>6634</v>
      </c>
      <c r="C301" s="71">
        <v>48</v>
      </c>
      <c r="D301" s="75">
        <f t="shared" si="6"/>
        <v>6.7339122627348104E-4</v>
      </c>
    </row>
    <row r="302" spans="2:4" x14ac:dyDescent="0.25">
      <c r="B302" t="s">
        <v>6635</v>
      </c>
      <c r="C302" s="71">
        <v>48</v>
      </c>
      <c r="D302" s="75">
        <f t="shared" si="6"/>
        <v>6.7339122627348104E-4</v>
      </c>
    </row>
    <row r="303" spans="2:4" x14ac:dyDescent="0.25">
      <c r="B303" t="s">
        <v>6636</v>
      </c>
      <c r="C303" s="71">
        <v>48</v>
      </c>
      <c r="D303" s="75">
        <f t="shared" si="6"/>
        <v>6.7339122627348104E-4</v>
      </c>
    </row>
    <row r="304" spans="2:4" x14ac:dyDescent="0.25">
      <c r="B304" t="s">
        <v>6637</v>
      </c>
      <c r="C304" s="71">
        <v>48</v>
      </c>
      <c r="D304" s="75">
        <f t="shared" si="6"/>
        <v>6.7339122627348104E-4</v>
      </c>
    </row>
    <row r="305" spans="2:4" x14ac:dyDescent="0.25">
      <c r="B305" t="s">
        <v>6638</v>
      </c>
      <c r="C305" s="71">
        <v>48</v>
      </c>
      <c r="D305" s="75">
        <f t="shared" si="6"/>
        <v>6.7339122627348104E-4</v>
      </c>
    </row>
    <row r="306" spans="2:4" x14ac:dyDescent="0.25">
      <c r="B306" t="s">
        <v>6639</v>
      </c>
      <c r="C306" s="71">
        <v>47</v>
      </c>
      <c r="D306" s="75">
        <f t="shared" si="6"/>
        <v>6.593622423927835E-4</v>
      </c>
    </row>
    <row r="307" spans="2:4" x14ac:dyDescent="0.25">
      <c r="B307" t="s">
        <v>6640</v>
      </c>
      <c r="C307" s="71">
        <v>47</v>
      </c>
      <c r="D307" s="75">
        <f t="shared" si="6"/>
        <v>6.593622423927835E-4</v>
      </c>
    </row>
    <row r="308" spans="2:4" x14ac:dyDescent="0.25">
      <c r="B308" t="s">
        <v>6641</v>
      </c>
      <c r="C308" s="71">
        <v>47</v>
      </c>
      <c r="D308" s="75">
        <f t="shared" si="6"/>
        <v>6.593622423927835E-4</v>
      </c>
    </row>
    <row r="309" spans="2:4" x14ac:dyDescent="0.25">
      <c r="B309" t="s">
        <v>6642</v>
      </c>
      <c r="C309" s="71">
        <v>47</v>
      </c>
      <c r="D309" s="75">
        <f t="shared" si="6"/>
        <v>6.593622423927835E-4</v>
      </c>
    </row>
    <row r="310" spans="2:4" x14ac:dyDescent="0.25">
      <c r="B310" t="s">
        <v>6643</v>
      </c>
      <c r="C310" s="71">
        <v>47</v>
      </c>
      <c r="D310" s="75">
        <f t="shared" si="6"/>
        <v>6.593622423927835E-4</v>
      </c>
    </row>
    <row r="311" spans="2:4" x14ac:dyDescent="0.25">
      <c r="B311" t="s">
        <v>6644</v>
      </c>
      <c r="C311" s="71">
        <v>47</v>
      </c>
      <c r="D311" s="75">
        <f t="shared" si="6"/>
        <v>6.593622423927835E-4</v>
      </c>
    </row>
    <row r="312" spans="2:4" x14ac:dyDescent="0.25">
      <c r="B312" t="s">
        <v>6645</v>
      </c>
      <c r="C312" s="71">
        <v>47</v>
      </c>
      <c r="D312" s="75">
        <f t="shared" si="6"/>
        <v>6.593622423927835E-4</v>
      </c>
    </row>
    <row r="313" spans="2:4" x14ac:dyDescent="0.25">
      <c r="B313" t="s">
        <v>6646</v>
      </c>
      <c r="C313" s="71">
        <v>47</v>
      </c>
      <c r="D313" s="75">
        <f t="shared" si="6"/>
        <v>6.593622423927835E-4</v>
      </c>
    </row>
    <row r="314" spans="2:4" x14ac:dyDescent="0.25">
      <c r="B314" t="s">
        <v>6647</v>
      </c>
      <c r="C314" s="71">
        <v>47</v>
      </c>
      <c r="D314" s="75">
        <f t="shared" si="6"/>
        <v>6.593622423927835E-4</v>
      </c>
    </row>
    <row r="315" spans="2:4" x14ac:dyDescent="0.25">
      <c r="B315" t="s">
        <v>6648</v>
      </c>
      <c r="C315" s="71">
        <v>47</v>
      </c>
      <c r="D315" s="75">
        <f t="shared" si="6"/>
        <v>6.593622423927835E-4</v>
      </c>
    </row>
    <row r="316" spans="2:4" x14ac:dyDescent="0.25">
      <c r="B316" t="s">
        <v>6649</v>
      </c>
      <c r="C316" s="71">
        <v>47</v>
      </c>
      <c r="D316" s="75">
        <f t="shared" si="6"/>
        <v>6.593622423927835E-4</v>
      </c>
    </row>
    <row r="317" spans="2:4" x14ac:dyDescent="0.25">
      <c r="B317" t="s">
        <v>6650</v>
      </c>
      <c r="C317" s="71">
        <v>46</v>
      </c>
      <c r="D317" s="75">
        <f t="shared" si="6"/>
        <v>6.4533325851208597E-4</v>
      </c>
    </row>
    <row r="318" spans="2:4" x14ac:dyDescent="0.25">
      <c r="B318" t="s">
        <v>6651</v>
      </c>
      <c r="C318" s="71">
        <v>46</v>
      </c>
      <c r="D318" s="75">
        <f t="shared" si="6"/>
        <v>6.4533325851208597E-4</v>
      </c>
    </row>
    <row r="319" spans="2:4" x14ac:dyDescent="0.25">
      <c r="B319" t="s">
        <v>6652</v>
      </c>
      <c r="C319" s="71">
        <v>46</v>
      </c>
      <c r="D319" s="75">
        <f t="shared" si="6"/>
        <v>6.4533325851208597E-4</v>
      </c>
    </row>
    <row r="320" spans="2:4" x14ac:dyDescent="0.25">
      <c r="B320" t="s">
        <v>6653</v>
      </c>
      <c r="C320" s="71">
        <v>46</v>
      </c>
      <c r="D320" s="75">
        <f t="shared" si="6"/>
        <v>6.4533325851208597E-4</v>
      </c>
    </row>
    <row r="321" spans="2:4" x14ac:dyDescent="0.25">
      <c r="B321" t="s">
        <v>6654</v>
      </c>
      <c r="C321" s="71">
        <v>46</v>
      </c>
      <c r="D321" s="75">
        <f t="shared" si="6"/>
        <v>6.4533325851208597E-4</v>
      </c>
    </row>
    <row r="322" spans="2:4" x14ac:dyDescent="0.25">
      <c r="B322" t="s">
        <v>6655</v>
      </c>
      <c r="C322" s="71">
        <v>46</v>
      </c>
      <c r="D322" s="75">
        <f t="shared" si="6"/>
        <v>6.4533325851208597E-4</v>
      </c>
    </row>
    <row r="323" spans="2:4" x14ac:dyDescent="0.25">
      <c r="B323" t="s">
        <v>6656</v>
      </c>
      <c r="C323" s="71">
        <v>46</v>
      </c>
      <c r="D323" s="75">
        <f t="shared" si="6"/>
        <v>6.4533325851208597E-4</v>
      </c>
    </row>
    <row r="324" spans="2:4" x14ac:dyDescent="0.25">
      <c r="B324" t="s">
        <v>6657</v>
      </c>
      <c r="C324" s="71">
        <v>46</v>
      </c>
      <c r="D324" s="75">
        <f t="shared" si="6"/>
        <v>6.4533325851208597E-4</v>
      </c>
    </row>
    <row r="325" spans="2:4" x14ac:dyDescent="0.25">
      <c r="B325" t="s">
        <v>6658</v>
      </c>
      <c r="C325" s="71">
        <v>46</v>
      </c>
      <c r="D325" s="75">
        <f t="shared" si="6"/>
        <v>6.4533325851208597E-4</v>
      </c>
    </row>
    <row r="326" spans="2:4" x14ac:dyDescent="0.25">
      <c r="B326" t="s">
        <v>6659</v>
      </c>
      <c r="C326" s="71">
        <v>46</v>
      </c>
      <c r="D326" s="75">
        <f t="shared" ref="D326:D389" si="7">C326/$C$4822</f>
        <v>6.4533325851208597E-4</v>
      </c>
    </row>
    <row r="327" spans="2:4" x14ac:dyDescent="0.25">
      <c r="B327" t="s">
        <v>6660</v>
      </c>
      <c r="C327" s="71">
        <v>45</v>
      </c>
      <c r="D327" s="75">
        <f t="shared" si="7"/>
        <v>6.3130427463138844E-4</v>
      </c>
    </row>
    <row r="328" spans="2:4" x14ac:dyDescent="0.25">
      <c r="B328" t="s">
        <v>6661</v>
      </c>
      <c r="C328" s="71">
        <v>45</v>
      </c>
      <c r="D328" s="75">
        <f t="shared" si="7"/>
        <v>6.3130427463138844E-4</v>
      </c>
    </row>
    <row r="329" spans="2:4" x14ac:dyDescent="0.25">
      <c r="B329" t="s">
        <v>6662</v>
      </c>
      <c r="C329" s="71">
        <v>45</v>
      </c>
      <c r="D329" s="75">
        <f t="shared" si="7"/>
        <v>6.3130427463138844E-4</v>
      </c>
    </row>
    <row r="330" spans="2:4" x14ac:dyDescent="0.25">
      <c r="B330" t="s">
        <v>6663</v>
      </c>
      <c r="C330" s="71">
        <v>45</v>
      </c>
      <c r="D330" s="75">
        <f t="shared" si="7"/>
        <v>6.3130427463138844E-4</v>
      </c>
    </row>
    <row r="331" spans="2:4" x14ac:dyDescent="0.25">
      <c r="B331" t="s">
        <v>6664</v>
      </c>
      <c r="C331" s="71">
        <v>45</v>
      </c>
      <c r="D331" s="75">
        <f t="shared" si="7"/>
        <v>6.3130427463138844E-4</v>
      </c>
    </row>
    <row r="332" spans="2:4" x14ac:dyDescent="0.25">
      <c r="B332" t="s">
        <v>6665</v>
      </c>
      <c r="C332" s="71">
        <v>45</v>
      </c>
      <c r="D332" s="75">
        <f t="shared" si="7"/>
        <v>6.3130427463138844E-4</v>
      </c>
    </row>
    <row r="333" spans="2:4" x14ac:dyDescent="0.25">
      <c r="B333" t="s">
        <v>6666</v>
      </c>
      <c r="C333" s="71">
        <v>44</v>
      </c>
      <c r="D333" s="75">
        <f t="shared" si="7"/>
        <v>6.1727529075069091E-4</v>
      </c>
    </row>
    <row r="334" spans="2:4" x14ac:dyDescent="0.25">
      <c r="B334" t="s">
        <v>6667</v>
      </c>
      <c r="C334" s="71">
        <v>44</v>
      </c>
      <c r="D334" s="75">
        <f t="shared" si="7"/>
        <v>6.1727529075069091E-4</v>
      </c>
    </row>
    <row r="335" spans="2:4" x14ac:dyDescent="0.25">
      <c r="B335" t="s">
        <v>6668</v>
      </c>
      <c r="C335" s="71">
        <v>44</v>
      </c>
      <c r="D335" s="75">
        <f t="shared" si="7"/>
        <v>6.1727529075069091E-4</v>
      </c>
    </row>
    <row r="336" spans="2:4" x14ac:dyDescent="0.25">
      <c r="B336" t="s">
        <v>6669</v>
      </c>
      <c r="C336" s="71">
        <v>43</v>
      </c>
      <c r="D336" s="75">
        <f t="shared" si="7"/>
        <v>6.0324630686999338E-4</v>
      </c>
    </row>
    <row r="337" spans="2:4" x14ac:dyDescent="0.25">
      <c r="B337" t="s">
        <v>6670</v>
      </c>
      <c r="C337" s="71">
        <v>43</v>
      </c>
      <c r="D337" s="75">
        <f t="shared" si="7"/>
        <v>6.0324630686999338E-4</v>
      </c>
    </row>
    <row r="338" spans="2:4" x14ac:dyDescent="0.25">
      <c r="B338" t="s">
        <v>6671</v>
      </c>
      <c r="C338" s="71">
        <v>43</v>
      </c>
      <c r="D338" s="75">
        <f t="shared" si="7"/>
        <v>6.0324630686999338E-4</v>
      </c>
    </row>
    <row r="339" spans="2:4" x14ac:dyDescent="0.25">
      <c r="B339" t="s">
        <v>6672</v>
      </c>
      <c r="C339" s="71">
        <v>43</v>
      </c>
      <c r="D339" s="75">
        <f t="shared" si="7"/>
        <v>6.0324630686999338E-4</v>
      </c>
    </row>
    <row r="340" spans="2:4" x14ac:dyDescent="0.25">
      <c r="B340" t="s">
        <v>6673</v>
      </c>
      <c r="C340" s="71">
        <v>43</v>
      </c>
      <c r="D340" s="75">
        <f t="shared" si="7"/>
        <v>6.0324630686999338E-4</v>
      </c>
    </row>
    <row r="341" spans="2:4" x14ac:dyDescent="0.25">
      <c r="B341" t="s">
        <v>6674</v>
      </c>
      <c r="C341" s="71">
        <v>43</v>
      </c>
      <c r="D341" s="75">
        <f t="shared" si="7"/>
        <v>6.0324630686999338E-4</v>
      </c>
    </row>
    <row r="342" spans="2:4" x14ac:dyDescent="0.25">
      <c r="B342" t="s">
        <v>6675</v>
      </c>
      <c r="C342" s="71">
        <v>43</v>
      </c>
      <c r="D342" s="75">
        <f t="shared" si="7"/>
        <v>6.0324630686999338E-4</v>
      </c>
    </row>
    <row r="343" spans="2:4" x14ac:dyDescent="0.25">
      <c r="B343" t="s">
        <v>6676</v>
      </c>
      <c r="C343" s="71">
        <v>42</v>
      </c>
      <c r="D343" s="75">
        <f t="shared" si="7"/>
        <v>5.8921732298929585E-4</v>
      </c>
    </row>
    <row r="344" spans="2:4" x14ac:dyDescent="0.25">
      <c r="B344" t="s">
        <v>6677</v>
      </c>
      <c r="C344" s="71">
        <v>42</v>
      </c>
      <c r="D344" s="75">
        <f t="shared" si="7"/>
        <v>5.8921732298929585E-4</v>
      </c>
    </row>
    <row r="345" spans="2:4" x14ac:dyDescent="0.25">
      <c r="B345" t="s">
        <v>6678</v>
      </c>
      <c r="C345" s="71">
        <v>42</v>
      </c>
      <c r="D345" s="75">
        <f t="shared" si="7"/>
        <v>5.8921732298929585E-4</v>
      </c>
    </row>
    <row r="346" spans="2:4" x14ac:dyDescent="0.25">
      <c r="B346" t="s">
        <v>6679</v>
      </c>
      <c r="C346" s="71">
        <v>42</v>
      </c>
      <c r="D346" s="75">
        <f t="shared" si="7"/>
        <v>5.8921732298929585E-4</v>
      </c>
    </row>
    <row r="347" spans="2:4" x14ac:dyDescent="0.25">
      <c r="B347" t="s">
        <v>6680</v>
      </c>
      <c r="C347" s="71">
        <v>41</v>
      </c>
      <c r="D347" s="75">
        <f t="shared" si="7"/>
        <v>5.7518833910859832E-4</v>
      </c>
    </row>
    <row r="348" spans="2:4" x14ac:dyDescent="0.25">
      <c r="B348" t="s">
        <v>6681</v>
      </c>
      <c r="C348" s="71">
        <v>41</v>
      </c>
      <c r="D348" s="75">
        <f t="shared" si="7"/>
        <v>5.7518833910859832E-4</v>
      </c>
    </row>
    <row r="349" spans="2:4" x14ac:dyDescent="0.25">
      <c r="B349" t="s">
        <v>6682</v>
      </c>
      <c r="C349" s="71">
        <v>41</v>
      </c>
      <c r="D349" s="75">
        <f t="shared" si="7"/>
        <v>5.7518833910859832E-4</v>
      </c>
    </row>
    <row r="350" spans="2:4" x14ac:dyDescent="0.25">
      <c r="B350" t="s">
        <v>6683</v>
      </c>
      <c r="C350" s="71">
        <v>41</v>
      </c>
      <c r="D350" s="75">
        <f t="shared" si="7"/>
        <v>5.7518833910859832E-4</v>
      </c>
    </row>
    <row r="351" spans="2:4" x14ac:dyDescent="0.25">
      <c r="B351" t="s">
        <v>6684</v>
      </c>
      <c r="C351" s="71">
        <v>41</v>
      </c>
      <c r="D351" s="75">
        <f t="shared" si="7"/>
        <v>5.7518833910859832E-4</v>
      </c>
    </row>
    <row r="352" spans="2:4" x14ac:dyDescent="0.25">
      <c r="B352" t="s">
        <v>6685</v>
      </c>
      <c r="C352" s="71">
        <v>41</v>
      </c>
      <c r="D352" s="75">
        <f t="shared" si="7"/>
        <v>5.7518833910859832E-4</v>
      </c>
    </row>
    <row r="353" spans="2:4" x14ac:dyDescent="0.25">
      <c r="B353" t="s">
        <v>6686</v>
      </c>
      <c r="C353" s="71">
        <v>41</v>
      </c>
      <c r="D353" s="75">
        <f t="shared" si="7"/>
        <v>5.7518833910859832E-4</v>
      </c>
    </row>
    <row r="354" spans="2:4" x14ac:dyDescent="0.25">
      <c r="B354" t="s">
        <v>6687</v>
      </c>
      <c r="C354" s="71">
        <v>41</v>
      </c>
      <c r="D354" s="75">
        <f t="shared" si="7"/>
        <v>5.7518833910859832E-4</v>
      </c>
    </row>
    <row r="355" spans="2:4" x14ac:dyDescent="0.25">
      <c r="B355" t="s">
        <v>6688</v>
      </c>
      <c r="C355" s="71">
        <v>40</v>
      </c>
      <c r="D355" s="75">
        <f t="shared" si="7"/>
        <v>5.6115935522790079E-4</v>
      </c>
    </row>
    <row r="356" spans="2:4" x14ac:dyDescent="0.25">
      <c r="B356" t="s">
        <v>6689</v>
      </c>
      <c r="C356" s="71">
        <v>40</v>
      </c>
      <c r="D356" s="75">
        <f t="shared" si="7"/>
        <v>5.6115935522790079E-4</v>
      </c>
    </row>
    <row r="357" spans="2:4" x14ac:dyDescent="0.25">
      <c r="B357" t="s">
        <v>6690</v>
      </c>
      <c r="C357" s="71">
        <v>40</v>
      </c>
      <c r="D357" s="75">
        <f t="shared" si="7"/>
        <v>5.6115935522790079E-4</v>
      </c>
    </row>
    <row r="358" spans="2:4" x14ac:dyDescent="0.25">
      <c r="B358" t="s">
        <v>6691</v>
      </c>
      <c r="C358" s="71">
        <v>40</v>
      </c>
      <c r="D358" s="75">
        <f t="shared" si="7"/>
        <v>5.6115935522790079E-4</v>
      </c>
    </row>
    <row r="359" spans="2:4" x14ac:dyDescent="0.25">
      <c r="B359" t="s">
        <v>6692</v>
      </c>
      <c r="C359" s="71">
        <v>40</v>
      </c>
      <c r="D359" s="75">
        <f t="shared" si="7"/>
        <v>5.6115935522790079E-4</v>
      </c>
    </row>
    <row r="360" spans="2:4" x14ac:dyDescent="0.25">
      <c r="B360" t="s">
        <v>6693</v>
      </c>
      <c r="C360" s="71">
        <v>40</v>
      </c>
      <c r="D360" s="75">
        <f t="shared" si="7"/>
        <v>5.6115935522790079E-4</v>
      </c>
    </row>
    <row r="361" spans="2:4" x14ac:dyDescent="0.25">
      <c r="B361" t="s">
        <v>6694</v>
      </c>
      <c r="C361" s="71">
        <v>40</v>
      </c>
      <c r="D361" s="75">
        <f t="shared" si="7"/>
        <v>5.6115935522790079E-4</v>
      </c>
    </row>
    <row r="362" spans="2:4" x14ac:dyDescent="0.25">
      <c r="B362" t="s">
        <v>6695</v>
      </c>
      <c r="C362" s="71">
        <v>40</v>
      </c>
      <c r="D362" s="75">
        <f t="shared" si="7"/>
        <v>5.6115935522790079E-4</v>
      </c>
    </row>
    <row r="363" spans="2:4" x14ac:dyDescent="0.25">
      <c r="B363" t="s">
        <v>6696</v>
      </c>
      <c r="C363" s="71">
        <v>40</v>
      </c>
      <c r="D363" s="75">
        <f t="shared" si="7"/>
        <v>5.6115935522790079E-4</v>
      </c>
    </row>
    <row r="364" spans="2:4" x14ac:dyDescent="0.25">
      <c r="B364" t="s">
        <v>6697</v>
      </c>
      <c r="C364" s="71">
        <v>39</v>
      </c>
      <c r="D364" s="75">
        <f t="shared" si="7"/>
        <v>5.4713037134720337E-4</v>
      </c>
    </row>
    <row r="365" spans="2:4" x14ac:dyDescent="0.25">
      <c r="B365" t="s">
        <v>6698</v>
      </c>
      <c r="C365" s="71">
        <v>39</v>
      </c>
      <c r="D365" s="75">
        <f t="shared" si="7"/>
        <v>5.4713037134720337E-4</v>
      </c>
    </row>
    <row r="366" spans="2:4" x14ac:dyDescent="0.25">
      <c r="B366" t="s">
        <v>6699</v>
      </c>
      <c r="C366" s="71">
        <v>39</v>
      </c>
      <c r="D366" s="75">
        <f t="shared" si="7"/>
        <v>5.4713037134720337E-4</v>
      </c>
    </row>
    <row r="367" spans="2:4" x14ac:dyDescent="0.25">
      <c r="B367" t="s">
        <v>6700</v>
      </c>
      <c r="C367" s="71">
        <v>39</v>
      </c>
      <c r="D367" s="75">
        <f t="shared" si="7"/>
        <v>5.4713037134720337E-4</v>
      </c>
    </row>
    <row r="368" spans="2:4" x14ac:dyDescent="0.25">
      <c r="B368" t="s">
        <v>6701</v>
      </c>
      <c r="C368" s="71">
        <v>39</v>
      </c>
      <c r="D368" s="75">
        <f t="shared" si="7"/>
        <v>5.4713037134720337E-4</v>
      </c>
    </row>
    <row r="369" spans="2:4" x14ac:dyDescent="0.25">
      <c r="B369" t="s">
        <v>6702</v>
      </c>
      <c r="C369" s="71">
        <v>38</v>
      </c>
      <c r="D369" s="75">
        <f t="shared" si="7"/>
        <v>5.3310138746650584E-4</v>
      </c>
    </row>
    <row r="370" spans="2:4" x14ac:dyDescent="0.25">
      <c r="B370" t="s">
        <v>6703</v>
      </c>
      <c r="C370" s="71">
        <v>38</v>
      </c>
      <c r="D370" s="75">
        <f t="shared" si="7"/>
        <v>5.3310138746650584E-4</v>
      </c>
    </row>
    <row r="371" spans="2:4" x14ac:dyDescent="0.25">
      <c r="B371" t="s">
        <v>6704</v>
      </c>
      <c r="C371" s="71">
        <v>38</v>
      </c>
      <c r="D371" s="75">
        <f t="shared" si="7"/>
        <v>5.3310138746650584E-4</v>
      </c>
    </row>
    <row r="372" spans="2:4" x14ac:dyDescent="0.25">
      <c r="B372" t="s">
        <v>6705</v>
      </c>
      <c r="C372" s="71">
        <v>38</v>
      </c>
      <c r="D372" s="75">
        <f t="shared" si="7"/>
        <v>5.3310138746650584E-4</v>
      </c>
    </row>
    <row r="373" spans="2:4" x14ac:dyDescent="0.25">
      <c r="B373" t="s">
        <v>6706</v>
      </c>
      <c r="C373" s="71">
        <v>38</v>
      </c>
      <c r="D373" s="75">
        <f t="shared" si="7"/>
        <v>5.3310138746650584E-4</v>
      </c>
    </row>
    <row r="374" spans="2:4" x14ac:dyDescent="0.25">
      <c r="B374" t="s">
        <v>6707</v>
      </c>
      <c r="C374" s="71">
        <v>38</v>
      </c>
      <c r="D374" s="75">
        <f t="shared" si="7"/>
        <v>5.3310138746650584E-4</v>
      </c>
    </row>
    <row r="375" spans="2:4" x14ac:dyDescent="0.25">
      <c r="B375" t="s">
        <v>6708</v>
      </c>
      <c r="C375" s="71">
        <v>38</v>
      </c>
      <c r="D375" s="75">
        <f t="shared" si="7"/>
        <v>5.3310138746650584E-4</v>
      </c>
    </row>
    <row r="376" spans="2:4" x14ac:dyDescent="0.25">
      <c r="B376" t="s">
        <v>6709</v>
      </c>
      <c r="C376" s="71">
        <v>38</v>
      </c>
      <c r="D376" s="75">
        <f t="shared" si="7"/>
        <v>5.3310138746650584E-4</v>
      </c>
    </row>
    <row r="377" spans="2:4" x14ac:dyDescent="0.25">
      <c r="B377" t="s">
        <v>6710</v>
      </c>
      <c r="C377" s="71">
        <v>37</v>
      </c>
      <c r="D377" s="75">
        <f t="shared" si="7"/>
        <v>5.1907240358580831E-4</v>
      </c>
    </row>
    <row r="378" spans="2:4" x14ac:dyDescent="0.25">
      <c r="B378" t="s">
        <v>6711</v>
      </c>
      <c r="C378" s="71">
        <v>37</v>
      </c>
      <c r="D378" s="75">
        <f t="shared" si="7"/>
        <v>5.1907240358580831E-4</v>
      </c>
    </row>
    <row r="379" spans="2:4" x14ac:dyDescent="0.25">
      <c r="B379" t="s">
        <v>6712</v>
      </c>
      <c r="C379" s="71">
        <v>37</v>
      </c>
      <c r="D379" s="75">
        <f t="shared" si="7"/>
        <v>5.1907240358580831E-4</v>
      </c>
    </row>
    <row r="380" spans="2:4" x14ac:dyDescent="0.25">
      <c r="B380" t="s">
        <v>6713</v>
      </c>
      <c r="C380" s="71">
        <v>37</v>
      </c>
      <c r="D380" s="75">
        <f t="shared" si="7"/>
        <v>5.1907240358580831E-4</v>
      </c>
    </row>
    <row r="381" spans="2:4" x14ac:dyDescent="0.25">
      <c r="B381" t="s">
        <v>6714</v>
      </c>
      <c r="C381" s="71">
        <v>37</v>
      </c>
      <c r="D381" s="75">
        <f t="shared" si="7"/>
        <v>5.1907240358580831E-4</v>
      </c>
    </row>
    <row r="382" spans="2:4" x14ac:dyDescent="0.25">
      <c r="B382" t="s">
        <v>6715</v>
      </c>
      <c r="C382" s="71">
        <v>37</v>
      </c>
      <c r="D382" s="75">
        <f t="shared" si="7"/>
        <v>5.1907240358580831E-4</v>
      </c>
    </row>
    <row r="383" spans="2:4" x14ac:dyDescent="0.25">
      <c r="B383" t="s">
        <v>6716</v>
      </c>
      <c r="C383" s="71">
        <v>37</v>
      </c>
      <c r="D383" s="75">
        <f t="shared" si="7"/>
        <v>5.1907240358580831E-4</v>
      </c>
    </row>
    <row r="384" spans="2:4" x14ac:dyDescent="0.25">
      <c r="B384" t="s">
        <v>6717</v>
      </c>
      <c r="C384" s="71">
        <v>36</v>
      </c>
      <c r="D384" s="75">
        <f t="shared" si="7"/>
        <v>5.0504341970511078E-4</v>
      </c>
    </row>
    <row r="385" spans="2:4" x14ac:dyDescent="0.25">
      <c r="B385" t="s">
        <v>6718</v>
      </c>
      <c r="C385" s="71">
        <v>36</v>
      </c>
      <c r="D385" s="75">
        <f t="shared" si="7"/>
        <v>5.0504341970511078E-4</v>
      </c>
    </row>
    <row r="386" spans="2:4" x14ac:dyDescent="0.25">
      <c r="B386" t="s">
        <v>6719</v>
      </c>
      <c r="C386" s="71">
        <v>36</v>
      </c>
      <c r="D386" s="75">
        <f t="shared" si="7"/>
        <v>5.0504341970511078E-4</v>
      </c>
    </row>
    <row r="387" spans="2:4" x14ac:dyDescent="0.25">
      <c r="B387" t="s">
        <v>6720</v>
      </c>
      <c r="C387" s="71">
        <v>36</v>
      </c>
      <c r="D387" s="75">
        <f t="shared" si="7"/>
        <v>5.0504341970511078E-4</v>
      </c>
    </row>
    <row r="388" spans="2:4" x14ac:dyDescent="0.25">
      <c r="B388" t="s">
        <v>6721</v>
      </c>
      <c r="C388" s="71">
        <v>36</v>
      </c>
      <c r="D388" s="75">
        <f t="shared" si="7"/>
        <v>5.0504341970511078E-4</v>
      </c>
    </row>
    <row r="389" spans="2:4" x14ac:dyDescent="0.25">
      <c r="B389" t="s">
        <v>6722</v>
      </c>
      <c r="C389" s="71">
        <v>36</v>
      </c>
      <c r="D389" s="75">
        <f t="shared" si="7"/>
        <v>5.0504341970511078E-4</v>
      </c>
    </row>
    <row r="390" spans="2:4" x14ac:dyDescent="0.25">
      <c r="B390" t="s">
        <v>6723</v>
      </c>
      <c r="C390" s="71">
        <v>36</v>
      </c>
      <c r="D390" s="75">
        <f t="shared" ref="D390:D453" si="8">C390/$C$4822</f>
        <v>5.0504341970511078E-4</v>
      </c>
    </row>
    <row r="391" spans="2:4" x14ac:dyDescent="0.25">
      <c r="B391" t="s">
        <v>6724</v>
      </c>
      <c r="C391" s="71">
        <v>36</v>
      </c>
      <c r="D391" s="75">
        <f t="shared" si="8"/>
        <v>5.0504341970511078E-4</v>
      </c>
    </row>
    <row r="392" spans="2:4" x14ac:dyDescent="0.25">
      <c r="B392" t="s">
        <v>6725</v>
      </c>
      <c r="C392" s="71">
        <v>36</v>
      </c>
      <c r="D392" s="75">
        <f t="shared" si="8"/>
        <v>5.0504341970511078E-4</v>
      </c>
    </row>
    <row r="393" spans="2:4" x14ac:dyDescent="0.25">
      <c r="B393" t="s">
        <v>6726</v>
      </c>
      <c r="C393" s="71">
        <v>36</v>
      </c>
      <c r="D393" s="75">
        <f t="shared" si="8"/>
        <v>5.0504341970511078E-4</v>
      </c>
    </row>
    <row r="394" spans="2:4" x14ac:dyDescent="0.25">
      <c r="B394" t="s">
        <v>6727</v>
      </c>
      <c r="C394" s="71">
        <v>35</v>
      </c>
      <c r="D394" s="75">
        <f t="shared" si="8"/>
        <v>4.9101443582441325E-4</v>
      </c>
    </row>
    <row r="395" spans="2:4" x14ac:dyDescent="0.25">
      <c r="B395" t="s">
        <v>6728</v>
      </c>
      <c r="C395" s="71">
        <v>35</v>
      </c>
      <c r="D395" s="75">
        <f t="shared" si="8"/>
        <v>4.9101443582441325E-4</v>
      </c>
    </row>
    <row r="396" spans="2:4" x14ac:dyDescent="0.25">
      <c r="B396" t="s">
        <v>6729</v>
      </c>
      <c r="C396" s="71">
        <v>35</v>
      </c>
      <c r="D396" s="75">
        <f t="shared" si="8"/>
        <v>4.9101443582441325E-4</v>
      </c>
    </row>
    <row r="397" spans="2:4" x14ac:dyDescent="0.25">
      <c r="B397" t="s">
        <v>6730</v>
      </c>
      <c r="C397" s="71">
        <v>35</v>
      </c>
      <c r="D397" s="75">
        <f t="shared" si="8"/>
        <v>4.9101443582441325E-4</v>
      </c>
    </row>
    <row r="398" spans="2:4" x14ac:dyDescent="0.25">
      <c r="B398" t="s">
        <v>6731</v>
      </c>
      <c r="C398" s="71">
        <v>35</v>
      </c>
      <c r="D398" s="75">
        <f t="shared" si="8"/>
        <v>4.9101443582441325E-4</v>
      </c>
    </row>
    <row r="399" spans="2:4" x14ac:dyDescent="0.25">
      <c r="B399" t="s">
        <v>6732</v>
      </c>
      <c r="C399" s="71">
        <v>35</v>
      </c>
      <c r="D399" s="75">
        <f t="shared" si="8"/>
        <v>4.9101443582441325E-4</v>
      </c>
    </row>
    <row r="400" spans="2:4" x14ac:dyDescent="0.25">
      <c r="B400" t="s">
        <v>6733</v>
      </c>
      <c r="C400" s="71">
        <v>35</v>
      </c>
      <c r="D400" s="75">
        <f t="shared" si="8"/>
        <v>4.9101443582441325E-4</v>
      </c>
    </row>
    <row r="401" spans="2:4" x14ac:dyDescent="0.25">
      <c r="B401" t="s">
        <v>6734</v>
      </c>
      <c r="C401" s="71">
        <v>35</v>
      </c>
      <c r="D401" s="75">
        <f t="shared" si="8"/>
        <v>4.9101443582441325E-4</v>
      </c>
    </row>
    <row r="402" spans="2:4" x14ac:dyDescent="0.25">
      <c r="B402" t="s">
        <v>6735</v>
      </c>
      <c r="C402" s="71">
        <v>35</v>
      </c>
      <c r="D402" s="75">
        <f t="shared" si="8"/>
        <v>4.9101443582441325E-4</v>
      </c>
    </row>
    <row r="403" spans="2:4" x14ac:dyDescent="0.25">
      <c r="B403" t="s">
        <v>6736</v>
      </c>
      <c r="C403" s="71">
        <v>35</v>
      </c>
      <c r="D403" s="75">
        <f t="shared" si="8"/>
        <v>4.9101443582441325E-4</v>
      </c>
    </row>
    <row r="404" spans="2:4" x14ac:dyDescent="0.25">
      <c r="B404" t="s">
        <v>6737</v>
      </c>
      <c r="C404" s="71">
        <v>34</v>
      </c>
      <c r="D404" s="75">
        <f t="shared" si="8"/>
        <v>4.7698545194371572E-4</v>
      </c>
    </row>
    <row r="405" spans="2:4" x14ac:dyDescent="0.25">
      <c r="B405" t="s">
        <v>6738</v>
      </c>
      <c r="C405" s="71">
        <v>34</v>
      </c>
      <c r="D405" s="75">
        <f t="shared" si="8"/>
        <v>4.7698545194371572E-4</v>
      </c>
    </row>
    <row r="406" spans="2:4" x14ac:dyDescent="0.25">
      <c r="B406" t="s">
        <v>6739</v>
      </c>
      <c r="C406" s="71">
        <v>34</v>
      </c>
      <c r="D406" s="75">
        <f t="shared" si="8"/>
        <v>4.7698545194371572E-4</v>
      </c>
    </row>
    <row r="407" spans="2:4" x14ac:dyDescent="0.25">
      <c r="B407" t="s">
        <v>6740</v>
      </c>
      <c r="C407" s="71">
        <v>34</v>
      </c>
      <c r="D407" s="75">
        <f t="shared" si="8"/>
        <v>4.7698545194371572E-4</v>
      </c>
    </row>
    <row r="408" spans="2:4" x14ac:dyDescent="0.25">
      <c r="B408" t="s">
        <v>6741</v>
      </c>
      <c r="C408" s="71">
        <v>34</v>
      </c>
      <c r="D408" s="75">
        <f t="shared" si="8"/>
        <v>4.7698545194371572E-4</v>
      </c>
    </row>
    <row r="409" spans="2:4" x14ac:dyDescent="0.25">
      <c r="B409" t="s">
        <v>6742</v>
      </c>
      <c r="C409" s="71">
        <v>34</v>
      </c>
      <c r="D409" s="75">
        <f t="shared" si="8"/>
        <v>4.7698545194371572E-4</v>
      </c>
    </row>
    <row r="410" spans="2:4" x14ac:dyDescent="0.25">
      <c r="B410" t="s">
        <v>6743</v>
      </c>
      <c r="C410" s="71">
        <v>34</v>
      </c>
      <c r="D410" s="75">
        <f t="shared" si="8"/>
        <v>4.7698545194371572E-4</v>
      </c>
    </row>
    <row r="411" spans="2:4" x14ac:dyDescent="0.25">
      <c r="B411" t="s">
        <v>6744</v>
      </c>
      <c r="C411" s="71">
        <v>34</v>
      </c>
      <c r="D411" s="75">
        <f t="shared" si="8"/>
        <v>4.7698545194371572E-4</v>
      </c>
    </row>
    <row r="412" spans="2:4" x14ac:dyDescent="0.25">
      <c r="B412" t="s">
        <v>6745</v>
      </c>
      <c r="C412" s="71">
        <v>34</v>
      </c>
      <c r="D412" s="75">
        <f t="shared" si="8"/>
        <v>4.7698545194371572E-4</v>
      </c>
    </row>
    <row r="413" spans="2:4" x14ac:dyDescent="0.25">
      <c r="B413" t="s">
        <v>6746</v>
      </c>
      <c r="C413" s="71">
        <v>34</v>
      </c>
      <c r="D413" s="75">
        <f t="shared" si="8"/>
        <v>4.7698545194371572E-4</v>
      </c>
    </row>
    <row r="414" spans="2:4" x14ac:dyDescent="0.25">
      <c r="B414" t="s">
        <v>6747</v>
      </c>
      <c r="C414" s="71">
        <v>34</v>
      </c>
      <c r="D414" s="75">
        <f t="shared" si="8"/>
        <v>4.7698545194371572E-4</v>
      </c>
    </row>
    <row r="415" spans="2:4" x14ac:dyDescent="0.25">
      <c r="B415" t="s">
        <v>6748</v>
      </c>
      <c r="C415" s="71">
        <v>34</v>
      </c>
      <c r="D415" s="75">
        <f t="shared" si="8"/>
        <v>4.7698545194371572E-4</v>
      </c>
    </row>
    <row r="416" spans="2:4" x14ac:dyDescent="0.25">
      <c r="B416" t="s">
        <v>6749</v>
      </c>
      <c r="C416" s="71">
        <v>34</v>
      </c>
      <c r="D416" s="75">
        <f t="shared" si="8"/>
        <v>4.7698545194371572E-4</v>
      </c>
    </row>
    <row r="417" spans="2:4" x14ac:dyDescent="0.25">
      <c r="C417" s="71">
        <v>34</v>
      </c>
      <c r="D417" s="75">
        <f t="shared" si="8"/>
        <v>4.7698545194371572E-4</v>
      </c>
    </row>
    <row r="418" spans="2:4" x14ac:dyDescent="0.25">
      <c r="B418" t="s">
        <v>6750</v>
      </c>
      <c r="C418" s="71">
        <v>33</v>
      </c>
      <c r="D418" s="75">
        <f t="shared" si="8"/>
        <v>4.6295646806301818E-4</v>
      </c>
    </row>
    <row r="419" spans="2:4" x14ac:dyDescent="0.25">
      <c r="B419" t="s">
        <v>6751</v>
      </c>
      <c r="C419" s="71">
        <v>33</v>
      </c>
      <c r="D419" s="75">
        <f t="shared" si="8"/>
        <v>4.6295646806301818E-4</v>
      </c>
    </row>
    <row r="420" spans="2:4" x14ac:dyDescent="0.25">
      <c r="B420" t="s">
        <v>6752</v>
      </c>
      <c r="C420" s="71">
        <v>33</v>
      </c>
      <c r="D420" s="75">
        <f t="shared" si="8"/>
        <v>4.6295646806301818E-4</v>
      </c>
    </row>
    <row r="421" spans="2:4" x14ac:dyDescent="0.25">
      <c r="B421" t="s">
        <v>6753</v>
      </c>
      <c r="C421" s="71">
        <v>33</v>
      </c>
      <c r="D421" s="75">
        <f t="shared" si="8"/>
        <v>4.6295646806301818E-4</v>
      </c>
    </row>
    <row r="422" spans="2:4" x14ac:dyDescent="0.25">
      <c r="B422" t="s">
        <v>6754</v>
      </c>
      <c r="C422" s="71">
        <v>33</v>
      </c>
      <c r="D422" s="75">
        <f t="shared" si="8"/>
        <v>4.6295646806301818E-4</v>
      </c>
    </row>
    <row r="423" spans="2:4" x14ac:dyDescent="0.25">
      <c r="B423" t="s">
        <v>6755</v>
      </c>
      <c r="C423" s="71">
        <v>33</v>
      </c>
      <c r="D423" s="75">
        <f t="shared" si="8"/>
        <v>4.6295646806301818E-4</v>
      </c>
    </row>
    <row r="424" spans="2:4" x14ac:dyDescent="0.25">
      <c r="B424" t="s">
        <v>6756</v>
      </c>
      <c r="C424" s="71">
        <v>33</v>
      </c>
      <c r="D424" s="75">
        <f t="shared" si="8"/>
        <v>4.6295646806301818E-4</v>
      </c>
    </row>
    <row r="425" spans="2:4" x14ac:dyDescent="0.25">
      <c r="B425" t="s">
        <v>6757</v>
      </c>
      <c r="C425" s="71">
        <v>33</v>
      </c>
      <c r="D425" s="75">
        <f t="shared" si="8"/>
        <v>4.6295646806301818E-4</v>
      </c>
    </row>
    <row r="426" spans="2:4" x14ac:dyDescent="0.25">
      <c r="B426" t="s">
        <v>6758</v>
      </c>
      <c r="C426" s="71">
        <v>32</v>
      </c>
      <c r="D426" s="75">
        <f t="shared" si="8"/>
        <v>4.4892748418232065E-4</v>
      </c>
    </row>
    <row r="427" spans="2:4" x14ac:dyDescent="0.25">
      <c r="B427" t="s">
        <v>6759</v>
      </c>
      <c r="C427" s="71">
        <v>32</v>
      </c>
      <c r="D427" s="75">
        <f t="shared" si="8"/>
        <v>4.4892748418232065E-4</v>
      </c>
    </row>
    <row r="428" spans="2:4" x14ac:dyDescent="0.25">
      <c r="B428" t="s">
        <v>6760</v>
      </c>
      <c r="C428" s="71">
        <v>32</v>
      </c>
      <c r="D428" s="75">
        <f t="shared" si="8"/>
        <v>4.4892748418232065E-4</v>
      </c>
    </row>
    <row r="429" spans="2:4" x14ac:dyDescent="0.25">
      <c r="B429" t="s">
        <v>6761</v>
      </c>
      <c r="C429" s="71">
        <v>32</v>
      </c>
      <c r="D429" s="75">
        <f t="shared" si="8"/>
        <v>4.4892748418232065E-4</v>
      </c>
    </row>
    <row r="430" spans="2:4" x14ac:dyDescent="0.25">
      <c r="B430" t="s">
        <v>6762</v>
      </c>
      <c r="C430" s="71">
        <v>32</v>
      </c>
      <c r="D430" s="75">
        <f t="shared" si="8"/>
        <v>4.4892748418232065E-4</v>
      </c>
    </row>
    <row r="431" spans="2:4" x14ac:dyDescent="0.25">
      <c r="B431" t="s">
        <v>6763</v>
      </c>
      <c r="C431" s="71">
        <v>32</v>
      </c>
      <c r="D431" s="75">
        <f t="shared" si="8"/>
        <v>4.4892748418232065E-4</v>
      </c>
    </row>
    <row r="432" spans="2:4" x14ac:dyDescent="0.25">
      <c r="B432" t="s">
        <v>6764</v>
      </c>
      <c r="C432" s="71">
        <v>32</v>
      </c>
      <c r="D432" s="75">
        <f t="shared" si="8"/>
        <v>4.4892748418232065E-4</v>
      </c>
    </row>
    <row r="433" spans="2:4" x14ac:dyDescent="0.25">
      <c r="B433" t="s">
        <v>6765</v>
      </c>
      <c r="C433" s="71">
        <v>32</v>
      </c>
      <c r="D433" s="75">
        <f t="shared" si="8"/>
        <v>4.4892748418232065E-4</v>
      </c>
    </row>
    <row r="434" spans="2:4" x14ac:dyDescent="0.25">
      <c r="B434" t="s">
        <v>6766</v>
      </c>
      <c r="C434" s="71">
        <v>32</v>
      </c>
      <c r="D434" s="75">
        <f t="shared" si="8"/>
        <v>4.4892748418232065E-4</v>
      </c>
    </row>
    <row r="435" spans="2:4" x14ac:dyDescent="0.25">
      <c r="B435" t="s">
        <v>6767</v>
      </c>
      <c r="C435" s="71">
        <v>32</v>
      </c>
      <c r="D435" s="75">
        <f t="shared" si="8"/>
        <v>4.4892748418232065E-4</v>
      </c>
    </row>
    <row r="436" spans="2:4" x14ac:dyDescent="0.25">
      <c r="B436" t="s">
        <v>6768</v>
      </c>
      <c r="C436" s="71">
        <v>32</v>
      </c>
      <c r="D436" s="75">
        <f t="shared" si="8"/>
        <v>4.4892748418232065E-4</v>
      </c>
    </row>
    <row r="437" spans="2:4" x14ac:dyDescent="0.25">
      <c r="B437" t="s">
        <v>6769</v>
      </c>
      <c r="C437" s="71">
        <v>31</v>
      </c>
      <c r="D437" s="75">
        <f t="shared" si="8"/>
        <v>4.3489850030162318E-4</v>
      </c>
    </row>
    <row r="438" spans="2:4" x14ac:dyDescent="0.25">
      <c r="B438" t="s">
        <v>6770</v>
      </c>
      <c r="C438" s="71">
        <v>31</v>
      </c>
      <c r="D438" s="75">
        <f t="shared" si="8"/>
        <v>4.3489850030162318E-4</v>
      </c>
    </row>
    <row r="439" spans="2:4" x14ac:dyDescent="0.25">
      <c r="B439" t="s">
        <v>6771</v>
      </c>
      <c r="C439" s="71">
        <v>31</v>
      </c>
      <c r="D439" s="75">
        <f t="shared" si="8"/>
        <v>4.3489850030162318E-4</v>
      </c>
    </row>
    <row r="440" spans="2:4" x14ac:dyDescent="0.25">
      <c r="B440" t="s">
        <v>6772</v>
      </c>
      <c r="C440" s="71">
        <v>31</v>
      </c>
      <c r="D440" s="75">
        <f t="shared" si="8"/>
        <v>4.3489850030162318E-4</v>
      </c>
    </row>
    <row r="441" spans="2:4" x14ac:dyDescent="0.25">
      <c r="B441" t="s">
        <v>6773</v>
      </c>
      <c r="C441" s="71">
        <v>31</v>
      </c>
      <c r="D441" s="75">
        <f t="shared" si="8"/>
        <v>4.3489850030162318E-4</v>
      </c>
    </row>
    <row r="442" spans="2:4" x14ac:dyDescent="0.25">
      <c r="B442" t="s">
        <v>6774</v>
      </c>
      <c r="C442" s="71">
        <v>31</v>
      </c>
      <c r="D442" s="75">
        <f t="shared" si="8"/>
        <v>4.3489850030162318E-4</v>
      </c>
    </row>
    <row r="443" spans="2:4" x14ac:dyDescent="0.25">
      <c r="B443" t="s">
        <v>6775</v>
      </c>
      <c r="C443" s="71">
        <v>31</v>
      </c>
      <c r="D443" s="75">
        <f t="shared" si="8"/>
        <v>4.3489850030162318E-4</v>
      </c>
    </row>
    <row r="444" spans="2:4" x14ac:dyDescent="0.25">
      <c r="B444" t="s">
        <v>6776</v>
      </c>
      <c r="C444" s="71">
        <v>31</v>
      </c>
      <c r="D444" s="75">
        <f t="shared" si="8"/>
        <v>4.3489850030162318E-4</v>
      </c>
    </row>
    <row r="445" spans="2:4" x14ac:dyDescent="0.25">
      <c r="B445" t="s">
        <v>6777</v>
      </c>
      <c r="C445" s="71">
        <v>31</v>
      </c>
      <c r="D445" s="75">
        <f t="shared" si="8"/>
        <v>4.3489850030162318E-4</v>
      </c>
    </row>
    <row r="446" spans="2:4" x14ac:dyDescent="0.25">
      <c r="B446" t="s">
        <v>6778</v>
      </c>
      <c r="C446" s="71">
        <v>31</v>
      </c>
      <c r="D446" s="75">
        <f t="shared" si="8"/>
        <v>4.3489850030162318E-4</v>
      </c>
    </row>
    <row r="447" spans="2:4" x14ac:dyDescent="0.25">
      <c r="B447" t="s">
        <v>6779</v>
      </c>
      <c r="C447" s="71">
        <v>31</v>
      </c>
      <c r="D447" s="75">
        <f t="shared" si="8"/>
        <v>4.3489850030162318E-4</v>
      </c>
    </row>
    <row r="448" spans="2:4" x14ac:dyDescent="0.25">
      <c r="B448" t="s">
        <v>6780</v>
      </c>
      <c r="C448" s="71">
        <v>31</v>
      </c>
      <c r="D448" s="75">
        <f t="shared" si="8"/>
        <v>4.3489850030162318E-4</v>
      </c>
    </row>
    <row r="449" spans="2:4" x14ac:dyDescent="0.25">
      <c r="B449" t="s">
        <v>6781</v>
      </c>
      <c r="C449" s="71">
        <v>31</v>
      </c>
      <c r="D449" s="75">
        <f t="shared" si="8"/>
        <v>4.3489850030162318E-4</v>
      </c>
    </row>
    <row r="450" spans="2:4" x14ac:dyDescent="0.25">
      <c r="B450" t="s">
        <v>6782</v>
      </c>
      <c r="C450" s="71">
        <v>31</v>
      </c>
      <c r="D450" s="75">
        <f t="shared" si="8"/>
        <v>4.3489850030162318E-4</v>
      </c>
    </row>
    <row r="451" spans="2:4" x14ac:dyDescent="0.25">
      <c r="B451" t="s">
        <v>6783</v>
      </c>
      <c r="C451" s="71">
        <v>31</v>
      </c>
      <c r="D451" s="75">
        <f t="shared" si="8"/>
        <v>4.3489850030162318E-4</v>
      </c>
    </row>
    <row r="452" spans="2:4" x14ac:dyDescent="0.25">
      <c r="B452" t="s">
        <v>6784</v>
      </c>
      <c r="C452" s="71">
        <v>31</v>
      </c>
      <c r="D452" s="75">
        <f t="shared" si="8"/>
        <v>4.3489850030162318E-4</v>
      </c>
    </row>
    <row r="453" spans="2:4" x14ac:dyDescent="0.25">
      <c r="B453" t="s">
        <v>6785</v>
      </c>
      <c r="C453" s="71">
        <v>30</v>
      </c>
      <c r="D453" s="75">
        <f t="shared" si="8"/>
        <v>4.2086951642092565E-4</v>
      </c>
    </row>
    <row r="454" spans="2:4" x14ac:dyDescent="0.25">
      <c r="B454" t="s">
        <v>6786</v>
      </c>
      <c r="C454" s="71">
        <v>30</v>
      </c>
      <c r="D454" s="75">
        <f t="shared" ref="D454:D517" si="9">C454/$C$4822</f>
        <v>4.2086951642092565E-4</v>
      </c>
    </row>
    <row r="455" spans="2:4" x14ac:dyDescent="0.25">
      <c r="B455" t="s">
        <v>6787</v>
      </c>
      <c r="C455" s="71">
        <v>30</v>
      </c>
      <c r="D455" s="75">
        <f t="shared" si="9"/>
        <v>4.2086951642092565E-4</v>
      </c>
    </row>
    <row r="456" spans="2:4" x14ac:dyDescent="0.25">
      <c r="B456" t="s">
        <v>6788</v>
      </c>
      <c r="C456" s="71">
        <v>30</v>
      </c>
      <c r="D456" s="75">
        <f t="shared" si="9"/>
        <v>4.2086951642092565E-4</v>
      </c>
    </row>
    <row r="457" spans="2:4" x14ac:dyDescent="0.25">
      <c r="B457" t="s">
        <v>6789</v>
      </c>
      <c r="C457" s="71">
        <v>30</v>
      </c>
      <c r="D457" s="75">
        <f t="shared" si="9"/>
        <v>4.2086951642092565E-4</v>
      </c>
    </row>
    <row r="458" spans="2:4" x14ac:dyDescent="0.25">
      <c r="B458" t="s">
        <v>6790</v>
      </c>
      <c r="C458" s="71">
        <v>30</v>
      </c>
      <c r="D458" s="75">
        <f t="shared" si="9"/>
        <v>4.2086951642092565E-4</v>
      </c>
    </row>
    <row r="459" spans="2:4" x14ac:dyDescent="0.25">
      <c r="B459" t="s">
        <v>6791</v>
      </c>
      <c r="C459" s="71">
        <v>30</v>
      </c>
      <c r="D459" s="75">
        <f t="shared" si="9"/>
        <v>4.2086951642092565E-4</v>
      </c>
    </row>
    <row r="460" spans="2:4" x14ac:dyDescent="0.25">
      <c r="B460" t="s">
        <v>6792</v>
      </c>
      <c r="C460" s="71">
        <v>30</v>
      </c>
      <c r="D460" s="75">
        <f t="shared" si="9"/>
        <v>4.2086951642092565E-4</v>
      </c>
    </row>
    <row r="461" spans="2:4" x14ac:dyDescent="0.25">
      <c r="B461" t="s">
        <v>6793</v>
      </c>
      <c r="C461" s="71">
        <v>30</v>
      </c>
      <c r="D461" s="75">
        <f t="shared" si="9"/>
        <v>4.2086951642092565E-4</v>
      </c>
    </row>
    <row r="462" spans="2:4" x14ac:dyDescent="0.25">
      <c r="B462" t="s">
        <v>6794</v>
      </c>
      <c r="C462" s="71">
        <v>29</v>
      </c>
      <c r="D462" s="75">
        <f t="shared" si="9"/>
        <v>4.0684053254022812E-4</v>
      </c>
    </row>
    <row r="463" spans="2:4" x14ac:dyDescent="0.25">
      <c r="B463" t="s">
        <v>6795</v>
      </c>
      <c r="C463" s="71">
        <v>29</v>
      </c>
      <c r="D463" s="75">
        <f t="shared" si="9"/>
        <v>4.0684053254022812E-4</v>
      </c>
    </row>
    <row r="464" spans="2:4" x14ac:dyDescent="0.25">
      <c r="B464" t="s">
        <v>6796</v>
      </c>
      <c r="C464" s="71">
        <v>29</v>
      </c>
      <c r="D464" s="75">
        <f t="shared" si="9"/>
        <v>4.0684053254022812E-4</v>
      </c>
    </row>
    <row r="465" spans="2:4" x14ac:dyDescent="0.25">
      <c r="B465" t="s">
        <v>6797</v>
      </c>
      <c r="C465" s="71">
        <v>29</v>
      </c>
      <c r="D465" s="75">
        <f t="shared" si="9"/>
        <v>4.0684053254022812E-4</v>
      </c>
    </row>
    <row r="466" spans="2:4" x14ac:dyDescent="0.25">
      <c r="B466" t="s">
        <v>6798</v>
      </c>
      <c r="C466" s="71">
        <v>29</v>
      </c>
      <c r="D466" s="75">
        <f t="shared" si="9"/>
        <v>4.0684053254022812E-4</v>
      </c>
    </row>
    <row r="467" spans="2:4" x14ac:dyDescent="0.25">
      <c r="B467" t="s">
        <v>6799</v>
      </c>
      <c r="C467" s="71">
        <v>29</v>
      </c>
      <c r="D467" s="75">
        <f t="shared" si="9"/>
        <v>4.0684053254022812E-4</v>
      </c>
    </row>
    <row r="468" spans="2:4" x14ac:dyDescent="0.25">
      <c r="B468" t="s">
        <v>6800</v>
      </c>
      <c r="C468" s="71">
        <v>29</v>
      </c>
      <c r="D468" s="75">
        <f t="shared" si="9"/>
        <v>4.0684053254022812E-4</v>
      </c>
    </row>
    <row r="469" spans="2:4" x14ac:dyDescent="0.25">
      <c r="B469" t="s">
        <v>6801</v>
      </c>
      <c r="C469" s="71">
        <v>29</v>
      </c>
      <c r="D469" s="75">
        <f t="shared" si="9"/>
        <v>4.0684053254022812E-4</v>
      </c>
    </row>
    <row r="470" spans="2:4" x14ac:dyDescent="0.25">
      <c r="B470" t="s">
        <v>6802</v>
      </c>
      <c r="C470" s="71">
        <v>29</v>
      </c>
      <c r="D470" s="75">
        <f t="shared" si="9"/>
        <v>4.0684053254022812E-4</v>
      </c>
    </row>
    <row r="471" spans="2:4" x14ac:dyDescent="0.25">
      <c r="B471" t="s">
        <v>6803</v>
      </c>
      <c r="C471" s="71">
        <v>29</v>
      </c>
      <c r="D471" s="75">
        <f t="shared" si="9"/>
        <v>4.0684053254022812E-4</v>
      </c>
    </row>
    <row r="472" spans="2:4" x14ac:dyDescent="0.25">
      <c r="B472" t="s">
        <v>6804</v>
      </c>
      <c r="C472" s="71">
        <v>29</v>
      </c>
      <c r="D472" s="75">
        <f t="shared" si="9"/>
        <v>4.0684053254022812E-4</v>
      </c>
    </row>
    <row r="473" spans="2:4" x14ac:dyDescent="0.25">
      <c r="B473" t="s">
        <v>6805</v>
      </c>
      <c r="C473" s="71">
        <v>29</v>
      </c>
      <c r="D473" s="75">
        <f t="shared" si="9"/>
        <v>4.0684053254022812E-4</v>
      </c>
    </row>
    <row r="474" spans="2:4" x14ac:dyDescent="0.25">
      <c r="B474" t="s">
        <v>6806</v>
      </c>
      <c r="C474" s="71">
        <v>29</v>
      </c>
      <c r="D474" s="75">
        <f t="shared" si="9"/>
        <v>4.0684053254022812E-4</v>
      </c>
    </row>
    <row r="475" spans="2:4" x14ac:dyDescent="0.25">
      <c r="B475" t="s">
        <v>6807</v>
      </c>
      <c r="C475" s="71">
        <v>29</v>
      </c>
      <c r="D475" s="75">
        <f t="shared" si="9"/>
        <v>4.0684053254022812E-4</v>
      </c>
    </row>
    <row r="476" spans="2:4" x14ac:dyDescent="0.25">
      <c r="B476" t="s">
        <v>6808</v>
      </c>
      <c r="C476" s="71">
        <v>29</v>
      </c>
      <c r="D476" s="75">
        <f t="shared" si="9"/>
        <v>4.0684053254022812E-4</v>
      </c>
    </row>
    <row r="477" spans="2:4" x14ac:dyDescent="0.25">
      <c r="B477" t="s">
        <v>6809</v>
      </c>
      <c r="C477" s="71">
        <v>29</v>
      </c>
      <c r="D477" s="75">
        <f t="shared" si="9"/>
        <v>4.0684053254022812E-4</v>
      </c>
    </row>
    <row r="478" spans="2:4" x14ac:dyDescent="0.25">
      <c r="B478" t="s">
        <v>6810</v>
      </c>
      <c r="C478" s="71">
        <v>28</v>
      </c>
      <c r="D478" s="75">
        <f t="shared" si="9"/>
        <v>3.9281154865953059E-4</v>
      </c>
    </row>
    <row r="479" spans="2:4" x14ac:dyDescent="0.25">
      <c r="B479" t="s">
        <v>6811</v>
      </c>
      <c r="C479" s="71">
        <v>28</v>
      </c>
      <c r="D479" s="75">
        <f t="shared" si="9"/>
        <v>3.9281154865953059E-4</v>
      </c>
    </row>
    <row r="480" spans="2:4" x14ac:dyDescent="0.25">
      <c r="B480" t="s">
        <v>6812</v>
      </c>
      <c r="C480" s="71">
        <v>28</v>
      </c>
      <c r="D480" s="75">
        <f t="shared" si="9"/>
        <v>3.9281154865953059E-4</v>
      </c>
    </row>
    <row r="481" spans="2:4" x14ac:dyDescent="0.25">
      <c r="B481" t="s">
        <v>6813</v>
      </c>
      <c r="C481" s="71">
        <v>28</v>
      </c>
      <c r="D481" s="75">
        <f t="shared" si="9"/>
        <v>3.9281154865953059E-4</v>
      </c>
    </row>
    <row r="482" spans="2:4" x14ac:dyDescent="0.25">
      <c r="B482" t="s">
        <v>6814</v>
      </c>
      <c r="C482" s="71">
        <v>28</v>
      </c>
      <c r="D482" s="75">
        <f t="shared" si="9"/>
        <v>3.9281154865953059E-4</v>
      </c>
    </row>
    <row r="483" spans="2:4" x14ac:dyDescent="0.25">
      <c r="B483" t="s">
        <v>6815</v>
      </c>
      <c r="C483" s="71">
        <v>28</v>
      </c>
      <c r="D483" s="75">
        <f t="shared" si="9"/>
        <v>3.9281154865953059E-4</v>
      </c>
    </row>
    <row r="484" spans="2:4" x14ac:dyDescent="0.25">
      <c r="B484" t="s">
        <v>6816</v>
      </c>
      <c r="C484" s="71">
        <v>28</v>
      </c>
      <c r="D484" s="75">
        <f t="shared" si="9"/>
        <v>3.9281154865953059E-4</v>
      </c>
    </row>
    <row r="485" spans="2:4" x14ac:dyDescent="0.25">
      <c r="B485" t="s">
        <v>6817</v>
      </c>
      <c r="C485" s="71">
        <v>28</v>
      </c>
      <c r="D485" s="75">
        <f t="shared" si="9"/>
        <v>3.9281154865953059E-4</v>
      </c>
    </row>
    <row r="486" spans="2:4" x14ac:dyDescent="0.25">
      <c r="B486" t="s">
        <v>6818</v>
      </c>
      <c r="C486" s="71">
        <v>28</v>
      </c>
      <c r="D486" s="75">
        <f t="shared" si="9"/>
        <v>3.9281154865953059E-4</v>
      </c>
    </row>
    <row r="487" spans="2:4" x14ac:dyDescent="0.25">
      <c r="B487" t="s">
        <v>6819</v>
      </c>
      <c r="C487" s="71">
        <v>28</v>
      </c>
      <c r="D487" s="75">
        <f t="shared" si="9"/>
        <v>3.9281154865953059E-4</v>
      </c>
    </row>
    <row r="488" spans="2:4" x14ac:dyDescent="0.25">
      <c r="B488" t="s">
        <v>6820</v>
      </c>
      <c r="C488" s="71">
        <v>28</v>
      </c>
      <c r="D488" s="75">
        <f t="shared" si="9"/>
        <v>3.9281154865953059E-4</v>
      </c>
    </row>
    <row r="489" spans="2:4" x14ac:dyDescent="0.25">
      <c r="B489" t="s">
        <v>6821</v>
      </c>
      <c r="C489" s="71">
        <v>28</v>
      </c>
      <c r="D489" s="75">
        <f t="shared" si="9"/>
        <v>3.9281154865953059E-4</v>
      </c>
    </row>
    <row r="490" spans="2:4" x14ac:dyDescent="0.25">
      <c r="B490" t="s">
        <v>6822</v>
      </c>
      <c r="C490" s="71">
        <v>28</v>
      </c>
      <c r="D490" s="75">
        <f t="shared" si="9"/>
        <v>3.9281154865953059E-4</v>
      </c>
    </row>
    <row r="491" spans="2:4" x14ac:dyDescent="0.25">
      <c r="B491" t="s">
        <v>6823</v>
      </c>
      <c r="C491" s="71">
        <v>28</v>
      </c>
      <c r="D491" s="75">
        <f t="shared" si="9"/>
        <v>3.9281154865953059E-4</v>
      </c>
    </row>
    <row r="492" spans="2:4" x14ac:dyDescent="0.25">
      <c r="B492" t="s">
        <v>6824</v>
      </c>
      <c r="C492" s="71">
        <v>28</v>
      </c>
      <c r="D492" s="75">
        <f t="shared" si="9"/>
        <v>3.9281154865953059E-4</v>
      </c>
    </row>
    <row r="493" spans="2:4" x14ac:dyDescent="0.25">
      <c r="B493" t="s">
        <v>6825</v>
      </c>
      <c r="C493" s="71">
        <v>28</v>
      </c>
      <c r="D493" s="75">
        <f t="shared" si="9"/>
        <v>3.9281154865953059E-4</v>
      </c>
    </row>
    <row r="494" spans="2:4" x14ac:dyDescent="0.25">
      <c r="B494" t="s">
        <v>6826</v>
      </c>
      <c r="C494" s="71">
        <v>27</v>
      </c>
      <c r="D494" s="75">
        <f t="shared" si="9"/>
        <v>3.7878256477883306E-4</v>
      </c>
    </row>
    <row r="495" spans="2:4" x14ac:dyDescent="0.25">
      <c r="B495" t="s">
        <v>6827</v>
      </c>
      <c r="C495" s="71">
        <v>27</v>
      </c>
      <c r="D495" s="75">
        <f t="shared" si="9"/>
        <v>3.7878256477883306E-4</v>
      </c>
    </row>
    <row r="496" spans="2:4" x14ac:dyDescent="0.25">
      <c r="B496" t="s">
        <v>6828</v>
      </c>
      <c r="C496" s="71">
        <v>27</v>
      </c>
      <c r="D496" s="75">
        <f t="shared" si="9"/>
        <v>3.7878256477883306E-4</v>
      </c>
    </row>
    <row r="497" spans="2:4" x14ac:dyDescent="0.25">
      <c r="B497" t="s">
        <v>6829</v>
      </c>
      <c r="C497" s="71">
        <v>27</v>
      </c>
      <c r="D497" s="75">
        <f t="shared" si="9"/>
        <v>3.7878256477883306E-4</v>
      </c>
    </row>
    <row r="498" spans="2:4" x14ac:dyDescent="0.25">
      <c r="B498" t="s">
        <v>6830</v>
      </c>
      <c r="C498" s="71">
        <v>27</v>
      </c>
      <c r="D498" s="75">
        <f t="shared" si="9"/>
        <v>3.7878256477883306E-4</v>
      </c>
    </row>
    <row r="499" spans="2:4" x14ac:dyDescent="0.25">
      <c r="B499" t="s">
        <v>6831</v>
      </c>
      <c r="C499" s="71">
        <v>27</v>
      </c>
      <c r="D499" s="75">
        <f t="shared" si="9"/>
        <v>3.7878256477883306E-4</v>
      </c>
    </row>
    <row r="500" spans="2:4" x14ac:dyDescent="0.25">
      <c r="B500" t="s">
        <v>6832</v>
      </c>
      <c r="C500" s="71">
        <v>27</v>
      </c>
      <c r="D500" s="75">
        <f t="shared" si="9"/>
        <v>3.7878256477883306E-4</v>
      </c>
    </row>
    <row r="501" spans="2:4" x14ac:dyDescent="0.25">
      <c r="B501" t="s">
        <v>6833</v>
      </c>
      <c r="C501" s="71">
        <v>27</v>
      </c>
      <c r="D501" s="75">
        <f t="shared" si="9"/>
        <v>3.7878256477883306E-4</v>
      </c>
    </row>
    <row r="502" spans="2:4" x14ac:dyDescent="0.25">
      <c r="B502" t="s">
        <v>6834</v>
      </c>
      <c r="C502" s="71">
        <v>27</v>
      </c>
      <c r="D502" s="75">
        <f t="shared" si="9"/>
        <v>3.7878256477883306E-4</v>
      </c>
    </row>
    <row r="503" spans="2:4" x14ac:dyDescent="0.25">
      <c r="B503" t="s">
        <v>6835</v>
      </c>
      <c r="C503" s="71">
        <v>27</v>
      </c>
      <c r="D503" s="75">
        <f t="shared" si="9"/>
        <v>3.7878256477883306E-4</v>
      </c>
    </row>
    <row r="504" spans="2:4" x14ac:dyDescent="0.25">
      <c r="B504" t="s">
        <v>6836</v>
      </c>
      <c r="C504" s="71">
        <v>27</v>
      </c>
      <c r="D504" s="75">
        <f t="shared" si="9"/>
        <v>3.7878256477883306E-4</v>
      </c>
    </row>
    <row r="505" spans="2:4" x14ac:dyDescent="0.25">
      <c r="B505" t="s">
        <v>6837</v>
      </c>
      <c r="C505" s="71">
        <v>27</v>
      </c>
      <c r="D505" s="75">
        <f t="shared" si="9"/>
        <v>3.7878256477883306E-4</v>
      </c>
    </row>
    <row r="506" spans="2:4" x14ac:dyDescent="0.25">
      <c r="B506" t="s">
        <v>6838</v>
      </c>
      <c r="C506" s="71">
        <v>27</v>
      </c>
      <c r="D506" s="75">
        <f t="shared" si="9"/>
        <v>3.7878256477883306E-4</v>
      </c>
    </row>
    <row r="507" spans="2:4" x14ac:dyDescent="0.25">
      <c r="B507" t="s">
        <v>6839</v>
      </c>
      <c r="C507" s="71">
        <v>27</v>
      </c>
      <c r="D507" s="75">
        <f t="shared" si="9"/>
        <v>3.7878256477883306E-4</v>
      </c>
    </row>
    <row r="508" spans="2:4" x14ac:dyDescent="0.25">
      <c r="B508" t="s">
        <v>6840</v>
      </c>
      <c r="C508" s="71">
        <v>27</v>
      </c>
      <c r="D508" s="75">
        <f t="shared" si="9"/>
        <v>3.7878256477883306E-4</v>
      </c>
    </row>
    <row r="509" spans="2:4" x14ac:dyDescent="0.25">
      <c r="B509" t="s">
        <v>6841</v>
      </c>
      <c r="C509" s="71">
        <v>26</v>
      </c>
      <c r="D509" s="75">
        <f t="shared" si="9"/>
        <v>3.6475358089813552E-4</v>
      </c>
    </row>
    <row r="510" spans="2:4" x14ac:dyDescent="0.25">
      <c r="B510" t="s">
        <v>6842</v>
      </c>
      <c r="C510" s="71">
        <v>26</v>
      </c>
      <c r="D510" s="75">
        <f t="shared" si="9"/>
        <v>3.6475358089813552E-4</v>
      </c>
    </row>
    <row r="511" spans="2:4" x14ac:dyDescent="0.25">
      <c r="B511" t="s">
        <v>6843</v>
      </c>
      <c r="C511" s="71">
        <v>26</v>
      </c>
      <c r="D511" s="75">
        <f t="shared" si="9"/>
        <v>3.6475358089813552E-4</v>
      </c>
    </row>
    <row r="512" spans="2:4" x14ac:dyDescent="0.25">
      <c r="B512" t="s">
        <v>6844</v>
      </c>
      <c r="C512" s="71">
        <v>26</v>
      </c>
      <c r="D512" s="75">
        <f t="shared" si="9"/>
        <v>3.6475358089813552E-4</v>
      </c>
    </row>
    <row r="513" spans="2:4" x14ac:dyDescent="0.25">
      <c r="B513" t="s">
        <v>6845</v>
      </c>
      <c r="C513" s="71">
        <v>26</v>
      </c>
      <c r="D513" s="75">
        <f t="shared" si="9"/>
        <v>3.6475358089813552E-4</v>
      </c>
    </row>
    <row r="514" spans="2:4" x14ac:dyDescent="0.25">
      <c r="B514" t="s">
        <v>6846</v>
      </c>
      <c r="C514" s="71">
        <v>26</v>
      </c>
      <c r="D514" s="75">
        <f t="shared" si="9"/>
        <v>3.6475358089813552E-4</v>
      </c>
    </row>
    <row r="515" spans="2:4" x14ac:dyDescent="0.25">
      <c r="B515" t="s">
        <v>6847</v>
      </c>
      <c r="C515" s="71">
        <v>26</v>
      </c>
      <c r="D515" s="75">
        <f t="shared" si="9"/>
        <v>3.6475358089813552E-4</v>
      </c>
    </row>
    <row r="516" spans="2:4" x14ac:dyDescent="0.25">
      <c r="B516" t="s">
        <v>6848</v>
      </c>
      <c r="C516" s="71">
        <v>26</v>
      </c>
      <c r="D516" s="75">
        <f t="shared" si="9"/>
        <v>3.6475358089813552E-4</v>
      </c>
    </row>
    <row r="517" spans="2:4" x14ac:dyDescent="0.25">
      <c r="B517" t="s">
        <v>6849</v>
      </c>
      <c r="C517" s="71">
        <v>26</v>
      </c>
      <c r="D517" s="75">
        <f t="shared" si="9"/>
        <v>3.6475358089813552E-4</v>
      </c>
    </row>
    <row r="518" spans="2:4" x14ac:dyDescent="0.25">
      <c r="B518" t="s">
        <v>6850</v>
      </c>
      <c r="C518" s="71">
        <v>26</v>
      </c>
      <c r="D518" s="75">
        <f t="shared" ref="D518:D581" si="10">C518/$C$4822</f>
        <v>3.6475358089813552E-4</v>
      </c>
    </row>
    <row r="519" spans="2:4" x14ac:dyDescent="0.25">
      <c r="B519" t="s">
        <v>6851</v>
      </c>
      <c r="C519" s="71">
        <v>26</v>
      </c>
      <c r="D519" s="75">
        <f t="shared" si="10"/>
        <v>3.6475358089813552E-4</v>
      </c>
    </row>
    <row r="520" spans="2:4" x14ac:dyDescent="0.25">
      <c r="B520" t="s">
        <v>6852</v>
      </c>
      <c r="C520" s="71">
        <v>26</v>
      </c>
      <c r="D520" s="75">
        <f t="shared" si="10"/>
        <v>3.6475358089813552E-4</v>
      </c>
    </row>
    <row r="521" spans="2:4" x14ac:dyDescent="0.25">
      <c r="B521" t="s">
        <v>6853</v>
      </c>
      <c r="C521" s="71">
        <v>26</v>
      </c>
      <c r="D521" s="75">
        <f t="shared" si="10"/>
        <v>3.6475358089813552E-4</v>
      </c>
    </row>
    <row r="522" spans="2:4" x14ac:dyDescent="0.25">
      <c r="B522" t="s">
        <v>6854</v>
      </c>
      <c r="C522" s="71">
        <v>26</v>
      </c>
      <c r="D522" s="75">
        <f t="shared" si="10"/>
        <v>3.6475358089813552E-4</v>
      </c>
    </row>
    <row r="523" spans="2:4" x14ac:dyDescent="0.25">
      <c r="B523" t="s">
        <v>6855</v>
      </c>
      <c r="C523" s="71">
        <v>26</v>
      </c>
      <c r="D523" s="75">
        <f t="shared" si="10"/>
        <v>3.6475358089813552E-4</v>
      </c>
    </row>
    <row r="524" spans="2:4" x14ac:dyDescent="0.25">
      <c r="B524" t="s">
        <v>6856</v>
      </c>
      <c r="C524" s="71">
        <v>26</v>
      </c>
      <c r="D524" s="75">
        <f t="shared" si="10"/>
        <v>3.6475358089813552E-4</v>
      </c>
    </row>
    <row r="525" spans="2:4" x14ac:dyDescent="0.25">
      <c r="B525" t="s">
        <v>6857</v>
      </c>
      <c r="C525" s="71">
        <v>26</v>
      </c>
      <c r="D525" s="75">
        <f t="shared" si="10"/>
        <v>3.6475358089813552E-4</v>
      </c>
    </row>
    <row r="526" spans="2:4" x14ac:dyDescent="0.25">
      <c r="B526" t="s">
        <v>6858</v>
      </c>
      <c r="C526" s="71">
        <v>26</v>
      </c>
      <c r="D526" s="75">
        <f t="shared" si="10"/>
        <v>3.6475358089813552E-4</v>
      </c>
    </row>
    <row r="527" spans="2:4" x14ac:dyDescent="0.25">
      <c r="B527" t="s">
        <v>6859</v>
      </c>
      <c r="C527" s="71">
        <v>26</v>
      </c>
      <c r="D527" s="75">
        <f t="shared" si="10"/>
        <v>3.6475358089813552E-4</v>
      </c>
    </row>
    <row r="528" spans="2:4" x14ac:dyDescent="0.25">
      <c r="B528" t="s">
        <v>6860</v>
      </c>
      <c r="C528" s="71">
        <v>25</v>
      </c>
      <c r="D528" s="75">
        <f t="shared" si="10"/>
        <v>3.5072459701743805E-4</v>
      </c>
    </row>
    <row r="529" spans="2:4" x14ac:dyDescent="0.25">
      <c r="B529" t="s">
        <v>6861</v>
      </c>
      <c r="C529" s="71">
        <v>25</v>
      </c>
      <c r="D529" s="75">
        <f t="shared" si="10"/>
        <v>3.5072459701743805E-4</v>
      </c>
    </row>
    <row r="530" spans="2:4" x14ac:dyDescent="0.25">
      <c r="B530" t="s">
        <v>6862</v>
      </c>
      <c r="C530" s="71">
        <v>25</v>
      </c>
      <c r="D530" s="75">
        <f t="shared" si="10"/>
        <v>3.5072459701743805E-4</v>
      </c>
    </row>
    <row r="531" spans="2:4" x14ac:dyDescent="0.25">
      <c r="B531" t="s">
        <v>6863</v>
      </c>
      <c r="C531" s="71">
        <v>25</v>
      </c>
      <c r="D531" s="75">
        <f t="shared" si="10"/>
        <v>3.5072459701743805E-4</v>
      </c>
    </row>
    <row r="532" spans="2:4" x14ac:dyDescent="0.25">
      <c r="B532" t="s">
        <v>6864</v>
      </c>
      <c r="C532" s="71">
        <v>25</v>
      </c>
      <c r="D532" s="75">
        <f t="shared" si="10"/>
        <v>3.5072459701743805E-4</v>
      </c>
    </row>
    <row r="533" spans="2:4" x14ac:dyDescent="0.25">
      <c r="B533" t="s">
        <v>6865</v>
      </c>
      <c r="C533" s="71">
        <v>25</v>
      </c>
      <c r="D533" s="75">
        <f t="shared" si="10"/>
        <v>3.5072459701743805E-4</v>
      </c>
    </row>
    <row r="534" spans="2:4" x14ac:dyDescent="0.25">
      <c r="B534" t="s">
        <v>6866</v>
      </c>
      <c r="C534" s="71">
        <v>25</v>
      </c>
      <c r="D534" s="75">
        <f t="shared" si="10"/>
        <v>3.5072459701743805E-4</v>
      </c>
    </row>
    <row r="535" spans="2:4" x14ac:dyDescent="0.25">
      <c r="B535" t="s">
        <v>6867</v>
      </c>
      <c r="C535" s="71">
        <v>25</v>
      </c>
      <c r="D535" s="75">
        <f t="shared" si="10"/>
        <v>3.5072459701743805E-4</v>
      </c>
    </row>
    <row r="536" spans="2:4" x14ac:dyDescent="0.25">
      <c r="B536" t="s">
        <v>6868</v>
      </c>
      <c r="C536" s="71">
        <v>24</v>
      </c>
      <c r="D536" s="75">
        <f t="shared" si="10"/>
        <v>3.3669561313674052E-4</v>
      </c>
    </row>
    <row r="537" spans="2:4" x14ac:dyDescent="0.25">
      <c r="B537" t="s">
        <v>6869</v>
      </c>
      <c r="C537" s="71">
        <v>24</v>
      </c>
      <c r="D537" s="75">
        <f t="shared" si="10"/>
        <v>3.3669561313674052E-4</v>
      </c>
    </row>
    <row r="538" spans="2:4" x14ac:dyDescent="0.25">
      <c r="B538" t="s">
        <v>6870</v>
      </c>
      <c r="C538" s="71">
        <v>24</v>
      </c>
      <c r="D538" s="75">
        <f t="shared" si="10"/>
        <v>3.3669561313674052E-4</v>
      </c>
    </row>
    <row r="539" spans="2:4" x14ac:dyDescent="0.25">
      <c r="B539" t="s">
        <v>6871</v>
      </c>
      <c r="C539" s="71">
        <v>24</v>
      </c>
      <c r="D539" s="75">
        <f t="shared" si="10"/>
        <v>3.3669561313674052E-4</v>
      </c>
    </row>
    <row r="540" spans="2:4" x14ac:dyDescent="0.25">
      <c r="B540" t="s">
        <v>6872</v>
      </c>
      <c r="C540" s="71">
        <v>24</v>
      </c>
      <c r="D540" s="75">
        <f t="shared" si="10"/>
        <v>3.3669561313674052E-4</v>
      </c>
    </row>
    <row r="541" spans="2:4" x14ac:dyDescent="0.25">
      <c r="B541" t="s">
        <v>6873</v>
      </c>
      <c r="C541" s="71">
        <v>24</v>
      </c>
      <c r="D541" s="75">
        <f t="shared" si="10"/>
        <v>3.3669561313674052E-4</v>
      </c>
    </row>
    <row r="542" spans="2:4" x14ac:dyDescent="0.25">
      <c r="B542" t="s">
        <v>6874</v>
      </c>
      <c r="C542" s="71">
        <v>24</v>
      </c>
      <c r="D542" s="75">
        <f t="shared" si="10"/>
        <v>3.3669561313674052E-4</v>
      </c>
    </row>
    <row r="543" spans="2:4" x14ac:dyDescent="0.25">
      <c r="B543" t="s">
        <v>6875</v>
      </c>
      <c r="C543" s="71">
        <v>24</v>
      </c>
      <c r="D543" s="75">
        <f t="shared" si="10"/>
        <v>3.3669561313674052E-4</v>
      </c>
    </row>
    <row r="544" spans="2:4" x14ac:dyDescent="0.25">
      <c r="B544" t="s">
        <v>6876</v>
      </c>
      <c r="C544" s="71">
        <v>24</v>
      </c>
      <c r="D544" s="75">
        <f t="shared" si="10"/>
        <v>3.3669561313674052E-4</v>
      </c>
    </row>
    <row r="545" spans="2:4" x14ac:dyDescent="0.25">
      <c r="B545" t="s">
        <v>6877</v>
      </c>
      <c r="C545" s="71">
        <v>24</v>
      </c>
      <c r="D545" s="75">
        <f t="shared" si="10"/>
        <v>3.3669561313674052E-4</v>
      </c>
    </row>
    <row r="546" spans="2:4" x14ac:dyDescent="0.25">
      <c r="B546" t="s">
        <v>6878</v>
      </c>
      <c r="C546" s="71">
        <v>24</v>
      </c>
      <c r="D546" s="75">
        <f t="shared" si="10"/>
        <v>3.3669561313674052E-4</v>
      </c>
    </row>
    <row r="547" spans="2:4" x14ac:dyDescent="0.25">
      <c r="B547" t="s">
        <v>6879</v>
      </c>
      <c r="C547" s="71">
        <v>23</v>
      </c>
      <c r="D547" s="75">
        <f t="shared" si="10"/>
        <v>3.2266662925604299E-4</v>
      </c>
    </row>
    <row r="548" spans="2:4" x14ac:dyDescent="0.25">
      <c r="B548" t="s">
        <v>6880</v>
      </c>
      <c r="C548" s="71">
        <v>23</v>
      </c>
      <c r="D548" s="75">
        <f t="shared" si="10"/>
        <v>3.2266662925604299E-4</v>
      </c>
    </row>
    <row r="549" spans="2:4" x14ac:dyDescent="0.25">
      <c r="B549" t="s">
        <v>6881</v>
      </c>
      <c r="C549" s="71">
        <v>23</v>
      </c>
      <c r="D549" s="75">
        <f t="shared" si="10"/>
        <v>3.2266662925604299E-4</v>
      </c>
    </row>
    <row r="550" spans="2:4" x14ac:dyDescent="0.25">
      <c r="B550" t="s">
        <v>6882</v>
      </c>
      <c r="C550" s="71">
        <v>23</v>
      </c>
      <c r="D550" s="75">
        <f t="shared" si="10"/>
        <v>3.2266662925604299E-4</v>
      </c>
    </row>
    <row r="551" spans="2:4" x14ac:dyDescent="0.25">
      <c r="B551" t="s">
        <v>6883</v>
      </c>
      <c r="C551" s="71">
        <v>23</v>
      </c>
      <c r="D551" s="75">
        <f t="shared" si="10"/>
        <v>3.2266662925604299E-4</v>
      </c>
    </row>
    <row r="552" spans="2:4" x14ac:dyDescent="0.25">
      <c r="B552" t="s">
        <v>6884</v>
      </c>
      <c r="C552" s="71">
        <v>23</v>
      </c>
      <c r="D552" s="75">
        <f t="shared" si="10"/>
        <v>3.2266662925604299E-4</v>
      </c>
    </row>
    <row r="553" spans="2:4" x14ac:dyDescent="0.25">
      <c r="B553" t="s">
        <v>6885</v>
      </c>
      <c r="C553" s="71">
        <v>23</v>
      </c>
      <c r="D553" s="75">
        <f t="shared" si="10"/>
        <v>3.2266662925604299E-4</v>
      </c>
    </row>
    <row r="554" spans="2:4" x14ac:dyDescent="0.25">
      <c r="B554" t="s">
        <v>6886</v>
      </c>
      <c r="C554" s="71">
        <v>23</v>
      </c>
      <c r="D554" s="75">
        <f t="shared" si="10"/>
        <v>3.2266662925604299E-4</v>
      </c>
    </row>
    <row r="555" spans="2:4" x14ac:dyDescent="0.25">
      <c r="B555" t="s">
        <v>6887</v>
      </c>
      <c r="C555" s="71">
        <v>23</v>
      </c>
      <c r="D555" s="75">
        <f t="shared" si="10"/>
        <v>3.2266662925604299E-4</v>
      </c>
    </row>
    <row r="556" spans="2:4" x14ac:dyDescent="0.25">
      <c r="B556" t="s">
        <v>6888</v>
      </c>
      <c r="C556" s="71">
        <v>23</v>
      </c>
      <c r="D556" s="75">
        <f t="shared" si="10"/>
        <v>3.2266662925604299E-4</v>
      </c>
    </row>
    <row r="557" spans="2:4" x14ac:dyDescent="0.25">
      <c r="B557" t="s">
        <v>6889</v>
      </c>
      <c r="C557" s="71">
        <v>23</v>
      </c>
      <c r="D557" s="75">
        <f t="shared" si="10"/>
        <v>3.2266662925604299E-4</v>
      </c>
    </row>
    <row r="558" spans="2:4" x14ac:dyDescent="0.25">
      <c r="B558" t="s">
        <v>6890</v>
      </c>
      <c r="C558" s="71">
        <v>23</v>
      </c>
      <c r="D558" s="75">
        <f t="shared" si="10"/>
        <v>3.2266662925604299E-4</v>
      </c>
    </row>
    <row r="559" spans="2:4" x14ac:dyDescent="0.25">
      <c r="B559" t="s">
        <v>6891</v>
      </c>
      <c r="C559" s="71">
        <v>23</v>
      </c>
      <c r="D559" s="75">
        <f t="shared" si="10"/>
        <v>3.2266662925604299E-4</v>
      </c>
    </row>
    <row r="560" spans="2:4" x14ac:dyDescent="0.25">
      <c r="B560" t="s">
        <v>6892</v>
      </c>
      <c r="C560" s="71">
        <v>23</v>
      </c>
      <c r="D560" s="75">
        <f t="shared" si="10"/>
        <v>3.2266662925604299E-4</v>
      </c>
    </row>
    <row r="561" spans="2:4" x14ac:dyDescent="0.25">
      <c r="B561" t="s">
        <v>6893</v>
      </c>
      <c r="C561" s="71">
        <v>23</v>
      </c>
      <c r="D561" s="75">
        <f t="shared" si="10"/>
        <v>3.2266662925604299E-4</v>
      </c>
    </row>
    <row r="562" spans="2:4" x14ac:dyDescent="0.25">
      <c r="B562" t="s">
        <v>6894</v>
      </c>
      <c r="C562" s="71">
        <v>23</v>
      </c>
      <c r="D562" s="75">
        <f t="shared" si="10"/>
        <v>3.2266662925604299E-4</v>
      </c>
    </row>
    <row r="563" spans="2:4" x14ac:dyDescent="0.25">
      <c r="B563" t="s">
        <v>6895</v>
      </c>
      <c r="C563" s="71">
        <v>23</v>
      </c>
      <c r="D563" s="75">
        <f t="shared" si="10"/>
        <v>3.2266662925604299E-4</v>
      </c>
    </row>
    <row r="564" spans="2:4" x14ac:dyDescent="0.25">
      <c r="B564" t="s">
        <v>6896</v>
      </c>
      <c r="C564" s="71">
        <v>22</v>
      </c>
      <c r="D564" s="75">
        <f t="shared" si="10"/>
        <v>3.0863764537534546E-4</v>
      </c>
    </row>
    <row r="565" spans="2:4" x14ac:dyDescent="0.25">
      <c r="B565" t="s">
        <v>6897</v>
      </c>
      <c r="C565" s="71">
        <v>22</v>
      </c>
      <c r="D565" s="75">
        <f t="shared" si="10"/>
        <v>3.0863764537534546E-4</v>
      </c>
    </row>
    <row r="566" spans="2:4" x14ac:dyDescent="0.25">
      <c r="B566" t="s">
        <v>6898</v>
      </c>
      <c r="C566" s="71">
        <v>22</v>
      </c>
      <c r="D566" s="75">
        <f t="shared" si="10"/>
        <v>3.0863764537534546E-4</v>
      </c>
    </row>
    <row r="567" spans="2:4" x14ac:dyDescent="0.25">
      <c r="B567" t="s">
        <v>6899</v>
      </c>
      <c r="C567" s="71">
        <v>22</v>
      </c>
      <c r="D567" s="75">
        <f t="shared" si="10"/>
        <v>3.0863764537534546E-4</v>
      </c>
    </row>
    <row r="568" spans="2:4" x14ac:dyDescent="0.25">
      <c r="B568" t="s">
        <v>6900</v>
      </c>
      <c r="C568" s="71">
        <v>22</v>
      </c>
      <c r="D568" s="75">
        <f t="shared" si="10"/>
        <v>3.0863764537534546E-4</v>
      </c>
    </row>
    <row r="569" spans="2:4" x14ac:dyDescent="0.25">
      <c r="B569" t="s">
        <v>6901</v>
      </c>
      <c r="C569" s="71">
        <v>22</v>
      </c>
      <c r="D569" s="75">
        <f t="shared" si="10"/>
        <v>3.0863764537534546E-4</v>
      </c>
    </row>
    <row r="570" spans="2:4" x14ac:dyDescent="0.25">
      <c r="B570" t="s">
        <v>6902</v>
      </c>
      <c r="C570" s="71">
        <v>22</v>
      </c>
      <c r="D570" s="75">
        <f t="shared" si="10"/>
        <v>3.0863764537534546E-4</v>
      </c>
    </row>
    <row r="571" spans="2:4" x14ac:dyDescent="0.25">
      <c r="B571" t="s">
        <v>6903</v>
      </c>
      <c r="C571" s="71">
        <v>22</v>
      </c>
      <c r="D571" s="75">
        <f t="shared" si="10"/>
        <v>3.0863764537534546E-4</v>
      </c>
    </row>
    <row r="572" spans="2:4" x14ac:dyDescent="0.25">
      <c r="B572" t="s">
        <v>6904</v>
      </c>
      <c r="C572" s="71">
        <v>22</v>
      </c>
      <c r="D572" s="75">
        <f t="shared" si="10"/>
        <v>3.0863764537534546E-4</v>
      </c>
    </row>
    <row r="573" spans="2:4" x14ac:dyDescent="0.25">
      <c r="B573" t="s">
        <v>6905</v>
      </c>
      <c r="C573" s="71">
        <v>22</v>
      </c>
      <c r="D573" s="75">
        <f t="shared" si="10"/>
        <v>3.0863764537534546E-4</v>
      </c>
    </row>
    <row r="574" spans="2:4" x14ac:dyDescent="0.25">
      <c r="B574" t="s">
        <v>6906</v>
      </c>
      <c r="C574" s="71">
        <v>22</v>
      </c>
      <c r="D574" s="75">
        <f t="shared" si="10"/>
        <v>3.0863764537534546E-4</v>
      </c>
    </row>
    <row r="575" spans="2:4" x14ac:dyDescent="0.25">
      <c r="B575" t="s">
        <v>6907</v>
      </c>
      <c r="C575" s="71">
        <v>22</v>
      </c>
      <c r="D575" s="75">
        <f t="shared" si="10"/>
        <v>3.0863764537534546E-4</v>
      </c>
    </row>
    <row r="576" spans="2:4" x14ac:dyDescent="0.25">
      <c r="B576" t="s">
        <v>6908</v>
      </c>
      <c r="C576" s="71">
        <v>22</v>
      </c>
      <c r="D576" s="75">
        <f t="shared" si="10"/>
        <v>3.0863764537534546E-4</v>
      </c>
    </row>
    <row r="577" spans="2:4" x14ac:dyDescent="0.25">
      <c r="B577" t="s">
        <v>6909</v>
      </c>
      <c r="C577" s="71">
        <v>22</v>
      </c>
      <c r="D577" s="75">
        <f t="shared" si="10"/>
        <v>3.0863764537534546E-4</v>
      </c>
    </row>
    <row r="578" spans="2:4" x14ac:dyDescent="0.25">
      <c r="B578" t="s">
        <v>6910</v>
      </c>
      <c r="C578" s="71">
        <v>22</v>
      </c>
      <c r="D578" s="75">
        <f t="shared" si="10"/>
        <v>3.0863764537534546E-4</v>
      </c>
    </row>
    <row r="579" spans="2:4" x14ac:dyDescent="0.25">
      <c r="B579" t="s">
        <v>6911</v>
      </c>
      <c r="C579" s="71">
        <v>22</v>
      </c>
      <c r="D579" s="75">
        <f t="shared" si="10"/>
        <v>3.0863764537534546E-4</v>
      </c>
    </row>
    <row r="580" spans="2:4" x14ac:dyDescent="0.25">
      <c r="B580" t="s">
        <v>6912</v>
      </c>
      <c r="C580" s="71">
        <v>22</v>
      </c>
      <c r="D580" s="75">
        <f t="shared" si="10"/>
        <v>3.0863764537534546E-4</v>
      </c>
    </row>
    <row r="581" spans="2:4" x14ac:dyDescent="0.25">
      <c r="B581" t="s">
        <v>6913</v>
      </c>
      <c r="C581" s="71">
        <v>22</v>
      </c>
      <c r="D581" s="75">
        <f t="shared" si="10"/>
        <v>3.0863764537534546E-4</v>
      </c>
    </row>
    <row r="582" spans="2:4" x14ac:dyDescent="0.25">
      <c r="B582" t="s">
        <v>6914</v>
      </c>
      <c r="C582" s="71">
        <v>22</v>
      </c>
      <c r="D582" s="75">
        <f t="shared" ref="D582:D645" si="11">C582/$C$4822</f>
        <v>3.0863764537534546E-4</v>
      </c>
    </row>
    <row r="583" spans="2:4" x14ac:dyDescent="0.25">
      <c r="B583" t="s">
        <v>6915</v>
      </c>
      <c r="C583" s="71">
        <v>22</v>
      </c>
      <c r="D583" s="75">
        <f t="shared" si="11"/>
        <v>3.0863764537534546E-4</v>
      </c>
    </row>
    <row r="584" spans="2:4" x14ac:dyDescent="0.25">
      <c r="B584" t="s">
        <v>6916</v>
      </c>
      <c r="C584" s="71">
        <v>22</v>
      </c>
      <c r="D584" s="75">
        <f t="shared" si="11"/>
        <v>3.0863764537534546E-4</v>
      </c>
    </row>
    <row r="585" spans="2:4" x14ac:dyDescent="0.25">
      <c r="B585" t="s">
        <v>6917</v>
      </c>
      <c r="C585" s="71">
        <v>22</v>
      </c>
      <c r="D585" s="75">
        <f t="shared" si="11"/>
        <v>3.0863764537534546E-4</v>
      </c>
    </row>
    <row r="586" spans="2:4" x14ac:dyDescent="0.25">
      <c r="B586" t="s">
        <v>6918</v>
      </c>
      <c r="C586" s="71">
        <v>22</v>
      </c>
      <c r="D586" s="75">
        <f t="shared" si="11"/>
        <v>3.0863764537534546E-4</v>
      </c>
    </row>
    <row r="587" spans="2:4" x14ac:dyDescent="0.25">
      <c r="B587" t="s">
        <v>6919</v>
      </c>
      <c r="C587" s="71">
        <v>22</v>
      </c>
      <c r="D587" s="75">
        <f t="shared" si="11"/>
        <v>3.0863764537534546E-4</v>
      </c>
    </row>
    <row r="588" spans="2:4" x14ac:dyDescent="0.25">
      <c r="B588" t="s">
        <v>6920</v>
      </c>
      <c r="C588" s="71">
        <v>22</v>
      </c>
      <c r="D588" s="75">
        <f t="shared" si="11"/>
        <v>3.0863764537534546E-4</v>
      </c>
    </row>
    <row r="589" spans="2:4" x14ac:dyDescent="0.25">
      <c r="B589" t="s">
        <v>6921</v>
      </c>
      <c r="C589" s="71">
        <v>22</v>
      </c>
      <c r="D589" s="75">
        <f t="shared" si="11"/>
        <v>3.0863764537534546E-4</v>
      </c>
    </row>
    <row r="590" spans="2:4" x14ac:dyDescent="0.25">
      <c r="B590" t="s">
        <v>6922</v>
      </c>
      <c r="C590" s="71">
        <v>22</v>
      </c>
      <c r="D590" s="75">
        <f t="shared" si="11"/>
        <v>3.0863764537534546E-4</v>
      </c>
    </row>
    <row r="591" spans="2:4" x14ac:dyDescent="0.25">
      <c r="B591" t="s">
        <v>6923</v>
      </c>
      <c r="C591" s="71">
        <v>22</v>
      </c>
      <c r="D591" s="75">
        <f t="shared" si="11"/>
        <v>3.0863764537534546E-4</v>
      </c>
    </row>
    <row r="592" spans="2:4" x14ac:dyDescent="0.25">
      <c r="B592" t="s">
        <v>6924</v>
      </c>
      <c r="C592" s="71">
        <v>21</v>
      </c>
      <c r="D592" s="75">
        <f t="shared" si="11"/>
        <v>2.9460866149464793E-4</v>
      </c>
    </row>
    <row r="593" spans="2:4" x14ac:dyDescent="0.25">
      <c r="B593" t="s">
        <v>6925</v>
      </c>
      <c r="C593" s="71">
        <v>21</v>
      </c>
      <c r="D593" s="75">
        <f t="shared" si="11"/>
        <v>2.9460866149464793E-4</v>
      </c>
    </row>
    <row r="594" spans="2:4" x14ac:dyDescent="0.25">
      <c r="B594" t="s">
        <v>6926</v>
      </c>
      <c r="C594" s="71">
        <v>21</v>
      </c>
      <c r="D594" s="75">
        <f t="shared" si="11"/>
        <v>2.9460866149464793E-4</v>
      </c>
    </row>
    <row r="595" spans="2:4" x14ac:dyDescent="0.25">
      <c r="B595" t="s">
        <v>6927</v>
      </c>
      <c r="C595" s="71">
        <v>21</v>
      </c>
      <c r="D595" s="75">
        <f t="shared" si="11"/>
        <v>2.9460866149464793E-4</v>
      </c>
    </row>
    <row r="596" spans="2:4" x14ac:dyDescent="0.25">
      <c r="B596" t="s">
        <v>6928</v>
      </c>
      <c r="C596" s="71">
        <v>21</v>
      </c>
      <c r="D596" s="75">
        <f t="shared" si="11"/>
        <v>2.9460866149464793E-4</v>
      </c>
    </row>
    <row r="597" spans="2:4" x14ac:dyDescent="0.25">
      <c r="B597" t="s">
        <v>6929</v>
      </c>
      <c r="C597" s="71">
        <v>21</v>
      </c>
      <c r="D597" s="75">
        <f t="shared" si="11"/>
        <v>2.9460866149464793E-4</v>
      </c>
    </row>
    <row r="598" spans="2:4" x14ac:dyDescent="0.25">
      <c r="B598" t="s">
        <v>6930</v>
      </c>
      <c r="C598" s="71">
        <v>21</v>
      </c>
      <c r="D598" s="75">
        <f t="shared" si="11"/>
        <v>2.9460866149464793E-4</v>
      </c>
    </row>
    <row r="599" spans="2:4" x14ac:dyDescent="0.25">
      <c r="B599" t="s">
        <v>6931</v>
      </c>
      <c r="C599" s="71">
        <v>21</v>
      </c>
      <c r="D599" s="75">
        <f t="shared" si="11"/>
        <v>2.9460866149464793E-4</v>
      </c>
    </row>
    <row r="600" spans="2:4" x14ac:dyDescent="0.25">
      <c r="B600" t="s">
        <v>6932</v>
      </c>
      <c r="C600" s="71">
        <v>21</v>
      </c>
      <c r="D600" s="75">
        <f t="shared" si="11"/>
        <v>2.9460866149464793E-4</v>
      </c>
    </row>
    <row r="601" spans="2:4" x14ac:dyDescent="0.25">
      <c r="B601" t="s">
        <v>6933</v>
      </c>
      <c r="C601" s="71">
        <v>21</v>
      </c>
      <c r="D601" s="75">
        <f t="shared" si="11"/>
        <v>2.9460866149464793E-4</v>
      </c>
    </row>
    <row r="602" spans="2:4" x14ac:dyDescent="0.25">
      <c r="B602" t="s">
        <v>6934</v>
      </c>
      <c r="C602" s="71">
        <v>21</v>
      </c>
      <c r="D602" s="75">
        <f t="shared" si="11"/>
        <v>2.9460866149464793E-4</v>
      </c>
    </row>
    <row r="603" spans="2:4" x14ac:dyDescent="0.25">
      <c r="B603" t="s">
        <v>6935</v>
      </c>
      <c r="C603" s="71">
        <v>21</v>
      </c>
      <c r="D603" s="75">
        <f t="shared" si="11"/>
        <v>2.9460866149464793E-4</v>
      </c>
    </row>
    <row r="604" spans="2:4" x14ac:dyDescent="0.25">
      <c r="B604" t="s">
        <v>6936</v>
      </c>
      <c r="C604" s="71">
        <v>21</v>
      </c>
      <c r="D604" s="75">
        <f t="shared" si="11"/>
        <v>2.9460866149464793E-4</v>
      </c>
    </row>
    <row r="605" spans="2:4" x14ac:dyDescent="0.25">
      <c r="B605" t="s">
        <v>6937</v>
      </c>
      <c r="C605" s="71">
        <v>21</v>
      </c>
      <c r="D605" s="75">
        <f t="shared" si="11"/>
        <v>2.9460866149464793E-4</v>
      </c>
    </row>
    <row r="606" spans="2:4" x14ac:dyDescent="0.25">
      <c r="B606" t="s">
        <v>6938</v>
      </c>
      <c r="C606" s="71">
        <v>21</v>
      </c>
      <c r="D606" s="75">
        <f t="shared" si="11"/>
        <v>2.9460866149464793E-4</v>
      </c>
    </row>
    <row r="607" spans="2:4" x14ac:dyDescent="0.25">
      <c r="B607" t="s">
        <v>6939</v>
      </c>
      <c r="C607" s="71">
        <v>21</v>
      </c>
      <c r="D607" s="75">
        <f t="shared" si="11"/>
        <v>2.9460866149464793E-4</v>
      </c>
    </row>
    <row r="608" spans="2:4" x14ac:dyDescent="0.25">
      <c r="B608" t="s">
        <v>6940</v>
      </c>
      <c r="C608" s="71">
        <v>21</v>
      </c>
      <c r="D608" s="75">
        <f t="shared" si="11"/>
        <v>2.9460866149464793E-4</v>
      </c>
    </row>
    <row r="609" spans="2:4" x14ac:dyDescent="0.25">
      <c r="B609" t="s">
        <v>6941</v>
      </c>
      <c r="C609" s="71">
        <v>21</v>
      </c>
      <c r="D609" s="75">
        <f t="shared" si="11"/>
        <v>2.9460866149464793E-4</v>
      </c>
    </row>
    <row r="610" spans="2:4" x14ac:dyDescent="0.25">
      <c r="B610" t="s">
        <v>6942</v>
      </c>
      <c r="C610" s="71">
        <v>21</v>
      </c>
      <c r="D610" s="75">
        <f t="shared" si="11"/>
        <v>2.9460866149464793E-4</v>
      </c>
    </row>
    <row r="611" spans="2:4" x14ac:dyDescent="0.25">
      <c r="B611" t="s">
        <v>6943</v>
      </c>
      <c r="C611" s="71">
        <v>20</v>
      </c>
      <c r="D611" s="75">
        <f t="shared" si="11"/>
        <v>2.805796776139504E-4</v>
      </c>
    </row>
    <row r="612" spans="2:4" x14ac:dyDescent="0.25">
      <c r="B612" t="s">
        <v>6944</v>
      </c>
      <c r="C612" s="71">
        <v>20</v>
      </c>
      <c r="D612" s="75">
        <f t="shared" si="11"/>
        <v>2.805796776139504E-4</v>
      </c>
    </row>
    <row r="613" spans="2:4" x14ac:dyDescent="0.25">
      <c r="B613" t="s">
        <v>6945</v>
      </c>
      <c r="C613" s="71">
        <v>20</v>
      </c>
      <c r="D613" s="75">
        <f t="shared" si="11"/>
        <v>2.805796776139504E-4</v>
      </c>
    </row>
    <row r="614" spans="2:4" x14ac:dyDescent="0.25">
      <c r="B614" t="s">
        <v>6946</v>
      </c>
      <c r="C614" s="71">
        <v>20</v>
      </c>
      <c r="D614" s="75">
        <f t="shared" si="11"/>
        <v>2.805796776139504E-4</v>
      </c>
    </row>
    <row r="615" spans="2:4" x14ac:dyDescent="0.25">
      <c r="B615" t="s">
        <v>6947</v>
      </c>
      <c r="C615" s="71">
        <v>20</v>
      </c>
      <c r="D615" s="75">
        <f t="shared" si="11"/>
        <v>2.805796776139504E-4</v>
      </c>
    </row>
    <row r="616" spans="2:4" x14ac:dyDescent="0.25">
      <c r="B616" t="s">
        <v>6948</v>
      </c>
      <c r="C616" s="71">
        <v>20</v>
      </c>
      <c r="D616" s="75">
        <f t="shared" si="11"/>
        <v>2.805796776139504E-4</v>
      </c>
    </row>
    <row r="617" spans="2:4" x14ac:dyDescent="0.25">
      <c r="B617" t="s">
        <v>6949</v>
      </c>
      <c r="C617" s="71">
        <v>20</v>
      </c>
      <c r="D617" s="75">
        <f t="shared" si="11"/>
        <v>2.805796776139504E-4</v>
      </c>
    </row>
    <row r="618" spans="2:4" x14ac:dyDescent="0.25">
      <c r="B618" t="s">
        <v>6950</v>
      </c>
      <c r="C618" s="71">
        <v>20</v>
      </c>
      <c r="D618" s="75">
        <f t="shared" si="11"/>
        <v>2.805796776139504E-4</v>
      </c>
    </row>
    <row r="619" spans="2:4" x14ac:dyDescent="0.25">
      <c r="B619" t="s">
        <v>6951</v>
      </c>
      <c r="C619" s="71">
        <v>20</v>
      </c>
      <c r="D619" s="75">
        <f t="shared" si="11"/>
        <v>2.805796776139504E-4</v>
      </c>
    </row>
    <row r="620" spans="2:4" x14ac:dyDescent="0.25">
      <c r="B620" t="s">
        <v>6952</v>
      </c>
      <c r="C620" s="71">
        <v>20</v>
      </c>
      <c r="D620" s="75">
        <f t="shared" si="11"/>
        <v>2.805796776139504E-4</v>
      </c>
    </row>
    <row r="621" spans="2:4" x14ac:dyDescent="0.25">
      <c r="B621" t="s">
        <v>6953</v>
      </c>
      <c r="C621" s="71">
        <v>20</v>
      </c>
      <c r="D621" s="75">
        <f t="shared" si="11"/>
        <v>2.805796776139504E-4</v>
      </c>
    </row>
    <row r="622" spans="2:4" x14ac:dyDescent="0.25">
      <c r="B622" t="s">
        <v>6954</v>
      </c>
      <c r="C622" s="71">
        <v>20</v>
      </c>
      <c r="D622" s="75">
        <f t="shared" si="11"/>
        <v>2.805796776139504E-4</v>
      </c>
    </row>
    <row r="623" spans="2:4" x14ac:dyDescent="0.25">
      <c r="B623" t="s">
        <v>6955</v>
      </c>
      <c r="C623" s="71">
        <v>20</v>
      </c>
      <c r="D623" s="75">
        <f t="shared" si="11"/>
        <v>2.805796776139504E-4</v>
      </c>
    </row>
    <row r="624" spans="2:4" x14ac:dyDescent="0.25">
      <c r="B624" t="s">
        <v>6956</v>
      </c>
      <c r="C624" s="71">
        <v>20</v>
      </c>
      <c r="D624" s="75">
        <f t="shared" si="11"/>
        <v>2.805796776139504E-4</v>
      </c>
    </row>
    <row r="625" spans="2:4" x14ac:dyDescent="0.25">
      <c r="B625" t="s">
        <v>6957</v>
      </c>
      <c r="C625" s="71">
        <v>20</v>
      </c>
      <c r="D625" s="75">
        <f t="shared" si="11"/>
        <v>2.805796776139504E-4</v>
      </c>
    </row>
    <row r="626" spans="2:4" x14ac:dyDescent="0.25">
      <c r="B626" t="s">
        <v>6958</v>
      </c>
      <c r="C626" s="71">
        <v>20</v>
      </c>
      <c r="D626" s="75">
        <f t="shared" si="11"/>
        <v>2.805796776139504E-4</v>
      </c>
    </row>
    <row r="627" spans="2:4" x14ac:dyDescent="0.25">
      <c r="B627" t="s">
        <v>6959</v>
      </c>
      <c r="C627" s="71">
        <v>20</v>
      </c>
      <c r="D627" s="75">
        <f t="shared" si="11"/>
        <v>2.805796776139504E-4</v>
      </c>
    </row>
    <row r="628" spans="2:4" x14ac:dyDescent="0.25">
      <c r="B628" t="s">
        <v>6960</v>
      </c>
      <c r="C628" s="71">
        <v>19</v>
      </c>
      <c r="D628" s="75">
        <f t="shared" si="11"/>
        <v>2.6655069373325292E-4</v>
      </c>
    </row>
    <row r="629" spans="2:4" x14ac:dyDescent="0.25">
      <c r="B629" t="s">
        <v>6961</v>
      </c>
      <c r="C629" s="71">
        <v>19</v>
      </c>
      <c r="D629" s="75">
        <f t="shared" si="11"/>
        <v>2.6655069373325292E-4</v>
      </c>
    </row>
    <row r="630" spans="2:4" x14ac:dyDescent="0.25">
      <c r="B630" t="s">
        <v>6962</v>
      </c>
      <c r="C630" s="71">
        <v>19</v>
      </c>
      <c r="D630" s="75">
        <f t="shared" si="11"/>
        <v>2.6655069373325292E-4</v>
      </c>
    </row>
    <row r="631" spans="2:4" x14ac:dyDescent="0.25">
      <c r="B631" t="s">
        <v>6963</v>
      </c>
      <c r="C631" s="71">
        <v>19</v>
      </c>
      <c r="D631" s="75">
        <f t="shared" si="11"/>
        <v>2.6655069373325292E-4</v>
      </c>
    </row>
    <row r="632" spans="2:4" x14ac:dyDescent="0.25">
      <c r="B632" t="s">
        <v>6964</v>
      </c>
      <c r="C632" s="71">
        <v>19</v>
      </c>
      <c r="D632" s="75">
        <f t="shared" si="11"/>
        <v>2.6655069373325292E-4</v>
      </c>
    </row>
    <row r="633" spans="2:4" x14ac:dyDescent="0.25">
      <c r="B633" t="s">
        <v>6965</v>
      </c>
      <c r="C633" s="71">
        <v>19</v>
      </c>
      <c r="D633" s="75">
        <f t="shared" si="11"/>
        <v>2.6655069373325292E-4</v>
      </c>
    </row>
    <row r="634" spans="2:4" x14ac:dyDescent="0.25">
      <c r="B634" t="s">
        <v>6966</v>
      </c>
      <c r="C634" s="71">
        <v>19</v>
      </c>
      <c r="D634" s="75">
        <f t="shared" si="11"/>
        <v>2.6655069373325292E-4</v>
      </c>
    </row>
    <row r="635" spans="2:4" x14ac:dyDescent="0.25">
      <c r="B635" t="s">
        <v>6967</v>
      </c>
      <c r="C635" s="71">
        <v>19</v>
      </c>
      <c r="D635" s="75">
        <f t="shared" si="11"/>
        <v>2.6655069373325292E-4</v>
      </c>
    </row>
    <row r="636" spans="2:4" x14ac:dyDescent="0.25">
      <c r="B636" t="s">
        <v>6968</v>
      </c>
      <c r="C636" s="71">
        <v>19</v>
      </c>
      <c r="D636" s="75">
        <f t="shared" si="11"/>
        <v>2.6655069373325292E-4</v>
      </c>
    </row>
    <row r="637" spans="2:4" x14ac:dyDescent="0.25">
      <c r="B637" t="s">
        <v>6969</v>
      </c>
      <c r="C637" s="71">
        <v>19</v>
      </c>
      <c r="D637" s="75">
        <f t="shared" si="11"/>
        <v>2.6655069373325292E-4</v>
      </c>
    </row>
    <row r="638" spans="2:4" x14ac:dyDescent="0.25">
      <c r="B638" t="s">
        <v>6970</v>
      </c>
      <c r="C638" s="71">
        <v>19</v>
      </c>
      <c r="D638" s="75">
        <f t="shared" si="11"/>
        <v>2.6655069373325292E-4</v>
      </c>
    </row>
    <row r="639" spans="2:4" x14ac:dyDescent="0.25">
      <c r="B639" t="s">
        <v>6971</v>
      </c>
      <c r="C639" s="71">
        <v>19</v>
      </c>
      <c r="D639" s="75">
        <f t="shared" si="11"/>
        <v>2.6655069373325292E-4</v>
      </c>
    </row>
    <row r="640" spans="2:4" x14ac:dyDescent="0.25">
      <c r="B640" t="s">
        <v>6972</v>
      </c>
      <c r="C640" s="71">
        <v>19</v>
      </c>
      <c r="D640" s="75">
        <f t="shared" si="11"/>
        <v>2.6655069373325292E-4</v>
      </c>
    </row>
    <row r="641" spans="2:4" x14ac:dyDescent="0.25">
      <c r="B641" t="s">
        <v>6973</v>
      </c>
      <c r="C641" s="71">
        <v>19</v>
      </c>
      <c r="D641" s="75">
        <f t="shared" si="11"/>
        <v>2.6655069373325292E-4</v>
      </c>
    </row>
    <row r="642" spans="2:4" x14ac:dyDescent="0.25">
      <c r="B642" t="s">
        <v>6974</v>
      </c>
      <c r="C642" s="71">
        <v>19</v>
      </c>
      <c r="D642" s="75">
        <f t="shared" si="11"/>
        <v>2.6655069373325292E-4</v>
      </c>
    </row>
    <row r="643" spans="2:4" x14ac:dyDescent="0.25">
      <c r="B643" t="s">
        <v>6975</v>
      </c>
      <c r="C643" s="71">
        <v>19</v>
      </c>
      <c r="D643" s="75">
        <f t="shared" si="11"/>
        <v>2.6655069373325292E-4</v>
      </c>
    </row>
    <row r="644" spans="2:4" x14ac:dyDescent="0.25">
      <c r="B644" t="s">
        <v>6976</v>
      </c>
      <c r="C644" s="71">
        <v>19</v>
      </c>
      <c r="D644" s="75">
        <f t="shared" si="11"/>
        <v>2.6655069373325292E-4</v>
      </c>
    </row>
    <row r="645" spans="2:4" x14ac:dyDescent="0.25">
      <c r="B645" t="s">
        <v>6977</v>
      </c>
      <c r="C645" s="71">
        <v>19</v>
      </c>
      <c r="D645" s="75">
        <f t="shared" si="11"/>
        <v>2.6655069373325292E-4</v>
      </c>
    </row>
    <row r="646" spans="2:4" x14ac:dyDescent="0.25">
      <c r="B646" t="s">
        <v>6978</v>
      </c>
      <c r="C646" s="71">
        <v>19</v>
      </c>
      <c r="D646" s="75">
        <f t="shared" ref="D646:D709" si="12">C646/$C$4822</f>
        <v>2.6655069373325292E-4</v>
      </c>
    </row>
    <row r="647" spans="2:4" x14ac:dyDescent="0.25">
      <c r="B647" t="s">
        <v>6979</v>
      </c>
      <c r="C647" s="71">
        <v>19</v>
      </c>
      <c r="D647" s="75">
        <f t="shared" si="12"/>
        <v>2.6655069373325292E-4</v>
      </c>
    </row>
    <row r="648" spans="2:4" x14ac:dyDescent="0.25">
      <c r="B648" t="s">
        <v>6980</v>
      </c>
      <c r="C648" s="71">
        <v>19</v>
      </c>
      <c r="D648" s="75">
        <f t="shared" si="12"/>
        <v>2.6655069373325292E-4</v>
      </c>
    </row>
    <row r="649" spans="2:4" x14ac:dyDescent="0.25">
      <c r="B649" t="s">
        <v>6981</v>
      </c>
      <c r="C649" s="71">
        <v>19</v>
      </c>
      <c r="D649" s="75">
        <f t="shared" si="12"/>
        <v>2.6655069373325292E-4</v>
      </c>
    </row>
    <row r="650" spans="2:4" x14ac:dyDescent="0.25">
      <c r="B650" t="s">
        <v>6982</v>
      </c>
      <c r="C650" s="71">
        <v>19</v>
      </c>
      <c r="D650" s="75">
        <f t="shared" si="12"/>
        <v>2.6655069373325292E-4</v>
      </c>
    </row>
    <row r="651" spans="2:4" x14ac:dyDescent="0.25">
      <c r="B651" t="s">
        <v>6983</v>
      </c>
      <c r="C651" s="71">
        <v>19</v>
      </c>
      <c r="D651" s="75">
        <f t="shared" si="12"/>
        <v>2.6655069373325292E-4</v>
      </c>
    </row>
    <row r="652" spans="2:4" x14ac:dyDescent="0.25">
      <c r="B652" t="s">
        <v>6984</v>
      </c>
      <c r="C652" s="71">
        <v>19</v>
      </c>
      <c r="D652" s="75">
        <f t="shared" si="12"/>
        <v>2.6655069373325292E-4</v>
      </c>
    </row>
    <row r="653" spans="2:4" x14ac:dyDescent="0.25">
      <c r="B653" t="s">
        <v>6985</v>
      </c>
      <c r="C653" s="71">
        <v>19</v>
      </c>
      <c r="D653" s="75">
        <f t="shared" si="12"/>
        <v>2.6655069373325292E-4</v>
      </c>
    </row>
    <row r="654" spans="2:4" x14ac:dyDescent="0.25">
      <c r="B654" t="s">
        <v>6986</v>
      </c>
      <c r="C654" s="71">
        <v>19</v>
      </c>
      <c r="D654" s="75">
        <f t="shared" si="12"/>
        <v>2.6655069373325292E-4</v>
      </c>
    </row>
    <row r="655" spans="2:4" x14ac:dyDescent="0.25">
      <c r="B655" t="s">
        <v>6987</v>
      </c>
      <c r="C655" s="71">
        <v>18</v>
      </c>
      <c r="D655" s="75">
        <f t="shared" si="12"/>
        <v>2.5252170985255539E-4</v>
      </c>
    </row>
    <row r="656" spans="2:4" x14ac:dyDescent="0.25">
      <c r="B656" t="s">
        <v>6988</v>
      </c>
      <c r="C656" s="71">
        <v>18</v>
      </c>
      <c r="D656" s="75">
        <f t="shared" si="12"/>
        <v>2.5252170985255539E-4</v>
      </c>
    </row>
    <row r="657" spans="2:4" x14ac:dyDescent="0.25">
      <c r="B657" t="s">
        <v>6989</v>
      </c>
      <c r="C657" s="71">
        <v>18</v>
      </c>
      <c r="D657" s="75">
        <f t="shared" si="12"/>
        <v>2.5252170985255539E-4</v>
      </c>
    </row>
    <row r="658" spans="2:4" x14ac:dyDescent="0.25">
      <c r="B658" t="s">
        <v>6990</v>
      </c>
      <c r="C658" s="71">
        <v>18</v>
      </c>
      <c r="D658" s="75">
        <f t="shared" si="12"/>
        <v>2.5252170985255539E-4</v>
      </c>
    </row>
    <row r="659" spans="2:4" x14ac:dyDescent="0.25">
      <c r="B659" t="s">
        <v>6991</v>
      </c>
      <c r="C659" s="71">
        <v>18</v>
      </c>
      <c r="D659" s="75">
        <f t="shared" si="12"/>
        <v>2.5252170985255539E-4</v>
      </c>
    </row>
    <row r="660" spans="2:4" x14ac:dyDescent="0.25">
      <c r="B660" t="s">
        <v>6992</v>
      </c>
      <c r="C660" s="71">
        <v>18</v>
      </c>
      <c r="D660" s="75">
        <f t="shared" si="12"/>
        <v>2.5252170985255539E-4</v>
      </c>
    </row>
    <row r="661" spans="2:4" x14ac:dyDescent="0.25">
      <c r="B661" t="s">
        <v>6993</v>
      </c>
      <c r="C661" s="71">
        <v>18</v>
      </c>
      <c r="D661" s="75">
        <f t="shared" si="12"/>
        <v>2.5252170985255539E-4</v>
      </c>
    </row>
    <row r="662" spans="2:4" x14ac:dyDescent="0.25">
      <c r="B662" t="s">
        <v>6994</v>
      </c>
      <c r="C662" s="71">
        <v>18</v>
      </c>
      <c r="D662" s="75">
        <f t="shared" si="12"/>
        <v>2.5252170985255539E-4</v>
      </c>
    </row>
    <row r="663" spans="2:4" x14ac:dyDescent="0.25">
      <c r="B663" t="s">
        <v>6995</v>
      </c>
      <c r="C663" s="71">
        <v>18</v>
      </c>
      <c r="D663" s="75">
        <f t="shared" si="12"/>
        <v>2.5252170985255539E-4</v>
      </c>
    </row>
    <row r="664" spans="2:4" x14ac:dyDescent="0.25">
      <c r="B664" t="s">
        <v>6996</v>
      </c>
      <c r="C664" s="71">
        <v>18</v>
      </c>
      <c r="D664" s="75">
        <f t="shared" si="12"/>
        <v>2.5252170985255539E-4</v>
      </c>
    </row>
    <row r="665" spans="2:4" x14ac:dyDescent="0.25">
      <c r="B665" t="s">
        <v>6997</v>
      </c>
      <c r="C665" s="71">
        <v>18</v>
      </c>
      <c r="D665" s="75">
        <f t="shared" si="12"/>
        <v>2.5252170985255539E-4</v>
      </c>
    </row>
    <row r="666" spans="2:4" x14ac:dyDescent="0.25">
      <c r="B666" t="s">
        <v>6998</v>
      </c>
      <c r="C666" s="71">
        <v>18</v>
      </c>
      <c r="D666" s="75">
        <f t="shared" si="12"/>
        <v>2.5252170985255539E-4</v>
      </c>
    </row>
    <row r="667" spans="2:4" x14ac:dyDescent="0.25">
      <c r="B667" t="s">
        <v>6999</v>
      </c>
      <c r="C667" s="71">
        <v>18</v>
      </c>
      <c r="D667" s="75">
        <f t="shared" si="12"/>
        <v>2.5252170985255539E-4</v>
      </c>
    </row>
    <row r="668" spans="2:4" x14ac:dyDescent="0.25">
      <c r="B668" t="s">
        <v>7000</v>
      </c>
      <c r="C668" s="71">
        <v>18</v>
      </c>
      <c r="D668" s="75">
        <f t="shared" si="12"/>
        <v>2.5252170985255539E-4</v>
      </c>
    </row>
    <row r="669" spans="2:4" x14ac:dyDescent="0.25">
      <c r="B669" t="s">
        <v>7001</v>
      </c>
      <c r="C669" s="71">
        <v>18</v>
      </c>
      <c r="D669" s="75">
        <f t="shared" si="12"/>
        <v>2.5252170985255539E-4</v>
      </c>
    </row>
    <row r="670" spans="2:4" x14ac:dyDescent="0.25">
      <c r="B670" t="s">
        <v>7002</v>
      </c>
      <c r="C670" s="71">
        <v>18</v>
      </c>
      <c r="D670" s="75">
        <f t="shared" si="12"/>
        <v>2.5252170985255539E-4</v>
      </c>
    </row>
    <row r="671" spans="2:4" x14ac:dyDescent="0.25">
      <c r="B671" t="s">
        <v>7003</v>
      </c>
      <c r="C671" s="71">
        <v>17</v>
      </c>
      <c r="D671" s="75">
        <f t="shared" si="12"/>
        <v>2.3849272597185786E-4</v>
      </c>
    </row>
    <row r="672" spans="2:4" x14ac:dyDescent="0.25">
      <c r="B672" t="s">
        <v>7004</v>
      </c>
      <c r="C672" s="71">
        <v>17</v>
      </c>
      <c r="D672" s="75">
        <f t="shared" si="12"/>
        <v>2.3849272597185786E-4</v>
      </c>
    </row>
    <row r="673" spans="2:4" x14ac:dyDescent="0.25">
      <c r="B673" t="s">
        <v>7005</v>
      </c>
      <c r="C673" s="71">
        <v>17</v>
      </c>
      <c r="D673" s="75">
        <f t="shared" si="12"/>
        <v>2.3849272597185786E-4</v>
      </c>
    </row>
    <row r="674" spans="2:4" x14ac:dyDescent="0.25">
      <c r="B674" t="s">
        <v>7006</v>
      </c>
      <c r="C674" s="71">
        <v>17</v>
      </c>
      <c r="D674" s="75">
        <f t="shared" si="12"/>
        <v>2.3849272597185786E-4</v>
      </c>
    </row>
    <row r="675" spans="2:4" x14ac:dyDescent="0.25">
      <c r="B675" t="s">
        <v>7007</v>
      </c>
      <c r="C675" s="71">
        <v>17</v>
      </c>
      <c r="D675" s="75">
        <f t="shared" si="12"/>
        <v>2.3849272597185786E-4</v>
      </c>
    </row>
    <row r="676" spans="2:4" x14ac:dyDescent="0.25">
      <c r="B676" t="s">
        <v>7008</v>
      </c>
      <c r="C676" s="71">
        <v>17</v>
      </c>
      <c r="D676" s="75">
        <f t="shared" si="12"/>
        <v>2.3849272597185786E-4</v>
      </c>
    </row>
    <row r="677" spans="2:4" x14ac:dyDescent="0.25">
      <c r="B677" t="s">
        <v>7009</v>
      </c>
      <c r="C677" s="71">
        <v>17</v>
      </c>
      <c r="D677" s="75">
        <f t="shared" si="12"/>
        <v>2.3849272597185786E-4</v>
      </c>
    </row>
    <row r="678" spans="2:4" x14ac:dyDescent="0.25">
      <c r="B678" t="s">
        <v>7010</v>
      </c>
      <c r="C678" s="71">
        <v>17</v>
      </c>
      <c r="D678" s="75">
        <f t="shared" si="12"/>
        <v>2.3849272597185786E-4</v>
      </c>
    </row>
    <row r="679" spans="2:4" x14ac:dyDescent="0.25">
      <c r="B679" t="s">
        <v>7011</v>
      </c>
      <c r="C679" s="71">
        <v>17</v>
      </c>
      <c r="D679" s="75">
        <f t="shared" si="12"/>
        <v>2.3849272597185786E-4</v>
      </c>
    </row>
    <row r="680" spans="2:4" x14ac:dyDescent="0.25">
      <c r="B680" t="s">
        <v>7012</v>
      </c>
      <c r="C680" s="71">
        <v>17</v>
      </c>
      <c r="D680" s="75">
        <f t="shared" si="12"/>
        <v>2.3849272597185786E-4</v>
      </c>
    </row>
    <row r="681" spans="2:4" x14ac:dyDescent="0.25">
      <c r="B681" t="s">
        <v>7013</v>
      </c>
      <c r="C681" s="71">
        <v>17</v>
      </c>
      <c r="D681" s="75">
        <f t="shared" si="12"/>
        <v>2.3849272597185786E-4</v>
      </c>
    </row>
    <row r="682" spans="2:4" x14ac:dyDescent="0.25">
      <c r="B682" t="s">
        <v>7014</v>
      </c>
      <c r="C682" s="71">
        <v>17</v>
      </c>
      <c r="D682" s="75">
        <f t="shared" si="12"/>
        <v>2.3849272597185786E-4</v>
      </c>
    </row>
    <row r="683" spans="2:4" x14ac:dyDescent="0.25">
      <c r="B683" t="s">
        <v>7015</v>
      </c>
      <c r="C683" s="71">
        <v>17</v>
      </c>
      <c r="D683" s="75">
        <f t="shared" si="12"/>
        <v>2.3849272597185786E-4</v>
      </c>
    </row>
    <row r="684" spans="2:4" x14ac:dyDescent="0.25">
      <c r="B684" t="s">
        <v>7016</v>
      </c>
      <c r="C684" s="71">
        <v>17</v>
      </c>
      <c r="D684" s="75">
        <f t="shared" si="12"/>
        <v>2.3849272597185786E-4</v>
      </c>
    </row>
    <row r="685" spans="2:4" x14ac:dyDescent="0.25">
      <c r="B685" t="s">
        <v>7017</v>
      </c>
      <c r="C685" s="71">
        <v>17</v>
      </c>
      <c r="D685" s="75">
        <f t="shared" si="12"/>
        <v>2.3849272597185786E-4</v>
      </c>
    </row>
    <row r="686" spans="2:4" x14ac:dyDescent="0.25">
      <c r="B686" t="s">
        <v>7018</v>
      </c>
      <c r="C686" s="71">
        <v>17</v>
      </c>
      <c r="D686" s="75">
        <f t="shared" si="12"/>
        <v>2.3849272597185786E-4</v>
      </c>
    </row>
    <row r="687" spans="2:4" x14ac:dyDescent="0.25">
      <c r="B687" t="s">
        <v>7019</v>
      </c>
      <c r="C687" s="71">
        <v>17</v>
      </c>
      <c r="D687" s="75">
        <f t="shared" si="12"/>
        <v>2.3849272597185786E-4</v>
      </c>
    </row>
    <row r="688" spans="2:4" x14ac:dyDescent="0.25">
      <c r="B688" t="s">
        <v>7020</v>
      </c>
      <c r="C688" s="71">
        <v>17</v>
      </c>
      <c r="D688" s="75">
        <f t="shared" si="12"/>
        <v>2.3849272597185786E-4</v>
      </c>
    </row>
    <row r="689" spans="2:4" x14ac:dyDescent="0.25">
      <c r="B689" t="s">
        <v>7021</v>
      </c>
      <c r="C689" s="71">
        <v>17</v>
      </c>
      <c r="D689" s="75">
        <f t="shared" si="12"/>
        <v>2.3849272597185786E-4</v>
      </c>
    </row>
    <row r="690" spans="2:4" x14ac:dyDescent="0.25">
      <c r="B690" t="s">
        <v>7022</v>
      </c>
      <c r="C690" s="71">
        <v>17</v>
      </c>
      <c r="D690" s="75">
        <f t="shared" si="12"/>
        <v>2.3849272597185786E-4</v>
      </c>
    </row>
    <row r="691" spans="2:4" x14ac:dyDescent="0.25">
      <c r="B691" t="s">
        <v>7023</v>
      </c>
      <c r="C691" s="71">
        <v>17</v>
      </c>
      <c r="D691" s="75">
        <f t="shared" si="12"/>
        <v>2.3849272597185786E-4</v>
      </c>
    </row>
    <row r="692" spans="2:4" x14ac:dyDescent="0.25">
      <c r="B692" t="s">
        <v>7024</v>
      </c>
      <c r="C692" s="71">
        <v>17</v>
      </c>
      <c r="D692" s="75">
        <f t="shared" si="12"/>
        <v>2.3849272597185786E-4</v>
      </c>
    </row>
    <row r="693" spans="2:4" x14ac:dyDescent="0.25">
      <c r="B693" t="s">
        <v>7025</v>
      </c>
      <c r="C693" s="71">
        <v>17</v>
      </c>
      <c r="D693" s="75">
        <f t="shared" si="12"/>
        <v>2.3849272597185786E-4</v>
      </c>
    </row>
    <row r="694" spans="2:4" x14ac:dyDescent="0.25">
      <c r="B694" t="s">
        <v>7026</v>
      </c>
      <c r="C694" s="71">
        <v>17</v>
      </c>
      <c r="D694" s="75">
        <f t="shared" si="12"/>
        <v>2.3849272597185786E-4</v>
      </c>
    </row>
    <row r="695" spans="2:4" x14ac:dyDescent="0.25">
      <c r="B695" t="s">
        <v>7027</v>
      </c>
      <c r="C695" s="71">
        <v>17</v>
      </c>
      <c r="D695" s="75">
        <f t="shared" si="12"/>
        <v>2.3849272597185786E-4</v>
      </c>
    </row>
    <row r="696" spans="2:4" x14ac:dyDescent="0.25">
      <c r="B696" t="s">
        <v>7028</v>
      </c>
      <c r="C696" s="71">
        <v>17</v>
      </c>
      <c r="D696" s="75">
        <f t="shared" si="12"/>
        <v>2.3849272597185786E-4</v>
      </c>
    </row>
    <row r="697" spans="2:4" x14ac:dyDescent="0.25">
      <c r="B697" t="s">
        <v>7029</v>
      </c>
      <c r="C697" s="71">
        <v>17</v>
      </c>
      <c r="D697" s="75">
        <f t="shared" si="12"/>
        <v>2.3849272597185786E-4</v>
      </c>
    </row>
    <row r="698" spans="2:4" x14ac:dyDescent="0.25">
      <c r="B698" t="s">
        <v>7030</v>
      </c>
      <c r="C698" s="71">
        <v>17</v>
      </c>
      <c r="D698" s="75">
        <f t="shared" si="12"/>
        <v>2.3849272597185786E-4</v>
      </c>
    </row>
    <row r="699" spans="2:4" x14ac:dyDescent="0.25">
      <c r="B699" t="s">
        <v>7031</v>
      </c>
      <c r="C699" s="71">
        <v>17</v>
      </c>
      <c r="D699" s="75">
        <f t="shared" si="12"/>
        <v>2.3849272597185786E-4</v>
      </c>
    </row>
    <row r="700" spans="2:4" x14ac:dyDescent="0.25">
      <c r="B700" t="s">
        <v>7032</v>
      </c>
      <c r="C700" s="71">
        <v>17</v>
      </c>
      <c r="D700" s="75">
        <f t="shared" si="12"/>
        <v>2.3849272597185786E-4</v>
      </c>
    </row>
    <row r="701" spans="2:4" x14ac:dyDescent="0.25">
      <c r="B701" t="s">
        <v>7033</v>
      </c>
      <c r="C701" s="71">
        <v>17</v>
      </c>
      <c r="D701" s="75">
        <f t="shared" si="12"/>
        <v>2.3849272597185786E-4</v>
      </c>
    </row>
    <row r="702" spans="2:4" x14ac:dyDescent="0.25">
      <c r="B702" t="s">
        <v>7034</v>
      </c>
      <c r="C702" s="71">
        <v>17</v>
      </c>
      <c r="D702" s="75">
        <f t="shared" si="12"/>
        <v>2.3849272597185786E-4</v>
      </c>
    </row>
    <row r="703" spans="2:4" x14ac:dyDescent="0.25">
      <c r="B703" t="s">
        <v>7035</v>
      </c>
      <c r="C703" s="71">
        <v>17</v>
      </c>
      <c r="D703" s="75">
        <f t="shared" si="12"/>
        <v>2.3849272597185786E-4</v>
      </c>
    </row>
    <row r="704" spans="2:4" x14ac:dyDescent="0.25">
      <c r="B704" t="s">
        <v>7036</v>
      </c>
      <c r="C704" s="71">
        <v>17</v>
      </c>
      <c r="D704" s="75">
        <f t="shared" si="12"/>
        <v>2.3849272597185786E-4</v>
      </c>
    </row>
    <row r="705" spans="2:4" x14ac:dyDescent="0.25">
      <c r="B705" t="s">
        <v>7037</v>
      </c>
      <c r="C705" s="71">
        <v>17</v>
      </c>
      <c r="D705" s="75">
        <f t="shared" si="12"/>
        <v>2.3849272597185786E-4</v>
      </c>
    </row>
    <row r="706" spans="2:4" x14ac:dyDescent="0.25">
      <c r="B706" t="s">
        <v>7038</v>
      </c>
      <c r="C706" s="71">
        <v>17</v>
      </c>
      <c r="D706" s="75">
        <f t="shared" si="12"/>
        <v>2.3849272597185786E-4</v>
      </c>
    </row>
    <row r="707" spans="2:4" x14ac:dyDescent="0.25">
      <c r="B707" t="s">
        <v>7039</v>
      </c>
      <c r="C707" s="71">
        <v>17</v>
      </c>
      <c r="D707" s="75">
        <f t="shared" si="12"/>
        <v>2.3849272597185786E-4</v>
      </c>
    </row>
    <row r="708" spans="2:4" x14ac:dyDescent="0.25">
      <c r="B708" t="s">
        <v>7040</v>
      </c>
      <c r="C708" s="71">
        <v>17</v>
      </c>
      <c r="D708" s="75">
        <f t="shared" si="12"/>
        <v>2.3849272597185786E-4</v>
      </c>
    </row>
    <row r="709" spans="2:4" x14ac:dyDescent="0.25">
      <c r="B709" t="s">
        <v>7041</v>
      </c>
      <c r="C709" s="71">
        <v>17</v>
      </c>
      <c r="D709" s="75">
        <f t="shared" si="12"/>
        <v>2.3849272597185786E-4</v>
      </c>
    </row>
    <row r="710" spans="2:4" x14ac:dyDescent="0.25">
      <c r="B710" t="s">
        <v>7042</v>
      </c>
      <c r="C710" s="71">
        <v>17</v>
      </c>
      <c r="D710" s="75">
        <f t="shared" ref="D710:D773" si="13">C710/$C$4822</f>
        <v>2.3849272597185786E-4</v>
      </c>
    </row>
    <row r="711" spans="2:4" x14ac:dyDescent="0.25">
      <c r="B711" t="s">
        <v>7043</v>
      </c>
      <c r="C711" s="71">
        <v>17</v>
      </c>
      <c r="D711" s="75">
        <f t="shared" si="13"/>
        <v>2.3849272597185786E-4</v>
      </c>
    </row>
    <row r="712" spans="2:4" x14ac:dyDescent="0.25">
      <c r="B712" t="s">
        <v>7044</v>
      </c>
      <c r="C712" s="71">
        <v>16</v>
      </c>
      <c r="D712" s="75">
        <f t="shared" si="13"/>
        <v>2.2446374209116033E-4</v>
      </c>
    </row>
    <row r="713" spans="2:4" x14ac:dyDescent="0.25">
      <c r="B713" t="s">
        <v>7045</v>
      </c>
      <c r="C713" s="71">
        <v>16</v>
      </c>
      <c r="D713" s="75">
        <f t="shared" si="13"/>
        <v>2.2446374209116033E-4</v>
      </c>
    </row>
    <row r="714" spans="2:4" x14ac:dyDescent="0.25">
      <c r="B714" t="s">
        <v>7046</v>
      </c>
      <c r="C714" s="71">
        <v>16</v>
      </c>
      <c r="D714" s="75">
        <f t="shared" si="13"/>
        <v>2.2446374209116033E-4</v>
      </c>
    </row>
    <row r="715" spans="2:4" x14ac:dyDescent="0.25">
      <c r="B715" t="s">
        <v>7047</v>
      </c>
      <c r="C715" s="71">
        <v>16</v>
      </c>
      <c r="D715" s="75">
        <f t="shared" si="13"/>
        <v>2.2446374209116033E-4</v>
      </c>
    </row>
    <row r="716" spans="2:4" x14ac:dyDescent="0.25">
      <c r="B716" t="s">
        <v>7048</v>
      </c>
      <c r="C716" s="71">
        <v>16</v>
      </c>
      <c r="D716" s="75">
        <f t="shared" si="13"/>
        <v>2.2446374209116033E-4</v>
      </c>
    </row>
    <row r="717" spans="2:4" x14ac:dyDescent="0.25">
      <c r="B717" t="s">
        <v>7049</v>
      </c>
      <c r="C717" s="71">
        <v>16</v>
      </c>
      <c r="D717" s="75">
        <f t="shared" si="13"/>
        <v>2.2446374209116033E-4</v>
      </c>
    </row>
    <row r="718" spans="2:4" x14ac:dyDescent="0.25">
      <c r="B718" t="s">
        <v>7050</v>
      </c>
      <c r="C718" s="71">
        <v>16</v>
      </c>
      <c r="D718" s="75">
        <f t="shared" si="13"/>
        <v>2.2446374209116033E-4</v>
      </c>
    </row>
    <row r="719" spans="2:4" x14ac:dyDescent="0.25">
      <c r="B719" t="s">
        <v>7051</v>
      </c>
      <c r="C719" s="71">
        <v>16</v>
      </c>
      <c r="D719" s="75">
        <f t="shared" si="13"/>
        <v>2.2446374209116033E-4</v>
      </c>
    </row>
    <row r="720" spans="2:4" x14ac:dyDescent="0.25">
      <c r="B720" t="s">
        <v>7052</v>
      </c>
      <c r="C720" s="71">
        <v>16</v>
      </c>
      <c r="D720" s="75">
        <f t="shared" si="13"/>
        <v>2.2446374209116033E-4</v>
      </c>
    </row>
    <row r="721" spans="2:4" x14ac:dyDescent="0.25">
      <c r="B721" t="s">
        <v>7053</v>
      </c>
      <c r="C721" s="71">
        <v>16</v>
      </c>
      <c r="D721" s="75">
        <f t="shared" si="13"/>
        <v>2.2446374209116033E-4</v>
      </c>
    </row>
    <row r="722" spans="2:4" x14ac:dyDescent="0.25">
      <c r="B722" t="s">
        <v>7054</v>
      </c>
      <c r="C722" s="71">
        <v>16</v>
      </c>
      <c r="D722" s="75">
        <f t="shared" si="13"/>
        <v>2.2446374209116033E-4</v>
      </c>
    </row>
    <row r="723" spans="2:4" x14ac:dyDescent="0.25">
      <c r="B723" t="s">
        <v>7055</v>
      </c>
      <c r="C723" s="71">
        <v>16</v>
      </c>
      <c r="D723" s="75">
        <f t="shared" si="13"/>
        <v>2.2446374209116033E-4</v>
      </c>
    </row>
    <row r="724" spans="2:4" x14ac:dyDescent="0.25">
      <c r="B724" t="s">
        <v>7056</v>
      </c>
      <c r="C724" s="71">
        <v>16</v>
      </c>
      <c r="D724" s="75">
        <f t="shared" si="13"/>
        <v>2.2446374209116033E-4</v>
      </c>
    </row>
    <row r="725" spans="2:4" x14ac:dyDescent="0.25">
      <c r="B725" t="s">
        <v>7057</v>
      </c>
      <c r="C725" s="71">
        <v>16</v>
      </c>
      <c r="D725" s="75">
        <f t="shared" si="13"/>
        <v>2.2446374209116033E-4</v>
      </c>
    </row>
    <row r="726" spans="2:4" x14ac:dyDescent="0.25">
      <c r="B726" t="s">
        <v>7058</v>
      </c>
      <c r="C726" s="71">
        <v>16</v>
      </c>
      <c r="D726" s="75">
        <f t="shared" si="13"/>
        <v>2.2446374209116033E-4</v>
      </c>
    </row>
    <row r="727" spans="2:4" x14ac:dyDescent="0.25">
      <c r="B727" t="s">
        <v>7059</v>
      </c>
      <c r="C727" s="71">
        <v>16</v>
      </c>
      <c r="D727" s="75">
        <f t="shared" si="13"/>
        <v>2.2446374209116033E-4</v>
      </c>
    </row>
    <row r="728" spans="2:4" x14ac:dyDescent="0.25">
      <c r="B728" t="s">
        <v>7060</v>
      </c>
      <c r="C728" s="71">
        <v>16</v>
      </c>
      <c r="D728" s="75">
        <f t="shared" si="13"/>
        <v>2.2446374209116033E-4</v>
      </c>
    </row>
    <row r="729" spans="2:4" x14ac:dyDescent="0.25">
      <c r="B729" t="s">
        <v>7061</v>
      </c>
      <c r="C729" s="71">
        <v>16</v>
      </c>
      <c r="D729" s="75">
        <f t="shared" si="13"/>
        <v>2.2446374209116033E-4</v>
      </c>
    </row>
    <row r="730" spans="2:4" x14ac:dyDescent="0.25">
      <c r="B730" t="s">
        <v>7062</v>
      </c>
      <c r="C730" s="71">
        <v>16</v>
      </c>
      <c r="D730" s="75">
        <f t="shared" si="13"/>
        <v>2.2446374209116033E-4</v>
      </c>
    </row>
    <row r="731" spans="2:4" x14ac:dyDescent="0.25">
      <c r="B731" t="s">
        <v>7063</v>
      </c>
      <c r="C731" s="71">
        <v>16</v>
      </c>
      <c r="D731" s="75">
        <f t="shared" si="13"/>
        <v>2.2446374209116033E-4</v>
      </c>
    </row>
    <row r="732" spans="2:4" x14ac:dyDescent="0.25">
      <c r="B732" t="s">
        <v>7064</v>
      </c>
      <c r="C732" s="71">
        <v>16</v>
      </c>
      <c r="D732" s="75">
        <f t="shared" si="13"/>
        <v>2.2446374209116033E-4</v>
      </c>
    </row>
    <row r="733" spans="2:4" x14ac:dyDescent="0.25">
      <c r="B733" t="s">
        <v>7065</v>
      </c>
      <c r="C733" s="71">
        <v>16</v>
      </c>
      <c r="D733" s="75">
        <f t="shared" si="13"/>
        <v>2.2446374209116033E-4</v>
      </c>
    </row>
    <row r="734" spans="2:4" x14ac:dyDescent="0.25">
      <c r="B734" t="s">
        <v>7066</v>
      </c>
      <c r="C734" s="71">
        <v>16</v>
      </c>
      <c r="D734" s="75">
        <f t="shared" si="13"/>
        <v>2.2446374209116033E-4</v>
      </c>
    </row>
    <row r="735" spans="2:4" x14ac:dyDescent="0.25">
      <c r="B735" t="s">
        <v>7067</v>
      </c>
      <c r="C735" s="71">
        <v>16</v>
      </c>
      <c r="D735" s="75">
        <f t="shared" si="13"/>
        <v>2.2446374209116033E-4</v>
      </c>
    </row>
    <row r="736" spans="2:4" x14ac:dyDescent="0.25">
      <c r="B736" t="s">
        <v>7068</v>
      </c>
      <c r="C736" s="71">
        <v>16</v>
      </c>
      <c r="D736" s="75">
        <f t="shared" si="13"/>
        <v>2.2446374209116033E-4</v>
      </c>
    </row>
    <row r="737" spans="2:4" x14ac:dyDescent="0.25">
      <c r="B737" t="s">
        <v>7069</v>
      </c>
      <c r="C737" s="71">
        <v>16</v>
      </c>
      <c r="D737" s="75">
        <f t="shared" si="13"/>
        <v>2.2446374209116033E-4</v>
      </c>
    </row>
    <row r="738" spans="2:4" x14ac:dyDescent="0.25">
      <c r="B738" t="s">
        <v>7070</v>
      </c>
      <c r="C738" s="71">
        <v>16</v>
      </c>
      <c r="D738" s="75">
        <f t="shared" si="13"/>
        <v>2.2446374209116033E-4</v>
      </c>
    </row>
    <row r="739" spans="2:4" x14ac:dyDescent="0.25">
      <c r="B739" t="s">
        <v>7071</v>
      </c>
      <c r="C739" s="71">
        <v>15</v>
      </c>
      <c r="D739" s="75">
        <f t="shared" si="13"/>
        <v>2.1043475821046282E-4</v>
      </c>
    </row>
    <row r="740" spans="2:4" x14ac:dyDescent="0.25">
      <c r="B740" t="s">
        <v>7072</v>
      </c>
      <c r="C740" s="71">
        <v>15</v>
      </c>
      <c r="D740" s="75">
        <f t="shared" si="13"/>
        <v>2.1043475821046282E-4</v>
      </c>
    </row>
    <row r="741" spans="2:4" x14ac:dyDescent="0.25">
      <c r="B741" t="s">
        <v>7073</v>
      </c>
      <c r="C741" s="71">
        <v>15</v>
      </c>
      <c r="D741" s="75">
        <f t="shared" si="13"/>
        <v>2.1043475821046282E-4</v>
      </c>
    </row>
    <row r="742" spans="2:4" x14ac:dyDescent="0.25">
      <c r="B742" t="s">
        <v>7074</v>
      </c>
      <c r="C742" s="71">
        <v>15</v>
      </c>
      <c r="D742" s="75">
        <f t="shared" si="13"/>
        <v>2.1043475821046282E-4</v>
      </c>
    </row>
    <row r="743" spans="2:4" x14ac:dyDescent="0.25">
      <c r="B743" t="s">
        <v>7075</v>
      </c>
      <c r="C743" s="71">
        <v>15</v>
      </c>
      <c r="D743" s="75">
        <f t="shared" si="13"/>
        <v>2.1043475821046282E-4</v>
      </c>
    </row>
    <row r="744" spans="2:4" x14ac:dyDescent="0.25">
      <c r="B744" t="s">
        <v>7076</v>
      </c>
      <c r="C744" s="71">
        <v>15</v>
      </c>
      <c r="D744" s="75">
        <f t="shared" si="13"/>
        <v>2.1043475821046282E-4</v>
      </c>
    </row>
    <row r="745" spans="2:4" x14ac:dyDescent="0.25">
      <c r="B745" t="s">
        <v>7077</v>
      </c>
      <c r="C745" s="71">
        <v>15</v>
      </c>
      <c r="D745" s="75">
        <f t="shared" si="13"/>
        <v>2.1043475821046282E-4</v>
      </c>
    </row>
    <row r="746" spans="2:4" x14ac:dyDescent="0.25">
      <c r="B746" t="s">
        <v>7078</v>
      </c>
      <c r="C746" s="71">
        <v>15</v>
      </c>
      <c r="D746" s="75">
        <f t="shared" si="13"/>
        <v>2.1043475821046282E-4</v>
      </c>
    </row>
    <row r="747" spans="2:4" x14ac:dyDescent="0.25">
      <c r="B747" t="s">
        <v>7079</v>
      </c>
      <c r="C747" s="71">
        <v>15</v>
      </c>
      <c r="D747" s="75">
        <f t="shared" si="13"/>
        <v>2.1043475821046282E-4</v>
      </c>
    </row>
    <row r="748" spans="2:4" x14ac:dyDescent="0.25">
      <c r="B748" t="s">
        <v>7080</v>
      </c>
      <c r="C748" s="71">
        <v>15</v>
      </c>
      <c r="D748" s="75">
        <f t="shared" si="13"/>
        <v>2.1043475821046282E-4</v>
      </c>
    </row>
    <row r="749" spans="2:4" x14ac:dyDescent="0.25">
      <c r="B749" t="s">
        <v>7081</v>
      </c>
      <c r="C749" s="71">
        <v>15</v>
      </c>
      <c r="D749" s="75">
        <f t="shared" si="13"/>
        <v>2.1043475821046282E-4</v>
      </c>
    </row>
    <row r="750" spans="2:4" x14ac:dyDescent="0.25">
      <c r="B750" t="s">
        <v>7082</v>
      </c>
      <c r="C750" s="71">
        <v>15</v>
      </c>
      <c r="D750" s="75">
        <f t="shared" si="13"/>
        <v>2.1043475821046282E-4</v>
      </c>
    </row>
    <row r="751" spans="2:4" x14ac:dyDescent="0.25">
      <c r="B751" t="s">
        <v>7083</v>
      </c>
      <c r="C751" s="71">
        <v>15</v>
      </c>
      <c r="D751" s="75">
        <f t="shared" si="13"/>
        <v>2.1043475821046282E-4</v>
      </c>
    </row>
    <row r="752" spans="2:4" x14ac:dyDescent="0.25">
      <c r="B752" t="s">
        <v>7084</v>
      </c>
      <c r="C752" s="71">
        <v>15</v>
      </c>
      <c r="D752" s="75">
        <f t="shared" si="13"/>
        <v>2.1043475821046282E-4</v>
      </c>
    </row>
    <row r="753" spans="2:4" x14ac:dyDescent="0.25">
      <c r="B753" t="s">
        <v>7085</v>
      </c>
      <c r="C753" s="71">
        <v>15</v>
      </c>
      <c r="D753" s="75">
        <f t="shared" si="13"/>
        <v>2.1043475821046282E-4</v>
      </c>
    </row>
    <row r="754" spans="2:4" x14ac:dyDescent="0.25">
      <c r="B754" t="s">
        <v>7086</v>
      </c>
      <c r="C754" s="71">
        <v>15</v>
      </c>
      <c r="D754" s="75">
        <f t="shared" si="13"/>
        <v>2.1043475821046282E-4</v>
      </c>
    </row>
    <row r="755" spans="2:4" x14ac:dyDescent="0.25">
      <c r="B755" t="s">
        <v>7087</v>
      </c>
      <c r="C755" s="71">
        <v>15</v>
      </c>
      <c r="D755" s="75">
        <f t="shared" si="13"/>
        <v>2.1043475821046282E-4</v>
      </c>
    </row>
    <row r="756" spans="2:4" x14ac:dyDescent="0.25">
      <c r="B756" t="s">
        <v>7088</v>
      </c>
      <c r="C756" s="71">
        <v>15</v>
      </c>
      <c r="D756" s="75">
        <f t="shared" si="13"/>
        <v>2.1043475821046282E-4</v>
      </c>
    </row>
    <row r="757" spans="2:4" x14ac:dyDescent="0.25">
      <c r="B757" t="s">
        <v>7089</v>
      </c>
      <c r="C757" s="71">
        <v>15</v>
      </c>
      <c r="D757" s="75">
        <f t="shared" si="13"/>
        <v>2.1043475821046282E-4</v>
      </c>
    </row>
    <row r="758" spans="2:4" x14ac:dyDescent="0.25">
      <c r="B758" t="s">
        <v>7090</v>
      </c>
      <c r="C758" s="71">
        <v>15</v>
      </c>
      <c r="D758" s="75">
        <f t="shared" si="13"/>
        <v>2.1043475821046282E-4</v>
      </c>
    </row>
    <row r="759" spans="2:4" x14ac:dyDescent="0.25">
      <c r="B759" t="s">
        <v>7091</v>
      </c>
      <c r="C759" s="71">
        <v>15</v>
      </c>
      <c r="D759" s="75">
        <f t="shared" si="13"/>
        <v>2.1043475821046282E-4</v>
      </c>
    </row>
    <row r="760" spans="2:4" x14ac:dyDescent="0.25">
      <c r="B760" t="s">
        <v>7092</v>
      </c>
      <c r="C760" s="71">
        <v>15</v>
      </c>
      <c r="D760" s="75">
        <f t="shared" si="13"/>
        <v>2.1043475821046282E-4</v>
      </c>
    </row>
    <row r="761" spans="2:4" x14ac:dyDescent="0.25">
      <c r="B761" t="s">
        <v>7093</v>
      </c>
      <c r="C761" s="71">
        <v>15</v>
      </c>
      <c r="D761" s="75">
        <f t="shared" si="13"/>
        <v>2.1043475821046282E-4</v>
      </c>
    </row>
    <row r="762" spans="2:4" x14ac:dyDescent="0.25">
      <c r="B762" t="s">
        <v>7094</v>
      </c>
      <c r="C762" s="71">
        <v>15</v>
      </c>
      <c r="D762" s="75">
        <f t="shared" si="13"/>
        <v>2.1043475821046282E-4</v>
      </c>
    </row>
    <row r="763" spans="2:4" x14ac:dyDescent="0.25">
      <c r="B763" t="s">
        <v>7095</v>
      </c>
      <c r="C763" s="71">
        <v>15</v>
      </c>
      <c r="D763" s="75">
        <f t="shared" si="13"/>
        <v>2.1043475821046282E-4</v>
      </c>
    </row>
    <row r="764" spans="2:4" x14ac:dyDescent="0.25">
      <c r="B764" t="s">
        <v>7096</v>
      </c>
      <c r="C764" s="71">
        <v>15</v>
      </c>
      <c r="D764" s="75">
        <f t="shared" si="13"/>
        <v>2.1043475821046282E-4</v>
      </c>
    </row>
    <row r="765" spans="2:4" x14ac:dyDescent="0.25">
      <c r="B765" t="s">
        <v>7097</v>
      </c>
      <c r="C765" s="71">
        <v>15</v>
      </c>
      <c r="D765" s="75">
        <f t="shared" si="13"/>
        <v>2.1043475821046282E-4</v>
      </c>
    </row>
    <row r="766" spans="2:4" x14ac:dyDescent="0.25">
      <c r="B766" t="s">
        <v>7098</v>
      </c>
      <c r="C766" s="71">
        <v>15</v>
      </c>
      <c r="D766" s="75">
        <f t="shared" si="13"/>
        <v>2.1043475821046282E-4</v>
      </c>
    </row>
    <row r="767" spans="2:4" x14ac:dyDescent="0.25">
      <c r="B767" t="s">
        <v>7099</v>
      </c>
      <c r="C767" s="71">
        <v>15</v>
      </c>
      <c r="D767" s="75">
        <f t="shared" si="13"/>
        <v>2.1043475821046282E-4</v>
      </c>
    </row>
    <row r="768" spans="2:4" x14ac:dyDescent="0.25">
      <c r="B768" t="s">
        <v>7100</v>
      </c>
      <c r="C768" s="71">
        <v>15</v>
      </c>
      <c r="D768" s="75">
        <f t="shared" si="13"/>
        <v>2.1043475821046282E-4</v>
      </c>
    </row>
    <row r="769" spans="2:4" x14ac:dyDescent="0.25">
      <c r="B769" t="s">
        <v>7101</v>
      </c>
      <c r="C769" s="71">
        <v>15</v>
      </c>
      <c r="D769" s="75">
        <f t="shared" si="13"/>
        <v>2.1043475821046282E-4</v>
      </c>
    </row>
    <row r="770" spans="2:4" x14ac:dyDescent="0.25">
      <c r="B770" t="s">
        <v>7102</v>
      </c>
      <c r="C770" s="71">
        <v>15</v>
      </c>
      <c r="D770" s="75">
        <f t="shared" si="13"/>
        <v>2.1043475821046282E-4</v>
      </c>
    </row>
    <row r="771" spans="2:4" x14ac:dyDescent="0.25">
      <c r="B771" t="s">
        <v>7103</v>
      </c>
      <c r="C771" s="71">
        <v>15</v>
      </c>
      <c r="D771" s="75">
        <f t="shared" si="13"/>
        <v>2.1043475821046282E-4</v>
      </c>
    </row>
    <row r="772" spans="2:4" x14ac:dyDescent="0.25">
      <c r="B772" t="s">
        <v>7104</v>
      </c>
      <c r="C772" s="71">
        <v>15</v>
      </c>
      <c r="D772" s="75">
        <f t="shared" si="13"/>
        <v>2.1043475821046282E-4</v>
      </c>
    </row>
    <row r="773" spans="2:4" x14ac:dyDescent="0.25">
      <c r="B773" t="s">
        <v>7105</v>
      </c>
      <c r="C773" s="71">
        <v>15</v>
      </c>
      <c r="D773" s="75">
        <f t="shared" si="13"/>
        <v>2.1043475821046282E-4</v>
      </c>
    </row>
    <row r="774" spans="2:4" x14ac:dyDescent="0.25">
      <c r="B774" t="s">
        <v>7106</v>
      </c>
      <c r="C774" s="71">
        <v>15</v>
      </c>
      <c r="D774" s="75">
        <f t="shared" ref="D774:D837" si="14">C774/$C$4822</f>
        <v>2.1043475821046282E-4</v>
      </c>
    </row>
    <row r="775" spans="2:4" x14ac:dyDescent="0.25">
      <c r="B775" t="s">
        <v>7107</v>
      </c>
      <c r="C775" s="71">
        <v>15</v>
      </c>
      <c r="D775" s="75">
        <f t="shared" si="14"/>
        <v>2.1043475821046282E-4</v>
      </c>
    </row>
    <row r="776" spans="2:4" x14ac:dyDescent="0.25">
      <c r="B776" t="s">
        <v>7108</v>
      </c>
      <c r="C776" s="71">
        <v>15</v>
      </c>
      <c r="D776" s="75">
        <f t="shared" si="14"/>
        <v>2.1043475821046282E-4</v>
      </c>
    </row>
    <row r="777" spans="2:4" x14ac:dyDescent="0.25">
      <c r="B777" t="s">
        <v>7109</v>
      </c>
      <c r="C777" s="71">
        <v>15</v>
      </c>
      <c r="D777" s="75">
        <f t="shared" si="14"/>
        <v>2.1043475821046282E-4</v>
      </c>
    </row>
    <row r="778" spans="2:4" x14ac:dyDescent="0.25">
      <c r="B778" t="s">
        <v>7110</v>
      </c>
      <c r="C778" s="71">
        <v>15</v>
      </c>
      <c r="D778" s="75">
        <f t="shared" si="14"/>
        <v>2.1043475821046282E-4</v>
      </c>
    </row>
    <row r="779" spans="2:4" x14ac:dyDescent="0.25">
      <c r="B779" t="s">
        <v>7111</v>
      </c>
      <c r="C779" s="71">
        <v>14</v>
      </c>
      <c r="D779" s="75">
        <f t="shared" si="14"/>
        <v>1.9640577432976529E-4</v>
      </c>
    </row>
    <row r="780" spans="2:4" x14ac:dyDescent="0.25">
      <c r="B780" t="s">
        <v>7112</v>
      </c>
      <c r="C780" s="71">
        <v>14</v>
      </c>
      <c r="D780" s="75">
        <f t="shared" si="14"/>
        <v>1.9640577432976529E-4</v>
      </c>
    </row>
    <row r="781" spans="2:4" x14ac:dyDescent="0.25">
      <c r="B781" t="s">
        <v>7113</v>
      </c>
      <c r="C781" s="71">
        <v>14</v>
      </c>
      <c r="D781" s="75">
        <f t="shared" si="14"/>
        <v>1.9640577432976529E-4</v>
      </c>
    </row>
    <row r="782" spans="2:4" x14ac:dyDescent="0.25">
      <c r="B782" t="s">
        <v>7114</v>
      </c>
      <c r="C782" s="71">
        <v>14</v>
      </c>
      <c r="D782" s="75">
        <f t="shared" si="14"/>
        <v>1.9640577432976529E-4</v>
      </c>
    </row>
    <row r="783" spans="2:4" x14ac:dyDescent="0.25">
      <c r="B783" t="s">
        <v>7115</v>
      </c>
      <c r="C783" s="71">
        <v>14</v>
      </c>
      <c r="D783" s="75">
        <f t="shared" si="14"/>
        <v>1.9640577432976529E-4</v>
      </c>
    </row>
    <row r="784" spans="2:4" x14ac:dyDescent="0.25">
      <c r="B784" t="s">
        <v>7116</v>
      </c>
      <c r="C784" s="71">
        <v>14</v>
      </c>
      <c r="D784" s="75">
        <f t="shared" si="14"/>
        <v>1.9640577432976529E-4</v>
      </c>
    </row>
    <row r="785" spans="2:4" x14ac:dyDescent="0.25">
      <c r="B785" t="s">
        <v>7117</v>
      </c>
      <c r="C785" s="71">
        <v>14</v>
      </c>
      <c r="D785" s="75">
        <f t="shared" si="14"/>
        <v>1.9640577432976529E-4</v>
      </c>
    </row>
    <row r="786" spans="2:4" x14ac:dyDescent="0.25">
      <c r="B786" t="s">
        <v>7118</v>
      </c>
      <c r="C786" s="71">
        <v>14</v>
      </c>
      <c r="D786" s="75">
        <f t="shared" si="14"/>
        <v>1.9640577432976529E-4</v>
      </c>
    </row>
    <row r="787" spans="2:4" x14ac:dyDescent="0.25">
      <c r="B787" t="s">
        <v>7119</v>
      </c>
      <c r="C787" s="71">
        <v>14</v>
      </c>
      <c r="D787" s="75">
        <f t="shared" si="14"/>
        <v>1.9640577432976529E-4</v>
      </c>
    </row>
    <row r="788" spans="2:4" x14ac:dyDescent="0.25">
      <c r="B788" t="s">
        <v>7120</v>
      </c>
      <c r="C788" s="71">
        <v>14</v>
      </c>
      <c r="D788" s="75">
        <f t="shared" si="14"/>
        <v>1.9640577432976529E-4</v>
      </c>
    </row>
    <row r="789" spans="2:4" x14ac:dyDescent="0.25">
      <c r="B789" t="s">
        <v>7121</v>
      </c>
      <c r="C789" s="71">
        <v>14</v>
      </c>
      <c r="D789" s="75">
        <f t="shared" si="14"/>
        <v>1.9640577432976529E-4</v>
      </c>
    </row>
    <row r="790" spans="2:4" x14ac:dyDescent="0.25">
      <c r="B790" t="s">
        <v>7122</v>
      </c>
      <c r="C790" s="71">
        <v>14</v>
      </c>
      <c r="D790" s="75">
        <f t="shared" si="14"/>
        <v>1.9640577432976529E-4</v>
      </c>
    </row>
    <row r="791" spans="2:4" x14ac:dyDescent="0.25">
      <c r="B791" t="s">
        <v>7123</v>
      </c>
      <c r="C791" s="71">
        <v>14</v>
      </c>
      <c r="D791" s="75">
        <f t="shared" si="14"/>
        <v>1.9640577432976529E-4</v>
      </c>
    </row>
    <row r="792" spans="2:4" x14ac:dyDescent="0.25">
      <c r="B792" t="s">
        <v>7124</v>
      </c>
      <c r="C792" s="71">
        <v>14</v>
      </c>
      <c r="D792" s="75">
        <f t="shared" si="14"/>
        <v>1.9640577432976529E-4</v>
      </c>
    </row>
    <row r="793" spans="2:4" x14ac:dyDescent="0.25">
      <c r="B793" t="s">
        <v>7125</v>
      </c>
      <c r="C793" s="71">
        <v>14</v>
      </c>
      <c r="D793" s="75">
        <f t="shared" si="14"/>
        <v>1.9640577432976529E-4</v>
      </c>
    </row>
    <row r="794" spans="2:4" x14ac:dyDescent="0.25">
      <c r="B794" t="s">
        <v>7126</v>
      </c>
      <c r="C794" s="71">
        <v>14</v>
      </c>
      <c r="D794" s="75">
        <f t="shared" si="14"/>
        <v>1.9640577432976529E-4</v>
      </c>
    </row>
    <row r="795" spans="2:4" x14ac:dyDescent="0.25">
      <c r="B795" t="s">
        <v>7127</v>
      </c>
      <c r="C795" s="71">
        <v>14</v>
      </c>
      <c r="D795" s="75">
        <f t="shared" si="14"/>
        <v>1.9640577432976529E-4</v>
      </c>
    </row>
    <row r="796" spans="2:4" x14ac:dyDescent="0.25">
      <c r="B796" t="s">
        <v>7128</v>
      </c>
      <c r="C796" s="71">
        <v>14</v>
      </c>
      <c r="D796" s="75">
        <f t="shared" si="14"/>
        <v>1.9640577432976529E-4</v>
      </c>
    </row>
    <row r="797" spans="2:4" x14ac:dyDescent="0.25">
      <c r="B797" t="s">
        <v>7129</v>
      </c>
      <c r="C797" s="71">
        <v>14</v>
      </c>
      <c r="D797" s="75">
        <f t="shared" si="14"/>
        <v>1.9640577432976529E-4</v>
      </c>
    </row>
    <row r="798" spans="2:4" x14ac:dyDescent="0.25">
      <c r="B798" t="s">
        <v>7130</v>
      </c>
      <c r="C798" s="71">
        <v>14</v>
      </c>
      <c r="D798" s="75">
        <f t="shared" si="14"/>
        <v>1.9640577432976529E-4</v>
      </c>
    </row>
    <row r="799" spans="2:4" x14ac:dyDescent="0.25">
      <c r="B799" t="s">
        <v>7131</v>
      </c>
      <c r="C799" s="71">
        <v>14</v>
      </c>
      <c r="D799" s="75">
        <f t="shared" si="14"/>
        <v>1.9640577432976529E-4</v>
      </c>
    </row>
    <row r="800" spans="2:4" x14ac:dyDescent="0.25">
      <c r="B800" t="s">
        <v>7132</v>
      </c>
      <c r="C800" s="71">
        <v>14</v>
      </c>
      <c r="D800" s="75">
        <f t="shared" si="14"/>
        <v>1.9640577432976529E-4</v>
      </c>
    </row>
    <row r="801" spans="2:4" x14ac:dyDescent="0.25">
      <c r="B801" t="s">
        <v>7133</v>
      </c>
      <c r="C801" s="71">
        <v>14</v>
      </c>
      <c r="D801" s="75">
        <f t="shared" si="14"/>
        <v>1.9640577432976529E-4</v>
      </c>
    </row>
    <row r="802" spans="2:4" x14ac:dyDescent="0.25">
      <c r="B802" t="s">
        <v>7134</v>
      </c>
      <c r="C802" s="71">
        <v>14</v>
      </c>
      <c r="D802" s="75">
        <f t="shared" si="14"/>
        <v>1.9640577432976529E-4</v>
      </c>
    </row>
    <row r="803" spans="2:4" x14ac:dyDescent="0.25">
      <c r="B803" t="s">
        <v>7135</v>
      </c>
      <c r="C803" s="71">
        <v>14</v>
      </c>
      <c r="D803" s="75">
        <f t="shared" si="14"/>
        <v>1.9640577432976529E-4</v>
      </c>
    </row>
    <row r="804" spans="2:4" x14ac:dyDescent="0.25">
      <c r="B804" t="s">
        <v>7136</v>
      </c>
      <c r="C804" s="71">
        <v>14</v>
      </c>
      <c r="D804" s="75">
        <f t="shared" si="14"/>
        <v>1.9640577432976529E-4</v>
      </c>
    </row>
    <row r="805" spans="2:4" x14ac:dyDescent="0.25">
      <c r="B805" t="s">
        <v>7137</v>
      </c>
      <c r="C805" s="71">
        <v>14</v>
      </c>
      <c r="D805" s="75">
        <f t="shared" si="14"/>
        <v>1.9640577432976529E-4</v>
      </c>
    </row>
    <row r="806" spans="2:4" x14ac:dyDescent="0.25">
      <c r="B806" t="s">
        <v>7138</v>
      </c>
      <c r="C806" s="71">
        <v>14</v>
      </c>
      <c r="D806" s="75">
        <f t="shared" si="14"/>
        <v>1.9640577432976529E-4</v>
      </c>
    </row>
    <row r="807" spans="2:4" x14ac:dyDescent="0.25">
      <c r="B807" t="s">
        <v>7139</v>
      </c>
      <c r="C807" s="71">
        <v>14</v>
      </c>
      <c r="D807" s="75">
        <f t="shared" si="14"/>
        <v>1.9640577432976529E-4</v>
      </c>
    </row>
    <row r="808" spans="2:4" x14ac:dyDescent="0.25">
      <c r="B808" t="s">
        <v>7140</v>
      </c>
      <c r="C808" s="71">
        <v>14</v>
      </c>
      <c r="D808" s="75">
        <f t="shared" si="14"/>
        <v>1.9640577432976529E-4</v>
      </c>
    </row>
    <row r="809" spans="2:4" x14ac:dyDescent="0.25">
      <c r="B809" t="s">
        <v>7141</v>
      </c>
      <c r="C809" s="71">
        <v>14</v>
      </c>
      <c r="D809" s="75">
        <f t="shared" si="14"/>
        <v>1.9640577432976529E-4</v>
      </c>
    </row>
    <row r="810" spans="2:4" x14ac:dyDescent="0.25">
      <c r="B810" t="s">
        <v>7142</v>
      </c>
      <c r="C810" s="71">
        <v>14</v>
      </c>
      <c r="D810" s="75">
        <f t="shared" si="14"/>
        <v>1.9640577432976529E-4</v>
      </c>
    </row>
    <row r="811" spans="2:4" x14ac:dyDescent="0.25">
      <c r="B811" t="s">
        <v>7143</v>
      </c>
      <c r="C811" s="71">
        <v>14</v>
      </c>
      <c r="D811" s="75">
        <f t="shared" si="14"/>
        <v>1.9640577432976529E-4</v>
      </c>
    </row>
    <row r="812" spans="2:4" x14ac:dyDescent="0.25">
      <c r="B812" t="s">
        <v>7144</v>
      </c>
      <c r="C812" s="71">
        <v>13</v>
      </c>
      <c r="D812" s="75">
        <f t="shared" si="14"/>
        <v>1.8237679044906776E-4</v>
      </c>
    </row>
    <row r="813" spans="2:4" x14ac:dyDescent="0.25">
      <c r="B813" t="s">
        <v>7145</v>
      </c>
      <c r="C813" s="71">
        <v>13</v>
      </c>
      <c r="D813" s="75">
        <f t="shared" si="14"/>
        <v>1.8237679044906776E-4</v>
      </c>
    </row>
    <row r="814" spans="2:4" x14ac:dyDescent="0.25">
      <c r="B814" t="s">
        <v>7146</v>
      </c>
      <c r="C814" s="71">
        <v>13</v>
      </c>
      <c r="D814" s="75">
        <f t="shared" si="14"/>
        <v>1.8237679044906776E-4</v>
      </c>
    </row>
    <row r="815" spans="2:4" x14ac:dyDescent="0.25">
      <c r="B815" t="s">
        <v>7147</v>
      </c>
      <c r="C815" s="71">
        <v>13</v>
      </c>
      <c r="D815" s="75">
        <f t="shared" si="14"/>
        <v>1.8237679044906776E-4</v>
      </c>
    </row>
    <row r="816" spans="2:4" x14ac:dyDescent="0.25">
      <c r="B816" t="s">
        <v>7148</v>
      </c>
      <c r="C816" s="71">
        <v>13</v>
      </c>
      <c r="D816" s="75">
        <f t="shared" si="14"/>
        <v>1.8237679044906776E-4</v>
      </c>
    </row>
    <row r="817" spans="2:4" x14ac:dyDescent="0.25">
      <c r="B817" t="s">
        <v>7149</v>
      </c>
      <c r="C817" s="71">
        <v>13</v>
      </c>
      <c r="D817" s="75">
        <f t="shared" si="14"/>
        <v>1.8237679044906776E-4</v>
      </c>
    </row>
    <row r="818" spans="2:4" x14ac:dyDescent="0.25">
      <c r="B818" t="s">
        <v>7150</v>
      </c>
      <c r="C818" s="71">
        <v>13</v>
      </c>
      <c r="D818" s="75">
        <f t="shared" si="14"/>
        <v>1.8237679044906776E-4</v>
      </c>
    </row>
    <row r="819" spans="2:4" x14ac:dyDescent="0.25">
      <c r="B819" t="s">
        <v>7151</v>
      </c>
      <c r="C819" s="71">
        <v>13</v>
      </c>
      <c r="D819" s="75">
        <f t="shared" si="14"/>
        <v>1.8237679044906776E-4</v>
      </c>
    </row>
    <row r="820" spans="2:4" x14ac:dyDescent="0.25">
      <c r="B820" t="s">
        <v>7152</v>
      </c>
      <c r="C820" s="71">
        <v>13</v>
      </c>
      <c r="D820" s="75">
        <f t="shared" si="14"/>
        <v>1.8237679044906776E-4</v>
      </c>
    </row>
    <row r="821" spans="2:4" x14ac:dyDescent="0.25">
      <c r="B821" t="s">
        <v>7153</v>
      </c>
      <c r="C821" s="71">
        <v>13</v>
      </c>
      <c r="D821" s="75">
        <f t="shared" si="14"/>
        <v>1.8237679044906776E-4</v>
      </c>
    </row>
    <row r="822" spans="2:4" x14ac:dyDescent="0.25">
      <c r="B822" t="s">
        <v>7154</v>
      </c>
      <c r="C822" s="71">
        <v>13</v>
      </c>
      <c r="D822" s="75">
        <f t="shared" si="14"/>
        <v>1.8237679044906776E-4</v>
      </c>
    </row>
    <row r="823" spans="2:4" x14ac:dyDescent="0.25">
      <c r="B823" t="s">
        <v>7155</v>
      </c>
      <c r="C823" s="71">
        <v>13</v>
      </c>
      <c r="D823" s="75">
        <f t="shared" si="14"/>
        <v>1.8237679044906776E-4</v>
      </c>
    </row>
    <row r="824" spans="2:4" x14ac:dyDescent="0.25">
      <c r="B824" t="s">
        <v>7156</v>
      </c>
      <c r="C824" s="71">
        <v>13</v>
      </c>
      <c r="D824" s="75">
        <f t="shared" si="14"/>
        <v>1.8237679044906776E-4</v>
      </c>
    </row>
    <row r="825" spans="2:4" x14ac:dyDescent="0.25">
      <c r="B825" t="s">
        <v>7157</v>
      </c>
      <c r="C825" s="71">
        <v>13</v>
      </c>
      <c r="D825" s="75">
        <f t="shared" si="14"/>
        <v>1.8237679044906776E-4</v>
      </c>
    </row>
    <row r="826" spans="2:4" x14ac:dyDescent="0.25">
      <c r="B826" t="s">
        <v>7158</v>
      </c>
      <c r="C826" s="71">
        <v>13</v>
      </c>
      <c r="D826" s="75">
        <f t="shared" si="14"/>
        <v>1.8237679044906776E-4</v>
      </c>
    </row>
    <row r="827" spans="2:4" x14ac:dyDescent="0.25">
      <c r="B827" t="s">
        <v>7159</v>
      </c>
      <c r="C827" s="71">
        <v>13</v>
      </c>
      <c r="D827" s="75">
        <f t="shared" si="14"/>
        <v>1.8237679044906776E-4</v>
      </c>
    </row>
    <row r="828" spans="2:4" x14ac:dyDescent="0.25">
      <c r="B828" t="s">
        <v>7160</v>
      </c>
      <c r="C828" s="71">
        <v>13</v>
      </c>
      <c r="D828" s="75">
        <f t="shared" si="14"/>
        <v>1.8237679044906776E-4</v>
      </c>
    </row>
    <row r="829" spans="2:4" x14ac:dyDescent="0.25">
      <c r="B829" t="s">
        <v>7161</v>
      </c>
      <c r="C829" s="71">
        <v>13</v>
      </c>
      <c r="D829" s="75">
        <f t="shared" si="14"/>
        <v>1.8237679044906776E-4</v>
      </c>
    </row>
    <row r="830" spans="2:4" x14ac:dyDescent="0.25">
      <c r="B830" t="s">
        <v>7162</v>
      </c>
      <c r="C830" s="71">
        <v>13</v>
      </c>
      <c r="D830" s="75">
        <f t="shared" si="14"/>
        <v>1.8237679044906776E-4</v>
      </c>
    </row>
    <row r="831" spans="2:4" x14ac:dyDescent="0.25">
      <c r="B831" t="s">
        <v>7163</v>
      </c>
      <c r="C831" s="71">
        <v>13</v>
      </c>
      <c r="D831" s="75">
        <f t="shared" si="14"/>
        <v>1.8237679044906776E-4</v>
      </c>
    </row>
    <row r="832" spans="2:4" x14ac:dyDescent="0.25">
      <c r="B832" t="s">
        <v>7164</v>
      </c>
      <c r="C832" s="71">
        <v>13</v>
      </c>
      <c r="D832" s="75">
        <f t="shared" si="14"/>
        <v>1.8237679044906776E-4</v>
      </c>
    </row>
    <row r="833" spans="2:4" x14ac:dyDescent="0.25">
      <c r="B833" t="s">
        <v>7165</v>
      </c>
      <c r="C833" s="71">
        <v>13</v>
      </c>
      <c r="D833" s="75">
        <f t="shared" si="14"/>
        <v>1.8237679044906776E-4</v>
      </c>
    </row>
    <row r="834" spans="2:4" x14ac:dyDescent="0.25">
      <c r="B834" t="s">
        <v>7166</v>
      </c>
      <c r="C834" s="71">
        <v>13</v>
      </c>
      <c r="D834" s="75">
        <f t="shared" si="14"/>
        <v>1.8237679044906776E-4</v>
      </c>
    </row>
    <row r="835" spans="2:4" x14ac:dyDescent="0.25">
      <c r="B835" t="s">
        <v>7167</v>
      </c>
      <c r="C835" s="71">
        <v>13</v>
      </c>
      <c r="D835" s="75">
        <f t="shared" si="14"/>
        <v>1.8237679044906776E-4</v>
      </c>
    </row>
    <row r="836" spans="2:4" x14ac:dyDescent="0.25">
      <c r="B836" t="s">
        <v>7168</v>
      </c>
      <c r="C836" s="71">
        <v>13</v>
      </c>
      <c r="D836" s="75">
        <f t="shared" si="14"/>
        <v>1.8237679044906776E-4</v>
      </c>
    </row>
    <row r="837" spans="2:4" x14ac:dyDescent="0.25">
      <c r="B837" t="s">
        <v>7169</v>
      </c>
      <c r="C837" s="71">
        <v>13</v>
      </c>
      <c r="D837" s="75">
        <f t="shared" si="14"/>
        <v>1.8237679044906776E-4</v>
      </c>
    </row>
    <row r="838" spans="2:4" x14ac:dyDescent="0.25">
      <c r="B838" t="s">
        <v>7170</v>
      </c>
      <c r="C838" s="71">
        <v>13</v>
      </c>
      <c r="D838" s="75">
        <f t="shared" ref="D838:D901" si="15">C838/$C$4822</f>
        <v>1.8237679044906776E-4</v>
      </c>
    </row>
    <row r="839" spans="2:4" x14ac:dyDescent="0.25">
      <c r="B839" t="s">
        <v>7171</v>
      </c>
      <c r="C839" s="71">
        <v>13</v>
      </c>
      <c r="D839" s="75">
        <f t="shared" si="15"/>
        <v>1.8237679044906776E-4</v>
      </c>
    </row>
    <row r="840" spans="2:4" x14ac:dyDescent="0.25">
      <c r="B840" t="s">
        <v>7172</v>
      </c>
      <c r="C840" s="71">
        <v>12</v>
      </c>
      <c r="D840" s="75">
        <f t="shared" si="15"/>
        <v>1.6834780656837026E-4</v>
      </c>
    </row>
    <row r="841" spans="2:4" x14ac:dyDescent="0.25">
      <c r="B841" t="s">
        <v>7173</v>
      </c>
      <c r="C841" s="71">
        <v>12</v>
      </c>
      <c r="D841" s="75">
        <f t="shared" si="15"/>
        <v>1.6834780656837026E-4</v>
      </c>
    </row>
    <row r="842" spans="2:4" x14ac:dyDescent="0.25">
      <c r="B842" t="s">
        <v>7174</v>
      </c>
      <c r="C842" s="71">
        <v>12</v>
      </c>
      <c r="D842" s="75">
        <f t="shared" si="15"/>
        <v>1.6834780656837026E-4</v>
      </c>
    </row>
    <row r="843" spans="2:4" x14ac:dyDescent="0.25">
      <c r="B843" t="s">
        <v>7175</v>
      </c>
      <c r="C843" s="71">
        <v>12</v>
      </c>
      <c r="D843" s="75">
        <f t="shared" si="15"/>
        <v>1.6834780656837026E-4</v>
      </c>
    </row>
    <row r="844" spans="2:4" x14ac:dyDescent="0.25">
      <c r="B844" t="s">
        <v>7176</v>
      </c>
      <c r="C844" s="71">
        <v>12</v>
      </c>
      <c r="D844" s="75">
        <f t="shared" si="15"/>
        <v>1.6834780656837026E-4</v>
      </c>
    </row>
    <row r="845" spans="2:4" x14ac:dyDescent="0.25">
      <c r="B845" t="s">
        <v>7177</v>
      </c>
      <c r="C845" s="71">
        <v>12</v>
      </c>
      <c r="D845" s="75">
        <f t="shared" si="15"/>
        <v>1.6834780656837026E-4</v>
      </c>
    </row>
    <row r="846" spans="2:4" x14ac:dyDescent="0.25">
      <c r="B846" t="s">
        <v>7178</v>
      </c>
      <c r="C846" s="71">
        <v>12</v>
      </c>
      <c r="D846" s="75">
        <f t="shared" si="15"/>
        <v>1.6834780656837026E-4</v>
      </c>
    </row>
    <row r="847" spans="2:4" x14ac:dyDescent="0.25">
      <c r="B847" t="s">
        <v>7179</v>
      </c>
      <c r="C847" s="71">
        <v>12</v>
      </c>
      <c r="D847" s="75">
        <f t="shared" si="15"/>
        <v>1.6834780656837026E-4</v>
      </c>
    </row>
    <row r="848" spans="2:4" x14ac:dyDescent="0.25">
      <c r="B848" t="s">
        <v>7180</v>
      </c>
      <c r="C848" s="71">
        <v>12</v>
      </c>
      <c r="D848" s="75">
        <f t="shared" si="15"/>
        <v>1.6834780656837026E-4</v>
      </c>
    </row>
    <row r="849" spans="2:4" x14ac:dyDescent="0.25">
      <c r="B849" t="s">
        <v>7181</v>
      </c>
      <c r="C849" s="71">
        <v>12</v>
      </c>
      <c r="D849" s="75">
        <f t="shared" si="15"/>
        <v>1.6834780656837026E-4</v>
      </c>
    </row>
    <row r="850" spans="2:4" x14ac:dyDescent="0.25">
      <c r="B850" t="s">
        <v>7182</v>
      </c>
      <c r="C850" s="71">
        <v>12</v>
      </c>
      <c r="D850" s="75">
        <f t="shared" si="15"/>
        <v>1.6834780656837026E-4</v>
      </c>
    </row>
    <row r="851" spans="2:4" x14ac:dyDescent="0.25">
      <c r="B851" t="s">
        <v>7183</v>
      </c>
      <c r="C851" s="71">
        <v>12</v>
      </c>
      <c r="D851" s="75">
        <f t="shared" si="15"/>
        <v>1.6834780656837026E-4</v>
      </c>
    </row>
    <row r="852" spans="2:4" x14ac:dyDescent="0.25">
      <c r="B852" t="s">
        <v>7184</v>
      </c>
      <c r="C852" s="71">
        <v>12</v>
      </c>
      <c r="D852" s="75">
        <f t="shared" si="15"/>
        <v>1.6834780656837026E-4</v>
      </c>
    </row>
    <row r="853" spans="2:4" x14ac:dyDescent="0.25">
      <c r="B853" t="s">
        <v>7185</v>
      </c>
      <c r="C853" s="71">
        <v>12</v>
      </c>
      <c r="D853" s="75">
        <f t="shared" si="15"/>
        <v>1.6834780656837026E-4</v>
      </c>
    </row>
    <row r="854" spans="2:4" x14ac:dyDescent="0.25">
      <c r="B854" t="s">
        <v>7186</v>
      </c>
      <c r="C854" s="71">
        <v>12</v>
      </c>
      <c r="D854" s="75">
        <f t="shared" si="15"/>
        <v>1.6834780656837026E-4</v>
      </c>
    </row>
    <row r="855" spans="2:4" x14ac:dyDescent="0.25">
      <c r="B855" t="s">
        <v>7187</v>
      </c>
      <c r="C855" s="71">
        <v>12</v>
      </c>
      <c r="D855" s="75">
        <f t="shared" si="15"/>
        <v>1.6834780656837026E-4</v>
      </c>
    </row>
    <row r="856" spans="2:4" x14ac:dyDescent="0.25">
      <c r="B856" t="s">
        <v>7188</v>
      </c>
      <c r="C856" s="71">
        <v>12</v>
      </c>
      <c r="D856" s="75">
        <f t="shared" si="15"/>
        <v>1.6834780656837026E-4</v>
      </c>
    </row>
    <row r="857" spans="2:4" x14ac:dyDescent="0.25">
      <c r="B857" t="s">
        <v>7189</v>
      </c>
      <c r="C857" s="71">
        <v>12</v>
      </c>
      <c r="D857" s="75">
        <f t="shared" si="15"/>
        <v>1.6834780656837026E-4</v>
      </c>
    </row>
    <row r="858" spans="2:4" x14ac:dyDescent="0.25">
      <c r="B858" t="s">
        <v>7190</v>
      </c>
      <c r="C858" s="71">
        <v>12</v>
      </c>
      <c r="D858" s="75">
        <f t="shared" si="15"/>
        <v>1.6834780656837026E-4</v>
      </c>
    </row>
    <row r="859" spans="2:4" x14ac:dyDescent="0.25">
      <c r="B859" t="s">
        <v>7191</v>
      </c>
      <c r="C859" s="71">
        <v>12</v>
      </c>
      <c r="D859" s="75">
        <f t="shared" si="15"/>
        <v>1.6834780656837026E-4</v>
      </c>
    </row>
    <row r="860" spans="2:4" x14ac:dyDescent="0.25">
      <c r="B860" t="s">
        <v>7192</v>
      </c>
      <c r="C860" s="71">
        <v>12</v>
      </c>
      <c r="D860" s="75">
        <f t="shared" si="15"/>
        <v>1.6834780656837026E-4</v>
      </c>
    </row>
    <row r="861" spans="2:4" x14ac:dyDescent="0.25">
      <c r="B861" t="s">
        <v>7193</v>
      </c>
      <c r="C861" s="71">
        <v>12</v>
      </c>
      <c r="D861" s="75">
        <f t="shared" si="15"/>
        <v>1.6834780656837026E-4</v>
      </c>
    </row>
    <row r="862" spans="2:4" x14ac:dyDescent="0.25">
      <c r="B862" t="s">
        <v>7194</v>
      </c>
      <c r="C862" s="71">
        <v>12</v>
      </c>
      <c r="D862" s="75">
        <f t="shared" si="15"/>
        <v>1.6834780656837026E-4</v>
      </c>
    </row>
    <row r="863" spans="2:4" x14ac:dyDescent="0.25">
      <c r="B863" t="s">
        <v>7195</v>
      </c>
      <c r="C863" s="71">
        <v>12</v>
      </c>
      <c r="D863" s="75">
        <f t="shared" si="15"/>
        <v>1.6834780656837026E-4</v>
      </c>
    </row>
    <row r="864" spans="2:4" x14ac:dyDescent="0.25">
      <c r="B864" t="s">
        <v>7196</v>
      </c>
      <c r="C864" s="71">
        <v>12</v>
      </c>
      <c r="D864" s="75">
        <f t="shared" si="15"/>
        <v>1.6834780656837026E-4</v>
      </c>
    </row>
    <row r="865" spans="2:4" x14ac:dyDescent="0.25">
      <c r="B865" t="s">
        <v>7197</v>
      </c>
      <c r="C865" s="71">
        <v>12</v>
      </c>
      <c r="D865" s="75">
        <f t="shared" si="15"/>
        <v>1.6834780656837026E-4</v>
      </c>
    </row>
    <row r="866" spans="2:4" x14ac:dyDescent="0.25">
      <c r="B866" t="s">
        <v>7198</v>
      </c>
      <c r="C866" s="71">
        <v>12</v>
      </c>
      <c r="D866" s="75">
        <f t="shared" si="15"/>
        <v>1.6834780656837026E-4</v>
      </c>
    </row>
    <row r="867" spans="2:4" x14ac:dyDescent="0.25">
      <c r="B867" t="s">
        <v>7199</v>
      </c>
      <c r="C867" s="71">
        <v>12</v>
      </c>
      <c r="D867" s="75">
        <f t="shared" si="15"/>
        <v>1.6834780656837026E-4</v>
      </c>
    </row>
    <row r="868" spans="2:4" x14ac:dyDescent="0.25">
      <c r="B868" t="s">
        <v>7200</v>
      </c>
      <c r="C868" s="71">
        <v>12</v>
      </c>
      <c r="D868" s="75">
        <f t="shared" si="15"/>
        <v>1.6834780656837026E-4</v>
      </c>
    </row>
    <row r="869" spans="2:4" x14ac:dyDescent="0.25">
      <c r="B869" t="s">
        <v>7201</v>
      </c>
      <c r="C869" s="71">
        <v>12</v>
      </c>
      <c r="D869" s="75">
        <f t="shared" si="15"/>
        <v>1.6834780656837026E-4</v>
      </c>
    </row>
    <row r="870" spans="2:4" x14ac:dyDescent="0.25">
      <c r="B870" t="s">
        <v>7202</v>
      </c>
      <c r="C870" s="71">
        <v>12</v>
      </c>
      <c r="D870" s="75">
        <f t="shared" si="15"/>
        <v>1.6834780656837026E-4</v>
      </c>
    </row>
    <row r="871" spans="2:4" x14ac:dyDescent="0.25">
      <c r="B871" t="s">
        <v>7203</v>
      </c>
      <c r="C871" s="71">
        <v>12</v>
      </c>
      <c r="D871" s="75">
        <f t="shared" si="15"/>
        <v>1.6834780656837026E-4</v>
      </c>
    </row>
    <row r="872" spans="2:4" x14ac:dyDescent="0.25">
      <c r="B872" t="s">
        <v>7204</v>
      </c>
      <c r="C872" s="71">
        <v>12</v>
      </c>
      <c r="D872" s="75">
        <f t="shared" si="15"/>
        <v>1.6834780656837026E-4</v>
      </c>
    </row>
    <row r="873" spans="2:4" x14ac:dyDescent="0.25">
      <c r="B873" t="s">
        <v>7205</v>
      </c>
      <c r="C873" s="71">
        <v>12</v>
      </c>
      <c r="D873" s="75">
        <f t="shared" si="15"/>
        <v>1.6834780656837026E-4</v>
      </c>
    </row>
    <row r="874" spans="2:4" x14ac:dyDescent="0.25">
      <c r="B874" t="s">
        <v>7206</v>
      </c>
      <c r="C874" s="71">
        <v>12</v>
      </c>
      <c r="D874" s="75">
        <f t="shared" si="15"/>
        <v>1.6834780656837026E-4</v>
      </c>
    </row>
    <row r="875" spans="2:4" x14ac:dyDescent="0.25">
      <c r="B875" t="s">
        <v>7207</v>
      </c>
      <c r="C875" s="71">
        <v>12</v>
      </c>
      <c r="D875" s="75">
        <f t="shared" si="15"/>
        <v>1.6834780656837026E-4</v>
      </c>
    </row>
    <row r="876" spans="2:4" x14ac:dyDescent="0.25">
      <c r="B876" t="s">
        <v>7208</v>
      </c>
      <c r="C876" s="71">
        <v>12</v>
      </c>
      <c r="D876" s="75">
        <f t="shared" si="15"/>
        <v>1.6834780656837026E-4</v>
      </c>
    </row>
    <row r="877" spans="2:4" x14ac:dyDescent="0.25">
      <c r="B877" t="s">
        <v>7209</v>
      </c>
      <c r="C877" s="71">
        <v>12</v>
      </c>
      <c r="D877" s="75">
        <f t="shared" si="15"/>
        <v>1.6834780656837026E-4</v>
      </c>
    </row>
    <row r="878" spans="2:4" x14ac:dyDescent="0.25">
      <c r="B878" t="s">
        <v>7210</v>
      </c>
      <c r="C878" s="71">
        <v>12</v>
      </c>
      <c r="D878" s="75">
        <f t="shared" si="15"/>
        <v>1.6834780656837026E-4</v>
      </c>
    </row>
    <row r="879" spans="2:4" x14ac:dyDescent="0.25">
      <c r="B879" t="s">
        <v>7211</v>
      </c>
      <c r="C879" s="71">
        <v>12</v>
      </c>
      <c r="D879" s="75">
        <f t="shared" si="15"/>
        <v>1.6834780656837026E-4</v>
      </c>
    </row>
    <row r="880" spans="2:4" x14ac:dyDescent="0.25">
      <c r="B880" t="s">
        <v>7212</v>
      </c>
      <c r="C880" s="71">
        <v>12</v>
      </c>
      <c r="D880" s="75">
        <f t="shared" si="15"/>
        <v>1.6834780656837026E-4</v>
      </c>
    </row>
    <row r="881" spans="2:4" x14ac:dyDescent="0.25">
      <c r="B881" t="s">
        <v>7213</v>
      </c>
      <c r="C881" s="71">
        <v>12</v>
      </c>
      <c r="D881" s="75">
        <f t="shared" si="15"/>
        <v>1.6834780656837026E-4</v>
      </c>
    </row>
    <row r="882" spans="2:4" x14ac:dyDescent="0.25">
      <c r="B882" t="s">
        <v>7214</v>
      </c>
      <c r="C882" s="71">
        <v>12</v>
      </c>
      <c r="D882" s="75">
        <f t="shared" si="15"/>
        <v>1.6834780656837026E-4</v>
      </c>
    </row>
    <row r="883" spans="2:4" x14ac:dyDescent="0.25">
      <c r="B883" t="s">
        <v>7215</v>
      </c>
      <c r="C883" s="71">
        <v>12</v>
      </c>
      <c r="D883" s="75">
        <f t="shared" si="15"/>
        <v>1.6834780656837026E-4</v>
      </c>
    </row>
    <row r="884" spans="2:4" x14ac:dyDescent="0.25">
      <c r="B884" t="s">
        <v>7216</v>
      </c>
      <c r="C884" s="71">
        <v>12</v>
      </c>
      <c r="D884" s="75">
        <f t="shared" si="15"/>
        <v>1.6834780656837026E-4</v>
      </c>
    </row>
    <row r="885" spans="2:4" x14ac:dyDescent="0.25">
      <c r="B885" t="s">
        <v>7217</v>
      </c>
      <c r="C885" s="71">
        <v>11</v>
      </c>
      <c r="D885" s="75">
        <f t="shared" si="15"/>
        <v>1.5431882268767273E-4</v>
      </c>
    </row>
    <row r="886" spans="2:4" x14ac:dyDescent="0.25">
      <c r="B886" t="s">
        <v>7218</v>
      </c>
      <c r="C886" s="71">
        <v>11</v>
      </c>
      <c r="D886" s="75">
        <f t="shared" si="15"/>
        <v>1.5431882268767273E-4</v>
      </c>
    </row>
    <row r="887" spans="2:4" x14ac:dyDescent="0.25">
      <c r="B887" t="s">
        <v>7219</v>
      </c>
      <c r="C887" s="71">
        <v>11</v>
      </c>
      <c r="D887" s="75">
        <f t="shared" si="15"/>
        <v>1.5431882268767273E-4</v>
      </c>
    </row>
    <row r="888" spans="2:4" x14ac:dyDescent="0.25">
      <c r="B888" t="s">
        <v>7220</v>
      </c>
      <c r="C888" s="71">
        <v>11</v>
      </c>
      <c r="D888" s="75">
        <f t="shared" si="15"/>
        <v>1.5431882268767273E-4</v>
      </c>
    </row>
    <row r="889" spans="2:4" x14ac:dyDescent="0.25">
      <c r="B889" t="s">
        <v>7221</v>
      </c>
      <c r="C889" s="71">
        <v>11</v>
      </c>
      <c r="D889" s="75">
        <f t="shared" si="15"/>
        <v>1.5431882268767273E-4</v>
      </c>
    </row>
    <row r="890" spans="2:4" x14ac:dyDescent="0.25">
      <c r="B890" t="s">
        <v>7222</v>
      </c>
      <c r="C890" s="71">
        <v>11</v>
      </c>
      <c r="D890" s="75">
        <f t="shared" si="15"/>
        <v>1.5431882268767273E-4</v>
      </c>
    </row>
    <row r="891" spans="2:4" x14ac:dyDescent="0.25">
      <c r="B891" t="s">
        <v>7223</v>
      </c>
      <c r="C891" s="71">
        <v>11</v>
      </c>
      <c r="D891" s="75">
        <f t="shared" si="15"/>
        <v>1.5431882268767273E-4</v>
      </c>
    </row>
    <row r="892" spans="2:4" x14ac:dyDescent="0.25">
      <c r="B892" t="s">
        <v>7224</v>
      </c>
      <c r="C892" s="71">
        <v>11</v>
      </c>
      <c r="D892" s="75">
        <f t="shared" si="15"/>
        <v>1.5431882268767273E-4</v>
      </c>
    </row>
    <row r="893" spans="2:4" x14ac:dyDescent="0.25">
      <c r="B893" t="s">
        <v>7225</v>
      </c>
      <c r="C893" s="71">
        <v>11</v>
      </c>
      <c r="D893" s="75">
        <f t="shared" si="15"/>
        <v>1.5431882268767273E-4</v>
      </c>
    </row>
    <row r="894" spans="2:4" x14ac:dyDescent="0.25">
      <c r="B894" t="s">
        <v>7226</v>
      </c>
      <c r="C894" s="71">
        <v>11</v>
      </c>
      <c r="D894" s="75">
        <f t="shared" si="15"/>
        <v>1.5431882268767273E-4</v>
      </c>
    </row>
    <row r="895" spans="2:4" x14ac:dyDescent="0.25">
      <c r="B895" t="s">
        <v>7227</v>
      </c>
      <c r="C895" s="71">
        <v>11</v>
      </c>
      <c r="D895" s="75">
        <f t="shared" si="15"/>
        <v>1.5431882268767273E-4</v>
      </c>
    </row>
    <row r="896" spans="2:4" x14ac:dyDescent="0.25">
      <c r="B896" t="s">
        <v>7228</v>
      </c>
      <c r="C896" s="71">
        <v>11</v>
      </c>
      <c r="D896" s="75">
        <f t="shared" si="15"/>
        <v>1.5431882268767273E-4</v>
      </c>
    </row>
    <row r="897" spans="2:4" x14ac:dyDescent="0.25">
      <c r="B897" t="s">
        <v>7229</v>
      </c>
      <c r="C897" s="71">
        <v>11</v>
      </c>
      <c r="D897" s="75">
        <f t="shared" si="15"/>
        <v>1.5431882268767273E-4</v>
      </c>
    </row>
    <row r="898" spans="2:4" x14ac:dyDescent="0.25">
      <c r="B898" t="s">
        <v>7230</v>
      </c>
      <c r="C898" s="71">
        <v>11</v>
      </c>
      <c r="D898" s="75">
        <f t="shared" si="15"/>
        <v>1.5431882268767273E-4</v>
      </c>
    </row>
    <row r="899" spans="2:4" x14ac:dyDescent="0.25">
      <c r="B899" t="s">
        <v>7231</v>
      </c>
      <c r="C899" s="71">
        <v>11</v>
      </c>
      <c r="D899" s="75">
        <f t="shared" si="15"/>
        <v>1.5431882268767273E-4</v>
      </c>
    </row>
    <row r="900" spans="2:4" x14ac:dyDescent="0.25">
      <c r="B900" t="s">
        <v>7232</v>
      </c>
      <c r="C900" s="71">
        <v>11</v>
      </c>
      <c r="D900" s="75">
        <f t="shared" si="15"/>
        <v>1.5431882268767273E-4</v>
      </c>
    </row>
    <row r="901" spans="2:4" x14ac:dyDescent="0.25">
      <c r="B901" t="s">
        <v>7233</v>
      </c>
      <c r="C901" s="71">
        <v>11</v>
      </c>
      <c r="D901" s="75">
        <f t="shared" si="15"/>
        <v>1.5431882268767273E-4</v>
      </c>
    </row>
    <row r="902" spans="2:4" x14ac:dyDescent="0.25">
      <c r="B902" t="s">
        <v>7234</v>
      </c>
      <c r="C902" s="71">
        <v>11</v>
      </c>
      <c r="D902" s="75">
        <f t="shared" ref="D902:D965" si="16">C902/$C$4822</f>
        <v>1.5431882268767273E-4</v>
      </c>
    </row>
    <row r="903" spans="2:4" x14ac:dyDescent="0.25">
      <c r="B903" t="s">
        <v>7235</v>
      </c>
      <c r="C903" s="71">
        <v>11</v>
      </c>
      <c r="D903" s="75">
        <f t="shared" si="16"/>
        <v>1.5431882268767273E-4</v>
      </c>
    </row>
    <row r="904" spans="2:4" x14ac:dyDescent="0.25">
      <c r="B904" t="s">
        <v>7236</v>
      </c>
      <c r="C904" s="71">
        <v>11</v>
      </c>
      <c r="D904" s="75">
        <f t="shared" si="16"/>
        <v>1.5431882268767273E-4</v>
      </c>
    </row>
    <row r="905" spans="2:4" x14ac:dyDescent="0.25">
      <c r="B905" t="s">
        <v>7237</v>
      </c>
      <c r="C905" s="71">
        <v>11</v>
      </c>
      <c r="D905" s="75">
        <f t="shared" si="16"/>
        <v>1.5431882268767273E-4</v>
      </c>
    </row>
    <row r="906" spans="2:4" x14ac:dyDescent="0.25">
      <c r="B906" t="s">
        <v>7238</v>
      </c>
      <c r="C906" s="71">
        <v>11</v>
      </c>
      <c r="D906" s="75">
        <f t="shared" si="16"/>
        <v>1.5431882268767273E-4</v>
      </c>
    </row>
    <row r="907" spans="2:4" x14ac:dyDescent="0.25">
      <c r="B907" t="s">
        <v>7239</v>
      </c>
      <c r="C907" s="71">
        <v>11</v>
      </c>
      <c r="D907" s="75">
        <f t="shared" si="16"/>
        <v>1.5431882268767273E-4</v>
      </c>
    </row>
    <row r="908" spans="2:4" x14ac:dyDescent="0.25">
      <c r="B908" t="s">
        <v>7240</v>
      </c>
      <c r="C908" s="71">
        <v>11</v>
      </c>
      <c r="D908" s="75">
        <f t="shared" si="16"/>
        <v>1.5431882268767273E-4</v>
      </c>
    </row>
    <row r="909" spans="2:4" x14ac:dyDescent="0.25">
      <c r="B909" t="s">
        <v>7241</v>
      </c>
      <c r="C909" s="71">
        <v>11</v>
      </c>
      <c r="D909" s="75">
        <f t="shared" si="16"/>
        <v>1.5431882268767273E-4</v>
      </c>
    </row>
    <row r="910" spans="2:4" x14ac:dyDescent="0.25">
      <c r="B910" t="s">
        <v>7242</v>
      </c>
      <c r="C910" s="71">
        <v>11</v>
      </c>
      <c r="D910" s="75">
        <f t="shared" si="16"/>
        <v>1.5431882268767273E-4</v>
      </c>
    </row>
    <row r="911" spans="2:4" x14ac:dyDescent="0.25">
      <c r="B911" t="s">
        <v>7243</v>
      </c>
      <c r="C911" s="71">
        <v>11</v>
      </c>
      <c r="D911" s="75">
        <f t="shared" si="16"/>
        <v>1.5431882268767273E-4</v>
      </c>
    </row>
    <row r="912" spans="2:4" x14ac:dyDescent="0.25">
      <c r="B912" t="s">
        <v>7244</v>
      </c>
      <c r="C912" s="71">
        <v>11</v>
      </c>
      <c r="D912" s="75">
        <f t="shared" si="16"/>
        <v>1.5431882268767273E-4</v>
      </c>
    </row>
    <row r="913" spans="2:4" x14ac:dyDescent="0.25">
      <c r="B913" t="s">
        <v>7245</v>
      </c>
      <c r="C913" s="71">
        <v>11</v>
      </c>
      <c r="D913" s="75">
        <f t="shared" si="16"/>
        <v>1.5431882268767273E-4</v>
      </c>
    </row>
    <row r="914" spans="2:4" x14ac:dyDescent="0.25">
      <c r="B914" t="s">
        <v>7246</v>
      </c>
      <c r="C914" s="71">
        <v>11</v>
      </c>
      <c r="D914" s="75">
        <f t="shared" si="16"/>
        <v>1.5431882268767273E-4</v>
      </c>
    </row>
    <row r="915" spans="2:4" x14ac:dyDescent="0.25">
      <c r="B915" t="s">
        <v>7247</v>
      </c>
      <c r="C915" s="71">
        <v>11</v>
      </c>
      <c r="D915" s="75">
        <f t="shared" si="16"/>
        <v>1.5431882268767273E-4</v>
      </c>
    </row>
    <row r="916" spans="2:4" x14ac:dyDescent="0.25">
      <c r="B916" t="s">
        <v>7248</v>
      </c>
      <c r="C916" s="71">
        <v>11</v>
      </c>
      <c r="D916" s="75">
        <f t="shared" si="16"/>
        <v>1.5431882268767273E-4</v>
      </c>
    </row>
    <row r="917" spans="2:4" x14ac:dyDescent="0.25">
      <c r="B917" t="s">
        <v>7249</v>
      </c>
      <c r="C917" s="71">
        <v>11</v>
      </c>
      <c r="D917" s="75">
        <f t="shared" si="16"/>
        <v>1.5431882268767273E-4</v>
      </c>
    </row>
    <row r="918" spans="2:4" x14ac:dyDescent="0.25">
      <c r="B918" t="s">
        <v>7250</v>
      </c>
      <c r="C918" s="71">
        <v>11</v>
      </c>
      <c r="D918" s="75">
        <f t="shared" si="16"/>
        <v>1.5431882268767273E-4</v>
      </c>
    </row>
    <row r="919" spans="2:4" x14ac:dyDescent="0.25">
      <c r="B919" t="s">
        <v>7251</v>
      </c>
      <c r="C919" s="71">
        <v>11</v>
      </c>
      <c r="D919" s="75">
        <f t="shared" si="16"/>
        <v>1.5431882268767273E-4</v>
      </c>
    </row>
    <row r="920" spans="2:4" x14ac:dyDescent="0.25">
      <c r="B920" t="s">
        <v>7252</v>
      </c>
      <c r="C920" s="71">
        <v>11</v>
      </c>
      <c r="D920" s="75">
        <f t="shared" si="16"/>
        <v>1.5431882268767273E-4</v>
      </c>
    </row>
    <row r="921" spans="2:4" x14ac:dyDescent="0.25">
      <c r="B921" t="s">
        <v>7253</v>
      </c>
      <c r="C921" s="71">
        <v>11</v>
      </c>
      <c r="D921" s="75">
        <f t="shared" si="16"/>
        <v>1.5431882268767273E-4</v>
      </c>
    </row>
    <row r="922" spans="2:4" x14ac:dyDescent="0.25">
      <c r="B922" t="s">
        <v>7254</v>
      </c>
      <c r="C922" s="71">
        <v>11</v>
      </c>
      <c r="D922" s="75">
        <f t="shared" si="16"/>
        <v>1.5431882268767273E-4</v>
      </c>
    </row>
    <row r="923" spans="2:4" x14ac:dyDescent="0.25">
      <c r="B923" t="s">
        <v>7255</v>
      </c>
      <c r="C923" s="71">
        <v>11</v>
      </c>
      <c r="D923" s="75">
        <f t="shared" si="16"/>
        <v>1.5431882268767273E-4</v>
      </c>
    </row>
    <row r="924" spans="2:4" x14ac:dyDescent="0.25">
      <c r="B924" t="s">
        <v>7256</v>
      </c>
      <c r="C924" s="71">
        <v>11</v>
      </c>
      <c r="D924" s="75">
        <f t="shared" si="16"/>
        <v>1.5431882268767273E-4</v>
      </c>
    </row>
    <row r="925" spans="2:4" x14ac:dyDescent="0.25">
      <c r="B925" t="s">
        <v>7257</v>
      </c>
      <c r="C925" s="71">
        <v>11</v>
      </c>
      <c r="D925" s="75">
        <f t="shared" si="16"/>
        <v>1.5431882268767273E-4</v>
      </c>
    </row>
    <row r="926" spans="2:4" x14ac:dyDescent="0.25">
      <c r="B926" t="s">
        <v>7258</v>
      </c>
      <c r="C926" s="71">
        <v>11</v>
      </c>
      <c r="D926" s="75">
        <f t="shared" si="16"/>
        <v>1.5431882268767273E-4</v>
      </c>
    </row>
    <row r="927" spans="2:4" x14ac:dyDescent="0.25">
      <c r="B927" t="s">
        <v>7259</v>
      </c>
      <c r="C927" s="71">
        <v>11</v>
      </c>
      <c r="D927" s="75">
        <f t="shared" si="16"/>
        <v>1.5431882268767273E-4</v>
      </c>
    </row>
    <row r="928" spans="2:4" x14ac:dyDescent="0.25">
      <c r="B928" t="s">
        <v>7260</v>
      </c>
      <c r="C928" s="71">
        <v>11</v>
      </c>
      <c r="D928" s="75">
        <f t="shared" si="16"/>
        <v>1.5431882268767273E-4</v>
      </c>
    </row>
    <row r="929" spans="2:4" x14ac:dyDescent="0.25">
      <c r="B929" t="s">
        <v>7261</v>
      </c>
      <c r="C929" s="71">
        <v>11</v>
      </c>
      <c r="D929" s="75">
        <f t="shared" si="16"/>
        <v>1.5431882268767273E-4</v>
      </c>
    </row>
    <row r="930" spans="2:4" x14ac:dyDescent="0.25">
      <c r="B930" t="s">
        <v>7262</v>
      </c>
      <c r="C930" s="71">
        <v>11</v>
      </c>
      <c r="D930" s="75">
        <f t="shared" si="16"/>
        <v>1.5431882268767273E-4</v>
      </c>
    </row>
    <row r="931" spans="2:4" x14ac:dyDescent="0.25">
      <c r="B931" t="s">
        <v>7263</v>
      </c>
      <c r="C931" s="71">
        <v>11</v>
      </c>
      <c r="D931" s="75">
        <f t="shared" si="16"/>
        <v>1.5431882268767273E-4</v>
      </c>
    </row>
    <row r="932" spans="2:4" x14ac:dyDescent="0.25">
      <c r="B932" t="s">
        <v>7264</v>
      </c>
      <c r="C932" s="71">
        <v>11</v>
      </c>
      <c r="D932" s="75">
        <f t="shared" si="16"/>
        <v>1.5431882268767273E-4</v>
      </c>
    </row>
    <row r="933" spans="2:4" x14ac:dyDescent="0.25">
      <c r="B933" t="s">
        <v>7265</v>
      </c>
      <c r="C933" s="71">
        <v>11</v>
      </c>
      <c r="D933" s="75">
        <f t="shared" si="16"/>
        <v>1.5431882268767273E-4</v>
      </c>
    </row>
    <row r="934" spans="2:4" x14ac:dyDescent="0.25">
      <c r="B934" t="s">
        <v>7266</v>
      </c>
      <c r="C934" s="71">
        <v>11</v>
      </c>
      <c r="D934" s="75">
        <f t="shared" si="16"/>
        <v>1.5431882268767273E-4</v>
      </c>
    </row>
    <row r="935" spans="2:4" x14ac:dyDescent="0.25">
      <c r="B935" t="s">
        <v>7267</v>
      </c>
      <c r="C935" s="71">
        <v>10</v>
      </c>
      <c r="D935" s="75">
        <f t="shared" si="16"/>
        <v>1.402898388069752E-4</v>
      </c>
    </row>
    <row r="936" spans="2:4" x14ac:dyDescent="0.25">
      <c r="B936" t="s">
        <v>7268</v>
      </c>
      <c r="C936" s="71">
        <v>10</v>
      </c>
      <c r="D936" s="75">
        <f t="shared" si="16"/>
        <v>1.402898388069752E-4</v>
      </c>
    </row>
    <row r="937" spans="2:4" x14ac:dyDescent="0.25">
      <c r="B937" t="s">
        <v>7269</v>
      </c>
      <c r="C937" s="71">
        <v>10</v>
      </c>
      <c r="D937" s="75">
        <f t="shared" si="16"/>
        <v>1.402898388069752E-4</v>
      </c>
    </row>
    <row r="938" spans="2:4" x14ac:dyDescent="0.25">
      <c r="B938" t="s">
        <v>7270</v>
      </c>
      <c r="C938" s="71">
        <v>10</v>
      </c>
      <c r="D938" s="75">
        <f t="shared" si="16"/>
        <v>1.402898388069752E-4</v>
      </c>
    </row>
    <row r="939" spans="2:4" x14ac:dyDescent="0.25">
      <c r="B939" t="s">
        <v>7271</v>
      </c>
      <c r="C939" s="71">
        <v>10</v>
      </c>
      <c r="D939" s="75">
        <f t="shared" si="16"/>
        <v>1.402898388069752E-4</v>
      </c>
    </row>
    <row r="940" spans="2:4" x14ac:dyDescent="0.25">
      <c r="B940" t="s">
        <v>7272</v>
      </c>
      <c r="C940" s="71">
        <v>10</v>
      </c>
      <c r="D940" s="75">
        <f t="shared" si="16"/>
        <v>1.402898388069752E-4</v>
      </c>
    </row>
    <row r="941" spans="2:4" x14ac:dyDescent="0.25">
      <c r="B941" t="s">
        <v>7273</v>
      </c>
      <c r="C941" s="71">
        <v>10</v>
      </c>
      <c r="D941" s="75">
        <f t="shared" si="16"/>
        <v>1.402898388069752E-4</v>
      </c>
    </row>
    <row r="942" spans="2:4" x14ac:dyDescent="0.25">
      <c r="B942" t="s">
        <v>7274</v>
      </c>
      <c r="C942" s="71">
        <v>10</v>
      </c>
      <c r="D942" s="75">
        <f t="shared" si="16"/>
        <v>1.402898388069752E-4</v>
      </c>
    </row>
    <row r="943" spans="2:4" x14ac:dyDescent="0.25">
      <c r="B943" t="s">
        <v>7275</v>
      </c>
      <c r="C943" s="71">
        <v>10</v>
      </c>
      <c r="D943" s="75">
        <f t="shared" si="16"/>
        <v>1.402898388069752E-4</v>
      </c>
    </row>
    <row r="944" spans="2:4" x14ac:dyDescent="0.25">
      <c r="B944" t="s">
        <v>7276</v>
      </c>
      <c r="C944" s="71">
        <v>10</v>
      </c>
      <c r="D944" s="75">
        <f t="shared" si="16"/>
        <v>1.402898388069752E-4</v>
      </c>
    </row>
    <row r="945" spans="2:4" x14ac:dyDescent="0.25">
      <c r="B945" t="s">
        <v>7277</v>
      </c>
      <c r="C945" s="71">
        <v>10</v>
      </c>
      <c r="D945" s="75">
        <f t="shared" si="16"/>
        <v>1.402898388069752E-4</v>
      </c>
    </row>
    <row r="946" spans="2:4" x14ac:dyDescent="0.25">
      <c r="B946" t="s">
        <v>7278</v>
      </c>
      <c r="C946" s="71">
        <v>10</v>
      </c>
      <c r="D946" s="75">
        <f t="shared" si="16"/>
        <v>1.402898388069752E-4</v>
      </c>
    </row>
    <row r="947" spans="2:4" x14ac:dyDescent="0.25">
      <c r="B947" t="s">
        <v>7279</v>
      </c>
      <c r="C947" s="71">
        <v>10</v>
      </c>
      <c r="D947" s="75">
        <f t="shared" si="16"/>
        <v>1.402898388069752E-4</v>
      </c>
    </row>
    <row r="948" spans="2:4" x14ac:dyDescent="0.25">
      <c r="B948" t="s">
        <v>7280</v>
      </c>
      <c r="C948" s="71">
        <v>10</v>
      </c>
      <c r="D948" s="75">
        <f t="shared" si="16"/>
        <v>1.402898388069752E-4</v>
      </c>
    </row>
    <row r="949" spans="2:4" x14ac:dyDescent="0.25">
      <c r="B949" t="s">
        <v>7281</v>
      </c>
      <c r="C949" s="71">
        <v>10</v>
      </c>
      <c r="D949" s="75">
        <f t="shared" si="16"/>
        <v>1.402898388069752E-4</v>
      </c>
    </row>
    <row r="950" spans="2:4" x14ac:dyDescent="0.25">
      <c r="B950" t="s">
        <v>7282</v>
      </c>
      <c r="C950" s="71">
        <v>10</v>
      </c>
      <c r="D950" s="75">
        <f t="shared" si="16"/>
        <v>1.402898388069752E-4</v>
      </c>
    </row>
    <row r="951" spans="2:4" x14ac:dyDescent="0.25">
      <c r="B951" t="s">
        <v>7283</v>
      </c>
      <c r="C951" s="71">
        <v>10</v>
      </c>
      <c r="D951" s="75">
        <f t="shared" si="16"/>
        <v>1.402898388069752E-4</v>
      </c>
    </row>
    <row r="952" spans="2:4" x14ac:dyDescent="0.25">
      <c r="B952" t="s">
        <v>7284</v>
      </c>
      <c r="C952" s="71">
        <v>10</v>
      </c>
      <c r="D952" s="75">
        <f t="shared" si="16"/>
        <v>1.402898388069752E-4</v>
      </c>
    </row>
    <row r="953" spans="2:4" x14ac:dyDescent="0.25">
      <c r="B953" t="s">
        <v>7285</v>
      </c>
      <c r="C953" s="71">
        <v>10</v>
      </c>
      <c r="D953" s="75">
        <f t="shared" si="16"/>
        <v>1.402898388069752E-4</v>
      </c>
    </row>
    <row r="954" spans="2:4" x14ac:dyDescent="0.25">
      <c r="B954" t="s">
        <v>7286</v>
      </c>
      <c r="C954" s="71">
        <v>10</v>
      </c>
      <c r="D954" s="75">
        <f t="shared" si="16"/>
        <v>1.402898388069752E-4</v>
      </c>
    </row>
    <row r="955" spans="2:4" x14ac:dyDescent="0.25">
      <c r="B955" t="s">
        <v>7287</v>
      </c>
      <c r="C955" s="71">
        <v>10</v>
      </c>
      <c r="D955" s="75">
        <f t="shared" si="16"/>
        <v>1.402898388069752E-4</v>
      </c>
    </row>
    <row r="956" spans="2:4" x14ac:dyDescent="0.25">
      <c r="B956" t="s">
        <v>7288</v>
      </c>
      <c r="C956" s="71">
        <v>10</v>
      </c>
      <c r="D956" s="75">
        <f t="shared" si="16"/>
        <v>1.402898388069752E-4</v>
      </c>
    </row>
    <row r="957" spans="2:4" x14ac:dyDescent="0.25">
      <c r="B957" t="s">
        <v>7289</v>
      </c>
      <c r="C957" s="71">
        <v>10</v>
      </c>
      <c r="D957" s="75">
        <f t="shared" si="16"/>
        <v>1.402898388069752E-4</v>
      </c>
    </row>
    <row r="958" spans="2:4" x14ac:dyDescent="0.25">
      <c r="B958" t="s">
        <v>7290</v>
      </c>
      <c r="C958" s="71">
        <v>10</v>
      </c>
      <c r="D958" s="75">
        <f t="shared" si="16"/>
        <v>1.402898388069752E-4</v>
      </c>
    </row>
    <row r="959" spans="2:4" x14ac:dyDescent="0.25">
      <c r="B959" t="s">
        <v>7291</v>
      </c>
      <c r="C959" s="71">
        <v>10</v>
      </c>
      <c r="D959" s="75">
        <f t="shared" si="16"/>
        <v>1.402898388069752E-4</v>
      </c>
    </row>
    <row r="960" spans="2:4" x14ac:dyDescent="0.25">
      <c r="B960" t="s">
        <v>7292</v>
      </c>
      <c r="C960" s="71">
        <v>10</v>
      </c>
      <c r="D960" s="75">
        <f t="shared" si="16"/>
        <v>1.402898388069752E-4</v>
      </c>
    </row>
    <row r="961" spans="2:4" x14ac:dyDescent="0.25">
      <c r="B961" t="s">
        <v>7293</v>
      </c>
      <c r="C961" s="71">
        <v>10</v>
      </c>
      <c r="D961" s="75">
        <f t="shared" si="16"/>
        <v>1.402898388069752E-4</v>
      </c>
    </row>
    <row r="962" spans="2:4" x14ac:dyDescent="0.25">
      <c r="B962" t="s">
        <v>7294</v>
      </c>
      <c r="C962" s="71">
        <v>10</v>
      </c>
      <c r="D962" s="75">
        <f t="shared" si="16"/>
        <v>1.402898388069752E-4</v>
      </c>
    </row>
    <row r="963" spans="2:4" x14ac:dyDescent="0.25">
      <c r="B963" t="s">
        <v>7295</v>
      </c>
      <c r="C963" s="71">
        <v>10</v>
      </c>
      <c r="D963" s="75">
        <f t="shared" si="16"/>
        <v>1.402898388069752E-4</v>
      </c>
    </row>
    <row r="964" spans="2:4" x14ac:dyDescent="0.25">
      <c r="B964" t="s">
        <v>7296</v>
      </c>
      <c r="C964" s="71">
        <v>10</v>
      </c>
      <c r="D964" s="75">
        <f t="shared" si="16"/>
        <v>1.402898388069752E-4</v>
      </c>
    </row>
    <row r="965" spans="2:4" x14ac:dyDescent="0.25">
      <c r="B965" t="s">
        <v>7297</v>
      </c>
      <c r="C965" s="71">
        <v>10</v>
      </c>
      <c r="D965" s="75">
        <f t="shared" si="16"/>
        <v>1.402898388069752E-4</v>
      </c>
    </row>
    <row r="966" spans="2:4" x14ac:dyDescent="0.25">
      <c r="B966" t="s">
        <v>7298</v>
      </c>
      <c r="C966" s="71">
        <v>10</v>
      </c>
      <c r="D966" s="75">
        <f t="shared" ref="D966:D1029" si="17">C966/$C$4822</f>
        <v>1.402898388069752E-4</v>
      </c>
    </row>
    <row r="967" spans="2:4" x14ac:dyDescent="0.25">
      <c r="B967" t="s">
        <v>7299</v>
      </c>
      <c r="C967" s="71">
        <v>10</v>
      </c>
      <c r="D967" s="75">
        <f t="shared" si="17"/>
        <v>1.402898388069752E-4</v>
      </c>
    </row>
    <row r="968" spans="2:4" x14ac:dyDescent="0.25">
      <c r="B968" t="s">
        <v>7300</v>
      </c>
      <c r="C968" s="71">
        <v>10</v>
      </c>
      <c r="D968" s="75">
        <f t="shared" si="17"/>
        <v>1.402898388069752E-4</v>
      </c>
    </row>
    <row r="969" spans="2:4" x14ac:dyDescent="0.25">
      <c r="B969" t="s">
        <v>7301</v>
      </c>
      <c r="C969" s="71">
        <v>10</v>
      </c>
      <c r="D969" s="75">
        <f t="shared" si="17"/>
        <v>1.402898388069752E-4</v>
      </c>
    </row>
    <row r="970" spans="2:4" x14ac:dyDescent="0.25">
      <c r="B970" t="s">
        <v>7302</v>
      </c>
      <c r="C970" s="71">
        <v>10</v>
      </c>
      <c r="D970" s="75">
        <f t="shared" si="17"/>
        <v>1.402898388069752E-4</v>
      </c>
    </row>
    <row r="971" spans="2:4" x14ac:dyDescent="0.25">
      <c r="B971" t="s">
        <v>7303</v>
      </c>
      <c r="C971" s="71">
        <v>10</v>
      </c>
      <c r="D971" s="75">
        <f t="shared" si="17"/>
        <v>1.402898388069752E-4</v>
      </c>
    </row>
    <row r="972" spans="2:4" x14ac:dyDescent="0.25">
      <c r="B972" t="s">
        <v>7304</v>
      </c>
      <c r="C972" s="71">
        <v>10</v>
      </c>
      <c r="D972" s="75">
        <f t="shared" si="17"/>
        <v>1.402898388069752E-4</v>
      </c>
    </row>
    <row r="973" spans="2:4" x14ac:dyDescent="0.25">
      <c r="B973" t="s">
        <v>7305</v>
      </c>
      <c r="C973" s="71">
        <v>10</v>
      </c>
      <c r="D973" s="75">
        <f t="shared" si="17"/>
        <v>1.402898388069752E-4</v>
      </c>
    </row>
    <row r="974" spans="2:4" x14ac:dyDescent="0.25">
      <c r="B974" t="s">
        <v>7306</v>
      </c>
      <c r="C974" s="71">
        <v>10</v>
      </c>
      <c r="D974" s="75">
        <f t="shared" si="17"/>
        <v>1.402898388069752E-4</v>
      </c>
    </row>
    <row r="975" spans="2:4" x14ac:dyDescent="0.25">
      <c r="B975" t="s">
        <v>7307</v>
      </c>
      <c r="C975" s="71">
        <v>10</v>
      </c>
      <c r="D975" s="75">
        <f t="shared" si="17"/>
        <v>1.402898388069752E-4</v>
      </c>
    </row>
    <row r="976" spans="2:4" x14ac:dyDescent="0.25">
      <c r="B976" t="s">
        <v>7308</v>
      </c>
      <c r="C976" s="71">
        <v>10</v>
      </c>
      <c r="D976" s="75">
        <f t="shared" si="17"/>
        <v>1.402898388069752E-4</v>
      </c>
    </row>
    <row r="977" spans="2:4" x14ac:dyDescent="0.25">
      <c r="B977" t="s">
        <v>7309</v>
      </c>
      <c r="C977" s="71">
        <v>10</v>
      </c>
      <c r="D977" s="75">
        <f t="shared" si="17"/>
        <v>1.402898388069752E-4</v>
      </c>
    </row>
    <row r="978" spans="2:4" x14ac:dyDescent="0.25">
      <c r="B978" t="s">
        <v>7310</v>
      </c>
      <c r="C978" s="71">
        <v>10</v>
      </c>
      <c r="D978" s="75">
        <f t="shared" si="17"/>
        <v>1.402898388069752E-4</v>
      </c>
    </row>
    <row r="979" spans="2:4" x14ac:dyDescent="0.25">
      <c r="B979" t="s">
        <v>7311</v>
      </c>
      <c r="C979" s="71">
        <v>10</v>
      </c>
      <c r="D979" s="75">
        <f t="shared" si="17"/>
        <v>1.402898388069752E-4</v>
      </c>
    </row>
    <row r="980" spans="2:4" x14ac:dyDescent="0.25">
      <c r="B980" t="s">
        <v>7312</v>
      </c>
      <c r="C980" s="71">
        <v>10</v>
      </c>
      <c r="D980" s="75">
        <f t="shared" si="17"/>
        <v>1.402898388069752E-4</v>
      </c>
    </row>
    <row r="981" spans="2:4" x14ac:dyDescent="0.25">
      <c r="B981" t="s">
        <v>7313</v>
      </c>
      <c r="C981" s="71">
        <v>10</v>
      </c>
      <c r="D981" s="75">
        <f t="shared" si="17"/>
        <v>1.402898388069752E-4</v>
      </c>
    </row>
    <row r="982" spans="2:4" x14ac:dyDescent="0.25">
      <c r="B982" t="s">
        <v>7314</v>
      </c>
      <c r="C982" s="71">
        <v>10</v>
      </c>
      <c r="D982" s="75">
        <f t="shared" si="17"/>
        <v>1.402898388069752E-4</v>
      </c>
    </row>
    <row r="983" spans="2:4" x14ac:dyDescent="0.25">
      <c r="B983" t="s">
        <v>7315</v>
      </c>
      <c r="C983" s="71">
        <v>10</v>
      </c>
      <c r="D983" s="75">
        <f t="shared" si="17"/>
        <v>1.402898388069752E-4</v>
      </c>
    </row>
    <row r="984" spans="2:4" x14ac:dyDescent="0.25">
      <c r="B984" t="s">
        <v>7316</v>
      </c>
      <c r="C984" s="71">
        <v>10</v>
      </c>
      <c r="D984" s="75">
        <f t="shared" si="17"/>
        <v>1.402898388069752E-4</v>
      </c>
    </row>
    <row r="985" spans="2:4" x14ac:dyDescent="0.25">
      <c r="B985" t="s">
        <v>7317</v>
      </c>
      <c r="C985" s="71">
        <v>9</v>
      </c>
      <c r="D985" s="75">
        <f t="shared" si="17"/>
        <v>1.2626085492627769E-4</v>
      </c>
    </row>
    <row r="986" spans="2:4" x14ac:dyDescent="0.25">
      <c r="B986" t="s">
        <v>7318</v>
      </c>
      <c r="C986" s="71">
        <v>9</v>
      </c>
      <c r="D986" s="75">
        <f t="shared" si="17"/>
        <v>1.2626085492627769E-4</v>
      </c>
    </row>
    <row r="987" spans="2:4" x14ac:dyDescent="0.25">
      <c r="B987" t="s">
        <v>7319</v>
      </c>
      <c r="C987" s="71">
        <v>9</v>
      </c>
      <c r="D987" s="75">
        <f t="shared" si="17"/>
        <v>1.2626085492627769E-4</v>
      </c>
    </row>
    <row r="988" spans="2:4" x14ac:dyDescent="0.25">
      <c r="B988" t="s">
        <v>7320</v>
      </c>
      <c r="C988" s="71">
        <v>9</v>
      </c>
      <c r="D988" s="75">
        <f t="shared" si="17"/>
        <v>1.2626085492627769E-4</v>
      </c>
    </row>
    <row r="989" spans="2:4" x14ac:dyDescent="0.25">
      <c r="B989" t="s">
        <v>7321</v>
      </c>
      <c r="C989" s="71">
        <v>9</v>
      </c>
      <c r="D989" s="75">
        <f t="shared" si="17"/>
        <v>1.2626085492627769E-4</v>
      </c>
    </row>
    <row r="990" spans="2:4" x14ac:dyDescent="0.25">
      <c r="B990" t="s">
        <v>7322</v>
      </c>
      <c r="C990" s="71">
        <v>9</v>
      </c>
      <c r="D990" s="75">
        <f t="shared" si="17"/>
        <v>1.2626085492627769E-4</v>
      </c>
    </row>
    <row r="991" spans="2:4" x14ac:dyDescent="0.25">
      <c r="B991" t="s">
        <v>7323</v>
      </c>
      <c r="C991" s="71">
        <v>9</v>
      </c>
      <c r="D991" s="75">
        <f t="shared" si="17"/>
        <v>1.2626085492627769E-4</v>
      </c>
    </row>
    <row r="992" spans="2:4" x14ac:dyDescent="0.25">
      <c r="B992" t="s">
        <v>7324</v>
      </c>
      <c r="C992" s="71">
        <v>9</v>
      </c>
      <c r="D992" s="75">
        <f t="shared" si="17"/>
        <v>1.2626085492627769E-4</v>
      </c>
    </row>
    <row r="993" spans="2:4" x14ac:dyDescent="0.25">
      <c r="B993" t="s">
        <v>7325</v>
      </c>
      <c r="C993" s="71">
        <v>9</v>
      </c>
      <c r="D993" s="75">
        <f t="shared" si="17"/>
        <v>1.2626085492627769E-4</v>
      </c>
    </row>
    <row r="994" spans="2:4" x14ac:dyDescent="0.25">
      <c r="B994" t="s">
        <v>7326</v>
      </c>
      <c r="C994" s="71">
        <v>9</v>
      </c>
      <c r="D994" s="75">
        <f t="shared" si="17"/>
        <v>1.2626085492627769E-4</v>
      </c>
    </row>
    <row r="995" spans="2:4" x14ac:dyDescent="0.25">
      <c r="B995" t="s">
        <v>7327</v>
      </c>
      <c r="C995" s="71">
        <v>9</v>
      </c>
      <c r="D995" s="75">
        <f t="shared" si="17"/>
        <v>1.2626085492627769E-4</v>
      </c>
    </row>
    <row r="996" spans="2:4" x14ac:dyDescent="0.25">
      <c r="B996" t="s">
        <v>7328</v>
      </c>
      <c r="C996" s="71">
        <v>9</v>
      </c>
      <c r="D996" s="75">
        <f t="shared" si="17"/>
        <v>1.2626085492627769E-4</v>
      </c>
    </row>
    <row r="997" spans="2:4" x14ac:dyDescent="0.25">
      <c r="B997" t="s">
        <v>7329</v>
      </c>
      <c r="C997" s="71">
        <v>9</v>
      </c>
      <c r="D997" s="75">
        <f t="shared" si="17"/>
        <v>1.2626085492627769E-4</v>
      </c>
    </row>
    <row r="998" spans="2:4" x14ac:dyDescent="0.25">
      <c r="B998" t="s">
        <v>7330</v>
      </c>
      <c r="C998" s="71">
        <v>9</v>
      </c>
      <c r="D998" s="75">
        <f t="shared" si="17"/>
        <v>1.2626085492627769E-4</v>
      </c>
    </row>
    <row r="999" spans="2:4" x14ac:dyDescent="0.25">
      <c r="B999" t="s">
        <v>7331</v>
      </c>
      <c r="C999" s="71">
        <v>9</v>
      </c>
      <c r="D999" s="75">
        <f t="shared" si="17"/>
        <v>1.2626085492627769E-4</v>
      </c>
    </row>
    <row r="1000" spans="2:4" x14ac:dyDescent="0.25">
      <c r="B1000" t="s">
        <v>7332</v>
      </c>
      <c r="C1000" s="71">
        <v>9</v>
      </c>
      <c r="D1000" s="75">
        <f t="shared" si="17"/>
        <v>1.2626085492627769E-4</v>
      </c>
    </row>
    <row r="1001" spans="2:4" x14ac:dyDescent="0.25">
      <c r="B1001" t="s">
        <v>7333</v>
      </c>
      <c r="C1001" s="71">
        <v>9</v>
      </c>
      <c r="D1001" s="75">
        <f t="shared" si="17"/>
        <v>1.2626085492627769E-4</v>
      </c>
    </row>
    <row r="1002" spans="2:4" x14ac:dyDescent="0.25">
      <c r="B1002" t="s">
        <v>7334</v>
      </c>
      <c r="C1002" s="71">
        <v>9</v>
      </c>
      <c r="D1002" s="75">
        <f t="shared" si="17"/>
        <v>1.2626085492627769E-4</v>
      </c>
    </row>
    <row r="1003" spans="2:4" x14ac:dyDescent="0.25">
      <c r="B1003" t="s">
        <v>7335</v>
      </c>
      <c r="C1003" s="71">
        <v>9</v>
      </c>
      <c r="D1003" s="75">
        <f t="shared" si="17"/>
        <v>1.2626085492627769E-4</v>
      </c>
    </row>
    <row r="1004" spans="2:4" x14ac:dyDescent="0.25">
      <c r="B1004" t="s">
        <v>7336</v>
      </c>
      <c r="C1004" s="71">
        <v>9</v>
      </c>
      <c r="D1004" s="75">
        <f t="shared" si="17"/>
        <v>1.2626085492627769E-4</v>
      </c>
    </row>
    <row r="1005" spans="2:4" x14ac:dyDescent="0.25">
      <c r="B1005" t="s">
        <v>7337</v>
      </c>
      <c r="C1005" s="71">
        <v>9</v>
      </c>
      <c r="D1005" s="75">
        <f t="shared" si="17"/>
        <v>1.2626085492627769E-4</v>
      </c>
    </row>
    <row r="1006" spans="2:4" x14ac:dyDescent="0.25">
      <c r="B1006" t="s">
        <v>7338</v>
      </c>
      <c r="C1006" s="71">
        <v>9</v>
      </c>
      <c r="D1006" s="75">
        <f t="shared" si="17"/>
        <v>1.2626085492627769E-4</v>
      </c>
    </row>
    <row r="1007" spans="2:4" x14ac:dyDescent="0.25">
      <c r="B1007" t="s">
        <v>7339</v>
      </c>
      <c r="C1007" s="71">
        <v>9</v>
      </c>
      <c r="D1007" s="75">
        <f t="shared" si="17"/>
        <v>1.2626085492627769E-4</v>
      </c>
    </row>
    <row r="1008" spans="2:4" x14ac:dyDescent="0.25">
      <c r="B1008" t="s">
        <v>7340</v>
      </c>
      <c r="C1008" s="71">
        <v>9</v>
      </c>
      <c r="D1008" s="75">
        <f t="shared" si="17"/>
        <v>1.2626085492627769E-4</v>
      </c>
    </row>
    <row r="1009" spans="2:4" x14ac:dyDescent="0.25">
      <c r="B1009" t="s">
        <v>7341</v>
      </c>
      <c r="C1009" s="71">
        <v>9</v>
      </c>
      <c r="D1009" s="75">
        <f t="shared" si="17"/>
        <v>1.2626085492627769E-4</v>
      </c>
    </row>
    <row r="1010" spans="2:4" x14ac:dyDescent="0.25">
      <c r="B1010" t="s">
        <v>7342</v>
      </c>
      <c r="C1010" s="71">
        <v>9</v>
      </c>
      <c r="D1010" s="75">
        <f t="shared" si="17"/>
        <v>1.2626085492627769E-4</v>
      </c>
    </row>
    <row r="1011" spans="2:4" x14ac:dyDescent="0.25">
      <c r="B1011" t="s">
        <v>7343</v>
      </c>
      <c r="C1011" s="71">
        <v>9</v>
      </c>
      <c r="D1011" s="75">
        <f t="shared" si="17"/>
        <v>1.2626085492627769E-4</v>
      </c>
    </row>
    <row r="1012" spans="2:4" x14ac:dyDescent="0.25">
      <c r="B1012" t="s">
        <v>7344</v>
      </c>
      <c r="C1012" s="71">
        <v>9</v>
      </c>
      <c r="D1012" s="75">
        <f t="shared" si="17"/>
        <v>1.2626085492627769E-4</v>
      </c>
    </row>
    <row r="1013" spans="2:4" x14ac:dyDescent="0.25">
      <c r="B1013" t="s">
        <v>7345</v>
      </c>
      <c r="C1013" s="71">
        <v>9</v>
      </c>
      <c r="D1013" s="75">
        <f t="shared" si="17"/>
        <v>1.2626085492627769E-4</v>
      </c>
    </row>
    <row r="1014" spans="2:4" x14ac:dyDescent="0.25">
      <c r="B1014" t="s">
        <v>7346</v>
      </c>
      <c r="C1014" s="71">
        <v>9</v>
      </c>
      <c r="D1014" s="75">
        <f t="shared" si="17"/>
        <v>1.2626085492627769E-4</v>
      </c>
    </row>
    <row r="1015" spans="2:4" x14ac:dyDescent="0.25">
      <c r="B1015" t="s">
        <v>7347</v>
      </c>
      <c r="C1015" s="71">
        <v>9</v>
      </c>
      <c r="D1015" s="75">
        <f t="shared" si="17"/>
        <v>1.2626085492627769E-4</v>
      </c>
    </row>
    <row r="1016" spans="2:4" x14ac:dyDescent="0.25">
      <c r="B1016" t="s">
        <v>7348</v>
      </c>
      <c r="C1016" s="71">
        <v>9</v>
      </c>
      <c r="D1016" s="75">
        <f t="shared" si="17"/>
        <v>1.2626085492627769E-4</v>
      </c>
    </row>
    <row r="1017" spans="2:4" x14ac:dyDescent="0.25">
      <c r="B1017" t="s">
        <v>7349</v>
      </c>
      <c r="C1017" s="71">
        <v>9</v>
      </c>
      <c r="D1017" s="75">
        <f t="shared" si="17"/>
        <v>1.2626085492627769E-4</v>
      </c>
    </row>
    <row r="1018" spans="2:4" x14ac:dyDescent="0.25">
      <c r="B1018" t="s">
        <v>7350</v>
      </c>
      <c r="C1018" s="71">
        <v>9</v>
      </c>
      <c r="D1018" s="75">
        <f t="shared" si="17"/>
        <v>1.2626085492627769E-4</v>
      </c>
    </row>
    <row r="1019" spans="2:4" x14ac:dyDescent="0.25">
      <c r="B1019" t="s">
        <v>7351</v>
      </c>
      <c r="C1019" s="71">
        <v>9</v>
      </c>
      <c r="D1019" s="75">
        <f t="shared" si="17"/>
        <v>1.2626085492627769E-4</v>
      </c>
    </row>
    <row r="1020" spans="2:4" x14ac:dyDescent="0.25">
      <c r="B1020" t="s">
        <v>7352</v>
      </c>
      <c r="C1020" s="71">
        <v>9</v>
      </c>
      <c r="D1020" s="75">
        <f t="shared" si="17"/>
        <v>1.2626085492627769E-4</v>
      </c>
    </row>
    <row r="1021" spans="2:4" x14ac:dyDescent="0.25">
      <c r="B1021" t="s">
        <v>7353</v>
      </c>
      <c r="C1021" s="71">
        <v>9</v>
      </c>
      <c r="D1021" s="75">
        <f t="shared" si="17"/>
        <v>1.2626085492627769E-4</v>
      </c>
    </row>
    <row r="1022" spans="2:4" x14ac:dyDescent="0.25">
      <c r="B1022" t="s">
        <v>7354</v>
      </c>
      <c r="C1022" s="71">
        <v>9</v>
      </c>
      <c r="D1022" s="75">
        <f t="shared" si="17"/>
        <v>1.2626085492627769E-4</v>
      </c>
    </row>
    <row r="1023" spans="2:4" x14ac:dyDescent="0.25">
      <c r="B1023" t="s">
        <v>7355</v>
      </c>
      <c r="C1023" s="71">
        <v>9</v>
      </c>
      <c r="D1023" s="75">
        <f t="shared" si="17"/>
        <v>1.2626085492627769E-4</v>
      </c>
    </row>
    <row r="1024" spans="2:4" x14ac:dyDescent="0.25">
      <c r="B1024" t="s">
        <v>7356</v>
      </c>
      <c r="C1024" s="71">
        <v>9</v>
      </c>
      <c r="D1024" s="75">
        <f t="shared" si="17"/>
        <v>1.2626085492627769E-4</v>
      </c>
    </row>
    <row r="1025" spans="2:4" x14ac:dyDescent="0.25">
      <c r="B1025" t="s">
        <v>7357</v>
      </c>
      <c r="C1025" s="71">
        <v>9</v>
      </c>
      <c r="D1025" s="75">
        <f t="shared" si="17"/>
        <v>1.2626085492627769E-4</v>
      </c>
    </row>
    <row r="1026" spans="2:4" x14ac:dyDescent="0.25">
      <c r="B1026" t="s">
        <v>7358</v>
      </c>
      <c r="C1026" s="71">
        <v>9</v>
      </c>
      <c r="D1026" s="75">
        <f t="shared" si="17"/>
        <v>1.2626085492627769E-4</v>
      </c>
    </row>
    <row r="1027" spans="2:4" x14ac:dyDescent="0.25">
      <c r="B1027" t="s">
        <v>7359</v>
      </c>
      <c r="C1027" s="71">
        <v>9</v>
      </c>
      <c r="D1027" s="75">
        <f t="shared" si="17"/>
        <v>1.2626085492627769E-4</v>
      </c>
    </row>
    <row r="1028" spans="2:4" x14ac:dyDescent="0.25">
      <c r="B1028" t="s">
        <v>7360</v>
      </c>
      <c r="C1028" s="71">
        <v>9</v>
      </c>
      <c r="D1028" s="75">
        <f t="shared" si="17"/>
        <v>1.2626085492627769E-4</v>
      </c>
    </row>
    <row r="1029" spans="2:4" x14ac:dyDescent="0.25">
      <c r="B1029" t="s">
        <v>7361</v>
      </c>
      <c r="C1029" s="71">
        <v>9</v>
      </c>
      <c r="D1029" s="75">
        <f t="shared" si="17"/>
        <v>1.2626085492627769E-4</v>
      </c>
    </row>
    <row r="1030" spans="2:4" x14ac:dyDescent="0.25">
      <c r="B1030" t="s">
        <v>7362</v>
      </c>
      <c r="C1030" s="71">
        <v>9</v>
      </c>
      <c r="D1030" s="75">
        <f t="shared" ref="D1030:D1093" si="18">C1030/$C$4822</f>
        <v>1.2626085492627769E-4</v>
      </c>
    </row>
    <row r="1031" spans="2:4" x14ac:dyDescent="0.25">
      <c r="B1031" t="s">
        <v>7363</v>
      </c>
      <c r="C1031" s="71">
        <v>9</v>
      </c>
      <c r="D1031" s="75">
        <f t="shared" si="18"/>
        <v>1.2626085492627769E-4</v>
      </c>
    </row>
    <row r="1032" spans="2:4" x14ac:dyDescent="0.25">
      <c r="B1032" t="s">
        <v>7364</v>
      </c>
      <c r="C1032" s="71">
        <v>9</v>
      </c>
      <c r="D1032" s="75">
        <f t="shared" si="18"/>
        <v>1.2626085492627769E-4</v>
      </c>
    </row>
    <row r="1033" spans="2:4" x14ac:dyDescent="0.25">
      <c r="B1033" t="s">
        <v>7365</v>
      </c>
      <c r="C1033" s="71">
        <v>9</v>
      </c>
      <c r="D1033" s="75">
        <f t="shared" si="18"/>
        <v>1.2626085492627769E-4</v>
      </c>
    </row>
    <row r="1034" spans="2:4" x14ac:dyDescent="0.25">
      <c r="B1034" t="s">
        <v>7366</v>
      </c>
      <c r="C1034" s="71">
        <v>8</v>
      </c>
      <c r="D1034" s="75">
        <f t="shared" si="18"/>
        <v>1.1223187104558016E-4</v>
      </c>
    </row>
    <row r="1035" spans="2:4" x14ac:dyDescent="0.25">
      <c r="B1035" t="s">
        <v>7367</v>
      </c>
      <c r="C1035" s="71">
        <v>8</v>
      </c>
      <c r="D1035" s="75">
        <f t="shared" si="18"/>
        <v>1.1223187104558016E-4</v>
      </c>
    </row>
    <row r="1036" spans="2:4" x14ac:dyDescent="0.25">
      <c r="B1036" t="s">
        <v>7368</v>
      </c>
      <c r="C1036" s="71">
        <v>8</v>
      </c>
      <c r="D1036" s="75">
        <f t="shared" si="18"/>
        <v>1.1223187104558016E-4</v>
      </c>
    </row>
    <row r="1037" spans="2:4" x14ac:dyDescent="0.25">
      <c r="B1037" t="s">
        <v>7369</v>
      </c>
      <c r="C1037" s="71">
        <v>8</v>
      </c>
      <c r="D1037" s="75">
        <f t="shared" si="18"/>
        <v>1.1223187104558016E-4</v>
      </c>
    </row>
    <row r="1038" spans="2:4" x14ac:dyDescent="0.25">
      <c r="B1038" t="s">
        <v>7370</v>
      </c>
      <c r="C1038" s="71">
        <v>8</v>
      </c>
      <c r="D1038" s="75">
        <f t="shared" si="18"/>
        <v>1.1223187104558016E-4</v>
      </c>
    </row>
    <row r="1039" spans="2:4" x14ac:dyDescent="0.25">
      <c r="B1039" t="s">
        <v>7371</v>
      </c>
      <c r="C1039" s="71">
        <v>8</v>
      </c>
      <c r="D1039" s="75">
        <f t="shared" si="18"/>
        <v>1.1223187104558016E-4</v>
      </c>
    </row>
    <row r="1040" spans="2:4" x14ac:dyDescent="0.25">
      <c r="B1040" t="s">
        <v>7372</v>
      </c>
      <c r="C1040" s="71">
        <v>8</v>
      </c>
      <c r="D1040" s="75">
        <f t="shared" si="18"/>
        <v>1.1223187104558016E-4</v>
      </c>
    </row>
    <row r="1041" spans="2:4" x14ac:dyDescent="0.25">
      <c r="B1041" t="s">
        <v>7373</v>
      </c>
      <c r="C1041" s="71">
        <v>8</v>
      </c>
      <c r="D1041" s="75">
        <f t="shared" si="18"/>
        <v>1.1223187104558016E-4</v>
      </c>
    </row>
    <row r="1042" spans="2:4" x14ac:dyDescent="0.25">
      <c r="B1042" t="s">
        <v>7374</v>
      </c>
      <c r="C1042" s="71">
        <v>8</v>
      </c>
      <c r="D1042" s="75">
        <f t="shared" si="18"/>
        <v>1.1223187104558016E-4</v>
      </c>
    </row>
    <row r="1043" spans="2:4" x14ac:dyDescent="0.25">
      <c r="B1043" t="s">
        <v>7375</v>
      </c>
      <c r="C1043" s="71">
        <v>8</v>
      </c>
      <c r="D1043" s="75">
        <f t="shared" si="18"/>
        <v>1.1223187104558016E-4</v>
      </c>
    </row>
    <row r="1044" spans="2:4" x14ac:dyDescent="0.25">
      <c r="B1044" t="s">
        <v>7376</v>
      </c>
      <c r="C1044" s="71">
        <v>8</v>
      </c>
      <c r="D1044" s="75">
        <f t="shared" si="18"/>
        <v>1.1223187104558016E-4</v>
      </c>
    </row>
    <row r="1045" spans="2:4" x14ac:dyDescent="0.25">
      <c r="B1045" t="s">
        <v>7377</v>
      </c>
      <c r="C1045" s="71">
        <v>8</v>
      </c>
      <c r="D1045" s="75">
        <f t="shared" si="18"/>
        <v>1.1223187104558016E-4</v>
      </c>
    </row>
    <row r="1046" spans="2:4" x14ac:dyDescent="0.25">
      <c r="B1046" t="s">
        <v>7378</v>
      </c>
      <c r="C1046" s="71">
        <v>8</v>
      </c>
      <c r="D1046" s="75">
        <f t="shared" si="18"/>
        <v>1.1223187104558016E-4</v>
      </c>
    </row>
    <row r="1047" spans="2:4" x14ac:dyDescent="0.25">
      <c r="B1047" t="s">
        <v>7379</v>
      </c>
      <c r="C1047" s="71">
        <v>8</v>
      </c>
      <c r="D1047" s="75">
        <f t="shared" si="18"/>
        <v>1.1223187104558016E-4</v>
      </c>
    </row>
    <row r="1048" spans="2:4" x14ac:dyDescent="0.25">
      <c r="B1048" t="s">
        <v>7380</v>
      </c>
      <c r="C1048" s="71">
        <v>8</v>
      </c>
      <c r="D1048" s="75">
        <f t="shared" si="18"/>
        <v>1.1223187104558016E-4</v>
      </c>
    </row>
    <row r="1049" spans="2:4" x14ac:dyDescent="0.25">
      <c r="B1049" t="s">
        <v>7381</v>
      </c>
      <c r="C1049" s="71">
        <v>8</v>
      </c>
      <c r="D1049" s="75">
        <f t="shared" si="18"/>
        <v>1.1223187104558016E-4</v>
      </c>
    </row>
    <row r="1050" spans="2:4" x14ac:dyDescent="0.25">
      <c r="B1050" t="s">
        <v>7382</v>
      </c>
      <c r="C1050" s="71">
        <v>8</v>
      </c>
      <c r="D1050" s="75">
        <f t="shared" si="18"/>
        <v>1.1223187104558016E-4</v>
      </c>
    </row>
    <row r="1051" spans="2:4" x14ac:dyDescent="0.25">
      <c r="B1051" t="s">
        <v>7383</v>
      </c>
      <c r="C1051" s="71">
        <v>8</v>
      </c>
      <c r="D1051" s="75">
        <f t="shared" si="18"/>
        <v>1.1223187104558016E-4</v>
      </c>
    </row>
    <row r="1052" spans="2:4" x14ac:dyDescent="0.25">
      <c r="B1052" t="s">
        <v>7384</v>
      </c>
      <c r="C1052" s="71">
        <v>8</v>
      </c>
      <c r="D1052" s="75">
        <f t="shared" si="18"/>
        <v>1.1223187104558016E-4</v>
      </c>
    </row>
    <row r="1053" spans="2:4" x14ac:dyDescent="0.25">
      <c r="B1053" t="s">
        <v>7385</v>
      </c>
      <c r="C1053" s="71">
        <v>8</v>
      </c>
      <c r="D1053" s="75">
        <f t="shared" si="18"/>
        <v>1.1223187104558016E-4</v>
      </c>
    </row>
    <row r="1054" spans="2:4" x14ac:dyDescent="0.25">
      <c r="B1054" t="s">
        <v>7386</v>
      </c>
      <c r="C1054" s="71">
        <v>8</v>
      </c>
      <c r="D1054" s="75">
        <f t="shared" si="18"/>
        <v>1.1223187104558016E-4</v>
      </c>
    </row>
    <row r="1055" spans="2:4" x14ac:dyDescent="0.25">
      <c r="B1055" t="s">
        <v>7387</v>
      </c>
      <c r="C1055" s="71">
        <v>8</v>
      </c>
      <c r="D1055" s="75">
        <f t="shared" si="18"/>
        <v>1.1223187104558016E-4</v>
      </c>
    </row>
    <row r="1056" spans="2:4" x14ac:dyDescent="0.25">
      <c r="B1056" t="s">
        <v>7388</v>
      </c>
      <c r="C1056" s="71">
        <v>8</v>
      </c>
      <c r="D1056" s="75">
        <f t="shared" si="18"/>
        <v>1.1223187104558016E-4</v>
      </c>
    </row>
    <row r="1057" spans="2:4" x14ac:dyDescent="0.25">
      <c r="B1057" t="s">
        <v>7389</v>
      </c>
      <c r="C1057" s="71">
        <v>8</v>
      </c>
      <c r="D1057" s="75">
        <f t="shared" si="18"/>
        <v>1.1223187104558016E-4</v>
      </c>
    </row>
    <row r="1058" spans="2:4" x14ac:dyDescent="0.25">
      <c r="B1058" t="s">
        <v>7390</v>
      </c>
      <c r="C1058" s="71">
        <v>8</v>
      </c>
      <c r="D1058" s="75">
        <f t="shared" si="18"/>
        <v>1.1223187104558016E-4</v>
      </c>
    </row>
    <row r="1059" spans="2:4" x14ac:dyDescent="0.25">
      <c r="B1059" t="s">
        <v>7391</v>
      </c>
      <c r="C1059" s="71">
        <v>8</v>
      </c>
      <c r="D1059" s="75">
        <f t="shared" si="18"/>
        <v>1.1223187104558016E-4</v>
      </c>
    </row>
    <row r="1060" spans="2:4" x14ac:dyDescent="0.25">
      <c r="B1060" t="s">
        <v>7392</v>
      </c>
      <c r="C1060" s="71">
        <v>8</v>
      </c>
      <c r="D1060" s="75">
        <f t="shared" si="18"/>
        <v>1.1223187104558016E-4</v>
      </c>
    </row>
    <row r="1061" spans="2:4" x14ac:dyDescent="0.25">
      <c r="B1061" t="s">
        <v>7393</v>
      </c>
      <c r="C1061" s="71">
        <v>8</v>
      </c>
      <c r="D1061" s="75">
        <f t="shared" si="18"/>
        <v>1.1223187104558016E-4</v>
      </c>
    </row>
    <row r="1062" spans="2:4" x14ac:dyDescent="0.25">
      <c r="B1062" t="s">
        <v>7394</v>
      </c>
      <c r="C1062" s="71">
        <v>8</v>
      </c>
      <c r="D1062" s="75">
        <f t="shared" si="18"/>
        <v>1.1223187104558016E-4</v>
      </c>
    </row>
    <row r="1063" spans="2:4" x14ac:dyDescent="0.25">
      <c r="B1063" t="s">
        <v>7395</v>
      </c>
      <c r="C1063" s="71">
        <v>8</v>
      </c>
      <c r="D1063" s="75">
        <f t="shared" si="18"/>
        <v>1.1223187104558016E-4</v>
      </c>
    </row>
    <row r="1064" spans="2:4" x14ac:dyDescent="0.25">
      <c r="B1064" t="s">
        <v>7396</v>
      </c>
      <c r="C1064" s="71">
        <v>8</v>
      </c>
      <c r="D1064" s="75">
        <f t="shared" si="18"/>
        <v>1.1223187104558016E-4</v>
      </c>
    </row>
    <row r="1065" spans="2:4" x14ac:dyDescent="0.25">
      <c r="B1065" t="s">
        <v>7397</v>
      </c>
      <c r="C1065" s="71">
        <v>8</v>
      </c>
      <c r="D1065" s="75">
        <f t="shared" si="18"/>
        <v>1.1223187104558016E-4</v>
      </c>
    </row>
    <row r="1066" spans="2:4" x14ac:dyDescent="0.25">
      <c r="B1066" t="s">
        <v>7398</v>
      </c>
      <c r="C1066" s="71">
        <v>8</v>
      </c>
      <c r="D1066" s="75">
        <f t="shared" si="18"/>
        <v>1.1223187104558016E-4</v>
      </c>
    </row>
    <row r="1067" spans="2:4" x14ac:dyDescent="0.25">
      <c r="B1067" t="s">
        <v>7399</v>
      </c>
      <c r="C1067" s="71">
        <v>8</v>
      </c>
      <c r="D1067" s="75">
        <f t="shared" si="18"/>
        <v>1.1223187104558016E-4</v>
      </c>
    </row>
    <row r="1068" spans="2:4" x14ac:dyDescent="0.25">
      <c r="B1068" t="s">
        <v>7400</v>
      </c>
      <c r="C1068" s="71">
        <v>8</v>
      </c>
      <c r="D1068" s="75">
        <f t="shared" si="18"/>
        <v>1.1223187104558016E-4</v>
      </c>
    </row>
    <row r="1069" spans="2:4" x14ac:dyDescent="0.25">
      <c r="B1069" t="s">
        <v>7401</v>
      </c>
      <c r="C1069" s="71">
        <v>8</v>
      </c>
      <c r="D1069" s="75">
        <f t="shared" si="18"/>
        <v>1.1223187104558016E-4</v>
      </c>
    </row>
    <row r="1070" spans="2:4" x14ac:dyDescent="0.25">
      <c r="B1070" t="s">
        <v>7402</v>
      </c>
      <c r="C1070" s="71">
        <v>8</v>
      </c>
      <c r="D1070" s="75">
        <f t="shared" si="18"/>
        <v>1.1223187104558016E-4</v>
      </c>
    </row>
    <row r="1071" spans="2:4" x14ac:dyDescent="0.25">
      <c r="B1071" t="s">
        <v>7403</v>
      </c>
      <c r="C1071" s="71">
        <v>8</v>
      </c>
      <c r="D1071" s="75">
        <f t="shared" si="18"/>
        <v>1.1223187104558016E-4</v>
      </c>
    </row>
    <row r="1072" spans="2:4" x14ac:dyDescent="0.25">
      <c r="B1072" t="s">
        <v>7404</v>
      </c>
      <c r="C1072" s="71">
        <v>8</v>
      </c>
      <c r="D1072" s="75">
        <f t="shared" si="18"/>
        <v>1.1223187104558016E-4</v>
      </c>
    </row>
    <row r="1073" spans="2:4" x14ac:dyDescent="0.25">
      <c r="B1073" t="s">
        <v>7405</v>
      </c>
      <c r="C1073" s="71">
        <v>8</v>
      </c>
      <c r="D1073" s="75">
        <f t="shared" si="18"/>
        <v>1.1223187104558016E-4</v>
      </c>
    </row>
    <row r="1074" spans="2:4" x14ac:dyDescent="0.25">
      <c r="B1074" t="s">
        <v>7406</v>
      </c>
      <c r="C1074" s="71">
        <v>8</v>
      </c>
      <c r="D1074" s="75">
        <f t="shared" si="18"/>
        <v>1.1223187104558016E-4</v>
      </c>
    </row>
    <row r="1075" spans="2:4" x14ac:dyDescent="0.25">
      <c r="B1075" t="s">
        <v>7407</v>
      </c>
      <c r="C1075" s="71">
        <v>8</v>
      </c>
      <c r="D1075" s="75">
        <f t="shared" si="18"/>
        <v>1.1223187104558016E-4</v>
      </c>
    </row>
    <row r="1076" spans="2:4" x14ac:dyDescent="0.25">
      <c r="B1076" t="s">
        <v>7408</v>
      </c>
      <c r="C1076" s="71">
        <v>8</v>
      </c>
      <c r="D1076" s="75">
        <f t="shared" si="18"/>
        <v>1.1223187104558016E-4</v>
      </c>
    </row>
    <row r="1077" spans="2:4" x14ac:dyDescent="0.25">
      <c r="B1077" t="s">
        <v>7409</v>
      </c>
      <c r="C1077" s="71">
        <v>8</v>
      </c>
      <c r="D1077" s="75">
        <f t="shared" si="18"/>
        <v>1.1223187104558016E-4</v>
      </c>
    </row>
    <row r="1078" spans="2:4" x14ac:dyDescent="0.25">
      <c r="B1078" t="s">
        <v>7410</v>
      </c>
      <c r="C1078" s="71">
        <v>8</v>
      </c>
      <c r="D1078" s="75">
        <f t="shared" si="18"/>
        <v>1.1223187104558016E-4</v>
      </c>
    </row>
    <row r="1079" spans="2:4" x14ac:dyDescent="0.25">
      <c r="B1079" t="s">
        <v>7411</v>
      </c>
      <c r="C1079" s="71">
        <v>8</v>
      </c>
      <c r="D1079" s="75">
        <f t="shared" si="18"/>
        <v>1.1223187104558016E-4</v>
      </c>
    </row>
    <row r="1080" spans="2:4" x14ac:dyDescent="0.25">
      <c r="B1080" t="s">
        <v>7412</v>
      </c>
      <c r="C1080" s="71">
        <v>8</v>
      </c>
      <c r="D1080" s="75">
        <f t="shared" si="18"/>
        <v>1.1223187104558016E-4</v>
      </c>
    </row>
    <row r="1081" spans="2:4" x14ac:dyDescent="0.25">
      <c r="B1081" t="s">
        <v>7413</v>
      </c>
      <c r="C1081" s="71">
        <v>8</v>
      </c>
      <c r="D1081" s="75">
        <f t="shared" si="18"/>
        <v>1.1223187104558016E-4</v>
      </c>
    </row>
    <row r="1082" spans="2:4" x14ac:dyDescent="0.25">
      <c r="B1082" t="s">
        <v>7414</v>
      </c>
      <c r="C1082" s="71">
        <v>8</v>
      </c>
      <c r="D1082" s="75">
        <f t="shared" si="18"/>
        <v>1.1223187104558016E-4</v>
      </c>
    </row>
    <row r="1083" spans="2:4" x14ac:dyDescent="0.25">
      <c r="B1083" t="s">
        <v>7415</v>
      </c>
      <c r="C1083" s="71">
        <v>8</v>
      </c>
      <c r="D1083" s="75">
        <f t="shared" si="18"/>
        <v>1.1223187104558016E-4</v>
      </c>
    </row>
    <row r="1084" spans="2:4" x14ac:dyDescent="0.25">
      <c r="B1084" t="s">
        <v>7416</v>
      </c>
      <c r="C1084" s="71">
        <v>8</v>
      </c>
      <c r="D1084" s="75">
        <f t="shared" si="18"/>
        <v>1.1223187104558016E-4</v>
      </c>
    </row>
    <row r="1085" spans="2:4" x14ac:dyDescent="0.25">
      <c r="B1085" t="s">
        <v>7417</v>
      </c>
      <c r="C1085" s="71">
        <v>8</v>
      </c>
      <c r="D1085" s="75">
        <f t="shared" si="18"/>
        <v>1.1223187104558016E-4</v>
      </c>
    </row>
    <row r="1086" spans="2:4" x14ac:dyDescent="0.25">
      <c r="B1086" t="s">
        <v>7418</v>
      </c>
      <c r="C1086" s="71">
        <v>8</v>
      </c>
      <c r="D1086" s="75">
        <f t="shared" si="18"/>
        <v>1.1223187104558016E-4</v>
      </c>
    </row>
    <row r="1087" spans="2:4" x14ac:dyDescent="0.25">
      <c r="B1087" t="s">
        <v>7419</v>
      </c>
      <c r="C1087" s="71">
        <v>8</v>
      </c>
      <c r="D1087" s="75">
        <f t="shared" si="18"/>
        <v>1.1223187104558016E-4</v>
      </c>
    </row>
    <row r="1088" spans="2:4" x14ac:dyDescent="0.25">
      <c r="B1088" t="s">
        <v>7420</v>
      </c>
      <c r="C1088" s="71">
        <v>8</v>
      </c>
      <c r="D1088" s="75">
        <f t="shared" si="18"/>
        <v>1.1223187104558016E-4</v>
      </c>
    </row>
    <row r="1089" spans="2:4" x14ac:dyDescent="0.25">
      <c r="B1089" t="s">
        <v>7421</v>
      </c>
      <c r="C1089" s="71">
        <v>8</v>
      </c>
      <c r="D1089" s="75">
        <f t="shared" si="18"/>
        <v>1.1223187104558016E-4</v>
      </c>
    </row>
    <row r="1090" spans="2:4" x14ac:dyDescent="0.25">
      <c r="B1090" t="s">
        <v>7422</v>
      </c>
      <c r="C1090" s="71">
        <v>8</v>
      </c>
      <c r="D1090" s="75">
        <f t="shared" si="18"/>
        <v>1.1223187104558016E-4</v>
      </c>
    </row>
    <row r="1091" spans="2:4" x14ac:dyDescent="0.25">
      <c r="B1091" t="s">
        <v>7423</v>
      </c>
      <c r="C1091" s="71">
        <v>8</v>
      </c>
      <c r="D1091" s="75">
        <f t="shared" si="18"/>
        <v>1.1223187104558016E-4</v>
      </c>
    </row>
    <row r="1092" spans="2:4" x14ac:dyDescent="0.25">
      <c r="B1092" t="s">
        <v>7424</v>
      </c>
      <c r="C1092" s="71">
        <v>8</v>
      </c>
      <c r="D1092" s="75">
        <f t="shared" si="18"/>
        <v>1.1223187104558016E-4</v>
      </c>
    </row>
    <row r="1093" spans="2:4" x14ac:dyDescent="0.25">
      <c r="B1093" t="s">
        <v>7425</v>
      </c>
      <c r="C1093" s="71">
        <v>8</v>
      </c>
      <c r="D1093" s="75">
        <f t="shared" si="18"/>
        <v>1.1223187104558016E-4</v>
      </c>
    </row>
    <row r="1094" spans="2:4" x14ac:dyDescent="0.25">
      <c r="B1094" t="s">
        <v>7426</v>
      </c>
      <c r="C1094" s="71">
        <v>8</v>
      </c>
      <c r="D1094" s="75">
        <f t="shared" ref="D1094:D1157" si="19">C1094/$C$4822</f>
        <v>1.1223187104558016E-4</v>
      </c>
    </row>
    <row r="1095" spans="2:4" x14ac:dyDescent="0.25">
      <c r="B1095" t="s">
        <v>7427</v>
      </c>
      <c r="C1095" s="71">
        <v>8</v>
      </c>
      <c r="D1095" s="75">
        <f t="shared" si="19"/>
        <v>1.1223187104558016E-4</v>
      </c>
    </row>
    <row r="1096" spans="2:4" x14ac:dyDescent="0.25">
      <c r="B1096" t="s">
        <v>7428</v>
      </c>
      <c r="C1096" s="71">
        <v>8</v>
      </c>
      <c r="D1096" s="75">
        <f t="shared" si="19"/>
        <v>1.1223187104558016E-4</v>
      </c>
    </row>
    <row r="1097" spans="2:4" x14ac:dyDescent="0.25">
      <c r="B1097" t="s">
        <v>7429</v>
      </c>
      <c r="C1097" s="71">
        <v>8</v>
      </c>
      <c r="D1097" s="75">
        <f t="shared" si="19"/>
        <v>1.1223187104558016E-4</v>
      </c>
    </row>
    <row r="1098" spans="2:4" x14ac:dyDescent="0.25">
      <c r="B1098" t="s">
        <v>7430</v>
      </c>
      <c r="C1098" s="71">
        <v>8</v>
      </c>
      <c r="D1098" s="75">
        <f t="shared" si="19"/>
        <v>1.1223187104558016E-4</v>
      </c>
    </row>
    <row r="1099" spans="2:4" x14ac:dyDescent="0.25">
      <c r="B1099" t="s">
        <v>7431</v>
      </c>
      <c r="C1099" s="71">
        <v>8</v>
      </c>
      <c r="D1099" s="75">
        <f t="shared" si="19"/>
        <v>1.1223187104558016E-4</v>
      </c>
    </row>
    <row r="1100" spans="2:4" x14ac:dyDescent="0.25">
      <c r="B1100" t="s">
        <v>7432</v>
      </c>
      <c r="C1100" s="71">
        <v>8</v>
      </c>
      <c r="D1100" s="75">
        <f t="shared" si="19"/>
        <v>1.1223187104558016E-4</v>
      </c>
    </row>
    <row r="1101" spans="2:4" x14ac:dyDescent="0.25">
      <c r="B1101" t="s">
        <v>7433</v>
      </c>
      <c r="C1101" s="71">
        <v>8</v>
      </c>
      <c r="D1101" s="75">
        <f t="shared" si="19"/>
        <v>1.1223187104558016E-4</v>
      </c>
    </row>
    <row r="1102" spans="2:4" x14ac:dyDescent="0.25">
      <c r="B1102" t="s">
        <v>7434</v>
      </c>
      <c r="C1102" s="71">
        <v>8</v>
      </c>
      <c r="D1102" s="75">
        <f t="shared" si="19"/>
        <v>1.1223187104558016E-4</v>
      </c>
    </row>
    <row r="1103" spans="2:4" x14ac:dyDescent="0.25">
      <c r="B1103" t="s">
        <v>7435</v>
      </c>
      <c r="C1103" s="71">
        <v>8</v>
      </c>
      <c r="D1103" s="75">
        <f t="shared" si="19"/>
        <v>1.1223187104558016E-4</v>
      </c>
    </row>
    <row r="1104" spans="2:4" x14ac:dyDescent="0.25">
      <c r="B1104" t="s">
        <v>7436</v>
      </c>
      <c r="C1104" s="71">
        <v>8</v>
      </c>
      <c r="D1104" s="75">
        <f t="shared" si="19"/>
        <v>1.1223187104558016E-4</v>
      </c>
    </row>
    <row r="1105" spans="2:4" x14ac:dyDescent="0.25">
      <c r="B1105" t="s">
        <v>7437</v>
      </c>
      <c r="C1105" s="71">
        <v>8</v>
      </c>
      <c r="D1105" s="75">
        <f t="shared" si="19"/>
        <v>1.1223187104558016E-4</v>
      </c>
    </row>
    <row r="1106" spans="2:4" x14ac:dyDescent="0.25">
      <c r="B1106" t="s">
        <v>7438</v>
      </c>
      <c r="C1106" s="71">
        <v>8</v>
      </c>
      <c r="D1106" s="75">
        <f t="shared" si="19"/>
        <v>1.1223187104558016E-4</v>
      </c>
    </row>
    <row r="1107" spans="2:4" x14ac:dyDescent="0.25">
      <c r="B1107" t="s">
        <v>7439</v>
      </c>
      <c r="C1107" s="71">
        <v>7</v>
      </c>
      <c r="D1107" s="75">
        <f t="shared" si="19"/>
        <v>9.8202887164882646E-5</v>
      </c>
    </row>
    <row r="1108" spans="2:4" x14ac:dyDescent="0.25">
      <c r="B1108" t="s">
        <v>7440</v>
      </c>
      <c r="C1108" s="71">
        <v>7</v>
      </c>
      <c r="D1108" s="75">
        <f t="shared" si="19"/>
        <v>9.8202887164882646E-5</v>
      </c>
    </row>
    <row r="1109" spans="2:4" x14ac:dyDescent="0.25">
      <c r="B1109" t="s">
        <v>7441</v>
      </c>
      <c r="C1109" s="71">
        <v>7</v>
      </c>
      <c r="D1109" s="75">
        <f t="shared" si="19"/>
        <v>9.8202887164882646E-5</v>
      </c>
    </row>
    <row r="1110" spans="2:4" x14ac:dyDescent="0.25">
      <c r="B1110" t="s">
        <v>7442</v>
      </c>
      <c r="C1110" s="71">
        <v>7</v>
      </c>
      <c r="D1110" s="75">
        <f t="shared" si="19"/>
        <v>9.8202887164882646E-5</v>
      </c>
    </row>
    <row r="1111" spans="2:4" x14ac:dyDescent="0.25">
      <c r="B1111" t="s">
        <v>7443</v>
      </c>
      <c r="C1111" s="71">
        <v>7</v>
      </c>
      <c r="D1111" s="75">
        <f t="shared" si="19"/>
        <v>9.8202887164882646E-5</v>
      </c>
    </row>
    <row r="1112" spans="2:4" x14ac:dyDescent="0.25">
      <c r="B1112" t="s">
        <v>7444</v>
      </c>
      <c r="C1112" s="71">
        <v>7</v>
      </c>
      <c r="D1112" s="75">
        <f t="shared" si="19"/>
        <v>9.8202887164882646E-5</v>
      </c>
    </row>
    <row r="1113" spans="2:4" x14ac:dyDescent="0.25">
      <c r="B1113" t="s">
        <v>7445</v>
      </c>
      <c r="C1113" s="71">
        <v>7</v>
      </c>
      <c r="D1113" s="75">
        <f t="shared" si="19"/>
        <v>9.8202887164882646E-5</v>
      </c>
    </row>
    <row r="1114" spans="2:4" x14ac:dyDescent="0.25">
      <c r="B1114" t="s">
        <v>7446</v>
      </c>
      <c r="C1114" s="71">
        <v>7</v>
      </c>
      <c r="D1114" s="75">
        <f t="shared" si="19"/>
        <v>9.8202887164882646E-5</v>
      </c>
    </row>
    <row r="1115" spans="2:4" x14ac:dyDescent="0.25">
      <c r="B1115" t="s">
        <v>7447</v>
      </c>
      <c r="C1115" s="71">
        <v>7</v>
      </c>
      <c r="D1115" s="75">
        <f t="shared" si="19"/>
        <v>9.8202887164882646E-5</v>
      </c>
    </row>
    <row r="1116" spans="2:4" x14ac:dyDescent="0.25">
      <c r="B1116" t="s">
        <v>7448</v>
      </c>
      <c r="C1116" s="71">
        <v>7</v>
      </c>
      <c r="D1116" s="75">
        <f t="shared" si="19"/>
        <v>9.8202887164882646E-5</v>
      </c>
    </row>
    <row r="1117" spans="2:4" x14ac:dyDescent="0.25">
      <c r="B1117" t="s">
        <v>7449</v>
      </c>
      <c r="C1117" s="71">
        <v>7</v>
      </c>
      <c r="D1117" s="75">
        <f t="shared" si="19"/>
        <v>9.8202887164882646E-5</v>
      </c>
    </row>
    <row r="1118" spans="2:4" x14ac:dyDescent="0.25">
      <c r="B1118" t="s">
        <v>7450</v>
      </c>
      <c r="C1118" s="71">
        <v>7</v>
      </c>
      <c r="D1118" s="75">
        <f t="shared" si="19"/>
        <v>9.8202887164882646E-5</v>
      </c>
    </row>
    <row r="1119" spans="2:4" x14ac:dyDescent="0.25">
      <c r="B1119" t="s">
        <v>7451</v>
      </c>
      <c r="C1119" s="71">
        <v>7</v>
      </c>
      <c r="D1119" s="75">
        <f t="shared" si="19"/>
        <v>9.8202887164882646E-5</v>
      </c>
    </row>
    <row r="1120" spans="2:4" x14ac:dyDescent="0.25">
      <c r="B1120" t="s">
        <v>7452</v>
      </c>
      <c r="C1120" s="71">
        <v>7</v>
      </c>
      <c r="D1120" s="75">
        <f t="shared" si="19"/>
        <v>9.8202887164882646E-5</v>
      </c>
    </row>
    <row r="1121" spans="2:4" x14ac:dyDescent="0.25">
      <c r="B1121" t="s">
        <v>7453</v>
      </c>
      <c r="C1121" s="71">
        <v>7</v>
      </c>
      <c r="D1121" s="75">
        <f t="shared" si="19"/>
        <v>9.8202887164882646E-5</v>
      </c>
    </row>
    <row r="1122" spans="2:4" x14ac:dyDescent="0.25">
      <c r="B1122" t="s">
        <v>7454</v>
      </c>
      <c r="C1122" s="71">
        <v>7</v>
      </c>
      <c r="D1122" s="75">
        <f t="shared" si="19"/>
        <v>9.8202887164882646E-5</v>
      </c>
    </row>
    <row r="1123" spans="2:4" x14ac:dyDescent="0.25">
      <c r="B1123" t="s">
        <v>7455</v>
      </c>
      <c r="C1123" s="71">
        <v>7</v>
      </c>
      <c r="D1123" s="75">
        <f t="shared" si="19"/>
        <v>9.8202887164882646E-5</v>
      </c>
    </row>
    <row r="1124" spans="2:4" x14ac:dyDescent="0.25">
      <c r="B1124" t="s">
        <v>7456</v>
      </c>
      <c r="C1124" s="71">
        <v>7</v>
      </c>
      <c r="D1124" s="75">
        <f t="shared" si="19"/>
        <v>9.8202887164882646E-5</v>
      </c>
    </row>
    <row r="1125" spans="2:4" x14ac:dyDescent="0.25">
      <c r="B1125" t="s">
        <v>7457</v>
      </c>
      <c r="C1125" s="71">
        <v>7</v>
      </c>
      <c r="D1125" s="75">
        <f t="shared" si="19"/>
        <v>9.8202887164882646E-5</v>
      </c>
    </row>
    <row r="1126" spans="2:4" x14ac:dyDescent="0.25">
      <c r="B1126" t="s">
        <v>7458</v>
      </c>
      <c r="C1126" s="71">
        <v>7</v>
      </c>
      <c r="D1126" s="75">
        <f t="shared" si="19"/>
        <v>9.8202887164882646E-5</v>
      </c>
    </row>
    <row r="1127" spans="2:4" x14ac:dyDescent="0.25">
      <c r="B1127" t="s">
        <v>7459</v>
      </c>
      <c r="C1127" s="71">
        <v>7</v>
      </c>
      <c r="D1127" s="75">
        <f t="shared" si="19"/>
        <v>9.8202887164882646E-5</v>
      </c>
    </row>
    <row r="1128" spans="2:4" x14ac:dyDescent="0.25">
      <c r="B1128" t="s">
        <v>7460</v>
      </c>
      <c r="C1128" s="71">
        <v>7</v>
      </c>
      <c r="D1128" s="75">
        <f t="shared" si="19"/>
        <v>9.8202887164882646E-5</v>
      </c>
    </row>
    <row r="1129" spans="2:4" x14ac:dyDescent="0.25">
      <c r="B1129" t="s">
        <v>7461</v>
      </c>
      <c r="C1129" s="71">
        <v>7</v>
      </c>
      <c r="D1129" s="75">
        <f t="shared" si="19"/>
        <v>9.8202887164882646E-5</v>
      </c>
    </row>
    <row r="1130" spans="2:4" x14ac:dyDescent="0.25">
      <c r="B1130" t="s">
        <v>7462</v>
      </c>
      <c r="C1130" s="71">
        <v>7</v>
      </c>
      <c r="D1130" s="75">
        <f t="shared" si="19"/>
        <v>9.8202887164882646E-5</v>
      </c>
    </row>
    <row r="1131" spans="2:4" x14ac:dyDescent="0.25">
      <c r="B1131" t="s">
        <v>7463</v>
      </c>
      <c r="C1131" s="71">
        <v>7</v>
      </c>
      <c r="D1131" s="75">
        <f t="shared" si="19"/>
        <v>9.8202887164882646E-5</v>
      </c>
    </row>
    <row r="1132" spans="2:4" x14ac:dyDescent="0.25">
      <c r="B1132" t="s">
        <v>7464</v>
      </c>
      <c r="C1132" s="71">
        <v>7</v>
      </c>
      <c r="D1132" s="75">
        <f t="shared" si="19"/>
        <v>9.8202887164882646E-5</v>
      </c>
    </row>
    <row r="1133" spans="2:4" x14ac:dyDescent="0.25">
      <c r="B1133" t="s">
        <v>7465</v>
      </c>
      <c r="C1133" s="71">
        <v>7</v>
      </c>
      <c r="D1133" s="75">
        <f t="shared" si="19"/>
        <v>9.8202887164882646E-5</v>
      </c>
    </row>
    <row r="1134" spans="2:4" x14ac:dyDescent="0.25">
      <c r="B1134" t="s">
        <v>7466</v>
      </c>
      <c r="C1134" s="71">
        <v>7</v>
      </c>
      <c r="D1134" s="75">
        <f t="shared" si="19"/>
        <v>9.8202887164882646E-5</v>
      </c>
    </row>
    <row r="1135" spans="2:4" x14ac:dyDescent="0.25">
      <c r="B1135" t="s">
        <v>7467</v>
      </c>
      <c r="C1135" s="71">
        <v>7</v>
      </c>
      <c r="D1135" s="75">
        <f t="shared" si="19"/>
        <v>9.8202887164882646E-5</v>
      </c>
    </row>
    <row r="1136" spans="2:4" x14ac:dyDescent="0.25">
      <c r="B1136" t="s">
        <v>7468</v>
      </c>
      <c r="C1136" s="71">
        <v>7</v>
      </c>
      <c r="D1136" s="75">
        <f t="shared" si="19"/>
        <v>9.8202887164882646E-5</v>
      </c>
    </row>
    <row r="1137" spans="2:4" x14ac:dyDescent="0.25">
      <c r="B1137" t="s">
        <v>7469</v>
      </c>
      <c r="C1137" s="71">
        <v>7</v>
      </c>
      <c r="D1137" s="75">
        <f t="shared" si="19"/>
        <v>9.8202887164882646E-5</v>
      </c>
    </row>
    <row r="1138" spans="2:4" x14ac:dyDescent="0.25">
      <c r="B1138" t="s">
        <v>7470</v>
      </c>
      <c r="C1138" s="71">
        <v>7</v>
      </c>
      <c r="D1138" s="75">
        <f t="shared" si="19"/>
        <v>9.8202887164882646E-5</v>
      </c>
    </row>
    <row r="1139" spans="2:4" x14ac:dyDescent="0.25">
      <c r="B1139" t="s">
        <v>7471</v>
      </c>
      <c r="C1139" s="71">
        <v>7</v>
      </c>
      <c r="D1139" s="75">
        <f t="shared" si="19"/>
        <v>9.8202887164882646E-5</v>
      </c>
    </row>
    <row r="1140" spans="2:4" x14ac:dyDescent="0.25">
      <c r="B1140" t="s">
        <v>7472</v>
      </c>
      <c r="C1140" s="71">
        <v>7</v>
      </c>
      <c r="D1140" s="75">
        <f t="shared" si="19"/>
        <v>9.8202887164882646E-5</v>
      </c>
    </row>
    <row r="1141" spans="2:4" x14ac:dyDescent="0.25">
      <c r="B1141" t="s">
        <v>7473</v>
      </c>
      <c r="C1141" s="71">
        <v>7</v>
      </c>
      <c r="D1141" s="75">
        <f t="shared" si="19"/>
        <v>9.8202887164882646E-5</v>
      </c>
    </row>
    <row r="1142" spans="2:4" x14ac:dyDescent="0.25">
      <c r="B1142" t="s">
        <v>7474</v>
      </c>
      <c r="C1142" s="71">
        <v>7</v>
      </c>
      <c r="D1142" s="75">
        <f t="shared" si="19"/>
        <v>9.8202887164882646E-5</v>
      </c>
    </row>
    <row r="1143" spans="2:4" x14ac:dyDescent="0.25">
      <c r="B1143" t="s">
        <v>7475</v>
      </c>
      <c r="C1143" s="71">
        <v>7</v>
      </c>
      <c r="D1143" s="75">
        <f t="shared" si="19"/>
        <v>9.8202887164882646E-5</v>
      </c>
    </row>
    <row r="1144" spans="2:4" x14ac:dyDescent="0.25">
      <c r="B1144" t="s">
        <v>7476</v>
      </c>
      <c r="C1144" s="71">
        <v>7</v>
      </c>
      <c r="D1144" s="75">
        <f t="shared" si="19"/>
        <v>9.8202887164882646E-5</v>
      </c>
    </row>
    <row r="1145" spans="2:4" x14ac:dyDescent="0.25">
      <c r="B1145" t="s">
        <v>7477</v>
      </c>
      <c r="C1145" s="71">
        <v>7</v>
      </c>
      <c r="D1145" s="75">
        <f t="shared" si="19"/>
        <v>9.8202887164882646E-5</v>
      </c>
    </row>
    <row r="1146" spans="2:4" x14ac:dyDescent="0.25">
      <c r="B1146" t="s">
        <v>7478</v>
      </c>
      <c r="C1146" s="71">
        <v>7</v>
      </c>
      <c r="D1146" s="75">
        <f t="shared" si="19"/>
        <v>9.8202887164882646E-5</v>
      </c>
    </row>
    <row r="1147" spans="2:4" x14ac:dyDescent="0.25">
      <c r="B1147" t="s">
        <v>7479</v>
      </c>
      <c r="C1147" s="71">
        <v>7</v>
      </c>
      <c r="D1147" s="75">
        <f t="shared" si="19"/>
        <v>9.8202887164882646E-5</v>
      </c>
    </row>
    <row r="1148" spans="2:4" x14ac:dyDescent="0.25">
      <c r="B1148" t="s">
        <v>7480</v>
      </c>
      <c r="C1148" s="71">
        <v>7</v>
      </c>
      <c r="D1148" s="75">
        <f t="shared" si="19"/>
        <v>9.8202887164882646E-5</v>
      </c>
    </row>
    <row r="1149" spans="2:4" x14ac:dyDescent="0.25">
      <c r="B1149" t="s">
        <v>7481</v>
      </c>
      <c r="C1149" s="71">
        <v>7</v>
      </c>
      <c r="D1149" s="75">
        <f t="shared" si="19"/>
        <v>9.8202887164882646E-5</v>
      </c>
    </row>
    <row r="1150" spans="2:4" x14ac:dyDescent="0.25">
      <c r="B1150" t="s">
        <v>7482</v>
      </c>
      <c r="C1150" s="71">
        <v>7</v>
      </c>
      <c r="D1150" s="75">
        <f t="shared" si="19"/>
        <v>9.8202887164882646E-5</v>
      </c>
    </row>
    <row r="1151" spans="2:4" x14ac:dyDescent="0.25">
      <c r="B1151" t="s">
        <v>7483</v>
      </c>
      <c r="C1151" s="71">
        <v>7</v>
      </c>
      <c r="D1151" s="75">
        <f t="shared" si="19"/>
        <v>9.8202887164882646E-5</v>
      </c>
    </row>
    <row r="1152" spans="2:4" x14ac:dyDescent="0.25">
      <c r="B1152" t="s">
        <v>7484</v>
      </c>
      <c r="C1152" s="71">
        <v>7</v>
      </c>
      <c r="D1152" s="75">
        <f t="shared" si="19"/>
        <v>9.8202887164882646E-5</v>
      </c>
    </row>
    <row r="1153" spans="2:4" x14ac:dyDescent="0.25">
      <c r="B1153" t="s">
        <v>7485</v>
      </c>
      <c r="C1153" s="71">
        <v>7</v>
      </c>
      <c r="D1153" s="75">
        <f t="shared" si="19"/>
        <v>9.8202887164882646E-5</v>
      </c>
    </row>
    <row r="1154" spans="2:4" x14ac:dyDescent="0.25">
      <c r="B1154" t="s">
        <v>7486</v>
      </c>
      <c r="C1154" s="71">
        <v>7</v>
      </c>
      <c r="D1154" s="75">
        <f t="shared" si="19"/>
        <v>9.8202887164882646E-5</v>
      </c>
    </row>
    <row r="1155" spans="2:4" x14ac:dyDescent="0.25">
      <c r="B1155" t="s">
        <v>7487</v>
      </c>
      <c r="C1155" s="71">
        <v>7</v>
      </c>
      <c r="D1155" s="75">
        <f t="shared" si="19"/>
        <v>9.8202887164882646E-5</v>
      </c>
    </row>
    <row r="1156" spans="2:4" x14ac:dyDescent="0.25">
      <c r="B1156" t="s">
        <v>7488</v>
      </c>
      <c r="C1156" s="71">
        <v>7</v>
      </c>
      <c r="D1156" s="75">
        <f t="shared" si="19"/>
        <v>9.8202887164882646E-5</v>
      </c>
    </row>
    <row r="1157" spans="2:4" x14ac:dyDescent="0.25">
      <c r="B1157" t="s">
        <v>7489</v>
      </c>
      <c r="C1157" s="71">
        <v>7</v>
      </c>
      <c r="D1157" s="75">
        <f t="shared" si="19"/>
        <v>9.8202887164882646E-5</v>
      </c>
    </row>
    <row r="1158" spans="2:4" x14ac:dyDescent="0.25">
      <c r="B1158" t="s">
        <v>7490</v>
      </c>
      <c r="C1158" s="71">
        <v>7</v>
      </c>
      <c r="D1158" s="75">
        <f t="shared" ref="D1158:D1221" si="20">C1158/$C$4822</f>
        <v>9.8202887164882646E-5</v>
      </c>
    </row>
    <row r="1159" spans="2:4" x14ac:dyDescent="0.25">
      <c r="B1159" t="s">
        <v>7491</v>
      </c>
      <c r="C1159" s="71">
        <v>7</v>
      </c>
      <c r="D1159" s="75">
        <f t="shared" si="20"/>
        <v>9.8202887164882646E-5</v>
      </c>
    </row>
    <row r="1160" spans="2:4" x14ac:dyDescent="0.25">
      <c r="B1160" t="s">
        <v>7492</v>
      </c>
      <c r="C1160" s="71">
        <v>7</v>
      </c>
      <c r="D1160" s="75">
        <f t="shared" si="20"/>
        <v>9.8202887164882646E-5</v>
      </c>
    </row>
    <row r="1161" spans="2:4" x14ac:dyDescent="0.25">
      <c r="B1161" t="s">
        <v>7493</v>
      </c>
      <c r="C1161" s="71">
        <v>7</v>
      </c>
      <c r="D1161" s="75">
        <f t="shared" si="20"/>
        <v>9.8202887164882646E-5</v>
      </c>
    </row>
    <row r="1162" spans="2:4" x14ac:dyDescent="0.25">
      <c r="B1162" t="s">
        <v>7494</v>
      </c>
      <c r="C1162" s="71">
        <v>7</v>
      </c>
      <c r="D1162" s="75">
        <f t="shared" si="20"/>
        <v>9.8202887164882646E-5</v>
      </c>
    </row>
    <row r="1163" spans="2:4" x14ac:dyDescent="0.25">
      <c r="B1163" t="s">
        <v>7495</v>
      </c>
      <c r="C1163" s="71">
        <v>7</v>
      </c>
      <c r="D1163" s="75">
        <f t="shared" si="20"/>
        <v>9.8202887164882646E-5</v>
      </c>
    </row>
    <row r="1164" spans="2:4" x14ac:dyDescent="0.25">
      <c r="B1164" t="s">
        <v>7496</v>
      </c>
      <c r="C1164" s="71">
        <v>7</v>
      </c>
      <c r="D1164" s="75">
        <f t="shared" si="20"/>
        <v>9.8202887164882646E-5</v>
      </c>
    </row>
    <row r="1165" spans="2:4" x14ac:dyDescent="0.25">
      <c r="B1165" t="s">
        <v>7497</v>
      </c>
      <c r="C1165" s="71">
        <v>7</v>
      </c>
      <c r="D1165" s="75">
        <f t="shared" si="20"/>
        <v>9.8202887164882646E-5</v>
      </c>
    </row>
    <row r="1166" spans="2:4" x14ac:dyDescent="0.25">
      <c r="B1166" t="s">
        <v>7498</v>
      </c>
      <c r="C1166" s="71">
        <v>7</v>
      </c>
      <c r="D1166" s="75">
        <f t="shared" si="20"/>
        <v>9.8202887164882646E-5</v>
      </c>
    </row>
    <row r="1167" spans="2:4" x14ac:dyDescent="0.25">
      <c r="B1167" t="s">
        <v>7499</v>
      </c>
      <c r="C1167" s="71">
        <v>7</v>
      </c>
      <c r="D1167" s="75">
        <f t="shared" si="20"/>
        <v>9.8202887164882646E-5</v>
      </c>
    </row>
    <row r="1168" spans="2:4" x14ac:dyDescent="0.25">
      <c r="B1168" t="s">
        <v>7500</v>
      </c>
      <c r="C1168" s="71">
        <v>7</v>
      </c>
      <c r="D1168" s="75">
        <f t="shared" si="20"/>
        <v>9.8202887164882646E-5</v>
      </c>
    </row>
    <row r="1169" spans="2:4" x14ac:dyDescent="0.25">
      <c r="B1169" t="s">
        <v>7501</v>
      </c>
      <c r="C1169" s="71">
        <v>7</v>
      </c>
      <c r="D1169" s="75">
        <f t="shared" si="20"/>
        <v>9.8202887164882646E-5</v>
      </c>
    </row>
    <row r="1170" spans="2:4" x14ac:dyDescent="0.25">
      <c r="B1170" t="s">
        <v>7502</v>
      </c>
      <c r="C1170" s="71">
        <v>7</v>
      </c>
      <c r="D1170" s="75">
        <f t="shared" si="20"/>
        <v>9.8202887164882646E-5</v>
      </c>
    </row>
    <row r="1171" spans="2:4" x14ac:dyDescent="0.25">
      <c r="B1171" t="s">
        <v>7503</v>
      </c>
      <c r="C1171" s="71">
        <v>7</v>
      </c>
      <c r="D1171" s="75">
        <f t="shared" si="20"/>
        <v>9.8202887164882646E-5</v>
      </c>
    </row>
    <row r="1172" spans="2:4" x14ac:dyDescent="0.25">
      <c r="B1172" t="s">
        <v>7504</v>
      </c>
      <c r="C1172" s="71">
        <v>7</v>
      </c>
      <c r="D1172" s="75">
        <f t="shared" si="20"/>
        <v>9.8202887164882646E-5</v>
      </c>
    </row>
    <row r="1173" spans="2:4" x14ac:dyDescent="0.25">
      <c r="B1173" t="s">
        <v>7505</v>
      </c>
      <c r="C1173" s="71">
        <v>7</v>
      </c>
      <c r="D1173" s="75">
        <f t="shared" si="20"/>
        <v>9.8202887164882646E-5</v>
      </c>
    </row>
    <row r="1174" spans="2:4" x14ac:dyDescent="0.25">
      <c r="B1174" t="s">
        <v>7506</v>
      </c>
      <c r="C1174" s="71">
        <v>7</v>
      </c>
      <c r="D1174" s="75">
        <f t="shared" si="20"/>
        <v>9.8202887164882646E-5</v>
      </c>
    </row>
    <row r="1175" spans="2:4" x14ac:dyDescent="0.25">
      <c r="B1175" t="s">
        <v>7507</v>
      </c>
      <c r="C1175" s="71">
        <v>7</v>
      </c>
      <c r="D1175" s="75">
        <f t="shared" si="20"/>
        <v>9.8202887164882646E-5</v>
      </c>
    </row>
    <row r="1176" spans="2:4" x14ac:dyDescent="0.25">
      <c r="B1176" t="s">
        <v>7508</v>
      </c>
      <c r="C1176" s="71">
        <v>7</v>
      </c>
      <c r="D1176" s="75">
        <f t="shared" si="20"/>
        <v>9.8202887164882646E-5</v>
      </c>
    </row>
    <row r="1177" spans="2:4" x14ac:dyDescent="0.25">
      <c r="B1177" t="s">
        <v>7509</v>
      </c>
      <c r="C1177" s="71">
        <v>7</v>
      </c>
      <c r="D1177" s="75">
        <f t="shared" si="20"/>
        <v>9.8202887164882646E-5</v>
      </c>
    </row>
    <row r="1178" spans="2:4" x14ac:dyDescent="0.25">
      <c r="B1178" t="s">
        <v>7510</v>
      </c>
      <c r="C1178" s="71">
        <v>7</v>
      </c>
      <c r="D1178" s="75">
        <f t="shared" si="20"/>
        <v>9.8202887164882646E-5</v>
      </c>
    </row>
    <row r="1179" spans="2:4" x14ac:dyDescent="0.25">
      <c r="B1179" t="s">
        <v>7511</v>
      </c>
      <c r="C1179" s="71">
        <v>7</v>
      </c>
      <c r="D1179" s="75">
        <f t="shared" si="20"/>
        <v>9.8202887164882646E-5</v>
      </c>
    </row>
    <row r="1180" spans="2:4" x14ac:dyDescent="0.25">
      <c r="B1180" t="s">
        <v>7512</v>
      </c>
      <c r="C1180" s="71">
        <v>7</v>
      </c>
      <c r="D1180" s="75">
        <f t="shared" si="20"/>
        <v>9.8202887164882646E-5</v>
      </c>
    </row>
    <row r="1181" spans="2:4" x14ac:dyDescent="0.25">
      <c r="B1181" t="s">
        <v>7513</v>
      </c>
      <c r="C1181" s="71">
        <v>7</v>
      </c>
      <c r="D1181" s="75">
        <f t="shared" si="20"/>
        <v>9.8202887164882646E-5</v>
      </c>
    </row>
    <row r="1182" spans="2:4" x14ac:dyDescent="0.25">
      <c r="B1182" t="s">
        <v>7514</v>
      </c>
      <c r="C1182" s="71">
        <v>7</v>
      </c>
      <c r="D1182" s="75">
        <f t="shared" si="20"/>
        <v>9.8202887164882646E-5</v>
      </c>
    </row>
    <row r="1183" spans="2:4" x14ac:dyDescent="0.25">
      <c r="B1183" t="s">
        <v>7515</v>
      </c>
      <c r="C1183" s="71">
        <v>7</v>
      </c>
      <c r="D1183" s="75">
        <f t="shared" si="20"/>
        <v>9.8202887164882646E-5</v>
      </c>
    </row>
    <row r="1184" spans="2:4" x14ac:dyDescent="0.25">
      <c r="B1184" t="s">
        <v>7516</v>
      </c>
      <c r="C1184" s="71">
        <v>7</v>
      </c>
      <c r="D1184" s="75">
        <f t="shared" si="20"/>
        <v>9.8202887164882646E-5</v>
      </c>
    </row>
    <row r="1185" spans="2:4" x14ac:dyDescent="0.25">
      <c r="B1185" t="s">
        <v>7517</v>
      </c>
      <c r="C1185" s="71">
        <v>7</v>
      </c>
      <c r="D1185" s="75">
        <f t="shared" si="20"/>
        <v>9.8202887164882646E-5</v>
      </c>
    </row>
    <row r="1186" spans="2:4" x14ac:dyDescent="0.25">
      <c r="B1186" t="s">
        <v>7518</v>
      </c>
      <c r="C1186" s="71">
        <v>7</v>
      </c>
      <c r="D1186" s="75">
        <f t="shared" si="20"/>
        <v>9.8202887164882646E-5</v>
      </c>
    </row>
    <row r="1187" spans="2:4" x14ac:dyDescent="0.25">
      <c r="B1187" t="s">
        <v>7519</v>
      </c>
      <c r="C1187" s="71">
        <v>7</v>
      </c>
      <c r="D1187" s="75">
        <f t="shared" si="20"/>
        <v>9.8202887164882646E-5</v>
      </c>
    </row>
    <row r="1188" spans="2:4" x14ac:dyDescent="0.25">
      <c r="B1188" t="s">
        <v>7520</v>
      </c>
      <c r="C1188" s="71">
        <v>7</v>
      </c>
      <c r="D1188" s="75">
        <f t="shared" si="20"/>
        <v>9.8202887164882646E-5</v>
      </c>
    </row>
    <row r="1189" spans="2:4" x14ac:dyDescent="0.25">
      <c r="B1189" t="s">
        <v>7521</v>
      </c>
      <c r="C1189" s="71">
        <v>7</v>
      </c>
      <c r="D1189" s="75">
        <f t="shared" si="20"/>
        <v>9.8202887164882646E-5</v>
      </c>
    </row>
    <row r="1190" spans="2:4" x14ac:dyDescent="0.25">
      <c r="B1190" t="s">
        <v>7522</v>
      </c>
      <c r="C1190" s="71">
        <v>7</v>
      </c>
      <c r="D1190" s="75">
        <f t="shared" si="20"/>
        <v>9.8202887164882646E-5</v>
      </c>
    </row>
    <row r="1191" spans="2:4" x14ac:dyDescent="0.25">
      <c r="B1191" t="s">
        <v>7523</v>
      </c>
      <c r="C1191" s="71">
        <v>7</v>
      </c>
      <c r="D1191" s="75">
        <f t="shared" si="20"/>
        <v>9.8202887164882646E-5</v>
      </c>
    </row>
    <row r="1192" spans="2:4" x14ac:dyDescent="0.25">
      <c r="B1192" t="s">
        <v>7524</v>
      </c>
      <c r="C1192" s="71">
        <v>7</v>
      </c>
      <c r="D1192" s="75">
        <f t="shared" si="20"/>
        <v>9.8202887164882646E-5</v>
      </c>
    </row>
    <row r="1193" spans="2:4" x14ac:dyDescent="0.25">
      <c r="B1193" t="s">
        <v>7525</v>
      </c>
      <c r="C1193" s="71">
        <v>7</v>
      </c>
      <c r="D1193" s="75">
        <f t="shared" si="20"/>
        <v>9.8202887164882646E-5</v>
      </c>
    </row>
    <row r="1194" spans="2:4" x14ac:dyDescent="0.25">
      <c r="B1194" t="s">
        <v>7526</v>
      </c>
      <c r="C1194" s="71">
        <v>7</v>
      </c>
      <c r="D1194" s="75">
        <f t="shared" si="20"/>
        <v>9.8202887164882646E-5</v>
      </c>
    </row>
    <row r="1195" spans="2:4" x14ac:dyDescent="0.25">
      <c r="B1195" t="s">
        <v>7527</v>
      </c>
      <c r="C1195" s="71">
        <v>7</v>
      </c>
      <c r="D1195" s="75">
        <f t="shared" si="20"/>
        <v>9.8202887164882646E-5</v>
      </c>
    </row>
    <row r="1196" spans="2:4" x14ac:dyDescent="0.25">
      <c r="B1196" t="s">
        <v>7528</v>
      </c>
      <c r="C1196" s="71">
        <v>7</v>
      </c>
      <c r="D1196" s="75">
        <f t="shared" si="20"/>
        <v>9.8202887164882646E-5</v>
      </c>
    </row>
    <row r="1197" spans="2:4" x14ac:dyDescent="0.25">
      <c r="B1197" t="s">
        <v>7529</v>
      </c>
      <c r="C1197" s="71">
        <v>7</v>
      </c>
      <c r="D1197" s="75">
        <f t="shared" si="20"/>
        <v>9.8202887164882646E-5</v>
      </c>
    </row>
    <row r="1198" spans="2:4" x14ac:dyDescent="0.25">
      <c r="B1198" t="s">
        <v>7530</v>
      </c>
      <c r="C1198" s="71">
        <v>7</v>
      </c>
      <c r="D1198" s="75">
        <f t="shared" si="20"/>
        <v>9.8202887164882646E-5</v>
      </c>
    </row>
    <row r="1199" spans="2:4" x14ac:dyDescent="0.25">
      <c r="B1199" t="s">
        <v>7531</v>
      </c>
      <c r="C1199" s="71">
        <v>6</v>
      </c>
      <c r="D1199" s="75">
        <f t="shared" si="20"/>
        <v>8.4173903284185129E-5</v>
      </c>
    </row>
    <row r="1200" spans="2:4" x14ac:dyDescent="0.25">
      <c r="B1200" t="s">
        <v>7532</v>
      </c>
      <c r="C1200" s="71">
        <v>6</v>
      </c>
      <c r="D1200" s="75">
        <f t="shared" si="20"/>
        <v>8.4173903284185129E-5</v>
      </c>
    </row>
    <row r="1201" spans="2:4" x14ac:dyDescent="0.25">
      <c r="B1201" t="s">
        <v>7533</v>
      </c>
      <c r="C1201" s="71">
        <v>6</v>
      </c>
      <c r="D1201" s="75">
        <f t="shared" si="20"/>
        <v>8.4173903284185129E-5</v>
      </c>
    </row>
    <row r="1202" spans="2:4" x14ac:dyDescent="0.25">
      <c r="B1202" t="s">
        <v>7534</v>
      </c>
      <c r="C1202" s="71">
        <v>6</v>
      </c>
      <c r="D1202" s="75">
        <f t="shared" si="20"/>
        <v>8.4173903284185129E-5</v>
      </c>
    </row>
    <row r="1203" spans="2:4" x14ac:dyDescent="0.25">
      <c r="B1203" t="s">
        <v>7535</v>
      </c>
      <c r="C1203" s="71">
        <v>6</v>
      </c>
      <c r="D1203" s="75">
        <f t="shared" si="20"/>
        <v>8.4173903284185129E-5</v>
      </c>
    </row>
    <row r="1204" spans="2:4" x14ac:dyDescent="0.25">
      <c r="B1204" t="s">
        <v>7536</v>
      </c>
      <c r="C1204" s="71">
        <v>6</v>
      </c>
      <c r="D1204" s="75">
        <f t="shared" si="20"/>
        <v>8.4173903284185129E-5</v>
      </c>
    </row>
    <row r="1205" spans="2:4" x14ac:dyDescent="0.25">
      <c r="B1205" t="s">
        <v>7537</v>
      </c>
      <c r="C1205" s="71">
        <v>6</v>
      </c>
      <c r="D1205" s="75">
        <f t="shared" si="20"/>
        <v>8.4173903284185129E-5</v>
      </c>
    </row>
    <row r="1206" spans="2:4" x14ac:dyDescent="0.25">
      <c r="B1206" t="s">
        <v>7538</v>
      </c>
      <c r="C1206" s="71">
        <v>6</v>
      </c>
      <c r="D1206" s="75">
        <f t="shared" si="20"/>
        <v>8.4173903284185129E-5</v>
      </c>
    </row>
    <row r="1207" spans="2:4" x14ac:dyDescent="0.25">
      <c r="B1207" t="s">
        <v>7539</v>
      </c>
      <c r="C1207" s="71">
        <v>6</v>
      </c>
      <c r="D1207" s="75">
        <f t="shared" si="20"/>
        <v>8.4173903284185129E-5</v>
      </c>
    </row>
    <row r="1208" spans="2:4" x14ac:dyDescent="0.25">
      <c r="B1208" t="s">
        <v>7540</v>
      </c>
      <c r="C1208" s="71">
        <v>6</v>
      </c>
      <c r="D1208" s="75">
        <f t="shared" si="20"/>
        <v>8.4173903284185129E-5</v>
      </c>
    </row>
    <row r="1209" spans="2:4" x14ac:dyDescent="0.25">
      <c r="B1209" t="s">
        <v>7541</v>
      </c>
      <c r="C1209" s="71">
        <v>6</v>
      </c>
      <c r="D1209" s="75">
        <f t="shared" si="20"/>
        <v>8.4173903284185129E-5</v>
      </c>
    </row>
    <row r="1210" spans="2:4" x14ac:dyDescent="0.25">
      <c r="B1210" t="s">
        <v>7542</v>
      </c>
      <c r="C1210" s="71">
        <v>6</v>
      </c>
      <c r="D1210" s="75">
        <f t="shared" si="20"/>
        <v>8.4173903284185129E-5</v>
      </c>
    </row>
    <row r="1211" spans="2:4" x14ac:dyDescent="0.25">
      <c r="B1211" t="s">
        <v>7543</v>
      </c>
      <c r="C1211" s="71">
        <v>6</v>
      </c>
      <c r="D1211" s="75">
        <f t="shared" si="20"/>
        <v>8.4173903284185129E-5</v>
      </c>
    </row>
    <row r="1212" spans="2:4" x14ac:dyDescent="0.25">
      <c r="B1212" t="s">
        <v>7544</v>
      </c>
      <c r="C1212" s="71">
        <v>6</v>
      </c>
      <c r="D1212" s="75">
        <f t="shared" si="20"/>
        <v>8.4173903284185129E-5</v>
      </c>
    </row>
    <row r="1213" spans="2:4" x14ac:dyDescent="0.25">
      <c r="B1213" t="s">
        <v>7545</v>
      </c>
      <c r="C1213" s="71">
        <v>6</v>
      </c>
      <c r="D1213" s="75">
        <f t="shared" si="20"/>
        <v>8.4173903284185129E-5</v>
      </c>
    </row>
    <row r="1214" spans="2:4" x14ac:dyDescent="0.25">
      <c r="B1214" t="s">
        <v>7546</v>
      </c>
      <c r="C1214" s="71">
        <v>6</v>
      </c>
      <c r="D1214" s="75">
        <f t="shared" si="20"/>
        <v>8.4173903284185129E-5</v>
      </c>
    </row>
    <row r="1215" spans="2:4" x14ac:dyDescent="0.25">
      <c r="B1215" t="s">
        <v>7547</v>
      </c>
      <c r="C1215" s="71">
        <v>6</v>
      </c>
      <c r="D1215" s="75">
        <f t="shared" si="20"/>
        <v>8.4173903284185129E-5</v>
      </c>
    </row>
    <row r="1216" spans="2:4" x14ac:dyDescent="0.25">
      <c r="B1216" t="s">
        <v>7548</v>
      </c>
      <c r="C1216" s="71">
        <v>6</v>
      </c>
      <c r="D1216" s="75">
        <f t="shared" si="20"/>
        <v>8.4173903284185129E-5</v>
      </c>
    </row>
    <row r="1217" spans="2:4" x14ac:dyDescent="0.25">
      <c r="B1217" t="s">
        <v>7549</v>
      </c>
      <c r="C1217" s="71">
        <v>6</v>
      </c>
      <c r="D1217" s="75">
        <f t="shared" si="20"/>
        <v>8.4173903284185129E-5</v>
      </c>
    </row>
    <row r="1218" spans="2:4" x14ac:dyDescent="0.25">
      <c r="B1218" t="s">
        <v>7550</v>
      </c>
      <c r="C1218" s="71">
        <v>6</v>
      </c>
      <c r="D1218" s="75">
        <f t="shared" si="20"/>
        <v>8.4173903284185129E-5</v>
      </c>
    </row>
    <row r="1219" spans="2:4" x14ac:dyDescent="0.25">
      <c r="B1219" t="s">
        <v>7551</v>
      </c>
      <c r="C1219" s="71">
        <v>6</v>
      </c>
      <c r="D1219" s="75">
        <f t="shared" si="20"/>
        <v>8.4173903284185129E-5</v>
      </c>
    </row>
    <row r="1220" spans="2:4" x14ac:dyDescent="0.25">
      <c r="B1220" t="s">
        <v>7552</v>
      </c>
      <c r="C1220" s="71">
        <v>6</v>
      </c>
      <c r="D1220" s="75">
        <f t="shared" si="20"/>
        <v>8.4173903284185129E-5</v>
      </c>
    </row>
    <row r="1221" spans="2:4" x14ac:dyDescent="0.25">
      <c r="B1221" t="s">
        <v>7553</v>
      </c>
      <c r="C1221" s="71">
        <v>6</v>
      </c>
      <c r="D1221" s="75">
        <f t="shared" si="20"/>
        <v>8.4173903284185129E-5</v>
      </c>
    </row>
    <row r="1222" spans="2:4" x14ac:dyDescent="0.25">
      <c r="B1222" t="s">
        <v>7554</v>
      </c>
      <c r="C1222" s="71">
        <v>6</v>
      </c>
      <c r="D1222" s="75">
        <f t="shared" ref="D1222:D1285" si="21">C1222/$C$4822</f>
        <v>8.4173903284185129E-5</v>
      </c>
    </row>
    <row r="1223" spans="2:4" x14ac:dyDescent="0.25">
      <c r="B1223" t="s">
        <v>7555</v>
      </c>
      <c r="C1223" s="71">
        <v>6</v>
      </c>
      <c r="D1223" s="75">
        <f t="shared" si="21"/>
        <v>8.4173903284185129E-5</v>
      </c>
    </row>
    <row r="1224" spans="2:4" x14ac:dyDescent="0.25">
      <c r="B1224" t="s">
        <v>7556</v>
      </c>
      <c r="C1224" s="71">
        <v>6</v>
      </c>
      <c r="D1224" s="75">
        <f t="shared" si="21"/>
        <v>8.4173903284185129E-5</v>
      </c>
    </row>
    <row r="1225" spans="2:4" x14ac:dyDescent="0.25">
      <c r="B1225" t="s">
        <v>7557</v>
      </c>
      <c r="C1225" s="71">
        <v>6</v>
      </c>
      <c r="D1225" s="75">
        <f t="shared" si="21"/>
        <v>8.4173903284185129E-5</v>
      </c>
    </row>
    <row r="1226" spans="2:4" x14ac:dyDescent="0.25">
      <c r="B1226" t="s">
        <v>7558</v>
      </c>
      <c r="C1226" s="71">
        <v>6</v>
      </c>
      <c r="D1226" s="75">
        <f t="shared" si="21"/>
        <v>8.4173903284185129E-5</v>
      </c>
    </row>
    <row r="1227" spans="2:4" x14ac:dyDescent="0.25">
      <c r="B1227" t="s">
        <v>7559</v>
      </c>
      <c r="C1227" s="71">
        <v>6</v>
      </c>
      <c r="D1227" s="75">
        <f t="shared" si="21"/>
        <v>8.4173903284185129E-5</v>
      </c>
    </row>
    <row r="1228" spans="2:4" x14ac:dyDescent="0.25">
      <c r="B1228" t="s">
        <v>7560</v>
      </c>
      <c r="C1228" s="71">
        <v>6</v>
      </c>
      <c r="D1228" s="75">
        <f t="shared" si="21"/>
        <v>8.4173903284185129E-5</v>
      </c>
    </row>
    <row r="1229" spans="2:4" x14ac:dyDescent="0.25">
      <c r="B1229" t="s">
        <v>7561</v>
      </c>
      <c r="C1229" s="71">
        <v>6</v>
      </c>
      <c r="D1229" s="75">
        <f t="shared" si="21"/>
        <v>8.4173903284185129E-5</v>
      </c>
    </row>
    <row r="1230" spans="2:4" x14ac:dyDescent="0.25">
      <c r="B1230" t="s">
        <v>7562</v>
      </c>
      <c r="C1230" s="71">
        <v>6</v>
      </c>
      <c r="D1230" s="75">
        <f t="shared" si="21"/>
        <v>8.4173903284185129E-5</v>
      </c>
    </row>
    <row r="1231" spans="2:4" x14ac:dyDescent="0.25">
      <c r="B1231" t="s">
        <v>7563</v>
      </c>
      <c r="C1231" s="71">
        <v>6</v>
      </c>
      <c r="D1231" s="75">
        <f t="shared" si="21"/>
        <v>8.4173903284185129E-5</v>
      </c>
    </row>
    <row r="1232" spans="2:4" x14ac:dyDescent="0.25">
      <c r="B1232" t="s">
        <v>7564</v>
      </c>
      <c r="C1232" s="71">
        <v>6</v>
      </c>
      <c r="D1232" s="75">
        <f t="shared" si="21"/>
        <v>8.4173903284185129E-5</v>
      </c>
    </row>
    <row r="1233" spans="2:4" x14ac:dyDescent="0.25">
      <c r="B1233" t="s">
        <v>7565</v>
      </c>
      <c r="C1233" s="71">
        <v>6</v>
      </c>
      <c r="D1233" s="75">
        <f t="shared" si="21"/>
        <v>8.4173903284185129E-5</v>
      </c>
    </row>
    <row r="1234" spans="2:4" x14ac:dyDescent="0.25">
      <c r="B1234" t="s">
        <v>7566</v>
      </c>
      <c r="C1234" s="71">
        <v>6</v>
      </c>
      <c r="D1234" s="75">
        <f t="shared" si="21"/>
        <v>8.4173903284185129E-5</v>
      </c>
    </row>
    <row r="1235" spans="2:4" x14ac:dyDescent="0.25">
      <c r="B1235" t="s">
        <v>7567</v>
      </c>
      <c r="C1235" s="71">
        <v>6</v>
      </c>
      <c r="D1235" s="75">
        <f t="shared" si="21"/>
        <v>8.4173903284185129E-5</v>
      </c>
    </row>
    <row r="1236" spans="2:4" x14ac:dyDescent="0.25">
      <c r="B1236" t="s">
        <v>7568</v>
      </c>
      <c r="C1236" s="71">
        <v>6</v>
      </c>
      <c r="D1236" s="75">
        <f t="shared" si="21"/>
        <v>8.4173903284185129E-5</v>
      </c>
    </row>
    <row r="1237" spans="2:4" x14ac:dyDescent="0.25">
      <c r="B1237" t="s">
        <v>7569</v>
      </c>
      <c r="C1237" s="71">
        <v>6</v>
      </c>
      <c r="D1237" s="75">
        <f t="shared" si="21"/>
        <v>8.4173903284185129E-5</v>
      </c>
    </row>
    <row r="1238" spans="2:4" x14ac:dyDescent="0.25">
      <c r="B1238" t="s">
        <v>7570</v>
      </c>
      <c r="C1238" s="71">
        <v>6</v>
      </c>
      <c r="D1238" s="75">
        <f t="shared" si="21"/>
        <v>8.4173903284185129E-5</v>
      </c>
    </row>
    <row r="1239" spans="2:4" x14ac:dyDescent="0.25">
      <c r="B1239" t="s">
        <v>7571</v>
      </c>
      <c r="C1239" s="71">
        <v>6</v>
      </c>
      <c r="D1239" s="75">
        <f t="shared" si="21"/>
        <v>8.4173903284185129E-5</v>
      </c>
    </row>
    <row r="1240" spans="2:4" x14ac:dyDescent="0.25">
      <c r="B1240" t="s">
        <v>7572</v>
      </c>
      <c r="C1240" s="71">
        <v>6</v>
      </c>
      <c r="D1240" s="75">
        <f t="shared" si="21"/>
        <v>8.4173903284185129E-5</v>
      </c>
    </row>
    <row r="1241" spans="2:4" x14ac:dyDescent="0.25">
      <c r="B1241" t="s">
        <v>7573</v>
      </c>
      <c r="C1241" s="71">
        <v>6</v>
      </c>
      <c r="D1241" s="75">
        <f t="shared" si="21"/>
        <v>8.4173903284185129E-5</v>
      </c>
    </row>
    <row r="1242" spans="2:4" x14ac:dyDescent="0.25">
      <c r="B1242" t="s">
        <v>7574</v>
      </c>
      <c r="C1242" s="71">
        <v>6</v>
      </c>
      <c r="D1242" s="75">
        <f t="shared" si="21"/>
        <v>8.4173903284185129E-5</v>
      </c>
    </row>
    <row r="1243" spans="2:4" x14ac:dyDescent="0.25">
      <c r="B1243" t="s">
        <v>7575</v>
      </c>
      <c r="C1243" s="71">
        <v>6</v>
      </c>
      <c r="D1243" s="75">
        <f t="shared" si="21"/>
        <v>8.4173903284185129E-5</v>
      </c>
    </row>
    <row r="1244" spans="2:4" x14ac:dyDescent="0.25">
      <c r="B1244" t="s">
        <v>7576</v>
      </c>
      <c r="C1244" s="71">
        <v>6</v>
      </c>
      <c r="D1244" s="75">
        <f t="shared" si="21"/>
        <v>8.4173903284185129E-5</v>
      </c>
    </row>
    <row r="1245" spans="2:4" x14ac:dyDescent="0.25">
      <c r="B1245" t="s">
        <v>7577</v>
      </c>
      <c r="C1245" s="71">
        <v>6</v>
      </c>
      <c r="D1245" s="75">
        <f t="shared" si="21"/>
        <v>8.4173903284185129E-5</v>
      </c>
    </row>
    <row r="1246" spans="2:4" x14ac:dyDescent="0.25">
      <c r="B1246" t="s">
        <v>7578</v>
      </c>
      <c r="C1246" s="71">
        <v>6</v>
      </c>
      <c r="D1246" s="75">
        <f t="shared" si="21"/>
        <v>8.4173903284185129E-5</v>
      </c>
    </row>
    <row r="1247" spans="2:4" x14ac:dyDescent="0.25">
      <c r="B1247" t="s">
        <v>7579</v>
      </c>
      <c r="C1247" s="71">
        <v>6</v>
      </c>
      <c r="D1247" s="75">
        <f t="shared" si="21"/>
        <v>8.4173903284185129E-5</v>
      </c>
    </row>
    <row r="1248" spans="2:4" x14ac:dyDescent="0.25">
      <c r="B1248" t="s">
        <v>7580</v>
      </c>
      <c r="C1248" s="71">
        <v>6</v>
      </c>
      <c r="D1248" s="75">
        <f t="shared" si="21"/>
        <v>8.4173903284185129E-5</v>
      </c>
    </row>
    <row r="1249" spans="2:4" x14ac:dyDescent="0.25">
      <c r="B1249" t="s">
        <v>7581</v>
      </c>
      <c r="C1249" s="71">
        <v>6</v>
      </c>
      <c r="D1249" s="75">
        <f t="shared" si="21"/>
        <v>8.4173903284185129E-5</v>
      </c>
    </row>
    <row r="1250" spans="2:4" x14ac:dyDescent="0.25">
      <c r="B1250" t="s">
        <v>7582</v>
      </c>
      <c r="C1250" s="71">
        <v>6</v>
      </c>
      <c r="D1250" s="75">
        <f t="shared" si="21"/>
        <v>8.4173903284185129E-5</v>
      </c>
    </row>
    <row r="1251" spans="2:4" x14ac:dyDescent="0.25">
      <c r="B1251" t="s">
        <v>7583</v>
      </c>
      <c r="C1251" s="71">
        <v>6</v>
      </c>
      <c r="D1251" s="75">
        <f t="shared" si="21"/>
        <v>8.4173903284185129E-5</v>
      </c>
    </row>
    <row r="1252" spans="2:4" x14ac:dyDescent="0.25">
      <c r="B1252" t="s">
        <v>7584</v>
      </c>
      <c r="C1252" s="71">
        <v>6</v>
      </c>
      <c r="D1252" s="75">
        <f t="shared" si="21"/>
        <v>8.4173903284185129E-5</v>
      </c>
    </row>
    <row r="1253" spans="2:4" x14ac:dyDescent="0.25">
      <c r="B1253" t="s">
        <v>7585</v>
      </c>
      <c r="C1253" s="71">
        <v>6</v>
      </c>
      <c r="D1253" s="75">
        <f t="shared" si="21"/>
        <v>8.4173903284185129E-5</v>
      </c>
    </row>
    <row r="1254" spans="2:4" x14ac:dyDescent="0.25">
      <c r="B1254" t="s">
        <v>7586</v>
      </c>
      <c r="C1254" s="71">
        <v>6</v>
      </c>
      <c r="D1254" s="75">
        <f t="shared" si="21"/>
        <v>8.4173903284185129E-5</v>
      </c>
    </row>
    <row r="1255" spans="2:4" x14ac:dyDescent="0.25">
      <c r="B1255" t="s">
        <v>7587</v>
      </c>
      <c r="C1255" s="71">
        <v>6</v>
      </c>
      <c r="D1255" s="75">
        <f t="shared" si="21"/>
        <v>8.4173903284185129E-5</v>
      </c>
    </row>
    <row r="1256" spans="2:4" x14ac:dyDescent="0.25">
      <c r="B1256" t="s">
        <v>7588</v>
      </c>
      <c r="C1256" s="71">
        <v>6</v>
      </c>
      <c r="D1256" s="75">
        <f t="shared" si="21"/>
        <v>8.4173903284185129E-5</v>
      </c>
    </row>
    <row r="1257" spans="2:4" x14ac:dyDescent="0.25">
      <c r="B1257" t="s">
        <v>7589</v>
      </c>
      <c r="C1257" s="71">
        <v>6</v>
      </c>
      <c r="D1257" s="75">
        <f t="shared" si="21"/>
        <v>8.4173903284185129E-5</v>
      </c>
    </row>
    <row r="1258" spans="2:4" x14ac:dyDescent="0.25">
      <c r="B1258" t="s">
        <v>7590</v>
      </c>
      <c r="C1258" s="71">
        <v>6</v>
      </c>
      <c r="D1258" s="75">
        <f t="shared" si="21"/>
        <v>8.4173903284185129E-5</v>
      </c>
    </row>
    <row r="1259" spans="2:4" x14ac:dyDescent="0.25">
      <c r="B1259" t="s">
        <v>7591</v>
      </c>
      <c r="C1259" s="71">
        <v>6</v>
      </c>
      <c r="D1259" s="75">
        <f t="shared" si="21"/>
        <v>8.4173903284185129E-5</v>
      </c>
    </row>
    <row r="1260" spans="2:4" x14ac:dyDescent="0.25">
      <c r="B1260" t="s">
        <v>7592</v>
      </c>
      <c r="C1260" s="71">
        <v>6</v>
      </c>
      <c r="D1260" s="75">
        <f t="shared" si="21"/>
        <v>8.4173903284185129E-5</v>
      </c>
    </row>
    <row r="1261" spans="2:4" x14ac:dyDescent="0.25">
      <c r="B1261" t="s">
        <v>7593</v>
      </c>
      <c r="C1261" s="71">
        <v>6</v>
      </c>
      <c r="D1261" s="75">
        <f t="shared" si="21"/>
        <v>8.4173903284185129E-5</v>
      </c>
    </row>
    <row r="1262" spans="2:4" x14ac:dyDescent="0.25">
      <c r="B1262" t="s">
        <v>7594</v>
      </c>
      <c r="C1262" s="71">
        <v>6</v>
      </c>
      <c r="D1262" s="75">
        <f t="shared" si="21"/>
        <v>8.4173903284185129E-5</v>
      </c>
    </row>
    <row r="1263" spans="2:4" x14ac:dyDescent="0.25">
      <c r="B1263" t="s">
        <v>7595</v>
      </c>
      <c r="C1263" s="71">
        <v>6</v>
      </c>
      <c r="D1263" s="75">
        <f t="shared" si="21"/>
        <v>8.4173903284185129E-5</v>
      </c>
    </row>
    <row r="1264" spans="2:4" x14ac:dyDescent="0.25">
      <c r="B1264" t="s">
        <v>7596</v>
      </c>
      <c r="C1264" s="71">
        <v>6</v>
      </c>
      <c r="D1264" s="75">
        <f t="shared" si="21"/>
        <v>8.4173903284185129E-5</v>
      </c>
    </row>
    <row r="1265" spans="2:4" x14ac:dyDescent="0.25">
      <c r="B1265" t="s">
        <v>7597</v>
      </c>
      <c r="C1265" s="71">
        <v>6</v>
      </c>
      <c r="D1265" s="75">
        <f t="shared" si="21"/>
        <v>8.4173903284185129E-5</v>
      </c>
    </row>
    <row r="1266" spans="2:4" x14ac:dyDescent="0.25">
      <c r="B1266" t="s">
        <v>7598</v>
      </c>
      <c r="C1266" s="71">
        <v>6</v>
      </c>
      <c r="D1266" s="75">
        <f t="shared" si="21"/>
        <v>8.4173903284185129E-5</v>
      </c>
    </row>
    <row r="1267" spans="2:4" x14ac:dyDescent="0.25">
      <c r="B1267" t="s">
        <v>7599</v>
      </c>
      <c r="C1267" s="71">
        <v>6</v>
      </c>
      <c r="D1267" s="75">
        <f t="shared" si="21"/>
        <v>8.4173903284185129E-5</v>
      </c>
    </row>
    <row r="1268" spans="2:4" x14ac:dyDescent="0.25">
      <c r="B1268" t="s">
        <v>7600</v>
      </c>
      <c r="C1268" s="71">
        <v>6</v>
      </c>
      <c r="D1268" s="75">
        <f t="shared" si="21"/>
        <v>8.4173903284185129E-5</v>
      </c>
    </row>
    <row r="1269" spans="2:4" x14ac:dyDescent="0.25">
      <c r="B1269" t="s">
        <v>7601</v>
      </c>
      <c r="C1269" s="71">
        <v>6</v>
      </c>
      <c r="D1269" s="75">
        <f t="shared" si="21"/>
        <v>8.4173903284185129E-5</v>
      </c>
    </row>
    <row r="1270" spans="2:4" x14ac:dyDescent="0.25">
      <c r="B1270" t="s">
        <v>7602</v>
      </c>
      <c r="C1270" s="71">
        <v>6</v>
      </c>
      <c r="D1270" s="75">
        <f t="shared" si="21"/>
        <v>8.4173903284185129E-5</v>
      </c>
    </row>
    <row r="1271" spans="2:4" x14ac:dyDescent="0.25">
      <c r="B1271" t="s">
        <v>7603</v>
      </c>
      <c r="C1271" s="71">
        <v>6</v>
      </c>
      <c r="D1271" s="75">
        <f t="shared" si="21"/>
        <v>8.4173903284185129E-5</v>
      </c>
    </row>
    <row r="1272" spans="2:4" x14ac:dyDescent="0.25">
      <c r="B1272" t="s">
        <v>7604</v>
      </c>
      <c r="C1272" s="71">
        <v>6</v>
      </c>
      <c r="D1272" s="75">
        <f t="shared" si="21"/>
        <v>8.4173903284185129E-5</v>
      </c>
    </row>
    <row r="1273" spans="2:4" x14ac:dyDescent="0.25">
      <c r="B1273" t="s">
        <v>7605</v>
      </c>
      <c r="C1273" s="71">
        <v>6</v>
      </c>
      <c r="D1273" s="75">
        <f t="shared" si="21"/>
        <v>8.4173903284185129E-5</v>
      </c>
    </row>
    <row r="1274" spans="2:4" x14ac:dyDescent="0.25">
      <c r="B1274" t="s">
        <v>7606</v>
      </c>
      <c r="C1274" s="71">
        <v>6</v>
      </c>
      <c r="D1274" s="75">
        <f t="shared" si="21"/>
        <v>8.4173903284185129E-5</v>
      </c>
    </row>
    <row r="1275" spans="2:4" x14ac:dyDescent="0.25">
      <c r="B1275" t="s">
        <v>7607</v>
      </c>
      <c r="C1275" s="71">
        <v>6</v>
      </c>
      <c r="D1275" s="75">
        <f t="shared" si="21"/>
        <v>8.4173903284185129E-5</v>
      </c>
    </row>
    <row r="1276" spans="2:4" x14ac:dyDescent="0.25">
      <c r="B1276" t="s">
        <v>7608</v>
      </c>
      <c r="C1276" s="71">
        <v>6</v>
      </c>
      <c r="D1276" s="75">
        <f t="shared" si="21"/>
        <v>8.4173903284185129E-5</v>
      </c>
    </row>
    <row r="1277" spans="2:4" x14ac:dyDescent="0.25">
      <c r="B1277" t="s">
        <v>7609</v>
      </c>
      <c r="C1277" s="71">
        <v>6</v>
      </c>
      <c r="D1277" s="75">
        <f t="shared" si="21"/>
        <v>8.4173903284185129E-5</v>
      </c>
    </row>
    <row r="1278" spans="2:4" x14ac:dyDescent="0.25">
      <c r="B1278" t="s">
        <v>7610</v>
      </c>
      <c r="C1278" s="71">
        <v>6</v>
      </c>
      <c r="D1278" s="75">
        <f t="shared" si="21"/>
        <v>8.4173903284185129E-5</v>
      </c>
    </row>
    <row r="1279" spans="2:4" x14ac:dyDescent="0.25">
      <c r="B1279" t="s">
        <v>7611</v>
      </c>
      <c r="C1279" s="71">
        <v>6</v>
      </c>
      <c r="D1279" s="75">
        <f t="shared" si="21"/>
        <v>8.4173903284185129E-5</v>
      </c>
    </row>
    <row r="1280" spans="2:4" x14ac:dyDescent="0.25">
      <c r="B1280" t="s">
        <v>7612</v>
      </c>
      <c r="C1280" s="71">
        <v>6</v>
      </c>
      <c r="D1280" s="75">
        <f t="shared" si="21"/>
        <v>8.4173903284185129E-5</v>
      </c>
    </row>
    <row r="1281" spans="2:4" x14ac:dyDescent="0.25">
      <c r="B1281" t="s">
        <v>7613</v>
      </c>
      <c r="C1281" s="71">
        <v>6</v>
      </c>
      <c r="D1281" s="75">
        <f t="shared" si="21"/>
        <v>8.4173903284185129E-5</v>
      </c>
    </row>
    <row r="1282" spans="2:4" x14ac:dyDescent="0.25">
      <c r="B1282" t="s">
        <v>7614</v>
      </c>
      <c r="C1282" s="71">
        <v>6</v>
      </c>
      <c r="D1282" s="75">
        <f t="shared" si="21"/>
        <v>8.4173903284185129E-5</v>
      </c>
    </row>
    <row r="1283" spans="2:4" x14ac:dyDescent="0.25">
      <c r="B1283" t="s">
        <v>7615</v>
      </c>
      <c r="C1283" s="71">
        <v>6</v>
      </c>
      <c r="D1283" s="75">
        <f t="shared" si="21"/>
        <v>8.4173903284185129E-5</v>
      </c>
    </row>
    <row r="1284" spans="2:4" x14ac:dyDescent="0.25">
      <c r="B1284" t="s">
        <v>7616</v>
      </c>
      <c r="C1284" s="71">
        <v>6</v>
      </c>
      <c r="D1284" s="75">
        <f t="shared" si="21"/>
        <v>8.4173903284185129E-5</v>
      </c>
    </row>
    <row r="1285" spans="2:4" x14ac:dyDescent="0.25">
      <c r="B1285" t="s">
        <v>7617</v>
      </c>
      <c r="C1285" s="71">
        <v>6</v>
      </c>
      <c r="D1285" s="75">
        <f t="shared" si="21"/>
        <v>8.4173903284185129E-5</v>
      </c>
    </row>
    <row r="1286" spans="2:4" x14ac:dyDescent="0.25">
      <c r="B1286" t="s">
        <v>7618</v>
      </c>
      <c r="C1286" s="71">
        <v>6</v>
      </c>
      <c r="D1286" s="75">
        <f t="shared" ref="D1286:D1349" si="22">C1286/$C$4822</f>
        <v>8.4173903284185129E-5</v>
      </c>
    </row>
    <row r="1287" spans="2:4" x14ac:dyDescent="0.25">
      <c r="B1287" t="s">
        <v>7619</v>
      </c>
      <c r="C1287" s="71">
        <v>6</v>
      </c>
      <c r="D1287" s="75">
        <f t="shared" si="22"/>
        <v>8.4173903284185129E-5</v>
      </c>
    </row>
    <row r="1288" spans="2:4" x14ac:dyDescent="0.25">
      <c r="B1288" t="s">
        <v>7620</v>
      </c>
      <c r="C1288" s="71">
        <v>6</v>
      </c>
      <c r="D1288" s="75">
        <f t="shared" si="22"/>
        <v>8.4173903284185129E-5</v>
      </c>
    </row>
    <row r="1289" spans="2:4" x14ac:dyDescent="0.25">
      <c r="B1289" t="s">
        <v>7621</v>
      </c>
      <c r="C1289" s="71">
        <v>6</v>
      </c>
      <c r="D1289" s="75">
        <f t="shared" si="22"/>
        <v>8.4173903284185129E-5</v>
      </c>
    </row>
    <row r="1290" spans="2:4" x14ac:dyDescent="0.25">
      <c r="B1290" t="s">
        <v>7622</v>
      </c>
      <c r="C1290" s="71">
        <v>6</v>
      </c>
      <c r="D1290" s="75">
        <f t="shared" si="22"/>
        <v>8.4173903284185129E-5</v>
      </c>
    </row>
    <row r="1291" spans="2:4" x14ac:dyDescent="0.25">
      <c r="B1291" t="s">
        <v>7623</v>
      </c>
      <c r="C1291" s="71">
        <v>6</v>
      </c>
      <c r="D1291" s="75">
        <f t="shared" si="22"/>
        <v>8.4173903284185129E-5</v>
      </c>
    </row>
    <row r="1292" spans="2:4" x14ac:dyDescent="0.25">
      <c r="B1292" t="s">
        <v>7624</v>
      </c>
      <c r="C1292" s="71">
        <v>6</v>
      </c>
      <c r="D1292" s="75">
        <f t="shared" si="22"/>
        <v>8.4173903284185129E-5</v>
      </c>
    </row>
    <row r="1293" spans="2:4" x14ac:dyDescent="0.25">
      <c r="B1293" t="s">
        <v>7625</v>
      </c>
      <c r="C1293" s="71">
        <v>6</v>
      </c>
      <c r="D1293" s="75">
        <f t="shared" si="22"/>
        <v>8.4173903284185129E-5</v>
      </c>
    </row>
    <row r="1294" spans="2:4" x14ac:dyDescent="0.25">
      <c r="B1294" t="s">
        <v>7626</v>
      </c>
      <c r="C1294" s="71">
        <v>6</v>
      </c>
      <c r="D1294" s="75">
        <f t="shared" si="22"/>
        <v>8.4173903284185129E-5</v>
      </c>
    </row>
    <row r="1295" spans="2:4" x14ac:dyDescent="0.25">
      <c r="B1295" t="s">
        <v>7627</v>
      </c>
      <c r="C1295" s="71">
        <v>6</v>
      </c>
      <c r="D1295" s="75">
        <f t="shared" si="22"/>
        <v>8.4173903284185129E-5</v>
      </c>
    </row>
    <row r="1296" spans="2:4" x14ac:dyDescent="0.25">
      <c r="B1296" t="s">
        <v>7628</v>
      </c>
      <c r="C1296" s="71">
        <v>6</v>
      </c>
      <c r="D1296" s="75">
        <f t="shared" si="22"/>
        <v>8.4173903284185129E-5</v>
      </c>
    </row>
    <row r="1297" spans="2:4" x14ac:dyDescent="0.25">
      <c r="B1297" t="s">
        <v>7629</v>
      </c>
      <c r="C1297" s="71">
        <v>6</v>
      </c>
      <c r="D1297" s="75">
        <f t="shared" si="22"/>
        <v>8.4173903284185129E-5</v>
      </c>
    </row>
    <row r="1298" spans="2:4" x14ac:dyDescent="0.25">
      <c r="B1298" t="s">
        <v>7630</v>
      </c>
      <c r="C1298" s="71">
        <v>6</v>
      </c>
      <c r="D1298" s="75">
        <f t="shared" si="22"/>
        <v>8.4173903284185129E-5</v>
      </c>
    </row>
    <row r="1299" spans="2:4" x14ac:dyDescent="0.25">
      <c r="B1299" t="s">
        <v>7631</v>
      </c>
      <c r="C1299" s="71">
        <v>6</v>
      </c>
      <c r="D1299" s="75">
        <f t="shared" si="22"/>
        <v>8.4173903284185129E-5</v>
      </c>
    </row>
    <row r="1300" spans="2:4" x14ac:dyDescent="0.25">
      <c r="B1300" t="s">
        <v>7632</v>
      </c>
      <c r="C1300" s="71">
        <v>6</v>
      </c>
      <c r="D1300" s="75">
        <f t="shared" si="22"/>
        <v>8.4173903284185129E-5</v>
      </c>
    </row>
    <row r="1301" spans="2:4" x14ac:dyDescent="0.25">
      <c r="B1301" t="s">
        <v>7633</v>
      </c>
      <c r="C1301" s="71">
        <v>6</v>
      </c>
      <c r="D1301" s="75">
        <f t="shared" si="22"/>
        <v>8.4173903284185129E-5</v>
      </c>
    </row>
    <row r="1302" spans="2:4" x14ac:dyDescent="0.25">
      <c r="B1302" t="s">
        <v>7634</v>
      </c>
      <c r="C1302" s="71">
        <v>6</v>
      </c>
      <c r="D1302" s="75">
        <f t="shared" si="22"/>
        <v>8.4173903284185129E-5</v>
      </c>
    </row>
    <row r="1303" spans="2:4" x14ac:dyDescent="0.25">
      <c r="B1303" t="s">
        <v>7635</v>
      </c>
      <c r="C1303" s="71">
        <v>6</v>
      </c>
      <c r="D1303" s="75">
        <f t="shared" si="22"/>
        <v>8.4173903284185129E-5</v>
      </c>
    </row>
    <row r="1304" spans="2:4" x14ac:dyDescent="0.25">
      <c r="B1304" t="s">
        <v>7636</v>
      </c>
      <c r="C1304" s="71">
        <v>6</v>
      </c>
      <c r="D1304" s="75">
        <f t="shared" si="22"/>
        <v>8.4173903284185129E-5</v>
      </c>
    </row>
    <row r="1305" spans="2:4" x14ac:dyDescent="0.25">
      <c r="B1305" t="s">
        <v>7637</v>
      </c>
      <c r="C1305" s="71">
        <v>6</v>
      </c>
      <c r="D1305" s="75">
        <f t="shared" si="22"/>
        <v>8.4173903284185129E-5</v>
      </c>
    </row>
    <row r="1306" spans="2:4" x14ac:dyDescent="0.25">
      <c r="B1306" t="s">
        <v>7638</v>
      </c>
      <c r="C1306" s="71">
        <v>6</v>
      </c>
      <c r="D1306" s="75">
        <f t="shared" si="22"/>
        <v>8.4173903284185129E-5</v>
      </c>
    </row>
    <row r="1307" spans="2:4" x14ac:dyDescent="0.25">
      <c r="B1307" t="s">
        <v>7639</v>
      </c>
      <c r="C1307" s="71">
        <v>6</v>
      </c>
      <c r="D1307" s="75">
        <f t="shared" si="22"/>
        <v>8.4173903284185129E-5</v>
      </c>
    </row>
    <row r="1308" spans="2:4" x14ac:dyDescent="0.25">
      <c r="B1308" t="s">
        <v>7640</v>
      </c>
      <c r="C1308" s="71">
        <v>6</v>
      </c>
      <c r="D1308" s="75">
        <f t="shared" si="22"/>
        <v>8.4173903284185129E-5</v>
      </c>
    </row>
    <row r="1309" spans="2:4" x14ac:dyDescent="0.25">
      <c r="B1309" t="s">
        <v>7641</v>
      </c>
      <c r="C1309" s="71">
        <v>6</v>
      </c>
      <c r="D1309" s="75">
        <f t="shared" si="22"/>
        <v>8.4173903284185129E-5</v>
      </c>
    </row>
    <row r="1310" spans="2:4" x14ac:dyDescent="0.25">
      <c r="B1310" t="s">
        <v>7642</v>
      </c>
      <c r="C1310" s="71">
        <v>6</v>
      </c>
      <c r="D1310" s="75">
        <f t="shared" si="22"/>
        <v>8.4173903284185129E-5</v>
      </c>
    </row>
    <row r="1311" spans="2:4" x14ac:dyDescent="0.25">
      <c r="B1311" t="s">
        <v>7643</v>
      </c>
      <c r="C1311" s="71">
        <v>6</v>
      </c>
      <c r="D1311" s="75">
        <f t="shared" si="22"/>
        <v>8.4173903284185129E-5</v>
      </c>
    </row>
    <row r="1312" spans="2:4" x14ac:dyDescent="0.25">
      <c r="B1312" t="s">
        <v>7644</v>
      </c>
      <c r="C1312" s="71">
        <v>6</v>
      </c>
      <c r="D1312" s="75">
        <f t="shared" si="22"/>
        <v>8.4173903284185129E-5</v>
      </c>
    </row>
    <row r="1313" spans="2:4" x14ac:dyDescent="0.25">
      <c r="B1313" t="s">
        <v>7645</v>
      </c>
      <c r="C1313" s="71">
        <v>6</v>
      </c>
      <c r="D1313" s="75">
        <f t="shared" si="22"/>
        <v>8.4173903284185129E-5</v>
      </c>
    </row>
    <row r="1314" spans="2:4" x14ac:dyDescent="0.25">
      <c r="B1314" t="s">
        <v>7646</v>
      </c>
      <c r="C1314" s="71">
        <v>6</v>
      </c>
      <c r="D1314" s="75">
        <f t="shared" si="22"/>
        <v>8.4173903284185129E-5</v>
      </c>
    </row>
    <row r="1315" spans="2:4" x14ac:dyDescent="0.25">
      <c r="B1315" t="s">
        <v>7647</v>
      </c>
      <c r="C1315" s="71">
        <v>6</v>
      </c>
      <c r="D1315" s="75">
        <f t="shared" si="22"/>
        <v>8.4173903284185129E-5</v>
      </c>
    </row>
    <row r="1316" spans="2:4" x14ac:dyDescent="0.25">
      <c r="B1316" t="s">
        <v>7648</v>
      </c>
      <c r="C1316" s="71">
        <v>6</v>
      </c>
      <c r="D1316" s="75">
        <f t="shared" si="22"/>
        <v>8.4173903284185129E-5</v>
      </c>
    </row>
    <row r="1317" spans="2:4" x14ac:dyDescent="0.25">
      <c r="B1317" t="s">
        <v>7649</v>
      </c>
      <c r="C1317" s="71">
        <v>6</v>
      </c>
      <c r="D1317" s="75">
        <f t="shared" si="22"/>
        <v>8.4173903284185129E-5</v>
      </c>
    </row>
    <row r="1318" spans="2:4" x14ac:dyDescent="0.25">
      <c r="B1318" t="s">
        <v>7650</v>
      </c>
      <c r="C1318" s="71">
        <v>6</v>
      </c>
      <c r="D1318" s="75">
        <f t="shared" si="22"/>
        <v>8.4173903284185129E-5</v>
      </c>
    </row>
    <row r="1319" spans="2:4" x14ac:dyDescent="0.25">
      <c r="B1319" t="s">
        <v>7651</v>
      </c>
      <c r="C1319" s="71">
        <v>6</v>
      </c>
      <c r="D1319" s="75">
        <f t="shared" si="22"/>
        <v>8.4173903284185129E-5</v>
      </c>
    </row>
    <row r="1320" spans="2:4" x14ac:dyDescent="0.25">
      <c r="B1320" t="s">
        <v>7652</v>
      </c>
      <c r="C1320" s="71">
        <v>6</v>
      </c>
      <c r="D1320" s="75">
        <f t="shared" si="22"/>
        <v>8.4173903284185129E-5</v>
      </c>
    </row>
    <row r="1321" spans="2:4" x14ac:dyDescent="0.25">
      <c r="B1321" t="s">
        <v>7653</v>
      </c>
      <c r="C1321" s="71">
        <v>6</v>
      </c>
      <c r="D1321" s="75">
        <f t="shared" si="22"/>
        <v>8.4173903284185129E-5</v>
      </c>
    </row>
    <row r="1322" spans="2:4" x14ac:dyDescent="0.25">
      <c r="B1322" t="s">
        <v>7654</v>
      </c>
      <c r="C1322" s="71">
        <v>6</v>
      </c>
      <c r="D1322" s="75">
        <f t="shared" si="22"/>
        <v>8.4173903284185129E-5</v>
      </c>
    </row>
    <row r="1323" spans="2:4" x14ac:dyDescent="0.25">
      <c r="B1323" t="s">
        <v>7655</v>
      </c>
      <c r="C1323" s="71">
        <v>6</v>
      </c>
      <c r="D1323" s="75">
        <f t="shared" si="22"/>
        <v>8.4173903284185129E-5</v>
      </c>
    </row>
    <row r="1324" spans="2:4" x14ac:dyDescent="0.25">
      <c r="B1324" t="s">
        <v>7656</v>
      </c>
      <c r="C1324" s="71">
        <v>6</v>
      </c>
      <c r="D1324" s="75">
        <f t="shared" si="22"/>
        <v>8.4173903284185129E-5</v>
      </c>
    </row>
    <row r="1325" spans="2:4" x14ac:dyDescent="0.25">
      <c r="B1325" t="s">
        <v>7657</v>
      </c>
      <c r="C1325" s="71">
        <v>6</v>
      </c>
      <c r="D1325" s="75">
        <f t="shared" si="22"/>
        <v>8.4173903284185129E-5</v>
      </c>
    </row>
    <row r="1326" spans="2:4" x14ac:dyDescent="0.25">
      <c r="B1326" t="s">
        <v>7658</v>
      </c>
      <c r="C1326" s="71">
        <v>6</v>
      </c>
      <c r="D1326" s="75">
        <f t="shared" si="22"/>
        <v>8.4173903284185129E-5</v>
      </c>
    </row>
    <row r="1327" spans="2:4" x14ac:dyDescent="0.25">
      <c r="B1327" t="s">
        <v>7659</v>
      </c>
      <c r="C1327" s="71">
        <v>5</v>
      </c>
      <c r="D1327" s="75">
        <f t="shared" si="22"/>
        <v>7.0144919403487599E-5</v>
      </c>
    </row>
    <row r="1328" spans="2:4" x14ac:dyDescent="0.25">
      <c r="B1328" t="s">
        <v>7660</v>
      </c>
      <c r="C1328" s="71">
        <v>5</v>
      </c>
      <c r="D1328" s="75">
        <f t="shared" si="22"/>
        <v>7.0144919403487599E-5</v>
      </c>
    </row>
    <row r="1329" spans="2:4" x14ac:dyDescent="0.25">
      <c r="B1329" t="s">
        <v>7661</v>
      </c>
      <c r="C1329" s="71">
        <v>5</v>
      </c>
      <c r="D1329" s="75">
        <f t="shared" si="22"/>
        <v>7.0144919403487599E-5</v>
      </c>
    </row>
    <row r="1330" spans="2:4" x14ac:dyDescent="0.25">
      <c r="B1330" t="s">
        <v>7662</v>
      </c>
      <c r="C1330" s="71">
        <v>5</v>
      </c>
      <c r="D1330" s="75">
        <f t="shared" si="22"/>
        <v>7.0144919403487599E-5</v>
      </c>
    </row>
    <row r="1331" spans="2:4" x14ac:dyDescent="0.25">
      <c r="B1331" t="s">
        <v>7663</v>
      </c>
      <c r="C1331" s="71">
        <v>5</v>
      </c>
      <c r="D1331" s="75">
        <f t="shared" si="22"/>
        <v>7.0144919403487599E-5</v>
      </c>
    </row>
    <row r="1332" spans="2:4" x14ac:dyDescent="0.25">
      <c r="B1332" t="s">
        <v>7664</v>
      </c>
      <c r="C1332" s="71">
        <v>5</v>
      </c>
      <c r="D1332" s="75">
        <f t="shared" si="22"/>
        <v>7.0144919403487599E-5</v>
      </c>
    </row>
    <row r="1333" spans="2:4" x14ac:dyDescent="0.25">
      <c r="B1333" t="s">
        <v>7665</v>
      </c>
      <c r="C1333" s="71">
        <v>5</v>
      </c>
      <c r="D1333" s="75">
        <f t="shared" si="22"/>
        <v>7.0144919403487599E-5</v>
      </c>
    </row>
    <row r="1334" spans="2:4" x14ac:dyDescent="0.25">
      <c r="B1334" t="s">
        <v>7666</v>
      </c>
      <c r="C1334" s="71">
        <v>5</v>
      </c>
      <c r="D1334" s="75">
        <f t="shared" si="22"/>
        <v>7.0144919403487599E-5</v>
      </c>
    </row>
    <row r="1335" spans="2:4" x14ac:dyDescent="0.25">
      <c r="B1335" t="s">
        <v>7667</v>
      </c>
      <c r="C1335" s="71">
        <v>5</v>
      </c>
      <c r="D1335" s="75">
        <f t="shared" si="22"/>
        <v>7.0144919403487599E-5</v>
      </c>
    </row>
    <row r="1336" spans="2:4" x14ac:dyDescent="0.25">
      <c r="B1336" t="s">
        <v>7668</v>
      </c>
      <c r="C1336" s="71">
        <v>5</v>
      </c>
      <c r="D1336" s="75">
        <f t="shared" si="22"/>
        <v>7.0144919403487599E-5</v>
      </c>
    </row>
    <row r="1337" spans="2:4" x14ac:dyDescent="0.25">
      <c r="B1337" t="s">
        <v>7669</v>
      </c>
      <c r="C1337" s="71">
        <v>5</v>
      </c>
      <c r="D1337" s="75">
        <f t="shared" si="22"/>
        <v>7.0144919403487599E-5</v>
      </c>
    </row>
    <row r="1338" spans="2:4" x14ac:dyDescent="0.25">
      <c r="B1338" t="s">
        <v>7670</v>
      </c>
      <c r="C1338" s="71">
        <v>5</v>
      </c>
      <c r="D1338" s="75">
        <f t="shared" si="22"/>
        <v>7.0144919403487599E-5</v>
      </c>
    </row>
    <row r="1339" spans="2:4" x14ac:dyDescent="0.25">
      <c r="B1339" t="s">
        <v>7671</v>
      </c>
      <c r="C1339" s="71">
        <v>5</v>
      </c>
      <c r="D1339" s="75">
        <f t="shared" si="22"/>
        <v>7.0144919403487599E-5</v>
      </c>
    </row>
    <row r="1340" spans="2:4" x14ac:dyDescent="0.25">
      <c r="B1340" t="s">
        <v>7672</v>
      </c>
      <c r="C1340" s="71">
        <v>5</v>
      </c>
      <c r="D1340" s="75">
        <f t="shared" si="22"/>
        <v>7.0144919403487599E-5</v>
      </c>
    </row>
    <row r="1341" spans="2:4" x14ac:dyDescent="0.25">
      <c r="B1341" t="s">
        <v>7673</v>
      </c>
      <c r="C1341" s="71">
        <v>5</v>
      </c>
      <c r="D1341" s="75">
        <f t="shared" si="22"/>
        <v>7.0144919403487599E-5</v>
      </c>
    </row>
    <row r="1342" spans="2:4" x14ac:dyDescent="0.25">
      <c r="B1342" t="s">
        <v>7674</v>
      </c>
      <c r="C1342" s="71">
        <v>5</v>
      </c>
      <c r="D1342" s="75">
        <f t="shared" si="22"/>
        <v>7.0144919403487599E-5</v>
      </c>
    </row>
    <row r="1343" spans="2:4" x14ac:dyDescent="0.25">
      <c r="B1343" t="s">
        <v>7675</v>
      </c>
      <c r="C1343" s="71">
        <v>5</v>
      </c>
      <c r="D1343" s="75">
        <f t="shared" si="22"/>
        <v>7.0144919403487599E-5</v>
      </c>
    </row>
    <row r="1344" spans="2:4" x14ac:dyDescent="0.25">
      <c r="B1344" t="s">
        <v>7676</v>
      </c>
      <c r="C1344" s="71">
        <v>5</v>
      </c>
      <c r="D1344" s="75">
        <f t="shared" si="22"/>
        <v>7.0144919403487599E-5</v>
      </c>
    </row>
    <row r="1345" spans="2:4" x14ac:dyDescent="0.25">
      <c r="B1345" t="s">
        <v>7677</v>
      </c>
      <c r="C1345" s="71">
        <v>5</v>
      </c>
      <c r="D1345" s="75">
        <f t="shared" si="22"/>
        <v>7.0144919403487599E-5</v>
      </c>
    </row>
    <row r="1346" spans="2:4" x14ac:dyDescent="0.25">
      <c r="B1346" t="s">
        <v>7678</v>
      </c>
      <c r="C1346" s="71">
        <v>5</v>
      </c>
      <c r="D1346" s="75">
        <f t="shared" si="22"/>
        <v>7.0144919403487599E-5</v>
      </c>
    </row>
    <row r="1347" spans="2:4" x14ac:dyDescent="0.25">
      <c r="B1347" t="s">
        <v>7679</v>
      </c>
      <c r="C1347" s="71">
        <v>5</v>
      </c>
      <c r="D1347" s="75">
        <f t="shared" si="22"/>
        <v>7.0144919403487599E-5</v>
      </c>
    </row>
    <row r="1348" spans="2:4" x14ac:dyDescent="0.25">
      <c r="B1348" t="s">
        <v>7680</v>
      </c>
      <c r="C1348" s="71">
        <v>5</v>
      </c>
      <c r="D1348" s="75">
        <f t="shared" si="22"/>
        <v>7.0144919403487599E-5</v>
      </c>
    </row>
    <row r="1349" spans="2:4" x14ac:dyDescent="0.25">
      <c r="B1349" t="s">
        <v>7681</v>
      </c>
      <c r="C1349" s="71">
        <v>5</v>
      </c>
      <c r="D1349" s="75">
        <f t="shared" si="22"/>
        <v>7.0144919403487599E-5</v>
      </c>
    </row>
    <row r="1350" spans="2:4" x14ac:dyDescent="0.25">
      <c r="B1350" t="s">
        <v>7682</v>
      </c>
      <c r="C1350" s="71">
        <v>5</v>
      </c>
      <c r="D1350" s="75">
        <f t="shared" ref="D1350:D1413" si="23">C1350/$C$4822</f>
        <v>7.0144919403487599E-5</v>
      </c>
    </row>
    <row r="1351" spans="2:4" x14ac:dyDescent="0.25">
      <c r="B1351" t="s">
        <v>7683</v>
      </c>
      <c r="C1351" s="71">
        <v>5</v>
      </c>
      <c r="D1351" s="75">
        <f t="shared" si="23"/>
        <v>7.0144919403487599E-5</v>
      </c>
    </row>
    <row r="1352" spans="2:4" x14ac:dyDescent="0.25">
      <c r="B1352" t="s">
        <v>7684</v>
      </c>
      <c r="C1352" s="71">
        <v>5</v>
      </c>
      <c r="D1352" s="75">
        <f t="shared" si="23"/>
        <v>7.0144919403487599E-5</v>
      </c>
    </row>
    <row r="1353" spans="2:4" x14ac:dyDescent="0.25">
      <c r="B1353" t="s">
        <v>7685</v>
      </c>
      <c r="C1353" s="71">
        <v>5</v>
      </c>
      <c r="D1353" s="75">
        <f t="shared" si="23"/>
        <v>7.0144919403487599E-5</v>
      </c>
    </row>
    <row r="1354" spans="2:4" x14ac:dyDescent="0.25">
      <c r="B1354" t="s">
        <v>7686</v>
      </c>
      <c r="C1354" s="71">
        <v>5</v>
      </c>
      <c r="D1354" s="75">
        <f t="shared" si="23"/>
        <v>7.0144919403487599E-5</v>
      </c>
    </row>
    <row r="1355" spans="2:4" x14ac:dyDescent="0.25">
      <c r="B1355" t="s">
        <v>7687</v>
      </c>
      <c r="C1355" s="71">
        <v>5</v>
      </c>
      <c r="D1355" s="75">
        <f t="shared" si="23"/>
        <v>7.0144919403487599E-5</v>
      </c>
    </row>
    <row r="1356" spans="2:4" x14ac:dyDescent="0.25">
      <c r="B1356" t="s">
        <v>7688</v>
      </c>
      <c r="C1356" s="71">
        <v>5</v>
      </c>
      <c r="D1356" s="75">
        <f t="shared" si="23"/>
        <v>7.0144919403487599E-5</v>
      </c>
    </row>
    <row r="1357" spans="2:4" x14ac:dyDescent="0.25">
      <c r="B1357" t="s">
        <v>7689</v>
      </c>
      <c r="C1357" s="71">
        <v>5</v>
      </c>
      <c r="D1357" s="75">
        <f t="shared" si="23"/>
        <v>7.0144919403487599E-5</v>
      </c>
    </row>
    <row r="1358" spans="2:4" x14ac:dyDescent="0.25">
      <c r="B1358" t="s">
        <v>7690</v>
      </c>
      <c r="C1358" s="71">
        <v>5</v>
      </c>
      <c r="D1358" s="75">
        <f t="shared" si="23"/>
        <v>7.0144919403487599E-5</v>
      </c>
    </row>
    <row r="1359" spans="2:4" x14ac:dyDescent="0.25">
      <c r="B1359" t="s">
        <v>7691</v>
      </c>
      <c r="C1359" s="71">
        <v>5</v>
      </c>
      <c r="D1359" s="75">
        <f t="shared" si="23"/>
        <v>7.0144919403487599E-5</v>
      </c>
    </row>
    <row r="1360" spans="2:4" x14ac:dyDescent="0.25">
      <c r="B1360" t="s">
        <v>7692</v>
      </c>
      <c r="C1360" s="71">
        <v>5</v>
      </c>
      <c r="D1360" s="75">
        <f t="shared" si="23"/>
        <v>7.0144919403487599E-5</v>
      </c>
    </row>
    <row r="1361" spans="2:4" x14ac:dyDescent="0.25">
      <c r="B1361" t="s">
        <v>7693</v>
      </c>
      <c r="C1361" s="71">
        <v>5</v>
      </c>
      <c r="D1361" s="75">
        <f t="shared" si="23"/>
        <v>7.0144919403487599E-5</v>
      </c>
    </row>
    <row r="1362" spans="2:4" x14ac:dyDescent="0.25">
      <c r="B1362" t="s">
        <v>7694</v>
      </c>
      <c r="C1362" s="71">
        <v>5</v>
      </c>
      <c r="D1362" s="75">
        <f t="shared" si="23"/>
        <v>7.0144919403487599E-5</v>
      </c>
    </row>
    <row r="1363" spans="2:4" x14ac:dyDescent="0.25">
      <c r="B1363" t="s">
        <v>7695</v>
      </c>
      <c r="C1363" s="71">
        <v>5</v>
      </c>
      <c r="D1363" s="75">
        <f t="shared" si="23"/>
        <v>7.0144919403487599E-5</v>
      </c>
    </row>
    <row r="1364" spans="2:4" x14ac:dyDescent="0.25">
      <c r="B1364" t="s">
        <v>7696</v>
      </c>
      <c r="C1364" s="71">
        <v>5</v>
      </c>
      <c r="D1364" s="75">
        <f t="shared" si="23"/>
        <v>7.0144919403487599E-5</v>
      </c>
    </row>
    <row r="1365" spans="2:4" x14ac:dyDescent="0.25">
      <c r="B1365" t="s">
        <v>7697</v>
      </c>
      <c r="C1365" s="71">
        <v>5</v>
      </c>
      <c r="D1365" s="75">
        <f t="shared" si="23"/>
        <v>7.0144919403487599E-5</v>
      </c>
    </row>
    <row r="1366" spans="2:4" x14ac:dyDescent="0.25">
      <c r="B1366" t="s">
        <v>7698</v>
      </c>
      <c r="C1366" s="71">
        <v>5</v>
      </c>
      <c r="D1366" s="75">
        <f t="shared" si="23"/>
        <v>7.0144919403487599E-5</v>
      </c>
    </row>
    <row r="1367" spans="2:4" x14ac:dyDescent="0.25">
      <c r="B1367" t="s">
        <v>7699</v>
      </c>
      <c r="C1367" s="71">
        <v>5</v>
      </c>
      <c r="D1367" s="75">
        <f t="shared" si="23"/>
        <v>7.0144919403487599E-5</v>
      </c>
    </row>
    <row r="1368" spans="2:4" x14ac:dyDescent="0.25">
      <c r="B1368" t="s">
        <v>7700</v>
      </c>
      <c r="C1368" s="71">
        <v>5</v>
      </c>
      <c r="D1368" s="75">
        <f t="shared" si="23"/>
        <v>7.0144919403487599E-5</v>
      </c>
    </row>
    <row r="1369" spans="2:4" x14ac:dyDescent="0.25">
      <c r="B1369" t="s">
        <v>7701</v>
      </c>
      <c r="C1369" s="71">
        <v>5</v>
      </c>
      <c r="D1369" s="75">
        <f t="shared" si="23"/>
        <v>7.0144919403487599E-5</v>
      </c>
    </row>
    <row r="1370" spans="2:4" x14ac:dyDescent="0.25">
      <c r="B1370" t="s">
        <v>7702</v>
      </c>
      <c r="C1370" s="71">
        <v>5</v>
      </c>
      <c r="D1370" s="75">
        <f t="shared" si="23"/>
        <v>7.0144919403487599E-5</v>
      </c>
    </row>
    <row r="1371" spans="2:4" x14ac:dyDescent="0.25">
      <c r="B1371" t="s">
        <v>7703</v>
      </c>
      <c r="C1371" s="71">
        <v>5</v>
      </c>
      <c r="D1371" s="75">
        <f t="shared" si="23"/>
        <v>7.0144919403487599E-5</v>
      </c>
    </row>
    <row r="1372" spans="2:4" x14ac:dyDescent="0.25">
      <c r="B1372" t="s">
        <v>7704</v>
      </c>
      <c r="C1372" s="71">
        <v>5</v>
      </c>
      <c r="D1372" s="75">
        <f t="shared" si="23"/>
        <v>7.0144919403487599E-5</v>
      </c>
    </row>
    <row r="1373" spans="2:4" x14ac:dyDescent="0.25">
      <c r="B1373" t="s">
        <v>7705</v>
      </c>
      <c r="C1373" s="71">
        <v>5</v>
      </c>
      <c r="D1373" s="75">
        <f t="shared" si="23"/>
        <v>7.0144919403487599E-5</v>
      </c>
    </row>
    <row r="1374" spans="2:4" x14ac:dyDescent="0.25">
      <c r="B1374" t="s">
        <v>7706</v>
      </c>
      <c r="C1374" s="71">
        <v>5</v>
      </c>
      <c r="D1374" s="75">
        <f t="shared" si="23"/>
        <v>7.0144919403487599E-5</v>
      </c>
    </row>
    <row r="1375" spans="2:4" x14ac:dyDescent="0.25">
      <c r="B1375" t="s">
        <v>7707</v>
      </c>
      <c r="C1375" s="71">
        <v>5</v>
      </c>
      <c r="D1375" s="75">
        <f t="shared" si="23"/>
        <v>7.0144919403487599E-5</v>
      </c>
    </row>
    <row r="1376" spans="2:4" x14ac:dyDescent="0.25">
      <c r="B1376" t="s">
        <v>7708</v>
      </c>
      <c r="C1376" s="71">
        <v>5</v>
      </c>
      <c r="D1376" s="75">
        <f t="shared" si="23"/>
        <v>7.0144919403487599E-5</v>
      </c>
    </row>
    <row r="1377" spans="2:4" x14ac:dyDescent="0.25">
      <c r="B1377" t="s">
        <v>7709</v>
      </c>
      <c r="C1377" s="71">
        <v>5</v>
      </c>
      <c r="D1377" s="75">
        <f t="shared" si="23"/>
        <v>7.0144919403487599E-5</v>
      </c>
    </row>
    <row r="1378" spans="2:4" x14ac:dyDescent="0.25">
      <c r="B1378" t="s">
        <v>7710</v>
      </c>
      <c r="C1378" s="71">
        <v>5</v>
      </c>
      <c r="D1378" s="75">
        <f t="shared" si="23"/>
        <v>7.0144919403487599E-5</v>
      </c>
    </row>
    <row r="1379" spans="2:4" x14ac:dyDescent="0.25">
      <c r="B1379" t="s">
        <v>7711</v>
      </c>
      <c r="C1379" s="71">
        <v>5</v>
      </c>
      <c r="D1379" s="75">
        <f t="shared" si="23"/>
        <v>7.0144919403487599E-5</v>
      </c>
    </row>
    <row r="1380" spans="2:4" x14ac:dyDescent="0.25">
      <c r="B1380" t="s">
        <v>7712</v>
      </c>
      <c r="C1380" s="71">
        <v>5</v>
      </c>
      <c r="D1380" s="75">
        <f t="shared" si="23"/>
        <v>7.0144919403487599E-5</v>
      </c>
    </row>
    <row r="1381" spans="2:4" x14ac:dyDescent="0.25">
      <c r="B1381" t="s">
        <v>7713</v>
      </c>
      <c r="C1381" s="71">
        <v>5</v>
      </c>
      <c r="D1381" s="75">
        <f t="shared" si="23"/>
        <v>7.0144919403487599E-5</v>
      </c>
    </row>
    <row r="1382" spans="2:4" x14ac:dyDescent="0.25">
      <c r="B1382" t="s">
        <v>7714</v>
      </c>
      <c r="C1382" s="71">
        <v>5</v>
      </c>
      <c r="D1382" s="75">
        <f t="shared" si="23"/>
        <v>7.0144919403487599E-5</v>
      </c>
    </row>
    <row r="1383" spans="2:4" x14ac:dyDescent="0.25">
      <c r="B1383" t="s">
        <v>7715</v>
      </c>
      <c r="C1383" s="71">
        <v>5</v>
      </c>
      <c r="D1383" s="75">
        <f t="shared" si="23"/>
        <v>7.0144919403487599E-5</v>
      </c>
    </row>
    <row r="1384" spans="2:4" x14ac:dyDescent="0.25">
      <c r="B1384" t="s">
        <v>7716</v>
      </c>
      <c r="C1384" s="71">
        <v>5</v>
      </c>
      <c r="D1384" s="75">
        <f t="shared" si="23"/>
        <v>7.0144919403487599E-5</v>
      </c>
    </row>
    <row r="1385" spans="2:4" x14ac:dyDescent="0.25">
      <c r="B1385" t="s">
        <v>7717</v>
      </c>
      <c r="C1385" s="71">
        <v>5</v>
      </c>
      <c r="D1385" s="75">
        <f t="shared" si="23"/>
        <v>7.0144919403487599E-5</v>
      </c>
    </row>
    <row r="1386" spans="2:4" x14ac:dyDescent="0.25">
      <c r="B1386" t="s">
        <v>7718</v>
      </c>
      <c r="C1386" s="71">
        <v>5</v>
      </c>
      <c r="D1386" s="75">
        <f t="shared" si="23"/>
        <v>7.0144919403487599E-5</v>
      </c>
    </row>
    <row r="1387" spans="2:4" x14ac:dyDescent="0.25">
      <c r="B1387" t="s">
        <v>7719</v>
      </c>
      <c r="C1387" s="71">
        <v>5</v>
      </c>
      <c r="D1387" s="75">
        <f t="shared" si="23"/>
        <v>7.0144919403487599E-5</v>
      </c>
    </row>
    <row r="1388" spans="2:4" x14ac:dyDescent="0.25">
      <c r="B1388" t="s">
        <v>7720</v>
      </c>
      <c r="C1388" s="71">
        <v>5</v>
      </c>
      <c r="D1388" s="75">
        <f t="shared" si="23"/>
        <v>7.0144919403487599E-5</v>
      </c>
    </row>
    <row r="1389" spans="2:4" x14ac:dyDescent="0.25">
      <c r="B1389" t="s">
        <v>7721</v>
      </c>
      <c r="C1389" s="71">
        <v>5</v>
      </c>
      <c r="D1389" s="75">
        <f t="shared" si="23"/>
        <v>7.0144919403487599E-5</v>
      </c>
    </row>
    <row r="1390" spans="2:4" x14ac:dyDescent="0.25">
      <c r="B1390" t="s">
        <v>7722</v>
      </c>
      <c r="C1390" s="71">
        <v>5</v>
      </c>
      <c r="D1390" s="75">
        <f t="shared" si="23"/>
        <v>7.0144919403487599E-5</v>
      </c>
    </row>
    <row r="1391" spans="2:4" x14ac:dyDescent="0.25">
      <c r="B1391" t="s">
        <v>7723</v>
      </c>
      <c r="C1391" s="71">
        <v>5</v>
      </c>
      <c r="D1391" s="75">
        <f t="shared" si="23"/>
        <v>7.0144919403487599E-5</v>
      </c>
    </row>
    <row r="1392" spans="2:4" x14ac:dyDescent="0.25">
      <c r="B1392" t="s">
        <v>7724</v>
      </c>
      <c r="C1392" s="71">
        <v>5</v>
      </c>
      <c r="D1392" s="75">
        <f t="shared" si="23"/>
        <v>7.0144919403487599E-5</v>
      </c>
    </row>
    <row r="1393" spans="2:4" x14ac:dyDescent="0.25">
      <c r="B1393" t="s">
        <v>7725</v>
      </c>
      <c r="C1393" s="71">
        <v>5</v>
      </c>
      <c r="D1393" s="75">
        <f t="shared" si="23"/>
        <v>7.0144919403487599E-5</v>
      </c>
    </row>
    <row r="1394" spans="2:4" x14ac:dyDescent="0.25">
      <c r="B1394" t="s">
        <v>7726</v>
      </c>
      <c r="C1394" s="71">
        <v>5</v>
      </c>
      <c r="D1394" s="75">
        <f t="shared" si="23"/>
        <v>7.0144919403487599E-5</v>
      </c>
    </row>
    <row r="1395" spans="2:4" x14ac:dyDescent="0.25">
      <c r="B1395" t="s">
        <v>7727</v>
      </c>
      <c r="C1395" s="71">
        <v>5</v>
      </c>
      <c r="D1395" s="75">
        <f t="shared" si="23"/>
        <v>7.0144919403487599E-5</v>
      </c>
    </row>
    <row r="1396" spans="2:4" x14ac:dyDescent="0.25">
      <c r="B1396" t="s">
        <v>7728</v>
      </c>
      <c r="C1396" s="71">
        <v>5</v>
      </c>
      <c r="D1396" s="75">
        <f t="shared" si="23"/>
        <v>7.0144919403487599E-5</v>
      </c>
    </row>
    <row r="1397" spans="2:4" x14ac:dyDescent="0.25">
      <c r="B1397" t="s">
        <v>7729</v>
      </c>
      <c r="C1397" s="71">
        <v>5</v>
      </c>
      <c r="D1397" s="75">
        <f t="shared" si="23"/>
        <v>7.0144919403487599E-5</v>
      </c>
    </row>
    <row r="1398" spans="2:4" x14ac:dyDescent="0.25">
      <c r="B1398" t="s">
        <v>7730</v>
      </c>
      <c r="C1398" s="71">
        <v>5</v>
      </c>
      <c r="D1398" s="75">
        <f t="shared" si="23"/>
        <v>7.0144919403487599E-5</v>
      </c>
    </row>
    <row r="1399" spans="2:4" x14ac:dyDescent="0.25">
      <c r="B1399" t="s">
        <v>7731</v>
      </c>
      <c r="C1399" s="71">
        <v>5</v>
      </c>
      <c r="D1399" s="75">
        <f t="shared" si="23"/>
        <v>7.0144919403487599E-5</v>
      </c>
    </row>
    <row r="1400" spans="2:4" x14ac:dyDescent="0.25">
      <c r="B1400" t="s">
        <v>7732</v>
      </c>
      <c r="C1400" s="71">
        <v>5</v>
      </c>
      <c r="D1400" s="75">
        <f t="shared" si="23"/>
        <v>7.0144919403487599E-5</v>
      </c>
    </row>
    <row r="1401" spans="2:4" x14ac:dyDescent="0.25">
      <c r="B1401" t="s">
        <v>7733</v>
      </c>
      <c r="C1401" s="71">
        <v>5</v>
      </c>
      <c r="D1401" s="75">
        <f t="shared" si="23"/>
        <v>7.0144919403487599E-5</v>
      </c>
    </row>
    <row r="1402" spans="2:4" x14ac:dyDescent="0.25">
      <c r="B1402" t="s">
        <v>7734</v>
      </c>
      <c r="C1402" s="71">
        <v>5</v>
      </c>
      <c r="D1402" s="75">
        <f t="shared" si="23"/>
        <v>7.0144919403487599E-5</v>
      </c>
    </row>
    <row r="1403" spans="2:4" x14ac:dyDescent="0.25">
      <c r="B1403" t="s">
        <v>7735</v>
      </c>
      <c r="C1403" s="71">
        <v>5</v>
      </c>
      <c r="D1403" s="75">
        <f t="shared" si="23"/>
        <v>7.0144919403487599E-5</v>
      </c>
    </row>
    <row r="1404" spans="2:4" x14ac:dyDescent="0.25">
      <c r="B1404" t="s">
        <v>7736</v>
      </c>
      <c r="C1404" s="71">
        <v>5</v>
      </c>
      <c r="D1404" s="75">
        <f t="shared" si="23"/>
        <v>7.0144919403487599E-5</v>
      </c>
    </row>
    <row r="1405" spans="2:4" x14ac:dyDescent="0.25">
      <c r="B1405" t="s">
        <v>7737</v>
      </c>
      <c r="C1405" s="71">
        <v>5</v>
      </c>
      <c r="D1405" s="75">
        <f t="shared" si="23"/>
        <v>7.0144919403487599E-5</v>
      </c>
    </row>
    <row r="1406" spans="2:4" x14ac:dyDescent="0.25">
      <c r="B1406" t="s">
        <v>7738</v>
      </c>
      <c r="C1406" s="71">
        <v>5</v>
      </c>
      <c r="D1406" s="75">
        <f t="shared" si="23"/>
        <v>7.0144919403487599E-5</v>
      </c>
    </row>
    <row r="1407" spans="2:4" x14ac:dyDescent="0.25">
      <c r="B1407" t="s">
        <v>7739</v>
      </c>
      <c r="C1407" s="71">
        <v>5</v>
      </c>
      <c r="D1407" s="75">
        <f t="shared" si="23"/>
        <v>7.0144919403487599E-5</v>
      </c>
    </row>
    <row r="1408" spans="2:4" x14ac:dyDescent="0.25">
      <c r="B1408" t="s">
        <v>7740</v>
      </c>
      <c r="C1408" s="71">
        <v>5</v>
      </c>
      <c r="D1408" s="75">
        <f t="shared" si="23"/>
        <v>7.0144919403487599E-5</v>
      </c>
    </row>
    <row r="1409" spans="2:4" x14ac:dyDescent="0.25">
      <c r="B1409" t="s">
        <v>7741</v>
      </c>
      <c r="C1409" s="71">
        <v>5</v>
      </c>
      <c r="D1409" s="75">
        <f t="shared" si="23"/>
        <v>7.0144919403487599E-5</v>
      </c>
    </row>
    <row r="1410" spans="2:4" x14ac:dyDescent="0.25">
      <c r="B1410" t="s">
        <v>7742</v>
      </c>
      <c r="C1410" s="71">
        <v>5</v>
      </c>
      <c r="D1410" s="75">
        <f t="shared" si="23"/>
        <v>7.0144919403487599E-5</v>
      </c>
    </row>
    <row r="1411" spans="2:4" x14ac:dyDescent="0.25">
      <c r="B1411" t="s">
        <v>7743</v>
      </c>
      <c r="C1411" s="71">
        <v>5</v>
      </c>
      <c r="D1411" s="75">
        <f t="shared" si="23"/>
        <v>7.0144919403487599E-5</v>
      </c>
    </row>
    <row r="1412" spans="2:4" x14ac:dyDescent="0.25">
      <c r="B1412" t="s">
        <v>7744</v>
      </c>
      <c r="C1412" s="71">
        <v>5</v>
      </c>
      <c r="D1412" s="75">
        <f t="shared" si="23"/>
        <v>7.0144919403487599E-5</v>
      </c>
    </row>
    <row r="1413" spans="2:4" x14ac:dyDescent="0.25">
      <c r="B1413" t="s">
        <v>7745</v>
      </c>
      <c r="C1413" s="71">
        <v>5</v>
      </c>
      <c r="D1413" s="75">
        <f t="shared" si="23"/>
        <v>7.0144919403487599E-5</v>
      </c>
    </row>
    <row r="1414" spans="2:4" x14ac:dyDescent="0.25">
      <c r="B1414" t="s">
        <v>7746</v>
      </c>
      <c r="C1414" s="71">
        <v>5</v>
      </c>
      <c r="D1414" s="75">
        <f t="shared" ref="D1414:D1477" si="24">C1414/$C$4822</f>
        <v>7.0144919403487599E-5</v>
      </c>
    </row>
    <row r="1415" spans="2:4" x14ac:dyDescent="0.25">
      <c r="B1415" t="s">
        <v>7747</v>
      </c>
      <c r="C1415" s="71">
        <v>5</v>
      </c>
      <c r="D1415" s="75">
        <f t="shared" si="24"/>
        <v>7.0144919403487599E-5</v>
      </c>
    </row>
    <row r="1416" spans="2:4" x14ac:dyDescent="0.25">
      <c r="B1416" t="s">
        <v>7748</v>
      </c>
      <c r="C1416" s="71">
        <v>5</v>
      </c>
      <c r="D1416" s="75">
        <f t="shared" si="24"/>
        <v>7.0144919403487599E-5</v>
      </c>
    </row>
    <row r="1417" spans="2:4" x14ac:dyDescent="0.25">
      <c r="B1417" t="s">
        <v>7749</v>
      </c>
      <c r="C1417" s="71">
        <v>5</v>
      </c>
      <c r="D1417" s="75">
        <f t="shared" si="24"/>
        <v>7.0144919403487599E-5</v>
      </c>
    </row>
    <row r="1418" spans="2:4" x14ac:dyDescent="0.25">
      <c r="B1418" t="s">
        <v>7750</v>
      </c>
      <c r="C1418" s="71">
        <v>5</v>
      </c>
      <c r="D1418" s="75">
        <f t="shared" si="24"/>
        <v>7.0144919403487599E-5</v>
      </c>
    </row>
    <row r="1419" spans="2:4" x14ac:dyDescent="0.25">
      <c r="B1419" t="s">
        <v>7751</v>
      </c>
      <c r="C1419" s="71">
        <v>5</v>
      </c>
      <c r="D1419" s="75">
        <f t="shared" si="24"/>
        <v>7.0144919403487599E-5</v>
      </c>
    </row>
    <row r="1420" spans="2:4" x14ac:dyDescent="0.25">
      <c r="B1420" t="s">
        <v>7752</v>
      </c>
      <c r="C1420" s="71">
        <v>5</v>
      </c>
      <c r="D1420" s="75">
        <f t="shared" si="24"/>
        <v>7.0144919403487599E-5</v>
      </c>
    </row>
    <row r="1421" spans="2:4" x14ac:dyDescent="0.25">
      <c r="B1421" t="s">
        <v>7753</v>
      </c>
      <c r="C1421" s="71">
        <v>5</v>
      </c>
      <c r="D1421" s="75">
        <f t="shared" si="24"/>
        <v>7.0144919403487599E-5</v>
      </c>
    </row>
    <row r="1422" spans="2:4" x14ac:dyDescent="0.25">
      <c r="B1422" t="s">
        <v>7754</v>
      </c>
      <c r="C1422" s="71">
        <v>5</v>
      </c>
      <c r="D1422" s="75">
        <f t="shared" si="24"/>
        <v>7.0144919403487599E-5</v>
      </c>
    </row>
    <row r="1423" spans="2:4" x14ac:dyDescent="0.25">
      <c r="B1423" t="s">
        <v>7755</v>
      </c>
      <c r="C1423" s="71">
        <v>5</v>
      </c>
      <c r="D1423" s="75">
        <f t="shared" si="24"/>
        <v>7.0144919403487599E-5</v>
      </c>
    </row>
    <row r="1424" spans="2:4" x14ac:dyDescent="0.25">
      <c r="B1424" t="s">
        <v>7756</v>
      </c>
      <c r="C1424" s="71">
        <v>5</v>
      </c>
      <c r="D1424" s="75">
        <f t="shared" si="24"/>
        <v>7.0144919403487599E-5</v>
      </c>
    </row>
    <row r="1425" spans="2:4" x14ac:dyDescent="0.25">
      <c r="B1425" t="s">
        <v>7757</v>
      </c>
      <c r="C1425" s="71">
        <v>5</v>
      </c>
      <c r="D1425" s="75">
        <f t="shared" si="24"/>
        <v>7.0144919403487599E-5</v>
      </c>
    </row>
    <row r="1426" spans="2:4" x14ac:dyDescent="0.25">
      <c r="B1426" t="s">
        <v>7758</v>
      </c>
      <c r="C1426" s="71">
        <v>5</v>
      </c>
      <c r="D1426" s="75">
        <f t="shared" si="24"/>
        <v>7.0144919403487599E-5</v>
      </c>
    </row>
    <row r="1427" spans="2:4" x14ac:dyDescent="0.25">
      <c r="B1427" t="s">
        <v>7759</v>
      </c>
      <c r="C1427" s="71">
        <v>5</v>
      </c>
      <c r="D1427" s="75">
        <f t="shared" si="24"/>
        <v>7.0144919403487599E-5</v>
      </c>
    </row>
    <row r="1428" spans="2:4" x14ac:dyDescent="0.25">
      <c r="B1428" t="s">
        <v>7760</v>
      </c>
      <c r="C1428" s="71">
        <v>5</v>
      </c>
      <c r="D1428" s="75">
        <f t="shared" si="24"/>
        <v>7.0144919403487599E-5</v>
      </c>
    </row>
    <row r="1429" spans="2:4" x14ac:dyDescent="0.25">
      <c r="B1429" t="s">
        <v>7761</v>
      </c>
      <c r="C1429" s="71">
        <v>5</v>
      </c>
      <c r="D1429" s="75">
        <f t="shared" si="24"/>
        <v>7.0144919403487599E-5</v>
      </c>
    </row>
    <row r="1430" spans="2:4" x14ac:dyDescent="0.25">
      <c r="B1430" t="s">
        <v>7762</v>
      </c>
      <c r="C1430" s="71">
        <v>5</v>
      </c>
      <c r="D1430" s="75">
        <f t="shared" si="24"/>
        <v>7.0144919403487599E-5</v>
      </c>
    </row>
    <row r="1431" spans="2:4" x14ac:dyDescent="0.25">
      <c r="B1431" t="s">
        <v>7763</v>
      </c>
      <c r="C1431" s="71">
        <v>5</v>
      </c>
      <c r="D1431" s="75">
        <f t="shared" si="24"/>
        <v>7.0144919403487599E-5</v>
      </c>
    </row>
    <row r="1432" spans="2:4" x14ac:dyDescent="0.25">
      <c r="B1432" t="s">
        <v>7764</v>
      </c>
      <c r="C1432" s="71">
        <v>5</v>
      </c>
      <c r="D1432" s="75">
        <f t="shared" si="24"/>
        <v>7.0144919403487599E-5</v>
      </c>
    </row>
    <row r="1433" spans="2:4" x14ac:dyDescent="0.25">
      <c r="B1433" t="s">
        <v>7765</v>
      </c>
      <c r="C1433" s="71">
        <v>5</v>
      </c>
      <c r="D1433" s="75">
        <f t="shared" si="24"/>
        <v>7.0144919403487599E-5</v>
      </c>
    </row>
    <row r="1434" spans="2:4" x14ac:dyDescent="0.25">
      <c r="B1434" t="s">
        <v>7766</v>
      </c>
      <c r="C1434" s="71">
        <v>5</v>
      </c>
      <c r="D1434" s="75">
        <f t="shared" si="24"/>
        <v>7.0144919403487599E-5</v>
      </c>
    </row>
    <row r="1435" spans="2:4" x14ac:dyDescent="0.25">
      <c r="B1435" t="s">
        <v>7767</v>
      </c>
      <c r="C1435" s="71">
        <v>5</v>
      </c>
      <c r="D1435" s="75">
        <f t="shared" si="24"/>
        <v>7.0144919403487599E-5</v>
      </c>
    </row>
    <row r="1436" spans="2:4" x14ac:dyDescent="0.25">
      <c r="B1436" t="s">
        <v>7768</v>
      </c>
      <c r="C1436" s="71">
        <v>5</v>
      </c>
      <c r="D1436" s="75">
        <f t="shared" si="24"/>
        <v>7.0144919403487599E-5</v>
      </c>
    </row>
    <row r="1437" spans="2:4" x14ac:dyDescent="0.25">
      <c r="B1437" t="s">
        <v>7769</v>
      </c>
      <c r="C1437" s="71">
        <v>5</v>
      </c>
      <c r="D1437" s="75">
        <f t="shared" si="24"/>
        <v>7.0144919403487599E-5</v>
      </c>
    </row>
    <row r="1438" spans="2:4" x14ac:dyDescent="0.25">
      <c r="B1438" t="s">
        <v>7770</v>
      </c>
      <c r="C1438" s="71">
        <v>5</v>
      </c>
      <c r="D1438" s="75">
        <f t="shared" si="24"/>
        <v>7.0144919403487599E-5</v>
      </c>
    </row>
    <row r="1439" spans="2:4" x14ac:dyDescent="0.25">
      <c r="B1439" t="s">
        <v>7771</v>
      </c>
      <c r="C1439" s="71">
        <v>5</v>
      </c>
      <c r="D1439" s="75">
        <f t="shared" si="24"/>
        <v>7.0144919403487599E-5</v>
      </c>
    </row>
    <row r="1440" spans="2:4" x14ac:dyDescent="0.25">
      <c r="B1440" t="s">
        <v>7772</v>
      </c>
      <c r="C1440" s="71">
        <v>5</v>
      </c>
      <c r="D1440" s="75">
        <f t="shared" si="24"/>
        <v>7.0144919403487599E-5</v>
      </c>
    </row>
    <row r="1441" spans="2:4" x14ac:dyDescent="0.25">
      <c r="B1441" t="s">
        <v>7773</v>
      </c>
      <c r="C1441" s="71">
        <v>5</v>
      </c>
      <c r="D1441" s="75">
        <f t="shared" si="24"/>
        <v>7.0144919403487599E-5</v>
      </c>
    </row>
    <row r="1442" spans="2:4" x14ac:dyDescent="0.25">
      <c r="B1442" t="s">
        <v>7774</v>
      </c>
      <c r="C1442" s="71">
        <v>5</v>
      </c>
      <c r="D1442" s="75">
        <f t="shared" si="24"/>
        <v>7.0144919403487599E-5</v>
      </c>
    </row>
    <row r="1443" spans="2:4" x14ac:dyDescent="0.25">
      <c r="B1443" t="s">
        <v>7775</v>
      </c>
      <c r="C1443" s="71">
        <v>5</v>
      </c>
      <c r="D1443" s="75">
        <f t="shared" si="24"/>
        <v>7.0144919403487599E-5</v>
      </c>
    </row>
    <row r="1444" spans="2:4" x14ac:dyDescent="0.25">
      <c r="B1444" t="s">
        <v>7776</v>
      </c>
      <c r="C1444" s="71">
        <v>5</v>
      </c>
      <c r="D1444" s="75">
        <f t="shared" si="24"/>
        <v>7.0144919403487599E-5</v>
      </c>
    </row>
    <row r="1445" spans="2:4" x14ac:dyDescent="0.25">
      <c r="B1445" t="s">
        <v>7777</v>
      </c>
      <c r="C1445" s="71">
        <v>5</v>
      </c>
      <c r="D1445" s="75">
        <f t="shared" si="24"/>
        <v>7.0144919403487599E-5</v>
      </c>
    </row>
    <row r="1446" spans="2:4" x14ac:dyDescent="0.25">
      <c r="B1446" t="s">
        <v>7778</v>
      </c>
      <c r="C1446" s="71">
        <v>5</v>
      </c>
      <c r="D1446" s="75">
        <f t="shared" si="24"/>
        <v>7.0144919403487599E-5</v>
      </c>
    </row>
    <row r="1447" spans="2:4" x14ac:dyDescent="0.25">
      <c r="B1447" t="s">
        <v>7779</v>
      </c>
      <c r="C1447" s="71">
        <v>5</v>
      </c>
      <c r="D1447" s="75">
        <f t="shared" si="24"/>
        <v>7.0144919403487599E-5</v>
      </c>
    </row>
    <row r="1448" spans="2:4" x14ac:dyDescent="0.25">
      <c r="B1448" t="s">
        <v>7780</v>
      </c>
      <c r="C1448" s="71">
        <v>5</v>
      </c>
      <c r="D1448" s="75">
        <f t="shared" si="24"/>
        <v>7.0144919403487599E-5</v>
      </c>
    </row>
    <row r="1449" spans="2:4" x14ac:dyDescent="0.25">
      <c r="B1449" t="s">
        <v>7781</v>
      </c>
      <c r="C1449" s="71">
        <v>5</v>
      </c>
      <c r="D1449" s="75">
        <f t="shared" si="24"/>
        <v>7.0144919403487599E-5</v>
      </c>
    </row>
    <row r="1450" spans="2:4" x14ac:dyDescent="0.25">
      <c r="B1450" t="s">
        <v>7782</v>
      </c>
      <c r="C1450" s="71">
        <v>5</v>
      </c>
      <c r="D1450" s="75">
        <f t="shared" si="24"/>
        <v>7.0144919403487599E-5</v>
      </c>
    </row>
    <row r="1451" spans="2:4" x14ac:dyDescent="0.25">
      <c r="B1451" t="s">
        <v>7783</v>
      </c>
      <c r="C1451" s="71">
        <v>5</v>
      </c>
      <c r="D1451" s="75">
        <f t="shared" si="24"/>
        <v>7.0144919403487599E-5</v>
      </c>
    </row>
    <row r="1452" spans="2:4" x14ac:dyDescent="0.25">
      <c r="B1452" t="s">
        <v>7784</v>
      </c>
      <c r="C1452" s="71">
        <v>5</v>
      </c>
      <c r="D1452" s="75">
        <f t="shared" si="24"/>
        <v>7.0144919403487599E-5</v>
      </c>
    </row>
    <row r="1453" spans="2:4" x14ac:dyDescent="0.25">
      <c r="B1453" t="s">
        <v>7785</v>
      </c>
      <c r="C1453" s="71">
        <v>5</v>
      </c>
      <c r="D1453" s="75">
        <f t="shared" si="24"/>
        <v>7.0144919403487599E-5</v>
      </c>
    </row>
    <row r="1454" spans="2:4" x14ac:dyDescent="0.25">
      <c r="B1454" t="s">
        <v>7786</v>
      </c>
      <c r="C1454" s="71">
        <v>5</v>
      </c>
      <c r="D1454" s="75">
        <f t="shared" si="24"/>
        <v>7.0144919403487599E-5</v>
      </c>
    </row>
    <row r="1455" spans="2:4" x14ac:dyDescent="0.25">
      <c r="B1455" t="s">
        <v>7787</v>
      </c>
      <c r="C1455" s="71">
        <v>5</v>
      </c>
      <c r="D1455" s="75">
        <f t="shared" si="24"/>
        <v>7.0144919403487599E-5</v>
      </c>
    </row>
    <row r="1456" spans="2:4" x14ac:dyDescent="0.25">
      <c r="B1456" t="s">
        <v>7788</v>
      </c>
      <c r="C1456" s="71">
        <v>5</v>
      </c>
      <c r="D1456" s="75">
        <f t="shared" si="24"/>
        <v>7.0144919403487599E-5</v>
      </c>
    </row>
    <row r="1457" spans="2:4" x14ac:dyDescent="0.25">
      <c r="B1457" t="s">
        <v>7789</v>
      </c>
      <c r="C1457" s="71">
        <v>5</v>
      </c>
      <c r="D1457" s="75">
        <f t="shared" si="24"/>
        <v>7.0144919403487599E-5</v>
      </c>
    </row>
    <row r="1458" spans="2:4" x14ac:dyDescent="0.25">
      <c r="B1458" t="s">
        <v>7790</v>
      </c>
      <c r="C1458" s="71">
        <v>5</v>
      </c>
      <c r="D1458" s="75">
        <f t="shared" si="24"/>
        <v>7.0144919403487599E-5</v>
      </c>
    </row>
    <row r="1459" spans="2:4" x14ac:dyDescent="0.25">
      <c r="B1459" t="s">
        <v>7791</v>
      </c>
      <c r="C1459" s="71">
        <v>5</v>
      </c>
      <c r="D1459" s="75">
        <f t="shared" si="24"/>
        <v>7.0144919403487599E-5</v>
      </c>
    </row>
    <row r="1460" spans="2:4" x14ac:dyDescent="0.25">
      <c r="B1460" t="s">
        <v>7792</v>
      </c>
      <c r="C1460" s="71">
        <v>5</v>
      </c>
      <c r="D1460" s="75">
        <f t="shared" si="24"/>
        <v>7.0144919403487599E-5</v>
      </c>
    </row>
    <row r="1461" spans="2:4" x14ac:dyDescent="0.25">
      <c r="B1461" t="s">
        <v>7793</v>
      </c>
      <c r="C1461" s="71">
        <v>5</v>
      </c>
      <c r="D1461" s="75">
        <f t="shared" si="24"/>
        <v>7.0144919403487599E-5</v>
      </c>
    </row>
    <row r="1462" spans="2:4" x14ac:dyDescent="0.25">
      <c r="B1462" t="s">
        <v>7794</v>
      </c>
      <c r="C1462" s="71">
        <v>5</v>
      </c>
      <c r="D1462" s="75">
        <f t="shared" si="24"/>
        <v>7.0144919403487599E-5</v>
      </c>
    </row>
    <row r="1463" spans="2:4" x14ac:dyDescent="0.25">
      <c r="B1463" t="s">
        <v>7795</v>
      </c>
      <c r="C1463" s="71">
        <v>5</v>
      </c>
      <c r="D1463" s="75">
        <f t="shared" si="24"/>
        <v>7.0144919403487599E-5</v>
      </c>
    </row>
    <row r="1464" spans="2:4" x14ac:dyDescent="0.25">
      <c r="B1464" t="s">
        <v>7796</v>
      </c>
      <c r="C1464" s="71">
        <v>5</v>
      </c>
      <c r="D1464" s="75">
        <f t="shared" si="24"/>
        <v>7.0144919403487599E-5</v>
      </c>
    </row>
    <row r="1465" spans="2:4" x14ac:dyDescent="0.25">
      <c r="B1465" t="s">
        <v>7797</v>
      </c>
      <c r="C1465" s="71">
        <v>5</v>
      </c>
      <c r="D1465" s="75">
        <f t="shared" si="24"/>
        <v>7.0144919403487599E-5</v>
      </c>
    </row>
    <row r="1466" spans="2:4" x14ac:dyDescent="0.25">
      <c r="B1466" t="s">
        <v>4759</v>
      </c>
      <c r="C1466" s="71">
        <v>5</v>
      </c>
      <c r="D1466" s="75">
        <f t="shared" si="24"/>
        <v>7.0144919403487599E-5</v>
      </c>
    </row>
    <row r="1467" spans="2:4" x14ac:dyDescent="0.25">
      <c r="B1467" t="s">
        <v>7798</v>
      </c>
      <c r="C1467" s="71">
        <v>5</v>
      </c>
      <c r="D1467" s="75">
        <f t="shared" si="24"/>
        <v>7.0144919403487599E-5</v>
      </c>
    </row>
    <row r="1468" spans="2:4" x14ac:dyDescent="0.25">
      <c r="B1468" t="s">
        <v>7799</v>
      </c>
      <c r="C1468" s="71">
        <v>5</v>
      </c>
      <c r="D1468" s="75">
        <f t="shared" si="24"/>
        <v>7.0144919403487599E-5</v>
      </c>
    </row>
    <row r="1469" spans="2:4" x14ac:dyDescent="0.25">
      <c r="B1469" t="s">
        <v>7800</v>
      </c>
      <c r="C1469" s="71">
        <v>5</v>
      </c>
      <c r="D1469" s="75">
        <f t="shared" si="24"/>
        <v>7.0144919403487599E-5</v>
      </c>
    </row>
    <row r="1470" spans="2:4" x14ac:dyDescent="0.25">
      <c r="B1470" t="s">
        <v>7801</v>
      </c>
      <c r="C1470" s="71">
        <v>5</v>
      </c>
      <c r="D1470" s="75">
        <f t="shared" si="24"/>
        <v>7.0144919403487599E-5</v>
      </c>
    </row>
    <row r="1471" spans="2:4" x14ac:dyDescent="0.25">
      <c r="B1471" t="s">
        <v>7802</v>
      </c>
      <c r="C1471" s="71">
        <v>4</v>
      </c>
      <c r="D1471" s="75">
        <f t="shared" si="24"/>
        <v>5.6115935522790082E-5</v>
      </c>
    </row>
    <row r="1472" spans="2:4" x14ac:dyDescent="0.25">
      <c r="B1472" t="s">
        <v>7803</v>
      </c>
      <c r="C1472" s="71">
        <v>4</v>
      </c>
      <c r="D1472" s="75">
        <f t="shared" si="24"/>
        <v>5.6115935522790082E-5</v>
      </c>
    </row>
    <row r="1473" spans="2:4" x14ac:dyDescent="0.25">
      <c r="B1473" t="s">
        <v>7804</v>
      </c>
      <c r="C1473" s="71">
        <v>4</v>
      </c>
      <c r="D1473" s="75">
        <f t="shared" si="24"/>
        <v>5.6115935522790082E-5</v>
      </c>
    </row>
    <row r="1474" spans="2:4" x14ac:dyDescent="0.25">
      <c r="B1474" t="s">
        <v>7805</v>
      </c>
      <c r="C1474" s="71">
        <v>4</v>
      </c>
      <c r="D1474" s="75">
        <f t="shared" si="24"/>
        <v>5.6115935522790082E-5</v>
      </c>
    </row>
    <row r="1475" spans="2:4" x14ac:dyDescent="0.25">
      <c r="B1475" t="s">
        <v>7806</v>
      </c>
      <c r="C1475" s="71">
        <v>4</v>
      </c>
      <c r="D1475" s="75">
        <f t="shared" si="24"/>
        <v>5.6115935522790082E-5</v>
      </c>
    </row>
    <row r="1476" spans="2:4" x14ac:dyDescent="0.25">
      <c r="B1476" t="s">
        <v>7807</v>
      </c>
      <c r="C1476" s="71">
        <v>4</v>
      </c>
      <c r="D1476" s="75">
        <f t="shared" si="24"/>
        <v>5.6115935522790082E-5</v>
      </c>
    </row>
    <row r="1477" spans="2:4" x14ac:dyDescent="0.25">
      <c r="B1477" t="s">
        <v>7808</v>
      </c>
      <c r="C1477" s="71">
        <v>4</v>
      </c>
      <c r="D1477" s="75">
        <f t="shared" si="24"/>
        <v>5.6115935522790082E-5</v>
      </c>
    </row>
    <row r="1478" spans="2:4" x14ac:dyDescent="0.25">
      <c r="B1478" t="s">
        <v>7809</v>
      </c>
      <c r="C1478" s="71">
        <v>4</v>
      </c>
      <c r="D1478" s="75">
        <f t="shared" ref="D1478:D1541" si="25">C1478/$C$4822</f>
        <v>5.6115935522790082E-5</v>
      </c>
    </row>
    <row r="1479" spans="2:4" x14ac:dyDescent="0.25">
      <c r="B1479" t="s">
        <v>7810</v>
      </c>
      <c r="C1479" s="71">
        <v>4</v>
      </c>
      <c r="D1479" s="75">
        <f t="shared" si="25"/>
        <v>5.6115935522790082E-5</v>
      </c>
    </row>
    <row r="1480" spans="2:4" x14ac:dyDescent="0.25">
      <c r="B1480" t="s">
        <v>7811</v>
      </c>
      <c r="C1480" s="71">
        <v>4</v>
      </c>
      <c r="D1480" s="75">
        <f t="shared" si="25"/>
        <v>5.6115935522790082E-5</v>
      </c>
    </row>
    <row r="1481" spans="2:4" x14ac:dyDescent="0.25">
      <c r="B1481" t="s">
        <v>7812</v>
      </c>
      <c r="C1481" s="71">
        <v>4</v>
      </c>
      <c r="D1481" s="75">
        <f t="shared" si="25"/>
        <v>5.6115935522790082E-5</v>
      </c>
    </row>
    <row r="1482" spans="2:4" x14ac:dyDescent="0.25">
      <c r="B1482" t="s">
        <v>7813</v>
      </c>
      <c r="C1482" s="71">
        <v>4</v>
      </c>
      <c r="D1482" s="75">
        <f t="shared" si="25"/>
        <v>5.6115935522790082E-5</v>
      </c>
    </row>
    <row r="1483" spans="2:4" x14ac:dyDescent="0.25">
      <c r="B1483" t="s">
        <v>7814</v>
      </c>
      <c r="C1483" s="71">
        <v>4</v>
      </c>
      <c r="D1483" s="75">
        <f t="shared" si="25"/>
        <v>5.6115935522790082E-5</v>
      </c>
    </row>
    <row r="1484" spans="2:4" x14ac:dyDescent="0.25">
      <c r="B1484" t="s">
        <v>7815</v>
      </c>
      <c r="C1484" s="71">
        <v>4</v>
      </c>
      <c r="D1484" s="75">
        <f t="shared" si="25"/>
        <v>5.6115935522790082E-5</v>
      </c>
    </row>
    <row r="1485" spans="2:4" x14ac:dyDescent="0.25">
      <c r="B1485" t="s">
        <v>7816</v>
      </c>
      <c r="C1485" s="71">
        <v>4</v>
      </c>
      <c r="D1485" s="75">
        <f t="shared" si="25"/>
        <v>5.6115935522790082E-5</v>
      </c>
    </row>
    <row r="1486" spans="2:4" x14ac:dyDescent="0.25">
      <c r="B1486" t="s">
        <v>7817</v>
      </c>
      <c r="C1486" s="71">
        <v>4</v>
      </c>
      <c r="D1486" s="75">
        <f t="shared" si="25"/>
        <v>5.6115935522790082E-5</v>
      </c>
    </row>
    <row r="1487" spans="2:4" x14ac:dyDescent="0.25">
      <c r="B1487" t="s">
        <v>7818</v>
      </c>
      <c r="C1487" s="71">
        <v>4</v>
      </c>
      <c r="D1487" s="75">
        <f t="shared" si="25"/>
        <v>5.6115935522790082E-5</v>
      </c>
    </row>
    <row r="1488" spans="2:4" x14ac:dyDescent="0.25">
      <c r="B1488" t="s">
        <v>7819</v>
      </c>
      <c r="C1488" s="71">
        <v>4</v>
      </c>
      <c r="D1488" s="75">
        <f t="shared" si="25"/>
        <v>5.6115935522790082E-5</v>
      </c>
    </row>
    <row r="1489" spans="2:4" x14ac:dyDescent="0.25">
      <c r="B1489" t="s">
        <v>7820</v>
      </c>
      <c r="C1489" s="71">
        <v>4</v>
      </c>
      <c r="D1489" s="75">
        <f t="shared" si="25"/>
        <v>5.6115935522790082E-5</v>
      </c>
    </row>
    <row r="1490" spans="2:4" x14ac:dyDescent="0.25">
      <c r="B1490" t="s">
        <v>7821</v>
      </c>
      <c r="C1490" s="71">
        <v>4</v>
      </c>
      <c r="D1490" s="75">
        <f t="shared" si="25"/>
        <v>5.6115935522790082E-5</v>
      </c>
    </row>
    <row r="1491" spans="2:4" x14ac:dyDescent="0.25">
      <c r="B1491" t="s">
        <v>7822</v>
      </c>
      <c r="C1491" s="71">
        <v>4</v>
      </c>
      <c r="D1491" s="75">
        <f t="shared" si="25"/>
        <v>5.6115935522790082E-5</v>
      </c>
    </row>
    <row r="1492" spans="2:4" x14ac:dyDescent="0.25">
      <c r="B1492" t="s">
        <v>7823</v>
      </c>
      <c r="C1492" s="71">
        <v>4</v>
      </c>
      <c r="D1492" s="75">
        <f t="shared" si="25"/>
        <v>5.6115935522790082E-5</v>
      </c>
    </row>
    <row r="1493" spans="2:4" x14ac:dyDescent="0.25">
      <c r="B1493" t="s">
        <v>7824</v>
      </c>
      <c r="C1493" s="71">
        <v>4</v>
      </c>
      <c r="D1493" s="75">
        <f t="shared" si="25"/>
        <v>5.6115935522790082E-5</v>
      </c>
    </row>
    <row r="1494" spans="2:4" x14ac:dyDescent="0.25">
      <c r="B1494" t="s">
        <v>7825</v>
      </c>
      <c r="C1494" s="71">
        <v>4</v>
      </c>
      <c r="D1494" s="75">
        <f t="shared" si="25"/>
        <v>5.6115935522790082E-5</v>
      </c>
    </row>
    <row r="1495" spans="2:4" x14ac:dyDescent="0.25">
      <c r="B1495" t="s">
        <v>7826</v>
      </c>
      <c r="C1495" s="71">
        <v>4</v>
      </c>
      <c r="D1495" s="75">
        <f t="shared" si="25"/>
        <v>5.6115935522790082E-5</v>
      </c>
    </row>
    <row r="1496" spans="2:4" x14ac:dyDescent="0.25">
      <c r="B1496" t="s">
        <v>7827</v>
      </c>
      <c r="C1496" s="71">
        <v>4</v>
      </c>
      <c r="D1496" s="75">
        <f t="shared" si="25"/>
        <v>5.6115935522790082E-5</v>
      </c>
    </row>
    <row r="1497" spans="2:4" x14ac:dyDescent="0.25">
      <c r="B1497" t="s">
        <v>7828</v>
      </c>
      <c r="C1497" s="71">
        <v>4</v>
      </c>
      <c r="D1497" s="75">
        <f t="shared" si="25"/>
        <v>5.6115935522790082E-5</v>
      </c>
    </row>
    <row r="1498" spans="2:4" x14ac:dyDescent="0.25">
      <c r="B1498" t="s">
        <v>7829</v>
      </c>
      <c r="C1498" s="71">
        <v>4</v>
      </c>
      <c r="D1498" s="75">
        <f t="shared" si="25"/>
        <v>5.6115935522790082E-5</v>
      </c>
    </row>
    <row r="1499" spans="2:4" x14ac:dyDescent="0.25">
      <c r="B1499" t="s">
        <v>7830</v>
      </c>
      <c r="C1499" s="71">
        <v>4</v>
      </c>
      <c r="D1499" s="75">
        <f t="shared" si="25"/>
        <v>5.6115935522790082E-5</v>
      </c>
    </row>
    <row r="1500" spans="2:4" x14ac:dyDescent="0.25">
      <c r="B1500" t="s">
        <v>7831</v>
      </c>
      <c r="C1500" s="71">
        <v>4</v>
      </c>
      <c r="D1500" s="75">
        <f t="shared" si="25"/>
        <v>5.6115935522790082E-5</v>
      </c>
    </row>
    <row r="1501" spans="2:4" x14ac:dyDescent="0.25">
      <c r="B1501" t="s">
        <v>7832</v>
      </c>
      <c r="C1501" s="71">
        <v>4</v>
      </c>
      <c r="D1501" s="75">
        <f t="shared" si="25"/>
        <v>5.6115935522790082E-5</v>
      </c>
    </row>
    <row r="1502" spans="2:4" x14ac:dyDescent="0.25">
      <c r="B1502" t="s">
        <v>7833</v>
      </c>
      <c r="C1502" s="71">
        <v>4</v>
      </c>
      <c r="D1502" s="75">
        <f t="shared" si="25"/>
        <v>5.6115935522790082E-5</v>
      </c>
    </row>
    <row r="1503" spans="2:4" x14ac:dyDescent="0.25">
      <c r="B1503" t="s">
        <v>7834</v>
      </c>
      <c r="C1503" s="71">
        <v>4</v>
      </c>
      <c r="D1503" s="75">
        <f t="shared" si="25"/>
        <v>5.6115935522790082E-5</v>
      </c>
    </row>
    <row r="1504" spans="2:4" x14ac:dyDescent="0.25">
      <c r="B1504" t="s">
        <v>7835</v>
      </c>
      <c r="C1504" s="71">
        <v>4</v>
      </c>
      <c r="D1504" s="75">
        <f t="shared" si="25"/>
        <v>5.6115935522790082E-5</v>
      </c>
    </row>
    <row r="1505" spans="2:4" x14ac:dyDescent="0.25">
      <c r="B1505" t="s">
        <v>7836</v>
      </c>
      <c r="C1505" s="71">
        <v>4</v>
      </c>
      <c r="D1505" s="75">
        <f t="shared" si="25"/>
        <v>5.6115935522790082E-5</v>
      </c>
    </row>
    <row r="1506" spans="2:4" x14ac:dyDescent="0.25">
      <c r="B1506" t="s">
        <v>7837</v>
      </c>
      <c r="C1506" s="71">
        <v>4</v>
      </c>
      <c r="D1506" s="75">
        <f t="shared" si="25"/>
        <v>5.6115935522790082E-5</v>
      </c>
    </row>
    <row r="1507" spans="2:4" x14ac:dyDescent="0.25">
      <c r="B1507" t="s">
        <v>7838</v>
      </c>
      <c r="C1507" s="71">
        <v>4</v>
      </c>
      <c r="D1507" s="75">
        <f t="shared" si="25"/>
        <v>5.6115935522790082E-5</v>
      </c>
    </row>
    <row r="1508" spans="2:4" x14ac:dyDescent="0.25">
      <c r="B1508" t="s">
        <v>7839</v>
      </c>
      <c r="C1508" s="71">
        <v>4</v>
      </c>
      <c r="D1508" s="75">
        <f t="shared" si="25"/>
        <v>5.6115935522790082E-5</v>
      </c>
    </row>
    <row r="1509" spans="2:4" x14ac:dyDescent="0.25">
      <c r="B1509" t="s">
        <v>7840</v>
      </c>
      <c r="C1509" s="71">
        <v>4</v>
      </c>
      <c r="D1509" s="75">
        <f t="shared" si="25"/>
        <v>5.6115935522790082E-5</v>
      </c>
    </row>
    <row r="1510" spans="2:4" x14ac:dyDescent="0.25">
      <c r="B1510" t="s">
        <v>7841</v>
      </c>
      <c r="C1510" s="71">
        <v>4</v>
      </c>
      <c r="D1510" s="75">
        <f t="shared" si="25"/>
        <v>5.6115935522790082E-5</v>
      </c>
    </row>
    <row r="1511" spans="2:4" x14ac:dyDescent="0.25">
      <c r="B1511" t="s">
        <v>7842</v>
      </c>
      <c r="C1511" s="71">
        <v>4</v>
      </c>
      <c r="D1511" s="75">
        <f t="shared" si="25"/>
        <v>5.6115935522790082E-5</v>
      </c>
    </row>
    <row r="1512" spans="2:4" x14ac:dyDescent="0.25">
      <c r="B1512" t="s">
        <v>7843</v>
      </c>
      <c r="C1512" s="71">
        <v>4</v>
      </c>
      <c r="D1512" s="75">
        <f t="shared" si="25"/>
        <v>5.6115935522790082E-5</v>
      </c>
    </row>
    <row r="1513" spans="2:4" x14ac:dyDescent="0.25">
      <c r="B1513" t="s">
        <v>7844</v>
      </c>
      <c r="C1513" s="71">
        <v>4</v>
      </c>
      <c r="D1513" s="75">
        <f t="shared" si="25"/>
        <v>5.6115935522790082E-5</v>
      </c>
    </row>
    <row r="1514" spans="2:4" x14ac:dyDescent="0.25">
      <c r="B1514" t="s">
        <v>7845</v>
      </c>
      <c r="C1514" s="71">
        <v>4</v>
      </c>
      <c r="D1514" s="75">
        <f t="shared" si="25"/>
        <v>5.6115935522790082E-5</v>
      </c>
    </row>
    <row r="1515" spans="2:4" x14ac:dyDescent="0.25">
      <c r="B1515" t="s">
        <v>7846</v>
      </c>
      <c r="C1515" s="71">
        <v>4</v>
      </c>
      <c r="D1515" s="75">
        <f t="shared" si="25"/>
        <v>5.6115935522790082E-5</v>
      </c>
    </row>
    <row r="1516" spans="2:4" x14ac:dyDescent="0.25">
      <c r="B1516" t="s">
        <v>7847</v>
      </c>
      <c r="C1516" s="71">
        <v>4</v>
      </c>
      <c r="D1516" s="75">
        <f t="shared" si="25"/>
        <v>5.6115935522790082E-5</v>
      </c>
    </row>
    <row r="1517" spans="2:4" x14ac:dyDescent="0.25">
      <c r="B1517" t="s">
        <v>7848</v>
      </c>
      <c r="C1517" s="71">
        <v>4</v>
      </c>
      <c r="D1517" s="75">
        <f t="shared" si="25"/>
        <v>5.6115935522790082E-5</v>
      </c>
    </row>
    <row r="1518" spans="2:4" x14ac:dyDescent="0.25">
      <c r="B1518" t="s">
        <v>7849</v>
      </c>
      <c r="C1518" s="71">
        <v>4</v>
      </c>
      <c r="D1518" s="75">
        <f t="shared" si="25"/>
        <v>5.6115935522790082E-5</v>
      </c>
    </row>
    <row r="1519" spans="2:4" x14ac:dyDescent="0.25">
      <c r="B1519" t="s">
        <v>7850</v>
      </c>
      <c r="C1519" s="71">
        <v>4</v>
      </c>
      <c r="D1519" s="75">
        <f t="shared" si="25"/>
        <v>5.6115935522790082E-5</v>
      </c>
    </row>
    <row r="1520" spans="2:4" x14ac:dyDescent="0.25">
      <c r="B1520" t="s">
        <v>7851</v>
      </c>
      <c r="C1520" s="71">
        <v>4</v>
      </c>
      <c r="D1520" s="75">
        <f t="shared" si="25"/>
        <v>5.6115935522790082E-5</v>
      </c>
    </row>
    <row r="1521" spans="2:4" x14ac:dyDescent="0.25">
      <c r="B1521" t="s">
        <v>7852</v>
      </c>
      <c r="C1521" s="71">
        <v>4</v>
      </c>
      <c r="D1521" s="75">
        <f t="shared" si="25"/>
        <v>5.6115935522790082E-5</v>
      </c>
    </row>
    <row r="1522" spans="2:4" x14ac:dyDescent="0.25">
      <c r="B1522" t="s">
        <v>7853</v>
      </c>
      <c r="C1522" s="71">
        <v>4</v>
      </c>
      <c r="D1522" s="75">
        <f t="shared" si="25"/>
        <v>5.6115935522790082E-5</v>
      </c>
    </row>
    <row r="1523" spans="2:4" x14ac:dyDescent="0.25">
      <c r="B1523" t="s">
        <v>7854</v>
      </c>
      <c r="C1523" s="71">
        <v>4</v>
      </c>
      <c r="D1523" s="75">
        <f t="shared" si="25"/>
        <v>5.6115935522790082E-5</v>
      </c>
    </row>
    <row r="1524" spans="2:4" x14ac:dyDescent="0.25">
      <c r="B1524" t="s">
        <v>7855</v>
      </c>
      <c r="C1524" s="71">
        <v>4</v>
      </c>
      <c r="D1524" s="75">
        <f t="shared" si="25"/>
        <v>5.6115935522790082E-5</v>
      </c>
    </row>
    <row r="1525" spans="2:4" x14ac:dyDescent="0.25">
      <c r="B1525" t="s">
        <v>7856</v>
      </c>
      <c r="C1525" s="71">
        <v>4</v>
      </c>
      <c r="D1525" s="75">
        <f t="shared" si="25"/>
        <v>5.6115935522790082E-5</v>
      </c>
    </row>
    <row r="1526" spans="2:4" x14ac:dyDescent="0.25">
      <c r="B1526" t="s">
        <v>7857</v>
      </c>
      <c r="C1526" s="71">
        <v>4</v>
      </c>
      <c r="D1526" s="75">
        <f t="shared" si="25"/>
        <v>5.6115935522790082E-5</v>
      </c>
    </row>
    <row r="1527" spans="2:4" x14ac:dyDescent="0.25">
      <c r="B1527" t="s">
        <v>7858</v>
      </c>
      <c r="C1527" s="71">
        <v>4</v>
      </c>
      <c r="D1527" s="75">
        <f t="shared" si="25"/>
        <v>5.6115935522790082E-5</v>
      </c>
    </row>
    <row r="1528" spans="2:4" x14ac:dyDescent="0.25">
      <c r="B1528" t="s">
        <v>7859</v>
      </c>
      <c r="C1528" s="71">
        <v>4</v>
      </c>
      <c r="D1528" s="75">
        <f t="shared" si="25"/>
        <v>5.6115935522790082E-5</v>
      </c>
    </row>
    <row r="1529" spans="2:4" x14ac:dyDescent="0.25">
      <c r="B1529" t="s">
        <v>7860</v>
      </c>
      <c r="C1529" s="71">
        <v>4</v>
      </c>
      <c r="D1529" s="75">
        <f t="shared" si="25"/>
        <v>5.6115935522790082E-5</v>
      </c>
    </row>
    <row r="1530" spans="2:4" x14ac:dyDescent="0.25">
      <c r="B1530" t="s">
        <v>7861</v>
      </c>
      <c r="C1530" s="71">
        <v>4</v>
      </c>
      <c r="D1530" s="75">
        <f t="shared" si="25"/>
        <v>5.6115935522790082E-5</v>
      </c>
    </row>
    <row r="1531" spans="2:4" x14ac:dyDescent="0.25">
      <c r="B1531" t="s">
        <v>7862</v>
      </c>
      <c r="C1531" s="71">
        <v>4</v>
      </c>
      <c r="D1531" s="75">
        <f t="shared" si="25"/>
        <v>5.6115935522790082E-5</v>
      </c>
    </row>
    <row r="1532" spans="2:4" x14ac:dyDescent="0.25">
      <c r="B1532" t="s">
        <v>7863</v>
      </c>
      <c r="C1532" s="71">
        <v>4</v>
      </c>
      <c r="D1532" s="75">
        <f t="shared" si="25"/>
        <v>5.6115935522790082E-5</v>
      </c>
    </row>
    <row r="1533" spans="2:4" x14ac:dyDescent="0.25">
      <c r="B1533" t="s">
        <v>7864</v>
      </c>
      <c r="C1533" s="71">
        <v>4</v>
      </c>
      <c r="D1533" s="75">
        <f t="shared" si="25"/>
        <v>5.6115935522790082E-5</v>
      </c>
    </row>
    <row r="1534" spans="2:4" x14ac:dyDescent="0.25">
      <c r="B1534" t="s">
        <v>7865</v>
      </c>
      <c r="C1534" s="71">
        <v>4</v>
      </c>
      <c r="D1534" s="75">
        <f t="shared" si="25"/>
        <v>5.6115935522790082E-5</v>
      </c>
    </row>
    <row r="1535" spans="2:4" x14ac:dyDescent="0.25">
      <c r="B1535" t="s">
        <v>7866</v>
      </c>
      <c r="C1535" s="71">
        <v>4</v>
      </c>
      <c r="D1535" s="75">
        <f t="shared" si="25"/>
        <v>5.6115935522790082E-5</v>
      </c>
    </row>
    <row r="1536" spans="2:4" x14ac:dyDescent="0.25">
      <c r="B1536" t="s">
        <v>7867</v>
      </c>
      <c r="C1536" s="71">
        <v>4</v>
      </c>
      <c r="D1536" s="75">
        <f t="shared" si="25"/>
        <v>5.6115935522790082E-5</v>
      </c>
    </row>
    <row r="1537" spans="2:4" x14ac:dyDescent="0.25">
      <c r="B1537" t="s">
        <v>7868</v>
      </c>
      <c r="C1537" s="71">
        <v>4</v>
      </c>
      <c r="D1537" s="75">
        <f t="shared" si="25"/>
        <v>5.6115935522790082E-5</v>
      </c>
    </row>
    <row r="1538" spans="2:4" x14ac:dyDescent="0.25">
      <c r="B1538" t="s">
        <v>7869</v>
      </c>
      <c r="C1538" s="71">
        <v>4</v>
      </c>
      <c r="D1538" s="75">
        <f t="shared" si="25"/>
        <v>5.6115935522790082E-5</v>
      </c>
    </row>
    <row r="1539" spans="2:4" x14ac:dyDescent="0.25">
      <c r="B1539" t="s">
        <v>7870</v>
      </c>
      <c r="C1539" s="71">
        <v>4</v>
      </c>
      <c r="D1539" s="75">
        <f t="shared" si="25"/>
        <v>5.6115935522790082E-5</v>
      </c>
    </row>
    <row r="1540" spans="2:4" x14ac:dyDescent="0.25">
      <c r="B1540" t="s">
        <v>7871</v>
      </c>
      <c r="C1540" s="71">
        <v>4</v>
      </c>
      <c r="D1540" s="75">
        <f t="shared" si="25"/>
        <v>5.6115935522790082E-5</v>
      </c>
    </row>
    <row r="1541" spans="2:4" x14ac:dyDescent="0.25">
      <c r="B1541" t="s">
        <v>7872</v>
      </c>
      <c r="C1541" s="71">
        <v>4</v>
      </c>
      <c r="D1541" s="75">
        <f t="shared" si="25"/>
        <v>5.6115935522790082E-5</v>
      </c>
    </row>
    <row r="1542" spans="2:4" x14ac:dyDescent="0.25">
      <c r="B1542" t="s">
        <v>7873</v>
      </c>
      <c r="C1542" s="71">
        <v>4</v>
      </c>
      <c r="D1542" s="75">
        <f t="shared" ref="D1542:D1605" si="26">C1542/$C$4822</f>
        <v>5.6115935522790082E-5</v>
      </c>
    </row>
    <row r="1543" spans="2:4" x14ac:dyDescent="0.25">
      <c r="B1543" t="s">
        <v>7874</v>
      </c>
      <c r="C1543" s="71">
        <v>4</v>
      </c>
      <c r="D1543" s="75">
        <f t="shared" si="26"/>
        <v>5.6115935522790082E-5</v>
      </c>
    </row>
    <row r="1544" spans="2:4" x14ac:dyDescent="0.25">
      <c r="B1544" t="s">
        <v>7875</v>
      </c>
      <c r="C1544" s="71">
        <v>4</v>
      </c>
      <c r="D1544" s="75">
        <f t="shared" si="26"/>
        <v>5.6115935522790082E-5</v>
      </c>
    </row>
    <row r="1545" spans="2:4" x14ac:dyDescent="0.25">
      <c r="B1545" t="s">
        <v>7876</v>
      </c>
      <c r="C1545" s="71">
        <v>4</v>
      </c>
      <c r="D1545" s="75">
        <f t="shared" si="26"/>
        <v>5.6115935522790082E-5</v>
      </c>
    </row>
    <row r="1546" spans="2:4" x14ac:dyDescent="0.25">
      <c r="B1546" t="s">
        <v>7877</v>
      </c>
      <c r="C1546" s="71">
        <v>4</v>
      </c>
      <c r="D1546" s="75">
        <f t="shared" si="26"/>
        <v>5.6115935522790082E-5</v>
      </c>
    </row>
    <row r="1547" spans="2:4" x14ac:dyDescent="0.25">
      <c r="B1547" t="s">
        <v>7878</v>
      </c>
      <c r="C1547" s="71">
        <v>4</v>
      </c>
      <c r="D1547" s="75">
        <f t="shared" si="26"/>
        <v>5.6115935522790082E-5</v>
      </c>
    </row>
    <row r="1548" spans="2:4" x14ac:dyDescent="0.25">
      <c r="B1548" t="s">
        <v>7879</v>
      </c>
      <c r="C1548" s="71">
        <v>4</v>
      </c>
      <c r="D1548" s="75">
        <f t="shared" si="26"/>
        <v>5.6115935522790082E-5</v>
      </c>
    </row>
    <row r="1549" spans="2:4" x14ac:dyDescent="0.25">
      <c r="B1549" t="s">
        <v>7880</v>
      </c>
      <c r="C1549" s="71">
        <v>4</v>
      </c>
      <c r="D1549" s="75">
        <f t="shared" si="26"/>
        <v>5.6115935522790082E-5</v>
      </c>
    </row>
    <row r="1550" spans="2:4" x14ac:dyDescent="0.25">
      <c r="B1550" t="s">
        <v>7881</v>
      </c>
      <c r="C1550" s="71">
        <v>4</v>
      </c>
      <c r="D1550" s="75">
        <f t="shared" si="26"/>
        <v>5.6115935522790082E-5</v>
      </c>
    </row>
    <row r="1551" spans="2:4" x14ac:dyDescent="0.25">
      <c r="B1551" t="s">
        <v>7882</v>
      </c>
      <c r="C1551" s="71">
        <v>4</v>
      </c>
      <c r="D1551" s="75">
        <f t="shared" si="26"/>
        <v>5.6115935522790082E-5</v>
      </c>
    </row>
    <row r="1552" spans="2:4" x14ac:dyDescent="0.25">
      <c r="B1552" t="s">
        <v>7883</v>
      </c>
      <c r="C1552" s="71">
        <v>4</v>
      </c>
      <c r="D1552" s="75">
        <f t="shared" si="26"/>
        <v>5.6115935522790082E-5</v>
      </c>
    </row>
    <row r="1553" spans="2:4" x14ac:dyDescent="0.25">
      <c r="B1553" t="s">
        <v>7884</v>
      </c>
      <c r="C1553" s="71">
        <v>4</v>
      </c>
      <c r="D1553" s="75">
        <f t="shared" si="26"/>
        <v>5.6115935522790082E-5</v>
      </c>
    </row>
    <row r="1554" spans="2:4" x14ac:dyDescent="0.25">
      <c r="B1554" t="s">
        <v>7885</v>
      </c>
      <c r="C1554" s="71">
        <v>4</v>
      </c>
      <c r="D1554" s="75">
        <f t="shared" si="26"/>
        <v>5.6115935522790082E-5</v>
      </c>
    </row>
    <row r="1555" spans="2:4" x14ac:dyDescent="0.25">
      <c r="B1555" t="s">
        <v>7886</v>
      </c>
      <c r="C1555" s="71">
        <v>4</v>
      </c>
      <c r="D1555" s="75">
        <f t="shared" si="26"/>
        <v>5.6115935522790082E-5</v>
      </c>
    </row>
    <row r="1556" spans="2:4" x14ac:dyDescent="0.25">
      <c r="B1556" t="s">
        <v>7887</v>
      </c>
      <c r="C1556" s="71">
        <v>4</v>
      </c>
      <c r="D1556" s="75">
        <f t="shared" si="26"/>
        <v>5.6115935522790082E-5</v>
      </c>
    </row>
    <row r="1557" spans="2:4" x14ac:dyDescent="0.25">
      <c r="B1557" t="s">
        <v>7888</v>
      </c>
      <c r="C1557" s="71">
        <v>4</v>
      </c>
      <c r="D1557" s="75">
        <f t="shared" si="26"/>
        <v>5.6115935522790082E-5</v>
      </c>
    </row>
    <row r="1558" spans="2:4" x14ac:dyDescent="0.25">
      <c r="B1558" t="s">
        <v>7889</v>
      </c>
      <c r="C1558" s="71">
        <v>4</v>
      </c>
      <c r="D1558" s="75">
        <f t="shared" si="26"/>
        <v>5.6115935522790082E-5</v>
      </c>
    </row>
    <row r="1559" spans="2:4" x14ac:dyDescent="0.25">
      <c r="B1559" t="s">
        <v>7890</v>
      </c>
      <c r="C1559" s="71">
        <v>4</v>
      </c>
      <c r="D1559" s="75">
        <f t="shared" si="26"/>
        <v>5.6115935522790082E-5</v>
      </c>
    </row>
    <row r="1560" spans="2:4" x14ac:dyDescent="0.25">
      <c r="B1560" t="s">
        <v>7891</v>
      </c>
      <c r="C1560" s="71">
        <v>4</v>
      </c>
      <c r="D1560" s="75">
        <f t="shared" si="26"/>
        <v>5.6115935522790082E-5</v>
      </c>
    </row>
    <row r="1561" spans="2:4" x14ac:dyDescent="0.25">
      <c r="B1561" t="s">
        <v>7892</v>
      </c>
      <c r="C1561" s="71">
        <v>4</v>
      </c>
      <c r="D1561" s="75">
        <f t="shared" si="26"/>
        <v>5.6115935522790082E-5</v>
      </c>
    </row>
    <row r="1562" spans="2:4" x14ac:dyDescent="0.25">
      <c r="B1562" t="s">
        <v>7893</v>
      </c>
      <c r="C1562" s="71">
        <v>4</v>
      </c>
      <c r="D1562" s="75">
        <f t="shared" si="26"/>
        <v>5.6115935522790082E-5</v>
      </c>
    </row>
    <row r="1563" spans="2:4" x14ac:dyDescent="0.25">
      <c r="B1563" t="s">
        <v>7894</v>
      </c>
      <c r="C1563" s="71">
        <v>4</v>
      </c>
      <c r="D1563" s="75">
        <f t="shared" si="26"/>
        <v>5.6115935522790082E-5</v>
      </c>
    </row>
    <row r="1564" spans="2:4" x14ac:dyDescent="0.25">
      <c r="B1564" t="s">
        <v>7895</v>
      </c>
      <c r="C1564" s="71">
        <v>4</v>
      </c>
      <c r="D1564" s="75">
        <f t="shared" si="26"/>
        <v>5.6115935522790082E-5</v>
      </c>
    </row>
    <row r="1565" spans="2:4" x14ac:dyDescent="0.25">
      <c r="B1565" t="s">
        <v>7896</v>
      </c>
      <c r="C1565" s="71">
        <v>4</v>
      </c>
      <c r="D1565" s="75">
        <f t="shared" si="26"/>
        <v>5.6115935522790082E-5</v>
      </c>
    </row>
    <row r="1566" spans="2:4" x14ac:dyDescent="0.25">
      <c r="B1566" t="s">
        <v>7897</v>
      </c>
      <c r="C1566" s="71">
        <v>4</v>
      </c>
      <c r="D1566" s="75">
        <f t="shared" si="26"/>
        <v>5.6115935522790082E-5</v>
      </c>
    </row>
    <row r="1567" spans="2:4" x14ac:dyDescent="0.25">
      <c r="B1567" t="s">
        <v>7898</v>
      </c>
      <c r="C1567" s="71">
        <v>4</v>
      </c>
      <c r="D1567" s="75">
        <f t="shared" si="26"/>
        <v>5.6115935522790082E-5</v>
      </c>
    </row>
    <row r="1568" spans="2:4" x14ac:dyDescent="0.25">
      <c r="B1568" t="s">
        <v>7899</v>
      </c>
      <c r="C1568" s="71">
        <v>4</v>
      </c>
      <c r="D1568" s="75">
        <f t="shared" si="26"/>
        <v>5.6115935522790082E-5</v>
      </c>
    </row>
    <row r="1569" spans="2:4" x14ac:dyDescent="0.25">
      <c r="B1569" t="s">
        <v>7900</v>
      </c>
      <c r="C1569" s="71">
        <v>4</v>
      </c>
      <c r="D1569" s="75">
        <f t="shared" si="26"/>
        <v>5.6115935522790082E-5</v>
      </c>
    </row>
    <row r="1570" spans="2:4" x14ac:dyDescent="0.25">
      <c r="B1570" t="s">
        <v>7901</v>
      </c>
      <c r="C1570" s="71">
        <v>4</v>
      </c>
      <c r="D1570" s="75">
        <f t="shared" si="26"/>
        <v>5.6115935522790082E-5</v>
      </c>
    </row>
    <row r="1571" spans="2:4" x14ac:dyDescent="0.25">
      <c r="B1571" t="s">
        <v>7902</v>
      </c>
      <c r="C1571" s="71">
        <v>4</v>
      </c>
      <c r="D1571" s="75">
        <f t="shared" si="26"/>
        <v>5.6115935522790082E-5</v>
      </c>
    </row>
    <row r="1572" spans="2:4" x14ac:dyDescent="0.25">
      <c r="B1572" t="s">
        <v>7903</v>
      </c>
      <c r="C1572" s="71">
        <v>4</v>
      </c>
      <c r="D1572" s="75">
        <f t="shared" si="26"/>
        <v>5.6115935522790082E-5</v>
      </c>
    </row>
    <row r="1573" spans="2:4" x14ac:dyDescent="0.25">
      <c r="B1573" t="s">
        <v>7904</v>
      </c>
      <c r="C1573" s="71">
        <v>4</v>
      </c>
      <c r="D1573" s="75">
        <f t="shared" si="26"/>
        <v>5.6115935522790082E-5</v>
      </c>
    </row>
    <row r="1574" spans="2:4" x14ac:dyDescent="0.25">
      <c r="B1574" t="s">
        <v>7905</v>
      </c>
      <c r="C1574" s="71">
        <v>4</v>
      </c>
      <c r="D1574" s="75">
        <f t="shared" si="26"/>
        <v>5.6115935522790082E-5</v>
      </c>
    </row>
    <row r="1575" spans="2:4" x14ac:dyDescent="0.25">
      <c r="B1575" t="s">
        <v>7906</v>
      </c>
      <c r="C1575" s="71">
        <v>4</v>
      </c>
      <c r="D1575" s="75">
        <f t="shared" si="26"/>
        <v>5.6115935522790082E-5</v>
      </c>
    </row>
    <row r="1576" spans="2:4" x14ac:dyDescent="0.25">
      <c r="B1576" t="s">
        <v>7907</v>
      </c>
      <c r="C1576" s="71">
        <v>4</v>
      </c>
      <c r="D1576" s="75">
        <f t="shared" si="26"/>
        <v>5.6115935522790082E-5</v>
      </c>
    </row>
    <row r="1577" spans="2:4" x14ac:dyDescent="0.25">
      <c r="B1577" t="s">
        <v>7908</v>
      </c>
      <c r="C1577" s="71">
        <v>4</v>
      </c>
      <c r="D1577" s="75">
        <f t="shared" si="26"/>
        <v>5.6115935522790082E-5</v>
      </c>
    </row>
    <row r="1578" spans="2:4" x14ac:dyDescent="0.25">
      <c r="B1578" t="s">
        <v>7909</v>
      </c>
      <c r="C1578" s="71">
        <v>4</v>
      </c>
      <c r="D1578" s="75">
        <f t="shared" si="26"/>
        <v>5.6115935522790082E-5</v>
      </c>
    </row>
    <row r="1579" spans="2:4" x14ac:dyDescent="0.25">
      <c r="B1579" t="s">
        <v>7910</v>
      </c>
      <c r="C1579" s="71">
        <v>4</v>
      </c>
      <c r="D1579" s="75">
        <f t="shared" si="26"/>
        <v>5.6115935522790082E-5</v>
      </c>
    </row>
    <row r="1580" spans="2:4" x14ac:dyDescent="0.25">
      <c r="B1580" t="s">
        <v>7911</v>
      </c>
      <c r="C1580" s="71">
        <v>4</v>
      </c>
      <c r="D1580" s="75">
        <f t="shared" si="26"/>
        <v>5.6115935522790082E-5</v>
      </c>
    </row>
    <row r="1581" spans="2:4" x14ac:dyDescent="0.25">
      <c r="B1581" t="s">
        <v>7912</v>
      </c>
      <c r="C1581" s="71">
        <v>4</v>
      </c>
      <c r="D1581" s="75">
        <f t="shared" si="26"/>
        <v>5.6115935522790082E-5</v>
      </c>
    </row>
    <row r="1582" spans="2:4" x14ac:dyDescent="0.25">
      <c r="B1582" t="s">
        <v>7913</v>
      </c>
      <c r="C1582" s="71">
        <v>4</v>
      </c>
      <c r="D1582" s="75">
        <f t="shared" si="26"/>
        <v>5.6115935522790082E-5</v>
      </c>
    </row>
    <row r="1583" spans="2:4" x14ac:dyDescent="0.25">
      <c r="B1583" t="s">
        <v>7914</v>
      </c>
      <c r="C1583" s="71">
        <v>4</v>
      </c>
      <c r="D1583" s="75">
        <f t="shared" si="26"/>
        <v>5.6115935522790082E-5</v>
      </c>
    </row>
    <row r="1584" spans="2:4" x14ac:dyDescent="0.25">
      <c r="B1584" t="s">
        <v>7915</v>
      </c>
      <c r="C1584" s="71">
        <v>4</v>
      </c>
      <c r="D1584" s="75">
        <f t="shared" si="26"/>
        <v>5.6115935522790082E-5</v>
      </c>
    </row>
    <row r="1585" spans="2:4" x14ac:dyDescent="0.25">
      <c r="B1585" t="s">
        <v>7916</v>
      </c>
      <c r="C1585" s="71">
        <v>4</v>
      </c>
      <c r="D1585" s="75">
        <f t="shared" si="26"/>
        <v>5.6115935522790082E-5</v>
      </c>
    </row>
    <row r="1586" spans="2:4" x14ac:dyDescent="0.25">
      <c r="B1586" t="s">
        <v>7917</v>
      </c>
      <c r="C1586" s="71">
        <v>4</v>
      </c>
      <c r="D1586" s="75">
        <f t="shared" si="26"/>
        <v>5.6115935522790082E-5</v>
      </c>
    </row>
    <row r="1587" spans="2:4" x14ac:dyDescent="0.25">
      <c r="B1587" t="s">
        <v>7918</v>
      </c>
      <c r="C1587" s="71">
        <v>4</v>
      </c>
      <c r="D1587" s="75">
        <f t="shared" si="26"/>
        <v>5.6115935522790082E-5</v>
      </c>
    </row>
    <row r="1588" spans="2:4" x14ac:dyDescent="0.25">
      <c r="B1588" t="s">
        <v>7919</v>
      </c>
      <c r="C1588" s="71">
        <v>4</v>
      </c>
      <c r="D1588" s="75">
        <f t="shared" si="26"/>
        <v>5.6115935522790082E-5</v>
      </c>
    </row>
    <row r="1589" spans="2:4" x14ac:dyDescent="0.25">
      <c r="B1589" t="s">
        <v>7920</v>
      </c>
      <c r="C1589" s="71">
        <v>4</v>
      </c>
      <c r="D1589" s="75">
        <f t="shared" si="26"/>
        <v>5.6115935522790082E-5</v>
      </c>
    </row>
    <row r="1590" spans="2:4" x14ac:dyDescent="0.25">
      <c r="B1590" t="s">
        <v>7921</v>
      </c>
      <c r="C1590" s="71">
        <v>4</v>
      </c>
      <c r="D1590" s="75">
        <f t="shared" si="26"/>
        <v>5.6115935522790082E-5</v>
      </c>
    </row>
    <row r="1591" spans="2:4" x14ac:dyDescent="0.25">
      <c r="B1591" t="s">
        <v>7922</v>
      </c>
      <c r="C1591" s="71">
        <v>4</v>
      </c>
      <c r="D1591" s="75">
        <f t="shared" si="26"/>
        <v>5.6115935522790082E-5</v>
      </c>
    </row>
    <row r="1592" spans="2:4" x14ac:dyDescent="0.25">
      <c r="B1592" t="s">
        <v>7923</v>
      </c>
      <c r="C1592" s="71">
        <v>4</v>
      </c>
      <c r="D1592" s="75">
        <f t="shared" si="26"/>
        <v>5.6115935522790082E-5</v>
      </c>
    </row>
    <row r="1593" spans="2:4" x14ac:dyDescent="0.25">
      <c r="B1593" t="s">
        <v>7924</v>
      </c>
      <c r="C1593" s="71">
        <v>4</v>
      </c>
      <c r="D1593" s="75">
        <f t="shared" si="26"/>
        <v>5.6115935522790082E-5</v>
      </c>
    </row>
    <row r="1594" spans="2:4" x14ac:dyDescent="0.25">
      <c r="B1594" t="s">
        <v>7925</v>
      </c>
      <c r="C1594" s="71">
        <v>4</v>
      </c>
      <c r="D1594" s="75">
        <f t="shared" si="26"/>
        <v>5.6115935522790082E-5</v>
      </c>
    </row>
    <row r="1595" spans="2:4" x14ac:dyDescent="0.25">
      <c r="B1595" t="s">
        <v>7926</v>
      </c>
      <c r="C1595" s="71">
        <v>4</v>
      </c>
      <c r="D1595" s="75">
        <f t="shared" si="26"/>
        <v>5.6115935522790082E-5</v>
      </c>
    </row>
    <row r="1596" spans="2:4" x14ac:dyDescent="0.25">
      <c r="B1596" t="s">
        <v>7927</v>
      </c>
      <c r="C1596" s="71">
        <v>4</v>
      </c>
      <c r="D1596" s="75">
        <f t="shared" si="26"/>
        <v>5.6115935522790082E-5</v>
      </c>
    </row>
    <row r="1597" spans="2:4" x14ac:dyDescent="0.25">
      <c r="B1597" t="s">
        <v>7928</v>
      </c>
      <c r="C1597" s="71">
        <v>4</v>
      </c>
      <c r="D1597" s="75">
        <f t="shared" si="26"/>
        <v>5.6115935522790082E-5</v>
      </c>
    </row>
    <row r="1598" spans="2:4" x14ac:dyDescent="0.25">
      <c r="B1598" t="s">
        <v>7929</v>
      </c>
      <c r="C1598" s="71">
        <v>4</v>
      </c>
      <c r="D1598" s="75">
        <f t="shared" si="26"/>
        <v>5.6115935522790082E-5</v>
      </c>
    </row>
    <row r="1599" spans="2:4" x14ac:dyDescent="0.25">
      <c r="B1599" t="s">
        <v>7930</v>
      </c>
      <c r="C1599" s="71">
        <v>4</v>
      </c>
      <c r="D1599" s="75">
        <f t="shared" si="26"/>
        <v>5.6115935522790082E-5</v>
      </c>
    </row>
    <row r="1600" spans="2:4" x14ac:dyDescent="0.25">
      <c r="B1600" t="s">
        <v>7931</v>
      </c>
      <c r="C1600" s="71">
        <v>4</v>
      </c>
      <c r="D1600" s="75">
        <f t="shared" si="26"/>
        <v>5.6115935522790082E-5</v>
      </c>
    </row>
    <row r="1601" spans="2:4" x14ac:dyDescent="0.25">
      <c r="B1601" t="s">
        <v>7932</v>
      </c>
      <c r="C1601" s="71">
        <v>4</v>
      </c>
      <c r="D1601" s="75">
        <f t="shared" si="26"/>
        <v>5.6115935522790082E-5</v>
      </c>
    </row>
    <row r="1602" spans="2:4" x14ac:dyDescent="0.25">
      <c r="B1602" t="s">
        <v>7933</v>
      </c>
      <c r="C1602" s="71">
        <v>4</v>
      </c>
      <c r="D1602" s="75">
        <f t="shared" si="26"/>
        <v>5.6115935522790082E-5</v>
      </c>
    </row>
    <row r="1603" spans="2:4" x14ac:dyDescent="0.25">
      <c r="B1603" t="s">
        <v>7934</v>
      </c>
      <c r="C1603" s="71">
        <v>4</v>
      </c>
      <c r="D1603" s="75">
        <f t="shared" si="26"/>
        <v>5.6115935522790082E-5</v>
      </c>
    </row>
    <row r="1604" spans="2:4" x14ac:dyDescent="0.25">
      <c r="B1604" t="s">
        <v>7935</v>
      </c>
      <c r="C1604" s="71">
        <v>4</v>
      </c>
      <c r="D1604" s="75">
        <f t="shared" si="26"/>
        <v>5.6115935522790082E-5</v>
      </c>
    </row>
    <row r="1605" spans="2:4" x14ac:dyDescent="0.25">
      <c r="B1605" t="s">
        <v>7936</v>
      </c>
      <c r="C1605" s="71">
        <v>4</v>
      </c>
      <c r="D1605" s="75">
        <f t="shared" si="26"/>
        <v>5.6115935522790082E-5</v>
      </c>
    </row>
    <row r="1606" spans="2:4" x14ac:dyDescent="0.25">
      <c r="B1606" t="s">
        <v>7937</v>
      </c>
      <c r="C1606" s="71">
        <v>4</v>
      </c>
      <c r="D1606" s="75">
        <f t="shared" ref="D1606:D1669" si="27">C1606/$C$4822</f>
        <v>5.6115935522790082E-5</v>
      </c>
    </row>
    <row r="1607" spans="2:4" x14ac:dyDescent="0.25">
      <c r="B1607" t="s">
        <v>7938</v>
      </c>
      <c r="C1607" s="71">
        <v>4</v>
      </c>
      <c r="D1607" s="75">
        <f t="shared" si="27"/>
        <v>5.6115935522790082E-5</v>
      </c>
    </row>
    <row r="1608" spans="2:4" x14ac:dyDescent="0.25">
      <c r="B1608" t="s">
        <v>7939</v>
      </c>
      <c r="C1608" s="71">
        <v>4</v>
      </c>
      <c r="D1608" s="75">
        <f t="shared" si="27"/>
        <v>5.6115935522790082E-5</v>
      </c>
    </row>
    <row r="1609" spans="2:4" x14ac:dyDescent="0.25">
      <c r="B1609" t="s">
        <v>7940</v>
      </c>
      <c r="C1609" s="71">
        <v>4</v>
      </c>
      <c r="D1609" s="75">
        <f t="shared" si="27"/>
        <v>5.6115935522790082E-5</v>
      </c>
    </row>
    <row r="1610" spans="2:4" x14ac:dyDescent="0.25">
      <c r="B1610" t="s">
        <v>7941</v>
      </c>
      <c r="C1610" s="71">
        <v>4</v>
      </c>
      <c r="D1610" s="75">
        <f t="shared" si="27"/>
        <v>5.6115935522790082E-5</v>
      </c>
    </row>
    <row r="1611" spans="2:4" x14ac:dyDescent="0.25">
      <c r="B1611" t="s">
        <v>7942</v>
      </c>
      <c r="C1611" s="71">
        <v>4</v>
      </c>
      <c r="D1611" s="75">
        <f t="shared" si="27"/>
        <v>5.6115935522790082E-5</v>
      </c>
    </row>
    <row r="1612" spans="2:4" x14ac:dyDescent="0.25">
      <c r="B1612" t="s">
        <v>7943</v>
      </c>
      <c r="C1612" s="71">
        <v>4</v>
      </c>
      <c r="D1612" s="75">
        <f t="shared" si="27"/>
        <v>5.6115935522790082E-5</v>
      </c>
    </row>
    <row r="1613" spans="2:4" x14ac:dyDescent="0.25">
      <c r="B1613" t="s">
        <v>7944</v>
      </c>
      <c r="C1613" s="71">
        <v>4</v>
      </c>
      <c r="D1613" s="75">
        <f t="shared" si="27"/>
        <v>5.6115935522790082E-5</v>
      </c>
    </row>
    <row r="1614" spans="2:4" x14ac:dyDescent="0.25">
      <c r="B1614" t="s">
        <v>7945</v>
      </c>
      <c r="C1614" s="71">
        <v>4</v>
      </c>
      <c r="D1614" s="75">
        <f t="shared" si="27"/>
        <v>5.6115935522790082E-5</v>
      </c>
    </row>
    <row r="1615" spans="2:4" x14ac:dyDescent="0.25">
      <c r="B1615" t="s">
        <v>7946</v>
      </c>
      <c r="C1615" s="71">
        <v>4</v>
      </c>
      <c r="D1615" s="75">
        <f t="shared" si="27"/>
        <v>5.6115935522790082E-5</v>
      </c>
    </row>
    <row r="1616" spans="2:4" x14ac:dyDescent="0.25">
      <c r="B1616" t="s">
        <v>7947</v>
      </c>
      <c r="C1616" s="71">
        <v>4</v>
      </c>
      <c r="D1616" s="75">
        <f t="shared" si="27"/>
        <v>5.6115935522790082E-5</v>
      </c>
    </row>
    <row r="1617" spans="2:4" x14ac:dyDescent="0.25">
      <c r="B1617" t="s">
        <v>7948</v>
      </c>
      <c r="C1617" s="71">
        <v>4</v>
      </c>
      <c r="D1617" s="75">
        <f t="shared" si="27"/>
        <v>5.6115935522790082E-5</v>
      </c>
    </row>
    <row r="1618" spans="2:4" x14ac:dyDescent="0.25">
      <c r="B1618" t="s">
        <v>7949</v>
      </c>
      <c r="C1618" s="71">
        <v>4</v>
      </c>
      <c r="D1618" s="75">
        <f t="shared" si="27"/>
        <v>5.6115935522790082E-5</v>
      </c>
    </row>
    <row r="1619" spans="2:4" x14ac:dyDescent="0.25">
      <c r="B1619" t="s">
        <v>7950</v>
      </c>
      <c r="C1619" s="71">
        <v>4</v>
      </c>
      <c r="D1619" s="75">
        <f t="shared" si="27"/>
        <v>5.6115935522790082E-5</v>
      </c>
    </row>
    <row r="1620" spans="2:4" x14ac:dyDescent="0.25">
      <c r="B1620" t="s">
        <v>7951</v>
      </c>
      <c r="C1620" s="71">
        <v>4</v>
      </c>
      <c r="D1620" s="75">
        <f t="shared" si="27"/>
        <v>5.6115935522790082E-5</v>
      </c>
    </row>
    <row r="1621" spans="2:4" x14ac:dyDescent="0.25">
      <c r="B1621" t="s">
        <v>7952</v>
      </c>
      <c r="C1621" s="71">
        <v>4</v>
      </c>
      <c r="D1621" s="75">
        <f t="shared" si="27"/>
        <v>5.6115935522790082E-5</v>
      </c>
    </row>
    <row r="1622" spans="2:4" x14ac:dyDescent="0.25">
      <c r="B1622" t="s">
        <v>7953</v>
      </c>
      <c r="C1622" s="71">
        <v>4</v>
      </c>
      <c r="D1622" s="75">
        <f t="shared" si="27"/>
        <v>5.6115935522790082E-5</v>
      </c>
    </row>
    <row r="1623" spans="2:4" x14ac:dyDescent="0.25">
      <c r="B1623" t="s">
        <v>7954</v>
      </c>
      <c r="C1623" s="71">
        <v>4</v>
      </c>
      <c r="D1623" s="75">
        <f t="shared" si="27"/>
        <v>5.6115935522790082E-5</v>
      </c>
    </row>
    <row r="1624" spans="2:4" x14ac:dyDescent="0.25">
      <c r="B1624" t="s">
        <v>7955</v>
      </c>
      <c r="C1624" s="71">
        <v>4</v>
      </c>
      <c r="D1624" s="75">
        <f t="shared" si="27"/>
        <v>5.6115935522790082E-5</v>
      </c>
    </row>
    <row r="1625" spans="2:4" x14ac:dyDescent="0.25">
      <c r="B1625" t="s">
        <v>7956</v>
      </c>
      <c r="C1625" s="71">
        <v>4</v>
      </c>
      <c r="D1625" s="75">
        <f t="shared" si="27"/>
        <v>5.6115935522790082E-5</v>
      </c>
    </row>
    <row r="1626" spans="2:4" x14ac:dyDescent="0.25">
      <c r="B1626" t="s">
        <v>7957</v>
      </c>
      <c r="C1626" s="71">
        <v>4</v>
      </c>
      <c r="D1626" s="75">
        <f t="shared" si="27"/>
        <v>5.6115935522790082E-5</v>
      </c>
    </row>
    <row r="1627" spans="2:4" x14ac:dyDescent="0.25">
      <c r="B1627" t="s">
        <v>7958</v>
      </c>
      <c r="C1627" s="71">
        <v>4</v>
      </c>
      <c r="D1627" s="75">
        <f t="shared" si="27"/>
        <v>5.6115935522790082E-5</v>
      </c>
    </row>
    <row r="1628" spans="2:4" x14ac:dyDescent="0.25">
      <c r="B1628" t="s">
        <v>7959</v>
      </c>
      <c r="C1628" s="71">
        <v>4</v>
      </c>
      <c r="D1628" s="75">
        <f t="shared" si="27"/>
        <v>5.6115935522790082E-5</v>
      </c>
    </row>
    <row r="1629" spans="2:4" x14ac:dyDescent="0.25">
      <c r="B1629" t="s">
        <v>7960</v>
      </c>
      <c r="C1629" s="71">
        <v>4</v>
      </c>
      <c r="D1629" s="75">
        <f t="shared" si="27"/>
        <v>5.6115935522790082E-5</v>
      </c>
    </row>
    <row r="1630" spans="2:4" x14ac:dyDescent="0.25">
      <c r="B1630" t="s">
        <v>7961</v>
      </c>
      <c r="C1630" s="71">
        <v>4</v>
      </c>
      <c r="D1630" s="75">
        <f t="shared" si="27"/>
        <v>5.6115935522790082E-5</v>
      </c>
    </row>
    <row r="1631" spans="2:4" x14ac:dyDescent="0.25">
      <c r="B1631" t="s">
        <v>7962</v>
      </c>
      <c r="C1631" s="71">
        <v>4</v>
      </c>
      <c r="D1631" s="75">
        <f t="shared" si="27"/>
        <v>5.6115935522790082E-5</v>
      </c>
    </row>
    <row r="1632" spans="2:4" x14ac:dyDescent="0.25">
      <c r="B1632" t="s">
        <v>7963</v>
      </c>
      <c r="C1632" s="71">
        <v>4</v>
      </c>
      <c r="D1632" s="75">
        <f t="shared" si="27"/>
        <v>5.6115935522790082E-5</v>
      </c>
    </row>
    <row r="1633" spans="2:4" x14ac:dyDescent="0.25">
      <c r="B1633" t="s">
        <v>7964</v>
      </c>
      <c r="C1633" s="71">
        <v>4</v>
      </c>
      <c r="D1633" s="75">
        <f t="shared" si="27"/>
        <v>5.6115935522790082E-5</v>
      </c>
    </row>
    <row r="1634" spans="2:4" x14ac:dyDescent="0.25">
      <c r="B1634" t="s">
        <v>7965</v>
      </c>
      <c r="C1634" s="71">
        <v>4</v>
      </c>
      <c r="D1634" s="75">
        <f t="shared" si="27"/>
        <v>5.6115935522790082E-5</v>
      </c>
    </row>
    <row r="1635" spans="2:4" x14ac:dyDescent="0.25">
      <c r="B1635" t="s">
        <v>7966</v>
      </c>
      <c r="C1635" s="71">
        <v>4</v>
      </c>
      <c r="D1635" s="75">
        <f t="shared" si="27"/>
        <v>5.6115935522790082E-5</v>
      </c>
    </row>
    <row r="1636" spans="2:4" x14ac:dyDescent="0.25">
      <c r="B1636" t="s">
        <v>7967</v>
      </c>
      <c r="C1636" s="71">
        <v>4</v>
      </c>
      <c r="D1636" s="75">
        <f t="shared" si="27"/>
        <v>5.6115935522790082E-5</v>
      </c>
    </row>
    <row r="1637" spans="2:4" x14ac:dyDescent="0.25">
      <c r="B1637" t="s">
        <v>7968</v>
      </c>
      <c r="C1637" s="71">
        <v>4</v>
      </c>
      <c r="D1637" s="75">
        <f t="shared" si="27"/>
        <v>5.6115935522790082E-5</v>
      </c>
    </row>
    <row r="1638" spans="2:4" x14ac:dyDescent="0.25">
      <c r="B1638" t="s">
        <v>7969</v>
      </c>
      <c r="C1638" s="71">
        <v>4</v>
      </c>
      <c r="D1638" s="75">
        <f t="shared" si="27"/>
        <v>5.6115935522790082E-5</v>
      </c>
    </row>
    <row r="1639" spans="2:4" x14ac:dyDescent="0.25">
      <c r="B1639" t="s">
        <v>7970</v>
      </c>
      <c r="C1639" s="71">
        <v>4</v>
      </c>
      <c r="D1639" s="75">
        <f t="shared" si="27"/>
        <v>5.6115935522790082E-5</v>
      </c>
    </row>
    <row r="1640" spans="2:4" x14ac:dyDescent="0.25">
      <c r="B1640" t="s">
        <v>7971</v>
      </c>
      <c r="C1640" s="71">
        <v>4</v>
      </c>
      <c r="D1640" s="75">
        <f t="shared" si="27"/>
        <v>5.6115935522790082E-5</v>
      </c>
    </row>
    <row r="1641" spans="2:4" x14ac:dyDescent="0.25">
      <c r="B1641" t="s">
        <v>7972</v>
      </c>
      <c r="C1641" s="71">
        <v>4</v>
      </c>
      <c r="D1641" s="75">
        <f t="shared" si="27"/>
        <v>5.6115935522790082E-5</v>
      </c>
    </row>
    <row r="1642" spans="2:4" x14ac:dyDescent="0.25">
      <c r="B1642" t="s">
        <v>7973</v>
      </c>
      <c r="C1642" s="71">
        <v>4</v>
      </c>
      <c r="D1642" s="75">
        <f t="shared" si="27"/>
        <v>5.6115935522790082E-5</v>
      </c>
    </row>
    <row r="1643" spans="2:4" x14ac:dyDescent="0.25">
      <c r="B1643" t="s">
        <v>7974</v>
      </c>
      <c r="C1643" s="71">
        <v>3</v>
      </c>
      <c r="D1643" s="75">
        <f t="shared" si="27"/>
        <v>4.2086951642092565E-5</v>
      </c>
    </row>
    <row r="1644" spans="2:4" x14ac:dyDescent="0.25">
      <c r="B1644" t="s">
        <v>7975</v>
      </c>
      <c r="C1644" s="71">
        <v>3</v>
      </c>
      <c r="D1644" s="75">
        <f t="shared" si="27"/>
        <v>4.2086951642092565E-5</v>
      </c>
    </row>
    <row r="1645" spans="2:4" x14ac:dyDescent="0.25">
      <c r="B1645" t="s">
        <v>7976</v>
      </c>
      <c r="C1645" s="71">
        <v>3</v>
      </c>
      <c r="D1645" s="75">
        <f t="shared" si="27"/>
        <v>4.2086951642092565E-5</v>
      </c>
    </row>
    <row r="1646" spans="2:4" x14ac:dyDescent="0.25">
      <c r="B1646" t="s">
        <v>7977</v>
      </c>
      <c r="C1646" s="71">
        <v>3</v>
      </c>
      <c r="D1646" s="75">
        <f t="shared" si="27"/>
        <v>4.2086951642092565E-5</v>
      </c>
    </row>
    <row r="1647" spans="2:4" x14ac:dyDescent="0.25">
      <c r="B1647" t="s">
        <v>7978</v>
      </c>
      <c r="C1647" s="71">
        <v>3</v>
      </c>
      <c r="D1647" s="75">
        <f t="shared" si="27"/>
        <v>4.2086951642092565E-5</v>
      </c>
    </row>
    <row r="1648" spans="2:4" x14ac:dyDescent="0.25">
      <c r="B1648" t="s">
        <v>7979</v>
      </c>
      <c r="C1648" s="71">
        <v>3</v>
      </c>
      <c r="D1648" s="75">
        <f t="shared" si="27"/>
        <v>4.2086951642092565E-5</v>
      </c>
    </row>
    <row r="1649" spans="2:4" x14ac:dyDescent="0.25">
      <c r="B1649" t="s">
        <v>7980</v>
      </c>
      <c r="C1649" s="71">
        <v>3</v>
      </c>
      <c r="D1649" s="75">
        <f t="shared" si="27"/>
        <v>4.2086951642092565E-5</v>
      </c>
    </row>
    <row r="1650" spans="2:4" x14ac:dyDescent="0.25">
      <c r="B1650" t="s">
        <v>7981</v>
      </c>
      <c r="C1650" s="71">
        <v>3</v>
      </c>
      <c r="D1650" s="75">
        <f t="shared" si="27"/>
        <v>4.2086951642092565E-5</v>
      </c>
    </row>
    <row r="1651" spans="2:4" x14ac:dyDescent="0.25">
      <c r="B1651" t="s">
        <v>7982</v>
      </c>
      <c r="C1651" s="71">
        <v>3</v>
      </c>
      <c r="D1651" s="75">
        <f t="shared" si="27"/>
        <v>4.2086951642092565E-5</v>
      </c>
    </row>
    <row r="1652" spans="2:4" x14ac:dyDescent="0.25">
      <c r="B1652" t="s">
        <v>7983</v>
      </c>
      <c r="C1652" s="71">
        <v>3</v>
      </c>
      <c r="D1652" s="75">
        <f t="shared" si="27"/>
        <v>4.2086951642092565E-5</v>
      </c>
    </row>
    <row r="1653" spans="2:4" x14ac:dyDescent="0.25">
      <c r="B1653" t="s">
        <v>7984</v>
      </c>
      <c r="C1653" s="71">
        <v>3</v>
      </c>
      <c r="D1653" s="75">
        <f t="shared" si="27"/>
        <v>4.2086951642092565E-5</v>
      </c>
    </row>
    <row r="1654" spans="2:4" x14ac:dyDescent="0.25">
      <c r="B1654" t="s">
        <v>7985</v>
      </c>
      <c r="C1654" s="71">
        <v>3</v>
      </c>
      <c r="D1654" s="75">
        <f t="shared" si="27"/>
        <v>4.2086951642092565E-5</v>
      </c>
    </row>
    <row r="1655" spans="2:4" x14ac:dyDescent="0.25">
      <c r="B1655" t="s">
        <v>7986</v>
      </c>
      <c r="C1655" s="71">
        <v>3</v>
      </c>
      <c r="D1655" s="75">
        <f t="shared" si="27"/>
        <v>4.2086951642092565E-5</v>
      </c>
    </row>
    <row r="1656" spans="2:4" x14ac:dyDescent="0.25">
      <c r="B1656" t="s">
        <v>7987</v>
      </c>
      <c r="C1656" s="71">
        <v>3</v>
      </c>
      <c r="D1656" s="75">
        <f t="shared" si="27"/>
        <v>4.2086951642092565E-5</v>
      </c>
    </row>
    <row r="1657" spans="2:4" x14ac:dyDescent="0.25">
      <c r="B1657" t="s">
        <v>7988</v>
      </c>
      <c r="C1657" s="71">
        <v>3</v>
      </c>
      <c r="D1657" s="75">
        <f t="shared" si="27"/>
        <v>4.2086951642092565E-5</v>
      </c>
    </row>
    <row r="1658" spans="2:4" x14ac:dyDescent="0.25">
      <c r="B1658" t="s">
        <v>7989</v>
      </c>
      <c r="C1658" s="71">
        <v>3</v>
      </c>
      <c r="D1658" s="75">
        <f t="shared" si="27"/>
        <v>4.2086951642092565E-5</v>
      </c>
    </row>
    <row r="1659" spans="2:4" x14ac:dyDescent="0.25">
      <c r="B1659" t="s">
        <v>7990</v>
      </c>
      <c r="C1659" s="71">
        <v>3</v>
      </c>
      <c r="D1659" s="75">
        <f t="shared" si="27"/>
        <v>4.2086951642092565E-5</v>
      </c>
    </row>
    <row r="1660" spans="2:4" x14ac:dyDescent="0.25">
      <c r="B1660" t="s">
        <v>7991</v>
      </c>
      <c r="C1660" s="71">
        <v>3</v>
      </c>
      <c r="D1660" s="75">
        <f t="shared" si="27"/>
        <v>4.2086951642092565E-5</v>
      </c>
    </row>
    <row r="1661" spans="2:4" x14ac:dyDescent="0.25">
      <c r="B1661" t="s">
        <v>7992</v>
      </c>
      <c r="C1661" s="71">
        <v>3</v>
      </c>
      <c r="D1661" s="75">
        <f t="shared" si="27"/>
        <v>4.2086951642092565E-5</v>
      </c>
    </row>
    <row r="1662" spans="2:4" x14ac:dyDescent="0.25">
      <c r="B1662" t="s">
        <v>7993</v>
      </c>
      <c r="C1662" s="71">
        <v>3</v>
      </c>
      <c r="D1662" s="75">
        <f t="shared" si="27"/>
        <v>4.2086951642092565E-5</v>
      </c>
    </row>
    <row r="1663" spans="2:4" x14ac:dyDescent="0.25">
      <c r="B1663" t="s">
        <v>7994</v>
      </c>
      <c r="C1663" s="71">
        <v>3</v>
      </c>
      <c r="D1663" s="75">
        <f t="shared" si="27"/>
        <v>4.2086951642092565E-5</v>
      </c>
    </row>
    <row r="1664" spans="2:4" x14ac:dyDescent="0.25">
      <c r="B1664" t="s">
        <v>7995</v>
      </c>
      <c r="C1664" s="71">
        <v>3</v>
      </c>
      <c r="D1664" s="75">
        <f t="shared" si="27"/>
        <v>4.2086951642092565E-5</v>
      </c>
    </row>
    <row r="1665" spans="2:4" x14ac:dyDescent="0.25">
      <c r="B1665" t="s">
        <v>7996</v>
      </c>
      <c r="C1665" s="71">
        <v>3</v>
      </c>
      <c r="D1665" s="75">
        <f t="shared" si="27"/>
        <v>4.2086951642092565E-5</v>
      </c>
    </row>
    <row r="1666" spans="2:4" x14ac:dyDescent="0.25">
      <c r="B1666" t="s">
        <v>7997</v>
      </c>
      <c r="C1666" s="71">
        <v>3</v>
      </c>
      <c r="D1666" s="75">
        <f t="shared" si="27"/>
        <v>4.2086951642092565E-5</v>
      </c>
    </row>
    <row r="1667" spans="2:4" x14ac:dyDescent="0.25">
      <c r="B1667" t="s">
        <v>7998</v>
      </c>
      <c r="C1667" s="71">
        <v>3</v>
      </c>
      <c r="D1667" s="75">
        <f t="shared" si="27"/>
        <v>4.2086951642092565E-5</v>
      </c>
    </row>
    <row r="1668" spans="2:4" x14ac:dyDescent="0.25">
      <c r="B1668" t="s">
        <v>7999</v>
      </c>
      <c r="C1668" s="71">
        <v>3</v>
      </c>
      <c r="D1668" s="75">
        <f t="shared" si="27"/>
        <v>4.2086951642092565E-5</v>
      </c>
    </row>
    <row r="1669" spans="2:4" x14ac:dyDescent="0.25">
      <c r="B1669" t="s">
        <v>8000</v>
      </c>
      <c r="C1669" s="71">
        <v>3</v>
      </c>
      <c r="D1669" s="75">
        <f t="shared" si="27"/>
        <v>4.2086951642092565E-5</v>
      </c>
    </row>
    <row r="1670" spans="2:4" x14ac:dyDescent="0.25">
      <c r="B1670" t="s">
        <v>8001</v>
      </c>
      <c r="C1670" s="71">
        <v>3</v>
      </c>
      <c r="D1670" s="75">
        <f t="shared" ref="D1670:D1733" si="28">C1670/$C$4822</f>
        <v>4.2086951642092565E-5</v>
      </c>
    </row>
    <row r="1671" spans="2:4" x14ac:dyDescent="0.25">
      <c r="B1671" t="s">
        <v>8002</v>
      </c>
      <c r="C1671" s="71">
        <v>3</v>
      </c>
      <c r="D1671" s="75">
        <f t="shared" si="28"/>
        <v>4.2086951642092565E-5</v>
      </c>
    </row>
    <row r="1672" spans="2:4" x14ac:dyDescent="0.25">
      <c r="B1672" t="s">
        <v>8003</v>
      </c>
      <c r="C1672" s="71">
        <v>3</v>
      </c>
      <c r="D1672" s="75">
        <f t="shared" si="28"/>
        <v>4.2086951642092565E-5</v>
      </c>
    </row>
    <row r="1673" spans="2:4" x14ac:dyDescent="0.25">
      <c r="B1673" t="s">
        <v>8004</v>
      </c>
      <c r="C1673" s="71">
        <v>3</v>
      </c>
      <c r="D1673" s="75">
        <f t="shared" si="28"/>
        <v>4.2086951642092565E-5</v>
      </c>
    </row>
    <row r="1674" spans="2:4" x14ac:dyDescent="0.25">
      <c r="B1674" t="s">
        <v>8005</v>
      </c>
      <c r="C1674" s="71">
        <v>3</v>
      </c>
      <c r="D1674" s="75">
        <f t="shared" si="28"/>
        <v>4.2086951642092565E-5</v>
      </c>
    </row>
    <row r="1675" spans="2:4" x14ac:dyDescent="0.25">
      <c r="B1675" t="s">
        <v>8006</v>
      </c>
      <c r="C1675" s="71">
        <v>3</v>
      </c>
      <c r="D1675" s="75">
        <f t="shared" si="28"/>
        <v>4.2086951642092565E-5</v>
      </c>
    </row>
    <row r="1676" spans="2:4" x14ac:dyDescent="0.25">
      <c r="B1676" t="s">
        <v>8007</v>
      </c>
      <c r="C1676" s="71">
        <v>3</v>
      </c>
      <c r="D1676" s="75">
        <f t="shared" si="28"/>
        <v>4.2086951642092565E-5</v>
      </c>
    </row>
    <row r="1677" spans="2:4" x14ac:dyDescent="0.25">
      <c r="B1677" t="s">
        <v>8008</v>
      </c>
      <c r="C1677" s="71">
        <v>3</v>
      </c>
      <c r="D1677" s="75">
        <f t="shared" si="28"/>
        <v>4.2086951642092565E-5</v>
      </c>
    </row>
    <row r="1678" spans="2:4" x14ac:dyDescent="0.25">
      <c r="B1678" t="s">
        <v>8009</v>
      </c>
      <c r="C1678" s="71">
        <v>3</v>
      </c>
      <c r="D1678" s="75">
        <f t="shared" si="28"/>
        <v>4.2086951642092565E-5</v>
      </c>
    </row>
    <row r="1679" spans="2:4" x14ac:dyDescent="0.25">
      <c r="B1679" t="s">
        <v>8010</v>
      </c>
      <c r="C1679" s="71">
        <v>3</v>
      </c>
      <c r="D1679" s="75">
        <f t="shared" si="28"/>
        <v>4.2086951642092565E-5</v>
      </c>
    </row>
    <row r="1680" spans="2:4" x14ac:dyDescent="0.25">
      <c r="B1680" t="s">
        <v>8011</v>
      </c>
      <c r="C1680" s="71">
        <v>3</v>
      </c>
      <c r="D1680" s="75">
        <f t="shared" si="28"/>
        <v>4.2086951642092565E-5</v>
      </c>
    </row>
    <row r="1681" spans="2:4" x14ac:dyDescent="0.25">
      <c r="B1681" t="s">
        <v>8012</v>
      </c>
      <c r="C1681" s="71">
        <v>3</v>
      </c>
      <c r="D1681" s="75">
        <f t="shared" si="28"/>
        <v>4.2086951642092565E-5</v>
      </c>
    </row>
    <row r="1682" spans="2:4" x14ac:dyDescent="0.25">
      <c r="B1682" t="s">
        <v>8013</v>
      </c>
      <c r="C1682" s="71">
        <v>3</v>
      </c>
      <c r="D1682" s="75">
        <f t="shared" si="28"/>
        <v>4.2086951642092565E-5</v>
      </c>
    </row>
    <row r="1683" spans="2:4" x14ac:dyDescent="0.25">
      <c r="B1683" t="s">
        <v>8014</v>
      </c>
      <c r="C1683" s="71">
        <v>3</v>
      </c>
      <c r="D1683" s="75">
        <f t="shared" si="28"/>
        <v>4.2086951642092565E-5</v>
      </c>
    </row>
    <row r="1684" spans="2:4" x14ac:dyDescent="0.25">
      <c r="B1684" t="s">
        <v>8015</v>
      </c>
      <c r="C1684" s="71">
        <v>3</v>
      </c>
      <c r="D1684" s="75">
        <f t="shared" si="28"/>
        <v>4.2086951642092565E-5</v>
      </c>
    </row>
    <row r="1685" spans="2:4" x14ac:dyDescent="0.25">
      <c r="B1685" t="s">
        <v>8016</v>
      </c>
      <c r="C1685" s="71">
        <v>3</v>
      </c>
      <c r="D1685" s="75">
        <f t="shared" si="28"/>
        <v>4.2086951642092565E-5</v>
      </c>
    </row>
    <row r="1686" spans="2:4" x14ac:dyDescent="0.25">
      <c r="B1686" t="s">
        <v>8017</v>
      </c>
      <c r="C1686" s="71">
        <v>3</v>
      </c>
      <c r="D1686" s="75">
        <f t="shared" si="28"/>
        <v>4.2086951642092565E-5</v>
      </c>
    </row>
    <row r="1687" spans="2:4" x14ac:dyDescent="0.25">
      <c r="B1687" t="s">
        <v>8018</v>
      </c>
      <c r="C1687" s="71">
        <v>3</v>
      </c>
      <c r="D1687" s="75">
        <f t="shared" si="28"/>
        <v>4.2086951642092565E-5</v>
      </c>
    </row>
    <row r="1688" spans="2:4" x14ac:dyDescent="0.25">
      <c r="B1688" t="s">
        <v>8019</v>
      </c>
      <c r="C1688" s="71">
        <v>3</v>
      </c>
      <c r="D1688" s="75">
        <f t="shared" si="28"/>
        <v>4.2086951642092565E-5</v>
      </c>
    </row>
    <row r="1689" spans="2:4" x14ac:dyDescent="0.25">
      <c r="B1689" t="s">
        <v>8020</v>
      </c>
      <c r="C1689" s="71">
        <v>3</v>
      </c>
      <c r="D1689" s="75">
        <f t="shared" si="28"/>
        <v>4.2086951642092565E-5</v>
      </c>
    </row>
    <row r="1690" spans="2:4" x14ac:dyDescent="0.25">
      <c r="B1690" t="s">
        <v>8021</v>
      </c>
      <c r="C1690" s="71">
        <v>3</v>
      </c>
      <c r="D1690" s="75">
        <f t="shared" si="28"/>
        <v>4.2086951642092565E-5</v>
      </c>
    </row>
    <row r="1691" spans="2:4" x14ac:dyDescent="0.25">
      <c r="B1691" t="s">
        <v>8022</v>
      </c>
      <c r="C1691" s="71">
        <v>3</v>
      </c>
      <c r="D1691" s="75">
        <f t="shared" si="28"/>
        <v>4.2086951642092565E-5</v>
      </c>
    </row>
    <row r="1692" spans="2:4" x14ac:dyDescent="0.25">
      <c r="B1692" t="s">
        <v>8023</v>
      </c>
      <c r="C1692" s="71">
        <v>3</v>
      </c>
      <c r="D1692" s="75">
        <f t="shared" si="28"/>
        <v>4.2086951642092565E-5</v>
      </c>
    </row>
    <row r="1693" spans="2:4" x14ac:dyDescent="0.25">
      <c r="B1693" t="s">
        <v>8024</v>
      </c>
      <c r="C1693" s="71">
        <v>3</v>
      </c>
      <c r="D1693" s="75">
        <f t="shared" si="28"/>
        <v>4.2086951642092565E-5</v>
      </c>
    </row>
    <row r="1694" spans="2:4" x14ac:dyDescent="0.25">
      <c r="B1694" t="s">
        <v>8025</v>
      </c>
      <c r="C1694" s="71">
        <v>3</v>
      </c>
      <c r="D1694" s="75">
        <f t="shared" si="28"/>
        <v>4.2086951642092565E-5</v>
      </c>
    </row>
    <row r="1695" spans="2:4" x14ac:dyDescent="0.25">
      <c r="B1695" t="s">
        <v>8026</v>
      </c>
      <c r="C1695" s="71">
        <v>3</v>
      </c>
      <c r="D1695" s="75">
        <f t="shared" si="28"/>
        <v>4.2086951642092565E-5</v>
      </c>
    </row>
    <row r="1696" spans="2:4" x14ac:dyDescent="0.25">
      <c r="B1696" t="s">
        <v>8027</v>
      </c>
      <c r="C1696" s="71">
        <v>3</v>
      </c>
      <c r="D1696" s="75">
        <f t="shared" si="28"/>
        <v>4.2086951642092565E-5</v>
      </c>
    </row>
    <row r="1697" spans="2:4" x14ac:dyDescent="0.25">
      <c r="B1697" t="s">
        <v>8028</v>
      </c>
      <c r="C1697" s="71">
        <v>3</v>
      </c>
      <c r="D1697" s="75">
        <f t="shared" si="28"/>
        <v>4.2086951642092565E-5</v>
      </c>
    </row>
    <row r="1698" spans="2:4" x14ac:dyDescent="0.25">
      <c r="B1698" t="s">
        <v>8029</v>
      </c>
      <c r="C1698" s="71">
        <v>3</v>
      </c>
      <c r="D1698" s="75">
        <f t="shared" si="28"/>
        <v>4.2086951642092565E-5</v>
      </c>
    </row>
    <row r="1699" spans="2:4" x14ac:dyDescent="0.25">
      <c r="B1699" t="s">
        <v>8030</v>
      </c>
      <c r="C1699" s="71">
        <v>3</v>
      </c>
      <c r="D1699" s="75">
        <f t="shared" si="28"/>
        <v>4.2086951642092565E-5</v>
      </c>
    </row>
    <row r="1700" spans="2:4" x14ac:dyDescent="0.25">
      <c r="B1700" t="s">
        <v>8031</v>
      </c>
      <c r="C1700" s="71">
        <v>3</v>
      </c>
      <c r="D1700" s="75">
        <f t="shared" si="28"/>
        <v>4.2086951642092565E-5</v>
      </c>
    </row>
    <row r="1701" spans="2:4" x14ac:dyDescent="0.25">
      <c r="B1701" t="s">
        <v>8032</v>
      </c>
      <c r="C1701" s="71">
        <v>3</v>
      </c>
      <c r="D1701" s="75">
        <f t="shared" si="28"/>
        <v>4.2086951642092565E-5</v>
      </c>
    </row>
    <row r="1702" spans="2:4" x14ac:dyDescent="0.25">
      <c r="B1702" t="s">
        <v>8033</v>
      </c>
      <c r="C1702" s="71">
        <v>3</v>
      </c>
      <c r="D1702" s="75">
        <f t="shared" si="28"/>
        <v>4.2086951642092565E-5</v>
      </c>
    </row>
    <row r="1703" spans="2:4" x14ac:dyDescent="0.25">
      <c r="B1703" t="s">
        <v>8034</v>
      </c>
      <c r="C1703" s="71">
        <v>3</v>
      </c>
      <c r="D1703" s="75">
        <f t="shared" si="28"/>
        <v>4.2086951642092565E-5</v>
      </c>
    </row>
    <row r="1704" spans="2:4" x14ac:dyDescent="0.25">
      <c r="B1704" t="s">
        <v>8035</v>
      </c>
      <c r="C1704" s="71">
        <v>3</v>
      </c>
      <c r="D1704" s="75">
        <f t="shared" si="28"/>
        <v>4.2086951642092565E-5</v>
      </c>
    </row>
    <row r="1705" spans="2:4" x14ac:dyDescent="0.25">
      <c r="B1705" t="s">
        <v>8036</v>
      </c>
      <c r="C1705" s="71">
        <v>3</v>
      </c>
      <c r="D1705" s="75">
        <f t="shared" si="28"/>
        <v>4.2086951642092565E-5</v>
      </c>
    </row>
    <row r="1706" spans="2:4" x14ac:dyDescent="0.25">
      <c r="B1706" t="s">
        <v>8037</v>
      </c>
      <c r="C1706" s="71">
        <v>3</v>
      </c>
      <c r="D1706" s="75">
        <f t="shared" si="28"/>
        <v>4.2086951642092565E-5</v>
      </c>
    </row>
    <row r="1707" spans="2:4" x14ac:dyDescent="0.25">
      <c r="B1707" t="s">
        <v>8038</v>
      </c>
      <c r="C1707" s="71">
        <v>3</v>
      </c>
      <c r="D1707" s="75">
        <f t="shared" si="28"/>
        <v>4.2086951642092565E-5</v>
      </c>
    </row>
    <row r="1708" spans="2:4" x14ac:dyDescent="0.25">
      <c r="B1708" t="s">
        <v>8039</v>
      </c>
      <c r="C1708" s="71">
        <v>3</v>
      </c>
      <c r="D1708" s="75">
        <f t="shared" si="28"/>
        <v>4.2086951642092565E-5</v>
      </c>
    </row>
    <row r="1709" spans="2:4" x14ac:dyDescent="0.25">
      <c r="B1709" t="s">
        <v>8040</v>
      </c>
      <c r="C1709" s="71">
        <v>3</v>
      </c>
      <c r="D1709" s="75">
        <f t="shared" si="28"/>
        <v>4.2086951642092565E-5</v>
      </c>
    </row>
    <row r="1710" spans="2:4" x14ac:dyDescent="0.25">
      <c r="B1710" t="s">
        <v>8041</v>
      </c>
      <c r="C1710" s="71">
        <v>3</v>
      </c>
      <c r="D1710" s="75">
        <f t="shared" si="28"/>
        <v>4.2086951642092565E-5</v>
      </c>
    </row>
    <row r="1711" spans="2:4" x14ac:dyDescent="0.25">
      <c r="B1711" t="s">
        <v>8042</v>
      </c>
      <c r="C1711" s="71">
        <v>3</v>
      </c>
      <c r="D1711" s="75">
        <f t="shared" si="28"/>
        <v>4.2086951642092565E-5</v>
      </c>
    </row>
    <row r="1712" spans="2:4" x14ac:dyDescent="0.25">
      <c r="B1712" t="s">
        <v>8043</v>
      </c>
      <c r="C1712" s="71">
        <v>3</v>
      </c>
      <c r="D1712" s="75">
        <f t="shared" si="28"/>
        <v>4.2086951642092565E-5</v>
      </c>
    </row>
    <row r="1713" spans="2:4" x14ac:dyDescent="0.25">
      <c r="B1713" t="s">
        <v>8044</v>
      </c>
      <c r="C1713" s="71">
        <v>3</v>
      </c>
      <c r="D1713" s="75">
        <f t="shared" si="28"/>
        <v>4.2086951642092565E-5</v>
      </c>
    </row>
    <row r="1714" spans="2:4" x14ac:dyDescent="0.25">
      <c r="B1714" t="s">
        <v>8045</v>
      </c>
      <c r="C1714" s="71">
        <v>3</v>
      </c>
      <c r="D1714" s="75">
        <f t="shared" si="28"/>
        <v>4.2086951642092565E-5</v>
      </c>
    </row>
    <row r="1715" spans="2:4" x14ac:dyDescent="0.25">
      <c r="B1715" t="s">
        <v>8046</v>
      </c>
      <c r="C1715" s="71">
        <v>3</v>
      </c>
      <c r="D1715" s="75">
        <f t="shared" si="28"/>
        <v>4.2086951642092565E-5</v>
      </c>
    </row>
    <row r="1716" spans="2:4" x14ac:dyDescent="0.25">
      <c r="B1716" t="s">
        <v>8047</v>
      </c>
      <c r="C1716" s="71">
        <v>3</v>
      </c>
      <c r="D1716" s="75">
        <f t="shared" si="28"/>
        <v>4.2086951642092565E-5</v>
      </c>
    </row>
    <row r="1717" spans="2:4" x14ac:dyDescent="0.25">
      <c r="B1717" t="s">
        <v>8048</v>
      </c>
      <c r="C1717" s="71">
        <v>3</v>
      </c>
      <c r="D1717" s="75">
        <f t="shared" si="28"/>
        <v>4.2086951642092565E-5</v>
      </c>
    </row>
    <row r="1718" spans="2:4" x14ac:dyDescent="0.25">
      <c r="B1718" t="s">
        <v>8049</v>
      </c>
      <c r="C1718" s="71">
        <v>3</v>
      </c>
      <c r="D1718" s="75">
        <f t="shared" si="28"/>
        <v>4.2086951642092565E-5</v>
      </c>
    </row>
    <row r="1719" spans="2:4" x14ac:dyDescent="0.25">
      <c r="B1719" t="s">
        <v>8050</v>
      </c>
      <c r="C1719" s="71">
        <v>3</v>
      </c>
      <c r="D1719" s="75">
        <f t="shared" si="28"/>
        <v>4.2086951642092565E-5</v>
      </c>
    </row>
    <row r="1720" spans="2:4" x14ac:dyDescent="0.25">
      <c r="B1720" t="s">
        <v>8051</v>
      </c>
      <c r="C1720" s="71">
        <v>3</v>
      </c>
      <c r="D1720" s="75">
        <f t="shared" si="28"/>
        <v>4.2086951642092565E-5</v>
      </c>
    </row>
    <row r="1721" spans="2:4" x14ac:dyDescent="0.25">
      <c r="B1721" t="s">
        <v>8052</v>
      </c>
      <c r="C1721" s="71">
        <v>3</v>
      </c>
      <c r="D1721" s="75">
        <f t="shared" si="28"/>
        <v>4.2086951642092565E-5</v>
      </c>
    </row>
    <row r="1722" spans="2:4" x14ac:dyDescent="0.25">
      <c r="B1722" t="s">
        <v>8053</v>
      </c>
      <c r="C1722" s="71">
        <v>3</v>
      </c>
      <c r="D1722" s="75">
        <f t="shared" si="28"/>
        <v>4.2086951642092565E-5</v>
      </c>
    </row>
    <row r="1723" spans="2:4" x14ac:dyDescent="0.25">
      <c r="B1723" t="s">
        <v>8054</v>
      </c>
      <c r="C1723" s="71">
        <v>3</v>
      </c>
      <c r="D1723" s="75">
        <f t="shared" si="28"/>
        <v>4.2086951642092565E-5</v>
      </c>
    </row>
    <row r="1724" spans="2:4" x14ac:dyDescent="0.25">
      <c r="B1724" t="s">
        <v>8055</v>
      </c>
      <c r="C1724" s="71">
        <v>3</v>
      </c>
      <c r="D1724" s="75">
        <f t="shared" si="28"/>
        <v>4.2086951642092565E-5</v>
      </c>
    </row>
    <row r="1725" spans="2:4" x14ac:dyDescent="0.25">
      <c r="B1725" t="s">
        <v>8056</v>
      </c>
      <c r="C1725" s="71">
        <v>3</v>
      </c>
      <c r="D1725" s="75">
        <f t="shared" si="28"/>
        <v>4.2086951642092565E-5</v>
      </c>
    </row>
    <row r="1726" spans="2:4" x14ac:dyDescent="0.25">
      <c r="B1726" t="s">
        <v>8057</v>
      </c>
      <c r="C1726" s="71">
        <v>3</v>
      </c>
      <c r="D1726" s="75">
        <f t="shared" si="28"/>
        <v>4.2086951642092565E-5</v>
      </c>
    </row>
    <row r="1727" spans="2:4" x14ac:dyDescent="0.25">
      <c r="B1727" t="s">
        <v>8058</v>
      </c>
      <c r="C1727" s="71">
        <v>3</v>
      </c>
      <c r="D1727" s="75">
        <f t="shared" si="28"/>
        <v>4.2086951642092565E-5</v>
      </c>
    </row>
    <row r="1728" spans="2:4" x14ac:dyDescent="0.25">
      <c r="B1728" t="s">
        <v>8059</v>
      </c>
      <c r="C1728" s="71">
        <v>3</v>
      </c>
      <c r="D1728" s="75">
        <f t="shared" si="28"/>
        <v>4.2086951642092565E-5</v>
      </c>
    </row>
    <row r="1729" spans="2:4" x14ac:dyDescent="0.25">
      <c r="B1729" t="s">
        <v>8060</v>
      </c>
      <c r="C1729" s="71">
        <v>3</v>
      </c>
      <c r="D1729" s="75">
        <f t="shared" si="28"/>
        <v>4.2086951642092565E-5</v>
      </c>
    </row>
    <row r="1730" spans="2:4" x14ac:dyDescent="0.25">
      <c r="B1730" t="s">
        <v>8061</v>
      </c>
      <c r="C1730" s="71">
        <v>3</v>
      </c>
      <c r="D1730" s="75">
        <f t="shared" si="28"/>
        <v>4.2086951642092565E-5</v>
      </c>
    </row>
    <row r="1731" spans="2:4" x14ac:dyDescent="0.25">
      <c r="B1731" t="s">
        <v>8062</v>
      </c>
      <c r="C1731" s="71">
        <v>3</v>
      </c>
      <c r="D1731" s="75">
        <f t="shared" si="28"/>
        <v>4.2086951642092565E-5</v>
      </c>
    </row>
    <row r="1732" spans="2:4" x14ac:dyDescent="0.25">
      <c r="B1732" t="s">
        <v>8063</v>
      </c>
      <c r="C1732" s="71">
        <v>3</v>
      </c>
      <c r="D1732" s="75">
        <f t="shared" si="28"/>
        <v>4.2086951642092565E-5</v>
      </c>
    </row>
    <row r="1733" spans="2:4" x14ac:dyDescent="0.25">
      <c r="B1733" t="s">
        <v>8064</v>
      </c>
      <c r="C1733" s="71">
        <v>3</v>
      </c>
      <c r="D1733" s="75">
        <f t="shared" si="28"/>
        <v>4.2086951642092565E-5</v>
      </c>
    </row>
    <row r="1734" spans="2:4" x14ac:dyDescent="0.25">
      <c r="B1734" t="s">
        <v>8065</v>
      </c>
      <c r="C1734" s="71">
        <v>3</v>
      </c>
      <c r="D1734" s="75">
        <f t="shared" ref="D1734:D1797" si="29">C1734/$C$4822</f>
        <v>4.2086951642092565E-5</v>
      </c>
    </row>
    <row r="1735" spans="2:4" x14ac:dyDescent="0.25">
      <c r="B1735" t="s">
        <v>8066</v>
      </c>
      <c r="C1735" s="71">
        <v>3</v>
      </c>
      <c r="D1735" s="75">
        <f t="shared" si="29"/>
        <v>4.2086951642092565E-5</v>
      </c>
    </row>
    <row r="1736" spans="2:4" x14ac:dyDescent="0.25">
      <c r="B1736" t="s">
        <v>8067</v>
      </c>
      <c r="C1736" s="71">
        <v>3</v>
      </c>
      <c r="D1736" s="75">
        <f t="shared" si="29"/>
        <v>4.2086951642092565E-5</v>
      </c>
    </row>
    <row r="1737" spans="2:4" x14ac:dyDescent="0.25">
      <c r="B1737" t="s">
        <v>8068</v>
      </c>
      <c r="C1737" s="71">
        <v>3</v>
      </c>
      <c r="D1737" s="75">
        <f t="shared" si="29"/>
        <v>4.2086951642092565E-5</v>
      </c>
    </row>
    <row r="1738" spans="2:4" x14ac:dyDescent="0.25">
      <c r="B1738" t="s">
        <v>8069</v>
      </c>
      <c r="C1738" s="71">
        <v>3</v>
      </c>
      <c r="D1738" s="75">
        <f t="shared" si="29"/>
        <v>4.2086951642092565E-5</v>
      </c>
    </row>
    <row r="1739" spans="2:4" x14ac:dyDescent="0.25">
      <c r="B1739" t="s">
        <v>8070</v>
      </c>
      <c r="C1739" s="71">
        <v>3</v>
      </c>
      <c r="D1739" s="75">
        <f t="shared" si="29"/>
        <v>4.2086951642092565E-5</v>
      </c>
    </row>
    <row r="1740" spans="2:4" x14ac:dyDescent="0.25">
      <c r="B1740" t="s">
        <v>8071</v>
      </c>
      <c r="C1740" s="71">
        <v>3</v>
      </c>
      <c r="D1740" s="75">
        <f t="shared" si="29"/>
        <v>4.2086951642092565E-5</v>
      </c>
    </row>
    <row r="1741" spans="2:4" x14ac:dyDescent="0.25">
      <c r="B1741" t="s">
        <v>8072</v>
      </c>
      <c r="C1741" s="71">
        <v>3</v>
      </c>
      <c r="D1741" s="75">
        <f t="shared" si="29"/>
        <v>4.2086951642092565E-5</v>
      </c>
    </row>
    <row r="1742" spans="2:4" x14ac:dyDescent="0.25">
      <c r="B1742" t="s">
        <v>8073</v>
      </c>
      <c r="C1742" s="71">
        <v>3</v>
      </c>
      <c r="D1742" s="75">
        <f t="shared" si="29"/>
        <v>4.2086951642092565E-5</v>
      </c>
    </row>
    <row r="1743" spans="2:4" x14ac:dyDescent="0.25">
      <c r="B1743" t="s">
        <v>8074</v>
      </c>
      <c r="C1743" s="71">
        <v>3</v>
      </c>
      <c r="D1743" s="75">
        <f t="shared" si="29"/>
        <v>4.2086951642092565E-5</v>
      </c>
    </row>
    <row r="1744" spans="2:4" x14ac:dyDescent="0.25">
      <c r="B1744" t="s">
        <v>8075</v>
      </c>
      <c r="C1744" s="71">
        <v>3</v>
      </c>
      <c r="D1744" s="75">
        <f t="shared" si="29"/>
        <v>4.2086951642092565E-5</v>
      </c>
    </row>
    <row r="1745" spans="2:4" x14ac:dyDescent="0.25">
      <c r="B1745" t="s">
        <v>8076</v>
      </c>
      <c r="C1745" s="71">
        <v>3</v>
      </c>
      <c r="D1745" s="75">
        <f t="shared" si="29"/>
        <v>4.2086951642092565E-5</v>
      </c>
    </row>
    <row r="1746" spans="2:4" x14ac:dyDescent="0.25">
      <c r="B1746" t="s">
        <v>8077</v>
      </c>
      <c r="C1746" s="71">
        <v>3</v>
      </c>
      <c r="D1746" s="75">
        <f t="shared" si="29"/>
        <v>4.2086951642092565E-5</v>
      </c>
    </row>
    <row r="1747" spans="2:4" x14ac:dyDescent="0.25">
      <c r="B1747" t="s">
        <v>8078</v>
      </c>
      <c r="C1747" s="71">
        <v>3</v>
      </c>
      <c r="D1747" s="75">
        <f t="shared" si="29"/>
        <v>4.2086951642092565E-5</v>
      </c>
    </row>
    <row r="1748" spans="2:4" x14ac:dyDescent="0.25">
      <c r="B1748" t="s">
        <v>8079</v>
      </c>
      <c r="C1748" s="71">
        <v>3</v>
      </c>
      <c r="D1748" s="75">
        <f t="shared" si="29"/>
        <v>4.2086951642092565E-5</v>
      </c>
    </row>
    <row r="1749" spans="2:4" x14ac:dyDescent="0.25">
      <c r="B1749" t="s">
        <v>8080</v>
      </c>
      <c r="C1749" s="71">
        <v>3</v>
      </c>
      <c r="D1749" s="75">
        <f t="shared" si="29"/>
        <v>4.2086951642092565E-5</v>
      </c>
    </row>
    <row r="1750" spans="2:4" x14ac:dyDescent="0.25">
      <c r="B1750" t="s">
        <v>8081</v>
      </c>
      <c r="C1750" s="71">
        <v>3</v>
      </c>
      <c r="D1750" s="75">
        <f t="shared" si="29"/>
        <v>4.2086951642092565E-5</v>
      </c>
    </row>
    <row r="1751" spans="2:4" x14ac:dyDescent="0.25">
      <c r="B1751" t="s">
        <v>8082</v>
      </c>
      <c r="C1751" s="71">
        <v>3</v>
      </c>
      <c r="D1751" s="75">
        <f t="shared" si="29"/>
        <v>4.2086951642092565E-5</v>
      </c>
    </row>
    <row r="1752" spans="2:4" x14ac:dyDescent="0.25">
      <c r="B1752" t="s">
        <v>8083</v>
      </c>
      <c r="C1752" s="71">
        <v>3</v>
      </c>
      <c r="D1752" s="75">
        <f t="shared" si="29"/>
        <v>4.2086951642092565E-5</v>
      </c>
    </row>
    <row r="1753" spans="2:4" x14ac:dyDescent="0.25">
      <c r="B1753" t="s">
        <v>8084</v>
      </c>
      <c r="C1753" s="71">
        <v>3</v>
      </c>
      <c r="D1753" s="75">
        <f t="shared" si="29"/>
        <v>4.2086951642092565E-5</v>
      </c>
    </row>
    <row r="1754" spans="2:4" x14ac:dyDescent="0.25">
      <c r="B1754" t="s">
        <v>8085</v>
      </c>
      <c r="C1754" s="71">
        <v>3</v>
      </c>
      <c r="D1754" s="75">
        <f t="shared" si="29"/>
        <v>4.2086951642092565E-5</v>
      </c>
    </row>
    <row r="1755" spans="2:4" x14ac:dyDescent="0.25">
      <c r="B1755" t="s">
        <v>8086</v>
      </c>
      <c r="C1755" s="71">
        <v>3</v>
      </c>
      <c r="D1755" s="75">
        <f t="shared" si="29"/>
        <v>4.2086951642092565E-5</v>
      </c>
    </row>
    <row r="1756" spans="2:4" x14ac:dyDescent="0.25">
      <c r="B1756" t="s">
        <v>8087</v>
      </c>
      <c r="C1756" s="71">
        <v>3</v>
      </c>
      <c r="D1756" s="75">
        <f t="shared" si="29"/>
        <v>4.2086951642092565E-5</v>
      </c>
    </row>
    <row r="1757" spans="2:4" x14ac:dyDescent="0.25">
      <c r="B1757" t="s">
        <v>8088</v>
      </c>
      <c r="C1757" s="71">
        <v>3</v>
      </c>
      <c r="D1757" s="75">
        <f t="shared" si="29"/>
        <v>4.2086951642092565E-5</v>
      </c>
    </row>
    <row r="1758" spans="2:4" x14ac:dyDescent="0.25">
      <c r="B1758" t="s">
        <v>8089</v>
      </c>
      <c r="C1758" s="71">
        <v>3</v>
      </c>
      <c r="D1758" s="75">
        <f t="shared" si="29"/>
        <v>4.2086951642092565E-5</v>
      </c>
    </row>
    <row r="1759" spans="2:4" x14ac:dyDescent="0.25">
      <c r="B1759" t="s">
        <v>8090</v>
      </c>
      <c r="C1759" s="71">
        <v>3</v>
      </c>
      <c r="D1759" s="75">
        <f t="shared" si="29"/>
        <v>4.2086951642092565E-5</v>
      </c>
    </row>
    <row r="1760" spans="2:4" x14ac:dyDescent="0.25">
      <c r="B1760" t="s">
        <v>8091</v>
      </c>
      <c r="C1760" s="71">
        <v>3</v>
      </c>
      <c r="D1760" s="75">
        <f t="shared" si="29"/>
        <v>4.2086951642092565E-5</v>
      </c>
    </row>
    <row r="1761" spans="2:4" x14ac:dyDescent="0.25">
      <c r="B1761" t="s">
        <v>8092</v>
      </c>
      <c r="C1761" s="71">
        <v>3</v>
      </c>
      <c r="D1761" s="75">
        <f t="shared" si="29"/>
        <v>4.2086951642092565E-5</v>
      </c>
    </row>
    <row r="1762" spans="2:4" x14ac:dyDescent="0.25">
      <c r="B1762" t="s">
        <v>8093</v>
      </c>
      <c r="C1762" s="71">
        <v>3</v>
      </c>
      <c r="D1762" s="75">
        <f t="shared" si="29"/>
        <v>4.2086951642092565E-5</v>
      </c>
    </row>
    <row r="1763" spans="2:4" x14ac:dyDescent="0.25">
      <c r="B1763" t="s">
        <v>8094</v>
      </c>
      <c r="C1763" s="71">
        <v>3</v>
      </c>
      <c r="D1763" s="75">
        <f t="shared" si="29"/>
        <v>4.2086951642092565E-5</v>
      </c>
    </row>
    <row r="1764" spans="2:4" x14ac:dyDescent="0.25">
      <c r="B1764" t="s">
        <v>8095</v>
      </c>
      <c r="C1764" s="71">
        <v>3</v>
      </c>
      <c r="D1764" s="75">
        <f t="shared" si="29"/>
        <v>4.2086951642092565E-5</v>
      </c>
    </row>
    <row r="1765" spans="2:4" x14ac:dyDescent="0.25">
      <c r="B1765" t="s">
        <v>8096</v>
      </c>
      <c r="C1765" s="71">
        <v>3</v>
      </c>
      <c r="D1765" s="75">
        <f t="shared" si="29"/>
        <v>4.2086951642092565E-5</v>
      </c>
    </row>
    <row r="1766" spans="2:4" x14ac:dyDescent="0.25">
      <c r="B1766" t="s">
        <v>8097</v>
      </c>
      <c r="C1766" s="71">
        <v>3</v>
      </c>
      <c r="D1766" s="75">
        <f t="shared" si="29"/>
        <v>4.2086951642092565E-5</v>
      </c>
    </row>
    <row r="1767" spans="2:4" x14ac:dyDescent="0.25">
      <c r="B1767" t="s">
        <v>8098</v>
      </c>
      <c r="C1767" s="71">
        <v>3</v>
      </c>
      <c r="D1767" s="75">
        <f t="shared" si="29"/>
        <v>4.2086951642092565E-5</v>
      </c>
    </row>
    <row r="1768" spans="2:4" x14ac:dyDescent="0.25">
      <c r="B1768" t="s">
        <v>8099</v>
      </c>
      <c r="C1768" s="71">
        <v>3</v>
      </c>
      <c r="D1768" s="75">
        <f t="shared" si="29"/>
        <v>4.2086951642092565E-5</v>
      </c>
    </row>
    <row r="1769" spans="2:4" x14ac:dyDescent="0.25">
      <c r="B1769" t="s">
        <v>8100</v>
      </c>
      <c r="C1769" s="71">
        <v>3</v>
      </c>
      <c r="D1769" s="75">
        <f t="shared" si="29"/>
        <v>4.2086951642092565E-5</v>
      </c>
    </row>
    <row r="1770" spans="2:4" x14ac:dyDescent="0.25">
      <c r="B1770" t="s">
        <v>8101</v>
      </c>
      <c r="C1770" s="71">
        <v>3</v>
      </c>
      <c r="D1770" s="75">
        <f t="shared" si="29"/>
        <v>4.2086951642092565E-5</v>
      </c>
    </row>
    <row r="1771" spans="2:4" x14ac:dyDescent="0.25">
      <c r="B1771" t="s">
        <v>8102</v>
      </c>
      <c r="C1771" s="71">
        <v>3</v>
      </c>
      <c r="D1771" s="75">
        <f t="shared" si="29"/>
        <v>4.2086951642092565E-5</v>
      </c>
    </row>
    <row r="1772" spans="2:4" x14ac:dyDescent="0.25">
      <c r="B1772" t="s">
        <v>8103</v>
      </c>
      <c r="C1772" s="71">
        <v>3</v>
      </c>
      <c r="D1772" s="75">
        <f t="shared" si="29"/>
        <v>4.2086951642092565E-5</v>
      </c>
    </row>
    <row r="1773" spans="2:4" x14ac:dyDescent="0.25">
      <c r="B1773" t="s">
        <v>8104</v>
      </c>
      <c r="C1773" s="71">
        <v>3</v>
      </c>
      <c r="D1773" s="75">
        <f t="shared" si="29"/>
        <v>4.2086951642092565E-5</v>
      </c>
    </row>
    <row r="1774" spans="2:4" x14ac:dyDescent="0.25">
      <c r="B1774" t="s">
        <v>8105</v>
      </c>
      <c r="C1774" s="71">
        <v>3</v>
      </c>
      <c r="D1774" s="75">
        <f t="shared" si="29"/>
        <v>4.2086951642092565E-5</v>
      </c>
    </row>
    <row r="1775" spans="2:4" x14ac:dyDescent="0.25">
      <c r="B1775" t="s">
        <v>8106</v>
      </c>
      <c r="C1775" s="71">
        <v>3</v>
      </c>
      <c r="D1775" s="75">
        <f t="shared" si="29"/>
        <v>4.2086951642092565E-5</v>
      </c>
    </row>
    <row r="1776" spans="2:4" x14ac:dyDescent="0.25">
      <c r="B1776" t="s">
        <v>8107</v>
      </c>
      <c r="C1776" s="71">
        <v>3</v>
      </c>
      <c r="D1776" s="75">
        <f t="shared" si="29"/>
        <v>4.2086951642092565E-5</v>
      </c>
    </row>
    <row r="1777" spans="2:4" x14ac:dyDescent="0.25">
      <c r="B1777" t="s">
        <v>8108</v>
      </c>
      <c r="C1777" s="71">
        <v>3</v>
      </c>
      <c r="D1777" s="75">
        <f t="shared" si="29"/>
        <v>4.2086951642092565E-5</v>
      </c>
    </row>
    <row r="1778" spans="2:4" x14ac:dyDescent="0.25">
      <c r="B1778" t="s">
        <v>8109</v>
      </c>
      <c r="C1778" s="71">
        <v>3</v>
      </c>
      <c r="D1778" s="75">
        <f t="shared" si="29"/>
        <v>4.2086951642092565E-5</v>
      </c>
    </row>
    <row r="1779" spans="2:4" x14ac:dyDescent="0.25">
      <c r="B1779" t="s">
        <v>8110</v>
      </c>
      <c r="C1779" s="71">
        <v>3</v>
      </c>
      <c r="D1779" s="75">
        <f t="shared" si="29"/>
        <v>4.2086951642092565E-5</v>
      </c>
    </row>
    <row r="1780" spans="2:4" x14ac:dyDescent="0.25">
      <c r="B1780" t="s">
        <v>8111</v>
      </c>
      <c r="C1780" s="71">
        <v>3</v>
      </c>
      <c r="D1780" s="75">
        <f t="shared" si="29"/>
        <v>4.2086951642092565E-5</v>
      </c>
    </row>
    <row r="1781" spans="2:4" x14ac:dyDescent="0.25">
      <c r="B1781" t="s">
        <v>8112</v>
      </c>
      <c r="C1781" s="71">
        <v>3</v>
      </c>
      <c r="D1781" s="75">
        <f t="shared" si="29"/>
        <v>4.2086951642092565E-5</v>
      </c>
    </row>
    <row r="1782" spans="2:4" x14ac:dyDescent="0.25">
      <c r="B1782" t="s">
        <v>8113</v>
      </c>
      <c r="C1782" s="71">
        <v>3</v>
      </c>
      <c r="D1782" s="75">
        <f t="shared" si="29"/>
        <v>4.2086951642092565E-5</v>
      </c>
    </row>
    <row r="1783" spans="2:4" x14ac:dyDescent="0.25">
      <c r="B1783" t="s">
        <v>8114</v>
      </c>
      <c r="C1783" s="71">
        <v>3</v>
      </c>
      <c r="D1783" s="75">
        <f t="shared" si="29"/>
        <v>4.2086951642092565E-5</v>
      </c>
    </row>
    <row r="1784" spans="2:4" x14ac:dyDescent="0.25">
      <c r="B1784" t="s">
        <v>8115</v>
      </c>
      <c r="C1784" s="71">
        <v>3</v>
      </c>
      <c r="D1784" s="75">
        <f t="shared" si="29"/>
        <v>4.2086951642092565E-5</v>
      </c>
    </row>
    <row r="1785" spans="2:4" x14ac:dyDescent="0.25">
      <c r="B1785" t="s">
        <v>8116</v>
      </c>
      <c r="C1785" s="71">
        <v>3</v>
      </c>
      <c r="D1785" s="75">
        <f t="shared" si="29"/>
        <v>4.2086951642092565E-5</v>
      </c>
    </row>
    <row r="1786" spans="2:4" x14ac:dyDescent="0.25">
      <c r="B1786" t="s">
        <v>8117</v>
      </c>
      <c r="C1786" s="71">
        <v>3</v>
      </c>
      <c r="D1786" s="75">
        <f t="shared" si="29"/>
        <v>4.2086951642092565E-5</v>
      </c>
    </row>
    <row r="1787" spans="2:4" x14ac:dyDescent="0.25">
      <c r="B1787" t="s">
        <v>8118</v>
      </c>
      <c r="C1787" s="71">
        <v>3</v>
      </c>
      <c r="D1787" s="75">
        <f t="shared" si="29"/>
        <v>4.2086951642092565E-5</v>
      </c>
    </row>
    <row r="1788" spans="2:4" x14ac:dyDescent="0.25">
      <c r="B1788" t="s">
        <v>8119</v>
      </c>
      <c r="C1788" s="71">
        <v>3</v>
      </c>
      <c r="D1788" s="75">
        <f t="shared" si="29"/>
        <v>4.2086951642092565E-5</v>
      </c>
    </row>
    <row r="1789" spans="2:4" x14ac:dyDescent="0.25">
      <c r="B1789" t="s">
        <v>8120</v>
      </c>
      <c r="C1789" s="71">
        <v>3</v>
      </c>
      <c r="D1789" s="75">
        <f t="shared" si="29"/>
        <v>4.2086951642092565E-5</v>
      </c>
    </row>
    <row r="1790" spans="2:4" x14ac:dyDescent="0.25">
      <c r="B1790" t="s">
        <v>8121</v>
      </c>
      <c r="C1790" s="71">
        <v>3</v>
      </c>
      <c r="D1790" s="75">
        <f t="shared" si="29"/>
        <v>4.2086951642092565E-5</v>
      </c>
    </row>
    <row r="1791" spans="2:4" x14ac:dyDescent="0.25">
      <c r="B1791" t="s">
        <v>8122</v>
      </c>
      <c r="C1791" s="71">
        <v>3</v>
      </c>
      <c r="D1791" s="75">
        <f t="shared" si="29"/>
        <v>4.2086951642092565E-5</v>
      </c>
    </row>
    <row r="1792" spans="2:4" x14ac:dyDescent="0.25">
      <c r="B1792" t="s">
        <v>8123</v>
      </c>
      <c r="C1792" s="71">
        <v>3</v>
      </c>
      <c r="D1792" s="75">
        <f t="shared" si="29"/>
        <v>4.2086951642092565E-5</v>
      </c>
    </row>
    <row r="1793" spans="2:4" x14ac:dyDescent="0.25">
      <c r="B1793" t="s">
        <v>8124</v>
      </c>
      <c r="C1793" s="71">
        <v>3</v>
      </c>
      <c r="D1793" s="75">
        <f t="shared" si="29"/>
        <v>4.2086951642092565E-5</v>
      </c>
    </row>
    <row r="1794" spans="2:4" x14ac:dyDescent="0.25">
      <c r="B1794" t="s">
        <v>8125</v>
      </c>
      <c r="C1794" s="71">
        <v>3</v>
      </c>
      <c r="D1794" s="75">
        <f t="shared" si="29"/>
        <v>4.2086951642092565E-5</v>
      </c>
    </row>
    <row r="1795" spans="2:4" x14ac:dyDescent="0.25">
      <c r="B1795" t="s">
        <v>8126</v>
      </c>
      <c r="C1795" s="71">
        <v>3</v>
      </c>
      <c r="D1795" s="75">
        <f t="shared" si="29"/>
        <v>4.2086951642092565E-5</v>
      </c>
    </row>
    <row r="1796" spans="2:4" x14ac:dyDescent="0.25">
      <c r="B1796" t="s">
        <v>8127</v>
      </c>
      <c r="C1796" s="71">
        <v>3</v>
      </c>
      <c r="D1796" s="75">
        <f t="shared" si="29"/>
        <v>4.2086951642092565E-5</v>
      </c>
    </row>
    <row r="1797" spans="2:4" x14ac:dyDescent="0.25">
      <c r="B1797" t="s">
        <v>8128</v>
      </c>
      <c r="C1797" s="71">
        <v>3</v>
      </c>
      <c r="D1797" s="75">
        <f t="shared" si="29"/>
        <v>4.2086951642092565E-5</v>
      </c>
    </row>
    <row r="1798" spans="2:4" x14ac:dyDescent="0.25">
      <c r="B1798" t="s">
        <v>8129</v>
      </c>
      <c r="C1798" s="71">
        <v>3</v>
      </c>
      <c r="D1798" s="75">
        <f t="shared" ref="D1798:D1861" si="30">C1798/$C$4822</f>
        <v>4.2086951642092565E-5</v>
      </c>
    </row>
    <row r="1799" spans="2:4" x14ac:dyDescent="0.25">
      <c r="B1799" t="s">
        <v>8130</v>
      </c>
      <c r="C1799" s="71">
        <v>3</v>
      </c>
      <c r="D1799" s="75">
        <f t="shared" si="30"/>
        <v>4.2086951642092565E-5</v>
      </c>
    </row>
    <row r="1800" spans="2:4" x14ac:dyDescent="0.25">
      <c r="B1800" t="s">
        <v>8131</v>
      </c>
      <c r="C1800" s="71">
        <v>3</v>
      </c>
      <c r="D1800" s="75">
        <f t="shared" si="30"/>
        <v>4.2086951642092565E-5</v>
      </c>
    </row>
    <row r="1801" spans="2:4" x14ac:dyDescent="0.25">
      <c r="B1801" t="s">
        <v>8132</v>
      </c>
      <c r="C1801" s="71">
        <v>3</v>
      </c>
      <c r="D1801" s="75">
        <f t="shared" si="30"/>
        <v>4.2086951642092565E-5</v>
      </c>
    </row>
    <row r="1802" spans="2:4" x14ac:dyDescent="0.25">
      <c r="B1802" t="s">
        <v>8133</v>
      </c>
      <c r="C1802" s="71">
        <v>3</v>
      </c>
      <c r="D1802" s="75">
        <f t="shared" si="30"/>
        <v>4.2086951642092565E-5</v>
      </c>
    </row>
    <row r="1803" spans="2:4" x14ac:dyDescent="0.25">
      <c r="B1803" t="s">
        <v>8134</v>
      </c>
      <c r="C1803" s="71">
        <v>3</v>
      </c>
      <c r="D1803" s="75">
        <f t="shared" si="30"/>
        <v>4.2086951642092565E-5</v>
      </c>
    </row>
    <row r="1804" spans="2:4" x14ac:dyDescent="0.25">
      <c r="B1804" t="s">
        <v>8135</v>
      </c>
      <c r="C1804" s="71">
        <v>3</v>
      </c>
      <c r="D1804" s="75">
        <f t="shared" si="30"/>
        <v>4.2086951642092565E-5</v>
      </c>
    </row>
    <row r="1805" spans="2:4" x14ac:dyDescent="0.25">
      <c r="B1805" t="s">
        <v>8136</v>
      </c>
      <c r="C1805" s="71">
        <v>3</v>
      </c>
      <c r="D1805" s="75">
        <f t="shared" si="30"/>
        <v>4.2086951642092565E-5</v>
      </c>
    </row>
    <row r="1806" spans="2:4" x14ac:dyDescent="0.25">
      <c r="B1806" t="s">
        <v>8137</v>
      </c>
      <c r="C1806" s="71">
        <v>3</v>
      </c>
      <c r="D1806" s="75">
        <f t="shared" si="30"/>
        <v>4.2086951642092565E-5</v>
      </c>
    </row>
    <row r="1807" spans="2:4" x14ac:dyDescent="0.25">
      <c r="B1807" t="s">
        <v>8138</v>
      </c>
      <c r="C1807" s="71">
        <v>3</v>
      </c>
      <c r="D1807" s="75">
        <f t="shared" si="30"/>
        <v>4.2086951642092565E-5</v>
      </c>
    </row>
    <row r="1808" spans="2:4" x14ac:dyDescent="0.25">
      <c r="B1808" t="s">
        <v>8139</v>
      </c>
      <c r="C1808" s="71">
        <v>3</v>
      </c>
      <c r="D1808" s="75">
        <f t="shared" si="30"/>
        <v>4.2086951642092565E-5</v>
      </c>
    </row>
    <row r="1809" spans="2:4" x14ac:dyDescent="0.25">
      <c r="B1809" t="s">
        <v>8140</v>
      </c>
      <c r="C1809" s="71">
        <v>3</v>
      </c>
      <c r="D1809" s="75">
        <f t="shared" si="30"/>
        <v>4.2086951642092565E-5</v>
      </c>
    </row>
    <row r="1810" spans="2:4" x14ac:dyDescent="0.25">
      <c r="B1810" t="s">
        <v>8141</v>
      </c>
      <c r="C1810" s="71">
        <v>3</v>
      </c>
      <c r="D1810" s="75">
        <f t="shared" si="30"/>
        <v>4.2086951642092565E-5</v>
      </c>
    </row>
    <row r="1811" spans="2:4" x14ac:dyDescent="0.25">
      <c r="B1811" t="s">
        <v>8142</v>
      </c>
      <c r="C1811" s="71">
        <v>3</v>
      </c>
      <c r="D1811" s="75">
        <f t="shared" si="30"/>
        <v>4.2086951642092565E-5</v>
      </c>
    </row>
    <row r="1812" spans="2:4" x14ac:dyDescent="0.25">
      <c r="B1812" t="s">
        <v>8143</v>
      </c>
      <c r="C1812" s="71">
        <v>3</v>
      </c>
      <c r="D1812" s="75">
        <f t="shared" si="30"/>
        <v>4.2086951642092565E-5</v>
      </c>
    </row>
    <row r="1813" spans="2:4" x14ac:dyDescent="0.25">
      <c r="B1813" t="s">
        <v>8144</v>
      </c>
      <c r="C1813" s="71">
        <v>3</v>
      </c>
      <c r="D1813" s="75">
        <f t="shared" si="30"/>
        <v>4.2086951642092565E-5</v>
      </c>
    </row>
    <row r="1814" spans="2:4" x14ac:dyDescent="0.25">
      <c r="B1814" t="s">
        <v>8145</v>
      </c>
      <c r="C1814" s="71">
        <v>3</v>
      </c>
      <c r="D1814" s="75">
        <f t="shared" si="30"/>
        <v>4.2086951642092565E-5</v>
      </c>
    </row>
    <row r="1815" spans="2:4" x14ac:dyDescent="0.25">
      <c r="B1815" t="s">
        <v>8146</v>
      </c>
      <c r="C1815" s="71">
        <v>3</v>
      </c>
      <c r="D1815" s="75">
        <f t="shared" si="30"/>
        <v>4.2086951642092565E-5</v>
      </c>
    </row>
    <row r="1816" spans="2:4" x14ac:dyDescent="0.25">
      <c r="B1816" t="s">
        <v>8147</v>
      </c>
      <c r="C1816" s="71">
        <v>3</v>
      </c>
      <c r="D1816" s="75">
        <f t="shared" si="30"/>
        <v>4.2086951642092565E-5</v>
      </c>
    </row>
    <row r="1817" spans="2:4" x14ac:dyDescent="0.25">
      <c r="B1817" t="s">
        <v>8148</v>
      </c>
      <c r="C1817" s="71">
        <v>3</v>
      </c>
      <c r="D1817" s="75">
        <f t="shared" si="30"/>
        <v>4.2086951642092565E-5</v>
      </c>
    </row>
    <row r="1818" spans="2:4" x14ac:dyDescent="0.25">
      <c r="B1818" t="s">
        <v>8149</v>
      </c>
      <c r="C1818" s="71">
        <v>3</v>
      </c>
      <c r="D1818" s="75">
        <f t="shared" si="30"/>
        <v>4.2086951642092565E-5</v>
      </c>
    </row>
    <row r="1819" spans="2:4" x14ac:dyDescent="0.25">
      <c r="B1819" t="s">
        <v>8150</v>
      </c>
      <c r="C1819" s="71">
        <v>3</v>
      </c>
      <c r="D1819" s="75">
        <f t="shared" si="30"/>
        <v>4.2086951642092565E-5</v>
      </c>
    </row>
    <row r="1820" spans="2:4" x14ac:dyDescent="0.25">
      <c r="B1820" t="s">
        <v>8151</v>
      </c>
      <c r="C1820" s="71">
        <v>3</v>
      </c>
      <c r="D1820" s="75">
        <f t="shared" si="30"/>
        <v>4.2086951642092565E-5</v>
      </c>
    </row>
    <row r="1821" spans="2:4" x14ac:dyDescent="0.25">
      <c r="B1821" t="s">
        <v>8152</v>
      </c>
      <c r="C1821" s="71">
        <v>3</v>
      </c>
      <c r="D1821" s="75">
        <f t="shared" si="30"/>
        <v>4.2086951642092565E-5</v>
      </c>
    </row>
    <row r="1822" spans="2:4" x14ac:dyDescent="0.25">
      <c r="B1822" t="s">
        <v>8153</v>
      </c>
      <c r="C1822" s="71">
        <v>3</v>
      </c>
      <c r="D1822" s="75">
        <f t="shared" si="30"/>
        <v>4.2086951642092565E-5</v>
      </c>
    </row>
    <row r="1823" spans="2:4" x14ac:dyDescent="0.25">
      <c r="B1823" t="s">
        <v>8154</v>
      </c>
      <c r="C1823" s="71">
        <v>3</v>
      </c>
      <c r="D1823" s="75">
        <f t="shared" si="30"/>
        <v>4.2086951642092565E-5</v>
      </c>
    </row>
    <row r="1824" spans="2:4" x14ac:dyDescent="0.25">
      <c r="B1824" t="s">
        <v>8155</v>
      </c>
      <c r="C1824" s="71">
        <v>3</v>
      </c>
      <c r="D1824" s="75">
        <f t="shared" si="30"/>
        <v>4.2086951642092565E-5</v>
      </c>
    </row>
    <row r="1825" spans="2:4" x14ac:dyDescent="0.25">
      <c r="B1825" t="s">
        <v>8156</v>
      </c>
      <c r="C1825" s="71">
        <v>3</v>
      </c>
      <c r="D1825" s="75">
        <f t="shared" si="30"/>
        <v>4.2086951642092565E-5</v>
      </c>
    </row>
    <row r="1826" spans="2:4" x14ac:dyDescent="0.25">
      <c r="B1826" t="s">
        <v>8157</v>
      </c>
      <c r="C1826" s="71">
        <v>3</v>
      </c>
      <c r="D1826" s="75">
        <f t="shared" si="30"/>
        <v>4.2086951642092565E-5</v>
      </c>
    </row>
    <row r="1827" spans="2:4" x14ac:dyDescent="0.25">
      <c r="B1827" t="s">
        <v>8158</v>
      </c>
      <c r="C1827" s="71">
        <v>3</v>
      </c>
      <c r="D1827" s="75">
        <f t="shared" si="30"/>
        <v>4.2086951642092565E-5</v>
      </c>
    </row>
    <row r="1828" spans="2:4" x14ac:dyDescent="0.25">
      <c r="B1828" t="s">
        <v>8159</v>
      </c>
      <c r="C1828" s="71">
        <v>3</v>
      </c>
      <c r="D1828" s="75">
        <f t="shared" si="30"/>
        <v>4.2086951642092565E-5</v>
      </c>
    </row>
    <row r="1829" spans="2:4" x14ac:dyDescent="0.25">
      <c r="B1829" t="s">
        <v>8160</v>
      </c>
      <c r="C1829" s="71">
        <v>3</v>
      </c>
      <c r="D1829" s="75">
        <f t="shared" si="30"/>
        <v>4.2086951642092565E-5</v>
      </c>
    </row>
    <row r="1830" spans="2:4" x14ac:dyDescent="0.25">
      <c r="B1830" t="s">
        <v>8161</v>
      </c>
      <c r="C1830" s="71">
        <v>3</v>
      </c>
      <c r="D1830" s="75">
        <f t="shared" si="30"/>
        <v>4.2086951642092565E-5</v>
      </c>
    </row>
    <row r="1831" spans="2:4" x14ac:dyDescent="0.25">
      <c r="B1831" t="s">
        <v>8162</v>
      </c>
      <c r="C1831" s="71">
        <v>3</v>
      </c>
      <c r="D1831" s="75">
        <f t="shared" si="30"/>
        <v>4.2086951642092565E-5</v>
      </c>
    </row>
    <row r="1832" spans="2:4" x14ac:dyDescent="0.25">
      <c r="B1832" t="s">
        <v>8163</v>
      </c>
      <c r="C1832" s="71">
        <v>3</v>
      </c>
      <c r="D1832" s="75">
        <f t="shared" si="30"/>
        <v>4.2086951642092565E-5</v>
      </c>
    </row>
    <row r="1833" spans="2:4" x14ac:dyDescent="0.25">
      <c r="B1833" t="s">
        <v>8164</v>
      </c>
      <c r="C1833" s="71">
        <v>3</v>
      </c>
      <c r="D1833" s="75">
        <f t="shared" si="30"/>
        <v>4.2086951642092565E-5</v>
      </c>
    </row>
    <row r="1834" spans="2:4" x14ac:dyDescent="0.25">
      <c r="B1834" t="s">
        <v>8165</v>
      </c>
      <c r="C1834" s="71">
        <v>3</v>
      </c>
      <c r="D1834" s="75">
        <f t="shared" si="30"/>
        <v>4.2086951642092565E-5</v>
      </c>
    </row>
    <row r="1835" spans="2:4" x14ac:dyDescent="0.25">
      <c r="B1835" t="s">
        <v>8166</v>
      </c>
      <c r="C1835" s="71">
        <v>3</v>
      </c>
      <c r="D1835" s="75">
        <f t="shared" si="30"/>
        <v>4.2086951642092565E-5</v>
      </c>
    </row>
    <row r="1836" spans="2:4" x14ac:dyDescent="0.25">
      <c r="B1836" t="s">
        <v>8167</v>
      </c>
      <c r="C1836" s="71">
        <v>3</v>
      </c>
      <c r="D1836" s="75">
        <f t="shared" si="30"/>
        <v>4.2086951642092565E-5</v>
      </c>
    </row>
    <row r="1837" spans="2:4" x14ac:dyDescent="0.25">
      <c r="B1837" t="s">
        <v>8168</v>
      </c>
      <c r="C1837" s="71">
        <v>3</v>
      </c>
      <c r="D1837" s="75">
        <f t="shared" si="30"/>
        <v>4.2086951642092565E-5</v>
      </c>
    </row>
    <row r="1838" spans="2:4" x14ac:dyDescent="0.25">
      <c r="B1838" t="s">
        <v>8169</v>
      </c>
      <c r="C1838" s="71">
        <v>3</v>
      </c>
      <c r="D1838" s="75">
        <f t="shared" si="30"/>
        <v>4.2086951642092565E-5</v>
      </c>
    </row>
    <row r="1839" spans="2:4" x14ac:dyDescent="0.25">
      <c r="B1839" t="s">
        <v>8170</v>
      </c>
      <c r="C1839" s="71">
        <v>3</v>
      </c>
      <c r="D1839" s="75">
        <f t="shared" si="30"/>
        <v>4.2086951642092565E-5</v>
      </c>
    </row>
    <row r="1840" spans="2:4" x14ac:dyDescent="0.25">
      <c r="B1840" t="s">
        <v>8171</v>
      </c>
      <c r="C1840" s="71">
        <v>3</v>
      </c>
      <c r="D1840" s="75">
        <f t="shared" si="30"/>
        <v>4.2086951642092565E-5</v>
      </c>
    </row>
    <row r="1841" spans="2:4" x14ac:dyDescent="0.25">
      <c r="B1841" t="s">
        <v>8172</v>
      </c>
      <c r="C1841" s="71">
        <v>3</v>
      </c>
      <c r="D1841" s="75">
        <f t="shared" si="30"/>
        <v>4.2086951642092565E-5</v>
      </c>
    </row>
    <row r="1842" spans="2:4" x14ac:dyDescent="0.25">
      <c r="B1842" t="s">
        <v>8173</v>
      </c>
      <c r="C1842" s="71">
        <v>3</v>
      </c>
      <c r="D1842" s="75">
        <f t="shared" si="30"/>
        <v>4.2086951642092565E-5</v>
      </c>
    </row>
    <row r="1843" spans="2:4" x14ac:dyDescent="0.25">
      <c r="B1843" t="s">
        <v>8174</v>
      </c>
      <c r="C1843" s="71">
        <v>3</v>
      </c>
      <c r="D1843" s="75">
        <f t="shared" si="30"/>
        <v>4.2086951642092565E-5</v>
      </c>
    </row>
    <row r="1844" spans="2:4" x14ac:dyDescent="0.25">
      <c r="B1844" t="s">
        <v>8175</v>
      </c>
      <c r="C1844" s="71">
        <v>3</v>
      </c>
      <c r="D1844" s="75">
        <f t="shared" si="30"/>
        <v>4.2086951642092565E-5</v>
      </c>
    </row>
    <row r="1845" spans="2:4" x14ac:dyDescent="0.25">
      <c r="B1845" t="s">
        <v>8176</v>
      </c>
      <c r="C1845" s="71">
        <v>3</v>
      </c>
      <c r="D1845" s="75">
        <f t="shared" si="30"/>
        <v>4.2086951642092565E-5</v>
      </c>
    </row>
    <row r="1846" spans="2:4" x14ac:dyDescent="0.25">
      <c r="B1846" t="s">
        <v>8177</v>
      </c>
      <c r="C1846" s="71">
        <v>3</v>
      </c>
      <c r="D1846" s="75">
        <f t="shared" si="30"/>
        <v>4.2086951642092565E-5</v>
      </c>
    </row>
    <row r="1847" spans="2:4" x14ac:dyDescent="0.25">
      <c r="B1847" t="s">
        <v>8178</v>
      </c>
      <c r="C1847" s="71">
        <v>3</v>
      </c>
      <c r="D1847" s="75">
        <f t="shared" si="30"/>
        <v>4.2086951642092565E-5</v>
      </c>
    </row>
    <row r="1848" spans="2:4" x14ac:dyDescent="0.25">
      <c r="B1848" t="s">
        <v>8179</v>
      </c>
      <c r="C1848" s="71">
        <v>3</v>
      </c>
      <c r="D1848" s="75">
        <f t="shared" si="30"/>
        <v>4.2086951642092565E-5</v>
      </c>
    </row>
    <row r="1849" spans="2:4" x14ac:dyDescent="0.25">
      <c r="B1849" t="s">
        <v>8180</v>
      </c>
      <c r="C1849" s="71">
        <v>3</v>
      </c>
      <c r="D1849" s="75">
        <f t="shared" si="30"/>
        <v>4.2086951642092565E-5</v>
      </c>
    </row>
    <row r="1850" spans="2:4" x14ac:dyDescent="0.25">
      <c r="B1850" t="s">
        <v>8181</v>
      </c>
      <c r="C1850" s="71">
        <v>3</v>
      </c>
      <c r="D1850" s="75">
        <f t="shared" si="30"/>
        <v>4.2086951642092565E-5</v>
      </c>
    </row>
    <row r="1851" spans="2:4" x14ac:dyDescent="0.25">
      <c r="B1851" t="s">
        <v>8182</v>
      </c>
      <c r="C1851" s="71">
        <v>3</v>
      </c>
      <c r="D1851" s="75">
        <f t="shared" si="30"/>
        <v>4.2086951642092565E-5</v>
      </c>
    </row>
    <row r="1852" spans="2:4" x14ac:dyDescent="0.25">
      <c r="B1852" t="s">
        <v>8183</v>
      </c>
      <c r="C1852" s="71">
        <v>3</v>
      </c>
      <c r="D1852" s="75">
        <f t="shared" si="30"/>
        <v>4.2086951642092565E-5</v>
      </c>
    </row>
    <row r="1853" spans="2:4" x14ac:dyDescent="0.25">
      <c r="B1853" t="s">
        <v>8184</v>
      </c>
      <c r="C1853" s="71">
        <v>3</v>
      </c>
      <c r="D1853" s="75">
        <f t="shared" si="30"/>
        <v>4.2086951642092565E-5</v>
      </c>
    </row>
    <row r="1854" spans="2:4" x14ac:dyDescent="0.25">
      <c r="B1854" t="s">
        <v>8185</v>
      </c>
      <c r="C1854" s="71">
        <v>3</v>
      </c>
      <c r="D1854" s="75">
        <f t="shared" si="30"/>
        <v>4.2086951642092565E-5</v>
      </c>
    </row>
    <row r="1855" spans="2:4" x14ac:dyDescent="0.25">
      <c r="B1855" t="s">
        <v>8186</v>
      </c>
      <c r="C1855" s="71">
        <v>3</v>
      </c>
      <c r="D1855" s="75">
        <f t="shared" si="30"/>
        <v>4.2086951642092565E-5</v>
      </c>
    </row>
    <row r="1856" spans="2:4" x14ac:dyDescent="0.25">
      <c r="B1856" t="s">
        <v>8187</v>
      </c>
      <c r="C1856" s="71">
        <v>3</v>
      </c>
      <c r="D1856" s="75">
        <f t="shared" si="30"/>
        <v>4.2086951642092565E-5</v>
      </c>
    </row>
    <row r="1857" spans="2:4" x14ac:dyDescent="0.25">
      <c r="B1857" t="s">
        <v>8188</v>
      </c>
      <c r="C1857" s="71">
        <v>3</v>
      </c>
      <c r="D1857" s="75">
        <f t="shared" si="30"/>
        <v>4.2086951642092565E-5</v>
      </c>
    </row>
    <row r="1858" spans="2:4" x14ac:dyDescent="0.25">
      <c r="B1858" t="s">
        <v>8189</v>
      </c>
      <c r="C1858" s="71">
        <v>3</v>
      </c>
      <c r="D1858" s="75">
        <f t="shared" si="30"/>
        <v>4.2086951642092565E-5</v>
      </c>
    </row>
    <row r="1859" spans="2:4" x14ac:dyDescent="0.25">
      <c r="B1859" t="s">
        <v>8190</v>
      </c>
      <c r="C1859" s="71">
        <v>3</v>
      </c>
      <c r="D1859" s="75">
        <f t="shared" si="30"/>
        <v>4.2086951642092565E-5</v>
      </c>
    </row>
    <row r="1860" spans="2:4" x14ac:dyDescent="0.25">
      <c r="B1860" t="s">
        <v>8191</v>
      </c>
      <c r="C1860" s="71">
        <v>3</v>
      </c>
      <c r="D1860" s="75">
        <f t="shared" si="30"/>
        <v>4.2086951642092565E-5</v>
      </c>
    </row>
    <row r="1861" spans="2:4" x14ac:dyDescent="0.25">
      <c r="B1861" t="s">
        <v>8192</v>
      </c>
      <c r="C1861" s="71">
        <v>3</v>
      </c>
      <c r="D1861" s="75">
        <f t="shared" si="30"/>
        <v>4.2086951642092565E-5</v>
      </c>
    </row>
    <row r="1862" spans="2:4" x14ac:dyDescent="0.25">
      <c r="B1862" t="s">
        <v>8193</v>
      </c>
      <c r="C1862" s="71">
        <v>3</v>
      </c>
      <c r="D1862" s="75">
        <f t="shared" ref="D1862:D1925" si="31">C1862/$C$4822</f>
        <v>4.2086951642092565E-5</v>
      </c>
    </row>
    <row r="1863" spans="2:4" x14ac:dyDescent="0.25">
      <c r="B1863" t="s">
        <v>8194</v>
      </c>
      <c r="C1863" s="71">
        <v>3</v>
      </c>
      <c r="D1863" s="75">
        <f t="shared" si="31"/>
        <v>4.2086951642092565E-5</v>
      </c>
    </row>
    <row r="1864" spans="2:4" x14ac:dyDescent="0.25">
      <c r="B1864" t="s">
        <v>8195</v>
      </c>
      <c r="C1864" s="71">
        <v>3</v>
      </c>
      <c r="D1864" s="75">
        <f t="shared" si="31"/>
        <v>4.2086951642092565E-5</v>
      </c>
    </row>
    <row r="1865" spans="2:4" x14ac:dyDescent="0.25">
      <c r="B1865" t="s">
        <v>8196</v>
      </c>
      <c r="C1865" s="71">
        <v>3</v>
      </c>
      <c r="D1865" s="75">
        <f t="shared" si="31"/>
        <v>4.2086951642092565E-5</v>
      </c>
    </row>
    <row r="1866" spans="2:4" x14ac:dyDescent="0.25">
      <c r="B1866" t="s">
        <v>8197</v>
      </c>
      <c r="C1866" s="71">
        <v>3</v>
      </c>
      <c r="D1866" s="75">
        <f t="shared" si="31"/>
        <v>4.2086951642092565E-5</v>
      </c>
    </row>
    <row r="1867" spans="2:4" x14ac:dyDescent="0.25">
      <c r="B1867" t="s">
        <v>8198</v>
      </c>
      <c r="C1867" s="71">
        <v>3</v>
      </c>
      <c r="D1867" s="75">
        <f t="shared" si="31"/>
        <v>4.2086951642092565E-5</v>
      </c>
    </row>
    <row r="1868" spans="2:4" x14ac:dyDescent="0.25">
      <c r="B1868" t="s">
        <v>8199</v>
      </c>
      <c r="C1868" s="71">
        <v>3</v>
      </c>
      <c r="D1868" s="75">
        <f t="shared" si="31"/>
        <v>4.2086951642092565E-5</v>
      </c>
    </row>
    <row r="1869" spans="2:4" x14ac:dyDescent="0.25">
      <c r="B1869" t="s">
        <v>8200</v>
      </c>
      <c r="C1869" s="71">
        <v>3</v>
      </c>
      <c r="D1869" s="75">
        <f t="shared" si="31"/>
        <v>4.2086951642092565E-5</v>
      </c>
    </row>
    <row r="1870" spans="2:4" x14ac:dyDescent="0.25">
      <c r="B1870" t="s">
        <v>8201</v>
      </c>
      <c r="C1870" s="71">
        <v>3</v>
      </c>
      <c r="D1870" s="75">
        <f t="shared" si="31"/>
        <v>4.2086951642092565E-5</v>
      </c>
    </row>
    <row r="1871" spans="2:4" x14ac:dyDescent="0.25">
      <c r="B1871" t="s">
        <v>8202</v>
      </c>
      <c r="C1871" s="71">
        <v>3</v>
      </c>
      <c r="D1871" s="75">
        <f t="shared" si="31"/>
        <v>4.2086951642092565E-5</v>
      </c>
    </row>
    <row r="1872" spans="2:4" x14ac:dyDescent="0.25">
      <c r="B1872" t="s">
        <v>8203</v>
      </c>
      <c r="C1872" s="71">
        <v>3</v>
      </c>
      <c r="D1872" s="75">
        <f t="shared" si="31"/>
        <v>4.2086951642092565E-5</v>
      </c>
    </row>
    <row r="1873" spans="2:4" x14ac:dyDescent="0.25">
      <c r="B1873" t="s">
        <v>8204</v>
      </c>
      <c r="C1873" s="71">
        <v>3</v>
      </c>
      <c r="D1873" s="75">
        <f t="shared" si="31"/>
        <v>4.2086951642092565E-5</v>
      </c>
    </row>
    <row r="1874" spans="2:4" x14ac:dyDescent="0.25">
      <c r="B1874" t="s">
        <v>8205</v>
      </c>
      <c r="C1874" s="71">
        <v>3</v>
      </c>
      <c r="D1874" s="75">
        <f t="shared" si="31"/>
        <v>4.2086951642092565E-5</v>
      </c>
    </row>
    <row r="1875" spans="2:4" x14ac:dyDescent="0.25">
      <c r="B1875" t="s">
        <v>8206</v>
      </c>
      <c r="C1875" s="71">
        <v>3</v>
      </c>
      <c r="D1875" s="75">
        <f t="shared" si="31"/>
        <v>4.2086951642092565E-5</v>
      </c>
    </row>
    <row r="1876" spans="2:4" x14ac:dyDescent="0.25">
      <c r="B1876" t="s">
        <v>8207</v>
      </c>
      <c r="C1876" s="71">
        <v>3</v>
      </c>
      <c r="D1876" s="75">
        <f t="shared" si="31"/>
        <v>4.2086951642092565E-5</v>
      </c>
    </row>
    <row r="1877" spans="2:4" x14ac:dyDescent="0.25">
      <c r="B1877" t="s">
        <v>8208</v>
      </c>
      <c r="C1877" s="71">
        <v>3</v>
      </c>
      <c r="D1877" s="75">
        <f t="shared" si="31"/>
        <v>4.2086951642092565E-5</v>
      </c>
    </row>
    <row r="1878" spans="2:4" x14ac:dyDescent="0.25">
      <c r="B1878" t="s">
        <v>8209</v>
      </c>
      <c r="C1878" s="71">
        <v>3</v>
      </c>
      <c r="D1878" s="75">
        <f t="shared" si="31"/>
        <v>4.2086951642092565E-5</v>
      </c>
    </row>
    <row r="1879" spans="2:4" x14ac:dyDescent="0.25">
      <c r="B1879" t="s">
        <v>8210</v>
      </c>
      <c r="C1879" s="71">
        <v>3</v>
      </c>
      <c r="D1879" s="75">
        <f t="shared" si="31"/>
        <v>4.2086951642092565E-5</v>
      </c>
    </row>
    <row r="1880" spans="2:4" x14ac:dyDescent="0.25">
      <c r="B1880" t="s">
        <v>8211</v>
      </c>
      <c r="C1880" s="71">
        <v>3</v>
      </c>
      <c r="D1880" s="75">
        <f t="shared" si="31"/>
        <v>4.2086951642092565E-5</v>
      </c>
    </row>
    <row r="1881" spans="2:4" x14ac:dyDescent="0.25">
      <c r="B1881" t="s">
        <v>8212</v>
      </c>
      <c r="C1881" s="71">
        <v>3</v>
      </c>
      <c r="D1881" s="75">
        <f t="shared" si="31"/>
        <v>4.2086951642092565E-5</v>
      </c>
    </row>
    <row r="1882" spans="2:4" x14ac:dyDescent="0.25">
      <c r="B1882" t="s">
        <v>8213</v>
      </c>
      <c r="C1882" s="71">
        <v>3</v>
      </c>
      <c r="D1882" s="75">
        <f t="shared" si="31"/>
        <v>4.2086951642092565E-5</v>
      </c>
    </row>
    <row r="1883" spans="2:4" x14ac:dyDescent="0.25">
      <c r="B1883" t="s">
        <v>8214</v>
      </c>
      <c r="C1883" s="71">
        <v>3</v>
      </c>
      <c r="D1883" s="75">
        <f t="shared" si="31"/>
        <v>4.2086951642092565E-5</v>
      </c>
    </row>
    <row r="1884" spans="2:4" x14ac:dyDescent="0.25">
      <c r="B1884" t="s">
        <v>8215</v>
      </c>
      <c r="C1884" s="71">
        <v>3</v>
      </c>
      <c r="D1884" s="75">
        <f t="shared" si="31"/>
        <v>4.2086951642092565E-5</v>
      </c>
    </row>
    <row r="1885" spans="2:4" x14ac:dyDescent="0.25">
      <c r="B1885" t="s">
        <v>8216</v>
      </c>
      <c r="C1885" s="71">
        <v>3</v>
      </c>
      <c r="D1885" s="75">
        <f t="shared" si="31"/>
        <v>4.2086951642092565E-5</v>
      </c>
    </row>
    <row r="1886" spans="2:4" x14ac:dyDescent="0.25">
      <c r="B1886" t="s">
        <v>8217</v>
      </c>
      <c r="C1886" s="71">
        <v>3</v>
      </c>
      <c r="D1886" s="75">
        <f t="shared" si="31"/>
        <v>4.2086951642092565E-5</v>
      </c>
    </row>
    <row r="1887" spans="2:4" x14ac:dyDescent="0.25">
      <c r="B1887" t="s">
        <v>8218</v>
      </c>
      <c r="C1887" s="71">
        <v>3</v>
      </c>
      <c r="D1887" s="75">
        <f t="shared" si="31"/>
        <v>4.2086951642092565E-5</v>
      </c>
    </row>
    <row r="1888" spans="2:4" x14ac:dyDescent="0.25">
      <c r="B1888" t="s">
        <v>8219</v>
      </c>
      <c r="C1888" s="71">
        <v>3</v>
      </c>
      <c r="D1888" s="75">
        <f t="shared" si="31"/>
        <v>4.2086951642092565E-5</v>
      </c>
    </row>
    <row r="1889" spans="2:4" x14ac:dyDescent="0.25">
      <c r="B1889" t="s">
        <v>8220</v>
      </c>
      <c r="C1889" s="71">
        <v>3</v>
      </c>
      <c r="D1889" s="75">
        <f t="shared" si="31"/>
        <v>4.2086951642092565E-5</v>
      </c>
    </row>
    <row r="1890" spans="2:4" x14ac:dyDescent="0.25">
      <c r="B1890" t="s">
        <v>8221</v>
      </c>
      <c r="C1890" s="71">
        <v>3</v>
      </c>
      <c r="D1890" s="75">
        <f t="shared" si="31"/>
        <v>4.2086951642092565E-5</v>
      </c>
    </row>
    <row r="1891" spans="2:4" x14ac:dyDescent="0.25">
      <c r="B1891" t="s">
        <v>8222</v>
      </c>
      <c r="C1891" s="71">
        <v>3</v>
      </c>
      <c r="D1891" s="75">
        <f t="shared" si="31"/>
        <v>4.2086951642092565E-5</v>
      </c>
    </row>
    <row r="1892" spans="2:4" x14ac:dyDescent="0.25">
      <c r="B1892" t="s">
        <v>8223</v>
      </c>
      <c r="C1892" s="71">
        <v>3</v>
      </c>
      <c r="D1892" s="75">
        <f t="shared" si="31"/>
        <v>4.2086951642092565E-5</v>
      </c>
    </row>
    <row r="1893" spans="2:4" x14ac:dyDescent="0.25">
      <c r="B1893" t="s">
        <v>8224</v>
      </c>
      <c r="C1893" s="71">
        <v>3</v>
      </c>
      <c r="D1893" s="75">
        <f t="shared" si="31"/>
        <v>4.2086951642092565E-5</v>
      </c>
    </row>
    <row r="1894" spans="2:4" x14ac:dyDescent="0.25">
      <c r="B1894" t="s">
        <v>8225</v>
      </c>
      <c r="C1894" s="71">
        <v>3</v>
      </c>
      <c r="D1894" s="75">
        <f t="shared" si="31"/>
        <v>4.2086951642092565E-5</v>
      </c>
    </row>
    <row r="1895" spans="2:4" x14ac:dyDescent="0.25">
      <c r="B1895" t="s">
        <v>8226</v>
      </c>
      <c r="C1895" s="71">
        <v>3</v>
      </c>
      <c r="D1895" s="75">
        <f t="shared" si="31"/>
        <v>4.2086951642092565E-5</v>
      </c>
    </row>
    <row r="1896" spans="2:4" x14ac:dyDescent="0.25">
      <c r="B1896" t="s">
        <v>8227</v>
      </c>
      <c r="C1896" s="71">
        <v>3</v>
      </c>
      <c r="D1896" s="75">
        <f t="shared" si="31"/>
        <v>4.2086951642092565E-5</v>
      </c>
    </row>
    <row r="1897" spans="2:4" x14ac:dyDescent="0.25">
      <c r="B1897" t="s">
        <v>8228</v>
      </c>
      <c r="C1897" s="71">
        <v>3</v>
      </c>
      <c r="D1897" s="75">
        <f t="shared" si="31"/>
        <v>4.2086951642092565E-5</v>
      </c>
    </row>
    <row r="1898" spans="2:4" x14ac:dyDescent="0.25">
      <c r="B1898" t="s">
        <v>8229</v>
      </c>
      <c r="C1898" s="71">
        <v>3</v>
      </c>
      <c r="D1898" s="75">
        <f t="shared" si="31"/>
        <v>4.2086951642092565E-5</v>
      </c>
    </row>
    <row r="1899" spans="2:4" x14ac:dyDescent="0.25">
      <c r="B1899" t="s">
        <v>8230</v>
      </c>
      <c r="C1899" s="71">
        <v>3</v>
      </c>
      <c r="D1899" s="75">
        <f t="shared" si="31"/>
        <v>4.2086951642092565E-5</v>
      </c>
    </row>
    <row r="1900" spans="2:4" x14ac:dyDescent="0.25">
      <c r="B1900" t="s">
        <v>8231</v>
      </c>
      <c r="C1900" s="71">
        <v>3</v>
      </c>
      <c r="D1900" s="75">
        <f t="shared" si="31"/>
        <v>4.2086951642092565E-5</v>
      </c>
    </row>
    <row r="1901" spans="2:4" x14ac:dyDescent="0.25">
      <c r="B1901" t="s">
        <v>8232</v>
      </c>
      <c r="C1901" s="71">
        <v>3</v>
      </c>
      <c r="D1901" s="75">
        <f t="shared" si="31"/>
        <v>4.2086951642092565E-5</v>
      </c>
    </row>
    <row r="1902" spans="2:4" x14ac:dyDescent="0.25">
      <c r="B1902" t="s">
        <v>8233</v>
      </c>
      <c r="C1902" s="71">
        <v>3</v>
      </c>
      <c r="D1902" s="75">
        <f t="shared" si="31"/>
        <v>4.2086951642092565E-5</v>
      </c>
    </row>
    <row r="1903" spans="2:4" x14ac:dyDescent="0.25">
      <c r="B1903" t="s">
        <v>8234</v>
      </c>
      <c r="C1903" s="71">
        <v>3</v>
      </c>
      <c r="D1903" s="75">
        <f t="shared" si="31"/>
        <v>4.2086951642092565E-5</v>
      </c>
    </row>
    <row r="1904" spans="2:4" x14ac:dyDescent="0.25">
      <c r="B1904" t="s">
        <v>8235</v>
      </c>
      <c r="C1904" s="71">
        <v>3</v>
      </c>
      <c r="D1904" s="75">
        <f t="shared" si="31"/>
        <v>4.2086951642092565E-5</v>
      </c>
    </row>
    <row r="1905" spans="2:4" x14ac:dyDescent="0.25">
      <c r="B1905" t="s">
        <v>8236</v>
      </c>
      <c r="C1905" s="71">
        <v>3</v>
      </c>
      <c r="D1905" s="75">
        <f t="shared" si="31"/>
        <v>4.2086951642092565E-5</v>
      </c>
    </row>
    <row r="1906" spans="2:4" x14ac:dyDescent="0.25">
      <c r="B1906" t="s">
        <v>8237</v>
      </c>
      <c r="C1906" s="71">
        <v>3</v>
      </c>
      <c r="D1906" s="75">
        <f t="shared" si="31"/>
        <v>4.2086951642092565E-5</v>
      </c>
    </row>
    <row r="1907" spans="2:4" x14ac:dyDescent="0.25">
      <c r="B1907" t="s">
        <v>8238</v>
      </c>
      <c r="C1907" s="71">
        <v>3</v>
      </c>
      <c r="D1907" s="75">
        <f t="shared" si="31"/>
        <v>4.2086951642092565E-5</v>
      </c>
    </row>
    <row r="1908" spans="2:4" x14ac:dyDescent="0.25">
      <c r="B1908" t="s">
        <v>8239</v>
      </c>
      <c r="C1908" s="71">
        <v>3</v>
      </c>
      <c r="D1908" s="75">
        <f t="shared" si="31"/>
        <v>4.2086951642092565E-5</v>
      </c>
    </row>
    <row r="1909" spans="2:4" x14ac:dyDescent="0.25">
      <c r="B1909" t="s">
        <v>8240</v>
      </c>
      <c r="C1909" s="71">
        <v>3</v>
      </c>
      <c r="D1909" s="75">
        <f t="shared" si="31"/>
        <v>4.2086951642092565E-5</v>
      </c>
    </row>
    <row r="1910" spans="2:4" x14ac:dyDescent="0.25">
      <c r="B1910" t="s">
        <v>8241</v>
      </c>
      <c r="C1910" s="71">
        <v>3</v>
      </c>
      <c r="D1910" s="75">
        <f t="shared" si="31"/>
        <v>4.2086951642092565E-5</v>
      </c>
    </row>
    <row r="1911" spans="2:4" x14ac:dyDescent="0.25">
      <c r="B1911" t="s">
        <v>8242</v>
      </c>
      <c r="C1911" s="71">
        <v>3</v>
      </c>
      <c r="D1911" s="75">
        <f t="shared" si="31"/>
        <v>4.2086951642092565E-5</v>
      </c>
    </row>
    <row r="1912" spans="2:4" x14ac:dyDescent="0.25">
      <c r="B1912" t="s">
        <v>8243</v>
      </c>
      <c r="C1912" s="71">
        <v>3</v>
      </c>
      <c r="D1912" s="75">
        <f t="shared" si="31"/>
        <v>4.2086951642092565E-5</v>
      </c>
    </row>
    <row r="1913" spans="2:4" x14ac:dyDescent="0.25">
      <c r="B1913" t="s">
        <v>8244</v>
      </c>
      <c r="C1913" s="71">
        <v>3</v>
      </c>
      <c r="D1913" s="75">
        <f t="shared" si="31"/>
        <v>4.2086951642092565E-5</v>
      </c>
    </row>
    <row r="1914" spans="2:4" x14ac:dyDescent="0.25">
      <c r="B1914" t="s">
        <v>8245</v>
      </c>
      <c r="C1914" s="71">
        <v>3</v>
      </c>
      <c r="D1914" s="75">
        <f t="shared" si="31"/>
        <v>4.2086951642092565E-5</v>
      </c>
    </row>
    <row r="1915" spans="2:4" x14ac:dyDescent="0.25">
      <c r="B1915" t="s">
        <v>8246</v>
      </c>
      <c r="C1915" s="71">
        <v>3</v>
      </c>
      <c r="D1915" s="75">
        <f t="shared" si="31"/>
        <v>4.2086951642092565E-5</v>
      </c>
    </row>
    <row r="1916" spans="2:4" x14ac:dyDescent="0.25">
      <c r="B1916" t="s">
        <v>8247</v>
      </c>
      <c r="C1916" s="71">
        <v>3</v>
      </c>
      <c r="D1916" s="75">
        <f t="shared" si="31"/>
        <v>4.2086951642092565E-5</v>
      </c>
    </row>
    <row r="1917" spans="2:4" x14ac:dyDescent="0.25">
      <c r="B1917" t="s">
        <v>8248</v>
      </c>
      <c r="C1917" s="71">
        <v>3</v>
      </c>
      <c r="D1917" s="75">
        <f t="shared" si="31"/>
        <v>4.2086951642092565E-5</v>
      </c>
    </row>
    <row r="1918" spans="2:4" x14ac:dyDescent="0.25">
      <c r="B1918" t="s">
        <v>8249</v>
      </c>
      <c r="C1918" s="71">
        <v>3</v>
      </c>
      <c r="D1918" s="75">
        <f t="shared" si="31"/>
        <v>4.2086951642092565E-5</v>
      </c>
    </row>
    <row r="1919" spans="2:4" x14ac:dyDescent="0.25">
      <c r="B1919" t="s">
        <v>8250</v>
      </c>
      <c r="C1919" s="71">
        <v>3</v>
      </c>
      <c r="D1919" s="75">
        <f t="shared" si="31"/>
        <v>4.2086951642092565E-5</v>
      </c>
    </row>
    <row r="1920" spans="2:4" x14ac:dyDescent="0.25">
      <c r="B1920" t="s">
        <v>8251</v>
      </c>
      <c r="C1920" s="71">
        <v>3</v>
      </c>
      <c r="D1920" s="75">
        <f t="shared" si="31"/>
        <v>4.2086951642092565E-5</v>
      </c>
    </row>
    <row r="1921" spans="2:4" x14ac:dyDescent="0.25">
      <c r="B1921" t="s">
        <v>8252</v>
      </c>
      <c r="C1921" s="71">
        <v>3</v>
      </c>
      <c r="D1921" s="75">
        <f t="shared" si="31"/>
        <v>4.2086951642092565E-5</v>
      </c>
    </row>
    <row r="1922" spans="2:4" x14ac:dyDescent="0.25">
      <c r="B1922" t="s">
        <v>8253</v>
      </c>
      <c r="C1922" s="71">
        <v>3</v>
      </c>
      <c r="D1922" s="75">
        <f t="shared" si="31"/>
        <v>4.2086951642092565E-5</v>
      </c>
    </row>
    <row r="1923" spans="2:4" x14ac:dyDescent="0.25">
      <c r="B1923" t="s">
        <v>8254</v>
      </c>
      <c r="C1923" s="71">
        <v>3</v>
      </c>
      <c r="D1923" s="75">
        <f t="shared" si="31"/>
        <v>4.2086951642092565E-5</v>
      </c>
    </row>
    <row r="1924" spans="2:4" x14ac:dyDescent="0.25">
      <c r="B1924" t="s">
        <v>8255</v>
      </c>
      <c r="C1924" s="71">
        <v>3</v>
      </c>
      <c r="D1924" s="75">
        <f t="shared" si="31"/>
        <v>4.2086951642092565E-5</v>
      </c>
    </row>
    <row r="1925" spans="2:4" x14ac:dyDescent="0.25">
      <c r="B1925" t="s">
        <v>8256</v>
      </c>
      <c r="C1925" s="71">
        <v>3</v>
      </c>
      <c r="D1925" s="75">
        <f t="shared" si="31"/>
        <v>4.2086951642092565E-5</v>
      </c>
    </row>
    <row r="1926" spans="2:4" x14ac:dyDescent="0.25">
      <c r="B1926" t="s">
        <v>8257</v>
      </c>
      <c r="C1926" s="71">
        <v>3</v>
      </c>
      <c r="D1926" s="75">
        <f t="shared" ref="D1926:D1989" si="32">C1926/$C$4822</f>
        <v>4.2086951642092565E-5</v>
      </c>
    </row>
    <row r="1927" spans="2:4" x14ac:dyDescent="0.25">
      <c r="B1927" t="s">
        <v>8258</v>
      </c>
      <c r="C1927" s="71">
        <v>3</v>
      </c>
      <c r="D1927" s="75">
        <f t="shared" si="32"/>
        <v>4.2086951642092565E-5</v>
      </c>
    </row>
    <row r="1928" spans="2:4" x14ac:dyDescent="0.25">
      <c r="B1928" t="s">
        <v>8259</v>
      </c>
      <c r="C1928" s="71">
        <v>3</v>
      </c>
      <c r="D1928" s="75">
        <f t="shared" si="32"/>
        <v>4.2086951642092565E-5</v>
      </c>
    </row>
    <row r="1929" spans="2:4" x14ac:dyDescent="0.25">
      <c r="B1929" t="s">
        <v>8260</v>
      </c>
      <c r="C1929" s="71">
        <v>3</v>
      </c>
      <c r="D1929" s="75">
        <f t="shared" si="32"/>
        <v>4.2086951642092565E-5</v>
      </c>
    </row>
    <row r="1930" spans="2:4" x14ac:dyDescent="0.25">
      <c r="B1930" t="s">
        <v>8261</v>
      </c>
      <c r="C1930" s="71">
        <v>3</v>
      </c>
      <c r="D1930" s="75">
        <f t="shared" si="32"/>
        <v>4.2086951642092565E-5</v>
      </c>
    </row>
    <row r="1931" spans="2:4" x14ac:dyDescent="0.25">
      <c r="B1931" t="s">
        <v>8262</v>
      </c>
      <c r="C1931" s="71">
        <v>3</v>
      </c>
      <c r="D1931" s="75">
        <f t="shared" si="32"/>
        <v>4.2086951642092565E-5</v>
      </c>
    </row>
    <row r="1932" spans="2:4" x14ac:dyDescent="0.25">
      <c r="B1932" t="s">
        <v>8263</v>
      </c>
      <c r="C1932" s="71">
        <v>3</v>
      </c>
      <c r="D1932" s="75">
        <f t="shared" si="32"/>
        <v>4.2086951642092565E-5</v>
      </c>
    </row>
    <row r="1933" spans="2:4" x14ac:dyDescent="0.25">
      <c r="B1933" t="s">
        <v>8264</v>
      </c>
      <c r="C1933" s="71">
        <v>3</v>
      </c>
      <c r="D1933" s="75">
        <f t="shared" si="32"/>
        <v>4.2086951642092565E-5</v>
      </c>
    </row>
    <row r="1934" spans="2:4" x14ac:dyDescent="0.25">
      <c r="B1934" t="s">
        <v>8265</v>
      </c>
      <c r="C1934" s="71">
        <v>3</v>
      </c>
      <c r="D1934" s="75">
        <f t="shared" si="32"/>
        <v>4.2086951642092565E-5</v>
      </c>
    </row>
    <row r="1935" spans="2:4" x14ac:dyDescent="0.25">
      <c r="B1935" t="s">
        <v>8266</v>
      </c>
      <c r="C1935" s="71">
        <v>3</v>
      </c>
      <c r="D1935" s="75">
        <f t="shared" si="32"/>
        <v>4.2086951642092565E-5</v>
      </c>
    </row>
    <row r="1936" spans="2:4" x14ac:dyDescent="0.25">
      <c r="B1936" t="s">
        <v>8267</v>
      </c>
      <c r="C1936" s="71">
        <v>3</v>
      </c>
      <c r="D1936" s="75">
        <f t="shared" si="32"/>
        <v>4.2086951642092565E-5</v>
      </c>
    </row>
    <row r="1937" spans="2:4" x14ac:dyDescent="0.25">
      <c r="B1937" t="s">
        <v>8268</v>
      </c>
      <c r="C1937" s="71">
        <v>3</v>
      </c>
      <c r="D1937" s="75">
        <f t="shared" si="32"/>
        <v>4.2086951642092565E-5</v>
      </c>
    </row>
    <row r="1938" spans="2:4" x14ac:dyDescent="0.25">
      <c r="B1938" t="s">
        <v>8269</v>
      </c>
      <c r="C1938" s="71">
        <v>3</v>
      </c>
      <c r="D1938" s="75">
        <f t="shared" si="32"/>
        <v>4.2086951642092565E-5</v>
      </c>
    </row>
    <row r="1939" spans="2:4" x14ac:dyDescent="0.25">
      <c r="B1939" t="s">
        <v>8270</v>
      </c>
      <c r="C1939" s="71">
        <v>3</v>
      </c>
      <c r="D1939" s="75">
        <f t="shared" si="32"/>
        <v>4.2086951642092565E-5</v>
      </c>
    </row>
    <row r="1940" spans="2:4" x14ac:dyDescent="0.25">
      <c r="B1940" t="s">
        <v>8271</v>
      </c>
      <c r="C1940" s="71">
        <v>3</v>
      </c>
      <c r="D1940" s="75">
        <f t="shared" si="32"/>
        <v>4.2086951642092565E-5</v>
      </c>
    </row>
    <row r="1941" spans="2:4" x14ac:dyDescent="0.25">
      <c r="B1941" t="s">
        <v>8272</v>
      </c>
      <c r="C1941" s="71">
        <v>3</v>
      </c>
      <c r="D1941" s="75">
        <f t="shared" si="32"/>
        <v>4.2086951642092565E-5</v>
      </c>
    </row>
    <row r="1942" spans="2:4" x14ac:dyDescent="0.25">
      <c r="B1942" t="s">
        <v>8273</v>
      </c>
      <c r="C1942" s="71">
        <v>3</v>
      </c>
      <c r="D1942" s="75">
        <f t="shared" si="32"/>
        <v>4.2086951642092565E-5</v>
      </c>
    </row>
    <row r="1943" spans="2:4" x14ac:dyDescent="0.25">
      <c r="B1943" t="s">
        <v>8274</v>
      </c>
      <c r="C1943" s="71">
        <v>3</v>
      </c>
      <c r="D1943" s="75">
        <f t="shared" si="32"/>
        <v>4.2086951642092565E-5</v>
      </c>
    </row>
    <row r="1944" spans="2:4" x14ac:dyDescent="0.25">
      <c r="B1944" t="s">
        <v>8275</v>
      </c>
      <c r="C1944" s="71">
        <v>3</v>
      </c>
      <c r="D1944" s="75">
        <f t="shared" si="32"/>
        <v>4.2086951642092565E-5</v>
      </c>
    </row>
    <row r="1945" spans="2:4" x14ac:dyDescent="0.25">
      <c r="B1945" t="s">
        <v>8276</v>
      </c>
      <c r="C1945" s="71">
        <v>3</v>
      </c>
      <c r="D1945" s="75">
        <f t="shared" si="32"/>
        <v>4.2086951642092565E-5</v>
      </c>
    </row>
    <row r="1946" spans="2:4" x14ac:dyDescent="0.25">
      <c r="B1946" t="s">
        <v>8277</v>
      </c>
      <c r="C1946" s="71">
        <v>3</v>
      </c>
      <c r="D1946" s="75">
        <f t="shared" si="32"/>
        <v>4.2086951642092565E-5</v>
      </c>
    </row>
    <row r="1947" spans="2:4" x14ac:dyDescent="0.25">
      <c r="B1947" t="s">
        <v>8278</v>
      </c>
      <c r="C1947" s="71">
        <v>3</v>
      </c>
      <c r="D1947" s="75">
        <f t="shared" si="32"/>
        <v>4.2086951642092565E-5</v>
      </c>
    </row>
    <row r="1948" spans="2:4" x14ac:dyDescent="0.25">
      <c r="B1948" t="s">
        <v>8279</v>
      </c>
      <c r="C1948" s="71">
        <v>3</v>
      </c>
      <c r="D1948" s="75">
        <f t="shared" si="32"/>
        <v>4.2086951642092565E-5</v>
      </c>
    </row>
    <row r="1949" spans="2:4" x14ac:dyDescent="0.25">
      <c r="B1949" t="s">
        <v>8280</v>
      </c>
      <c r="C1949" s="71">
        <v>3</v>
      </c>
      <c r="D1949" s="75">
        <f t="shared" si="32"/>
        <v>4.2086951642092565E-5</v>
      </c>
    </row>
    <row r="1950" spans="2:4" x14ac:dyDescent="0.25">
      <c r="B1950" t="s">
        <v>8281</v>
      </c>
      <c r="C1950" s="71">
        <v>3</v>
      </c>
      <c r="D1950" s="75">
        <f t="shared" si="32"/>
        <v>4.2086951642092565E-5</v>
      </c>
    </row>
    <row r="1951" spans="2:4" x14ac:dyDescent="0.25">
      <c r="B1951" t="s">
        <v>8282</v>
      </c>
      <c r="C1951" s="71">
        <v>3</v>
      </c>
      <c r="D1951" s="75">
        <f t="shared" si="32"/>
        <v>4.2086951642092565E-5</v>
      </c>
    </row>
    <row r="1952" spans="2:4" x14ac:dyDescent="0.25">
      <c r="B1952" t="s">
        <v>8283</v>
      </c>
      <c r="C1952" s="71">
        <v>3</v>
      </c>
      <c r="D1952" s="75">
        <f t="shared" si="32"/>
        <v>4.2086951642092565E-5</v>
      </c>
    </row>
    <row r="1953" spans="2:4" x14ac:dyDescent="0.25">
      <c r="B1953" t="s">
        <v>8284</v>
      </c>
      <c r="C1953" s="71">
        <v>3</v>
      </c>
      <c r="D1953" s="75">
        <f t="shared" si="32"/>
        <v>4.2086951642092565E-5</v>
      </c>
    </row>
    <row r="1954" spans="2:4" x14ac:dyDescent="0.25">
      <c r="B1954" t="s">
        <v>8285</v>
      </c>
      <c r="C1954" s="71">
        <v>3</v>
      </c>
      <c r="D1954" s="75">
        <f t="shared" si="32"/>
        <v>4.2086951642092565E-5</v>
      </c>
    </row>
    <row r="1955" spans="2:4" x14ac:dyDescent="0.25">
      <c r="B1955" t="s">
        <v>8286</v>
      </c>
      <c r="C1955" s="71">
        <v>3</v>
      </c>
      <c r="D1955" s="75">
        <f t="shared" si="32"/>
        <v>4.2086951642092565E-5</v>
      </c>
    </row>
    <row r="1956" spans="2:4" x14ac:dyDescent="0.25">
      <c r="B1956" t="s">
        <v>8287</v>
      </c>
      <c r="C1956" s="71">
        <v>3</v>
      </c>
      <c r="D1956" s="75">
        <f t="shared" si="32"/>
        <v>4.2086951642092565E-5</v>
      </c>
    </row>
    <row r="1957" spans="2:4" x14ac:dyDescent="0.25">
      <c r="B1957" t="s">
        <v>8288</v>
      </c>
      <c r="C1957" s="71">
        <v>3</v>
      </c>
      <c r="D1957" s="75">
        <f t="shared" si="32"/>
        <v>4.2086951642092565E-5</v>
      </c>
    </row>
    <row r="1958" spans="2:4" x14ac:dyDescent="0.25">
      <c r="B1958" t="s">
        <v>8289</v>
      </c>
      <c r="C1958" s="71">
        <v>3</v>
      </c>
      <c r="D1958" s="75">
        <f t="shared" si="32"/>
        <v>4.2086951642092565E-5</v>
      </c>
    </row>
    <row r="1959" spans="2:4" x14ac:dyDescent="0.25">
      <c r="B1959" t="s">
        <v>8290</v>
      </c>
      <c r="C1959" s="71">
        <v>3</v>
      </c>
      <c r="D1959" s="75">
        <f t="shared" si="32"/>
        <v>4.2086951642092565E-5</v>
      </c>
    </row>
    <row r="1960" spans="2:4" x14ac:dyDescent="0.25">
      <c r="B1960" t="s">
        <v>8291</v>
      </c>
      <c r="C1960" s="71">
        <v>3</v>
      </c>
      <c r="D1960" s="75">
        <f t="shared" si="32"/>
        <v>4.2086951642092565E-5</v>
      </c>
    </row>
    <row r="1961" spans="2:4" x14ac:dyDescent="0.25">
      <c r="B1961" t="s">
        <v>8292</v>
      </c>
      <c r="C1961" s="71">
        <v>3</v>
      </c>
      <c r="D1961" s="75">
        <f t="shared" si="32"/>
        <v>4.2086951642092565E-5</v>
      </c>
    </row>
    <row r="1962" spans="2:4" x14ac:dyDescent="0.25">
      <c r="B1962" t="s">
        <v>8293</v>
      </c>
      <c r="C1962" s="71">
        <v>3</v>
      </c>
      <c r="D1962" s="75">
        <f t="shared" si="32"/>
        <v>4.2086951642092565E-5</v>
      </c>
    </row>
    <row r="1963" spans="2:4" x14ac:dyDescent="0.25">
      <c r="B1963" t="s">
        <v>8294</v>
      </c>
      <c r="C1963" s="71">
        <v>3</v>
      </c>
      <c r="D1963" s="75">
        <f t="shared" si="32"/>
        <v>4.2086951642092565E-5</v>
      </c>
    </row>
    <row r="1964" spans="2:4" x14ac:dyDescent="0.25">
      <c r="B1964" t="s">
        <v>8295</v>
      </c>
      <c r="C1964" s="71">
        <v>3</v>
      </c>
      <c r="D1964" s="75">
        <f t="shared" si="32"/>
        <v>4.2086951642092565E-5</v>
      </c>
    </row>
    <row r="1965" spans="2:4" x14ac:dyDescent="0.25">
      <c r="B1965" t="s">
        <v>8296</v>
      </c>
      <c r="C1965" s="71">
        <v>3</v>
      </c>
      <c r="D1965" s="75">
        <f t="shared" si="32"/>
        <v>4.2086951642092565E-5</v>
      </c>
    </row>
    <row r="1966" spans="2:4" x14ac:dyDescent="0.25">
      <c r="B1966" t="s">
        <v>8297</v>
      </c>
      <c r="C1966" s="71">
        <v>3</v>
      </c>
      <c r="D1966" s="75">
        <f t="shared" si="32"/>
        <v>4.2086951642092565E-5</v>
      </c>
    </row>
    <row r="1967" spans="2:4" x14ac:dyDescent="0.25">
      <c r="B1967" t="s">
        <v>8298</v>
      </c>
      <c r="C1967" s="71">
        <v>2</v>
      </c>
      <c r="D1967" s="75">
        <f t="shared" si="32"/>
        <v>2.8057967761395041E-5</v>
      </c>
    </row>
    <row r="1968" spans="2:4" x14ac:dyDescent="0.25">
      <c r="B1968" t="s">
        <v>8299</v>
      </c>
      <c r="C1968" s="71">
        <v>2</v>
      </c>
      <c r="D1968" s="75">
        <f t="shared" si="32"/>
        <v>2.8057967761395041E-5</v>
      </c>
    </row>
    <row r="1969" spans="2:4" x14ac:dyDescent="0.25">
      <c r="B1969" t="s">
        <v>8300</v>
      </c>
      <c r="C1969" s="71">
        <v>2</v>
      </c>
      <c r="D1969" s="75">
        <f t="shared" si="32"/>
        <v>2.8057967761395041E-5</v>
      </c>
    </row>
    <row r="1970" spans="2:4" x14ac:dyDescent="0.25">
      <c r="B1970" t="s">
        <v>8301</v>
      </c>
      <c r="C1970" s="71">
        <v>2</v>
      </c>
      <c r="D1970" s="75">
        <f t="shared" si="32"/>
        <v>2.8057967761395041E-5</v>
      </c>
    </row>
    <row r="1971" spans="2:4" x14ac:dyDescent="0.25">
      <c r="B1971" t="s">
        <v>8302</v>
      </c>
      <c r="C1971" s="71">
        <v>2</v>
      </c>
      <c r="D1971" s="75">
        <f t="shared" si="32"/>
        <v>2.8057967761395041E-5</v>
      </c>
    </row>
    <row r="1972" spans="2:4" x14ac:dyDescent="0.25">
      <c r="B1972" t="s">
        <v>8303</v>
      </c>
      <c r="C1972" s="71">
        <v>2</v>
      </c>
      <c r="D1972" s="75">
        <f t="shared" si="32"/>
        <v>2.8057967761395041E-5</v>
      </c>
    </row>
    <row r="1973" spans="2:4" x14ac:dyDescent="0.25">
      <c r="B1973" t="s">
        <v>8304</v>
      </c>
      <c r="C1973" s="71">
        <v>2</v>
      </c>
      <c r="D1973" s="75">
        <f t="shared" si="32"/>
        <v>2.8057967761395041E-5</v>
      </c>
    </row>
    <row r="1974" spans="2:4" x14ac:dyDescent="0.25">
      <c r="B1974" t="s">
        <v>8305</v>
      </c>
      <c r="C1974" s="71">
        <v>2</v>
      </c>
      <c r="D1974" s="75">
        <f t="shared" si="32"/>
        <v>2.8057967761395041E-5</v>
      </c>
    </row>
    <row r="1975" spans="2:4" x14ac:dyDescent="0.25">
      <c r="B1975" t="s">
        <v>8306</v>
      </c>
      <c r="C1975" s="71">
        <v>2</v>
      </c>
      <c r="D1975" s="75">
        <f t="shared" si="32"/>
        <v>2.8057967761395041E-5</v>
      </c>
    </row>
    <row r="1976" spans="2:4" x14ac:dyDescent="0.25">
      <c r="B1976" t="s">
        <v>8307</v>
      </c>
      <c r="C1976" s="71">
        <v>2</v>
      </c>
      <c r="D1976" s="75">
        <f t="shared" si="32"/>
        <v>2.8057967761395041E-5</v>
      </c>
    </row>
    <row r="1977" spans="2:4" x14ac:dyDescent="0.25">
      <c r="B1977" t="s">
        <v>8308</v>
      </c>
      <c r="C1977" s="71">
        <v>2</v>
      </c>
      <c r="D1977" s="75">
        <f t="shared" si="32"/>
        <v>2.8057967761395041E-5</v>
      </c>
    </row>
    <row r="1978" spans="2:4" x14ac:dyDescent="0.25">
      <c r="B1978" t="s">
        <v>8309</v>
      </c>
      <c r="C1978" s="71">
        <v>2</v>
      </c>
      <c r="D1978" s="75">
        <f t="shared" si="32"/>
        <v>2.8057967761395041E-5</v>
      </c>
    </row>
    <row r="1979" spans="2:4" x14ac:dyDescent="0.25">
      <c r="B1979" t="s">
        <v>8310</v>
      </c>
      <c r="C1979" s="71">
        <v>2</v>
      </c>
      <c r="D1979" s="75">
        <f t="shared" si="32"/>
        <v>2.8057967761395041E-5</v>
      </c>
    </row>
    <row r="1980" spans="2:4" x14ac:dyDescent="0.25">
      <c r="B1980" t="s">
        <v>8311</v>
      </c>
      <c r="C1980" s="71">
        <v>2</v>
      </c>
      <c r="D1980" s="75">
        <f t="shared" si="32"/>
        <v>2.8057967761395041E-5</v>
      </c>
    </row>
    <row r="1981" spans="2:4" x14ac:dyDescent="0.25">
      <c r="B1981" t="s">
        <v>8312</v>
      </c>
      <c r="C1981" s="71">
        <v>2</v>
      </c>
      <c r="D1981" s="75">
        <f t="shared" si="32"/>
        <v>2.8057967761395041E-5</v>
      </c>
    </row>
    <row r="1982" spans="2:4" x14ac:dyDescent="0.25">
      <c r="B1982" t="s">
        <v>8313</v>
      </c>
      <c r="C1982" s="71">
        <v>2</v>
      </c>
      <c r="D1982" s="75">
        <f t="shared" si="32"/>
        <v>2.8057967761395041E-5</v>
      </c>
    </row>
    <row r="1983" spans="2:4" x14ac:dyDescent="0.25">
      <c r="B1983" t="s">
        <v>8314</v>
      </c>
      <c r="C1983" s="71">
        <v>2</v>
      </c>
      <c r="D1983" s="75">
        <f t="shared" si="32"/>
        <v>2.8057967761395041E-5</v>
      </c>
    </row>
    <row r="1984" spans="2:4" x14ac:dyDescent="0.25">
      <c r="B1984" t="s">
        <v>8315</v>
      </c>
      <c r="C1984" s="71">
        <v>2</v>
      </c>
      <c r="D1984" s="75">
        <f t="shared" si="32"/>
        <v>2.8057967761395041E-5</v>
      </c>
    </row>
    <row r="1985" spans="2:4" x14ac:dyDescent="0.25">
      <c r="B1985" t="s">
        <v>8316</v>
      </c>
      <c r="C1985" s="71">
        <v>2</v>
      </c>
      <c r="D1985" s="75">
        <f t="shared" si="32"/>
        <v>2.8057967761395041E-5</v>
      </c>
    </row>
    <row r="1986" spans="2:4" x14ac:dyDescent="0.25">
      <c r="B1986" t="s">
        <v>8317</v>
      </c>
      <c r="C1986" s="71">
        <v>2</v>
      </c>
      <c r="D1986" s="75">
        <f t="shared" si="32"/>
        <v>2.8057967761395041E-5</v>
      </c>
    </row>
    <row r="1987" spans="2:4" x14ac:dyDescent="0.25">
      <c r="B1987" t="s">
        <v>8318</v>
      </c>
      <c r="C1987" s="71">
        <v>2</v>
      </c>
      <c r="D1987" s="75">
        <f t="shared" si="32"/>
        <v>2.8057967761395041E-5</v>
      </c>
    </row>
    <row r="1988" spans="2:4" x14ac:dyDescent="0.25">
      <c r="B1988" t="s">
        <v>8319</v>
      </c>
      <c r="C1988" s="71">
        <v>2</v>
      </c>
      <c r="D1988" s="75">
        <f t="shared" si="32"/>
        <v>2.8057967761395041E-5</v>
      </c>
    </row>
    <row r="1989" spans="2:4" x14ac:dyDescent="0.25">
      <c r="B1989" t="s">
        <v>8320</v>
      </c>
      <c r="C1989" s="71">
        <v>2</v>
      </c>
      <c r="D1989" s="75">
        <f t="shared" si="32"/>
        <v>2.8057967761395041E-5</v>
      </c>
    </row>
    <row r="1990" spans="2:4" x14ac:dyDescent="0.25">
      <c r="B1990" t="s">
        <v>8321</v>
      </c>
      <c r="C1990" s="71">
        <v>2</v>
      </c>
      <c r="D1990" s="75">
        <f t="shared" ref="D1990:D2053" si="33">C1990/$C$4822</f>
        <v>2.8057967761395041E-5</v>
      </c>
    </row>
    <row r="1991" spans="2:4" x14ac:dyDescent="0.25">
      <c r="B1991" t="s">
        <v>8322</v>
      </c>
      <c r="C1991" s="71">
        <v>2</v>
      </c>
      <c r="D1991" s="75">
        <f t="shared" si="33"/>
        <v>2.8057967761395041E-5</v>
      </c>
    </row>
    <row r="1992" spans="2:4" x14ac:dyDescent="0.25">
      <c r="B1992" t="s">
        <v>8323</v>
      </c>
      <c r="C1992" s="71">
        <v>2</v>
      </c>
      <c r="D1992" s="75">
        <f t="shared" si="33"/>
        <v>2.8057967761395041E-5</v>
      </c>
    </row>
    <row r="1993" spans="2:4" x14ac:dyDescent="0.25">
      <c r="B1993" t="s">
        <v>8324</v>
      </c>
      <c r="C1993" s="71">
        <v>2</v>
      </c>
      <c r="D1993" s="75">
        <f t="shared" si="33"/>
        <v>2.8057967761395041E-5</v>
      </c>
    </row>
    <row r="1994" spans="2:4" x14ac:dyDescent="0.25">
      <c r="B1994" t="s">
        <v>8325</v>
      </c>
      <c r="C1994" s="71">
        <v>2</v>
      </c>
      <c r="D1994" s="75">
        <f t="shared" si="33"/>
        <v>2.8057967761395041E-5</v>
      </c>
    </row>
    <row r="1995" spans="2:4" x14ac:dyDescent="0.25">
      <c r="B1995" t="s">
        <v>8326</v>
      </c>
      <c r="C1995" s="71">
        <v>2</v>
      </c>
      <c r="D1995" s="75">
        <f t="shared" si="33"/>
        <v>2.8057967761395041E-5</v>
      </c>
    </row>
    <row r="1996" spans="2:4" x14ac:dyDescent="0.25">
      <c r="B1996" t="s">
        <v>8327</v>
      </c>
      <c r="C1996" s="71">
        <v>2</v>
      </c>
      <c r="D1996" s="75">
        <f t="shared" si="33"/>
        <v>2.8057967761395041E-5</v>
      </c>
    </row>
    <row r="1997" spans="2:4" x14ac:dyDescent="0.25">
      <c r="B1997" t="s">
        <v>8328</v>
      </c>
      <c r="C1997" s="71">
        <v>2</v>
      </c>
      <c r="D1997" s="75">
        <f t="shared" si="33"/>
        <v>2.8057967761395041E-5</v>
      </c>
    </row>
    <row r="1998" spans="2:4" x14ac:dyDescent="0.25">
      <c r="B1998" t="s">
        <v>8329</v>
      </c>
      <c r="C1998" s="71">
        <v>2</v>
      </c>
      <c r="D1998" s="75">
        <f t="shared" si="33"/>
        <v>2.8057967761395041E-5</v>
      </c>
    </row>
    <row r="1999" spans="2:4" x14ac:dyDescent="0.25">
      <c r="B1999" t="s">
        <v>8330</v>
      </c>
      <c r="C1999" s="71">
        <v>2</v>
      </c>
      <c r="D1999" s="75">
        <f t="shared" si="33"/>
        <v>2.8057967761395041E-5</v>
      </c>
    </row>
    <row r="2000" spans="2:4" x14ac:dyDescent="0.25">
      <c r="B2000" t="s">
        <v>8331</v>
      </c>
      <c r="C2000" s="71">
        <v>2</v>
      </c>
      <c r="D2000" s="75">
        <f t="shared" si="33"/>
        <v>2.8057967761395041E-5</v>
      </c>
    </row>
    <row r="2001" spans="2:4" x14ac:dyDescent="0.25">
      <c r="B2001" t="s">
        <v>8332</v>
      </c>
      <c r="C2001" s="71">
        <v>2</v>
      </c>
      <c r="D2001" s="75">
        <f t="shared" si="33"/>
        <v>2.8057967761395041E-5</v>
      </c>
    </row>
    <row r="2002" spans="2:4" x14ac:dyDescent="0.25">
      <c r="B2002" t="s">
        <v>8333</v>
      </c>
      <c r="C2002" s="71">
        <v>2</v>
      </c>
      <c r="D2002" s="75">
        <f t="shared" si="33"/>
        <v>2.8057967761395041E-5</v>
      </c>
    </row>
    <row r="2003" spans="2:4" x14ac:dyDescent="0.25">
      <c r="B2003" t="s">
        <v>8334</v>
      </c>
      <c r="C2003" s="71">
        <v>2</v>
      </c>
      <c r="D2003" s="75">
        <f t="shared" si="33"/>
        <v>2.8057967761395041E-5</v>
      </c>
    </row>
    <row r="2004" spans="2:4" x14ac:dyDescent="0.25">
      <c r="B2004" t="s">
        <v>8335</v>
      </c>
      <c r="C2004" s="71">
        <v>2</v>
      </c>
      <c r="D2004" s="75">
        <f t="shared" si="33"/>
        <v>2.8057967761395041E-5</v>
      </c>
    </row>
    <row r="2005" spans="2:4" x14ac:dyDescent="0.25">
      <c r="B2005" t="s">
        <v>8336</v>
      </c>
      <c r="C2005" s="71">
        <v>2</v>
      </c>
      <c r="D2005" s="75">
        <f t="shared" si="33"/>
        <v>2.8057967761395041E-5</v>
      </c>
    </row>
    <row r="2006" spans="2:4" x14ac:dyDescent="0.25">
      <c r="B2006" t="s">
        <v>8337</v>
      </c>
      <c r="C2006" s="71">
        <v>2</v>
      </c>
      <c r="D2006" s="75">
        <f t="shared" si="33"/>
        <v>2.8057967761395041E-5</v>
      </c>
    </row>
    <row r="2007" spans="2:4" x14ac:dyDescent="0.25">
      <c r="B2007" t="s">
        <v>8338</v>
      </c>
      <c r="C2007" s="71">
        <v>2</v>
      </c>
      <c r="D2007" s="75">
        <f t="shared" si="33"/>
        <v>2.8057967761395041E-5</v>
      </c>
    </row>
    <row r="2008" spans="2:4" x14ac:dyDescent="0.25">
      <c r="B2008" t="s">
        <v>8339</v>
      </c>
      <c r="C2008" s="71">
        <v>2</v>
      </c>
      <c r="D2008" s="75">
        <f t="shared" si="33"/>
        <v>2.8057967761395041E-5</v>
      </c>
    </row>
    <row r="2009" spans="2:4" x14ac:dyDescent="0.25">
      <c r="B2009" t="s">
        <v>8340</v>
      </c>
      <c r="C2009" s="71">
        <v>2</v>
      </c>
      <c r="D2009" s="75">
        <f t="shared" si="33"/>
        <v>2.8057967761395041E-5</v>
      </c>
    </row>
    <row r="2010" spans="2:4" x14ac:dyDescent="0.25">
      <c r="B2010" t="s">
        <v>8341</v>
      </c>
      <c r="C2010" s="71">
        <v>2</v>
      </c>
      <c r="D2010" s="75">
        <f t="shared" si="33"/>
        <v>2.8057967761395041E-5</v>
      </c>
    </row>
    <row r="2011" spans="2:4" x14ac:dyDescent="0.25">
      <c r="B2011" t="s">
        <v>8342</v>
      </c>
      <c r="C2011" s="71">
        <v>2</v>
      </c>
      <c r="D2011" s="75">
        <f t="shared" si="33"/>
        <v>2.8057967761395041E-5</v>
      </c>
    </row>
    <row r="2012" spans="2:4" x14ac:dyDescent="0.25">
      <c r="B2012" t="s">
        <v>8343</v>
      </c>
      <c r="C2012" s="71">
        <v>2</v>
      </c>
      <c r="D2012" s="75">
        <f t="shared" si="33"/>
        <v>2.8057967761395041E-5</v>
      </c>
    </row>
    <row r="2013" spans="2:4" x14ac:dyDescent="0.25">
      <c r="B2013" t="s">
        <v>8344</v>
      </c>
      <c r="C2013" s="71">
        <v>2</v>
      </c>
      <c r="D2013" s="75">
        <f t="shared" si="33"/>
        <v>2.8057967761395041E-5</v>
      </c>
    </row>
    <row r="2014" spans="2:4" x14ac:dyDescent="0.25">
      <c r="B2014" t="s">
        <v>8345</v>
      </c>
      <c r="C2014" s="71">
        <v>2</v>
      </c>
      <c r="D2014" s="75">
        <f t="shared" si="33"/>
        <v>2.8057967761395041E-5</v>
      </c>
    </row>
    <row r="2015" spans="2:4" x14ac:dyDescent="0.25">
      <c r="B2015" t="s">
        <v>8346</v>
      </c>
      <c r="C2015" s="71">
        <v>2</v>
      </c>
      <c r="D2015" s="75">
        <f t="shared" si="33"/>
        <v>2.8057967761395041E-5</v>
      </c>
    </row>
    <row r="2016" spans="2:4" x14ac:dyDescent="0.25">
      <c r="B2016" t="s">
        <v>8347</v>
      </c>
      <c r="C2016" s="71">
        <v>2</v>
      </c>
      <c r="D2016" s="75">
        <f t="shared" si="33"/>
        <v>2.8057967761395041E-5</v>
      </c>
    </row>
    <row r="2017" spans="2:4" x14ac:dyDescent="0.25">
      <c r="B2017" t="s">
        <v>8348</v>
      </c>
      <c r="C2017" s="71">
        <v>2</v>
      </c>
      <c r="D2017" s="75">
        <f t="shared" si="33"/>
        <v>2.8057967761395041E-5</v>
      </c>
    </row>
    <row r="2018" spans="2:4" x14ac:dyDescent="0.25">
      <c r="B2018" t="s">
        <v>8349</v>
      </c>
      <c r="C2018" s="71">
        <v>2</v>
      </c>
      <c r="D2018" s="75">
        <f t="shared" si="33"/>
        <v>2.8057967761395041E-5</v>
      </c>
    </row>
    <row r="2019" spans="2:4" x14ac:dyDescent="0.25">
      <c r="B2019" t="s">
        <v>8350</v>
      </c>
      <c r="C2019" s="71">
        <v>2</v>
      </c>
      <c r="D2019" s="75">
        <f t="shared" si="33"/>
        <v>2.8057967761395041E-5</v>
      </c>
    </row>
    <row r="2020" spans="2:4" x14ac:dyDescent="0.25">
      <c r="B2020" t="s">
        <v>8351</v>
      </c>
      <c r="C2020" s="71">
        <v>2</v>
      </c>
      <c r="D2020" s="75">
        <f t="shared" si="33"/>
        <v>2.8057967761395041E-5</v>
      </c>
    </row>
    <row r="2021" spans="2:4" x14ac:dyDescent="0.25">
      <c r="B2021" t="s">
        <v>8352</v>
      </c>
      <c r="C2021" s="71">
        <v>2</v>
      </c>
      <c r="D2021" s="75">
        <f t="shared" si="33"/>
        <v>2.8057967761395041E-5</v>
      </c>
    </row>
    <row r="2022" spans="2:4" x14ac:dyDescent="0.25">
      <c r="B2022" t="s">
        <v>8353</v>
      </c>
      <c r="C2022" s="71">
        <v>2</v>
      </c>
      <c r="D2022" s="75">
        <f t="shared" si="33"/>
        <v>2.8057967761395041E-5</v>
      </c>
    </row>
    <row r="2023" spans="2:4" x14ac:dyDescent="0.25">
      <c r="B2023" t="s">
        <v>8354</v>
      </c>
      <c r="C2023" s="71">
        <v>2</v>
      </c>
      <c r="D2023" s="75">
        <f t="shared" si="33"/>
        <v>2.8057967761395041E-5</v>
      </c>
    </row>
    <row r="2024" spans="2:4" x14ac:dyDescent="0.25">
      <c r="B2024" t="s">
        <v>8355</v>
      </c>
      <c r="C2024" s="71">
        <v>2</v>
      </c>
      <c r="D2024" s="75">
        <f t="shared" si="33"/>
        <v>2.8057967761395041E-5</v>
      </c>
    </row>
    <row r="2025" spans="2:4" x14ac:dyDescent="0.25">
      <c r="B2025" t="s">
        <v>8356</v>
      </c>
      <c r="C2025" s="71">
        <v>2</v>
      </c>
      <c r="D2025" s="75">
        <f t="shared" si="33"/>
        <v>2.8057967761395041E-5</v>
      </c>
    </row>
    <row r="2026" spans="2:4" x14ac:dyDescent="0.25">
      <c r="B2026" t="s">
        <v>8357</v>
      </c>
      <c r="C2026" s="71">
        <v>2</v>
      </c>
      <c r="D2026" s="75">
        <f t="shared" si="33"/>
        <v>2.8057967761395041E-5</v>
      </c>
    </row>
    <row r="2027" spans="2:4" x14ac:dyDescent="0.25">
      <c r="B2027" t="s">
        <v>8358</v>
      </c>
      <c r="C2027" s="71">
        <v>2</v>
      </c>
      <c r="D2027" s="75">
        <f t="shared" si="33"/>
        <v>2.8057967761395041E-5</v>
      </c>
    </row>
    <row r="2028" spans="2:4" x14ac:dyDescent="0.25">
      <c r="B2028" t="s">
        <v>8359</v>
      </c>
      <c r="C2028" s="71">
        <v>2</v>
      </c>
      <c r="D2028" s="75">
        <f t="shared" si="33"/>
        <v>2.8057967761395041E-5</v>
      </c>
    </row>
    <row r="2029" spans="2:4" x14ac:dyDescent="0.25">
      <c r="B2029" t="s">
        <v>8360</v>
      </c>
      <c r="C2029" s="71">
        <v>2</v>
      </c>
      <c r="D2029" s="75">
        <f t="shared" si="33"/>
        <v>2.8057967761395041E-5</v>
      </c>
    </row>
    <row r="2030" spans="2:4" x14ac:dyDescent="0.25">
      <c r="B2030" t="s">
        <v>8361</v>
      </c>
      <c r="C2030" s="71">
        <v>2</v>
      </c>
      <c r="D2030" s="75">
        <f t="shared" si="33"/>
        <v>2.8057967761395041E-5</v>
      </c>
    </row>
    <row r="2031" spans="2:4" x14ac:dyDescent="0.25">
      <c r="B2031" t="s">
        <v>8362</v>
      </c>
      <c r="C2031" s="71">
        <v>2</v>
      </c>
      <c r="D2031" s="75">
        <f t="shared" si="33"/>
        <v>2.8057967761395041E-5</v>
      </c>
    </row>
    <row r="2032" spans="2:4" x14ac:dyDescent="0.25">
      <c r="B2032" t="s">
        <v>8363</v>
      </c>
      <c r="C2032" s="71">
        <v>2</v>
      </c>
      <c r="D2032" s="75">
        <f t="shared" si="33"/>
        <v>2.8057967761395041E-5</v>
      </c>
    </row>
    <row r="2033" spans="2:4" x14ac:dyDescent="0.25">
      <c r="B2033" t="s">
        <v>8364</v>
      </c>
      <c r="C2033" s="71">
        <v>2</v>
      </c>
      <c r="D2033" s="75">
        <f t="shared" si="33"/>
        <v>2.8057967761395041E-5</v>
      </c>
    </row>
    <row r="2034" spans="2:4" x14ac:dyDescent="0.25">
      <c r="B2034" t="s">
        <v>8365</v>
      </c>
      <c r="C2034" s="71">
        <v>2</v>
      </c>
      <c r="D2034" s="75">
        <f t="shared" si="33"/>
        <v>2.8057967761395041E-5</v>
      </c>
    </row>
    <row r="2035" spans="2:4" x14ac:dyDescent="0.25">
      <c r="B2035" t="s">
        <v>8366</v>
      </c>
      <c r="C2035" s="71">
        <v>2</v>
      </c>
      <c r="D2035" s="75">
        <f t="shared" si="33"/>
        <v>2.8057967761395041E-5</v>
      </c>
    </row>
    <row r="2036" spans="2:4" x14ac:dyDescent="0.25">
      <c r="B2036" t="s">
        <v>8367</v>
      </c>
      <c r="C2036" s="71">
        <v>2</v>
      </c>
      <c r="D2036" s="75">
        <f t="shared" si="33"/>
        <v>2.8057967761395041E-5</v>
      </c>
    </row>
    <row r="2037" spans="2:4" x14ac:dyDescent="0.25">
      <c r="B2037" t="s">
        <v>8368</v>
      </c>
      <c r="C2037" s="71">
        <v>2</v>
      </c>
      <c r="D2037" s="75">
        <f t="shared" si="33"/>
        <v>2.8057967761395041E-5</v>
      </c>
    </row>
    <row r="2038" spans="2:4" x14ac:dyDescent="0.25">
      <c r="B2038" t="s">
        <v>8369</v>
      </c>
      <c r="C2038" s="71">
        <v>2</v>
      </c>
      <c r="D2038" s="75">
        <f t="shared" si="33"/>
        <v>2.8057967761395041E-5</v>
      </c>
    </row>
    <row r="2039" spans="2:4" x14ac:dyDescent="0.25">
      <c r="B2039" t="s">
        <v>8370</v>
      </c>
      <c r="C2039" s="71">
        <v>2</v>
      </c>
      <c r="D2039" s="75">
        <f t="shared" si="33"/>
        <v>2.8057967761395041E-5</v>
      </c>
    </row>
    <row r="2040" spans="2:4" x14ac:dyDescent="0.25">
      <c r="B2040" t="s">
        <v>8371</v>
      </c>
      <c r="C2040" s="71">
        <v>2</v>
      </c>
      <c r="D2040" s="75">
        <f t="shared" si="33"/>
        <v>2.8057967761395041E-5</v>
      </c>
    </row>
    <row r="2041" spans="2:4" x14ac:dyDescent="0.25">
      <c r="B2041" t="s">
        <v>8372</v>
      </c>
      <c r="C2041" s="71">
        <v>2</v>
      </c>
      <c r="D2041" s="75">
        <f t="shared" si="33"/>
        <v>2.8057967761395041E-5</v>
      </c>
    </row>
    <row r="2042" spans="2:4" x14ac:dyDescent="0.25">
      <c r="B2042" t="s">
        <v>8373</v>
      </c>
      <c r="C2042" s="71">
        <v>2</v>
      </c>
      <c r="D2042" s="75">
        <f t="shared" si="33"/>
        <v>2.8057967761395041E-5</v>
      </c>
    </row>
    <row r="2043" spans="2:4" x14ac:dyDescent="0.25">
      <c r="B2043" t="s">
        <v>8374</v>
      </c>
      <c r="C2043" s="71">
        <v>2</v>
      </c>
      <c r="D2043" s="75">
        <f t="shared" si="33"/>
        <v>2.8057967761395041E-5</v>
      </c>
    </row>
    <row r="2044" spans="2:4" x14ac:dyDescent="0.25">
      <c r="B2044" t="s">
        <v>8375</v>
      </c>
      <c r="C2044" s="71">
        <v>2</v>
      </c>
      <c r="D2044" s="75">
        <f t="shared" si="33"/>
        <v>2.8057967761395041E-5</v>
      </c>
    </row>
    <row r="2045" spans="2:4" x14ac:dyDescent="0.25">
      <c r="B2045" t="s">
        <v>8376</v>
      </c>
      <c r="C2045" s="71">
        <v>2</v>
      </c>
      <c r="D2045" s="75">
        <f t="shared" si="33"/>
        <v>2.8057967761395041E-5</v>
      </c>
    </row>
    <row r="2046" spans="2:4" x14ac:dyDescent="0.25">
      <c r="B2046" t="s">
        <v>8377</v>
      </c>
      <c r="C2046" s="71">
        <v>2</v>
      </c>
      <c r="D2046" s="75">
        <f t="shared" si="33"/>
        <v>2.8057967761395041E-5</v>
      </c>
    </row>
    <row r="2047" spans="2:4" x14ac:dyDescent="0.25">
      <c r="B2047" t="s">
        <v>8378</v>
      </c>
      <c r="C2047" s="71">
        <v>2</v>
      </c>
      <c r="D2047" s="75">
        <f t="shared" si="33"/>
        <v>2.8057967761395041E-5</v>
      </c>
    </row>
    <row r="2048" spans="2:4" x14ac:dyDescent="0.25">
      <c r="B2048" t="s">
        <v>8379</v>
      </c>
      <c r="C2048" s="71">
        <v>2</v>
      </c>
      <c r="D2048" s="75">
        <f t="shared" si="33"/>
        <v>2.8057967761395041E-5</v>
      </c>
    </row>
    <row r="2049" spans="2:4" x14ac:dyDescent="0.25">
      <c r="B2049" t="s">
        <v>8380</v>
      </c>
      <c r="C2049" s="71">
        <v>2</v>
      </c>
      <c r="D2049" s="75">
        <f t="shared" si="33"/>
        <v>2.8057967761395041E-5</v>
      </c>
    </row>
    <row r="2050" spans="2:4" x14ac:dyDescent="0.25">
      <c r="B2050" t="s">
        <v>8381</v>
      </c>
      <c r="C2050" s="71">
        <v>2</v>
      </c>
      <c r="D2050" s="75">
        <f t="shared" si="33"/>
        <v>2.8057967761395041E-5</v>
      </c>
    </row>
    <row r="2051" spans="2:4" x14ac:dyDescent="0.25">
      <c r="B2051" t="s">
        <v>8382</v>
      </c>
      <c r="C2051" s="71">
        <v>2</v>
      </c>
      <c r="D2051" s="75">
        <f t="shared" si="33"/>
        <v>2.8057967761395041E-5</v>
      </c>
    </row>
    <row r="2052" spans="2:4" x14ac:dyDescent="0.25">
      <c r="B2052" t="s">
        <v>8383</v>
      </c>
      <c r="C2052" s="71">
        <v>2</v>
      </c>
      <c r="D2052" s="75">
        <f t="shared" si="33"/>
        <v>2.8057967761395041E-5</v>
      </c>
    </row>
    <row r="2053" spans="2:4" x14ac:dyDescent="0.25">
      <c r="B2053" t="s">
        <v>8384</v>
      </c>
      <c r="C2053" s="71">
        <v>2</v>
      </c>
      <c r="D2053" s="75">
        <f t="shared" si="33"/>
        <v>2.8057967761395041E-5</v>
      </c>
    </row>
    <row r="2054" spans="2:4" x14ac:dyDescent="0.25">
      <c r="B2054" t="s">
        <v>8385</v>
      </c>
      <c r="C2054" s="71">
        <v>2</v>
      </c>
      <c r="D2054" s="75">
        <f t="shared" ref="D2054:D2117" si="34">C2054/$C$4822</f>
        <v>2.8057967761395041E-5</v>
      </c>
    </row>
    <row r="2055" spans="2:4" x14ac:dyDescent="0.25">
      <c r="B2055" t="s">
        <v>8386</v>
      </c>
      <c r="C2055" s="71">
        <v>2</v>
      </c>
      <c r="D2055" s="75">
        <f t="shared" si="34"/>
        <v>2.8057967761395041E-5</v>
      </c>
    </row>
    <row r="2056" spans="2:4" x14ac:dyDescent="0.25">
      <c r="B2056" t="s">
        <v>8387</v>
      </c>
      <c r="C2056" s="71">
        <v>2</v>
      </c>
      <c r="D2056" s="75">
        <f t="shared" si="34"/>
        <v>2.8057967761395041E-5</v>
      </c>
    </row>
    <row r="2057" spans="2:4" x14ac:dyDescent="0.25">
      <c r="B2057" t="s">
        <v>8388</v>
      </c>
      <c r="C2057" s="71">
        <v>2</v>
      </c>
      <c r="D2057" s="75">
        <f t="shared" si="34"/>
        <v>2.8057967761395041E-5</v>
      </c>
    </row>
    <row r="2058" spans="2:4" x14ac:dyDescent="0.25">
      <c r="B2058" t="s">
        <v>8389</v>
      </c>
      <c r="C2058" s="71">
        <v>2</v>
      </c>
      <c r="D2058" s="75">
        <f t="shared" si="34"/>
        <v>2.8057967761395041E-5</v>
      </c>
    </row>
    <row r="2059" spans="2:4" x14ac:dyDescent="0.25">
      <c r="B2059" t="s">
        <v>8390</v>
      </c>
      <c r="C2059" s="71">
        <v>2</v>
      </c>
      <c r="D2059" s="75">
        <f t="shared" si="34"/>
        <v>2.8057967761395041E-5</v>
      </c>
    </row>
    <row r="2060" spans="2:4" x14ac:dyDescent="0.25">
      <c r="B2060" t="s">
        <v>8391</v>
      </c>
      <c r="C2060" s="71">
        <v>2</v>
      </c>
      <c r="D2060" s="75">
        <f t="shared" si="34"/>
        <v>2.8057967761395041E-5</v>
      </c>
    </row>
    <row r="2061" spans="2:4" x14ac:dyDescent="0.25">
      <c r="B2061" t="s">
        <v>8392</v>
      </c>
      <c r="C2061" s="71">
        <v>2</v>
      </c>
      <c r="D2061" s="75">
        <f t="shared" si="34"/>
        <v>2.8057967761395041E-5</v>
      </c>
    </row>
    <row r="2062" spans="2:4" x14ac:dyDescent="0.25">
      <c r="B2062" t="s">
        <v>8393</v>
      </c>
      <c r="C2062" s="71">
        <v>2</v>
      </c>
      <c r="D2062" s="75">
        <f t="shared" si="34"/>
        <v>2.8057967761395041E-5</v>
      </c>
    </row>
    <row r="2063" spans="2:4" x14ac:dyDescent="0.25">
      <c r="B2063" t="s">
        <v>8394</v>
      </c>
      <c r="C2063" s="71">
        <v>2</v>
      </c>
      <c r="D2063" s="75">
        <f t="shared" si="34"/>
        <v>2.8057967761395041E-5</v>
      </c>
    </row>
    <row r="2064" spans="2:4" x14ac:dyDescent="0.25">
      <c r="B2064" t="s">
        <v>8395</v>
      </c>
      <c r="C2064" s="71">
        <v>2</v>
      </c>
      <c r="D2064" s="75">
        <f t="shared" si="34"/>
        <v>2.8057967761395041E-5</v>
      </c>
    </row>
    <row r="2065" spans="2:4" x14ac:dyDescent="0.25">
      <c r="B2065" t="s">
        <v>8396</v>
      </c>
      <c r="C2065" s="71">
        <v>2</v>
      </c>
      <c r="D2065" s="75">
        <f t="shared" si="34"/>
        <v>2.8057967761395041E-5</v>
      </c>
    </row>
    <row r="2066" spans="2:4" x14ac:dyDescent="0.25">
      <c r="B2066" t="s">
        <v>8397</v>
      </c>
      <c r="C2066" s="71">
        <v>2</v>
      </c>
      <c r="D2066" s="75">
        <f t="shared" si="34"/>
        <v>2.8057967761395041E-5</v>
      </c>
    </row>
    <row r="2067" spans="2:4" x14ac:dyDescent="0.25">
      <c r="B2067" t="s">
        <v>8398</v>
      </c>
      <c r="C2067" s="71">
        <v>2</v>
      </c>
      <c r="D2067" s="75">
        <f t="shared" si="34"/>
        <v>2.8057967761395041E-5</v>
      </c>
    </row>
    <row r="2068" spans="2:4" x14ac:dyDescent="0.25">
      <c r="B2068" t="s">
        <v>8399</v>
      </c>
      <c r="C2068" s="71">
        <v>2</v>
      </c>
      <c r="D2068" s="75">
        <f t="shared" si="34"/>
        <v>2.8057967761395041E-5</v>
      </c>
    </row>
    <row r="2069" spans="2:4" x14ac:dyDescent="0.25">
      <c r="B2069" t="s">
        <v>8400</v>
      </c>
      <c r="C2069" s="71">
        <v>2</v>
      </c>
      <c r="D2069" s="75">
        <f t="shared" si="34"/>
        <v>2.8057967761395041E-5</v>
      </c>
    </row>
    <row r="2070" spans="2:4" x14ac:dyDescent="0.25">
      <c r="B2070" t="s">
        <v>8401</v>
      </c>
      <c r="C2070" s="71">
        <v>2</v>
      </c>
      <c r="D2070" s="75">
        <f t="shared" si="34"/>
        <v>2.8057967761395041E-5</v>
      </c>
    </row>
    <row r="2071" spans="2:4" x14ac:dyDescent="0.25">
      <c r="B2071" t="s">
        <v>8402</v>
      </c>
      <c r="C2071" s="71">
        <v>2</v>
      </c>
      <c r="D2071" s="75">
        <f t="shared" si="34"/>
        <v>2.8057967761395041E-5</v>
      </c>
    </row>
    <row r="2072" spans="2:4" x14ac:dyDescent="0.25">
      <c r="B2072" t="s">
        <v>8403</v>
      </c>
      <c r="C2072" s="71">
        <v>2</v>
      </c>
      <c r="D2072" s="75">
        <f t="shared" si="34"/>
        <v>2.8057967761395041E-5</v>
      </c>
    </row>
    <row r="2073" spans="2:4" x14ac:dyDescent="0.25">
      <c r="B2073" t="s">
        <v>8404</v>
      </c>
      <c r="C2073" s="71">
        <v>2</v>
      </c>
      <c r="D2073" s="75">
        <f t="shared" si="34"/>
        <v>2.8057967761395041E-5</v>
      </c>
    </row>
    <row r="2074" spans="2:4" x14ac:dyDescent="0.25">
      <c r="B2074" t="s">
        <v>8405</v>
      </c>
      <c r="C2074" s="71">
        <v>2</v>
      </c>
      <c r="D2074" s="75">
        <f t="shared" si="34"/>
        <v>2.8057967761395041E-5</v>
      </c>
    </row>
    <row r="2075" spans="2:4" x14ac:dyDescent="0.25">
      <c r="B2075" t="s">
        <v>8406</v>
      </c>
      <c r="C2075" s="71">
        <v>2</v>
      </c>
      <c r="D2075" s="75">
        <f t="shared" si="34"/>
        <v>2.8057967761395041E-5</v>
      </c>
    </row>
    <row r="2076" spans="2:4" x14ac:dyDescent="0.25">
      <c r="B2076" t="s">
        <v>8407</v>
      </c>
      <c r="C2076" s="71">
        <v>2</v>
      </c>
      <c r="D2076" s="75">
        <f t="shared" si="34"/>
        <v>2.8057967761395041E-5</v>
      </c>
    </row>
    <row r="2077" spans="2:4" x14ac:dyDescent="0.25">
      <c r="B2077" t="s">
        <v>8408</v>
      </c>
      <c r="C2077" s="71">
        <v>2</v>
      </c>
      <c r="D2077" s="75">
        <f t="shared" si="34"/>
        <v>2.8057967761395041E-5</v>
      </c>
    </row>
    <row r="2078" spans="2:4" x14ac:dyDescent="0.25">
      <c r="B2078" t="s">
        <v>8409</v>
      </c>
      <c r="C2078" s="71">
        <v>2</v>
      </c>
      <c r="D2078" s="75">
        <f t="shared" si="34"/>
        <v>2.8057967761395041E-5</v>
      </c>
    </row>
    <row r="2079" spans="2:4" x14ac:dyDescent="0.25">
      <c r="B2079" t="s">
        <v>8410</v>
      </c>
      <c r="C2079" s="71">
        <v>2</v>
      </c>
      <c r="D2079" s="75">
        <f t="shared" si="34"/>
        <v>2.8057967761395041E-5</v>
      </c>
    </row>
    <row r="2080" spans="2:4" x14ac:dyDescent="0.25">
      <c r="B2080" t="s">
        <v>8411</v>
      </c>
      <c r="C2080" s="71">
        <v>2</v>
      </c>
      <c r="D2080" s="75">
        <f t="shared" si="34"/>
        <v>2.8057967761395041E-5</v>
      </c>
    </row>
    <row r="2081" spans="2:4" x14ac:dyDescent="0.25">
      <c r="B2081" t="s">
        <v>8412</v>
      </c>
      <c r="C2081" s="71">
        <v>2</v>
      </c>
      <c r="D2081" s="75">
        <f t="shared" si="34"/>
        <v>2.8057967761395041E-5</v>
      </c>
    </row>
    <row r="2082" spans="2:4" x14ac:dyDescent="0.25">
      <c r="B2082" t="s">
        <v>8413</v>
      </c>
      <c r="C2082" s="71">
        <v>2</v>
      </c>
      <c r="D2082" s="75">
        <f t="shared" si="34"/>
        <v>2.8057967761395041E-5</v>
      </c>
    </row>
    <row r="2083" spans="2:4" x14ac:dyDescent="0.25">
      <c r="B2083" t="s">
        <v>8414</v>
      </c>
      <c r="C2083" s="71">
        <v>2</v>
      </c>
      <c r="D2083" s="75">
        <f t="shared" si="34"/>
        <v>2.8057967761395041E-5</v>
      </c>
    </row>
    <row r="2084" spans="2:4" x14ac:dyDescent="0.25">
      <c r="B2084" t="s">
        <v>8415</v>
      </c>
      <c r="C2084" s="71">
        <v>2</v>
      </c>
      <c r="D2084" s="75">
        <f t="shared" si="34"/>
        <v>2.8057967761395041E-5</v>
      </c>
    </row>
    <row r="2085" spans="2:4" x14ac:dyDescent="0.25">
      <c r="B2085" t="s">
        <v>8416</v>
      </c>
      <c r="C2085" s="71">
        <v>2</v>
      </c>
      <c r="D2085" s="75">
        <f t="shared" si="34"/>
        <v>2.8057967761395041E-5</v>
      </c>
    </row>
    <row r="2086" spans="2:4" x14ac:dyDescent="0.25">
      <c r="B2086" t="s">
        <v>8417</v>
      </c>
      <c r="C2086" s="71">
        <v>2</v>
      </c>
      <c r="D2086" s="75">
        <f t="shared" si="34"/>
        <v>2.8057967761395041E-5</v>
      </c>
    </row>
    <row r="2087" spans="2:4" x14ac:dyDescent="0.25">
      <c r="B2087" t="s">
        <v>8418</v>
      </c>
      <c r="C2087" s="71">
        <v>2</v>
      </c>
      <c r="D2087" s="75">
        <f t="shared" si="34"/>
        <v>2.8057967761395041E-5</v>
      </c>
    </row>
    <row r="2088" spans="2:4" x14ac:dyDescent="0.25">
      <c r="B2088" t="s">
        <v>8419</v>
      </c>
      <c r="C2088" s="71">
        <v>2</v>
      </c>
      <c r="D2088" s="75">
        <f t="shared" si="34"/>
        <v>2.8057967761395041E-5</v>
      </c>
    </row>
    <row r="2089" spans="2:4" x14ac:dyDescent="0.25">
      <c r="B2089" t="s">
        <v>8420</v>
      </c>
      <c r="C2089" s="71">
        <v>2</v>
      </c>
      <c r="D2089" s="75">
        <f t="shared" si="34"/>
        <v>2.8057967761395041E-5</v>
      </c>
    </row>
    <row r="2090" spans="2:4" x14ac:dyDescent="0.25">
      <c r="B2090" t="s">
        <v>8421</v>
      </c>
      <c r="C2090" s="71">
        <v>2</v>
      </c>
      <c r="D2090" s="75">
        <f t="shared" si="34"/>
        <v>2.8057967761395041E-5</v>
      </c>
    </row>
    <row r="2091" spans="2:4" x14ac:dyDescent="0.25">
      <c r="B2091" t="s">
        <v>8422</v>
      </c>
      <c r="C2091" s="71">
        <v>2</v>
      </c>
      <c r="D2091" s="75">
        <f t="shared" si="34"/>
        <v>2.8057967761395041E-5</v>
      </c>
    </row>
    <row r="2092" spans="2:4" x14ac:dyDescent="0.25">
      <c r="B2092" t="s">
        <v>8423</v>
      </c>
      <c r="C2092" s="71">
        <v>2</v>
      </c>
      <c r="D2092" s="75">
        <f t="shared" si="34"/>
        <v>2.8057967761395041E-5</v>
      </c>
    </row>
    <row r="2093" spans="2:4" x14ac:dyDescent="0.25">
      <c r="B2093" t="s">
        <v>8424</v>
      </c>
      <c r="C2093" s="71">
        <v>2</v>
      </c>
      <c r="D2093" s="75">
        <f t="shared" si="34"/>
        <v>2.8057967761395041E-5</v>
      </c>
    </row>
    <row r="2094" spans="2:4" x14ac:dyDescent="0.25">
      <c r="B2094" t="s">
        <v>8425</v>
      </c>
      <c r="C2094" s="71">
        <v>2</v>
      </c>
      <c r="D2094" s="75">
        <f t="shared" si="34"/>
        <v>2.8057967761395041E-5</v>
      </c>
    </row>
    <row r="2095" spans="2:4" x14ac:dyDescent="0.25">
      <c r="B2095" t="s">
        <v>8426</v>
      </c>
      <c r="C2095" s="71">
        <v>2</v>
      </c>
      <c r="D2095" s="75">
        <f t="shared" si="34"/>
        <v>2.8057967761395041E-5</v>
      </c>
    </row>
    <row r="2096" spans="2:4" x14ac:dyDescent="0.25">
      <c r="B2096" t="s">
        <v>8427</v>
      </c>
      <c r="C2096" s="71">
        <v>2</v>
      </c>
      <c r="D2096" s="75">
        <f t="shared" si="34"/>
        <v>2.8057967761395041E-5</v>
      </c>
    </row>
    <row r="2097" spans="2:4" x14ac:dyDescent="0.25">
      <c r="B2097" t="s">
        <v>8428</v>
      </c>
      <c r="C2097" s="71">
        <v>2</v>
      </c>
      <c r="D2097" s="75">
        <f t="shared" si="34"/>
        <v>2.8057967761395041E-5</v>
      </c>
    </row>
    <row r="2098" spans="2:4" x14ac:dyDescent="0.25">
      <c r="B2098" t="s">
        <v>8429</v>
      </c>
      <c r="C2098" s="71">
        <v>2</v>
      </c>
      <c r="D2098" s="75">
        <f t="shared" si="34"/>
        <v>2.8057967761395041E-5</v>
      </c>
    </row>
    <row r="2099" spans="2:4" x14ac:dyDescent="0.25">
      <c r="B2099" t="s">
        <v>8430</v>
      </c>
      <c r="C2099" s="71">
        <v>2</v>
      </c>
      <c r="D2099" s="75">
        <f t="shared" si="34"/>
        <v>2.8057967761395041E-5</v>
      </c>
    </row>
    <row r="2100" spans="2:4" x14ac:dyDescent="0.25">
      <c r="B2100" t="s">
        <v>8431</v>
      </c>
      <c r="C2100" s="71">
        <v>2</v>
      </c>
      <c r="D2100" s="75">
        <f t="shared" si="34"/>
        <v>2.8057967761395041E-5</v>
      </c>
    </row>
    <row r="2101" spans="2:4" x14ac:dyDescent="0.25">
      <c r="B2101" t="s">
        <v>8432</v>
      </c>
      <c r="C2101" s="71">
        <v>2</v>
      </c>
      <c r="D2101" s="75">
        <f t="shared" si="34"/>
        <v>2.8057967761395041E-5</v>
      </c>
    </row>
    <row r="2102" spans="2:4" x14ac:dyDescent="0.25">
      <c r="B2102" t="s">
        <v>8433</v>
      </c>
      <c r="C2102" s="71">
        <v>2</v>
      </c>
      <c r="D2102" s="75">
        <f t="shared" si="34"/>
        <v>2.8057967761395041E-5</v>
      </c>
    </row>
    <row r="2103" spans="2:4" x14ac:dyDescent="0.25">
      <c r="B2103" t="s">
        <v>8434</v>
      </c>
      <c r="C2103" s="71">
        <v>2</v>
      </c>
      <c r="D2103" s="75">
        <f t="shared" si="34"/>
        <v>2.8057967761395041E-5</v>
      </c>
    </row>
    <row r="2104" spans="2:4" x14ac:dyDescent="0.25">
      <c r="B2104" t="s">
        <v>8435</v>
      </c>
      <c r="C2104" s="71">
        <v>2</v>
      </c>
      <c r="D2104" s="75">
        <f t="shared" si="34"/>
        <v>2.8057967761395041E-5</v>
      </c>
    </row>
    <row r="2105" spans="2:4" x14ac:dyDescent="0.25">
      <c r="B2105" t="s">
        <v>8436</v>
      </c>
      <c r="C2105" s="71">
        <v>2</v>
      </c>
      <c r="D2105" s="75">
        <f t="shared" si="34"/>
        <v>2.8057967761395041E-5</v>
      </c>
    </row>
    <row r="2106" spans="2:4" x14ac:dyDescent="0.25">
      <c r="B2106" t="s">
        <v>8437</v>
      </c>
      <c r="C2106" s="71">
        <v>2</v>
      </c>
      <c r="D2106" s="75">
        <f t="shared" si="34"/>
        <v>2.8057967761395041E-5</v>
      </c>
    </row>
    <row r="2107" spans="2:4" x14ac:dyDescent="0.25">
      <c r="B2107" t="s">
        <v>8438</v>
      </c>
      <c r="C2107" s="71">
        <v>2</v>
      </c>
      <c r="D2107" s="75">
        <f t="shared" si="34"/>
        <v>2.8057967761395041E-5</v>
      </c>
    </row>
    <row r="2108" spans="2:4" x14ac:dyDescent="0.25">
      <c r="B2108" t="s">
        <v>8439</v>
      </c>
      <c r="C2108" s="71">
        <v>2</v>
      </c>
      <c r="D2108" s="75">
        <f t="shared" si="34"/>
        <v>2.8057967761395041E-5</v>
      </c>
    </row>
    <row r="2109" spans="2:4" x14ac:dyDescent="0.25">
      <c r="B2109" t="s">
        <v>8440</v>
      </c>
      <c r="C2109" s="71">
        <v>2</v>
      </c>
      <c r="D2109" s="75">
        <f t="shared" si="34"/>
        <v>2.8057967761395041E-5</v>
      </c>
    </row>
    <row r="2110" spans="2:4" x14ac:dyDescent="0.25">
      <c r="B2110" t="s">
        <v>8441</v>
      </c>
      <c r="C2110" s="71">
        <v>2</v>
      </c>
      <c r="D2110" s="75">
        <f t="shared" si="34"/>
        <v>2.8057967761395041E-5</v>
      </c>
    </row>
    <row r="2111" spans="2:4" x14ac:dyDescent="0.25">
      <c r="B2111" t="s">
        <v>8442</v>
      </c>
      <c r="C2111" s="71">
        <v>2</v>
      </c>
      <c r="D2111" s="75">
        <f t="shared" si="34"/>
        <v>2.8057967761395041E-5</v>
      </c>
    </row>
    <row r="2112" spans="2:4" x14ac:dyDescent="0.25">
      <c r="B2112" t="s">
        <v>8443</v>
      </c>
      <c r="C2112" s="71">
        <v>2</v>
      </c>
      <c r="D2112" s="75">
        <f t="shared" si="34"/>
        <v>2.8057967761395041E-5</v>
      </c>
    </row>
    <row r="2113" spans="2:4" x14ac:dyDescent="0.25">
      <c r="B2113" t="s">
        <v>8444</v>
      </c>
      <c r="C2113" s="71">
        <v>2</v>
      </c>
      <c r="D2113" s="75">
        <f t="shared" si="34"/>
        <v>2.8057967761395041E-5</v>
      </c>
    </row>
    <row r="2114" spans="2:4" x14ac:dyDescent="0.25">
      <c r="B2114" t="s">
        <v>8445</v>
      </c>
      <c r="C2114" s="71">
        <v>2</v>
      </c>
      <c r="D2114" s="75">
        <f t="shared" si="34"/>
        <v>2.8057967761395041E-5</v>
      </c>
    </row>
    <row r="2115" spans="2:4" x14ac:dyDescent="0.25">
      <c r="B2115" t="s">
        <v>8446</v>
      </c>
      <c r="C2115" s="71">
        <v>2</v>
      </c>
      <c r="D2115" s="75">
        <f t="shared" si="34"/>
        <v>2.8057967761395041E-5</v>
      </c>
    </row>
    <row r="2116" spans="2:4" x14ac:dyDescent="0.25">
      <c r="B2116" t="s">
        <v>8447</v>
      </c>
      <c r="C2116" s="71">
        <v>2</v>
      </c>
      <c r="D2116" s="75">
        <f t="shared" si="34"/>
        <v>2.8057967761395041E-5</v>
      </c>
    </row>
    <row r="2117" spans="2:4" x14ac:dyDescent="0.25">
      <c r="B2117" t="s">
        <v>8448</v>
      </c>
      <c r="C2117" s="71">
        <v>2</v>
      </c>
      <c r="D2117" s="75">
        <f t="shared" si="34"/>
        <v>2.8057967761395041E-5</v>
      </c>
    </row>
    <row r="2118" spans="2:4" x14ac:dyDescent="0.25">
      <c r="B2118" t="s">
        <v>8449</v>
      </c>
      <c r="C2118" s="71">
        <v>2</v>
      </c>
      <c r="D2118" s="75">
        <f t="shared" ref="D2118:D2181" si="35">C2118/$C$4822</f>
        <v>2.8057967761395041E-5</v>
      </c>
    </row>
    <row r="2119" spans="2:4" x14ac:dyDescent="0.25">
      <c r="B2119" t="s">
        <v>8450</v>
      </c>
      <c r="C2119" s="71">
        <v>2</v>
      </c>
      <c r="D2119" s="75">
        <f t="shared" si="35"/>
        <v>2.8057967761395041E-5</v>
      </c>
    </row>
    <row r="2120" spans="2:4" x14ac:dyDescent="0.25">
      <c r="B2120" t="s">
        <v>8451</v>
      </c>
      <c r="C2120" s="71">
        <v>2</v>
      </c>
      <c r="D2120" s="75">
        <f t="shared" si="35"/>
        <v>2.8057967761395041E-5</v>
      </c>
    </row>
    <row r="2121" spans="2:4" x14ac:dyDescent="0.25">
      <c r="B2121" t="s">
        <v>8452</v>
      </c>
      <c r="C2121" s="71">
        <v>2</v>
      </c>
      <c r="D2121" s="75">
        <f t="shared" si="35"/>
        <v>2.8057967761395041E-5</v>
      </c>
    </row>
    <row r="2122" spans="2:4" x14ac:dyDescent="0.25">
      <c r="B2122" t="s">
        <v>8453</v>
      </c>
      <c r="C2122" s="71">
        <v>2</v>
      </c>
      <c r="D2122" s="75">
        <f t="shared" si="35"/>
        <v>2.8057967761395041E-5</v>
      </c>
    </row>
    <row r="2123" spans="2:4" x14ac:dyDescent="0.25">
      <c r="B2123" t="s">
        <v>8454</v>
      </c>
      <c r="C2123" s="71">
        <v>2</v>
      </c>
      <c r="D2123" s="75">
        <f t="shared" si="35"/>
        <v>2.8057967761395041E-5</v>
      </c>
    </row>
    <row r="2124" spans="2:4" x14ac:dyDescent="0.25">
      <c r="B2124" t="s">
        <v>8455</v>
      </c>
      <c r="C2124" s="71">
        <v>2</v>
      </c>
      <c r="D2124" s="75">
        <f t="shared" si="35"/>
        <v>2.8057967761395041E-5</v>
      </c>
    </row>
    <row r="2125" spans="2:4" x14ac:dyDescent="0.25">
      <c r="B2125" t="s">
        <v>8456</v>
      </c>
      <c r="C2125" s="71">
        <v>2</v>
      </c>
      <c r="D2125" s="75">
        <f t="shared" si="35"/>
        <v>2.8057967761395041E-5</v>
      </c>
    </row>
    <row r="2126" spans="2:4" x14ac:dyDescent="0.25">
      <c r="B2126" t="s">
        <v>8457</v>
      </c>
      <c r="C2126" s="71">
        <v>2</v>
      </c>
      <c r="D2126" s="75">
        <f t="shared" si="35"/>
        <v>2.8057967761395041E-5</v>
      </c>
    </row>
    <row r="2127" spans="2:4" x14ac:dyDescent="0.25">
      <c r="B2127" t="s">
        <v>8458</v>
      </c>
      <c r="C2127" s="71">
        <v>2</v>
      </c>
      <c r="D2127" s="75">
        <f t="shared" si="35"/>
        <v>2.8057967761395041E-5</v>
      </c>
    </row>
    <row r="2128" spans="2:4" x14ac:dyDescent="0.25">
      <c r="B2128" t="s">
        <v>8459</v>
      </c>
      <c r="C2128" s="71">
        <v>2</v>
      </c>
      <c r="D2128" s="75">
        <f t="shared" si="35"/>
        <v>2.8057967761395041E-5</v>
      </c>
    </row>
    <row r="2129" spans="2:4" x14ac:dyDescent="0.25">
      <c r="B2129" t="s">
        <v>8460</v>
      </c>
      <c r="C2129" s="71">
        <v>2</v>
      </c>
      <c r="D2129" s="75">
        <f t="shared" si="35"/>
        <v>2.8057967761395041E-5</v>
      </c>
    </row>
    <row r="2130" spans="2:4" x14ac:dyDescent="0.25">
      <c r="B2130" t="s">
        <v>8461</v>
      </c>
      <c r="C2130" s="71">
        <v>2</v>
      </c>
      <c r="D2130" s="75">
        <f t="shared" si="35"/>
        <v>2.8057967761395041E-5</v>
      </c>
    </row>
    <row r="2131" spans="2:4" x14ac:dyDescent="0.25">
      <c r="B2131" t="s">
        <v>8462</v>
      </c>
      <c r="C2131" s="71">
        <v>2</v>
      </c>
      <c r="D2131" s="75">
        <f t="shared" si="35"/>
        <v>2.8057967761395041E-5</v>
      </c>
    </row>
    <row r="2132" spans="2:4" x14ac:dyDescent="0.25">
      <c r="B2132" t="s">
        <v>8463</v>
      </c>
      <c r="C2132" s="71">
        <v>2</v>
      </c>
      <c r="D2132" s="75">
        <f t="shared" si="35"/>
        <v>2.8057967761395041E-5</v>
      </c>
    </row>
    <row r="2133" spans="2:4" x14ac:dyDescent="0.25">
      <c r="B2133" t="s">
        <v>8464</v>
      </c>
      <c r="C2133" s="71">
        <v>2</v>
      </c>
      <c r="D2133" s="75">
        <f t="shared" si="35"/>
        <v>2.8057967761395041E-5</v>
      </c>
    </row>
    <row r="2134" spans="2:4" x14ac:dyDescent="0.25">
      <c r="B2134" t="s">
        <v>8465</v>
      </c>
      <c r="C2134" s="71">
        <v>2</v>
      </c>
      <c r="D2134" s="75">
        <f t="shared" si="35"/>
        <v>2.8057967761395041E-5</v>
      </c>
    </row>
    <row r="2135" spans="2:4" x14ac:dyDescent="0.25">
      <c r="B2135" t="s">
        <v>8466</v>
      </c>
      <c r="C2135" s="71">
        <v>2</v>
      </c>
      <c r="D2135" s="75">
        <f t="shared" si="35"/>
        <v>2.8057967761395041E-5</v>
      </c>
    </row>
    <row r="2136" spans="2:4" x14ac:dyDescent="0.25">
      <c r="B2136" t="s">
        <v>8467</v>
      </c>
      <c r="C2136" s="71">
        <v>2</v>
      </c>
      <c r="D2136" s="75">
        <f t="shared" si="35"/>
        <v>2.8057967761395041E-5</v>
      </c>
    </row>
    <row r="2137" spans="2:4" x14ac:dyDescent="0.25">
      <c r="B2137" t="s">
        <v>8468</v>
      </c>
      <c r="C2137" s="71">
        <v>2</v>
      </c>
      <c r="D2137" s="75">
        <f t="shared" si="35"/>
        <v>2.8057967761395041E-5</v>
      </c>
    </row>
    <row r="2138" spans="2:4" x14ac:dyDescent="0.25">
      <c r="B2138" t="s">
        <v>8469</v>
      </c>
      <c r="C2138" s="71">
        <v>2</v>
      </c>
      <c r="D2138" s="75">
        <f t="shared" si="35"/>
        <v>2.8057967761395041E-5</v>
      </c>
    </row>
    <row r="2139" spans="2:4" x14ac:dyDescent="0.25">
      <c r="B2139" t="s">
        <v>8470</v>
      </c>
      <c r="C2139" s="71">
        <v>2</v>
      </c>
      <c r="D2139" s="75">
        <f t="shared" si="35"/>
        <v>2.8057967761395041E-5</v>
      </c>
    </row>
    <row r="2140" spans="2:4" x14ac:dyDescent="0.25">
      <c r="B2140" t="s">
        <v>8471</v>
      </c>
      <c r="C2140" s="71">
        <v>2</v>
      </c>
      <c r="D2140" s="75">
        <f t="shared" si="35"/>
        <v>2.8057967761395041E-5</v>
      </c>
    </row>
    <row r="2141" spans="2:4" x14ac:dyDescent="0.25">
      <c r="B2141" t="s">
        <v>8472</v>
      </c>
      <c r="C2141" s="71">
        <v>2</v>
      </c>
      <c r="D2141" s="75">
        <f t="shared" si="35"/>
        <v>2.8057967761395041E-5</v>
      </c>
    </row>
    <row r="2142" spans="2:4" x14ac:dyDescent="0.25">
      <c r="B2142" t="s">
        <v>8473</v>
      </c>
      <c r="C2142" s="71">
        <v>2</v>
      </c>
      <c r="D2142" s="75">
        <f t="shared" si="35"/>
        <v>2.8057967761395041E-5</v>
      </c>
    </row>
    <row r="2143" spans="2:4" x14ac:dyDescent="0.25">
      <c r="B2143" t="s">
        <v>8474</v>
      </c>
      <c r="C2143" s="71">
        <v>2</v>
      </c>
      <c r="D2143" s="75">
        <f t="shared" si="35"/>
        <v>2.8057967761395041E-5</v>
      </c>
    </row>
    <row r="2144" spans="2:4" x14ac:dyDescent="0.25">
      <c r="B2144" t="s">
        <v>8475</v>
      </c>
      <c r="C2144" s="71">
        <v>2</v>
      </c>
      <c r="D2144" s="75">
        <f t="shared" si="35"/>
        <v>2.8057967761395041E-5</v>
      </c>
    </row>
    <row r="2145" spans="2:4" x14ac:dyDescent="0.25">
      <c r="B2145" t="s">
        <v>8476</v>
      </c>
      <c r="C2145" s="71">
        <v>2</v>
      </c>
      <c r="D2145" s="75">
        <f t="shared" si="35"/>
        <v>2.8057967761395041E-5</v>
      </c>
    </row>
    <row r="2146" spans="2:4" x14ac:dyDescent="0.25">
      <c r="B2146" t="s">
        <v>8477</v>
      </c>
      <c r="C2146" s="71">
        <v>2</v>
      </c>
      <c r="D2146" s="75">
        <f t="shared" si="35"/>
        <v>2.8057967761395041E-5</v>
      </c>
    </row>
    <row r="2147" spans="2:4" x14ac:dyDescent="0.25">
      <c r="B2147" t="s">
        <v>8478</v>
      </c>
      <c r="C2147" s="71">
        <v>2</v>
      </c>
      <c r="D2147" s="75">
        <f t="shared" si="35"/>
        <v>2.8057967761395041E-5</v>
      </c>
    </row>
    <row r="2148" spans="2:4" x14ac:dyDescent="0.25">
      <c r="B2148" t="s">
        <v>8479</v>
      </c>
      <c r="C2148" s="71">
        <v>2</v>
      </c>
      <c r="D2148" s="75">
        <f t="shared" si="35"/>
        <v>2.8057967761395041E-5</v>
      </c>
    </row>
    <row r="2149" spans="2:4" x14ac:dyDescent="0.25">
      <c r="B2149" t="s">
        <v>8480</v>
      </c>
      <c r="C2149" s="71">
        <v>2</v>
      </c>
      <c r="D2149" s="75">
        <f t="shared" si="35"/>
        <v>2.8057967761395041E-5</v>
      </c>
    </row>
    <row r="2150" spans="2:4" x14ac:dyDescent="0.25">
      <c r="B2150" t="s">
        <v>8481</v>
      </c>
      <c r="C2150" s="71">
        <v>2</v>
      </c>
      <c r="D2150" s="75">
        <f t="shared" si="35"/>
        <v>2.8057967761395041E-5</v>
      </c>
    </row>
    <row r="2151" spans="2:4" x14ac:dyDescent="0.25">
      <c r="B2151" t="s">
        <v>8482</v>
      </c>
      <c r="C2151" s="71">
        <v>2</v>
      </c>
      <c r="D2151" s="75">
        <f t="shared" si="35"/>
        <v>2.8057967761395041E-5</v>
      </c>
    </row>
    <row r="2152" spans="2:4" x14ac:dyDescent="0.25">
      <c r="B2152" t="s">
        <v>8483</v>
      </c>
      <c r="C2152" s="71">
        <v>2</v>
      </c>
      <c r="D2152" s="75">
        <f t="shared" si="35"/>
        <v>2.8057967761395041E-5</v>
      </c>
    </row>
    <row r="2153" spans="2:4" x14ac:dyDescent="0.25">
      <c r="B2153" t="s">
        <v>8484</v>
      </c>
      <c r="C2153" s="71">
        <v>2</v>
      </c>
      <c r="D2153" s="75">
        <f t="shared" si="35"/>
        <v>2.8057967761395041E-5</v>
      </c>
    </row>
    <row r="2154" spans="2:4" x14ac:dyDescent="0.25">
      <c r="B2154" t="s">
        <v>8485</v>
      </c>
      <c r="C2154" s="71">
        <v>2</v>
      </c>
      <c r="D2154" s="75">
        <f t="shared" si="35"/>
        <v>2.8057967761395041E-5</v>
      </c>
    </row>
    <row r="2155" spans="2:4" x14ac:dyDescent="0.25">
      <c r="B2155" t="s">
        <v>8486</v>
      </c>
      <c r="C2155" s="71">
        <v>2</v>
      </c>
      <c r="D2155" s="75">
        <f t="shared" si="35"/>
        <v>2.8057967761395041E-5</v>
      </c>
    </row>
    <row r="2156" spans="2:4" x14ac:dyDescent="0.25">
      <c r="B2156" t="s">
        <v>8487</v>
      </c>
      <c r="C2156" s="71">
        <v>2</v>
      </c>
      <c r="D2156" s="75">
        <f t="shared" si="35"/>
        <v>2.8057967761395041E-5</v>
      </c>
    </row>
    <row r="2157" spans="2:4" x14ac:dyDescent="0.25">
      <c r="B2157" t="s">
        <v>8488</v>
      </c>
      <c r="C2157" s="71">
        <v>2</v>
      </c>
      <c r="D2157" s="75">
        <f t="shared" si="35"/>
        <v>2.8057967761395041E-5</v>
      </c>
    </row>
    <row r="2158" spans="2:4" x14ac:dyDescent="0.25">
      <c r="B2158" t="s">
        <v>8489</v>
      </c>
      <c r="C2158" s="71">
        <v>2</v>
      </c>
      <c r="D2158" s="75">
        <f t="shared" si="35"/>
        <v>2.8057967761395041E-5</v>
      </c>
    </row>
    <row r="2159" spans="2:4" x14ac:dyDescent="0.25">
      <c r="B2159" t="s">
        <v>8490</v>
      </c>
      <c r="C2159" s="71">
        <v>2</v>
      </c>
      <c r="D2159" s="75">
        <f t="shared" si="35"/>
        <v>2.8057967761395041E-5</v>
      </c>
    </row>
    <row r="2160" spans="2:4" x14ac:dyDescent="0.25">
      <c r="B2160" t="s">
        <v>8491</v>
      </c>
      <c r="C2160" s="71">
        <v>2</v>
      </c>
      <c r="D2160" s="75">
        <f t="shared" si="35"/>
        <v>2.8057967761395041E-5</v>
      </c>
    </row>
    <row r="2161" spans="2:4" x14ac:dyDescent="0.25">
      <c r="B2161" t="s">
        <v>8492</v>
      </c>
      <c r="C2161" s="71">
        <v>2</v>
      </c>
      <c r="D2161" s="75">
        <f t="shared" si="35"/>
        <v>2.8057967761395041E-5</v>
      </c>
    </row>
    <row r="2162" spans="2:4" x14ac:dyDescent="0.25">
      <c r="B2162" t="s">
        <v>8493</v>
      </c>
      <c r="C2162" s="71">
        <v>2</v>
      </c>
      <c r="D2162" s="75">
        <f t="shared" si="35"/>
        <v>2.8057967761395041E-5</v>
      </c>
    </row>
    <row r="2163" spans="2:4" x14ac:dyDescent="0.25">
      <c r="B2163" t="s">
        <v>8494</v>
      </c>
      <c r="C2163" s="71">
        <v>2</v>
      </c>
      <c r="D2163" s="75">
        <f t="shared" si="35"/>
        <v>2.8057967761395041E-5</v>
      </c>
    </row>
    <row r="2164" spans="2:4" x14ac:dyDescent="0.25">
      <c r="B2164" t="s">
        <v>8495</v>
      </c>
      <c r="C2164" s="71">
        <v>2</v>
      </c>
      <c r="D2164" s="75">
        <f t="shared" si="35"/>
        <v>2.8057967761395041E-5</v>
      </c>
    </row>
    <row r="2165" spans="2:4" x14ac:dyDescent="0.25">
      <c r="B2165" t="s">
        <v>8496</v>
      </c>
      <c r="C2165" s="71">
        <v>2</v>
      </c>
      <c r="D2165" s="75">
        <f t="shared" si="35"/>
        <v>2.8057967761395041E-5</v>
      </c>
    </row>
    <row r="2166" spans="2:4" x14ac:dyDescent="0.25">
      <c r="B2166" t="s">
        <v>8497</v>
      </c>
      <c r="C2166" s="71">
        <v>2</v>
      </c>
      <c r="D2166" s="75">
        <f t="shared" si="35"/>
        <v>2.8057967761395041E-5</v>
      </c>
    </row>
    <row r="2167" spans="2:4" x14ac:dyDescent="0.25">
      <c r="B2167" t="s">
        <v>8498</v>
      </c>
      <c r="C2167" s="71">
        <v>2</v>
      </c>
      <c r="D2167" s="75">
        <f t="shared" si="35"/>
        <v>2.8057967761395041E-5</v>
      </c>
    </row>
    <row r="2168" spans="2:4" x14ac:dyDescent="0.25">
      <c r="B2168" t="s">
        <v>8499</v>
      </c>
      <c r="C2168" s="71">
        <v>2</v>
      </c>
      <c r="D2168" s="75">
        <f t="shared" si="35"/>
        <v>2.8057967761395041E-5</v>
      </c>
    </row>
    <row r="2169" spans="2:4" x14ac:dyDescent="0.25">
      <c r="B2169" t="s">
        <v>8500</v>
      </c>
      <c r="C2169" s="71">
        <v>2</v>
      </c>
      <c r="D2169" s="75">
        <f t="shared" si="35"/>
        <v>2.8057967761395041E-5</v>
      </c>
    </row>
    <row r="2170" spans="2:4" x14ac:dyDescent="0.25">
      <c r="B2170" t="s">
        <v>8501</v>
      </c>
      <c r="C2170" s="71">
        <v>2</v>
      </c>
      <c r="D2170" s="75">
        <f t="shared" si="35"/>
        <v>2.8057967761395041E-5</v>
      </c>
    </row>
    <row r="2171" spans="2:4" x14ac:dyDescent="0.25">
      <c r="B2171" t="s">
        <v>8502</v>
      </c>
      <c r="C2171" s="71">
        <v>2</v>
      </c>
      <c r="D2171" s="75">
        <f t="shared" si="35"/>
        <v>2.8057967761395041E-5</v>
      </c>
    </row>
    <row r="2172" spans="2:4" x14ac:dyDescent="0.25">
      <c r="B2172" t="s">
        <v>8503</v>
      </c>
      <c r="C2172" s="71">
        <v>2</v>
      </c>
      <c r="D2172" s="75">
        <f t="shared" si="35"/>
        <v>2.8057967761395041E-5</v>
      </c>
    </row>
    <row r="2173" spans="2:4" x14ac:dyDescent="0.25">
      <c r="B2173" t="s">
        <v>8504</v>
      </c>
      <c r="C2173" s="71">
        <v>2</v>
      </c>
      <c r="D2173" s="75">
        <f t="shared" si="35"/>
        <v>2.8057967761395041E-5</v>
      </c>
    </row>
    <row r="2174" spans="2:4" x14ac:dyDescent="0.25">
      <c r="B2174" t="s">
        <v>8505</v>
      </c>
      <c r="C2174" s="71">
        <v>2</v>
      </c>
      <c r="D2174" s="75">
        <f t="shared" si="35"/>
        <v>2.8057967761395041E-5</v>
      </c>
    </row>
    <row r="2175" spans="2:4" x14ac:dyDescent="0.25">
      <c r="B2175" t="s">
        <v>8506</v>
      </c>
      <c r="C2175" s="71">
        <v>2</v>
      </c>
      <c r="D2175" s="75">
        <f t="shared" si="35"/>
        <v>2.8057967761395041E-5</v>
      </c>
    </row>
    <row r="2176" spans="2:4" x14ac:dyDescent="0.25">
      <c r="B2176" t="s">
        <v>8507</v>
      </c>
      <c r="C2176" s="71">
        <v>2</v>
      </c>
      <c r="D2176" s="75">
        <f t="shared" si="35"/>
        <v>2.8057967761395041E-5</v>
      </c>
    </row>
    <row r="2177" spans="2:4" x14ac:dyDescent="0.25">
      <c r="B2177" t="s">
        <v>8508</v>
      </c>
      <c r="C2177" s="71">
        <v>2</v>
      </c>
      <c r="D2177" s="75">
        <f t="shared" si="35"/>
        <v>2.8057967761395041E-5</v>
      </c>
    </row>
    <row r="2178" spans="2:4" x14ac:dyDescent="0.25">
      <c r="B2178" t="s">
        <v>8509</v>
      </c>
      <c r="C2178" s="71">
        <v>2</v>
      </c>
      <c r="D2178" s="75">
        <f t="shared" si="35"/>
        <v>2.8057967761395041E-5</v>
      </c>
    </row>
    <row r="2179" spans="2:4" x14ac:dyDescent="0.25">
      <c r="B2179" t="s">
        <v>8510</v>
      </c>
      <c r="C2179" s="71">
        <v>2</v>
      </c>
      <c r="D2179" s="75">
        <f t="shared" si="35"/>
        <v>2.8057967761395041E-5</v>
      </c>
    </row>
    <row r="2180" spans="2:4" x14ac:dyDescent="0.25">
      <c r="B2180" t="s">
        <v>8511</v>
      </c>
      <c r="C2180" s="71">
        <v>2</v>
      </c>
      <c r="D2180" s="75">
        <f t="shared" si="35"/>
        <v>2.8057967761395041E-5</v>
      </c>
    </row>
    <row r="2181" spans="2:4" x14ac:dyDescent="0.25">
      <c r="B2181" t="s">
        <v>8512</v>
      </c>
      <c r="C2181" s="71">
        <v>2</v>
      </c>
      <c r="D2181" s="75">
        <f t="shared" si="35"/>
        <v>2.8057967761395041E-5</v>
      </c>
    </row>
    <row r="2182" spans="2:4" x14ac:dyDescent="0.25">
      <c r="B2182" t="s">
        <v>8513</v>
      </c>
      <c r="C2182" s="71">
        <v>2</v>
      </c>
      <c r="D2182" s="75">
        <f t="shared" ref="D2182:D2245" si="36">C2182/$C$4822</f>
        <v>2.8057967761395041E-5</v>
      </c>
    </row>
    <row r="2183" spans="2:4" x14ac:dyDescent="0.25">
      <c r="B2183" t="s">
        <v>8514</v>
      </c>
      <c r="C2183" s="71">
        <v>2</v>
      </c>
      <c r="D2183" s="75">
        <f t="shared" si="36"/>
        <v>2.8057967761395041E-5</v>
      </c>
    </row>
    <row r="2184" spans="2:4" x14ac:dyDescent="0.25">
      <c r="B2184" t="s">
        <v>8515</v>
      </c>
      <c r="C2184" s="71">
        <v>2</v>
      </c>
      <c r="D2184" s="75">
        <f t="shared" si="36"/>
        <v>2.8057967761395041E-5</v>
      </c>
    </row>
    <row r="2185" spans="2:4" x14ac:dyDescent="0.25">
      <c r="B2185" t="s">
        <v>8516</v>
      </c>
      <c r="C2185" s="71">
        <v>2</v>
      </c>
      <c r="D2185" s="75">
        <f t="shared" si="36"/>
        <v>2.8057967761395041E-5</v>
      </c>
    </row>
    <row r="2186" spans="2:4" x14ac:dyDescent="0.25">
      <c r="B2186" t="s">
        <v>8517</v>
      </c>
      <c r="C2186" s="71">
        <v>2</v>
      </c>
      <c r="D2186" s="75">
        <f t="shared" si="36"/>
        <v>2.8057967761395041E-5</v>
      </c>
    </row>
    <row r="2187" spans="2:4" x14ac:dyDescent="0.25">
      <c r="B2187" t="s">
        <v>8518</v>
      </c>
      <c r="C2187" s="71">
        <v>2</v>
      </c>
      <c r="D2187" s="75">
        <f t="shared" si="36"/>
        <v>2.8057967761395041E-5</v>
      </c>
    </row>
    <row r="2188" spans="2:4" x14ac:dyDescent="0.25">
      <c r="B2188" t="s">
        <v>8519</v>
      </c>
      <c r="C2188" s="71">
        <v>2</v>
      </c>
      <c r="D2188" s="75">
        <f t="shared" si="36"/>
        <v>2.8057967761395041E-5</v>
      </c>
    </row>
    <row r="2189" spans="2:4" x14ac:dyDescent="0.25">
      <c r="B2189" t="s">
        <v>8520</v>
      </c>
      <c r="C2189" s="71">
        <v>2</v>
      </c>
      <c r="D2189" s="75">
        <f t="shared" si="36"/>
        <v>2.8057967761395041E-5</v>
      </c>
    </row>
    <row r="2190" spans="2:4" x14ac:dyDescent="0.25">
      <c r="B2190" t="s">
        <v>8521</v>
      </c>
      <c r="C2190" s="71">
        <v>2</v>
      </c>
      <c r="D2190" s="75">
        <f t="shared" si="36"/>
        <v>2.8057967761395041E-5</v>
      </c>
    </row>
    <row r="2191" spans="2:4" x14ac:dyDescent="0.25">
      <c r="B2191" t="s">
        <v>8522</v>
      </c>
      <c r="C2191" s="71">
        <v>2</v>
      </c>
      <c r="D2191" s="75">
        <f t="shared" si="36"/>
        <v>2.8057967761395041E-5</v>
      </c>
    </row>
    <row r="2192" spans="2:4" x14ac:dyDescent="0.25">
      <c r="B2192" t="s">
        <v>8523</v>
      </c>
      <c r="C2192" s="71">
        <v>2</v>
      </c>
      <c r="D2192" s="75">
        <f t="shared" si="36"/>
        <v>2.8057967761395041E-5</v>
      </c>
    </row>
    <row r="2193" spans="2:4" x14ac:dyDescent="0.25">
      <c r="B2193" t="s">
        <v>8524</v>
      </c>
      <c r="C2193" s="71">
        <v>2</v>
      </c>
      <c r="D2193" s="75">
        <f t="shared" si="36"/>
        <v>2.8057967761395041E-5</v>
      </c>
    </row>
    <row r="2194" spans="2:4" x14ac:dyDescent="0.25">
      <c r="B2194" t="s">
        <v>8525</v>
      </c>
      <c r="C2194" s="71">
        <v>2</v>
      </c>
      <c r="D2194" s="75">
        <f t="shared" si="36"/>
        <v>2.8057967761395041E-5</v>
      </c>
    </row>
    <row r="2195" spans="2:4" x14ac:dyDescent="0.25">
      <c r="B2195" t="s">
        <v>8526</v>
      </c>
      <c r="C2195" s="71">
        <v>2</v>
      </c>
      <c r="D2195" s="75">
        <f t="shared" si="36"/>
        <v>2.8057967761395041E-5</v>
      </c>
    </row>
    <row r="2196" spans="2:4" x14ac:dyDescent="0.25">
      <c r="B2196" t="s">
        <v>8527</v>
      </c>
      <c r="C2196" s="71">
        <v>2</v>
      </c>
      <c r="D2196" s="75">
        <f t="shared" si="36"/>
        <v>2.8057967761395041E-5</v>
      </c>
    </row>
    <row r="2197" spans="2:4" x14ac:dyDescent="0.25">
      <c r="B2197" t="s">
        <v>8528</v>
      </c>
      <c r="C2197" s="71">
        <v>2</v>
      </c>
      <c r="D2197" s="75">
        <f t="shared" si="36"/>
        <v>2.8057967761395041E-5</v>
      </c>
    </row>
    <row r="2198" spans="2:4" x14ac:dyDescent="0.25">
      <c r="B2198" t="s">
        <v>8529</v>
      </c>
      <c r="C2198" s="71">
        <v>2</v>
      </c>
      <c r="D2198" s="75">
        <f t="shared" si="36"/>
        <v>2.8057967761395041E-5</v>
      </c>
    </row>
    <row r="2199" spans="2:4" x14ac:dyDescent="0.25">
      <c r="B2199" t="s">
        <v>8530</v>
      </c>
      <c r="C2199" s="71">
        <v>2</v>
      </c>
      <c r="D2199" s="75">
        <f t="shared" si="36"/>
        <v>2.8057967761395041E-5</v>
      </c>
    </row>
    <row r="2200" spans="2:4" x14ac:dyDescent="0.25">
      <c r="B2200" t="s">
        <v>8531</v>
      </c>
      <c r="C2200" s="71">
        <v>2</v>
      </c>
      <c r="D2200" s="75">
        <f t="shared" si="36"/>
        <v>2.8057967761395041E-5</v>
      </c>
    </row>
    <row r="2201" spans="2:4" x14ac:dyDescent="0.25">
      <c r="B2201" t="s">
        <v>8532</v>
      </c>
      <c r="C2201" s="71">
        <v>2</v>
      </c>
      <c r="D2201" s="75">
        <f t="shared" si="36"/>
        <v>2.8057967761395041E-5</v>
      </c>
    </row>
    <row r="2202" spans="2:4" x14ac:dyDescent="0.25">
      <c r="B2202" t="s">
        <v>8533</v>
      </c>
      <c r="C2202" s="71">
        <v>2</v>
      </c>
      <c r="D2202" s="75">
        <f t="shared" si="36"/>
        <v>2.8057967761395041E-5</v>
      </c>
    </row>
    <row r="2203" spans="2:4" x14ac:dyDescent="0.25">
      <c r="B2203" t="s">
        <v>8534</v>
      </c>
      <c r="C2203" s="71">
        <v>2</v>
      </c>
      <c r="D2203" s="75">
        <f t="shared" si="36"/>
        <v>2.8057967761395041E-5</v>
      </c>
    </row>
    <row r="2204" spans="2:4" x14ac:dyDescent="0.25">
      <c r="B2204" t="s">
        <v>8535</v>
      </c>
      <c r="C2204" s="71">
        <v>2</v>
      </c>
      <c r="D2204" s="75">
        <f t="shared" si="36"/>
        <v>2.8057967761395041E-5</v>
      </c>
    </row>
    <row r="2205" spans="2:4" x14ac:dyDescent="0.25">
      <c r="B2205" t="s">
        <v>8536</v>
      </c>
      <c r="C2205" s="71">
        <v>2</v>
      </c>
      <c r="D2205" s="75">
        <f t="shared" si="36"/>
        <v>2.8057967761395041E-5</v>
      </c>
    </row>
    <row r="2206" spans="2:4" x14ac:dyDescent="0.25">
      <c r="B2206" t="s">
        <v>8537</v>
      </c>
      <c r="C2206" s="71">
        <v>2</v>
      </c>
      <c r="D2206" s="75">
        <f t="shared" si="36"/>
        <v>2.8057967761395041E-5</v>
      </c>
    </row>
    <row r="2207" spans="2:4" x14ac:dyDescent="0.25">
      <c r="B2207" t="s">
        <v>8538</v>
      </c>
      <c r="C2207" s="71">
        <v>2</v>
      </c>
      <c r="D2207" s="75">
        <f t="shared" si="36"/>
        <v>2.8057967761395041E-5</v>
      </c>
    </row>
    <row r="2208" spans="2:4" x14ac:dyDescent="0.25">
      <c r="B2208" t="s">
        <v>8539</v>
      </c>
      <c r="C2208" s="71">
        <v>2</v>
      </c>
      <c r="D2208" s="75">
        <f t="shared" si="36"/>
        <v>2.8057967761395041E-5</v>
      </c>
    </row>
    <row r="2209" spans="2:4" x14ac:dyDescent="0.25">
      <c r="B2209" t="s">
        <v>8540</v>
      </c>
      <c r="C2209" s="71">
        <v>2</v>
      </c>
      <c r="D2209" s="75">
        <f t="shared" si="36"/>
        <v>2.8057967761395041E-5</v>
      </c>
    </row>
    <row r="2210" spans="2:4" x14ac:dyDescent="0.25">
      <c r="B2210" t="s">
        <v>8541</v>
      </c>
      <c r="C2210" s="71">
        <v>2</v>
      </c>
      <c r="D2210" s="75">
        <f t="shared" si="36"/>
        <v>2.8057967761395041E-5</v>
      </c>
    </row>
    <row r="2211" spans="2:4" x14ac:dyDescent="0.25">
      <c r="B2211" t="s">
        <v>8542</v>
      </c>
      <c r="C2211" s="71">
        <v>2</v>
      </c>
      <c r="D2211" s="75">
        <f t="shared" si="36"/>
        <v>2.8057967761395041E-5</v>
      </c>
    </row>
    <row r="2212" spans="2:4" x14ac:dyDescent="0.25">
      <c r="B2212" t="s">
        <v>8543</v>
      </c>
      <c r="C2212" s="71">
        <v>2</v>
      </c>
      <c r="D2212" s="75">
        <f t="shared" si="36"/>
        <v>2.8057967761395041E-5</v>
      </c>
    </row>
    <row r="2213" spans="2:4" x14ac:dyDescent="0.25">
      <c r="B2213" t="s">
        <v>8544</v>
      </c>
      <c r="C2213" s="71">
        <v>2</v>
      </c>
      <c r="D2213" s="75">
        <f t="shared" si="36"/>
        <v>2.8057967761395041E-5</v>
      </c>
    </row>
    <row r="2214" spans="2:4" x14ac:dyDescent="0.25">
      <c r="B2214" t="s">
        <v>8545</v>
      </c>
      <c r="C2214" s="71">
        <v>2</v>
      </c>
      <c r="D2214" s="75">
        <f t="shared" si="36"/>
        <v>2.8057967761395041E-5</v>
      </c>
    </row>
    <row r="2215" spans="2:4" x14ac:dyDescent="0.25">
      <c r="B2215" t="s">
        <v>8546</v>
      </c>
      <c r="C2215" s="71">
        <v>2</v>
      </c>
      <c r="D2215" s="75">
        <f t="shared" si="36"/>
        <v>2.8057967761395041E-5</v>
      </c>
    </row>
    <row r="2216" spans="2:4" x14ac:dyDescent="0.25">
      <c r="B2216" t="s">
        <v>8547</v>
      </c>
      <c r="C2216" s="71">
        <v>2</v>
      </c>
      <c r="D2216" s="75">
        <f t="shared" si="36"/>
        <v>2.8057967761395041E-5</v>
      </c>
    </row>
    <row r="2217" spans="2:4" x14ac:dyDescent="0.25">
      <c r="B2217" t="s">
        <v>8548</v>
      </c>
      <c r="C2217" s="71">
        <v>2</v>
      </c>
      <c r="D2217" s="75">
        <f t="shared" si="36"/>
        <v>2.8057967761395041E-5</v>
      </c>
    </row>
    <row r="2218" spans="2:4" x14ac:dyDescent="0.25">
      <c r="B2218" t="s">
        <v>8549</v>
      </c>
      <c r="C2218" s="71">
        <v>2</v>
      </c>
      <c r="D2218" s="75">
        <f t="shared" si="36"/>
        <v>2.8057967761395041E-5</v>
      </c>
    </row>
    <row r="2219" spans="2:4" x14ac:dyDescent="0.25">
      <c r="B2219" t="s">
        <v>8550</v>
      </c>
      <c r="C2219" s="71">
        <v>2</v>
      </c>
      <c r="D2219" s="75">
        <f t="shared" si="36"/>
        <v>2.8057967761395041E-5</v>
      </c>
    </row>
    <row r="2220" spans="2:4" x14ac:dyDescent="0.25">
      <c r="B2220" t="s">
        <v>8551</v>
      </c>
      <c r="C2220" s="71">
        <v>2</v>
      </c>
      <c r="D2220" s="75">
        <f t="shared" si="36"/>
        <v>2.8057967761395041E-5</v>
      </c>
    </row>
    <row r="2221" spans="2:4" x14ac:dyDescent="0.25">
      <c r="B2221" t="s">
        <v>8552</v>
      </c>
      <c r="C2221" s="71">
        <v>2</v>
      </c>
      <c r="D2221" s="75">
        <f t="shared" si="36"/>
        <v>2.8057967761395041E-5</v>
      </c>
    </row>
    <row r="2222" spans="2:4" x14ac:dyDescent="0.25">
      <c r="B2222" t="s">
        <v>8553</v>
      </c>
      <c r="C2222" s="71">
        <v>2</v>
      </c>
      <c r="D2222" s="75">
        <f t="shared" si="36"/>
        <v>2.8057967761395041E-5</v>
      </c>
    </row>
    <row r="2223" spans="2:4" x14ac:dyDescent="0.25">
      <c r="B2223" t="s">
        <v>8554</v>
      </c>
      <c r="C2223" s="71">
        <v>2</v>
      </c>
      <c r="D2223" s="75">
        <f t="shared" si="36"/>
        <v>2.8057967761395041E-5</v>
      </c>
    </row>
    <row r="2224" spans="2:4" x14ac:dyDescent="0.25">
      <c r="B2224" t="s">
        <v>8555</v>
      </c>
      <c r="C2224" s="71">
        <v>2</v>
      </c>
      <c r="D2224" s="75">
        <f t="shared" si="36"/>
        <v>2.8057967761395041E-5</v>
      </c>
    </row>
    <row r="2225" spans="2:4" x14ac:dyDescent="0.25">
      <c r="B2225" t="s">
        <v>8556</v>
      </c>
      <c r="C2225" s="71">
        <v>2</v>
      </c>
      <c r="D2225" s="75">
        <f t="shared" si="36"/>
        <v>2.8057967761395041E-5</v>
      </c>
    </row>
    <row r="2226" spans="2:4" x14ac:dyDescent="0.25">
      <c r="B2226" t="s">
        <v>8557</v>
      </c>
      <c r="C2226" s="71">
        <v>2</v>
      </c>
      <c r="D2226" s="75">
        <f t="shared" si="36"/>
        <v>2.8057967761395041E-5</v>
      </c>
    </row>
    <row r="2227" spans="2:4" x14ac:dyDescent="0.25">
      <c r="B2227" t="s">
        <v>8558</v>
      </c>
      <c r="C2227" s="71">
        <v>2</v>
      </c>
      <c r="D2227" s="75">
        <f t="shared" si="36"/>
        <v>2.8057967761395041E-5</v>
      </c>
    </row>
    <row r="2228" spans="2:4" x14ac:dyDescent="0.25">
      <c r="B2228" t="s">
        <v>8559</v>
      </c>
      <c r="C2228" s="71">
        <v>2</v>
      </c>
      <c r="D2228" s="75">
        <f t="shared" si="36"/>
        <v>2.8057967761395041E-5</v>
      </c>
    </row>
    <row r="2229" spans="2:4" x14ac:dyDescent="0.25">
      <c r="B2229" t="s">
        <v>8560</v>
      </c>
      <c r="C2229" s="71">
        <v>2</v>
      </c>
      <c r="D2229" s="75">
        <f t="shared" si="36"/>
        <v>2.8057967761395041E-5</v>
      </c>
    </row>
    <row r="2230" spans="2:4" x14ac:dyDescent="0.25">
      <c r="B2230" t="s">
        <v>8561</v>
      </c>
      <c r="C2230" s="71">
        <v>2</v>
      </c>
      <c r="D2230" s="75">
        <f t="shared" si="36"/>
        <v>2.8057967761395041E-5</v>
      </c>
    </row>
    <row r="2231" spans="2:4" x14ac:dyDescent="0.25">
      <c r="B2231" t="s">
        <v>8562</v>
      </c>
      <c r="C2231" s="71">
        <v>2</v>
      </c>
      <c r="D2231" s="75">
        <f t="shared" si="36"/>
        <v>2.8057967761395041E-5</v>
      </c>
    </row>
    <row r="2232" spans="2:4" x14ac:dyDescent="0.25">
      <c r="B2232" t="s">
        <v>8563</v>
      </c>
      <c r="C2232" s="71">
        <v>2</v>
      </c>
      <c r="D2232" s="75">
        <f t="shared" si="36"/>
        <v>2.8057967761395041E-5</v>
      </c>
    </row>
    <row r="2233" spans="2:4" x14ac:dyDescent="0.25">
      <c r="B2233" t="s">
        <v>8564</v>
      </c>
      <c r="C2233" s="71">
        <v>2</v>
      </c>
      <c r="D2233" s="75">
        <f t="shared" si="36"/>
        <v>2.8057967761395041E-5</v>
      </c>
    </row>
    <row r="2234" spans="2:4" x14ac:dyDescent="0.25">
      <c r="B2234" t="s">
        <v>8565</v>
      </c>
      <c r="C2234" s="71">
        <v>2</v>
      </c>
      <c r="D2234" s="75">
        <f t="shared" si="36"/>
        <v>2.8057967761395041E-5</v>
      </c>
    </row>
    <row r="2235" spans="2:4" x14ac:dyDescent="0.25">
      <c r="B2235" t="s">
        <v>8566</v>
      </c>
      <c r="C2235" s="71">
        <v>2</v>
      </c>
      <c r="D2235" s="75">
        <f t="shared" si="36"/>
        <v>2.8057967761395041E-5</v>
      </c>
    </row>
    <row r="2236" spans="2:4" x14ac:dyDescent="0.25">
      <c r="B2236" t="s">
        <v>8567</v>
      </c>
      <c r="C2236" s="71">
        <v>2</v>
      </c>
      <c r="D2236" s="75">
        <f t="shared" si="36"/>
        <v>2.8057967761395041E-5</v>
      </c>
    </row>
    <row r="2237" spans="2:4" x14ac:dyDescent="0.25">
      <c r="B2237" t="s">
        <v>8568</v>
      </c>
      <c r="C2237" s="71">
        <v>2</v>
      </c>
      <c r="D2237" s="75">
        <f t="shared" si="36"/>
        <v>2.8057967761395041E-5</v>
      </c>
    </row>
    <row r="2238" spans="2:4" x14ac:dyDescent="0.25">
      <c r="B2238" t="s">
        <v>8569</v>
      </c>
      <c r="C2238" s="71">
        <v>2</v>
      </c>
      <c r="D2238" s="75">
        <f t="shared" si="36"/>
        <v>2.8057967761395041E-5</v>
      </c>
    </row>
    <row r="2239" spans="2:4" x14ac:dyDescent="0.25">
      <c r="B2239" t="s">
        <v>8570</v>
      </c>
      <c r="C2239" s="71">
        <v>2</v>
      </c>
      <c r="D2239" s="75">
        <f t="shared" si="36"/>
        <v>2.8057967761395041E-5</v>
      </c>
    </row>
    <row r="2240" spans="2:4" x14ac:dyDescent="0.25">
      <c r="B2240" t="s">
        <v>8571</v>
      </c>
      <c r="C2240" s="71">
        <v>2</v>
      </c>
      <c r="D2240" s="75">
        <f t="shared" si="36"/>
        <v>2.8057967761395041E-5</v>
      </c>
    </row>
    <row r="2241" spans="2:4" x14ac:dyDescent="0.25">
      <c r="B2241" t="s">
        <v>8572</v>
      </c>
      <c r="C2241" s="71">
        <v>2</v>
      </c>
      <c r="D2241" s="75">
        <f t="shared" si="36"/>
        <v>2.8057967761395041E-5</v>
      </c>
    </row>
    <row r="2242" spans="2:4" x14ac:dyDescent="0.25">
      <c r="B2242" t="s">
        <v>8573</v>
      </c>
      <c r="C2242" s="71">
        <v>2</v>
      </c>
      <c r="D2242" s="75">
        <f t="shared" si="36"/>
        <v>2.8057967761395041E-5</v>
      </c>
    </row>
    <row r="2243" spans="2:4" x14ac:dyDescent="0.25">
      <c r="B2243" t="s">
        <v>8574</v>
      </c>
      <c r="C2243" s="71">
        <v>2</v>
      </c>
      <c r="D2243" s="75">
        <f t="shared" si="36"/>
        <v>2.8057967761395041E-5</v>
      </c>
    </row>
    <row r="2244" spans="2:4" x14ac:dyDescent="0.25">
      <c r="B2244" t="s">
        <v>8575</v>
      </c>
      <c r="C2244" s="71">
        <v>2</v>
      </c>
      <c r="D2244" s="75">
        <f t="shared" si="36"/>
        <v>2.8057967761395041E-5</v>
      </c>
    </row>
    <row r="2245" spans="2:4" x14ac:dyDescent="0.25">
      <c r="B2245" t="s">
        <v>8576</v>
      </c>
      <c r="C2245" s="71">
        <v>2</v>
      </c>
      <c r="D2245" s="75">
        <f t="shared" si="36"/>
        <v>2.8057967761395041E-5</v>
      </c>
    </row>
    <row r="2246" spans="2:4" x14ac:dyDescent="0.25">
      <c r="B2246" t="s">
        <v>8577</v>
      </c>
      <c r="C2246" s="71">
        <v>2</v>
      </c>
      <c r="D2246" s="75">
        <f t="shared" ref="D2246:D2309" si="37">C2246/$C$4822</f>
        <v>2.8057967761395041E-5</v>
      </c>
    </row>
    <row r="2247" spans="2:4" x14ac:dyDescent="0.25">
      <c r="B2247" t="s">
        <v>8578</v>
      </c>
      <c r="C2247" s="71">
        <v>2</v>
      </c>
      <c r="D2247" s="75">
        <f t="shared" si="37"/>
        <v>2.8057967761395041E-5</v>
      </c>
    </row>
    <row r="2248" spans="2:4" x14ac:dyDescent="0.25">
      <c r="B2248" t="s">
        <v>8579</v>
      </c>
      <c r="C2248" s="71">
        <v>2</v>
      </c>
      <c r="D2248" s="75">
        <f t="shared" si="37"/>
        <v>2.8057967761395041E-5</v>
      </c>
    </row>
    <row r="2249" spans="2:4" x14ac:dyDescent="0.25">
      <c r="B2249" t="s">
        <v>8580</v>
      </c>
      <c r="C2249" s="71">
        <v>2</v>
      </c>
      <c r="D2249" s="75">
        <f t="shared" si="37"/>
        <v>2.8057967761395041E-5</v>
      </c>
    </row>
    <row r="2250" spans="2:4" x14ac:dyDescent="0.25">
      <c r="B2250" t="s">
        <v>8581</v>
      </c>
      <c r="C2250" s="71">
        <v>2</v>
      </c>
      <c r="D2250" s="75">
        <f t="shared" si="37"/>
        <v>2.8057967761395041E-5</v>
      </c>
    </row>
    <row r="2251" spans="2:4" x14ac:dyDescent="0.25">
      <c r="B2251" t="s">
        <v>8582</v>
      </c>
      <c r="C2251" s="71">
        <v>2</v>
      </c>
      <c r="D2251" s="75">
        <f t="shared" si="37"/>
        <v>2.8057967761395041E-5</v>
      </c>
    </row>
    <row r="2252" spans="2:4" x14ac:dyDescent="0.25">
      <c r="B2252" t="s">
        <v>8583</v>
      </c>
      <c r="C2252" s="71">
        <v>2</v>
      </c>
      <c r="D2252" s="75">
        <f t="shared" si="37"/>
        <v>2.8057967761395041E-5</v>
      </c>
    </row>
    <row r="2253" spans="2:4" x14ac:dyDescent="0.25">
      <c r="B2253" t="s">
        <v>8584</v>
      </c>
      <c r="C2253" s="71">
        <v>2</v>
      </c>
      <c r="D2253" s="75">
        <f t="shared" si="37"/>
        <v>2.8057967761395041E-5</v>
      </c>
    </row>
    <row r="2254" spans="2:4" x14ac:dyDescent="0.25">
      <c r="B2254" t="s">
        <v>8585</v>
      </c>
      <c r="C2254" s="71">
        <v>2</v>
      </c>
      <c r="D2254" s="75">
        <f t="shared" si="37"/>
        <v>2.8057967761395041E-5</v>
      </c>
    </row>
    <row r="2255" spans="2:4" x14ac:dyDescent="0.25">
      <c r="B2255" t="s">
        <v>8586</v>
      </c>
      <c r="C2255" s="71">
        <v>2</v>
      </c>
      <c r="D2255" s="75">
        <f t="shared" si="37"/>
        <v>2.8057967761395041E-5</v>
      </c>
    </row>
    <row r="2256" spans="2:4" x14ac:dyDescent="0.25">
      <c r="B2256" t="s">
        <v>8587</v>
      </c>
      <c r="C2256" s="71">
        <v>2</v>
      </c>
      <c r="D2256" s="75">
        <f t="shared" si="37"/>
        <v>2.8057967761395041E-5</v>
      </c>
    </row>
    <row r="2257" spans="2:4" x14ac:dyDescent="0.25">
      <c r="B2257" t="s">
        <v>8588</v>
      </c>
      <c r="C2257" s="71">
        <v>2</v>
      </c>
      <c r="D2257" s="75">
        <f t="shared" si="37"/>
        <v>2.8057967761395041E-5</v>
      </c>
    </row>
    <row r="2258" spans="2:4" x14ac:dyDescent="0.25">
      <c r="B2258" t="s">
        <v>8589</v>
      </c>
      <c r="C2258" s="71">
        <v>2</v>
      </c>
      <c r="D2258" s="75">
        <f t="shared" si="37"/>
        <v>2.8057967761395041E-5</v>
      </c>
    </row>
    <row r="2259" spans="2:4" x14ac:dyDescent="0.25">
      <c r="B2259" t="s">
        <v>8590</v>
      </c>
      <c r="C2259" s="71">
        <v>2</v>
      </c>
      <c r="D2259" s="75">
        <f t="shared" si="37"/>
        <v>2.8057967761395041E-5</v>
      </c>
    </row>
    <row r="2260" spans="2:4" x14ac:dyDescent="0.25">
      <c r="B2260" t="s">
        <v>8591</v>
      </c>
      <c r="C2260" s="71">
        <v>2</v>
      </c>
      <c r="D2260" s="75">
        <f t="shared" si="37"/>
        <v>2.8057967761395041E-5</v>
      </c>
    </row>
    <row r="2261" spans="2:4" x14ac:dyDescent="0.25">
      <c r="B2261" t="s">
        <v>8592</v>
      </c>
      <c r="C2261" s="71">
        <v>2</v>
      </c>
      <c r="D2261" s="75">
        <f t="shared" si="37"/>
        <v>2.8057967761395041E-5</v>
      </c>
    </row>
    <row r="2262" spans="2:4" x14ac:dyDescent="0.25">
      <c r="B2262" t="s">
        <v>8593</v>
      </c>
      <c r="C2262" s="71">
        <v>2</v>
      </c>
      <c r="D2262" s="75">
        <f t="shared" si="37"/>
        <v>2.8057967761395041E-5</v>
      </c>
    </row>
    <row r="2263" spans="2:4" x14ac:dyDescent="0.25">
      <c r="B2263" t="s">
        <v>8594</v>
      </c>
      <c r="C2263" s="71">
        <v>2</v>
      </c>
      <c r="D2263" s="75">
        <f t="shared" si="37"/>
        <v>2.8057967761395041E-5</v>
      </c>
    </row>
    <row r="2264" spans="2:4" x14ac:dyDescent="0.25">
      <c r="B2264" t="s">
        <v>8595</v>
      </c>
      <c r="C2264" s="71">
        <v>2</v>
      </c>
      <c r="D2264" s="75">
        <f t="shared" si="37"/>
        <v>2.8057967761395041E-5</v>
      </c>
    </row>
    <row r="2265" spans="2:4" x14ac:dyDescent="0.25">
      <c r="B2265" t="s">
        <v>8596</v>
      </c>
      <c r="C2265" s="71">
        <v>2</v>
      </c>
      <c r="D2265" s="75">
        <f t="shared" si="37"/>
        <v>2.8057967761395041E-5</v>
      </c>
    </row>
    <row r="2266" spans="2:4" x14ac:dyDescent="0.25">
      <c r="B2266" t="s">
        <v>8597</v>
      </c>
      <c r="C2266" s="71">
        <v>2</v>
      </c>
      <c r="D2266" s="75">
        <f t="shared" si="37"/>
        <v>2.8057967761395041E-5</v>
      </c>
    </row>
    <row r="2267" spans="2:4" x14ac:dyDescent="0.25">
      <c r="B2267" t="s">
        <v>8598</v>
      </c>
      <c r="C2267" s="71">
        <v>2</v>
      </c>
      <c r="D2267" s="75">
        <f t="shared" si="37"/>
        <v>2.8057967761395041E-5</v>
      </c>
    </row>
    <row r="2268" spans="2:4" x14ac:dyDescent="0.25">
      <c r="B2268" t="s">
        <v>8599</v>
      </c>
      <c r="C2268" s="71">
        <v>2</v>
      </c>
      <c r="D2268" s="75">
        <f t="shared" si="37"/>
        <v>2.8057967761395041E-5</v>
      </c>
    </row>
    <row r="2269" spans="2:4" x14ac:dyDescent="0.25">
      <c r="B2269" t="s">
        <v>8600</v>
      </c>
      <c r="C2269" s="71">
        <v>2</v>
      </c>
      <c r="D2269" s="75">
        <f t="shared" si="37"/>
        <v>2.8057967761395041E-5</v>
      </c>
    </row>
    <row r="2270" spans="2:4" x14ac:dyDescent="0.25">
      <c r="B2270" t="s">
        <v>8601</v>
      </c>
      <c r="C2270" s="71">
        <v>2</v>
      </c>
      <c r="D2270" s="75">
        <f t="shared" si="37"/>
        <v>2.8057967761395041E-5</v>
      </c>
    </row>
    <row r="2271" spans="2:4" x14ac:dyDescent="0.25">
      <c r="B2271" t="s">
        <v>8602</v>
      </c>
      <c r="C2271" s="71">
        <v>2</v>
      </c>
      <c r="D2271" s="75">
        <f t="shared" si="37"/>
        <v>2.8057967761395041E-5</v>
      </c>
    </row>
    <row r="2272" spans="2:4" x14ac:dyDescent="0.25">
      <c r="B2272" t="s">
        <v>8603</v>
      </c>
      <c r="C2272" s="71">
        <v>2</v>
      </c>
      <c r="D2272" s="75">
        <f t="shared" si="37"/>
        <v>2.8057967761395041E-5</v>
      </c>
    </row>
    <row r="2273" spans="2:4" x14ac:dyDescent="0.25">
      <c r="B2273" t="s">
        <v>8604</v>
      </c>
      <c r="C2273" s="71">
        <v>2</v>
      </c>
      <c r="D2273" s="75">
        <f t="shared" si="37"/>
        <v>2.8057967761395041E-5</v>
      </c>
    </row>
    <row r="2274" spans="2:4" x14ac:dyDescent="0.25">
      <c r="B2274" t="s">
        <v>8605</v>
      </c>
      <c r="C2274" s="71">
        <v>2</v>
      </c>
      <c r="D2274" s="75">
        <f t="shared" si="37"/>
        <v>2.8057967761395041E-5</v>
      </c>
    </row>
    <row r="2275" spans="2:4" x14ac:dyDescent="0.25">
      <c r="B2275" t="s">
        <v>8606</v>
      </c>
      <c r="C2275" s="71">
        <v>2</v>
      </c>
      <c r="D2275" s="75">
        <f t="shared" si="37"/>
        <v>2.8057967761395041E-5</v>
      </c>
    </row>
    <row r="2276" spans="2:4" x14ac:dyDescent="0.25">
      <c r="B2276" t="s">
        <v>8607</v>
      </c>
      <c r="C2276" s="71">
        <v>2</v>
      </c>
      <c r="D2276" s="75">
        <f t="shared" si="37"/>
        <v>2.8057967761395041E-5</v>
      </c>
    </row>
    <row r="2277" spans="2:4" x14ac:dyDescent="0.25">
      <c r="B2277" t="s">
        <v>8608</v>
      </c>
      <c r="C2277" s="71">
        <v>2</v>
      </c>
      <c r="D2277" s="75">
        <f t="shared" si="37"/>
        <v>2.8057967761395041E-5</v>
      </c>
    </row>
    <row r="2278" spans="2:4" x14ac:dyDescent="0.25">
      <c r="B2278" t="s">
        <v>8609</v>
      </c>
      <c r="C2278" s="71">
        <v>2</v>
      </c>
      <c r="D2278" s="75">
        <f t="shared" si="37"/>
        <v>2.8057967761395041E-5</v>
      </c>
    </row>
    <row r="2279" spans="2:4" x14ac:dyDescent="0.25">
      <c r="B2279" t="s">
        <v>8610</v>
      </c>
      <c r="C2279" s="71">
        <v>2</v>
      </c>
      <c r="D2279" s="75">
        <f t="shared" si="37"/>
        <v>2.8057967761395041E-5</v>
      </c>
    </row>
    <row r="2280" spans="2:4" x14ac:dyDescent="0.25">
      <c r="B2280" t="s">
        <v>8611</v>
      </c>
      <c r="C2280" s="71">
        <v>2</v>
      </c>
      <c r="D2280" s="75">
        <f t="shared" si="37"/>
        <v>2.8057967761395041E-5</v>
      </c>
    </row>
    <row r="2281" spans="2:4" x14ac:dyDescent="0.25">
      <c r="B2281" t="s">
        <v>8612</v>
      </c>
      <c r="C2281" s="71">
        <v>2</v>
      </c>
      <c r="D2281" s="75">
        <f t="shared" si="37"/>
        <v>2.8057967761395041E-5</v>
      </c>
    </row>
    <row r="2282" spans="2:4" x14ac:dyDescent="0.25">
      <c r="B2282" t="s">
        <v>8613</v>
      </c>
      <c r="C2282" s="71">
        <v>2</v>
      </c>
      <c r="D2282" s="75">
        <f t="shared" si="37"/>
        <v>2.8057967761395041E-5</v>
      </c>
    </row>
    <row r="2283" spans="2:4" x14ac:dyDescent="0.25">
      <c r="B2283" t="s">
        <v>8614</v>
      </c>
      <c r="C2283" s="71">
        <v>2</v>
      </c>
      <c r="D2283" s="75">
        <f t="shared" si="37"/>
        <v>2.8057967761395041E-5</v>
      </c>
    </row>
    <row r="2284" spans="2:4" x14ac:dyDescent="0.25">
      <c r="B2284" t="s">
        <v>8615</v>
      </c>
      <c r="C2284" s="71">
        <v>2</v>
      </c>
      <c r="D2284" s="75">
        <f t="shared" si="37"/>
        <v>2.8057967761395041E-5</v>
      </c>
    </row>
    <row r="2285" spans="2:4" x14ac:dyDescent="0.25">
      <c r="B2285" t="s">
        <v>8616</v>
      </c>
      <c r="C2285" s="71">
        <v>2</v>
      </c>
      <c r="D2285" s="75">
        <f t="shared" si="37"/>
        <v>2.8057967761395041E-5</v>
      </c>
    </row>
    <row r="2286" spans="2:4" x14ac:dyDescent="0.25">
      <c r="B2286" t="s">
        <v>8617</v>
      </c>
      <c r="C2286" s="71">
        <v>2</v>
      </c>
      <c r="D2286" s="75">
        <f t="shared" si="37"/>
        <v>2.8057967761395041E-5</v>
      </c>
    </row>
    <row r="2287" spans="2:4" x14ac:dyDescent="0.25">
      <c r="B2287" t="s">
        <v>8618</v>
      </c>
      <c r="C2287" s="71">
        <v>2</v>
      </c>
      <c r="D2287" s="75">
        <f t="shared" si="37"/>
        <v>2.8057967761395041E-5</v>
      </c>
    </row>
    <row r="2288" spans="2:4" x14ac:dyDescent="0.25">
      <c r="B2288" t="s">
        <v>8619</v>
      </c>
      <c r="C2288" s="71">
        <v>2</v>
      </c>
      <c r="D2288" s="75">
        <f t="shared" si="37"/>
        <v>2.8057967761395041E-5</v>
      </c>
    </row>
    <row r="2289" spans="2:4" x14ac:dyDescent="0.25">
      <c r="B2289" t="s">
        <v>8620</v>
      </c>
      <c r="C2289" s="71">
        <v>2</v>
      </c>
      <c r="D2289" s="75">
        <f t="shared" si="37"/>
        <v>2.8057967761395041E-5</v>
      </c>
    </row>
    <row r="2290" spans="2:4" x14ac:dyDescent="0.25">
      <c r="B2290" t="s">
        <v>8621</v>
      </c>
      <c r="C2290" s="71">
        <v>2</v>
      </c>
      <c r="D2290" s="75">
        <f t="shared" si="37"/>
        <v>2.8057967761395041E-5</v>
      </c>
    </row>
    <row r="2291" spans="2:4" x14ac:dyDescent="0.25">
      <c r="B2291" t="s">
        <v>8622</v>
      </c>
      <c r="C2291" s="71">
        <v>2</v>
      </c>
      <c r="D2291" s="75">
        <f t="shared" si="37"/>
        <v>2.8057967761395041E-5</v>
      </c>
    </row>
    <row r="2292" spans="2:4" x14ac:dyDescent="0.25">
      <c r="B2292" t="s">
        <v>8623</v>
      </c>
      <c r="C2292" s="71">
        <v>2</v>
      </c>
      <c r="D2292" s="75">
        <f t="shared" si="37"/>
        <v>2.8057967761395041E-5</v>
      </c>
    </row>
    <row r="2293" spans="2:4" x14ac:dyDescent="0.25">
      <c r="B2293" t="s">
        <v>8624</v>
      </c>
      <c r="C2293" s="71">
        <v>2</v>
      </c>
      <c r="D2293" s="75">
        <f t="shared" si="37"/>
        <v>2.8057967761395041E-5</v>
      </c>
    </row>
    <row r="2294" spans="2:4" x14ac:dyDescent="0.25">
      <c r="B2294" t="s">
        <v>8625</v>
      </c>
      <c r="C2294" s="71">
        <v>2</v>
      </c>
      <c r="D2294" s="75">
        <f t="shared" si="37"/>
        <v>2.8057967761395041E-5</v>
      </c>
    </row>
    <row r="2295" spans="2:4" x14ac:dyDescent="0.25">
      <c r="B2295" t="s">
        <v>8626</v>
      </c>
      <c r="C2295" s="71">
        <v>2</v>
      </c>
      <c r="D2295" s="75">
        <f t="shared" si="37"/>
        <v>2.8057967761395041E-5</v>
      </c>
    </row>
    <row r="2296" spans="2:4" x14ac:dyDescent="0.25">
      <c r="B2296" t="s">
        <v>8627</v>
      </c>
      <c r="C2296" s="71">
        <v>2</v>
      </c>
      <c r="D2296" s="75">
        <f t="shared" si="37"/>
        <v>2.8057967761395041E-5</v>
      </c>
    </row>
    <row r="2297" spans="2:4" x14ac:dyDescent="0.25">
      <c r="B2297" t="s">
        <v>8628</v>
      </c>
      <c r="C2297" s="71">
        <v>2</v>
      </c>
      <c r="D2297" s="75">
        <f t="shared" si="37"/>
        <v>2.8057967761395041E-5</v>
      </c>
    </row>
    <row r="2298" spans="2:4" x14ac:dyDescent="0.25">
      <c r="B2298" t="s">
        <v>8629</v>
      </c>
      <c r="C2298" s="71">
        <v>2</v>
      </c>
      <c r="D2298" s="75">
        <f t="shared" si="37"/>
        <v>2.8057967761395041E-5</v>
      </c>
    </row>
    <row r="2299" spans="2:4" x14ac:dyDescent="0.25">
      <c r="B2299" t="s">
        <v>8630</v>
      </c>
      <c r="C2299" s="71">
        <v>2</v>
      </c>
      <c r="D2299" s="75">
        <f t="shared" si="37"/>
        <v>2.8057967761395041E-5</v>
      </c>
    </row>
    <row r="2300" spans="2:4" x14ac:dyDescent="0.25">
      <c r="B2300" t="s">
        <v>8631</v>
      </c>
      <c r="C2300" s="71">
        <v>2</v>
      </c>
      <c r="D2300" s="75">
        <f t="shared" si="37"/>
        <v>2.8057967761395041E-5</v>
      </c>
    </row>
    <row r="2301" spans="2:4" x14ac:dyDescent="0.25">
      <c r="B2301" t="s">
        <v>8632</v>
      </c>
      <c r="C2301" s="71">
        <v>2</v>
      </c>
      <c r="D2301" s="75">
        <f t="shared" si="37"/>
        <v>2.8057967761395041E-5</v>
      </c>
    </row>
    <row r="2302" spans="2:4" x14ac:dyDescent="0.25">
      <c r="B2302" t="s">
        <v>8633</v>
      </c>
      <c r="C2302" s="71">
        <v>2</v>
      </c>
      <c r="D2302" s="75">
        <f t="shared" si="37"/>
        <v>2.8057967761395041E-5</v>
      </c>
    </row>
    <row r="2303" spans="2:4" x14ac:dyDescent="0.25">
      <c r="B2303" t="s">
        <v>8634</v>
      </c>
      <c r="C2303" s="71">
        <v>2</v>
      </c>
      <c r="D2303" s="75">
        <f t="shared" si="37"/>
        <v>2.8057967761395041E-5</v>
      </c>
    </row>
    <row r="2304" spans="2:4" x14ac:dyDescent="0.25">
      <c r="B2304" t="s">
        <v>8635</v>
      </c>
      <c r="C2304" s="71">
        <v>2</v>
      </c>
      <c r="D2304" s="75">
        <f t="shared" si="37"/>
        <v>2.8057967761395041E-5</v>
      </c>
    </row>
    <row r="2305" spans="2:4" x14ac:dyDescent="0.25">
      <c r="B2305" t="s">
        <v>8636</v>
      </c>
      <c r="C2305" s="71">
        <v>2</v>
      </c>
      <c r="D2305" s="75">
        <f t="shared" si="37"/>
        <v>2.8057967761395041E-5</v>
      </c>
    </row>
    <row r="2306" spans="2:4" x14ac:dyDescent="0.25">
      <c r="B2306" t="s">
        <v>8637</v>
      </c>
      <c r="C2306" s="71">
        <v>2</v>
      </c>
      <c r="D2306" s="75">
        <f t="shared" si="37"/>
        <v>2.8057967761395041E-5</v>
      </c>
    </row>
    <row r="2307" spans="2:4" x14ac:dyDescent="0.25">
      <c r="B2307" t="s">
        <v>8638</v>
      </c>
      <c r="C2307" s="71">
        <v>2</v>
      </c>
      <c r="D2307" s="75">
        <f t="shared" si="37"/>
        <v>2.8057967761395041E-5</v>
      </c>
    </row>
    <row r="2308" spans="2:4" x14ac:dyDescent="0.25">
      <c r="B2308" t="s">
        <v>8639</v>
      </c>
      <c r="C2308" s="71">
        <v>2</v>
      </c>
      <c r="D2308" s="75">
        <f t="shared" si="37"/>
        <v>2.8057967761395041E-5</v>
      </c>
    </row>
    <row r="2309" spans="2:4" x14ac:dyDescent="0.25">
      <c r="B2309" t="s">
        <v>8640</v>
      </c>
      <c r="C2309" s="71">
        <v>2</v>
      </c>
      <c r="D2309" s="75">
        <f t="shared" si="37"/>
        <v>2.8057967761395041E-5</v>
      </c>
    </row>
    <row r="2310" spans="2:4" x14ac:dyDescent="0.25">
      <c r="B2310" t="s">
        <v>8641</v>
      </c>
      <c r="C2310" s="71">
        <v>2</v>
      </c>
      <c r="D2310" s="75">
        <f t="shared" ref="D2310:D2373" si="38">C2310/$C$4822</f>
        <v>2.8057967761395041E-5</v>
      </c>
    </row>
    <row r="2311" spans="2:4" x14ac:dyDescent="0.25">
      <c r="B2311" t="s">
        <v>8642</v>
      </c>
      <c r="C2311" s="71">
        <v>2</v>
      </c>
      <c r="D2311" s="75">
        <f t="shared" si="38"/>
        <v>2.8057967761395041E-5</v>
      </c>
    </row>
    <row r="2312" spans="2:4" x14ac:dyDescent="0.25">
      <c r="B2312" t="s">
        <v>8643</v>
      </c>
      <c r="C2312" s="71">
        <v>2</v>
      </c>
      <c r="D2312" s="75">
        <f t="shared" si="38"/>
        <v>2.8057967761395041E-5</v>
      </c>
    </row>
    <row r="2313" spans="2:4" x14ac:dyDescent="0.25">
      <c r="B2313" t="s">
        <v>8644</v>
      </c>
      <c r="C2313" s="71">
        <v>2</v>
      </c>
      <c r="D2313" s="75">
        <f t="shared" si="38"/>
        <v>2.8057967761395041E-5</v>
      </c>
    </row>
    <row r="2314" spans="2:4" x14ac:dyDescent="0.25">
      <c r="B2314" t="s">
        <v>8645</v>
      </c>
      <c r="C2314" s="71">
        <v>2</v>
      </c>
      <c r="D2314" s="75">
        <f t="shared" si="38"/>
        <v>2.8057967761395041E-5</v>
      </c>
    </row>
    <row r="2315" spans="2:4" x14ac:dyDescent="0.25">
      <c r="B2315" t="s">
        <v>8646</v>
      </c>
      <c r="C2315" s="71">
        <v>2</v>
      </c>
      <c r="D2315" s="75">
        <f t="shared" si="38"/>
        <v>2.8057967761395041E-5</v>
      </c>
    </row>
    <row r="2316" spans="2:4" x14ac:dyDescent="0.25">
      <c r="B2316" t="s">
        <v>8647</v>
      </c>
      <c r="C2316" s="71">
        <v>2</v>
      </c>
      <c r="D2316" s="75">
        <f t="shared" si="38"/>
        <v>2.8057967761395041E-5</v>
      </c>
    </row>
    <row r="2317" spans="2:4" x14ac:dyDescent="0.25">
      <c r="B2317" t="s">
        <v>8648</v>
      </c>
      <c r="C2317" s="71">
        <v>2</v>
      </c>
      <c r="D2317" s="75">
        <f t="shared" si="38"/>
        <v>2.8057967761395041E-5</v>
      </c>
    </row>
    <row r="2318" spans="2:4" x14ac:dyDescent="0.25">
      <c r="B2318" t="s">
        <v>8649</v>
      </c>
      <c r="C2318" s="71">
        <v>2</v>
      </c>
      <c r="D2318" s="75">
        <f t="shared" si="38"/>
        <v>2.8057967761395041E-5</v>
      </c>
    </row>
    <row r="2319" spans="2:4" x14ac:dyDescent="0.25">
      <c r="B2319" t="s">
        <v>8650</v>
      </c>
      <c r="C2319" s="71">
        <v>2</v>
      </c>
      <c r="D2319" s="75">
        <f t="shared" si="38"/>
        <v>2.8057967761395041E-5</v>
      </c>
    </row>
    <row r="2320" spans="2:4" x14ac:dyDescent="0.25">
      <c r="B2320" t="s">
        <v>8651</v>
      </c>
      <c r="C2320" s="71">
        <v>2</v>
      </c>
      <c r="D2320" s="75">
        <f t="shared" si="38"/>
        <v>2.8057967761395041E-5</v>
      </c>
    </row>
    <row r="2321" spans="2:4" x14ac:dyDescent="0.25">
      <c r="B2321" t="s">
        <v>8652</v>
      </c>
      <c r="C2321" s="71">
        <v>2</v>
      </c>
      <c r="D2321" s="75">
        <f t="shared" si="38"/>
        <v>2.8057967761395041E-5</v>
      </c>
    </row>
    <row r="2322" spans="2:4" x14ac:dyDescent="0.25">
      <c r="B2322" t="s">
        <v>8653</v>
      </c>
      <c r="C2322" s="71">
        <v>2</v>
      </c>
      <c r="D2322" s="75">
        <f t="shared" si="38"/>
        <v>2.8057967761395041E-5</v>
      </c>
    </row>
    <row r="2323" spans="2:4" x14ac:dyDescent="0.25">
      <c r="B2323" t="s">
        <v>8654</v>
      </c>
      <c r="C2323" s="71">
        <v>2</v>
      </c>
      <c r="D2323" s="75">
        <f t="shared" si="38"/>
        <v>2.8057967761395041E-5</v>
      </c>
    </row>
    <row r="2324" spans="2:4" x14ac:dyDescent="0.25">
      <c r="B2324" t="s">
        <v>8655</v>
      </c>
      <c r="C2324" s="71">
        <v>2</v>
      </c>
      <c r="D2324" s="75">
        <f t="shared" si="38"/>
        <v>2.8057967761395041E-5</v>
      </c>
    </row>
    <row r="2325" spans="2:4" x14ac:dyDescent="0.25">
      <c r="B2325" t="s">
        <v>8656</v>
      </c>
      <c r="C2325" s="71">
        <v>2</v>
      </c>
      <c r="D2325" s="75">
        <f t="shared" si="38"/>
        <v>2.8057967761395041E-5</v>
      </c>
    </row>
    <row r="2326" spans="2:4" x14ac:dyDescent="0.25">
      <c r="B2326" t="s">
        <v>8657</v>
      </c>
      <c r="C2326" s="71">
        <v>2</v>
      </c>
      <c r="D2326" s="75">
        <f t="shared" si="38"/>
        <v>2.8057967761395041E-5</v>
      </c>
    </row>
    <row r="2327" spans="2:4" x14ac:dyDescent="0.25">
      <c r="B2327" t="s">
        <v>8658</v>
      </c>
      <c r="C2327" s="71">
        <v>2</v>
      </c>
      <c r="D2327" s="75">
        <f t="shared" si="38"/>
        <v>2.8057967761395041E-5</v>
      </c>
    </row>
    <row r="2328" spans="2:4" x14ac:dyDescent="0.25">
      <c r="B2328" t="s">
        <v>8659</v>
      </c>
      <c r="C2328" s="71">
        <v>2</v>
      </c>
      <c r="D2328" s="75">
        <f t="shared" si="38"/>
        <v>2.8057967761395041E-5</v>
      </c>
    </row>
    <row r="2329" spans="2:4" x14ac:dyDescent="0.25">
      <c r="B2329" t="s">
        <v>8660</v>
      </c>
      <c r="C2329" s="71">
        <v>2</v>
      </c>
      <c r="D2329" s="75">
        <f t="shared" si="38"/>
        <v>2.8057967761395041E-5</v>
      </c>
    </row>
    <row r="2330" spans="2:4" x14ac:dyDescent="0.25">
      <c r="B2330" t="s">
        <v>8661</v>
      </c>
      <c r="C2330" s="71">
        <v>2</v>
      </c>
      <c r="D2330" s="75">
        <f t="shared" si="38"/>
        <v>2.8057967761395041E-5</v>
      </c>
    </row>
    <row r="2331" spans="2:4" x14ac:dyDescent="0.25">
      <c r="B2331" t="s">
        <v>8662</v>
      </c>
      <c r="C2331" s="71">
        <v>2</v>
      </c>
      <c r="D2331" s="75">
        <f t="shared" si="38"/>
        <v>2.8057967761395041E-5</v>
      </c>
    </row>
    <row r="2332" spans="2:4" x14ac:dyDescent="0.25">
      <c r="B2332" t="s">
        <v>8663</v>
      </c>
      <c r="C2332" s="71">
        <v>2</v>
      </c>
      <c r="D2332" s="75">
        <f t="shared" si="38"/>
        <v>2.8057967761395041E-5</v>
      </c>
    </row>
    <row r="2333" spans="2:4" x14ac:dyDescent="0.25">
      <c r="B2333" t="s">
        <v>8664</v>
      </c>
      <c r="C2333" s="71">
        <v>2</v>
      </c>
      <c r="D2333" s="75">
        <f t="shared" si="38"/>
        <v>2.8057967761395041E-5</v>
      </c>
    </row>
    <row r="2334" spans="2:4" x14ac:dyDescent="0.25">
      <c r="B2334" t="s">
        <v>8665</v>
      </c>
      <c r="C2334" s="71">
        <v>2</v>
      </c>
      <c r="D2334" s="75">
        <f t="shared" si="38"/>
        <v>2.8057967761395041E-5</v>
      </c>
    </row>
    <row r="2335" spans="2:4" x14ac:dyDescent="0.25">
      <c r="B2335" t="s">
        <v>8666</v>
      </c>
      <c r="C2335" s="71">
        <v>2</v>
      </c>
      <c r="D2335" s="75">
        <f t="shared" si="38"/>
        <v>2.8057967761395041E-5</v>
      </c>
    </row>
    <row r="2336" spans="2:4" x14ac:dyDescent="0.25">
      <c r="B2336" t="s">
        <v>8667</v>
      </c>
      <c r="C2336" s="71">
        <v>2</v>
      </c>
      <c r="D2336" s="75">
        <f t="shared" si="38"/>
        <v>2.8057967761395041E-5</v>
      </c>
    </row>
    <row r="2337" spans="2:4" x14ac:dyDescent="0.25">
      <c r="B2337" t="s">
        <v>8668</v>
      </c>
      <c r="C2337" s="71">
        <v>2</v>
      </c>
      <c r="D2337" s="75">
        <f t="shared" si="38"/>
        <v>2.8057967761395041E-5</v>
      </c>
    </row>
    <row r="2338" spans="2:4" x14ac:dyDescent="0.25">
      <c r="B2338" t="s">
        <v>8669</v>
      </c>
      <c r="C2338" s="71">
        <v>2</v>
      </c>
      <c r="D2338" s="75">
        <f t="shared" si="38"/>
        <v>2.8057967761395041E-5</v>
      </c>
    </row>
    <row r="2339" spans="2:4" x14ac:dyDescent="0.25">
      <c r="B2339" t="s">
        <v>8670</v>
      </c>
      <c r="C2339" s="71">
        <v>2</v>
      </c>
      <c r="D2339" s="75">
        <f t="shared" si="38"/>
        <v>2.8057967761395041E-5</v>
      </c>
    </row>
    <row r="2340" spans="2:4" x14ac:dyDescent="0.25">
      <c r="B2340" t="s">
        <v>8671</v>
      </c>
      <c r="C2340" s="71">
        <v>2</v>
      </c>
      <c r="D2340" s="75">
        <f t="shared" si="38"/>
        <v>2.8057967761395041E-5</v>
      </c>
    </row>
    <row r="2341" spans="2:4" x14ac:dyDescent="0.25">
      <c r="B2341" t="s">
        <v>8672</v>
      </c>
      <c r="C2341" s="71">
        <v>2</v>
      </c>
      <c r="D2341" s="75">
        <f t="shared" si="38"/>
        <v>2.8057967761395041E-5</v>
      </c>
    </row>
    <row r="2342" spans="2:4" x14ac:dyDescent="0.25">
      <c r="B2342" t="s">
        <v>8673</v>
      </c>
      <c r="C2342" s="71">
        <v>2</v>
      </c>
      <c r="D2342" s="75">
        <f t="shared" si="38"/>
        <v>2.8057967761395041E-5</v>
      </c>
    </row>
    <row r="2343" spans="2:4" x14ac:dyDescent="0.25">
      <c r="B2343" t="s">
        <v>8674</v>
      </c>
      <c r="C2343" s="71">
        <v>2</v>
      </c>
      <c r="D2343" s="75">
        <f t="shared" si="38"/>
        <v>2.8057967761395041E-5</v>
      </c>
    </row>
    <row r="2344" spans="2:4" x14ac:dyDescent="0.25">
      <c r="B2344" t="s">
        <v>8675</v>
      </c>
      <c r="C2344" s="71">
        <v>2</v>
      </c>
      <c r="D2344" s="75">
        <f t="shared" si="38"/>
        <v>2.8057967761395041E-5</v>
      </c>
    </row>
    <row r="2345" spans="2:4" x14ac:dyDescent="0.25">
      <c r="B2345" t="s">
        <v>8676</v>
      </c>
      <c r="C2345" s="71">
        <v>2</v>
      </c>
      <c r="D2345" s="75">
        <f t="shared" si="38"/>
        <v>2.8057967761395041E-5</v>
      </c>
    </row>
    <row r="2346" spans="2:4" x14ac:dyDescent="0.25">
      <c r="B2346" t="s">
        <v>8677</v>
      </c>
      <c r="C2346" s="71">
        <v>2</v>
      </c>
      <c r="D2346" s="75">
        <f t="shared" si="38"/>
        <v>2.8057967761395041E-5</v>
      </c>
    </row>
    <row r="2347" spans="2:4" x14ac:dyDescent="0.25">
      <c r="B2347" t="s">
        <v>8678</v>
      </c>
      <c r="C2347" s="71">
        <v>2</v>
      </c>
      <c r="D2347" s="75">
        <f t="shared" si="38"/>
        <v>2.8057967761395041E-5</v>
      </c>
    </row>
    <row r="2348" spans="2:4" x14ac:dyDescent="0.25">
      <c r="B2348" t="s">
        <v>8679</v>
      </c>
      <c r="C2348" s="71">
        <v>2</v>
      </c>
      <c r="D2348" s="75">
        <f t="shared" si="38"/>
        <v>2.8057967761395041E-5</v>
      </c>
    </row>
    <row r="2349" spans="2:4" x14ac:dyDescent="0.25">
      <c r="B2349" t="s">
        <v>8680</v>
      </c>
      <c r="C2349" s="71">
        <v>2</v>
      </c>
      <c r="D2349" s="75">
        <f t="shared" si="38"/>
        <v>2.8057967761395041E-5</v>
      </c>
    </row>
    <row r="2350" spans="2:4" x14ac:dyDescent="0.25">
      <c r="B2350" t="s">
        <v>8681</v>
      </c>
      <c r="C2350" s="71">
        <v>2</v>
      </c>
      <c r="D2350" s="75">
        <f t="shared" si="38"/>
        <v>2.8057967761395041E-5</v>
      </c>
    </row>
    <row r="2351" spans="2:4" x14ac:dyDescent="0.25">
      <c r="B2351" t="s">
        <v>8682</v>
      </c>
      <c r="C2351" s="71">
        <v>2</v>
      </c>
      <c r="D2351" s="75">
        <f t="shared" si="38"/>
        <v>2.8057967761395041E-5</v>
      </c>
    </row>
    <row r="2352" spans="2:4" x14ac:dyDescent="0.25">
      <c r="B2352" t="s">
        <v>8683</v>
      </c>
      <c r="C2352" s="71">
        <v>2</v>
      </c>
      <c r="D2352" s="75">
        <f t="shared" si="38"/>
        <v>2.8057967761395041E-5</v>
      </c>
    </row>
    <row r="2353" spans="2:4" x14ac:dyDescent="0.25">
      <c r="B2353" t="s">
        <v>8684</v>
      </c>
      <c r="C2353" s="71">
        <v>2</v>
      </c>
      <c r="D2353" s="75">
        <f t="shared" si="38"/>
        <v>2.8057967761395041E-5</v>
      </c>
    </row>
    <row r="2354" spans="2:4" x14ac:dyDescent="0.25">
      <c r="B2354" t="s">
        <v>8685</v>
      </c>
      <c r="C2354" s="71">
        <v>2</v>
      </c>
      <c r="D2354" s="75">
        <f t="shared" si="38"/>
        <v>2.8057967761395041E-5</v>
      </c>
    </row>
    <row r="2355" spans="2:4" x14ac:dyDescent="0.25">
      <c r="B2355" t="s">
        <v>8686</v>
      </c>
      <c r="C2355" s="71">
        <v>2</v>
      </c>
      <c r="D2355" s="75">
        <f t="shared" si="38"/>
        <v>2.8057967761395041E-5</v>
      </c>
    </row>
    <row r="2356" spans="2:4" x14ac:dyDescent="0.25">
      <c r="B2356" t="s">
        <v>8687</v>
      </c>
      <c r="C2356" s="71">
        <v>2</v>
      </c>
      <c r="D2356" s="75">
        <f t="shared" si="38"/>
        <v>2.8057967761395041E-5</v>
      </c>
    </row>
    <row r="2357" spans="2:4" x14ac:dyDescent="0.25">
      <c r="B2357" t="s">
        <v>8688</v>
      </c>
      <c r="C2357" s="71">
        <v>2</v>
      </c>
      <c r="D2357" s="75">
        <f t="shared" si="38"/>
        <v>2.8057967761395041E-5</v>
      </c>
    </row>
    <row r="2358" spans="2:4" x14ac:dyDescent="0.25">
      <c r="B2358" t="s">
        <v>8689</v>
      </c>
      <c r="C2358" s="71">
        <v>2</v>
      </c>
      <c r="D2358" s="75">
        <f t="shared" si="38"/>
        <v>2.8057967761395041E-5</v>
      </c>
    </row>
    <row r="2359" spans="2:4" x14ac:dyDescent="0.25">
      <c r="B2359" t="s">
        <v>8690</v>
      </c>
      <c r="C2359" s="71">
        <v>2</v>
      </c>
      <c r="D2359" s="75">
        <f t="shared" si="38"/>
        <v>2.8057967761395041E-5</v>
      </c>
    </row>
    <row r="2360" spans="2:4" x14ac:dyDescent="0.25">
      <c r="B2360" t="s">
        <v>8691</v>
      </c>
      <c r="C2360" s="71">
        <v>2</v>
      </c>
      <c r="D2360" s="75">
        <f t="shared" si="38"/>
        <v>2.8057967761395041E-5</v>
      </c>
    </row>
    <row r="2361" spans="2:4" x14ac:dyDescent="0.25">
      <c r="B2361" t="s">
        <v>8692</v>
      </c>
      <c r="C2361" s="71">
        <v>2</v>
      </c>
      <c r="D2361" s="75">
        <f t="shared" si="38"/>
        <v>2.8057967761395041E-5</v>
      </c>
    </row>
    <row r="2362" spans="2:4" x14ac:dyDescent="0.25">
      <c r="B2362" t="s">
        <v>8693</v>
      </c>
      <c r="C2362" s="71">
        <v>2</v>
      </c>
      <c r="D2362" s="75">
        <f t="shared" si="38"/>
        <v>2.8057967761395041E-5</v>
      </c>
    </row>
    <row r="2363" spans="2:4" x14ac:dyDescent="0.25">
      <c r="B2363" t="s">
        <v>8694</v>
      </c>
      <c r="C2363" s="71">
        <v>2</v>
      </c>
      <c r="D2363" s="75">
        <f t="shared" si="38"/>
        <v>2.8057967761395041E-5</v>
      </c>
    </row>
    <row r="2364" spans="2:4" x14ac:dyDescent="0.25">
      <c r="B2364" t="s">
        <v>8695</v>
      </c>
      <c r="C2364" s="71">
        <v>2</v>
      </c>
      <c r="D2364" s="75">
        <f t="shared" si="38"/>
        <v>2.8057967761395041E-5</v>
      </c>
    </row>
    <row r="2365" spans="2:4" x14ac:dyDescent="0.25">
      <c r="B2365" t="s">
        <v>8696</v>
      </c>
      <c r="C2365" s="71">
        <v>2</v>
      </c>
      <c r="D2365" s="75">
        <f t="shared" si="38"/>
        <v>2.8057967761395041E-5</v>
      </c>
    </row>
    <row r="2366" spans="2:4" x14ac:dyDescent="0.25">
      <c r="B2366" t="s">
        <v>8697</v>
      </c>
      <c r="C2366" s="71">
        <v>2</v>
      </c>
      <c r="D2366" s="75">
        <f t="shared" si="38"/>
        <v>2.8057967761395041E-5</v>
      </c>
    </row>
    <row r="2367" spans="2:4" x14ac:dyDescent="0.25">
      <c r="B2367" t="s">
        <v>8698</v>
      </c>
      <c r="C2367" s="71">
        <v>2</v>
      </c>
      <c r="D2367" s="75">
        <f t="shared" si="38"/>
        <v>2.8057967761395041E-5</v>
      </c>
    </row>
    <row r="2368" spans="2:4" x14ac:dyDescent="0.25">
      <c r="B2368" t="s">
        <v>8699</v>
      </c>
      <c r="C2368" s="71">
        <v>2</v>
      </c>
      <c r="D2368" s="75">
        <f t="shared" si="38"/>
        <v>2.8057967761395041E-5</v>
      </c>
    </row>
    <row r="2369" spans="2:4" x14ac:dyDescent="0.25">
      <c r="B2369" t="s">
        <v>8700</v>
      </c>
      <c r="C2369" s="71">
        <v>2</v>
      </c>
      <c r="D2369" s="75">
        <f t="shared" si="38"/>
        <v>2.8057967761395041E-5</v>
      </c>
    </row>
    <row r="2370" spans="2:4" x14ac:dyDescent="0.25">
      <c r="B2370" t="s">
        <v>8701</v>
      </c>
      <c r="C2370" s="71">
        <v>2</v>
      </c>
      <c r="D2370" s="75">
        <f t="shared" si="38"/>
        <v>2.8057967761395041E-5</v>
      </c>
    </row>
    <row r="2371" spans="2:4" x14ac:dyDescent="0.25">
      <c r="B2371" t="s">
        <v>8702</v>
      </c>
      <c r="C2371" s="71">
        <v>2</v>
      </c>
      <c r="D2371" s="75">
        <f t="shared" si="38"/>
        <v>2.8057967761395041E-5</v>
      </c>
    </row>
    <row r="2372" spans="2:4" x14ac:dyDescent="0.25">
      <c r="B2372" t="s">
        <v>8703</v>
      </c>
      <c r="C2372" s="71">
        <v>2</v>
      </c>
      <c r="D2372" s="75">
        <f t="shared" si="38"/>
        <v>2.8057967761395041E-5</v>
      </c>
    </row>
    <row r="2373" spans="2:4" x14ac:dyDescent="0.25">
      <c r="B2373" t="s">
        <v>8704</v>
      </c>
      <c r="C2373" s="71">
        <v>2</v>
      </c>
      <c r="D2373" s="75">
        <f t="shared" si="38"/>
        <v>2.8057967761395041E-5</v>
      </c>
    </row>
    <row r="2374" spans="2:4" x14ac:dyDescent="0.25">
      <c r="B2374" t="s">
        <v>8705</v>
      </c>
      <c r="C2374" s="71">
        <v>2</v>
      </c>
      <c r="D2374" s="75">
        <f t="shared" ref="D2374:D2437" si="39">C2374/$C$4822</f>
        <v>2.8057967761395041E-5</v>
      </c>
    </row>
    <row r="2375" spans="2:4" x14ac:dyDescent="0.25">
      <c r="B2375" t="s">
        <v>8706</v>
      </c>
      <c r="C2375" s="71">
        <v>2</v>
      </c>
      <c r="D2375" s="75">
        <f t="shared" si="39"/>
        <v>2.8057967761395041E-5</v>
      </c>
    </row>
    <row r="2376" spans="2:4" x14ac:dyDescent="0.25">
      <c r="B2376" t="s">
        <v>8707</v>
      </c>
      <c r="C2376" s="71">
        <v>2</v>
      </c>
      <c r="D2376" s="75">
        <f t="shared" si="39"/>
        <v>2.8057967761395041E-5</v>
      </c>
    </row>
    <row r="2377" spans="2:4" x14ac:dyDescent="0.25">
      <c r="B2377" t="s">
        <v>8708</v>
      </c>
      <c r="C2377" s="71">
        <v>2</v>
      </c>
      <c r="D2377" s="75">
        <f t="shared" si="39"/>
        <v>2.8057967761395041E-5</v>
      </c>
    </row>
    <row r="2378" spans="2:4" x14ac:dyDescent="0.25">
      <c r="B2378" t="s">
        <v>8709</v>
      </c>
      <c r="C2378" s="71">
        <v>2</v>
      </c>
      <c r="D2378" s="75">
        <f t="shared" si="39"/>
        <v>2.8057967761395041E-5</v>
      </c>
    </row>
    <row r="2379" spans="2:4" x14ac:dyDescent="0.25">
      <c r="B2379" t="s">
        <v>8710</v>
      </c>
      <c r="C2379" s="71">
        <v>2</v>
      </c>
      <c r="D2379" s="75">
        <f t="shared" si="39"/>
        <v>2.8057967761395041E-5</v>
      </c>
    </row>
    <row r="2380" spans="2:4" x14ac:dyDescent="0.25">
      <c r="B2380" t="s">
        <v>8711</v>
      </c>
      <c r="C2380" s="71">
        <v>2</v>
      </c>
      <c r="D2380" s="75">
        <f t="shared" si="39"/>
        <v>2.8057967761395041E-5</v>
      </c>
    </row>
    <row r="2381" spans="2:4" x14ac:dyDescent="0.25">
      <c r="B2381" t="s">
        <v>8712</v>
      </c>
      <c r="C2381" s="71">
        <v>2</v>
      </c>
      <c r="D2381" s="75">
        <f t="shared" si="39"/>
        <v>2.8057967761395041E-5</v>
      </c>
    </row>
    <row r="2382" spans="2:4" x14ac:dyDescent="0.25">
      <c r="B2382" t="s">
        <v>8713</v>
      </c>
      <c r="C2382" s="71">
        <v>2</v>
      </c>
      <c r="D2382" s="75">
        <f t="shared" si="39"/>
        <v>2.8057967761395041E-5</v>
      </c>
    </row>
    <row r="2383" spans="2:4" x14ac:dyDescent="0.25">
      <c r="B2383" t="s">
        <v>8714</v>
      </c>
      <c r="C2383" s="71">
        <v>2</v>
      </c>
      <c r="D2383" s="75">
        <f t="shared" si="39"/>
        <v>2.8057967761395041E-5</v>
      </c>
    </row>
    <row r="2384" spans="2:4" x14ac:dyDescent="0.25">
      <c r="B2384" t="s">
        <v>8715</v>
      </c>
      <c r="C2384" s="71">
        <v>2</v>
      </c>
      <c r="D2384" s="75">
        <f t="shared" si="39"/>
        <v>2.8057967761395041E-5</v>
      </c>
    </row>
    <row r="2385" spans="2:4" x14ac:dyDescent="0.25">
      <c r="B2385" t="s">
        <v>8716</v>
      </c>
      <c r="C2385" s="71">
        <v>2</v>
      </c>
      <c r="D2385" s="75">
        <f t="shared" si="39"/>
        <v>2.8057967761395041E-5</v>
      </c>
    </row>
    <row r="2386" spans="2:4" x14ac:dyDescent="0.25">
      <c r="B2386" t="s">
        <v>8717</v>
      </c>
      <c r="C2386" s="71">
        <v>2</v>
      </c>
      <c r="D2386" s="75">
        <f t="shared" si="39"/>
        <v>2.8057967761395041E-5</v>
      </c>
    </row>
    <row r="2387" spans="2:4" x14ac:dyDescent="0.25">
      <c r="B2387" t="s">
        <v>8718</v>
      </c>
      <c r="C2387" s="71">
        <v>2</v>
      </c>
      <c r="D2387" s="75">
        <f t="shared" si="39"/>
        <v>2.8057967761395041E-5</v>
      </c>
    </row>
    <row r="2388" spans="2:4" x14ac:dyDescent="0.25">
      <c r="B2388" t="s">
        <v>8719</v>
      </c>
      <c r="C2388" s="71">
        <v>2</v>
      </c>
      <c r="D2388" s="75">
        <f t="shared" si="39"/>
        <v>2.8057967761395041E-5</v>
      </c>
    </row>
    <row r="2389" spans="2:4" x14ac:dyDescent="0.25">
      <c r="B2389" t="s">
        <v>8720</v>
      </c>
      <c r="C2389" s="71">
        <v>2</v>
      </c>
      <c r="D2389" s="75">
        <f t="shared" si="39"/>
        <v>2.8057967761395041E-5</v>
      </c>
    </row>
    <row r="2390" spans="2:4" x14ac:dyDescent="0.25">
      <c r="B2390" t="s">
        <v>8721</v>
      </c>
      <c r="C2390" s="71">
        <v>2</v>
      </c>
      <c r="D2390" s="75">
        <f t="shared" si="39"/>
        <v>2.8057967761395041E-5</v>
      </c>
    </row>
    <row r="2391" spans="2:4" x14ac:dyDescent="0.25">
      <c r="B2391" t="s">
        <v>8722</v>
      </c>
      <c r="C2391" s="71">
        <v>2</v>
      </c>
      <c r="D2391" s="75">
        <f t="shared" si="39"/>
        <v>2.8057967761395041E-5</v>
      </c>
    </row>
    <row r="2392" spans="2:4" x14ac:dyDescent="0.25">
      <c r="B2392" t="s">
        <v>8723</v>
      </c>
      <c r="C2392" s="71">
        <v>2</v>
      </c>
      <c r="D2392" s="75">
        <f t="shared" si="39"/>
        <v>2.8057967761395041E-5</v>
      </c>
    </row>
    <row r="2393" spans="2:4" x14ac:dyDescent="0.25">
      <c r="B2393" t="s">
        <v>8724</v>
      </c>
      <c r="C2393" s="71">
        <v>2</v>
      </c>
      <c r="D2393" s="75">
        <f t="shared" si="39"/>
        <v>2.8057967761395041E-5</v>
      </c>
    </row>
    <row r="2394" spans="2:4" x14ac:dyDescent="0.25">
      <c r="B2394" t="s">
        <v>8725</v>
      </c>
      <c r="C2394" s="71">
        <v>2</v>
      </c>
      <c r="D2394" s="75">
        <f t="shared" si="39"/>
        <v>2.8057967761395041E-5</v>
      </c>
    </row>
    <row r="2395" spans="2:4" x14ac:dyDescent="0.25">
      <c r="B2395" t="s">
        <v>8726</v>
      </c>
      <c r="C2395" s="71">
        <v>2</v>
      </c>
      <c r="D2395" s="75">
        <f t="shared" si="39"/>
        <v>2.8057967761395041E-5</v>
      </c>
    </row>
    <row r="2396" spans="2:4" x14ac:dyDescent="0.25">
      <c r="B2396" t="s">
        <v>8727</v>
      </c>
      <c r="C2396" s="71">
        <v>2</v>
      </c>
      <c r="D2396" s="75">
        <f t="shared" si="39"/>
        <v>2.8057967761395041E-5</v>
      </c>
    </row>
    <row r="2397" spans="2:4" x14ac:dyDescent="0.25">
      <c r="B2397" t="s">
        <v>8728</v>
      </c>
      <c r="C2397" s="71">
        <v>2</v>
      </c>
      <c r="D2397" s="75">
        <f t="shared" si="39"/>
        <v>2.8057967761395041E-5</v>
      </c>
    </row>
    <row r="2398" spans="2:4" x14ac:dyDescent="0.25">
      <c r="B2398" t="s">
        <v>8729</v>
      </c>
      <c r="C2398" s="71">
        <v>2</v>
      </c>
      <c r="D2398" s="75">
        <f t="shared" si="39"/>
        <v>2.8057967761395041E-5</v>
      </c>
    </row>
    <row r="2399" spans="2:4" x14ac:dyDescent="0.25">
      <c r="B2399" t="s">
        <v>8730</v>
      </c>
      <c r="C2399" s="71">
        <v>2</v>
      </c>
      <c r="D2399" s="75">
        <f t="shared" si="39"/>
        <v>2.8057967761395041E-5</v>
      </c>
    </row>
    <row r="2400" spans="2:4" x14ac:dyDescent="0.25">
      <c r="B2400" t="s">
        <v>8731</v>
      </c>
      <c r="C2400" s="71">
        <v>2</v>
      </c>
      <c r="D2400" s="75">
        <f t="shared" si="39"/>
        <v>2.8057967761395041E-5</v>
      </c>
    </row>
    <row r="2401" spans="2:4" x14ac:dyDescent="0.25">
      <c r="B2401" t="s">
        <v>8732</v>
      </c>
      <c r="C2401" s="71">
        <v>2</v>
      </c>
      <c r="D2401" s="75">
        <f t="shared" si="39"/>
        <v>2.8057967761395041E-5</v>
      </c>
    </row>
    <row r="2402" spans="2:4" x14ac:dyDescent="0.25">
      <c r="B2402" t="s">
        <v>8733</v>
      </c>
      <c r="C2402" s="71">
        <v>2</v>
      </c>
      <c r="D2402" s="75">
        <f t="shared" si="39"/>
        <v>2.8057967761395041E-5</v>
      </c>
    </row>
    <row r="2403" spans="2:4" x14ac:dyDescent="0.25">
      <c r="B2403" t="s">
        <v>8734</v>
      </c>
      <c r="C2403" s="71">
        <v>2</v>
      </c>
      <c r="D2403" s="75">
        <f t="shared" si="39"/>
        <v>2.8057967761395041E-5</v>
      </c>
    </row>
    <row r="2404" spans="2:4" x14ac:dyDescent="0.25">
      <c r="B2404" t="s">
        <v>8735</v>
      </c>
      <c r="C2404" s="71">
        <v>2</v>
      </c>
      <c r="D2404" s="75">
        <f t="shared" si="39"/>
        <v>2.8057967761395041E-5</v>
      </c>
    </row>
    <row r="2405" spans="2:4" x14ac:dyDescent="0.25">
      <c r="B2405" t="s">
        <v>8736</v>
      </c>
      <c r="C2405" s="71">
        <v>2</v>
      </c>
      <c r="D2405" s="75">
        <f t="shared" si="39"/>
        <v>2.8057967761395041E-5</v>
      </c>
    </row>
    <row r="2406" spans="2:4" x14ac:dyDescent="0.25">
      <c r="B2406" t="s">
        <v>8737</v>
      </c>
      <c r="C2406" s="71">
        <v>2</v>
      </c>
      <c r="D2406" s="75">
        <f t="shared" si="39"/>
        <v>2.8057967761395041E-5</v>
      </c>
    </row>
    <row r="2407" spans="2:4" x14ac:dyDescent="0.25">
      <c r="B2407" t="s">
        <v>8738</v>
      </c>
      <c r="C2407" s="71">
        <v>2</v>
      </c>
      <c r="D2407" s="75">
        <f t="shared" si="39"/>
        <v>2.8057967761395041E-5</v>
      </c>
    </row>
    <row r="2408" spans="2:4" x14ac:dyDescent="0.25">
      <c r="B2408" t="s">
        <v>8739</v>
      </c>
      <c r="C2408" s="71">
        <v>2</v>
      </c>
      <c r="D2408" s="75">
        <f t="shared" si="39"/>
        <v>2.8057967761395041E-5</v>
      </c>
    </row>
    <row r="2409" spans="2:4" x14ac:dyDescent="0.25">
      <c r="B2409" t="s">
        <v>8740</v>
      </c>
      <c r="C2409" s="71">
        <v>2</v>
      </c>
      <c r="D2409" s="75">
        <f t="shared" si="39"/>
        <v>2.8057967761395041E-5</v>
      </c>
    </row>
    <row r="2410" spans="2:4" x14ac:dyDescent="0.25">
      <c r="B2410" t="s">
        <v>8741</v>
      </c>
      <c r="C2410" s="71">
        <v>2</v>
      </c>
      <c r="D2410" s="75">
        <f t="shared" si="39"/>
        <v>2.8057967761395041E-5</v>
      </c>
    </row>
    <row r="2411" spans="2:4" x14ac:dyDescent="0.25">
      <c r="B2411" t="s">
        <v>8742</v>
      </c>
      <c r="C2411" s="71">
        <v>2</v>
      </c>
      <c r="D2411" s="75">
        <f t="shared" si="39"/>
        <v>2.8057967761395041E-5</v>
      </c>
    </row>
    <row r="2412" spans="2:4" x14ac:dyDescent="0.25">
      <c r="B2412" t="s">
        <v>8743</v>
      </c>
      <c r="C2412" s="71">
        <v>2</v>
      </c>
      <c r="D2412" s="75">
        <f t="shared" si="39"/>
        <v>2.8057967761395041E-5</v>
      </c>
    </row>
    <row r="2413" spans="2:4" x14ac:dyDescent="0.25">
      <c r="B2413" t="s">
        <v>8744</v>
      </c>
      <c r="C2413" s="71">
        <v>2</v>
      </c>
      <c r="D2413" s="75">
        <f t="shared" si="39"/>
        <v>2.8057967761395041E-5</v>
      </c>
    </row>
    <row r="2414" spans="2:4" x14ac:dyDescent="0.25">
      <c r="B2414" t="s">
        <v>8745</v>
      </c>
      <c r="C2414" s="71">
        <v>2</v>
      </c>
      <c r="D2414" s="75">
        <f t="shared" si="39"/>
        <v>2.8057967761395041E-5</v>
      </c>
    </row>
    <row r="2415" spans="2:4" x14ac:dyDescent="0.25">
      <c r="B2415" t="s">
        <v>8746</v>
      </c>
      <c r="C2415" s="71">
        <v>2</v>
      </c>
      <c r="D2415" s="75">
        <f t="shared" si="39"/>
        <v>2.8057967761395041E-5</v>
      </c>
    </row>
    <row r="2416" spans="2:4" x14ac:dyDescent="0.25">
      <c r="B2416" t="s">
        <v>8747</v>
      </c>
      <c r="C2416" s="71">
        <v>2</v>
      </c>
      <c r="D2416" s="75">
        <f t="shared" si="39"/>
        <v>2.8057967761395041E-5</v>
      </c>
    </row>
    <row r="2417" spans="2:4" x14ac:dyDescent="0.25">
      <c r="B2417" t="s">
        <v>8748</v>
      </c>
      <c r="C2417" s="71">
        <v>2</v>
      </c>
      <c r="D2417" s="75">
        <f t="shared" si="39"/>
        <v>2.8057967761395041E-5</v>
      </c>
    </row>
    <row r="2418" spans="2:4" x14ac:dyDescent="0.25">
      <c r="B2418" t="s">
        <v>8749</v>
      </c>
      <c r="C2418" s="71">
        <v>2</v>
      </c>
      <c r="D2418" s="75">
        <f t="shared" si="39"/>
        <v>2.8057967761395041E-5</v>
      </c>
    </row>
    <row r="2419" spans="2:4" x14ac:dyDescent="0.25">
      <c r="B2419" t="s">
        <v>8750</v>
      </c>
      <c r="C2419" s="71">
        <v>2</v>
      </c>
      <c r="D2419" s="75">
        <f t="shared" si="39"/>
        <v>2.8057967761395041E-5</v>
      </c>
    </row>
    <row r="2420" spans="2:4" x14ac:dyDescent="0.25">
      <c r="B2420" t="s">
        <v>8751</v>
      </c>
      <c r="C2420" s="71">
        <v>2</v>
      </c>
      <c r="D2420" s="75">
        <f t="shared" si="39"/>
        <v>2.8057967761395041E-5</v>
      </c>
    </row>
    <row r="2421" spans="2:4" x14ac:dyDescent="0.25">
      <c r="B2421" t="s">
        <v>8752</v>
      </c>
      <c r="C2421" s="71">
        <v>2</v>
      </c>
      <c r="D2421" s="75">
        <f t="shared" si="39"/>
        <v>2.8057967761395041E-5</v>
      </c>
    </row>
    <row r="2422" spans="2:4" x14ac:dyDescent="0.25">
      <c r="B2422" t="s">
        <v>8753</v>
      </c>
      <c r="C2422" s="71">
        <v>2</v>
      </c>
      <c r="D2422" s="75">
        <f t="shared" si="39"/>
        <v>2.8057967761395041E-5</v>
      </c>
    </row>
    <row r="2423" spans="2:4" x14ac:dyDescent="0.25">
      <c r="B2423" t="s">
        <v>8754</v>
      </c>
      <c r="C2423" s="71">
        <v>2</v>
      </c>
      <c r="D2423" s="75">
        <f t="shared" si="39"/>
        <v>2.8057967761395041E-5</v>
      </c>
    </row>
    <row r="2424" spans="2:4" x14ac:dyDescent="0.25">
      <c r="B2424" t="s">
        <v>8755</v>
      </c>
      <c r="C2424" s="71">
        <v>2</v>
      </c>
      <c r="D2424" s="75">
        <f t="shared" si="39"/>
        <v>2.8057967761395041E-5</v>
      </c>
    </row>
    <row r="2425" spans="2:4" x14ac:dyDescent="0.25">
      <c r="B2425" t="s">
        <v>8756</v>
      </c>
      <c r="C2425" s="71">
        <v>2</v>
      </c>
      <c r="D2425" s="75">
        <f t="shared" si="39"/>
        <v>2.8057967761395041E-5</v>
      </c>
    </row>
    <row r="2426" spans="2:4" x14ac:dyDescent="0.25">
      <c r="B2426" t="s">
        <v>8757</v>
      </c>
      <c r="C2426" s="71">
        <v>2</v>
      </c>
      <c r="D2426" s="75">
        <f t="shared" si="39"/>
        <v>2.8057967761395041E-5</v>
      </c>
    </row>
    <row r="2427" spans="2:4" x14ac:dyDescent="0.25">
      <c r="B2427" t="s">
        <v>8758</v>
      </c>
      <c r="C2427" s="71">
        <v>2</v>
      </c>
      <c r="D2427" s="75">
        <f t="shared" si="39"/>
        <v>2.8057967761395041E-5</v>
      </c>
    </row>
    <row r="2428" spans="2:4" x14ac:dyDescent="0.25">
      <c r="B2428" t="s">
        <v>8759</v>
      </c>
      <c r="C2428" s="71">
        <v>2</v>
      </c>
      <c r="D2428" s="75">
        <f t="shared" si="39"/>
        <v>2.8057967761395041E-5</v>
      </c>
    </row>
    <row r="2429" spans="2:4" x14ac:dyDescent="0.25">
      <c r="B2429" t="s">
        <v>8760</v>
      </c>
      <c r="C2429" s="71">
        <v>2</v>
      </c>
      <c r="D2429" s="75">
        <f t="shared" si="39"/>
        <v>2.8057967761395041E-5</v>
      </c>
    </row>
    <row r="2430" spans="2:4" x14ac:dyDescent="0.25">
      <c r="B2430" t="s">
        <v>8761</v>
      </c>
      <c r="C2430" s="71">
        <v>2</v>
      </c>
      <c r="D2430" s="75">
        <f t="shared" si="39"/>
        <v>2.8057967761395041E-5</v>
      </c>
    </row>
    <row r="2431" spans="2:4" x14ac:dyDescent="0.25">
      <c r="B2431" t="s">
        <v>8762</v>
      </c>
      <c r="C2431" s="71">
        <v>2</v>
      </c>
      <c r="D2431" s="75">
        <f t="shared" si="39"/>
        <v>2.8057967761395041E-5</v>
      </c>
    </row>
    <row r="2432" spans="2:4" x14ac:dyDescent="0.25">
      <c r="B2432" t="s">
        <v>8763</v>
      </c>
      <c r="C2432" s="71">
        <v>2</v>
      </c>
      <c r="D2432" s="75">
        <f t="shared" si="39"/>
        <v>2.8057967761395041E-5</v>
      </c>
    </row>
    <row r="2433" spans="2:4" x14ac:dyDescent="0.25">
      <c r="B2433" t="s">
        <v>8764</v>
      </c>
      <c r="C2433" s="71">
        <v>2</v>
      </c>
      <c r="D2433" s="75">
        <f t="shared" si="39"/>
        <v>2.8057967761395041E-5</v>
      </c>
    </row>
    <row r="2434" spans="2:4" x14ac:dyDescent="0.25">
      <c r="B2434" t="s">
        <v>8765</v>
      </c>
      <c r="C2434" s="71">
        <v>2</v>
      </c>
      <c r="D2434" s="75">
        <f t="shared" si="39"/>
        <v>2.8057967761395041E-5</v>
      </c>
    </row>
    <row r="2435" spans="2:4" x14ac:dyDescent="0.25">
      <c r="B2435" t="s">
        <v>8766</v>
      </c>
      <c r="C2435" s="71">
        <v>2</v>
      </c>
      <c r="D2435" s="75">
        <f t="shared" si="39"/>
        <v>2.8057967761395041E-5</v>
      </c>
    </row>
    <row r="2436" spans="2:4" x14ac:dyDescent="0.25">
      <c r="B2436" t="s">
        <v>8767</v>
      </c>
      <c r="C2436" s="71">
        <v>2</v>
      </c>
      <c r="D2436" s="75">
        <f t="shared" si="39"/>
        <v>2.8057967761395041E-5</v>
      </c>
    </row>
    <row r="2437" spans="2:4" x14ac:dyDescent="0.25">
      <c r="B2437" t="s">
        <v>8768</v>
      </c>
      <c r="C2437" s="71">
        <v>2</v>
      </c>
      <c r="D2437" s="75">
        <f t="shared" si="39"/>
        <v>2.8057967761395041E-5</v>
      </c>
    </row>
    <row r="2438" spans="2:4" x14ac:dyDescent="0.25">
      <c r="B2438" t="s">
        <v>8769</v>
      </c>
      <c r="C2438" s="71">
        <v>2</v>
      </c>
      <c r="D2438" s="75">
        <f t="shared" ref="D2438:D2501" si="40">C2438/$C$4822</f>
        <v>2.8057967761395041E-5</v>
      </c>
    </row>
    <row r="2439" spans="2:4" x14ac:dyDescent="0.25">
      <c r="B2439" t="s">
        <v>8770</v>
      </c>
      <c r="C2439" s="71">
        <v>2</v>
      </c>
      <c r="D2439" s="75">
        <f t="shared" si="40"/>
        <v>2.8057967761395041E-5</v>
      </c>
    </row>
    <row r="2440" spans="2:4" x14ac:dyDescent="0.25">
      <c r="B2440" t="s">
        <v>8771</v>
      </c>
      <c r="C2440" s="71">
        <v>2</v>
      </c>
      <c r="D2440" s="75">
        <f t="shared" si="40"/>
        <v>2.8057967761395041E-5</v>
      </c>
    </row>
    <row r="2441" spans="2:4" x14ac:dyDescent="0.25">
      <c r="B2441" t="s">
        <v>8772</v>
      </c>
      <c r="C2441" s="71">
        <v>2</v>
      </c>
      <c r="D2441" s="75">
        <f t="shared" si="40"/>
        <v>2.8057967761395041E-5</v>
      </c>
    </row>
    <row r="2442" spans="2:4" x14ac:dyDescent="0.25">
      <c r="B2442" t="s">
        <v>8773</v>
      </c>
      <c r="C2442" s="71">
        <v>2</v>
      </c>
      <c r="D2442" s="75">
        <f t="shared" si="40"/>
        <v>2.8057967761395041E-5</v>
      </c>
    </row>
    <row r="2443" spans="2:4" x14ac:dyDescent="0.25">
      <c r="B2443" t="s">
        <v>8774</v>
      </c>
      <c r="C2443" s="71">
        <v>2</v>
      </c>
      <c r="D2443" s="75">
        <f t="shared" si="40"/>
        <v>2.8057967761395041E-5</v>
      </c>
    </row>
    <row r="2444" spans="2:4" x14ac:dyDescent="0.25">
      <c r="B2444" t="s">
        <v>8775</v>
      </c>
      <c r="C2444" s="71">
        <v>2</v>
      </c>
      <c r="D2444" s="75">
        <f t="shared" si="40"/>
        <v>2.8057967761395041E-5</v>
      </c>
    </row>
    <row r="2445" spans="2:4" x14ac:dyDescent="0.25">
      <c r="B2445" t="s">
        <v>8776</v>
      </c>
      <c r="C2445" s="71">
        <v>2</v>
      </c>
      <c r="D2445" s="75">
        <f t="shared" si="40"/>
        <v>2.8057967761395041E-5</v>
      </c>
    </row>
    <row r="2446" spans="2:4" x14ac:dyDescent="0.25">
      <c r="B2446" t="s">
        <v>8777</v>
      </c>
      <c r="C2446" s="71">
        <v>2</v>
      </c>
      <c r="D2446" s="75">
        <f t="shared" si="40"/>
        <v>2.8057967761395041E-5</v>
      </c>
    </row>
    <row r="2447" spans="2:4" x14ac:dyDescent="0.25">
      <c r="B2447" t="s">
        <v>8778</v>
      </c>
      <c r="C2447" s="71">
        <v>2</v>
      </c>
      <c r="D2447" s="75">
        <f t="shared" si="40"/>
        <v>2.8057967761395041E-5</v>
      </c>
    </row>
    <row r="2448" spans="2:4" x14ac:dyDescent="0.25">
      <c r="B2448" t="s">
        <v>8779</v>
      </c>
      <c r="C2448" s="71">
        <v>2</v>
      </c>
      <c r="D2448" s="75">
        <f t="shared" si="40"/>
        <v>2.8057967761395041E-5</v>
      </c>
    </row>
    <row r="2449" spans="2:4" x14ac:dyDescent="0.25">
      <c r="B2449" t="s">
        <v>8780</v>
      </c>
      <c r="C2449" s="71">
        <v>2</v>
      </c>
      <c r="D2449" s="75">
        <f t="shared" si="40"/>
        <v>2.8057967761395041E-5</v>
      </c>
    </row>
    <row r="2450" spans="2:4" x14ac:dyDescent="0.25">
      <c r="B2450" t="s">
        <v>8781</v>
      </c>
      <c r="C2450" s="71">
        <v>2</v>
      </c>
      <c r="D2450" s="75">
        <f t="shared" si="40"/>
        <v>2.8057967761395041E-5</v>
      </c>
    </row>
    <row r="2451" spans="2:4" x14ac:dyDescent="0.25">
      <c r="B2451" t="s">
        <v>8782</v>
      </c>
      <c r="C2451" s="71">
        <v>2</v>
      </c>
      <c r="D2451" s="75">
        <f t="shared" si="40"/>
        <v>2.8057967761395041E-5</v>
      </c>
    </row>
    <row r="2452" spans="2:4" x14ac:dyDescent="0.25">
      <c r="B2452" t="s">
        <v>8783</v>
      </c>
      <c r="C2452" s="71">
        <v>2</v>
      </c>
      <c r="D2452" s="75">
        <f t="shared" si="40"/>
        <v>2.8057967761395041E-5</v>
      </c>
    </row>
    <row r="2453" spans="2:4" x14ac:dyDescent="0.25">
      <c r="B2453" t="s">
        <v>8784</v>
      </c>
      <c r="C2453" s="71">
        <v>2</v>
      </c>
      <c r="D2453" s="75">
        <f t="shared" si="40"/>
        <v>2.8057967761395041E-5</v>
      </c>
    </row>
    <row r="2454" spans="2:4" x14ac:dyDescent="0.25">
      <c r="B2454" t="s">
        <v>8785</v>
      </c>
      <c r="C2454" s="71">
        <v>2</v>
      </c>
      <c r="D2454" s="75">
        <f t="shared" si="40"/>
        <v>2.8057967761395041E-5</v>
      </c>
    </row>
    <row r="2455" spans="2:4" x14ac:dyDescent="0.25">
      <c r="B2455" t="s">
        <v>8786</v>
      </c>
      <c r="C2455" s="71">
        <v>2</v>
      </c>
      <c r="D2455" s="75">
        <f t="shared" si="40"/>
        <v>2.8057967761395041E-5</v>
      </c>
    </row>
    <row r="2456" spans="2:4" x14ac:dyDescent="0.25">
      <c r="B2456" t="s">
        <v>8787</v>
      </c>
      <c r="C2456" s="71">
        <v>2</v>
      </c>
      <c r="D2456" s="75">
        <f t="shared" si="40"/>
        <v>2.8057967761395041E-5</v>
      </c>
    </row>
    <row r="2457" spans="2:4" x14ac:dyDescent="0.25">
      <c r="B2457" t="s">
        <v>8788</v>
      </c>
      <c r="C2457" s="71">
        <v>2</v>
      </c>
      <c r="D2457" s="75">
        <f t="shared" si="40"/>
        <v>2.8057967761395041E-5</v>
      </c>
    </row>
    <row r="2458" spans="2:4" x14ac:dyDescent="0.25">
      <c r="B2458" t="s">
        <v>8789</v>
      </c>
      <c r="C2458" s="71">
        <v>2</v>
      </c>
      <c r="D2458" s="75">
        <f t="shared" si="40"/>
        <v>2.8057967761395041E-5</v>
      </c>
    </row>
    <row r="2459" spans="2:4" x14ac:dyDescent="0.25">
      <c r="B2459" t="s">
        <v>8790</v>
      </c>
      <c r="C2459" s="71">
        <v>2</v>
      </c>
      <c r="D2459" s="75">
        <f t="shared" si="40"/>
        <v>2.8057967761395041E-5</v>
      </c>
    </row>
    <row r="2460" spans="2:4" x14ac:dyDescent="0.25">
      <c r="B2460" t="s">
        <v>8791</v>
      </c>
      <c r="C2460" s="71">
        <v>2</v>
      </c>
      <c r="D2460" s="75">
        <f t="shared" si="40"/>
        <v>2.8057967761395041E-5</v>
      </c>
    </row>
    <row r="2461" spans="2:4" x14ac:dyDescent="0.25">
      <c r="B2461" t="s">
        <v>8792</v>
      </c>
      <c r="C2461" s="71">
        <v>2</v>
      </c>
      <c r="D2461" s="75">
        <f t="shared" si="40"/>
        <v>2.8057967761395041E-5</v>
      </c>
    </row>
    <row r="2462" spans="2:4" x14ac:dyDescent="0.25">
      <c r="B2462" t="s">
        <v>8793</v>
      </c>
      <c r="C2462" s="71">
        <v>2</v>
      </c>
      <c r="D2462" s="75">
        <f t="shared" si="40"/>
        <v>2.8057967761395041E-5</v>
      </c>
    </row>
    <row r="2463" spans="2:4" x14ac:dyDescent="0.25">
      <c r="B2463" t="s">
        <v>8794</v>
      </c>
      <c r="C2463" s="71">
        <v>2</v>
      </c>
      <c r="D2463" s="75">
        <f t="shared" si="40"/>
        <v>2.8057967761395041E-5</v>
      </c>
    </row>
    <row r="2464" spans="2:4" x14ac:dyDescent="0.25">
      <c r="B2464" t="s">
        <v>8795</v>
      </c>
      <c r="C2464" s="71">
        <v>2</v>
      </c>
      <c r="D2464" s="75">
        <f t="shared" si="40"/>
        <v>2.8057967761395041E-5</v>
      </c>
    </row>
    <row r="2465" spans="2:4" x14ac:dyDescent="0.25">
      <c r="B2465" t="s">
        <v>8796</v>
      </c>
      <c r="C2465" s="71">
        <v>2</v>
      </c>
      <c r="D2465" s="75">
        <f t="shared" si="40"/>
        <v>2.8057967761395041E-5</v>
      </c>
    </row>
    <row r="2466" spans="2:4" x14ac:dyDescent="0.25">
      <c r="B2466" t="s">
        <v>8797</v>
      </c>
      <c r="C2466" s="71">
        <v>2</v>
      </c>
      <c r="D2466" s="75">
        <f t="shared" si="40"/>
        <v>2.8057967761395041E-5</v>
      </c>
    </row>
    <row r="2467" spans="2:4" x14ac:dyDescent="0.25">
      <c r="B2467" t="s">
        <v>8798</v>
      </c>
      <c r="C2467" s="71">
        <v>2</v>
      </c>
      <c r="D2467" s="75">
        <f t="shared" si="40"/>
        <v>2.8057967761395041E-5</v>
      </c>
    </row>
    <row r="2468" spans="2:4" x14ac:dyDescent="0.25">
      <c r="B2468" t="s">
        <v>8799</v>
      </c>
      <c r="C2468" s="71">
        <v>2</v>
      </c>
      <c r="D2468" s="75">
        <f t="shared" si="40"/>
        <v>2.8057967761395041E-5</v>
      </c>
    </row>
    <row r="2469" spans="2:4" x14ac:dyDescent="0.25">
      <c r="B2469" t="s">
        <v>8800</v>
      </c>
      <c r="C2469" s="71">
        <v>2</v>
      </c>
      <c r="D2469" s="75">
        <f t="shared" si="40"/>
        <v>2.8057967761395041E-5</v>
      </c>
    </row>
    <row r="2470" spans="2:4" x14ac:dyDescent="0.25">
      <c r="B2470" t="s">
        <v>8801</v>
      </c>
      <c r="C2470" s="71">
        <v>2</v>
      </c>
      <c r="D2470" s="75">
        <f t="shared" si="40"/>
        <v>2.8057967761395041E-5</v>
      </c>
    </row>
    <row r="2471" spans="2:4" x14ac:dyDescent="0.25">
      <c r="B2471" t="s">
        <v>8802</v>
      </c>
      <c r="C2471" s="71">
        <v>2</v>
      </c>
      <c r="D2471" s="75">
        <f t="shared" si="40"/>
        <v>2.8057967761395041E-5</v>
      </c>
    </row>
    <row r="2472" spans="2:4" x14ac:dyDescent="0.25">
      <c r="B2472" t="s">
        <v>8803</v>
      </c>
      <c r="C2472" s="71">
        <v>2</v>
      </c>
      <c r="D2472" s="75">
        <f t="shared" si="40"/>
        <v>2.8057967761395041E-5</v>
      </c>
    </row>
    <row r="2473" spans="2:4" x14ac:dyDescent="0.25">
      <c r="B2473" t="s">
        <v>8804</v>
      </c>
      <c r="C2473" s="71">
        <v>2</v>
      </c>
      <c r="D2473" s="75">
        <f t="shared" si="40"/>
        <v>2.8057967761395041E-5</v>
      </c>
    </row>
    <row r="2474" spans="2:4" x14ac:dyDescent="0.25">
      <c r="B2474" t="s">
        <v>8805</v>
      </c>
      <c r="C2474" s="71">
        <v>2</v>
      </c>
      <c r="D2474" s="75">
        <f t="shared" si="40"/>
        <v>2.8057967761395041E-5</v>
      </c>
    </row>
    <row r="2475" spans="2:4" x14ac:dyDescent="0.25">
      <c r="B2475" t="s">
        <v>8806</v>
      </c>
      <c r="C2475" s="71">
        <v>2</v>
      </c>
      <c r="D2475" s="75">
        <f t="shared" si="40"/>
        <v>2.8057967761395041E-5</v>
      </c>
    </row>
    <row r="2476" spans="2:4" x14ac:dyDescent="0.25">
      <c r="B2476" t="s">
        <v>8807</v>
      </c>
      <c r="C2476" s="71">
        <v>2</v>
      </c>
      <c r="D2476" s="75">
        <f t="shared" si="40"/>
        <v>2.8057967761395041E-5</v>
      </c>
    </row>
    <row r="2477" spans="2:4" x14ac:dyDescent="0.25">
      <c r="B2477" t="s">
        <v>8808</v>
      </c>
      <c r="C2477" s="71">
        <v>2</v>
      </c>
      <c r="D2477" s="75">
        <f t="shared" si="40"/>
        <v>2.8057967761395041E-5</v>
      </c>
    </row>
    <row r="2478" spans="2:4" x14ac:dyDescent="0.25">
      <c r="B2478" t="s">
        <v>8809</v>
      </c>
      <c r="C2478" s="71">
        <v>2</v>
      </c>
      <c r="D2478" s="75">
        <f t="shared" si="40"/>
        <v>2.8057967761395041E-5</v>
      </c>
    </row>
    <row r="2479" spans="2:4" x14ac:dyDescent="0.25">
      <c r="B2479" t="s">
        <v>8810</v>
      </c>
      <c r="C2479" s="71">
        <v>2</v>
      </c>
      <c r="D2479" s="75">
        <f t="shared" si="40"/>
        <v>2.8057967761395041E-5</v>
      </c>
    </row>
    <row r="2480" spans="2:4" x14ac:dyDescent="0.25">
      <c r="B2480" t="s">
        <v>8811</v>
      </c>
      <c r="C2480" s="71">
        <v>2</v>
      </c>
      <c r="D2480" s="75">
        <f t="shared" si="40"/>
        <v>2.8057967761395041E-5</v>
      </c>
    </row>
    <row r="2481" spans="2:4" x14ac:dyDescent="0.25">
      <c r="B2481" t="s">
        <v>8812</v>
      </c>
      <c r="C2481" s="71">
        <v>2</v>
      </c>
      <c r="D2481" s="75">
        <f t="shared" si="40"/>
        <v>2.8057967761395041E-5</v>
      </c>
    </row>
    <row r="2482" spans="2:4" x14ac:dyDescent="0.25">
      <c r="B2482" t="s">
        <v>8813</v>
      </c>
      <c r="C2482" s="71">
        <v>2</v>
      </c>
      <c r="D2482" s="75">
        <f t="shared" si="40"/>
        <v>2.8057967761395041E-5</v>
      </c>
    </row>
    <row r="2483" spans="2:4" x14ac:dyDescent="0.25">
      <c r="B2483" t="s">
        <v>8814</v>
      </c>
      <c r="C2483" s="71">
        <v>2</v>
      </c>
      <c r="D2483" s="75">
        <f t="shared" si="40"/>
        <v>2.8057967761395041E-5</v>
      </c>
    </row>
    <row r="2484" spans="2:4" x14ac:dyDescent="0.25">
      <c r="B2484" t="s">
        <v>8815</v>
      </c>
      <c r="C2484" s="71">
        <v>2</v>
      </c>
      <c r="D2484" s="75">
        <f t="shared" si="40"/>
        <v>2.8057967761395041E-5</v>
      </c>
    </row>
    <row r="2485" spans="2:4" x14ac:dyDescent="0.25">
      <c r="B2485" t="s">
        <v>8816</v>
      </c>
      <c r="C2485" s="71">
        <v>2</v>
      </c>
      <c r="D2485" s="75">
        <f t="shared" si="40"/>
        <v>2.8057967761395041E-5</v>
      </c>
    </row>
    <row r="2486" spans="2:4" x14ac:dyDescent="0.25">
      <c r="B2486" t="s">
        <v>8817</v>
      </c>
      <c r="C2486" s="71">
        <v>2</v>
      </c>
      <c r="D2486" s="75">
        <f t="shared" si="40"/>
        <v>2.8057967761395041E-5</v>
      </c>
    </row>
    <row r="2487" spans="2:4" x14ac:dyDescent="0.25">
      <c r="B2487" t="s">
        <v>8818</v>
      </c>
      <c r="C2487" s="71">
        <v>2</v>
      </c>
      <c r="D2487" s="75">
        <f t="shared" si="40"/>
        <v>2.8057967761395041E-5</v>
      </c>
    </row>
    <row r="2488" spans="2:4" x14ac:dyDescent="0.25">
      <c r="B2488" t="s">
        <v>8819</v>
      </c>
      <c r="C2488" s="71">
        <v>2</v>
      </c>
      <c r="D2488" s="75">
        <f t="shared" si="40"/>
        <v>2.8057967761395041E-5</v>
      </c>
    </row>
    <row r="2489" spans="2:4" x14ac:dyDescent="0.25">
      <c r="B2489" t="s">
        <v>8820</v>
      </c>
      <c r="C2489" s="71">
        <v>2</v>
      </c>
      <c r="D2489" s="75">
        <f t="shared" si="40"/>
        <v>2.8057967761395041E-5</v>
      </c>
    </row>
    <row r="2490" spans="2:4" x14ac:dyDescent="0.25">
      <c r="B2490" t="s">
        <v>8821</v>
      </c>
      <c r="C2490" s="71">
        <v>2</v>
      </c>
      <c r="D2490" s="75">
        <f t="shared" si="40"/>
        <v>2.8057967761395041E-5</v>
      </c>
    </row>
    <row r="2491" spans="2:4" x14ac:dyDescent="0.25">
      <c r="B2491" t="s">
        <v>8822</v>
      </c>
      <c r="C2491" s="71">
        <v>2</v>
      </c>
      <c r="D2491" s="75">
        <f t="shared" si="40"/>
        <v>2.8057967761395041E-5</v>
      </c>
    </row>
    <row r="2492" spans="2:4" x14ac:dyDescent="0.25">
      <c r="B2492" t="s">
        <v>8823</v>
      </c>
      <c r="C2492" s="71">
        <v>2</v>
      </c>
      <c r="D2492" s="75">
        <f t="shared" si="40"/>
        <v>2.8057967761395041E-5</v>
      </c>
    </row>
    <row r="2493" spans="2:4" x14ac:dyDescent="0.25">
      <c r="B2493" t="s">
        <v>8824</v>
      </c>
      <c r="C2493" s="71">
        <v>2</v>
      </c>
      <c r="D2493" s="75">
        <f t="shared" si="40"/>
        <v>2.8057967761395041E-5</v>
      </c>
    </row>
    <row r="2494" spans="2:4" x14ac:dyDescent="0.25">
      <c r="B2494" t="s">
        <v>8825</v>
      </c>
      <c r="C2494" s="71">
        <v>2</v>
      </c>
      <c r="D2494" s="75">
        <f t="shared" si="40"/>
        <v>2.8057967761395041E-5</v>
      </c>
    </row>
    <row r="2495" spans="2:4" x14ac:dyDescent="0.25">
      <c r="B2495" t="s">
        <v>8826</v>
      </c>
      <c r="C2495" s="71">
        <v>2</v>
      </c>
      <c r="D2495" s="75">
        <f t="shared" si="40"/>
        <v>2.8057967761395041E-5</v>
      </c>
    </row>
    <row r="2496" spans="2:4" x14ac:dyDescent="0.25">
      <c r="B2496" t="s">
        <v>8827</v>
      </c>
      <c r="C2496" s="71">
        <v>2</v>
      </c>
      <c r="D2496" s="75">
        <f t="shared" si="40"/>
        <v>2.8057967761395041E-5</v>
      </c>
    </row>
    <row r="2497" spans="2:4" x14ac:dyDescent="0.25">
      <c r="B2497" t="s">
        <v>8828</v>
      </c>
      <c r="C2497" s="71">
        <v>2</v>
      </c>
      <c r="D2497" s="75">
        <f t="shared" si="40"/>
        <v>2.8057967761395041E-5</v>
      </c>
    </row>
    <row r="2498" spans="2:4" x14ac:dyDescent="0.25">
      <c r="B2498" t="s">
        <v>8829</v>
      </c>
      <c r="C2498" s="71">
        <v>1</v>
      </c>
      <c r="D2498" s="75">
        <f t="shared" si="40"/>
        <v>1.402898388069752E-5</v>
      </c>
    </row>
    <row r="2499" spans="2:4" x14ac:dyDescent="0.25">
      <c r="B2499" t="s">
        <v>8830</v>
      </c>
      <c r="C2499" s="71">
        <v>1</v>
      </c>
      <c r="D2499" s="75">
        <f t="shared" si="40"/>
        <v>1.402898388069752E-5</v>
      </c>
    </row>
    <row r="2500" spans="2:4" x14ac:dyDescent="0.25">
      <c r="B2500" t="s">
        <v>8831</v>
      </c>
      <c r="C2500" s="71">
        <v>1</v>
      </c>
      <c r="D2500" s="75">
        <f t="shared" si="40"/>
        <v>1.402898388069752E-5</v>
      </c>
    </row>
    <row r="2501" spans="2:4" x14ac:dyDescent="0.25">
      <c r="B2501" t="s">
        <v>8832</v>
      </c>
      <c r="C2501" s="71">
        <v>1</v>
      </c>
      <c r="D2501" s="75">
        <f t="shared" si="40"/>
        <v>1.402898388069752E-5</v>
      </c>
    </row>
    <row r="2502" spans="2:4" x14ac:dyDescent="0.25">
      <c r="B2502" t="s">
        <v>8833</v>
      </c>
      <c r="C2502" s="71">
        <v>1</v>
      </c>
      <c r="D2502" s="75">
        <f t="shared" ref="D2502:D2565" si="41">C2502/$C$4822</f>
        <v>1.402898388069752E-5</v>
      </c>
    </row>
    <row r="2503" spans="2:4" x14ac:dyDescent="0.25">
      <c r="B2503" t="s">
        <v>8834</v>
      </c>
      <c r="C2503" s="71">
        <v>1</v>
      </c>
      <c r="D2503" s="75">
        <f t="shared" si="41"/>
        <v>1.402898388069752E-5</v>
      </c>
    </row>
    <row r="2504" spans="2:4" x14ac:dyDescent="0.25">
      <c r="B2504" t="s">
        <v>8835</v>
      </c>
      <c r="C2504" s="71">
        <v>1</v>
      </c>
      <c r="D2504" s="75">
        <f t="shared" si="41"/>
        <v>1.402898388069752E-5</v>
      </c>
    </row>
    <row r="2505" spans="2:4" x14ac:dyDescent="0.25">
      <c r="B2505" t="s">
        <v>8836</v>
      </c>
      <c r="C2505" s="71">
        <v>1</v>
      </c>
      <c r="D2505" s="75">
        <f t="shared" si="41"/>
        <v>1.402898388069752E-5</v>
      </c>
    </row>
    <row r="2506" spans="2:4" x14ac:dyDescent="0.25">
      <c r="B2506" t="s">
        <v>8837</v>
      </c>
      <c r="C2506" s="71">
        <v>1</v>
      </c>
      <c r="D2506" s="75">
        <f t="shared" si="41"/>
        <v>1.402898388069752E-5</v>
      </c>
    </row>
    <row r="2507" spans="2:4" x14ac:dyDescent="0.25">
      <c r="B2507" t="s">
        <v>8838</v>
      </c>
      <c r="C2507" s="71">
        <v>1</v>
      </c>
      <c r="D2507" s="75">
        <f t="shared" si="41"/>
        <v>1.402898388069752E-5</v>
      </c>
    </row>
    <row r="2508" spans="2:4" x14ac:dyDescent="0.25">
      <c r="B2508" t="s">
        <v>8839</v>
      </c>
      <c r="C2508" s="71">
        <v>1</v>
      </c>
      <c r="D2508" s="75">
        <f t="shared" si="41"/>
        <v>1.402898388069752E-5</v>
      </c>
    </row>
    <row r="2509" spans="2:4" x14ac:dyDescent="0.25">
      <c r="B2509" t="s">
        <v>8840</v>
      </c>
      <c r="C2509" s="71">
        <v>1</v>
      </c>
      <c r="D2509" s="75">
        <f t="shared" si="41"/>
        <v>1.402898388069752E-5</v>
      </c>
    </row>
    <row r="2510" spans="2:4" x14ac:dyDescent="0.25">
      <c r="B2510" t="s">
        <v>8841</v>
      </c>
      <c r="C2510" s="71">
        <v>1</v>
      </c>
      <c r="D2510" s="75">
        <f t="shared" si="41"/>
        <v>1.402898388069752E-5</v>
      </c>
    </row>
    <row r="2511" spans="2:4" x14ac:dyDescent="0.25">
      <c r="B2511" t="s">
        <v>8842</v>
      </c>
      <c r="C2511" s="71">
        <v>1</v>
      </c>
      <c r="D2511" s="75">
        <f t="shared" si="41"/>
        <v>1.402898388069752E-5</v>
      </c>
    </row>
    <row r="2512" spans="2:4" x14ac:dyDescent="0.25">
      <c r="B2512" t="s">
        <v>8843</v>
      </c>
      <c r="C2512" s="71">
        <v>1</v>
      </c>
      <c r="D2512" s="75">
        <f t="shared" si="41"/>
        <v>1.402898388069752E-5</v>
      </c>
    </row>
    <row r="2513" spans="2:4" x14ac:dyDescent="0.25">
      <c r="B2513" t="s">
        <v>8844</v>
      </c>
      <c r="C2513" s="71">
        <v>1</v>
      </c>
      <c r="D2513" s="75">
        <f t="shared" si="41"/>
        <v>1.402898388069752E-5</v>
      </c>
    </row>
    <row r="2514" spans="2:4" x14ac:dyDescent="0.25">
      <c r="B2514" t="s">
        <v>8845</v>
      </c>
      <c r="C2514" s="71">
        <v>1</v>
      </c>
      <c r="D2514" s="75">
        <f t="shared" si="41"/>
        <v>1.402898388069752E-5</v>
      </c>
    </row>
    <row r="2515" spans="2:4" x14ac:dyDescent="0.25">
      <c r="B2515" t="s">
        <v>8846</v>
      </c>
      <c r="C2515" s="71">
        <v>1</v>
      </c>
      <c r="D2515" s="75">
        <f t="shared" si="41"/>
        <v>1.402898388069752E-5</v>
      </c>
    </row>
    <row r="2516" spans="2:4" x14ac:dyDescent="0.25">
      <c r="B2516" t="s">
        <v>8847</v>
      </c>
      <c r="C2516" s="71">
        <v>1</v>
      </c>
      <c r="D2516" s="75">
        <f t="shared" si="41"/>
        <v>1.402898388069752E-5</v>
      </c>
    </row>
    <row r="2517" spans="2:4" x14ac:dyDescent="0.25">
      <c r="B2517" t="s">
        <v>8848</v>
      </c>
      <c r="C2517" s="71">
        <v>1</v>
      </c>
      <c r="D2517" s="75">
        <f t="shared" si="41"/>
        <v>1.402898388069752E-5</v>
      </c>
    </row>
    <row r="2518" spans="2:4" x14ac:dyDescent="0.25">
      <c r="B2518" t="s">
        <v>8849</v>
      </c>
      <c r="C2518" s="71">
        <v>1</v>
      </c>
      <c r="D2518" s="75">
        <f t="shared" si="41"/>
        <v>1.402898388069752E-5</v>
      </c>
    </row>
    <row r="2519" spans="2:4" x14ac:dyDescent="0.25">
      <c r="B2519" t="e">
        <f>---ajakian</f>
        <v>#NAME?</v>
      </c>
      <c r="C2519" s="71">
        <v>1</v>
      </c>
      <c r="D2519" s="75">
        <f t="shared" si="41"/>
        <v>1.402898388069752E-5</v>
      </c>
    </row>
    <row r="2520" spans="2:4" x14ac:dyDescent="0.25">
      <c r="B2520" t="s">
        <v>8850</v>
      </c>
      <c r="C2520" s="71">
        <v>1</v>
      </c>
      <c r="D2520" s="75">
        <f t="shared" si="41"/>
        <v>1.402898388069752E-5</v>
      </c>
    </row>
    <row r="2521" spans="2:4" x14ac:dyDescent="0.25">
      <c r="B2521" t="s">
        <v>8851</v>
      </c>
      <c r="C2521" s="71">
        <v>1</v>
      </c>
      <c r="D2521" s="75">
        <f t="shared" si="41"/>
        <v>1.402898388069752E-5</v>
      </c>
    </row>
    <row r="2522" spans="2:4" x14ac:dyDescent="0.25">
      <c r="B2522" t="s">
        <v>8852</v>
      </c>
      <c r="C2522" s="71">
        <v>1</v>
      </c>
      <c r="D2522" s="75">
        <f t="shared" si="41"/>
        <v>1.402898388069752E-5</v>
      </c>
    </row>
    <row r="2523" spans="2:4" x14ac:dyDescent="0.25">
      <c r="B2523" t="s">
        <v>8853</v>
      </c>
      <c r="C2523" s="71">
        <v>1</v>
      </c>
      <c r="D2523" s="75">
        <f t="shared" si="41"/>
        <v>1.402898388069752E-5</v>
      </c>
    </row>
    <row r="2524" spans="2:4" x14ac:dyDescent="0.25">
      <c r="B2524" t="s">
        <v>8854</v>
      </c>
      <c r="C2524" s="71">
        <v>1</v>
      </c>
      <c r="D2524" s="75">
        <f t="shared" si="41"/>
        <v>1.402898388069752E-5</v>
      </c>
    </row>
    <row r="2525" spans="2:4" x14ac:dyDescent="0.25">
      <c r="B2525" t="s">
        <v>8855</v>
      </c>
      <c r="C2525" s="71">
        <v>1</v>
      </c>
      <c r="D2525" s="75">
        <f t="shared" si="41"/>
        <v>1.402898388069752E-5</v>
      </c>
    </row>
    <row r="2526" spans="2:4" x14ac:dyDescent="0.25">
      <c r="B2526" t="s">
        <v>8856</v>
      </c>
      <c r="C2526" s="71">
        <v>1</v>
      </c>
      <c r="D2526" s="75">
        <f t="shared" si="41"/>
        <v>1.402898388069752E-5</v>
      </c>
    </row>
    <row r="2527" spans="2:4" x14ac:dyDescent="0.25">
      <c r="B2527" t="s">
        <v>8857</v>
      </c>
      <c r="C2527" s="71">
        <v>1</v>
      </c>
      <c r="D2527" s="75">
        <f t="shared" si="41"/>
        <v>1.402898388069752E-5</v>
      </c>
    </row>
    <row r="2528" spans="2:4" x14ac:dyDescent="0.25">
      <c r="B2528" t="s">
        <v>8858</v>
      </c>
      <c r="C2528" s="71">
        <v>1</v>
      </c>
      <c r="D2528" s="75">
        <f t="shared" si="41"/>
        <v>1.402898388069752E-5</v>
      </c>
    </row>
    <row r="2529" spans="2:4" x14ac:dyDescent="0.25">
      <c r="B2529" t="s">
        <v>8859</v>
      </c>
      <c r="C2529" s="71">
        <v>1</v>
      </c>
      <c r="D2529" s="75">
        <f t="shared" si="41"/>
        <v>1.402898388069752E-5</v>
      </c>
    </row>
    <row r="2530" spans="2:4" x14ac:dyDescent="0.25">
      <c r="B2530" t="s">
        <v>8860</v>
      </c>
      <c r="C2530" s="71">
        <v>1</v>
      </c>
      <c r="D2530" s="75">
        <f t="shared" si="41"/>
        <v>1.402898388069752E-5</v>
      </c>
    </row>
    <row r="2531" spans="2:4" x14ac:dyDescent="0.25">
      <c r="B2531" t="s">
        <v>8861</v>
      </c>
      <c r="C2531" s="71">
        <v>1</v>
      </c>
      <c r="D2531" s="75">
        <f t="shared" si="41"/>
        <v>1.402898388069752E-5</v>
      </c>
    </row>
    <row r="2532" spans="2:4" x14ac:dyDescent="0.25">
      <c r="B2532" t="s">
        <v>8862</v>
      </c>
      <c r="C2532" s="71">
        <v>1</v>
      </c>
      <c r="D2532" s="75">
        <f t="shared" si="41"/>
        <v>1.402898388069752E-5</v>
      </c>
    </row>
    <row r="2533" spans="2:4" x14ac:dyDescent="0.25">
      <c r="B2533" t="s">
        <v>8863</v>
      </c>
      <c r="C2533" s="71">
        <v>1</v>
      </c>
      <c r="D2533" s="75">
        <f t="shared" si="41"/>
        <v>1.402898388069752E-5</v>
      </c>
    </row>
    <row r="2534" spans="2:4" x14ac:dyDescent="0.25">
      <c r="B2534" t="s">
        <v>8864</v>
      </c>
      <c r="C2534" s="71">
        <v>1</v>
      </c>
      <c r="D2534" s="75">
        <f t="shared" si="41"/>
        <v>1.402898388069752E-5</v>
      </c>
    </row>
    <row r="2535" spans="2:4" x14ac:dyDescent="0.25">
      <c r="B2535" t="s">
        <v>8865</v>
      </c>
      <c r="C2535" s="71">
        <v>1</v>
      </c>
      <c r="D2535" s="75">
        <f t="shared" si="41"/>
        <v>1.402898388069752E-5</v>
      </c>
    </row>
    <row r="2536" spans="2:4" x14ac:dyDescent="0.25">
      <c r="B2536" t="s">
        <v>8866</v>
      </c>
      <c r="C2536" s="71">
        <v>1</v>
      </c>
      <c r="D2536" s="75">
        <f t="shared" si="41"/>
        <v>1.402898388069752E-5</v>
      </c>
    </row>
    <row r="2537" spans="2:4" x14ac:dyDescent="0.25">
      <c r="B2537" t="s">
        <v>8867</v>
      </c>
      <c r="C2537" s="71">
        <v>1</v>
      </c>
      <c r="D2537" s="75">
        <f t="shared" si="41"/>
        <v>1.402898388069752E-5</v>
      </c>
    </row>
    <row r="2538" spans="2:4" x14ac:dyDescent="0.25">
      <c r="B2538" t="s">
        <v>8868</v>
      </c>
      <c r="C2538" s="71">
        <v>1</v>
      </c>
      <c r="D2538" s="75">
        <f t="shared" si="41"/>
        <v>1.402898388069752E-5</v>
      </c>
    </row>
    <row r="2539" spans="2:4" x14ac:dyDescent="0.25">
      <c r="B2539" t="s">
        <v>8869</v>
      </c>
      <c r="C2539" s="71">
        <v>1</v>
      </c>
      <c r="D2539" s="75">
        <f t="shared" si="41"/>
        <v>1.402898388069752E-5</v>
      </c>
    </row>
    <row r="2540" spans="2:4" x14ac:dyDescent="0.25">
      <c r="B2540" t="s">
        <v>8870</v>
      </c>
      <c r="C2540" s="71">
        <v>1</v>
      </c>
      <c r="D2540" s="75">
        <f t="shared" si="41"/>
        <v>1.402898388069752E-5</v>
      </c>
    </row>
    <row r="2541" spans="2:4" x14ac:dyDescent="0.25">
      <c r="B2541" t="s">
        <v>8871</v>
      </c>
      <c r="C2541" s="71">
        <v>1</v>
      </c>
      <c r="D2541" s="75">
        <f t="shared" si="41"/>
        <v>1.402898388069752E-5</v>
      </c>
    </row>
    <row r="2542" spans="2:4" x14ac:dyDescent="0.25">
      <c r="B2542" t="s">
        <v>8872</v>
      </c>
      <c r="C2542" s="71">
        <v>1</v>
      </c>
      <c r="D2542" s="75">
        <f t="shared" si="41"/>
        <v>1.402898388069752E-5</v>
      </c>
    </row>
    <row r="2543" spans="2:4" x14ac:dyDescent="0.25">
      <c r="B2543" t="s">
        <v>8873</v>
      </c>
      <c r="C2543" s="71">
        <v>1</v>
      </c>
      <c r="D2543" s="75">
        <f t="shared" si="41"/>
        <v>1.402898388069752E-5</v>
      </c>
    </row>
    <row r="2544" spans="2:4" x14ac:dyDescent="0.25">
      <c r="B2544" t="s">
        <v>8874</v>
      </c>
      <c r="C2544" s="71">
        <v>1</v>
      </c>
      <c r="D2544" s="75">
        <f t="shared" si="41"/>
        <v>1.402898388069752E-5</v>
      </c>
    </row>
    <row r="2545" spans="2:4" x14ac:dyDescent="0.25">
      <c r="B2545" t="s">
        <v>8875</v>
      </c>
      <c r="C2545" s="71">
        <v>1</v>
      </c>
      <c r="D2545" s="75">
        <f t="shared" si="41"/>
        <v>1.402898388069752E-5</v>
      </c>
    </row>
    <row r="2546" spans="2:4" x14ac:dyDescent="0.25">
      <c r="B2546" t="s">
        <v>8876</v>
      </c>
      <c r="C2546" s="71">
        <v>1</v>
      </c>
      <c r="D2546" s="75">
        <f t="shared" si="41"/>
        <v>1.402898388069752E-5</v>
      </c>
    </row>
    <row r="2547" spans="2:4" x14ac:dyDescent="0.25">
      <c r="B2547" t="s">
        <v>8877</v>
      </c>
      <c r="C2547" s="71">
        <v>1</v>
      </c>
      <c r="D2547" s="75">
        <f t="shared" si="41"/>
        <v>1.402898388069752E-5</v>
      </c>
    </row>
    <row r="2548" spans="2:4" x14ac:dyDescent="0.25">
      <c r="B2548" t="s">
        <v>8878</v>
      </c>
      <c r="C2548" s="71">
        <v>1</v>
      </c>
      <c r="D2548" s="75">
        <f t="shared" si="41"/>
        <v>1.402898388069752E-5</v>
      </c>
    </row>
    <row r="2549" spans="2:4" x14ac:dyDescent="0.25">
      <c r="B2549" t="s">
        <v>8879</v>
      </c>
      <c r="C2549" s="71">
        <v>1</v>
      </c>
      <c r="D2549" s="75">
        <f t="shared" si="41"/>
        <v>1.402898388069752E-5</v>
      </c>
    </row>
    <row r="2550" spans="2:4" x14ac:dyDescent="0.25">
      <c r="B2550" t="s">
        <v>8880</v>
      </c>
      <c r="C2550" s="71">
        <v>1</v>
      </c>
      <c r="D2550" s="75">
        <f t="shared" si="41"/>
        <v>1.402898388069752E-5</v>
      </c>
    </row>
    <row r="2551" spans="2:4" x14ac:dyDescent="0.25">
      <c r="B2551" t="s">
        <v>8881</v>
      </c>
      <c r="C2551" s="71">
        <v>1</v>
      </c>
      <c r="D2551" s="75">
        <f t="shared" si="41"/>
        <v>1.402898388069752E-5</v>
      </c>
    </row>
    <row r="2552" spans="2:4" x14ac:dyDescent="0.25">
      <c r="B2552" t="s">
        <v>8882</v>
      </c>
      <c r="C2552" s="71">
        <v>1</v>
      </c>
      <c r="D2552" s="75">
        <f t="shared" si="41"/>
        <v>1.402898388069752E-5</v>
      </c>
    </row>
    <row r="2553" spans="2:4" x14ac:dyDescent="0.25">
      <c r="B2553" t="s">
        <v>8883</v>
      </c>
      <c r="C2553" s="71">
        <v>1</v>
      </c>
      <c r="D2553" s="75">
        <f t="shared" si="41"/>
        <v>1.402898388069752E-5</v>
      </c>
    </row>
    <row r="2554" spans="2:4" x14ac:dyDescent="0.25">
      <c r="B2554" t="s">
        <v>8884</v>
      </c>
      <c r="C2554" s="71">
        <v>1</v>
      </c>
      <c r="D2554" s="75">
        <f t="shared" si="41"/>
        <v>1.402898388069752E-5</v>
      </c>
    </row>
    <row r="2555" spans="2:4" x14ac:dyDescent="0.25">
      <c r="B2555" t="s">
        <v>8885</v>
      </c>
      <c r="C2555" s="71">
        <v>1</v>
      </c>
      <c r="D2555" s="75">
        <f t="shared" si="41"/>
        <v>1.402898388069752E-5</v>
      </c>
    </row>
    <row r="2556" spans="2:4" x14ac:dyDescent="0.25">
      <c r="B2556" t="s">
        <v>8886</v>
      </c>
      <c r="C2556" s="71">
        <v>1</v>
      </c>
      <c r="D2556" s="75">
        <f t="shared" si="41"/>
        <v>1.402898388069752E-5</v>
      </c>
    </row>
    <row r="2557" spans="2:4" x14ac:dyDescent="0.25">
      <c r="B2557" t="s">
        <v>8887</v>
      </c>
      <c r="C2557" s="71">
        <v>1</v>
      </c>
      <c r="D2557" s="75">
        <f t="shared" si="41"/>
        <v>1.402898388069752E-5</v>
      </c>
    </row>
    <row r="2558" spans="2:4" x14ac:dyDescent="0.25">
      <c r="B2558" t="s">
        <v>8888</v>
      </c>
      <c r="C2558" s="71">
        <v>1</v>
      </c>
      <c r="D2558" s="75">
        <f t="shared" si="41"/>
        <v>1.402898388069752E-5</v>
      </c>
    </row>
    <row r="2559" spans="2:4" x14ac:dyDescent="0.25">
      <c r="B2559" t="s">
        <v>8889</v>
      </c>
      <c r="C2559" s="71">
        <v>1</v>
      </c>
      <c r="D2559" s="75">
        <f t="shared" si="41"/>
        <v>1.402898388069752E-5</v>
      </c>
    </row>
    <row r="2560" spans="2:4" x14ac:dyDescent="0.25">
      <c r="B2560" t="s">
        <v>8890</v>
      </c>
      <c r="C2560" s="71">
        <v>1</v>
      </c>
      <c r="D2560" s="75">
        <f t="shared" si="41"/>
        <v>1.402898388069752E-5</v>
      </c>
    </row>
    <row r="2561" spans="2:4" x14ac:dyDescent="0.25">
      <c r="B2561" t="s">
        <v>8891</v>
      </c>
      <c r="C2561" s="71">
        <v>1</v>
      </c>
      <c r="D2561" s="75">
        <f t="shared" si="41"/>
        <v>1.402898388069752E-5</v>
      </c>
    </row>
    <row r="2562" spans="2:4" x14ac:dyDescent="0.25">
      <c r="B2562" t="s">
        <v>8892</v>
      </c>
      <c r="C2562" s="71">
        <v>1</v>
      </c>
      <c r="D2562" s="75">
        <f t="shared" si="41"/>
        <v>1.402898388069752E-5</v>
      </c>
    </row>
    <row r="2563" spans="2:4" x14ac:dyDescent="0.25">
      <c r="B2563" t="s">
        <v>8893</v>
      </c>
      <c r="C2563" s="71">
        <v>1</v>
      </c>
      <c r="D2563" s="75">
        <f t="shared" si="41"/>
        <v>1.402898388069752E-5</v>
      </c>
    </row>
    <row r="2564" spans="2:4" x14ac:dyDescent="0.25">
      <c r="B2564" t="s">
        <v>8894</v>
      </c>
      <c r="C2564" s="71">
        <v>1</v>
      </c>
      <c r="D2564" s="75">
        <f t="shared" si="41"/>
        <v>1.402898388069752E-5</v>
      </c>
    </row>
    <row r="2565" spans="2:4" x14ac:dyDescent="0.25">
      <c r="B2565" t="s">
        <v>8895</v>
      </c>
      <c r="C2565" s="71">
        <v>1</v>
      </c>
      <c r="D2565" s="75">
        <f t="shared" si="41"/>
        <v>1.402898388069752E-5</v>
      </c>
    </row>
    <row r="2566" spans="2:4" x14ac:dyDescent="0.25">
      <c r="B2566" t="s">
        <v>8896</v>
      </c>
      <c r="C2566" s="71">
        <v>1</v>
      </c>
      <c r="D2566" s="75">
        <f t="shared" ref="D2566:D2629" si="42">C2566/$C$4822</f>
        <v>1.402898388069752E-5</v>
      </c>
    </row>
    <row r="2567" spans="2:4" x14ac:dyDescent="0.25">
      <c r="B2567" t="s">
        <v>8897</v>
      </c>
      <c r="C2567" s="71">
        <v>1</v>
      </c>
      <c r="D2567" s="75">
        <f t="shared" si="42"/>
        <v>1.402898388069752E-5</v>
      </c>
    </row>
    <row r="2568" spans="2:4" x14ac:dyDescent="0.25">
      <c r="B2568" t="s">
        <v>8898</v>
      </c>
      <c r="C2568" s="71">
        <v>1</v>
      </c>
      <c r="D2568" s="75">
        <f t="shared" si="42"/>
        <v>1.402898388069752E-5</v>
      </c>
    </row>
    <row r="2569" spans="2:4" x14ac:dyDescent="0.25">
      <c r="B2569" t="s">
        <v>8899</v>
      </c>
      <c r="C2569" s="71">
        <v>1</v>
      </c>
      <c r="D2569" s="75">
        <f t="shared" si="42"/>
        <v>1.402898388069752E-5</v>
      </c>
    </row>
    <row r="2570" spans="2:4" x14ac:dyDescent="0.25">
      <c r="B2570" t="s">
        <v>8900</v>
      </c>
      <c r="C2570" s="71">
        <v>1</v>
      </c>
      <c r="D2570" s="75">
        <f t="shared" si="42"/>
        <v>1.402898388069752E-5</v>
      </c>
    </row>
    <row r="2571" spans="2:4" x14ac:dyDescent="0.25">
      <c r="B2571" t="s">
        <v>8901</v>
      </c>
      <c r="C2571" s="71">
        <v>1</v>
      </c>
      <c r="D2571" s="75">
        <f t="shared" si="42"/>
        <v>1.402898388069752E-5</v>
      </c>
    </row>
    <row r="2572" spans="2:4" x14ac:dyDescent="0.25">
      <c r="B2572" t="s">
        <v>8902</v>
      </c>
      <c r="C2572" s="71">
        <v>1</v>
      </c>
      <c r="D2572" s="75">
        <f t="shared" si="42"/>
        <v>1.402898388069752E-5</v>
      </c>
    </row>
    <row r="2573" spans="2:4" x14ac:dyDescent="0.25">
      <c r="B2573" t="s">
        <v>8903</v>
      </c>
      <c r="C2573" s="71">
        <v>1</v>
      </c>
      <c r="D2573" s="75">
        <f t="shared" si="42"/>
        <v>1.402898388069752E-5</v>
      </c>
    </row>
    <row r="2574" spans="2:4" x14ac:dyDescent="0.25">
      <c r="B2574" t="s">
        <v>8904</v>
      </c>
      <c r="C2574" s="71">
        <v>1</v>
      </c>
      <c r="D2574" s="75">
        <f t="shared" si="42"/>
        <v>1.402898388069752E-5</v>
      </c>
    </row>
    <row r="2575" spans="2:4" x14ac:dyDescent="0.25">
      <c r="B2575" t="s">
        <v>8905</v>
      </c>
      <c r="C2575" s="71">
        <v>1</v>
      </c>
      <c r="D2575" s="75">
        <f t="shared" si="42"/>
        <v>1.402898388069752E-5</v>
      </c>
    </row>
    <row r="2576" spans="2:4" x14ac:dyDescent="0.25">
      <c r="B2576" t="s">
        <v>8906</v>
      </c>
      <c r="C2576" s="71">
        <v>1</v>
      </c>
      <c r="D2576" s="75">
        <f t="shared" si="42"/>
        <v>1.402898388069752E-5</v>
      </c>
    </row>
    <row r="2577" spans="2:4" x14ac:dyDescent="0.25">
      <c r="B2577" t="s">
        <v>8907</v>
      </c>
      <c r="C2577" s="71">
        <v>1</v>
      </c>
      <c r="D2577" s="75">
        <f t="shared" si="42"/>
        <v>1.402898388069752E-5</v>
      </c>
    </row>
    <row r="2578" spans="2:4" x14ac:dyDescent="0.25">
      <c r="B2578" t="s">
        <v>8908</v>
      </c>
      <c r="C2578" s="71">
        <v>1</v>
      </c>
      <c r="D2578" s="75">
        <f t="shared" si="42"/>
        <v>1.402898388069752E-5</v>
      </c>
    </row>
    <row r="2579" spans="2:4" x14ac:dyDescent="0.25">
      <c r="B2579" t="s">
        <v>8909</v>
      </c>
      <c r="C2579" s="71">
        <v>1</v>
      </c>
      <c r="D2579" s="75">
        <f t="shared" si="42"/>
        <v>1.402898388069752E-5</v>
      </c>
    </row>
    <row r="2580" spans="2:4" x14ac:dyDescent="0.25">
      <c r="B2580" t="s">
        <v>8910</v>
      </c>
      <c r="C2580" s="71">
        <v>1</v>
      </c>
      <c r="D2580" s="75">
        <f t="shared" si="42"/>
        <v>1.402898388069752E-5</v>
      </c>
    </row>
    <row r="2581" spans="2:4" x14ac:dyDescent="0.25">
      <c r="B2581" t="s">
        <v>8911</v>
      </c>
      <c r="C2581" s="71">
        <v>1</v>
      </c>
      <c r="D2581" s="75">
        <f t="shared" si="42"/>
        <v>1.402898388069752E-5</v>
      </c>
    </row>
    <row r="2582" spans="2:4" x14ac:dyDescent="0.25">
      <c r="B2582" t="s">
        <v>8912</v>
      </c>
      <c r="C2582" s="71">
        <v>1</v>
      </c>
      <c r="D2582" s="75">
        <f t="shared" si="42"/>
        <v>1.402898388069752E-5</v>
      </c>
    </row>
    <row r="2583" spans="2:4" x14ac:dyDescent="0.25">
      <c r="B2583" t="s">
        <v>8913</v>
      </c>
      <c r="C2583" s="71">
        <v>1</v>
      </c>
      <c r="D2583" s="75">
        <f t="shared" si="42"/>
        <v>1.402898388069752E-5</v>
      </c>
    </row>
    <row r="2584" spans="2:4" x14ac:dyDescent="0.25">
      <c r="B2584" t="s">
        <v>8914</v>
      </c>
      <c r="C2584" s="71">
        <v>1</v>
      </c>
      <c r="D2584" s="75">
        <f t="shared" si="42"/>
        <v>1.402898388069752E-5</v>
      </c>
    </row>
    <row r="2585" spans="2:4" x14ac:dyDescent="0.25">
      <c r="B2585" t="s">
        <v>8915</v>
      </c>
      <c r="C2585" s="71">
        <v>1</v>
      </c>
      <c r="D2585" s="75">
        <f t="shared" si="42"/>
        <v>1.402898388069752E-5</v>
      </c>
    </row>
    <row r="2586" spans="2:4" x14ac:dyDescent="0.25">
      <c r="B2586" t="s">
        <v>8916</v>
      </c>
      <c r="C2586" s="71">
        <v>1</v>
      </c>
      <c r="D2586" s="75">
        <f t="shared" si="42"/>
        <v>1.402898388069752E-5</v>
      </c>
    </row>
    <row r="2587" spans="2:4" x14ac:dyDescent="0.25">
      <c r="B2587" t="s">
        <v>8917</v>
      </c>
      <c r="C2587" s="71">
        <v>1</v>
      </c>
      <c r="D2587" s="75">
        <f t="shared" si="42"/>
        <v>1.402898388069752E-5</v>
      </c>
    </row>
    <row r="2588" spans="2:4" x14ac:dyDescent="0.25">
      <c r="B2588" t="s">
        <v>8918</v>
      </c>
      <c r="C2588" s="71">
        <v>1</v>
      </c>
      <c r="D2588" s="75">
        <f t="shared" si="42"/>
        <v>1.402898388069752E-5</v>
      </c>
    </row>
    <row r="2589" spans="2:4" x14ac:dyDescent="0.25">
      <c r="B2589" t="s">
        <v>8919</v>
      </c>
      <c r="C2589" s="71">
        <v>1</v>
      </c>
      <c r="D2589" s="75">
        <f t="shared" si="42"/>
        <v>1.402898388069752E-5</v>
      </c>
    </row>
    <row r="2590" spans="2:4" x14ac:dyDescent="0.25">
      <c r="B2590" t="s">
        <v>8920</v>
      </c>
      <c r="C2590" s="71">
        <v>1</v>
      </c>
      <c r="D2590" s="75">
        <f t="shared" si="42"/>
        <v>1.402898388069752E-5</v>
      </c>
    </row>
    <row r="2591" spans="2:4" x14ac:dyDescent="0.25">
      <c r="B2591" t="s">
        <v>8921</v>
      </c>
      <c r="C2591" s="71">
        <v>1</v>
      </c>
      <c r="D2591" s="75">
        <f t="shared" si="42"/>
        <v>1.402898388069752E-5</v>
      </c>
    </row>
    <row r="2592" spans="2:4" x14ac:dyDescent="0.25">
      <c r="B2592" t="s">
        <v>8922</v>
      </c>
      <c r="C2592" s="71">
        <v>1</v>
      </c>
      <c r="D2592" s="75">
        <f t="shared" si="42"/>
        <v>1.402898388069752E-5</v>
      </c>
    </row>
    <row r="2593" spans="2:4" x14ac:dyDescent="0.25">
      <c r="B2593" t="s">
        <v>8923</v>
      </c>
      <c r="C2593" s="71">
        <v>1</v>
      </c>
      <c r="D2593" s="75">
        <f t="shared" si="42"/>
        <v>1.402898388069752E-5</v>
      </c>
    </row>
    <row r="2594" spans="2:4" x14ac:dyDescent="0.25">
      <c r="B2594" t="s">
        <v>8924</v>
      </c>
      <c r="C2594" s="71">
        <v>1</v>
      </c>
      <c r="D2594" s="75">
        <f t="shared" si="42"/>
        <v>1.402898388069752E-5</v>
      </c>
    </row>
    <row r="2595" spans="2:4" x14ac:dyDescent="0.25">
      <c r="B2595" t="s">
        <v>8925</v>
      </c>
      <c r="C2595" s="71">
        <v>1</v>
      </c>
      <c r="D2595" s="75">
        <f t="shared" si="42"/>
        <v>1.402898388069752E-5</v>
      </c>
    </row>
    <row r="2596" spans="2:4" x14ac:dyDescent="0.25">
      <c r="B2596" t="s">
        <v>8926</v>
      </c>
      <c r="C2596" s="71">
        <v>1</v>
      </c>
      <c r="D2596" s="75">
        <f t="shared" si="42"/>
        <v>1.402898388069752E-5</v>
      </c>
    </row>
    <row r="2597" spans="2:4" x14ac:dyDescent="0.25">
      <c r="B2597" t="s">
        <v>8927</v>
      </c>
      <c r="C2597" s="71">
        <v>1</v>
      </c>
      <c r="D2597" s="75">
        <f t="shared" si="42"/>
        <v>1.402898388069752E-5</v>
      </c>
    </row>
    <row r="2598" spans="2:4" x14ac:dyDescent="0.25">
      <c r="B2598" t="s">
        <v>8928</v>
      </c>
      <c r="C2598" s="71">
        <v>1</v>
      </c>
      <c r="D2598" s="75">
        <f t="shared" si="42"/>
        <v>1.402898388069752E-5</v>
      </c>
    </row>
    <row r="2599" spans="2:4" x14ac:dyDescent="0.25">
      <c r="B2599" t="s">
        <v>8929</v>
      </c>
      <c r="C2599" s="71">
        <v>1</v>
      </c>
      <c r="D2599" s="75">
        <f t="shared" si="42"/>
        <v>1.402898388069752E-5</v>
      </c>
    </row>
    <row r="2600" spans="2:4" x14ac:dyDescent="0.25">
      <c r="B2600" t="s">
        <v>8930</v>
      </c>
      <c r="C2600" s="71">
        <v>1</v>
      </c>
      <c r="D2600" s="75">
        <f t="shared" si="42"/>
        <v>1.402898388069752E-5</v>
      </c>
    </row>
    <row r="2601" spans="2:4" x14ac:dyDescent="0.25">
      <c r="B2601" t="s">
        <v>8931</v>
      </c>
      <c r="C2601" s="71">
        <v>1</v>
      </c>
      <c r="D2601" s="75">
        <f t="shared" si="42"/>
        <v>1.402898388069752E-5</v>
      </c>
    </row>
    <row r="2602" spans="2:4" x14ac:dyDescent="0.25">
      <c r="B2602" t="s">
        <v>8932</v>
      </c>
      <c r="C2602" s="71">
        <v>1</v>
      </c>
      <c r="D2602" s="75">
        <f t="shared" si="42"/>
        <v>1.402898388069752E-5</v>
      </c>
    </row>
    <row r="2603" spans="2:4" x14ac:dyDescent="0.25">
      <c r="B2603" t="s">
        <v>8933</v>
      </c>
      <c r="C2603" s="71">
        <v>1</v>
      </c>
      <c r="D2603" s="75">
        <f t="shared" si="42"/>
        <v>1.402898388069752E-5</v>
      </c>
    </row>
    <row r="2604" spans="2:4" x14ac:dyDescent="0.25">
      <c r="B2604" t="s">
        <v>8934</v>
      </c>
      <c r="C2604" s="71">
        <v>1</v>
      </c>
      <c r="D2604" s="75">
        <f t="shared" si="42"/>
        <v>1.402898388069752E-5</v>
      </c>
    </row>
    <row r="2605" spans="2:4" x14ac:dyDescent="0.25">
      <c r="B2605" t="s">
        <v>8935</v>
      </c>
      <c r="C2605" s="71">
        <v>1</v>
      </c>
      <c r="D2605" s="75">
        <f t="shared" si="42"/>
        <v>1.402898388069752E-5</v>
      </c>
    </row>
    <row r="2606" spans="2:4" x14ac:dyDescent="0.25">
      <c r="B2606" t="s">
        <v>8936</v>
      </c>
      <c r="C2606" s="71">
        <v>1</v>
      </c>
      <c r="D2606" s="75">
        <f t="shared" si="42"/>
        <v>1.402898388069752E-5</v>
      </c>
    </row>
    <row r="2607" spans="2:4" x14ac:dyDescent="0.25">
      <c r="B2607" t="s">
        <v>8937</v>
      </c>
      <c r="C2607" s="71">
        <v>1</v>
      </c>
      <c r="D2607" s="75">
        <f t="shared" si="42"/>
        <v>1.402898388069752E-5</v>
      </c>
    </row>
    <row r="2608" spans="2:4" x14ac:dyDescent="0.25">
      <c r="B2608" t="s">
        <v>8938</v>
      </c>
      <c r="C2608" s="71">
        <v>1</v>
      </c>
      <c r="D2608" s="75">
        <f t="shared" si="42"/>
        <v>1.402898388069752E-5</v>
      </c>
    </row>
    <row r="2609" spans="2:4" x14ac:dyDescent="0.25">
      <c r="B2609" t="s">
        <v>8939</v>
      </c>
      <c r="C2609" s="71">
        <v>1</v>
      </c>
      <c r="D2609" s="75">
        <f t="shared" si="42"/>
        <v>1.402898388069752E-5</v>
      </c>
    </row>
    <row r="2610" spans="2:4" x14ac:dyDescent="0.25">
      <c r="B2610" t="s">
        <v>8940</v>
      </c>
      <c r="C2610" s="71">
        <v>1</v>
      </c>
      <c r="D2610" s="75">
        <f t="shared" si="42"/>
        <v>1.402898388069752E-5</v>
      </c>
    </row>
    <row r="2611" spans="2:4" x14ac:dyDescent="0.25">
      <c r="B2611" t="s">
        <v>8941</v>
      </c>
      <c r="C2611" s="71">
        <v>1</v>
      </c>
      <c r="D2611" s="75">
        <f t="shared" si="42"/>
        <v>1.402898388069752E-5</v>
      </c>
    </row>
    <row r="2612" spans="2:4" x14ac:dyDescent="0.25">
      <c r="B2612" t="s">
        <v>8942</v>
      </c>
      <c r="C2612" s="71">
        <v>1</v>
      </c>
      <c r="D2612" s="75">
        <f t="shared" si="42"/>
        <v>1.402898388069752E-5</v>
      </c>
    </row>
    <row r="2613" spans="2:4" x14ac:dyDescent="0.25">
      <c r="B2613" t="s">
        <v>8943</v>
      </c>
      <c r="C2613" s="71">
        <v>1</v>
      </c>
      <c r="D2613" s="75">
        <f t="shared" si="42"/>
        <v>1.402898388069752E-5</v>
      </c>
    </row>
    <row r="2614" spans="2:4" x14ac:dyDescent="0.25">
      <c r="B2614" t="s">
        <v>8944</v>
      </c>
      <c r="C2614" s="71">
        <v>1</v>
      </c>
      <c r="D2614" s="75">
        <f t="shared" si="42"/>
        <v>1.402898388069752E-5</v>
      </c>
    </row>
    <row r="2615" spans="2:4" x14ac:dyDescent="0.25">
      <c r="B2615" t="s">
        <v>8945</v>
      </c>
      <c r="C2615" s="71">
        <v>1</v>
      </c>
      <c r="D2615" s="75">
        <f t="shared" si="42"/>
        <v>1.402898388069752E-5</v>
      </c>
    </row>
    <row r="2616" spans="2:4" x14ac:dyDescent="0.25">
      <c r="B2616" t="s">
        <v>8946</v>
      </c>
      <c r="C2616" s="71">
        <v>1</v>
      </c>
      <c r="D2616" s="75">
        <f t="shared" si="42"/>
        <v>1.402898388069752E-5</v>
      </c>
    </row>
    <row r="2617" spans="2:4" x14ac:dyDescent="0.25">
      <c r="B2617" t="s">
        <v>8947</v>
      </c>
      <c r="C2617" s="71">
        <v>1</v>
      </c>
      <c r="D2617" s="75">
        <f t="shared" si="42"/>
        <v>1.402898388069752E-5</v>
      </c>
    </row>
    <row r="2618" spans="2:4" x14ac:dyDescent="0.25">
      <c r="B2618" t="s">
        <v>8948</v>
      </c>
      <c r="C2618" s="71">
        <v>1</v>
      </c>
      <c r="D2618" s="75">
        <f t="shared" si="42"/>
        <v>1.402898388069752E-5</v>
      </c>
    </row>
    <row r="2619" spans="2:4" x14ac:dyDescent="0.25">
      <c r="B2619" t="s">
        <v>8949</v>
      </c>
      <c r="C2619" s="71">
        <v>1</v>
      </c>
      <c r="D2619" s="75">
        <f t="shared" si="42"/>
        <v>1.402898388069752E-5</v>
      </c>
    </row>
    <row r="2620" spans="2:4" x14ac:dyDescent="0.25">
      <c r="B2620" t="s">
        <v>8950</v>
      </c>
      <c r="C2620" s="71">
        <v>1</v>
      </c>
      <c r="D2620" s="75">
        <f t="shared" si="42"/>
        <v>1.402898388069752E-5</v>
      </c>
    </row>
    <row r="2621" spans="2:4" x14ac:dyDescent="0.25">
      <c r="B2621" t="s">
        <v>8951</v>
      </c>
      <c r="C2621" s="71">
        <v>1</v>
      </c>
      <c r="D2621" s="75">
        <f t="shared" si="42"/>
        <v>1.402898388069752E-5</v>
      </c>
    </row>
    <row r="2622" spans="2:4" x14ac:dyDescent="0.25">
      <c r="B2622" t="s">
        <v>8952</v>
      </c>
      <c r="C2622" s="71">
        <v>1</v>
      </c>
      <c r="D2622" s="75">
        <f t="shared" si="42"/>
        <v>1.402898388069752E-5</v>
      </c>
    </row>
    <row r="2623" spans="2:4" x14ac:dyDescent="0.25">
      <c r="B2623" t="s">
        <v>8953</v>
      </c>
      <c r="C2623" s="71">
        <v>1</v>
      </c>
      <c r="D2623" s="75">
        <f t="shared" si="42"/>
        <v>1.402898388069752E-5</v>
      </c>
    </row>
    <row r="2624" spans="2:4" x14ac:dyDescent="0.25">
      <c r="B2624" t="s">
        <v>8954</v>
      </c>
      <c r="C2624" s="71">
        <v>1</v>
      </c>
      <c r="D2624" s="75">
        <f t="shared" si="42"/>
        <v>1.402898388069752E-5</v>
      </c>
    </row>
    <row r="2625" spans="2:4" x14ac:dyDescent="0.25">
      <c r="B2625" t="s">
        <v>8955</v>
      </c>
      <c r="C2625" s="71">
        <v>1</v>
      </c>
      <c r="D2625" s="75">
        <f t="shared" si="42"/>
        <v>1.402898388069752E-5</v>
      </c>
    </row>
    <row r="2626" spans="2:4" x14ac:dyDescent="0.25">
      <c r="B2626" t="s">
        <v>8956</v>
      </c>
      <c r="C2626" s="71">
        <v>1</v>
      </c>
      <c r="D2626" s="75">
        <f t="shared" si="42"/>
        <v>1.402898388069752E-5</v>
      </c>
    </row>
    <row r="2627" spans="2:4" x14ac:dyDescent="0.25">
      <c r="B2627" t="s">
        <v>8957</v>
      </c>
      <c r="C2627" s="71">
        <v>1</v>
      </c>
      <c r="D2627" s="75">
        <f t="shared" si="42"/>
        <v>1.402898388069752E-5</v>
      </c>
    </row>
    <row r="2628" spans="2:4" x14ac:dyDescent="0.25">
      <c r="B2628" t="s">
        <v>8958</v>
      </c>
      <c r="C2628" s="71">
        <v>1</v>
      </c>
      <c r="D2628" s="75">
        <f t="shared" si="42"/>
        <v>1.402898388069752E-5</v>
      </c>
    </row>
    <row r="2629" spans="2:4" x14ac:dyDescent="0.25">
      <c r="B2629" t="s">
        <v>8959</v>
      </c>
      <c r="C2629" s="71">
        <v>1</v>
      </c>
      <c r="D2629" s="75">
        <f t="shared" si="42"/>
        <v>1.402898388069752E-5</v>
      </c>
    </row>
    <row r="2630" spans="2:4" x14ac:dyDescent="0.25">
      <c r="B2630" t="s">
        <v>8960</v>
      </c>
      <c r="C2630" s="71">
        <v>1</v>
      </c>
      <c r="D2630" s="75">
        <f t="shared" ref="D2630:D2693" si="43">C2630/$C$4822</f>
        <v>1.402898388069752E-5</v>
      </c>
    </row>
    <row r="2631" spans="2:4" x14ac:dyDescent="0.25">
      <c r="B2631" t="s">
        <v>8961</v>
      </c>
      <c r="C2631" s="71">
        <v>1</v>
      </c>
      <c r="D2631" s="75">
        <f t="shared" si="43"/>
        <v>1.402898388069752E-5</v>
      </c>
    </row>
    <row r="2632" spans="2:4" x14ac:dyDescent="0.25">
      <c r="B2632" t="s">
        <v>8962</v>
      </c>
      <c r="C2632" s="71">
        <v>1</v>
      </c>
      <c r="D2632" s="75">
        <f t="shared" si="43"/>
        <v>1.402898388069752E-5</v>
      </c>
    </row>
    <row r="2633" spans="2:4" x14ac:dyDescent="0.25">
      <c r="B2633" t="s">
        <v>8963</v>
      </c>
      <c r="C2633" s="71">
        <v>1</v>
      </c>
      <c r="D2633" s="75">
        <f t="shared" si="43"/>
        <v>1.402898388069752E-5</v>
      </c>
    </row>
    <row r="2634" spans="2:4" x14ac:dyDescent="0.25">
      <c r="B2634" t="s">
        <v>8964</v>
      </c>
      <c r="C2634" s="71">
        <v>1</v>
      </c>
      <c r="D2634" s="75">
        <f t="shared" si="43"/>
        <v>1.402898388069752E-5</v>
      </c>
    </row>
    <row r="2635" spans="2:4" x14ac:dyDescent="0.25">
      <c r="B2635" t="s">
        <v>8965</v>
      </c>
      <c r="C2635" s="71">
        <v>1</v>
      </c>
      <c r="D2635" s="75">
        <f t="shared" si="43"/>
        <v>1.402898388069752E-5</v>
      </c>
    </row>
    <row r="2636" spans="2:4" x14ac:dyDescent="0.25">
      <c r="B2636" t="s">
        <v>8966</v>
      </c>
      <c r="C2636" s="71">
        <v>1</v>
      </c>
      <c r="D2636" s="75">
        <f t="shared" si="43"/>
        <v>1.402898388069752E-5</v>
      </c>
    </row>
    <row r="2637" spans="2:4" x14ac:dyDescent="0.25">
      <c r="B2637" t="s">
        <v>8967</v>
      </c>
      <c r="C2637" s="71">
        <v>1</v>
      </c>
      <c r="D2637" s="75">
        <f t="shared" si="43"/>
        <v>1.402898388069752E-5</v>
      </c>
    </row>
    <row r="2638" spans="2:4" x14ac:dyDescent="0.25">
      <c r="B2638" t="s">
        <v>8968</v>
      </c>
      <c r="C2638" s="71">
        <v>1</v>
      </c>
      <c r="D2638" s="75">
        <f t="shared" si="43"/>
        <v>1.402898388069752E-5</v>
      </c>
    </row>
    <row r="2639" spans="2:4" x14ac:dyDescent="0.25">
      <c r="B2639" t="s">
        <v>8969</v>
      </c>
      <c r="C2639" s="71">
        <v>1</v>
      </c>
      <c r="D2639" s="75">
        <f t="shared" si="43"/>
        <v>1.402898388069752E-5</v>
      </c>
    </row>
    <row r="2640" spans="2:4" x14ac:dyDescent="0.25">
      <c r="B2640" t="s">
        <v>8970</v>
      </c>
      <c r="C2640" s="71">
        <v>1</v>
      </c>
      <c r="D2640" s="75">
        <f t="shared" si="43"/>
        <v>1.402898388069752E-5</v>
      </c>
    </row>
    <row r="2641" spans="2:4" x14ac:dyDescent="0.25">
      <c r="B2641" t="s">
        <v>8971</v>
      </c>
      <c r="C2641" s="71">
        <v>1</v>
      </c>
      <c r="D2641" s="75">
        <f t="shared" si="43"/>
        <v>1.402898388069752E-5</v>
      </c>
    </row>
    <row r="2642" spans="2:4" x14ac:dyDescent="0.25">
      <c r="B2642" t="s">
        <v>8972</v>
      </c>
      <c r="C2642" s="71">
        <v>1</v>
      </c>
      <c r="D2642" s="75">
        <f t="shared" si="43"/>
        <v>1.402898388069752E-5</v>
      </c>
    </row>
    <row r="2643" spans="2:4" x14ac:dyDescent="0.25">
      <c r="B2643" t="s">
        <v>8973</v>
      </c>
      <c r="C2643" s="71">
        <v>1</v>
      </c>
      <c r="D2643" s="75">
        <f t="shared" si="43"/>
        <v>1.402898388069752E-5</v>
      </c>
    </row>
    <row r="2644" spans="2:4" x14ac:dyDescent="0.25">
      <c r="B2644" t="s">
        <v>8974</v>
      </c>
      <c r="C2644" s="71">
        <v>1</v>
      </c>
      <c r="D2644" s="75">
        <f t="shared" si="43"/>
        <v>1.402898388069752E-5</v>
      </c>
    </row>
    <row r="2645" spans="2:4" x14ac:dyDescent="0.25">
      <c r="B2645" t="s">
        <v>8975</v>
      </c>
      <c r="C2645" s="71">
        <v>1</v>
      </c>
      <c r="D2645" s="75">
        <f t="shared" si="43"/>
        <v>1.402898388069752E-5</v>
      </c>
    </row>
    <row r="2646" spans="2:4" x14ac:dyDescent="0.25">
      <c r="B2646" t="s">
        <v>8976</v>
      </c>
      <c r="C2646" s="71">
        <v>1</v>
      </c>
      <c r="D2646" s="75">
        <f t="shared" si="43"/>
        <v>1.402898388069752E-5</v>
      </c>
    </row>
    <row r="2647" spans="2:4" x14ac:dyDescent="0.25">
      <c r="B2647" t="s">
        <v>8977</v>
      </c>
      <c r="C2647" s="71">
        <v>1</v>
      </c>
      <c r="D2647" s="75">
        <f t="shared" si="43"/>
        <v>1.402898388069752E-5</v>
      </c>
    </row>
    <row r="2648" spans="2:4" x14ac:dyDescent="0.25">
      <c r="B2648" t="s">
        <v>8978</v>
      </c>
      <c r="C2648" s="71">
        <v>1</v>
      </c>
      <c r="D2648" s="75">
        <f t="shared" si="43"/>
        <v>1.402898388069752E-5</v>
      </c>
    </row>
    <row r="2649" spans="2:4" x14ac:dyDescent="0.25">
      <c r="B2649" t="s">
        <v>8979</v>
      </c>
      <c r="C2649" s="71">
        <v>1</v>
      </c>
      <c r="D2649" s="75">
        <f t="shared" si="43"/>
        <v>1.402898388069752E-5</v>
      </c>
    </row>
    <row r="2650" spans="2:4" x14ac:dyDescent="0.25">
      <c r="B2650" t="s">
        <v>8980</v>
      </c>
      <c r="C2650" s="71">
        <v>1</v>
      </c>
      <c r="D2650" s="75">
        <f t="shared" si="43"/>
        <v>1.402898388069752E-5</v>
      </c>
    </row>
    <row r="2651" spans="2:4" x14ac:dyDescent="0.25">
      <c r="B2651" t="s">
        <v>8981</v>
      </c>
      <c r="C2651" s="71">
        <v>1</v>
      </c>
      <c r="D2651" s="75">
        <f t="shared" si="43"/>
        <v>1.402898388069752E-5</v>
      </c>
    </row>
    <row r="2652" spans="2:4" x14ac:dyDescent="0.25">
      <c r="B2652" t="s">
        <v>8982</v>
      </c>
      <c r="C2652" s="71">
        <v>1</v>
      </c>
      <c r="D2652" s="75">
        <f t="shared" si="43"/>
        <v>1.402898388069752E-5</v>
      </c>
    </row>
    <row r="2653" spans="2:4" x14ac:dyDescent="0.25">
      <c r="B2653" t="s">
        <v>8983</v>
      </c>
      <c r="C2653" s="71">
        <v>1</v>
      </c>
      <c r="D2653" s="75">
        <f t="shared" si="43"/>
        <v>1.402898388069752E-5</v>
      </c>
    </row>
    <row r="2654" spans="2:4" x14ac:dyDescent="0.25">
      <c r="B2654" t="s">
        <v>8984</v>
      </c>
      <c r="C2654" s="71">
        <v>1</v>
      </c>
      <c r="D2654" s="75">
        <f t="shared" si="43"/>
        <v>1.402898388069752E-5</v>
      </c>
    </row>
    <row r="2655" spans="2:4" x14ac:dyDescent="0.25">
      <c r="B2655" t="s">
        <v>8985</v>
      </c>
      <c r="C2655" s="71">
        <v>1</v>
      </c>
      <c r="D2655" s="75">
        <f t="shared" si="43"/>
        <v>1.402898388069752E-5</v>
      </c>
    </row>
    <row r="2656" spans="2:4" x14ac:dyDescent="0.25">
      <c r="B2656" t="s">
        <v>8986</v>
      </c>
      <c r="C2656" s="71">
        <v>1</v>
      </c>
      <c r="D2656" s="75">
        <f t="shared" si="43"/>
        <v>1.402898388069752E-5</v>
      </c>
    </row>
    <row r="2657" spans="2:4" x14ac:dyDescent="0.25">
      <c r="B2657" t="s">
        <v>8987</v>
      </c>
      <c r="C2657" s="71">
        <v>1</v>
      </c>
      <c r="D2657" s="75">
        <f t="shared" si="43"/>
        <v>1.402898388069752E-5</v>
      </c>
    </row>
    <row r="2658" spans="2:4" x14ac:dyDescent="0.25">
      <c r="B2658" t="s">
        <v>8988</v>
      </c>
      <c r="C2658" s="71">
        <v>1</v>
      </c>
      <c r="D2658" s="75">
        <f t="shared" si="43"/>
        <v>1.402898388069752E-5</v>
      </c>
    </row>
    <row r="2659" spans="2:4" x14ac:dyDescent="0.25">
      <c r="B2659" t="s">
        <v>8989</v>
      </c>
      <c r="C2659" s="71">
        <v>1</v>
      </c>
      <c r="D2659" s="75">
        <f t="shared" si="43"/>
        <v>1.402898388069752E-5</v>
      </c>
    </row>
    <row r="2660" spans="2:4" x14ac:dyDescent="0.25">
      <c r="B2660" t="e">
        <f>---elian</f>
        <v>#NAME?</v>
      </c>
      <c r="C2660" s="71">
        <v>1</v>
      </c>
      <c r="D2660" s="75">
        <f t="shared" si="43"/>
        <v>1.402898388069752E-5</v>
      </c>
    </row>
    <row r="2661" spans="2:4" x14ac:dyDescent="0.25">
      <c r="B2661" t="s">
        <v>8990</v>
      </c>
      <c r="C2661" s="71">
        <v>1</v>
      </c>
      <c r="D2661" s="75">
        <f t="shared" si="43"/>
        <v>1.402898388069752E-5</v>
      </c>
    </row>
    <row r="2662" spans="2:4" x14ac:dyDescent="0.25">
      <c r="B2662" t="s">
        <v>8991</v>
      </c>
      <c r="C2662" s="71">
        <v>1</v>
      </c>
      <c r="D2662" s="75">
        <f t="shared" si="43"/>
        <v>1.402898388069752E-5</v>
      </c>
    </row>
    <row r="2663" spans="2:4" x14ac:dyDescent="0.25">
      <c r="B2663" t="s">
        <v>8992</v>
      </c>
      <c r="C2663" s="71">
        <v>1</v>
      </c>
      <c r="D2663" s="75">
        <f t="shared" si="43"/>
        <v>1.402898388069752E-5</v>
      </c>
    </row>
    <row r="2664" spans="2:4" x14ac:dyDescent="0.25">
      <c r="B2664" t="s">
        <v>8993</v>
      </c>
      <c r="C2664" s="71">
        <v>1</v>
      </c>
      <c r="D2664" s="75">
        <f t="shared" si="43"/>
        <v>1.402898388069752E-5</v>
      </c>
    </row>
    <row r="2665" spans="2:4" x14ac:dyDescent="0.25">
      <c r="B2665" t="s">
        <v>8994</v>
      </c>
      <c r="C2665" s="71">
        <v>1</v>
      </c>
      <c r="D2665" s="75">
        <f t="shared" si="43"/>
        <v>1.402898388069752E-5</v>
      </c>
    </row>
    <row r="2666" spans="2:4" x14ac:dyDescent="0.25">
      <c r="B2666" t="s">
        <v>8995</v>
      </c>
      <c r="C2666" s="71">
        <v>1</v>
      </c>
      <c r="D2666" s="75">
        <f t="shared" si="43"/>
        <v>1.402898388069752E-5</v>
      </c>
    </row>
    <row r="2667" spans="2:4" x14ac:dyDescent="0.25">
      <c r="B2667" t="s">
        <v>8996</v>
      </c>
      <c r="C2667" s="71">
        <v>1</v>
      </c>
      <c r="D2667" s="75">
        <f t="shared" si="43"/>
        <v>1.402898388069752E-5</v>
      </c>
    </row>
    <row r="2668" spans="2:4" x14ac:dyDescent="0.25">
      <c r="B2668" t="s">
        <v>8997</v>
      </c>
      <c r="C2668" s="71">
        <v>1</v>
      </c>
      <c r="D2668" s="75">
        <f t="shared" si="43"/>
        <v>1.402898388069752E-5</v>
      </c>
    </row>
    <row r="2669" spans="2:4" x14ac:dyDescent="0.25">
      <c r="B2669" t="s">
        <v>8998</v>
      </c>
      <c r="C2669" s="71">
        <v>1</v>
      </c>
      <c r="D2669" s="75">
        <f t="shared" si="43"/>
        <v>1.402898388069752E-5</v>
      </c>
    </row>
    <row r="2670" spans="2:4" x14ac:dyDescent="0.25">
      <c r="B2670" t="s">
        <v>8999</v>
      </c>
      <c r="C2670" s="71">
        <v>1</v>
      </c>
      <c r="D2670" s="75">
        <f t="shared" si="43"/>
        <v>1.402898388069752E-5</v>
      </c>
    </row>
    <row r="2671" spans="2:4" x14ac:dyDescent="0.25">
      <c r="B2671" t="s">
        <v>9000</v>
      </c>
      <c r="C2671" s="71">
        <v>1</v>
      </c>
      <c r="D2671" s="75">
        <f t="shared" si="43"/>
        <v>1.402898388069752E-5</v>
      </c>
    </row>
    <row r="2672" spans="2:4" x14ac:dyDescent="0.25">
      <c r="B2672" t="s">
        <v>9001</v>
      </c>
      <c r="C2672" s="71">
        <v>1</v>
      </c>
      <c r="D2672" s="75">
        <f t="shared" si="43"/>
        <v>1.402898388069752E-5</v>
      </c>
    </row>
    <row r="2673" spans="2:4" x14ac:dyDescent="0.25">
      <c r="B2673" t="s">
        <v>9002</v>
      </c>
      <c r="C2673" s="71">
        <v>1</v>
      </c>
      <c r="D2673" s="75">
        <f t="shared" si="43"/>
        <v>1.402898388069752E-5</v>
      </c>
    </row>
    <row r="2674" spans="2:4" x14ac:dyDescent="0.25">
      <c r="B2674" t="s">
        <v>9003</v>
      </c>
      <c r="C2674" s="71">
        <v>1</v>
      </c>
      <c r="D2674" s="75">
        <f t="shared" si="43"/>
        <v>1.402898388069752E-5</v>
      </c>
    </row>
    <row r="2675" spans="2:4" x14ac:dyDescent="0.25">
      <c r="B2675" t="s">
        <v>9004</v>
      </c>
      <c r="C2675" s="71">
        <v>1</v>
      </c>
      <c r="D2675" s="75">
        <f t="shared" si="43"/>
        <v>1.402898388069752E-5</v>
      </c>
    </row>
    <row r="2676" spans="2:4" x14ac:dyDescent="0.25">
      <c r="B2676" t="s">
        <v>9005</v>
      </c>
      <c r="C2676" s="71">
        <v>1</v>
      </c>
      <c r="D2676" s="75">
        <f t="shared" si="43"/>
        <v>1.402898388069752E-5</v>
      </c>
    </row>
    <row r="2677" spans="2:4" x14ac:dyDescent="0.25">
      <c r="B2677" t="s">
        <v>9006</v>
      </c>
      <c r="C2677" s="71">
        <v>1</v>
      </c>
      <c r="D2677" s="75">
        <f t="shared" si="43"/>
        <v>1.402898388069752E-5</v>
      </c>
    </row>
    <row r="2678" spans="2:4" x14ac:dyDescent="0.25">
      <c r="B2678" t="s">
        <v>9007</v>
      </c>
      <c r="C2678" s="71">
        <v>1</v>
      </c>
      <c r="D2678" s="75">
        <f t="shared" si="43"/>
        <v>1.402898388069752E-5</v>
      </c>
    </row>
    <row r="2679" spans="2:4" x14ac:dyDescent="0.25">
      <c r="B2679" t="s">
        <v>9008</v>
      </c>
      <c r="C2679" s="71">
        <v>1</v>
      </c>
      <c r="D2679" s="75">
        <f t="shared" si="43"/>
        <v>1.402898388069752E-5</v>
      </c>
    </row>
    <row r="2680" spans="2:4" x14ac:dyDescent="0.25">
      <c r="B2680" t="s">
        <v>9009</v>
      </c>
      <c r="C2680" s="71">
        <v>1</v>
      </c>
      <c r="D2680" s="75">
        <f t="shared" si="43"/>
        <v>1.402898388069752E-5</v>
      </c>
    </row>
    <row r="2681" spans="2:4" x14ac:dyDescent="0.25">
      <c r="B2681" t="s">
        <v>9010</v>
      </c>
      <c r="C2681" s="71">
        <v>1</v>
      </c>
      <c r="D2681" s="75">
        <f t="shared" si="43"/>
        <v>1.402898388069752E-5</v>
      </c>
    </row>
    <row r="2682" spans="2:4" x14ac:dyDescent="0.25">
      <c r="B2682" t="s">
        <v>9011</v>
      </c>
      <c r="C2682" s="71">
        <v>1</v>
      </c>
      <c r="D2682" s="75">
        <f t="shared" si="43"/>
        <v>1.402898388069752E-5</v>
      </c>
    </row>
    <row r="2683" spans="2:4" x14ac:dyDescent="0.25">
      <c r="B2683" t="s">
        <v>9012</v>
      </c>
      <c r="C2683" s="71">
        <v>1</v>
      </c>
      <c r="D2683" s="75">
        <f t="shared" si="43"/>
        <v>1.402898388069752E-5</v>
      </c>
    </row>
    <row r="2684" spans="2:4" x14ac:dyDescent="0.25">
      <c r="B2684" t="s">
        <v>9013</v>
      </c>
      <c r="C2684" s="71">
        <v>1</v>
      </c>
      <c r="D2684" s="75">
        <f t="shared" si="43"/>
        <v>1.402898388069752E-5</v>
      </c>
    </row>
    <row r="2685" spans="2:4" x14ac:dyDescent="0.25">
      <c r="B2685" t="s">
        <v>9014</v>
      </c>
      <c r="C2685" s="71">
        <v>1</v>
      </c>
      <c r="D2685" s="75">
        <f t="shared" si="43"/>
        <v>1.402898388069752E-5</v>
      </c>
    </row>
    <row r="2686" spans="2:4" x14ac:dyDescent="0.25">
      <c r="B2686" t="s">
        <v>9015</v>
      </c>
      <c r="C2686" s="71">
        <v>1</v>
      </c>
      <c r="D2686" s="75">
        <f t="shared" si="43"/>
        <v>1.402898388069752E-5</v>
      </c>
    </row>
    <row r="2687" spans="2:4" x14ac:dyDescent="0.25">
      <c r="B2687" t="s">
        <v>9016</v>
      </c>
      <c r="C2687" s="71">
        <v>1</v>
      </c>
      <c r="D2687" s="75">
        <f t="shared" si="43"/>
        <v>1.402898388069752E-5</v>
      </c>
    </row>
    <row r="2688" spans="2:4" x14ac:dyDescent="0.25">
      <c r="B2688" t="s">
        <v>9017</v>
      </c>
      <c r="C2688" s="71">
        <v>1</v>
      </c>
      <c r="D2688" s="75">
        <f t="shared" si="43"/>
        <v>1.402898388069752E-5</v>
      </c>
    </row>
    <row r="2689" spans="2:4" x14ac:dyDescent="0.25">
      <c r="B2689" t="s">
        <v>9018</v>
      </c>
      <c r="C2689" s="71">
        <v>1</v>
      </c>
      <c r="D2689" s="75">
        <f t="shared" si="43"/>
        <v>1.402898388069752E-5</v>
      </c>
    </row>
    <row r="2690" spans="2:4" x14ac:dyDescent="0.25">
      <c r="B2690" t="s">
        <v>9019</v>
      </c>
      <c r="C2690" s="71">
        <v>1</v>
      </c>
      <c r="D2690" s="75">
        <f t="shared" si="43"/>
        <v>1.402898388069752E-5</v>
      </c>
    </row>
    <row r="2691" spans="2:4" x14ac:dyDescent="0.25">
      <c r="B2691" t="s">
        <v>9020</v>
      </c>
      <c r="C2691" s="71">
        <v>1</v>
      </c>
      <c r="D2691" s="75">
        <f t="shared" si="43"/>
        <v>1.402898388069752E-5</v>
      </c>
    </row>
    <row r="2692" spans="2:4" x14ac:dyDescent="0.25">
      <c r="B2692" t="s">
        <v>9021</v>
      </c>
      <c r="C2692" s="71">
        <v>1</v>
      </c>
      <c r="D2692" s="75">
        <f t="shared" si="43"/>
        <v>1.402898388069752E-5</v>
      </c>
    </row>
    <row r="2693" spans="2:4" x14ac:dyDescent="0.25">
      <c r="B2693" t="s">
        <v>9022</v>
      </c>
      <c r="C2693" s="71">
        <v>1</v>
      </c>
      <c r="D2693" s="75">
        <f t="shared" si="43"/>
        <v>1.402898388069752E-5</v>
      </c>
    </row>
    <row r="2694" spans="2:4" x14ac:dyDescent="0.25">
      <c r="B2694" t="s">
        <v>9023</v>
      </c>
      <c r="C2694" s="71">
        <v>1</v>
      </c>
      <c r="D2694" s="75">
        <f t="shared" ref="D2694:D2757" si="44">C2694/$C$4822</f>
        <v>1.402898388069752E-5</v>
      </c>
    </row>
    <row r="2695" spans="2:4" x14ac:dyDescent="0.25">
      <c r="B2695" t="s">
        <v>9024</v>
      </c>
      <c r="C2695" s="71">
        <v>1</v>
      </c>
      <c r="D2695" s="75">
        <f t="shared" si="44"/>
        <v>1.402898388069752E-5</v>
      </c>
    </row>
    <row r="2696" spans="2:4" x14ac:dyDescent="0.25">
      <c r="B2696" t="s">
        <v>9025</v>
      </c>
      <c r="C2696" s="71">
        <v>1</v>
      </c>
      <c r="D2696" s="75">
        <f t="shared" si="44"/>
        <v>1.402898388069752E-5</v>
      </c>
    </row>
    <row r="2697" spans="2:4" x14ac:dyDescent="0.25">
      <c r="B2697" t="s">
        <v>9026</v>
      </c>
      <c r="C2697" s="71">
        <v>1</v>
      </c>
      <c r="D2697" s="75">
        <f t="shared" si="44"/>
        <v>1.402898388069752E-5</v>
      </c>
    </row>
    <row r="2698" spans="2:4" x14ac:dyDescent="0.25">
      <c r="B2698" t="s">
        <v>9027</v>
      </c>
      <c r="C2698" s="71">
        <v>1</v>
      </c>
      <c r="D2698" s="75">
        <f t="shared" si="44"/>
        <v>1.402898388069752E-5</v>
      </c>
    </row>
    <row r="2699" spans="2:4" x14ac:dyDescent="0.25">
      <c r="B2699" t="s">
        <v>9028</v>
      </c>
      <c r="C2699" s="71">
        <v>1</v>
      </c>
      <c r="D2699" s="75">
        <f t="shared" si="44"/>
        <v>1.402898388069752E-5</v>
      </c>
    </row>
    <row r="2700" spans="2:4" x14ac:dyDescent="0.25">
      <c r="B2700" t="s">
        <v>9029</v>
      </c>
      <c r="C2700" s="71">
        <v>1</v>
      </c>
      <c r="D2700" s="75">
        <f t="shared" si="44"/>
        <v>1.402898388069752E-5</v>
      </c>
    </row>
    <row r="2701" spans="2:4" x14ac:dyDescent="0.25">
      <c r="B2701" t="s">
        <v>9030</v>
      </c>
      <c r="C2701" s="71">
        <v>1</v>
      </c>
      <c r="D2701" s="75">
        <f t="shared" si="44"/>
        <v>1.402898388069752E-5</v>
      </c>
    </row>
    <row r="2702" spans="2:4" x14ac:dyDescent="0.25">
      <c r="B2702" t="s">
        <v>9031</v>
      </c>
      <c r="C2702" s="71">
        <v>1</v>
      </c>
      <c r="D2702" s="75">
        <f t="shared" si="44"/>
        <v>1.402898388069752E-5</v>
      </c>
    </row>
    <row r="2703" spans="2:4" x14ac:dyDescent="0.25">
      <c r="B2703" t="s">
        <v>9032</v>
      </c>
      <c r="C2703" s="71">
        <v>1</v>
      </c>
      <c r="D2703" s="75">
        <f t="shared" si="44"/>
        <v>1.402898388069752E-5</v>
      </c>
    </row>
    <row r="2704" spans="2:4" x14ac:dyDescent="0.25">
      <c r="B2704" t="s">
        <v>9033</v>
      </c>
      <c r="C2704" s="71">
        <v>1</v>
      </c>
      <c r="D2704" s="75">
        <f t="shared" si="44"/>
        <v>1.402898388069752E-5</v>
      </c>
    </row>
    <row r="2705" spans="2:4" x14ac:dyDescent="0.25">
      <c r="B2705" t="s">
        <v>9034</v>
      </c>
      <c r="C2705" s="71">
        <v>1</v>
      </c>
      <c r="D2705" s="75">
        <f t="shared" si="44"/>
        <v>1.402898388069752E-5</v>
      </c>
    </row>
    <row r="2706" spans="2:4" x14ac:dyDescent="0.25">
      <c r="B2706" t="s">
        <v>9035</v>
      </c>
      <c r="C2706" s="71">
        <v>1</v>
      </c>
      <c r="D2706" s="75">
        <f t="shared" si="44"/>
        <v>1.402898388069752E-5</v>
      </c>
    </row>
    <row r="2707" spans="2:4" x14ac:dyDescent="0.25">
      <c r="B2707" t="s">
        <v>9036</v>
      </c>
      <c r="C2707" s="71">
        <v>1</v>
      </c>
      <c r="D2707" s="75">
        <f t="shared" si="44"/>
        <v>1.402898388069752E-5</v>
      </c>
    </row>
    <row r="2708" spans="2:4" x14ac:dyDescent="0.25">
      <c r="B2708" t="s">
        <v>9037</v>
      </c>
      <c r="C2708" s="71">
        <v>1</v>
      </c>
      <c r="D2708" s="75">
        <f t="shared" si="44"/>
        <v>1.402898388069752E-5</v>
      </c>
    </row>
    <row r="2709" spans="2:4" x14ac:dyDescent="0.25">
      <c r="B2709" t="s">
        <v>9038</v>
      </c>
      <c r="C2709" s="71">
        <v>1</v>
      </c>
      <c r="D2709" s="75">
        <f t="shared" si="44"/>
        <v>1.402898388069752E-5</v>
      </c>
    </row>
    <row r="2710" spans="2:4" x14ac:dyDescent="0.25">
      <c r="B2710" t="s">
        <v>9039</v>
      </c>
      <c r="C2710" s="71">
        <v>1</v>
      </c>
      <c r="D2710" s="75">
        <f t="shared" si="44"/>
        <v>1.402898388069752E-5</v>
      </c>
    </row>
    <row r="2711" spans="2:4" x14ac:dyDescent="0.25">
      <c r="B2711" t="s">
        <v>9040</v>
      </c>
      <c r="C2711" s="71">
        <v>1</v>
      </c>
      <c r="D2711" s="75">
        <f t="shared" si="44"/>
        <v>1.402898388069752E-5</v>
      </c>
    </row>
    <row r="2712" spans="2:4" x14ac:dyDescent="0.25">
      <c r="B2712" t="s">
        <v>9041</v>
      </c>
      <c r="C2712" s="71">
        <v>1</v>
      </c>
      <c r="D2712" s="75">
        <f t="shared" si="44"/>
        <v>1.402898388069752E-5</v>
      </c>
    </row>
    <row r="2713" spans="2:4" x14ac:dyDescent="0.25">
      <c r="B2713" t="s">
        <v>9042</v>
      </c>
      <c r="C2713" s="71">
        <v>1</v>
      </c>
      <c r="D2713" s="75">
        <f t="shared" si="44"/>
        <v>1.402898388069752E-5</v>
      </c>
    </row>
    <row r="2714" spans="2:4" x14ac:dyDescent="0.25">
      <c r="B2714" t="s">
        <v>9043</v>
      </c>
      <c r="C2714" s="71">
        <v>1</v>
      </c>
      <c r="D2714" s="75">
        <f t="shared" si="44"/>
        <v>1.402898388069752E-5</v>
      </c>
    </row>
    <row r="2715" spans="2:4" x14ac:dyDescent="0.25">
      <c r="B2715" t="s">
        <v>9044</v>
      </c>
      <c r="C2715" s="71">
        <v>1</v>
      </c>
      <c r="D2715" s="75">
        <f t="shared" si="44"/>
        <v>1.402898388069752E-5</v>
      </c>
    </row>
    <row r="2716" spans="2:4" x14ac:dyDescent="0.25">
      <c r="B2716" t="s">
        <v>9045</v>
      </c>
      <c r="C2716" s="71">
        <v>1</v>
      </c>
      <c r="D2716" s="75">
        <f t="shared" si="44"/>
        <v>1.402898388069752E-5</v>
      </c>
    </row>
    <row r="2717" spans="2:4" x14ac:dyDescent="0.25">
      <c r="B2717" t="s">
        <v>9046</v>
      </c>
      <c r="C2717" s="71">
        <v>1</v>
      </c>
      <c r="D2717" s="75">
        <f t="shared" si="44"/>
        <v>1.402898388069752E-5</v>
      </c>
    </row>
    <row r="2718" spans="2:4" x14ac:dyDescent="0.25">
      <c r="B2718" t="s">
        <v>9047</v>
      </c>
      <c r="C2718" s="71">
        <v>1</v>
      </c>
      <c r="D2718" s="75">
        <f t="shared" si="44"/>
        <v>1.402898388069752E-5</v>
      </c>
    </row>
    <row r="2719" spans="2:4" x14ac:dyDescent="0.25">
      <c r="B2719" t="s">
        <v>9048</v>
      </c>
      <c r="C2719" s="71">
        <v>1</v>
      </c>
      <c r="D2719" s="75">
        <f t="shared" si="44"/>
        <v>1.402898388069752E-5</v>
      </c>
    </row>
    <row r="2720" spans="2:4" x14ac:dyDescent="0.25">
      <c r="B2720" t="s">
        <v>9049</v>
      </c>
      <c r="C2720" s="71">
        <v>1</v>
      </c>
      <c r="D2720" s="75">
        <f t="shared" si="44"/>
        <v>1.402898388069752E-5</v>
      </c>
    </row>
    <row r="2721" spans="2:4" x14ac:dyDescent="0.25">
      <c r="B2721" t="s">
        <v>9050</v>
      </c>
      <c r="C2721" s="71">
        <v>1</v>
      </c>
      <c r="D2721" s="75">
        <f t="shared" si="44"/>
        <v>1.402898388069752E-5</v>
      </c>
    </row>
    <row r="2722" spans="2:4" x14ac:dyDescent="0.25">
      <c r="B2722" t="s">
        <v>9051</v>
      </c>
      <c r="C2722" s="71">
        <v>1</v>
      </c>
      <c r="D2722" s="75">
        <f t="shared" si="44"/>
        <v>1.402898388069752E-5</v>
      </c>
    </row>
    <row r="2723" spans="2:4" x14ac:dyDescent="0.25">
      <c r="B2723" t="s">
        <v>9052</v>
      </c>
      <c r="C2723" s="71">
        <v>1</v>
      </c>
      <c r="D2723" s="75">
        <f t="shared" si="44"/>
        <v>1.402898388069752E-5</v>
      </c>
    </row>
    <row r="2724" spans="2:4" x14ac:dyDescent="0.25">
      <c r="B2724" t="s">
        <v>9053</v>
      </c>
      <c r="C2724" s="71">
        <v>1</v>
      </c>
      <c r="D2724" s="75">
        <f t="shared" si="44"/>
        <v>1.402898388069752E-5</v>
      </c>
    </row>
    <row r="2725" spans="2:4" x14ac:dyDescent="0.25">
      <c r="B2725" t="s">
        <v>9054</v>
      </c>
      <c r="C2725" s="71">
        <v>1</v>
      </c>
      <c r="D2725" s="75">
        <f t="shared" si="44"/>
        <v>1.402898388069752E-5</v>
      </c>
    </row>
    <row r="2726" spans="2:4" x14ac:dyDescent="0.25">
      <c r="B2726" t="s">
        <v>9055</v>
      </c>
      <c r="C2726" s="71">
        <v>1</v>
      </c>
      <c r="D2726" s="75">
        <f t="shared" si="44"/>
        <v>1.402898388069752E-5</v>
      </c>
    </row>
    <row r="2727" spans="2:4" x14ac:dyDescent="0.25">
      <c r="B2727" t="s">
        <v>9056</v>
      </c>
      <c r="C2727" s="71">
        <v>1</v>
      </c>
      <c r="D2727" s="75">
        <f t="shared" si="44"/>
        <v>1.402898388069752E-5</v>
      </c>
    </row>
    <row r="2728" spans="2:4" x14ac:dyDescent="0.25">
      <c r="B2728" t="s">
        <v>9057</v>
      </c>
      <c r="C2728" s="71">
        <v>1</v>
      </c>
      <c r="D2728" s="75">
        <f t="shared" si="44"/>
        <v>1.402898388069752E-5</v>
      </c>
    </row>
    <row r="2729" spans="2:4" x14ac:dyDescent="0.25">
      <c r="B2729" t="s">
        <v>9058</v>
      </c>
      <c r="C2729" s="71">
        <v>1</v>
      </c>
      <c r="D2729" s="75">
        <f t="shared" si="44"/>
        <v>1.402898388069752E-5</v>
      </c>
    </row>
    <row r="2730" spans="2:4" x14ac:dyDescent="0.25">
      <c r="B2730" t="s">
        <v>9059</v>
      </c>
      <c r="C2730" s="71">
        <v>1</v>
      </c>
      <c r="D2730" s="75">
        <f t="shared" si="44"/>
        <v>1.402898388069752E-5</v>
      </c>
    </row>
    <row r="2731" spans="2:4" x14ac:dyDescent="0.25">
      <c r="B2731" t="s">
        <v>9060</v>
      </c>
      <c r="C2731" s="71">
        <v>1</v>
      </c>
      <c r="D2731" s="75">
        <f t="shared" si="44"/>
        <v>1.402898388069752E-5</v>
      </c>
    </row>
    <row r="2732" spans="2:4" x14ac:dyDescent="0.25">
      <c r="B2732" t="s">
        <v>9061</v>
      </c>
      <c r="C2732" s="71">
        <v>1</v>
      </c>
      <c r="D2732" s="75">
        <f t="shared" si="44"/>
        <v>1.402898388069752E-5</v>
      </c>
    </row>
    <row r="2733" spans="2:4" x14ac:dyDescent="0.25">
      <c r="B2733" t="s">
        <v>9062</v>
      </c>
      <c r="C2733" s="71">
        <v>1</v>
      </c>
      <c r="D2733" s="75">
        <f t="shared" si="44"/>
        <v>1.402898388069752E-5</v>
      </c>
    </row>
    <row r="2734" spans="2:4" x14ac:dyDescent="0.25">
      <c r="B2734" t="s">
        <v>9063</v>
      </c>
      <c r="C2734" s="71">
        <v>1</v>
      </c>
      <c r="D2734" s="75">
        <f t="shared" si="44"/>
        <v>1.402898388069752E-5</v>
      </c>
    </row>
    <row r="2735" spans="2:4" x14ac:dyDescent="0.25">
      <c r="B2735" t="s">
        <v>9064</v>
      </c>
      <c r="C2735" s="71">
        <v>1</v>
      </c>
      <c r="D2735" s="75">
        <f t="shared" si="44"/>
        <v>1.402898388069752E-5</v>
      </c>
    </row>
    <row r="2736" spans="2:4" x14ac:dyDescent="0.25">
      <c r="B2736" t="s">
        <v>9065</v>
      </c>
      <c r="C2736" s="71">
        <v>1</v>
      </c>
      <c r="D2736" s="75">
        <f t="shared" si="44"/>
        <v>1.402898388069752E-5</v>
      </c>
    </row>
    <row r="2737" spans="2:4" x14ac:dyDescent="0.25">
      <c r="B2737" t="s">
        <v>9066</v>
      </c>
      <c r="C2737" s="71">
        <v>1</v>
      </c>
      <c r="D2737" s="75">
        <f t="shared" si="44"/>
        <v>1.402898388069752E-5</v>
      </c>
    </row>
    <row r="2738" spans="2:4" x14ac:dyDescent="0.25">
      <c r="B2738" t="s">
        <v>9067</v>
      </c>
      <c r="C2738" s="71">
        <v>1</v>
      </c>
      <c r="D2738" s="75">
        <f t="shared" si="44"/>
        <v>1.402898388069752E-5</v>
      </c>
    </row>
    <row r="2739" spans="2:4" x14ac:dyDescent="0.25">
      <c r="B2739" t="s">
        <v>9068</v>
      </c>
      <c r="C2739" s="71">
        <v>1</v>
      </c>
      <c r="D2739" s="75">
        <f t="shared" si="44"/>
        <v>1.402898388069752E-5</v>
      </c>
    </row>
    <row r="2740" spans="2:4" x14ac:dyDescent="0.25">
      <c r="B2740" t="s">
        <v>9069</v>
      </c>
      <c r="C2740" s="71">
        <v>1</v>
      </c>
      <c r="D2740" s="75">
        <f t="shared" si="44"/>
        <v>1.402898388069752E-5</v>
      </c>
    </row>
    <row r="2741" spans="2:4" x14ac:dyDescent="0.25">
      <c r="B2741" t="s">
        <v>9070</v>
      </c>
      <c r="C2741" s="71">
        <v>1</v>
      </c>
      <c r="D2741" s="75">
        <f t="shared" si="44"/>
        <v>1.402898388069752E-5</v>
      </c>
    </row>
    <row r="2742" spans="2:4" x14ac:dyDescent="0.25">
      <c r="B2742" t="s">
        <v>9071</v>
      </c>
      <c r="C2742" s="71">
        <v>1</v>
      </c>
      <c r="D2742" s="75">
        <f t="shared" si="44"/>
        <v>1.402898388069752E-5</v>
      </c>
    </row>
    <row r="2743" spans="2:4" x14ac:dyDescent="0.25">
      <c r="B2743" t="s">
        <v>9072</v>
      </c>
      <c r="C2743" s="71">
        <v>1</v>
      </c>
      <c r="D2743" s="75">
        <f t="shared" si="44"/>
        <v>1.402898388069752E-5</v>
      </c>
    </row>
    <row r="2744" spans="2:4" x14ac:dyDescent="0.25">
      <c r="B2744" t="s">
        <v>9073</v>
      </c>
      <c r="C2744" s="71">
        <v>1</v>
      </c>
      <c r="D2744" s="75">
        <f t="shared" si="44"/>
        <v>1.402898388069752E-5</v>
      </c>
    </row>
    <row r="2745" spans="2:4" x14ac:dyDescent="0.25">
      <c r="B2745" t="s">
        <v>9074</v>
      </c>
      <c r="C2745" s="71">
        <v>1</v>
      </c>
      <c r="D2745" s="75">
        <f t="shared" si="44"/>
        <v>1.402898388069752E-5</v>
      </c>
    </row>
    <row r="2746" spans="2:4" x14ac:dyDescent="0.25">
      <c r="B2746" t="s">
        <v>9075</v>
      </c>
      <c r="C2746" s="71">
        <v>1</v>
      </c>
      <c r="D2746" s="75">
        <f t="shared" si="44"/>
        <v>1.402898388069752E-5</v>
      </c>
    </row>
    <row r="2747" spans="2:4" x14ac:dyDescent="0.25">
      <c r="B2747" t="s">
        <v>9076</v>
      </c>
      <c r="C2747" s="71">
        <v>1</v>
      </c>
      <c r="D2747" s="75">
        <f t="shared" si="44"/>
        <v>1.402898388069752E-5</v>
      </c>
    </row>
    <row r="2748" spans="2:4" x14ac:dyDescent="0.25">
      <c r="B2748" t="s">
        <v>9077</v>
      </c>
      <c r="C2748" s="71">
        <v>1</v>
      </c>
      <c r="D2748" s="75">
        <f t="shared" si="44"/>
        <v>1.402898388069752E-5</v>
      </c>
    </row>
    <row r="2749" spans="2:4" x14ac:dyDescent="0.25">
      <c r="B2749" t="s">
        <v>9078</v>
      </c>
      <c r="C2749" s="71">
        <v>1</v>
      </c>
      <c r="D2749" s="75">
        <f t="shared" si="44"/>
        <v>1.402898388069752E-5</v>
      </c>
    </row>
    <row r="2750" spans="2:4" x14ac:dyDescent="0.25">
      <c r="B2750" t="s">
        <v>9079</v>
      </c>
      <c r="C2750" s="71">
        <v>1</v>
      </c>
      <c r="D2750" s="75">
        <f t="shared" si="44"/>
        <v>1.402898388069752E-5</v>
      </c>
    </row>
    <row r="2751" spans="2:4" x14ac:dyDescent="0.25">
      <c r="B2751" t="s">
        <v>9080</v>
      </c>
      <c r="C2751" s="71">
        <v>1</v>
      </c>
      <c r="D2751" s="75">
        <f t="shared" si="44"/>
        <v>1.402898388069752E-5</v>
      </c>
    </row>
    <row r="2752" spans="2:4" x14ac:dyDescent="0.25">
      <c r="B2752" t="s">
        <v>9081</v>
      </c>
      <c r="C2752" s="71">
        <v>1</v>
      </c>
      <c r="D2752" s="75">
        <f t="shared" si="44"/>
        <v>1.402898388069752E-5</v>
      </c>
    </row>
    <row r="2753" spans="2:4" x14ac:dyDescent="0.25">
      <c r="B2753" t="s">
        <v>9082</v>
      </c>
      <c r="C2753" s="71">
        <v>1</v>
      </c>
      <c r="D2753" s="75">
        <f t="shared" si="44"/>
        <v>1.402898388069752E-5</v>
      </c>
    </row>
    <row r="2754" spans="2:4" x14ac:dyDescent="0.25">
      <c r="B2754" t="s">
        <v>9083</v>
      </c>
      <c r="C2754" s="71">
        <v>1</v>
      </c>
      <c r="D2754" s="75">
        <f t="shared" si="44"/>
        <v>1.402898388069752E-5</v>
      </c>
    </row>
    <row r="2755" spans="2:4" x14ac:dyDescent="0.25">
      <c r="B2755" t="s">
        <v>9084</v>
      </c>
      <c r="C2755" s="71">
        <v>1</v>
      </c>
      <c r="D2755" s="75">
        <f t="shared" si="44"/>
        <v>1.402898388069752E-5</v>
      </c>
    </row>
    <row r="2756" spans="2:4" x14ac:dyDescent="0.25">
      <c r="B2756" t="s">
        <v>9085</v>
      </c>
      <c r="C2756" s="71">
        <v>1</v>
      </c>
      <c r="D2756" s="75">
        <f t="shared" si="44"/>
        <v>1.402898388069752E-5</v>
      </c>
    </row>
    <row r="2757" spans="2:4" x14ac:dyDescent="0.25">
      <c r="B2757" t="s">
        <v>9086</v>
      </c>
      <c r="C2757" s="71">
        <v>1</v>
      </c>
      <c r="D2757" s="75">
        <f t="shared" si="44"/>
        <v>1.402898388069752E-5</v>
      </c>
    </row>
    <row r="2758" spans="2:4" x14ac:dyDescent="0.25">
      <c r="B2758" t="s">
        <v>9087</v>
      </c>
      <c r="C2758" s="71">
        <v>1</v>
      </c>
      <c r="D2758" s="75">
        <f t="shared" ref="D2758:D2821" si="45">C2758/$C$4822</f>
        <v>1.402898388069752E-5</v>
      </c>
    </row>
    <row r="2759" spans="2:4" x14ac:dyDescent="0.25">
      <c r="B2759" t="s">
        <v>9088</v>
      </c>
      <c r="C2759" s="71">
        <v>1</v>
      </c>
      <c r="D2759" s="75">
        <f t="shared" si="45"/>
        <v>1.402898388069752E-5</v>
      </c>
    </row>
    <row r="2760" spans="2:4" x14ac:dyDescent="0.25">
      <c r="B2760" t="s">
        <v>9089</v>
      </c>
      <c r="C2760" s="71">
        <v>1</v>
      </c>
      <c r="D2760" s="75">
        <f t="shared" si="45"/>
        <v>1.402898388069752E-5</v>
      </c>
    </row>
    <row r="2761" spans="2:4" x14ac:dyDescent="0.25">
      <c r="B2761" t="s">
        <v>9090</v>
      </c>
      <c r="C2761" s="71">
        <v>1</v>
      </c>
      <c r="D2761" s="75">
        <f t="shared" si="45"/>
        <v>1.402898388069752E-5</v>
      </c>
    </row>
    <row r="2762" spans="2:4" x14ac:dyDescent="0.25">
      <c r="B2762" t="s">
        <v>9091</v>
      </c>
      <c r="C2762" s="71">
        <v>1</v>
      </c>
      <c r="D2762" s="75">
        <f t="shared" si="45"/>
        <v>1.402898388069752E-5</v>
      </c>
    </row>
    <row r="2763" spans="2:4" x14ac:dyDescent="0.25">
      <c r="B2763" t="s">
        <v>9092</v>
      </c>
      <c r="C2763" s="71">
        <v>1</v>
      </c>
      <c r="D2763" s="75">
        <f t="shared" si="45"/>
        <v>1.402898388069752E-5</v>
      </c>
    </row>
    <row r="2764" spans="2:4" x14ac:dyDescent="0.25">
      <c r="B2764" t="s">
        <v>9093</v>
      </c>
      <c r="C2764" s="71">
        <v>1</v>
      </c>
      <c r="D2764" s="75">
        <f t="shared" si="45"/>
        <v>1.402898388069752E-5</v>
      </c>
    </row>
    <row r="2765" spans="2:4" x14ac:dyDescent="0.25">
      <c r="B2765" t="s">
        <v>9094</v>
      </c>
      <c r="C2765" s="71">
        <v>1</v>
      </c>
      <c r="D2765" s="75">
        <f t="shared" si="45"/>
        <v>1.402898388069752E-5</v>
      </c>
    </row>
    <row r="2766" spans="2:4" x14ac:dyDescent="0.25">
      <c r="B2766" t="s">
        <v>9095</v>
      </c>
      <c r="C2766" s="71">
        <v>1</v>
      </c>
      <c r="D2766" s="75">
        <f t="shared" si="45"/>
        <v>1.402898388069752E-5</v>
      </c>
    </row>
    <row r="2767" spans="2:4" x14ac:dyDescent="0.25">
      <c r="B2767" t="s">
        <v>9096</v>
      </c>
      <c r="C2767" s="71">
        <v>1</v>
      </c>
      <c r="D2767" s="75">
        <f t="shared" si="45"/>
        <v>1.402898388069752E-5</v>
      </c>
    </row>
    <row r="2768" spans="2:4" x14ac:dyDescent="0.25">
      <c r="B2768" t="s">
        <v>9097</v>
      </c>
      <c r="C2768" s="71">
        <v>1</v>
      </c>
      <c r="D2768" s="75">
        <f t="shared" si="45"/>
        <v>1.402898388069752E-5</v>
      </c>
    </row>
    <row r="2769" spans="2:4" x14ac:dyDescent="0.25">
      <c r="B2769" t="s">
        <v>9098</v>
      </c>
      <c r="C2769" s="71">
        <v>1</v>
      </c>
      <c r="D2769" s="75">
        <f t="shared" si="45"/>
        <v>1.402898388069752E-5</v>
      </c>
    </row>
    <row r="2770" spans="2:4" x14ac:dyDescent="0.25">
      <c r="B2770" t="s">
        <v>9099</v>
      </c>
      <c r="C2770" s="71">
        <v>1</v>
      </c>
      <c r="D2770" s="75">
        <f t="shared" si="45"/>
        <v>1.402898388069752E-5</v>
      </c>
    </row>
    <row r="2771" spans="2:4" x14ac:dyDescent="0.25">
      <c r="B2771" t="s">
        <v>9100</v>
      </c>
      <c r="C2771" s="71">
        <v>1</v>
      </c>
      <c r="D2771" s="75">
        <f t="shared" si="45"/>
        <v>1.402898388069752E-5</v>
      </c>
    </row>
    <row r="2772" spans="2:4" x14ac:dyDescent="0.25">
      <c r="B2772" t="s">
        <v>9101</v>
      </c>
      <c r="C2772" s="71">
        <v>1</v>
      </c>
      <c r="D2772" s="75">
        <f t="shared" si="45"/>
        <v>1.402898388069752E-5</v>
      </c>
    </row>
    <row r="2773" spans="2:4" x14ac:dyDescent="0.25">
      <c r="B2773" t="s">
        <v>9102</v>
      </c>
      <c r="C2773" s="71">
        <v>1</v>
      </c>
      <c r="D2773" s="75">
        <f t="shared" si="45"/>
        <v>1.402898388069752E-5</v>
      </c>
    </row>
    <row r="2774" spans="2:4" x14ac:dyDescent="0.25">
      <c r="B2774" t="s">
        <v>9103</v>
      </c>
      <c r="C2774" s="71">
        <v>1</v>
      </c>
      <c r="D2774" s="75">
        <f t="shared" si="45"/>
        <v>1.402898388069752E-5</v>
      </c>
    </row>
    <row r="2775" spans="2:4" x14ac:dyDescent="0.25">
      <c r="B2775" t="s">
        <v>9104</v>
      </c>
      <c r="C2775" s="71">
        <v>1</v>
      </c>
      <c r="D2775" s="75">
        <f t="shared" si="45"/>
        <v>1.402898388069752E-5</v>
      </c>
    </row>
    <row r="2776" spans="2:4" x14ac:dyDescent="0.25">
      <c r="B2776" t="s">
        <v>9105</v>
      </c>
      <c r="C2776" s="71">
        <v>1</v>
      </c>
      <c r="D2776" s="75">
        <f t="shared" si="45"/>
        <v>1.402898388069752E-5</v>
      </c>
    </row>
    <row r="2777" spans="2:4" x14ac:dyDescent="0.25">
      <c r="B2777" t="s">
        <v>9106</v>
      </c>
      <c r="C2777" s="71">
        <v>1</v>
      </c>
      <c r="D2777" s="75">
        <f t="shared" si="45"/>
        <v>1.402898388069752E-5</v>
      </c>
    </row>
    <row r="2778" spans="2:4" x14ac:dyDescent="0.25">
      <c r="B2778" t="s">
        <v>9107</v>
      </c>
      <c r="C2778" s="71">
        <v>1</v>
      </c>
      <c r="D2778" s="75">
        <f t="shared" si="45"/>
        <v>1.402898388069752E-5</v>
      </c>
    </row>
    <row r="2779" spans="2:4" x14ac:dyDescent="0.25">
      <c r="B2779" t="s">
        <v>9108</v>
      </c>
      <c r="C2779" s="71">
        <v>1</v>
      </c>
      <c r="D2779" s="75">
        <f t="shared" si="45"/>
        <v>1.402898388069752E-5</v>
      </c>
    </row>
    <row r="2780" spans="2:4" x14ac:dyDescent="0.25">
      <c r="B2780" t="s">
        <v>9109</v>
      </c>
      <c r="C2780" s="71">
        <v>1</v>
      </c>
      <c r="D2780" s="75">
        <f t="shared" si="45"/>
        <v>1.402898388069752E-5</v>
      </c>
    </row>
    <row r="2781" spans="2:4" x14ac:dyDescent="0.25">
      <c r="B2781" t="s">
        <v>9110</v>
      </c>
      <c r="C2781" s="71">
        <v>1</v>
      </c>
      <c r="D2781" s="75">
        <f t="shared" si="45"/>
        <v>1.402898388069752E-5</v>
      </c>
    </row>
    <row r="2782" spans="2:4" x14ac:dyDescent="0.25">
      <c r="B2782" t="s">
        <v>9111</v>
      </c>
      <c r="C2782" s="71">
        <v>1</v>
      </c>
      <c r="D2782" s="75">
        <f t="shared" si="45"/>
        <v>1.402898388069752E-5</v>
      </c>
    </row>
    <row r="2783" spans="2:4" x14ac:dyDescent="0.25">
      <c r="B2783" t="s">
        <v>9112</v>
      </c>
      <c r="C2783" s="71">
        <v>1</v>
      </c>
      <c r="D2783" s="75">
        <f t="shared" si="45"/>
        <v>1.402898388069752E-5</v>
      </c>
    </row>
    <row r="2784" spans="2:4" x14ac:dyDescent="0.25">
      <c r="B2784" t="s">
        <v>9113</v>
      </c>
      <c r="C2784" s="71">
        <v>1</v>
      </c>
      <c r="D2784" s="75">
        <f t="shared" si="45"/>
        <v>1.402898388069752E-5</v>
      </c>
    </row>
    <row r="2785" spans="2:4" x14ac:dyDescent="0.25">
      <c r="B2785" t="s">
        <v>9114</v>
      </c>
      <c r="C2785" s="71">
        <v>1</v>
      </c>
      <c r="D2785" s="75">
        <f t="shared" si="45"/>
        <v>1.402898388069752E-5</v>
      </c>
    </row>
    <row r="2786" spans="2:4" x14ac:dyDescent="0.25">
      <c r="B2786" t="s">
        <v>9115</v>
      </c>
      <c r="C2786" s="71">
        <v>1</v>
      </c>
      <c r="D2786" s="75">
        <f t="shared" si="45"/>
        <v>1.402898388069752E-5</v>
      </c>
    </row>
    <row r="2787" spans="2:4" x14ac:dyDescent="0.25">
      <c r="B2787" t="s">
        <v>9116</v>
      </c>
      <c r="C2787" s="71">
        <v>1</v>
      </c>
      <c r="D2787" s="75">
        <f t="shared" si="45"/>
        <v>1.402898388069752E-5</v>
      </c>
    </row>
    <row r="2788" spans="2:4" x14ac:dyDescent="0.25">
      <c r="B2788" t="s">
        <v>9117</v>
      </c>
      <c r="C2788" s="71">
        <v>1</v>
      </c>
      <c r="D2788" s="75">
        <f t="shared" si="45"/>
        <v>1.402898388069752E-5</v>
      </c>
    </row>
    <row r="2789" spans="2:4" x14ac:dyDescent="0.25">
      <c r="B2789" t="s">
        <v>9118</v>
      </c>
      <c r="C2789" s="71">
        <v>1</v>
      </c>
      <c r="D2789" s="75">
        <f t="shared" si="45"/>
        <v>1.402898388069752E-5</v>
      </c>
    </row>
    <row r="2790" spans="2:4" x14ac:dyDescent="0.25">
      <c r="B2790" t="s">
        <v>9119</v>
      </c>
      <c r="C2790" s="71">
        <v>1</v>
      </c>
      <c r="D2790" s="75">
        <f t="shared" si="45"/>
        <v>1.402898388069752E-5</v>
      </c>
    </row>
    <row r="2791" spans="2:4" x14ac:dyDescent="0.25">
      <c r="B2791" t="s">
        <v>9120</v>
      </c>
      <c r="C2791" s="71">
        <v>1</v>
      </c>
      <c r="D2791" s="75">
        <f t="shared" si="45"/>
        <v>1.402898388069752E-5</v>
      </c>
    </row>
    <row r="2792" spans="2:4" x14ac:dyDescent="0.25">
      <c r="B2792" t="s">
        <v>9121</v>
      </c>
      <c r="C2792" s="71">
        <v>1</v>
      </c>
      <c r="D2792" s="75">
        <f t="shared" si="45"/>
        <v>1.402898388069752E-5</v>
      </c>
    </row>
    <row r="2793" spans="2:4" x14ac:dyDescent="0.25">
      <c r="B2793" t="s">
        <v>9122</v>
      </c>
      <c r="C2793" s="71">
        <v>1</v>
      </c>
      <c r="D2793" s="75">
        <f t="shared" si="45"/>
        <v>1.402898388069752E-5</v>
      </c>
    </row>
    <row r="2794" spans="2:4" x14ac:dyDescent="0.25">
      <c r="B2794" t="s">
        <v>9123</v>
      </c>
      <c r="C2794" s="71">
        <v>1</v>
      </c>
      <c r="D2794" s="75">
        <f t="shared" si="45"/>
        <v>1.402898388069752E-5</v>
      </c>
    </row>
    <row r="2795" spans="2:4" x14ac:dyDescent="0.25">
      <c r="B2795" t="s">
        <v>9124</v>
      </c>
      <c r="C2795" s="71">
        <v>1</v>
      </c>
      <c r="D2795" s="75">
        <f t="shared" si="45"/>
        <v>1.402898388069752E-5</v>
      </c>
    </row>
    <row r="2796" spans="2:4" x14ac:dyDescent="0.25">
      <c r="B2796" t="s">
        <v>9125</v>
      </c>
      <c r="C2796" s="71">
        <v>1</v>
      </c>
      <c r="D2796" s="75">
        <f t="shared" si="45"/>
        <v>1.402898388069752E-5</v>
      </c>
    </row>
    <row r="2797" spans="2:4" x14ac:dyDescent="0.25">
      <c r="B2797" t="s">
        <v>9126</v>
      </c>
      <c r="C2797" s="71">
        <v>1</v>
      </c>
      <c r="D2797" s="75">
        <f t="shared" si="45"/>
        <v>1.402898388069752E-5</v>
      </c>
    </row>
    <row r="2798" spans="2:4" x14ac:dyDescent="0.25">
      <c r="B2798" t="s">
        <v>9127</v>
      </c>
      <c r="C2798" s="71">
        <v>1</v>
      </c>
      <c r="D2798" s="75">
        <f t="shared" si="45"/>
        <v>1.402898388069752E-5</v>
      </c>
    </row>
    <row r="2799" spans="2:4" x14ac:dyDescent="0.25">
      <c r="B2799" t="s">
        <v>9128</v>
      </c>
      <c r="C2799" s="71">
        <v>1</v>
      </c>
      <c r="D2799" s="75">
        <f t="shared" si="45"/>
        <v>1.402898388069752E-5</v>
      </c>
    </row>
    <row r="2800" spans="2:4" x14ac:dyDescent="0.25">
      <c r="B2800" t="s">
        <v>9129</v>
      </c>
      <c r="C2800" s="71">
        <v>1</v>
      </c>
      <c r="D2800" s="75">
        <f t="shared" si="45"/>
        <v>1.402898388069752E-5</v>
      </c>
    </row>
    <row r="2801" spans="2:4" x14ac:dyDescent="0.25">
      <c r="B2801" t="s">
        <v>9130</v>
      </c>
      <c r="C2801" s="71">
        <v>1</v>
      </c>
      <c r="D2801" s="75">
        <f t="shared" si="45"/>
        <v>1.402898388069752E-5</v>
      </c>
    </row>
    <row r="2802" spans="2:4" x14ac:dyDescent="0.25">
      <c r="B2802" t="s">
        <v>9131</v>
      </c>
      <c r="C2802" s="71">
        <v>1</v>
      </c>
      <c r="D2802" s="75">
        <f t="shared" si="45"/>
        <v>1.402898388069752E-5</v>
      </c>
    </row>
    <row r="2803" spans="2:4" x14ac:dyDescent="0.25">
      <c r="B2803" t="s">
        <v>9132</v>
      </c>
      <c r="C2803" s="71">
        <v>1</v>
      </c>
      <c r="D2803" s="75">
        <f t="shared" si="45"/>
        <v>1.402898388069752E-5</v>
      </c>
    </row>
    <row r="2804" spans="2:4" x14ac:dyDescent="0.25">
      <c r="B2804" t="s">
        <v>9133</v>
      </c>
      <c r="C2804" s="71">
        <v>1</v>
      </c>
      <c r="D2804" s="75">
        <f t="shared" si="45"/>
        <v>1.402898388069752E-5</v>
      </c>
    </row>
    <row r="2805" spans="2:4" x14ac:dyDescent="0.25">
      <c r="B2805" t="s">
        <v>9134</v>
      </c>
      <c r="C2805" s="71">
        <v>1</v>
      </c>
      <c r="D2805" s="75">
        <f t="shared" si="45"/>
        <v>1.402898388069752E-5</v>
      </c>
    </row>
    <row r="2806" spans="2:4" x14ac:dyDescent="0.25">
      <c r="B2806" t="s">
        <v>9135</v>
      </c>
      <c r="C2806" s="71">
        <v>1</v>
      </c>
      <c r="D2806" s="75">
        <f t="shared" si="45"/>
        <v>1.402898388069752E-5</v>
      </c>
    </row>
    <row r="2807" spans="2:4" x14ac:dyDescent="0.25">
      <c r="B2807" t="s">
        <v>9136</v>
      </c>
      <c r="C2807" s="71">
        <v>1</v>
      </c>
      <c r="D2807" s="75">
        <f t="shared" si="45"/>
        <v>1.402898388069752E-5</v>
      </c>
    </row>
    <row r="2808" spans="2:4" x14ac:dyDescent="0.25">
      <c r="B2808" t="s">
        <v>9137</v>
      </c>
      <c r="C2808" s="71">
        <v>1</v>
      </c>
      <c r="D2808" s="75">
        <f t="shared" si="45"/>
        <v>1.402898388069752E-5</v>
      </c>
    </row>
    <row r="2809" spans="2:4" x14ac:dyDescent="0.25">
      <c r="B2809" t="s">
        <v>9138</v>
      </c>
      <c r="C2809" s="71">
        <v>1</v>
      </c>
      <c r="D2809" s="75">
        <f t="shared" si="45"/>
        <v>1.402898388069752E-5</v>
      </c>
    </row>
    <row r="2810" spans="2:4" x14ac:dyDescent="0.25">
      <c r="B2810" t="s">
        <v>9139</v>
      </c>
      <c r="C2810" s="71">
        <v>1</v>
      </c>
      <c r="D2810" s="75">
        <f t="shared" si="45"/>
        <v>1.402898388069752E-5</v>
      </c>
    </row>
    <row r="2811" spans="2:4" x14ac:dyDescent="0.25">
      <c r="B2811" t="s">
        <v>9140</v>
      </c>
      <c r="C2811" s="71">
        <v>1</v>
      </c>
      <c r="D2811" s="75">
        <f t="shared" si="45"/>
        <v>1.402898388069752E-5</v>
      </c>
    </row>
    <row r="2812" spans="2:4" x14ac:dyDescent="0.25">
      <c r="B2812" t="s">
        <v>9141</v>
      </c>
      <c r="C2812" s="71">
        <v>1</v>
      </c>
      <c r="D2812" s="75">
        <f t="shared" si="45"/>
        <v>1.402898388069752E-5</v>
      </c>
    </row>
    <row r="2813" spans="2:4" x14ac:dyDescent="0.25">
      <c r="B2813" t="s">
        <v>9142</v>
      </c>
      <c r="C2813" s="71">
        <v>1</v>
      </c>
      <c r="D2813" s="75">
        <f t="shared" si="45"/>
        <v>1.402898388069752E-5</v>
      </c>
    </row>
    <row r="2814" spans="2:4" x14ac:dyDescent="0.25">
      <c r="B2814" t="s">
        <v>9143</v>
      </c>
      <c r="C2814" s="71">
        <v>1</v>
      </c>
      <c r="D2814" s="75">
        <f t="shared" si="45"/>
        <v>1.402898388069752E-5</v>
      </c>
    </row>
    <row r="2815" spans="2:4" x14ac:dyDescent="0.25">
      <c r="B2815" t="s">
        <v>9144</v>
      </c>
      <c r="C2815" s="71">
        <v>1</v>
      </c>
      <c r="D2815" s="75">
        <f t="shared" si="45"/>
        <v>1.402898388069752E-5</v>
      </c>
    </row>
    <row r="2816" spans="2:4" x14ac:dyDescent="0.25">
      <c r="B2816" t="s">
        <v>9145</v>
      </c>
      <c r="C2816" s="71">
        <v>1</v>
      </c>
      <c r="D2816" s="75">
        <f t="shared" si="45"/>
        <v>1.402898388069752E-5</v>
      </c>
    </row>
    <row r="2817" spans="2:4" x14ac:dyDescent="0.25">
      <c r="B2817" t="s">
        <v>9146</v>
      </c>
      <c r="C2817" s="71">
        <v>1</v>
      </c>
      <c r="D2817" s="75">
        <f t="shared" si="45"/>
        <v>1.402898388069752E-5</v>
      </c>
    </row>
    <row r="2818" spans="2:4" x14ac:dyDescent="0.25">
      <c r="B2818" t="s">
        <v>9147</v>
      </c>
      <c r="C2818" s="71">
        <v>1</v>
      </c>
      <c r="D2818" s="75">
        <f t="shared" si="45"/>
        <v>1.402898388069752E-5</v>
      </c>
    </row>
    <row r="2819" spans="2:4" x14ac:dyDescent="0.25">
      <c r="B2819" t="s">
        <v>9148</v>
      </c>
      <c r="C2819" s="71">
        <v>1</v>
      </c>
      <c r="D2819" s="75">
        <f t="shared" si="45"/>
        <v>1.402898388069752E-5</v>
      </c>
    </row>
    <row r="2820" spans="2:4" x14ac:dyDescent="0.25">
      <c r="B2820" t="s">
        <v>9149</v>
      </c>
      <c r="C2820" s="71">
        <v>1</v>
      </c>
      <c r="D2820" s="75">
        <f t="shared" si="45"/>
        <v>1.402898388069752E-5</v>
      </c>
    </row>
    <row r="2821" spans="2:4" x14ac:dyDescent="0.25">
      <c r="B2821" t="s">
        <v>9150</v>
      </c>
      <c r="C2821" s="71">
        <v>1</v>
      </c>
      <c r="D2821" s="75">
        <f t="shared" si="45"/>
        <v>1.402898388069752E-5</v>
      </c>
    </row>
    <row r="2822" spans="2:4" x14ac:dyDescent="0.25">
      <c r="B2822" t="s">
        <v>9151</v>
      </c>
      <c r="C2822" s="71">
        <v>1</v>
      </c>
      <c r="D2822" s="75">
        <f t="shared" ref="D2822:D2885" si="46">C2822/$C$4822</f>
        <v>1.402898388069752E-5</v>
      </c>
    </row>
    <row r="2823" spans="2:4" x14ac:dyDescent="0.25">
      <c r="B2823" t="s">
        <v>9152</v>
      </c>
      <c r="C2823" s="71">
        <v>1</v>
      </c>
      <c r="D2823" s="75">
        <f t="shared" si="46"/>
        <v>1.402898388069752E-5</v>
      </c>
    </row>
    <row r="2824" spans="2:4" x14ac:dyDescent="0.25">
      <c r="B2824" t="s">
        <v>9153</v>
      </c>
      <c r="C2824" s="71">
        <v>1</v>
      </c>
      <c r="D2824" s="75">
        <f t="shared" si="46"/>
        <v>1.402898388069752E-5</v>
      </c>
    </row>
    <row r="2825" spans="2:4" x14ac:dyDescent="0.25">
      <c r="B2825" t="s">
        <v>9154</v>
      </c>
      <c r="C2825" s="71">
        <v>1</v>
      </c>
      <c r="D2825" s="75">
        <f t="shared" si="46"/>
        <v>1.402898388069752E-5</v>
      </c>
    </row>
    <row r="2826" spans="2:4" x14ac:dyDescent="0.25">
      <c r="B2826" t="s">
        <v>9155</v>
      </c>
      <c r="C2826" s="71">
        <v>1</v>
      </c>
      <c r="D2826" s="75">
        <f t="shared" si="46"/>
        <v>1.402898388069752E-5</v>
      </c>
    </row>
    <row r="2827" spans="2:4" x14ac:dyDescent="0.25">
      <c r="B2827" t="s">
        <v>9156</v>
      </c>
      <c r="C2827" s="71">
        <v>1</v>
      </c>
      <c r="D2827" s="75">
        <f t="shared" si="46"/>
        <v>1.402898388069752E-5</v>
      </c>
    </row>
    <row r="2828" spans="2:4" x14ac:dyDescent="0.25">
      <c r="B2828" t="s">
        <v>9157</v>
      </c>
      <c r="C2828" s="71">
        <v>1</v>
      </c>
      <c r="D2828" s="75">
        <f t="shared" si="46"/>
        <v>1.402898388069752E-5</v>
      </c>
    </row>
    <row r="2829" spans="2:4" x14ac:dyDescent="0.25">
      <c r="B2829" t="s">
        <v>9158</v>
      </c>
      <c r="C2829" s="71">
        <v>1</v>
      </c>
      <c r="D2829" s="75">
        <f t="shared" si="46"/>
        <v>1.402898388069752E-5</v>
      </c>
    </row>
    <row r="2830" spans="2:4" x14ac:dyDescent="0.25">
      <c r="B2830" t="s">
        <v>9159</v>
      </c>
      <c r="C2830" s="71">
        <v>1</v>
      </c>
      <c r="D2830" s="75">
        <f t="shared" si="46"/>
        <v>1.402898388069752E-5</v>
      </c>
    </row>
    <row r="2831" spans="2:4" x14ac:dyDescent="0.25">
      <c r="B2831" t="s">
        <v>9160</v>
      </c>
      <c r="C2831" s="71">
        <v>1</v>
      </c>
      <c r="D2831" s="75">
        <f t="shared" si="46"/>
        <v>1.402898388069752E-5</v>
      </c>
    </row>
    <row r="2832" spans="2:4" x14ac:dyDescent="0.25">
      <c r="B2832" t="s">
        <v>9161</v>
      </c>
      <c r="C2832" s="71">
        <v>1</v>
      </c>
      <c r="D2832" s="75">
        <f t="shared" si="46"/>
        <v>1.402898388069752E-5</v>
      </c>
    </row>
    <row r="2833" spans="2:4" x14ac:dyDescent="0.25">
      <c r="B2833" t="s">
        <v>9162</v>
      </c>
      <c r="C2833" s="71">
        <v>1</v>
      </c>
      <c r="D2833" s="75">
        <f t="shared" si="46"/>
        <v>1.402898388069752E-5</v>
      </c>
    </row>
    <row r="2834" spans="2:4" x14ac:dyDescent="0.25">
      <c r="B2834" t="s">
        <v>9163</v>
      </c>
      <c r="C2834" s="71">
        <v>1</v>
      </c>
      <c r="D2834" s="75">
        <f t="shared" si="46"/>
        <v>1.402898388069752E-5</v>
      </c>
    </row>
    <row r="2835" spans="2:4" x14ac:dyDescent="0.25">
      <c r="B2835" t="s">
        <v>9164</v>
      </c>
      <c r="C2835" s="71">
        <v>1</v>
      </c>
      <c r="D2835" s="75">
        <f t="shared" si="46"/>
        <v>1.402898388069752E-5</v>
      </c>
    </row>
    <row r="2836" spans="2:4" x14ac:dyDescent="0.25">
      <c r="B2836" t="s">
        <v>9165</v>
      </c>
      <c r="C2836" s="71">
        <v>1</v>
      </c>
      <c r="D2836" s="75">
        <f t="shared" si="46"/>
        <v>1.402898388069752E-5</v>
      </c>
    </row>
    <row r="2837" spans="2:4" x14ac:dyDescent="0.25">
      <c r="B2837" t="s">
        <v>9166</v>
      </c>
      <c r="C2837" s="71">
        <v>1</v>
      </c>
      <c r="D2837" s="75">
        <f t="shared" si="46"/>
        <v>1.402898388069752E-5</v>
      </c>
    </row>
    <row r="2838" spans="2:4" x14ac:dyDescent="0.25">
      <c r="B2838" t="s">
        <v>9167</v>
      </c>
      <c r="C2838" s="71">
        <v>1</v>
      </c>
      <c r="D2838" s="75">
        <f t="shared" si="46"/>
        <v>1.402898388069752E-5</v>
      </c>
    </row>
    <row r="2839" spans="2:4" x14ac:dyDescent="0.25">
      <c r="B2839" t="s">
        <v>9168</v>
      </c>
      <c r="C2839" s="71">
        <v>1</v>
      </c>
      <c r="D2839" s="75">
        <f t="shared" si="46"/>
        <v>1.402898388069752E-5</v>
      </c>
    </row>
    <row r="2840" spans="2:4" x14ac:dyDescent="0.25">
      <c r="B2840" t="s">
        <v>9169</v>
      </c>
      <c r="C2840" s="71">
        <v>1</v>
      </c>
      <c r="D2840" s="75">
        <f t="shared" si="46"/>
        <v>1.402898388069752E-5</v>
      </c>
    </row>
    <row r="2841" spans="2:4" x14ac:dyDescent="0.25">
      <c r="B2841" t="s">
        <v>9170</v>
      </c>
      <c r="C2841" s="71">
        <v>1</v>
      </c>
      <c r="D2841" s="75">
        <f t="shared" si="46"/>
        <v>1.402898388069752E-5</v>
      </c>
    </row>
    <row r="2842" spans="2:4" x14ac:dyDescent="0.25">
      <c r="B2842" t="s">
        <v>9171</v>
      </c>
      <c r="C2842" s="71">
        <v>1</v>
      </c>
      <c r="D2842" s="75">
        <f t="shared" si="46"/>
        <v>1.402898388069752E-5</v>
      </c>
    </row>
    <row r="2843" spans="2:4" x14ac:dyDescent="0.25">
      <c r="B2843" t="s">
        <v>9172</v>
      </c>
      <c r="C2843" s="71">
        <v>1</v>
      </c>
      <c r="D2843" s="75">
        <f t="shared" si="46"/>
        <v>1.402898388069752E-5</v>
      </c>
    </row>
    <row r="2844" spans="2:4" x14ac:dyDescent="0.25">
      <c r="B2844" t="s">
        <v>9173</v>
      </c>
      <c r="C2844" s="71">
        <v>1</v>
      </c>
      <c r="D2844" s="75">
        <f t="shared" si="46"/>
        <v>1.402898388069752E-5</v>
      </c>
    </row>
    <row r="2845" spans="2:4" x14ac:dyDescent="0.25">
      <c r="B2845" t="s">
        <v>9174</v>
      </c>
      <c r="C2845" s="71">
        <v>1</v>
      </c>
      <c r="D2845" s="75">
        <f t="shared" si="46"/>
        <v>1.402898388069752E-5</v>
      </c>
    </row>
    <row r="2846" spans="2:4" x14ac:dyDescent="0.25">
      <c r="B2846" t="s">
        <v>9175</v>
      </c>
      <c r="C2846" s="71">
        <v>1</v>
      </c>
      <c r="D2846" s="75">
        <f t="shared" si="46"/>
        <v>1.402898388069752E-5</v>
      </c>
    </row>
    <row r="2847" spans="2:4" x14ac:dyDescent="0.25">
      <c r="B2847" t="s">
        <v>9176</v>
      </c>
      <c r="C2847" s="71">
        <v>1</v>
      </c>
      <c r="D2847" s="75">
        <f t="shared" si="46"/>
        <v>1.402898388069752E-5</v>
      </c>
    </row>
    <row r="2848" spans="2:4" x14ac:dyDescent="0.25">
      <c r="B2848" t="s">
        <v>9177</v>
      </c>
      <c r="C2848" s="71">
        <v>1</v>
      </c>
      <c r="D2848" s="75">
        <f t="shared" si="46"/>
        <v>1.402898388069752E-5</v>
      </c>
    </row>
    <row r="2849" spans="2:4" x14ac:dyDescent="0.25">
      <c r="B2849" t="s">
        <v>9178</v>
      </c>
      <c r="C2849" s="71">
        <v>1</v>
      </c>
      <c r="D2849" s="75">
        <f t="shared" si="46"/>
        <v>1.402898388069752E-5</v>
      </c>
    </row>
    <row r="2850" spans="2:4" x14ac:dyDescent="0.25">
      <c r="B2850" t="s">
        <v>9179</v>
      </c>
      <c r="C2850" s="71">
        <v>1</v>
      </c>
      <c r="D2850" s="75">
        <f t="shared" si="46"/>
        <v>1.402898388069752E-5</v>
      </c>
    </row>
    <row r="2851" spans="2:4" x14ac:dyDescent="0.25">
      <c r="B2851" t="s">
        <v>9180</v>
      </c>
      <c r="C2851" s="71">
        <v>1</v>
      </c>
      <c r="D2851" s="75">
        <f t="shared" si="46"/>
        <v>1.402898388069752E-5</v>
      </c>
    </row>
    <row r="2852" spans="2:4" x14ac:dyDescent="0.25">
      <c r="B2852" t="s">
        <v>9181</v>
      </c>
      <c r="C2852" s="71">
        <v>1</v>
      </c>
      <c r="D2852" s="75">
        <f t="shared" si="46"/>
        <v>1.402898388069752E-5</v>
      </c>
    </row>
    <row r="2853" spans="2:4" x14ac:dyDescent="0.25">
      <c r="B2853" t="s">
        <v>9182</v>
      </c>
      <c r="C2853" s="71">
        <v>1</v>
      </c>
      <c r="D2853" s="75">
        <f t="shared" si="46"/>
        <v>1.402898388069752E-5</v>
      </c>
    </row>
    <row r="2854" spans="2:4" x14ac:dyDescent="0.25">
      <c r="B2854" t="s">
        <v>9183</v>
      </c>
      <c r="C2854" s="71">
        <v>1</v>
      </c>
      <c r="D2854" s="75">
        <f t="shared" si="46"/>
        <v>1.402898388069752E-5</v>
      </c>
    </row>
    <row r="2855" spans="2:4" x14ac:dyDescent="0.25">
      <c r="B2855" t="s">
        <v>9184</v>
      </c>
      <c r="C2855" s="71">
        <v>1</v>
      </c>
      <c r="D2855" s="75">
        <f t="shared" si="46"/>
        <v>1.402898388069752E-5</v>
      </c>
    </row>
    <row r="2856" spans="2:4" x14ac:dyDescent="0.25">
      <c r="B2856" t="s">
        <v>9185</v>
      </c>
      <c r="C2856" s="71">
        <v>1</v>
      </c>
      <c r="D2856" s="75">
        <f t="shared" si="46"/>
        <v>1.402898388069752E-5</v>
      </c>
    </row>
    <row r="2857" spans="2:4" x14ac:dyDescent="0.25">
      <c r="B2857" t="s">
        <v>9186</v>
      </c>
      <c r="C2857" s="71">
        <v>1</v>
      </c>
      <c r="D2857" s="75">
        <f t="shared" si="46"/>
        <v>1.402898388069752E-5</v>
      </c>
    </row>
    <row r="2858" spans="2:4" x14ac:dyDescent="0.25">
      <c r="B2858" t="s">
        <v>9187</v>
      </c>
      <c r="C2858" s="71">
        <v>1</v>
      </c>
      <c r="D2858" s="75">
        <f t="shared" si="46"/>
        <v>1.402898388069752E-5</v>
      </c>
    </row>
    <row r="2859" spans="2:4" x14ac:dyDescent="0.25">
      <c r="B2859" t="s">
        <v>9188</v>
      </c>
      <c r="C2859" s="71">
        <v>1</v>
      </c>
      <c r="D2859" s="75">
        <f t="shared" si="46"/>
        <v>1.402898388069752E-5</v>
      </c>
    </row>
    <row r="2860" spans="2:4" x14ac:dyDescent="0.25">
      <c r="B2860" t="s">
        <v>9189</v>
      </c>
      <c r="C2860" s="71">
        <v>1</v>
      </c>
      <c r="D2860" s="75">
        <f t="shared" si="46"/>
        <v>1.402898388069752E-5</v>
      </c>
    </row>
    <row r="2861" spans="2:4" x14ac:dyDescent="0.25">
      <c r="B2861" t="s">
        <v>9190</v>
      </c>
      <c r="C2861" s="71">
        <v>1</v>
      </c>
      <c r="D2861" s="75">
        <f t="shared" si="46"/>
        <v>1.402898388069752E-5</v>
      </c>
    </row>
    <row r="2862" spans="2:4" x14ac:dyDescent="0.25">
      <c r="B2862" t="s">
        <v>9191</v>
      </c>
      <c r="C2862" s="71">
        <v>1</v>
      </c>
      <c r="D2862" s="75">
        <f t="shared" si="46"/>
        <v>1.402898388069752E-5</v>
      </c>
    </row>
    <row r="2863" spans="2:4" x14ac:dyDescent="0.25">
      <c r="B2863" t="s">
        <v>9192</v>
      </c>
      <c r="C2863" s="71">
        <v>1</v>
      </c>
      <c r="D2863" s="75">
        <f t="shared" si="46"/>
        <v>1.402898388069752E-5</v>
      </c>
    </row>
    <row r="2864" spans="2:4" x14ac:dyDescent="0.25">
      <c r="B2864" t="s">
        <v>9193</v>
      </c>
      <c r="C2864" s="71">
        <v>1</v>
      </c>
      <c r="D2864" s="75">
        <f t="shared" si="46"/>
        <v>1.402898388069752E-5</v>
      </c>
    </row>
    <row r="2865" spans="2:4" x14ac:dyDescent="0.25">
      <c r="B2865" t="s">
        <v>9194</v>
      </c>
      <c r="C2865" s="71">
        <v>1</v>
      </c>
      <c r="D2865" s="75">
        <f t="shared" si="46"/>
        <v>1.402898388069752E-5</v>
      </c>
    </row>
    <row r="2866" spans="2:4" x14ac:dyDescent="0.25">
      <c r="B2866" t="s">
        <v>9195</v>
      </c>
      <c r="C2866" s="71">
        <v>1</v>
      </c>
      <c r="D2866" s="75">
        <f t="shared" si="46"/>
        <v>1.402898388069752E-5</v>
      </c>
    </row>
    <row r="2867" spans="2:4" x14ac:dyDescent="0.25">
      <c r="B2867" t="s">
        <v>9196</v>
      </c>
      <c r="C2867" s="71">
        <v>1</v>
      </c>
      <c r="D2867" s="75">
        <f t="shared" si="46"/>
        <v>1.402898388069752E-5</v>
      </c>
    </row>
    <row r="2868" spans="2:4" x14ac:dyDescent="0.25">
      <c r="B2868" t="s">
        <v>9197</v>
      </c>
      <c r="C2868" s="71">
        <v>1</v>
      </c>
      <c r="D2868" s="75">
        <f t="shared" si="46"/>
        <v>1.402898388069752E-5</v>
      </c>
    </row>
    <row r="2869" spans="2:4" x14ac:dyDescent="0.25">
      <c r="B2869" t="s">
        <v>9198</v>
      </c>
      <c r="C2869" s="71">
        <v>1</v>
      </c>
      <c r="D2869" s="75">
        <f t="shared" si="46"/>
        <v>1.402898388069752E-5</v>
      </c>
    </row>
    <row r="2870" spans="2:4" x14ac:dyDescent="0.25">
      <c r="B2870" t="s">
        <v>9199</v>
      </c>
      <c r="C2870" s="71">
        <v>1</v>
      </c>
      <c r="D2870" s="75">
        <f t="shared" si="46"/>
        <v>1.402898388069752E-5</v>
      </c>
    </row>
    <row r="2871" spans="2:4" x14ac:dyDescent="0.25">
      <c r="B2871" t="s">
        <v>9200</v>
      </c>
      <c r="C2871" s="71">
        <v>1</v>
      </c>
      <c r="D2871" s="75">
        <f t="shared" si="46"/>
        <v>1.402898388069752E-5</v>
      </c>
    </row>
    <row r="2872" spans="2:4" x14ac:dyDescent="0.25">
      <c r="B2872" t="s">
        <v>9201</v>
      </c>
      <c r="C2872" s="71">
        <v>1</v>
      </c>
      <c r="D2872" s="75">
        <f t="shared" si="46"/>
        <v>1.402898388069752E-5</v>
      </c>
    </row>
    <row r="2873" spans="2:4" x14ac:dyDescent="0.25">
      <c r="B2873" t="s">
        <v>9202</v>
      </c>
      <c r="C2873" s="71">
        <v>1</v>
      </c>
      <c r="D2873" s="75">
        <f t="shared" si="46"/>
        <v>1.402898388069752E-5</v>
      </c>
    </row>
    <row r="2874" spans="2:4" x14ac:dyDescent="0.25">
      <c r="B2874" t="s">
        <v>9203</v>
      </c>
      <c r="C2874" s="71">
        <v>1</v>
      </c>
      <c r="D2874" s="75">
        <f t="shared" si="46"/>
        <v>1.402898388069752E-5</v>
      </c>
    </row>
    <row r="2875" spans="2:4" x14ac:dyDescent="0.25">
      <c r="B2875" t="s">
        <v>9204</v>
      </c>
      <c r="C2875" s="71">
        <v>1</v>
      </c>
      <c r="D2875" s="75">
        <f t="shared" si="46"/>
        <v>1.402898388069752E-5</v>
      </c>
    </row>
    <row r="2876" spans="2:4" x14ac:dyDescent="0.25">
      <c r="B2876" t="s">
        <v>9205</v>
      </c>
      <c r="C2876" s="71">
        <v>1</v>
      </c>
      <c r="D2876" s="75">
        <f t="shared" si="46"/>
        <v>1.402898388069752E-5</v>
      </c>
    </row>
    <row r="2877" spans="2:4" x14ac:dyDescent="0.25">
      <c r="B2877" t="s">
        <v>9206</v>
      </c>
      <c r="C2877" s="71">
        <v>1</v>
      </c>
      <c r="D2877" s="75">
        <f t="shared" si="46"/>
        <v>1.402898388069752E-5</v>
      </c>
    </row>
    <row r="2878" spans="2:4" x14ac:dyDescent="0.25">
      <c r="B2878" t="s">
        <v>9207</v>
      </c>
      <c r="C2878" s="71">
        <v>1</v>
      </c>
      <c r="D2878" s="75">
        <f t="shared" si="46"/>
        <v>1.402898388069752E-5</v>
      </c>
    </row>
    <row r="2879" spans="2:4" x14ac:dyDescent="0.25">
      <c r="B2879" t="s">
        <v>9208</v>
      </c>
      <c r="C2879" s="71">
        <v>1</v>
      </c>
      <c r="D2879" s="75">
        <f t="shared" si="46"/>
        <v>1.402898388069752E-5</v>
      </c>
    </row>
    <row r="2880" spans="2:4" x14ac:dyDescent="0.25">
      <c r="B2880" t="s">
        <v>9209</v>
      </c>
      <c r="C2880" s="71">
        <v>1</v>
      </c>
      <c r="D2880" s="75">
        <f t="shared" si="46"/>
        <v>1.402898388069752E-5</v>
      </c>
    </row>
    <row r="2881" spans="2:4" x14ac:dyDescent="0.25">
      <c r="B2881" t="s">
        <v>9210</v>
      </c>
      <c r="C2881" s="71">
        <v>1</v>
      </c>
      <c r="D2881" s="75">
        <f t="shared" si="46"/>
        <v>1.402898388069752E-5</v>
      </c>
    </row>
    <row r="2882" spans="2:4" x14ac:dyDescent="0.25">
      <c r="B2882" t="s">
        <v>9211</v>
      </c>
      <c r="C2882" s="71">
        <v>1</v>
      </c>
      <c r="D2882" s="75">
        <f t="shared" si="46"/>
        <v>1.402898388069752E-5</v>
      </c>
    </row>
    <row r="2883" spans="2:4" x14ac:dyDescent="0.25">
      <c r="B2883" t="s">
        <v>9212</v>
      </c>
      <c r="C2883" s="71">
        <v>1</v>
      </c>
      <c r="D2883" s="75">
        <f t="shared" si="46"/>
        <v>1.402898388069752E-5</v>
      </c>
    </row>
    <row r="2884" spans="2:4" x14ac:dyDescent="0.25">
      <c r="B2884" t="s">
        <v>9213</v>
      </c>
      <c r="C2884" s="71">
        <v>1</v>
      </c>
      <c r="D2884" s="75">
        <f t="shared" si="46"/>
        <v>1.402898388069752E-5</v>
      </c>
    </row>
    <row r="2885" spans="2:4" x14ac:dyDescent="0.25">
      <c r="B2885" t="s">
        <v>9214</v>
      </c>
      <c r="C2885" s="71">
        <v>1</v>
      </c>
      <c r="D2885" s="75">
        <f t="shared" si="46"/>
        <v>1.402898388069752E-5</v>
      </c>
    </row>
    <row r="2886" spans="2:4" x14ac:dyDescent="0.25">
      <c r="B2886" t="s">
        <v>9215</v>
      </c>
      <c r="C2886" s="71">
        <v>1</v>
      </c>
      <c r="D2886" s="75">
        <f t="shared" ref="D2886:D2949" si="47">C2886/$C$4822</f>
        <v>1.402898388069752E-5</v>
      </c>
    </row>
    <row r="2887" spans="2:4" x14ac:dyDescent="0.25">
      <c r="B2887" t="s">
        <v>9216</v>
      </c>
      <c r="C2887" s="71">
        <v>1</v>
      </c>
      <c r="D2887" s="75">
        <f t="shared" si="47"/>
        <v>1.402898388069752E-5</v>
      </c>
    </row>
    <row r="2888" spans="2:4" x14ac:dyDescent="0.25">
      <c r="B2888" t="s">
        <v>9217</v>
      </c>
      <c r="C2888" s="71">
        <v>1</v>
      </c>
      <c r="D2888" s="75">
        <f t="shared" si="47"/>
        <v>1.402898388069752E-5</v>
      </c>
    </row>
    <row r="2889" spans="2:4" x14ac:dyDescent="0.25">
      <c r="B2889" t="s">
        <v>9218</v>
      </c>
      <c r="C2889" s="71">
        <v>1</v>
      </c>
      <c r="D2889" s="75">
        <f t="shared" si="47"/>
        <v>1.402898388069752E-5</v>
      </c>
    </row>
    <row r="2890" spans="2:4" x14ac:dyDescent="0.25">
      <c r="B2890" t="s">
        <v>9219</v>
      </c>
      <c r="C2890" s="71">
        <v>1</v>
      </c>
      <c r="D2890" s="75">
        <f t="shared" si="47"/>
        <v>1.402898388069752E-5</v>
      </c>
    </row>
    <row r="2891" spans="2:4" x14ac:dyDescent="0.25">
      <c r="B2891" t="s">
        <v>9220</v>
      </c>
      <c r="C2891" s="71">
        <v>1</v>
      </c>
      <c r="D2891" s="75">
        <f t="shared" si="47"/>
        <v>1.402898388069752E-5</v>
      </c>
    </row>
    <row r="2892" spans="2:4" x14ac:dyDescent="0.25">
      <c r="B2892" t="s">
        <v>9221</v>
      </c>
      <c r="C2892" s="71">
        <v>1</v>
      </c>
      <c r="D2892" s="75">
        <f t="shared" si="47"/>
        <v>1.402898388069752E-5</v>
      </c>
    </row>
    <row r="2893" spans="2:4" x14ac:dyDescent="0.25">
      <c r="B2893" t="s">
        <v>9222</v>
      </c>
      <c r="C2893" s="71">
        <v>1</v>
      </c>
      <c r="D2893" s="75">
        <f t="shared" si="47"/>
        <v>1.402898388069752E-5</v>
      </c>
    </row>
    <row r="2894" spans="2:4" x14ac:dyDescent="0.25">
      <c r="B2894" t="s">
        <v>9223</v>
      </c>
      <c r="C2894" s="71">
        <v>1</v>
      </c>
      <c r="D2894" s="75">
        <f t="shared" si="47"/>
        <v>1.402898388069752E-5</v>
      </c>
    </row>
    <row r="2895" spans="2:4" x14ac:dyDescent="0.25">
      <c r="B2895" t="s">
        <v>9224</v>
      </c>
      <c r="C2895" s="71">
        <v>1</v>
      </c>
      <c r="D2895" s="75">
        <f t="shared" si="47"/>
        <v>1.402898388069752E-5</v>
      </c>
    </row>
    <row r="2896" spans="2:4" x14ac:dyDescent="0.25">
      <c r="B2896" t="s">
        <v>9225</v>
      </c>
      <c r="C2896" s="71">
        <v>1</v>
      </c>
      <c r="D2896" s="75">
        <f t="shared" si="47"/>
        <v>1.402898388069752E-5</v>
      </c>
    </row>
    <row r="2897" spans="2:4" x14ac:dyDescent="0.25">
      <c r="B2897" t="s">
        <v>9226</v>
      </c>
      <c r="C2897" s="71">
        <v>1</v>
      </c>
      <c r="D2897" s="75">
        <f t="shared" si="47"/>
        <v>1.402898388069752E-5</v>
      </c>
    </row>
    <row r="2898" spans="2:4" x14ac:dyDescent="0.25">
      <c r="B2898" t="s">
        <v>9227</v>
      </c>
      <c r="C2898" s="71">
        <v>1</v>
      </c>
      <c r="D2898" s="75">
        <f t="shared" si="47"/>
        <v>1.402898388069752E-5</v>
      </c>
    </row>
    <row r="2899" spans="2:4" x14ac:dyDescent="0.25">
      <c r="B2899" t="s">
        <v>9228</v>
      </c>
      <c r="C2899" s="71">
        <v>1</v>
      </c>
      <c r="D2899" s="75">
        <f t="shared" si="47"/>
        <v>1.402898388069752E-5</v>
      </c>
    </row>
    <row r="2900" spans="2:4" x14ac:dyDescent="0.25">
      <c r="B2900" t="s">
        <v>9229</v>
      </c>
      <c r="C2900" s="71">
        <v>1</v>
      </c>
      <c r="D2900" s="75">
        <f t="shared" si="47"/>
        <v>1.402898388069752E-5</v>
      </c>
    </row>
    <row r="2901" spans="2:4" x14ac:dyDescent="0.25">
      <c r="B2901" t="s">
        <v>9230</v>
      </c>
      <c r="C2901" s="71">
        <v>1</v>
      </c>
      <c r="D2901" s="75">
        <f t="shared" si="47"/>
        <v>1.402898388069752E-5</v>
      </c>
    </row>
    <row r="2902" spans="2:4" x14ac:dyDescent="0.25">
      <c r="B2902" t="s">
        <v>9231</v>
      </c>
      <c r="C2902" s="71">
        <v>1</v>
      </c>
      <c r="D2902" s="75">
        <f t="shared" si="47"/>
        <v>1.402898388069752E-5</v>
      </c>
    </row>
    <row r="2903" spans="2:4" x14ac:dyDescent="0.25">
      <c r="B2903" t="s">
        <v>9232</v>
      </c>
      <c r="C2903" s="71">
        <v>1</v>
      </c>
      <c r="D2903" s="75">
        <f t="shared" si="47"/>
        <v>1.402898388069752E-5</v>
      </c>
    </row>
    <row r="2904" spans="2:4" x14ac:dyDescent="0.25">
      <c r="B2904" t="s">
        <v>9233</v>
      </c>
      <c r="C2904" s="71">
        <v>1</v>
      </c>
      <c r="D2904" s="75">
        <f t="shared" si="47"/>
        <v>1.402898388069752E-5</v>
      </c>
    </row>
    <row r="2905" spans="2:4" x14ac:dyDescent="0.25">
      <c r="B2905" t="s">
        <v>9234</v>
      </c>
      <c r="C2905" s="71">
        <v>1</v>
      </c>
      <c r="D2905" s="75">
        <f t="shared" si="47"/>
        <v>1.402898388069752E-5</v>
      </c>
    </row>
    <row r="2906" spans="2:4" x14ac:dyDescent="0.25">
      <c r="B2906" t="s">
        <v>9235</v>
      </c>
      <c r="C2906" s="71">
        <v>1</v>
      </c>
      <c r="D2906" s="75">
        <f t="shared" si="47"/>
        <v>1.402898388069752E-5</v>
      </c>
    </row>
    <row r="2907" spans="2:4" x14ac:dyDescent="0.25">
      <c r="B2907" t="s">
        <v>9236</v>
      </c>
      <c r="C2907" s="71">
        <v>1</v>
      </c>
      <c r="D2907" s="75">
        <f t="shared" si="47"/>
        <v>1.402898388069752E-5</v>
      </c>
    </row>
    <row r="2908" spans="2:4" x14ac:dyDescent="0.25">
      <c r="B2908" t="s">
        <v>9237</v>
      </c>
      <c r="C2908" s="71">
        <v>1</v>
      </c>
      <c r="D2908" s="75">
        <f t="shared" si="47"/>
        <v>1.402898388069752E-5</v>
      </c>
    </row>
    <row r="2909" spans="2:4" x14ac:dyDescent="0.25">
      <c r="B2909" t="s">
        <v>9238</v>
      </c>
      <c r="C2909" s="71">
        <v>1</v>
      </c>
      <c r="D2909" s="75">
        <f t="shared" si="47"/>
        <v>1.402898388069752E-5</v>
      </c>
    </row>
    <row r="2910" spans="2:4" x14ac:dyDescent="0.25">
      <c r="B2910" t="s">
        <v>9239</v>
      </c>
      <c r="C2910" s="71">
        <v>1</v>
      </c>
      <c r="D2910" s="75">
        <f t="shared" si="47"/>
        <v>1.402898388069752E-5</v>
      </c>
    </row>
    <row r="2911" spans="2:4" x14ac:dyDescent="0.25">
      <c r="B2911" t="s">
        <v>9240</v>
      </c>
      <c r="C2911" s="71">
        <v>1</v>
      </c>
      <c r="D2911" s="75">
        <f t="shared" si="47"/>
        <v>1.402898388069752E-5</v>
      </c>
    </row>
    <row r="2912" spans="2:4" x14ac:dyDescent="0.25">
      <c r="B2912" t="s">
        <v>9241</v>
      </c>
      <c r="C2912" s="71">
        <v>1</v>
      </c>
      <c r="D2912" s="75">
        <f t="shared" si="47"/>
        <v>1.402898388069752E-5</v>
      </c>
    </row>
    <row r="2913" spans="2:4" x14ac:dyDescent="0.25">
      <c r="B2913" t="s">
        <v>9242</v>
      </c>
      <c r="C2913" s="71">
        <v>1</v>
      </c>
      <c r="D2913" s="75">
        <f t="shared" si="47"/>
        <v>1.402898388069752E-5</v>
      </c>
    </row>
    <row r="2914" spans="2:4" x14ac:dyDescent="0.25">
      <c r="B2914" t="s">
        <v>9243</v>
      </c>
      <c r="C2914" s="71">
        <v>1</v>
      </c>
      <c r="D2914" s="75">
        <f t="shared" si="47"/>
        <v>1.402898388069752E-5</v>
      </c>
    </row>
    <row r="2915" spans="2:4" x14ac:dyDescent="0.25">
      <c r="B2915" t="s">
        <v>9244</v>
      </c>
      <c r="C2915" s="71">
        <v>1</v>
      </c>
      <c r="D2915" s="75">
        <f t="shared" si="47"/>
        <v>1.402898388069752E-5</v>
      </c>
    </row>
    <row r="2916" spans="2:4" x14ac:dyDescent="0.25">
      <c r="B2916" t="s">
        <v>9245</v>
      </c>
      <c r="C2916" s="71">
        <v>1</v>
      </c>
      <c r="D2916" s="75">
        <f t="shared" si="47"/>
        <v>1.402898388069752E-5</v>
      </c>
    </row>
    <row r="2917" spans="2:4" x14ac:dyDescent="0.25">
      <c r="B2917" t="s">
        <v>9246</v>
      </c>
      <c r="C2917" s="71">
        <v>1</v>
      </c>
      <c r="D2917" s="75">
        <f t="shared" si="47"/>
        <v>1.402898388069752E-5</v>
      </c>
    </row>
    <row r="2918" spans="2:4" x14ac:dyDescent="0.25">
      <c r="B2918" t="s">
        <v>9247</v>
      </c>
      <c r="C2918" s="71">
        <v>1</v>
      </c>
      <c r="D2918" s="75">
        <f t="shared" si="47"/>
        <v>1.402898388069752E-5</v>
      </c>
    </row>
    <row r="2919" spans="2:4" x14ac:dyDescent="0.25">
      <c r="B2919" t="s">
        <v>9248</v>
      </c>
      <c r="C2919" s="71">
        <v>1</v>
      </c>
      <c r="D2919" s="75">
        <f t="shared" si="47"/>
        <v>1.402898388069752E-5</v>
      </c>
    </row>
    <row r="2920" spans="2:4" x14ac:dyDescent="0.25">
      <c r="B2920" t="s">
        <v>9249</v>
      </c>
      <c r="C2920" s="71">
        <v>1</v>
      </c>
      <c r="D2920" s="75">
        <f t="shared" si="47"/>
        <v>1.402898388069752E-5</v>
      </c>
    </row>
    <row r="2921" spans="2:4" x14ac:dyDescent="0.25">
      <c r="B2921" t="s">
        <v>9250</v>
      </c>
      <c r="C2921" s="71">
        <v>1</v>
      </c>
      <c r="D2921" s="75">
        <f t="shared" si="47"/>
        <v>1.402898388069752E-5</v>
      </c>
    </row>
    <row r="2922" spans="2:4" x14ac:dyDescent="0.25">
      <c r="B2922" t="s">
        <v>9251</v>
      </c>
      <c r="C2922" s="71">
        <v>1</v>
      </c>
      <c r="D2922" s="75">
        <f t="shared" si="47"/>
        <v>1.402898388069752E-5</v>
      </c>
    </row>
    <row r="2923" spans="2:4" x14ac:dyDescent="0.25">
      <c r="B2923" t="s">
        <v>9252</v>
      </c>
      <c r="C2923" s="71">
        <v>1</v>
      </c>
      <c r="D2923" s="75">
        <f t="shared" si="47"/>
        <v>1.402898388069752E-5</v>
      </c>
    </row>
    <row r="2924" spans="2:4" x14ac:dyDescent="0.25">
      <c r="B2924" t="s">
        <v>9253</v>
      </c>
      <c r="C2924" s="71">
        <v>1</v>
      </c>
      <c r="D2924" s="75">
        <f t="shared" si="47"/>
        <v>1.402898388069752E-5</v>
      </c>
    </row>
    <row r="2925" spans="2:4" x14ac:dyDescent="0.25">
      <c r="B2925" t="s">
        <v>9254</v>
      </c>
      <c r="C2925" s="71">
        <v>1</v>
      </c>
      <c r="D2925" s="75">
        <f t="shared" si="47"/>
        <v>1.402898388069752E-5</v>
      </c>
    </row>
    <row r="2926" spans="2:4" x14ac:dyDescent="0.25">
      <c r="B2926" t="s">
        <v>9255</v>
      </c>
      <c r="C2926" s="71">
        <v>1</v>
      </c>
      <c r="D2926" s="75">
        <f t="shared" si="47"/>
        <v>1.402898388069752E-5</v>
      </c>
    </row>
    <row r="2927" spans="2:4" x14ac:dyDescent="0.25">
      <c r="B2927" t="s">
        <v>9256</v>
      </c>
      <c r="C2927" s="71">
        <v>1</v>
      </c>
      <c r="D2927" s="75">
        <f t="shared" si="47"/>
        <v>1.402898388069752E-5</v>
      </c>
    </row>
    <row r="2928" spans="2:4" x14ac:dyDescent="0.25">
      <c r="B2928" t="s">
        <v>9257</v>
      </c>
      <c r="C2928" s="71">
        <v>1</v>
      </c>
      <c r="D2928" s="75">
        <f t="shared" si="47"/>
        <v>1.402898388069752E-5</v>
      </c>
    </row>
    <row r="2929" spans="2:4" x14ac:dyDescent="0.25">
      <c r="B2929" t="s">
        <v>9258</v>
      </c>
      <c r="C2929" s="71">
        <v>1</v>
      </c>
      <c r="D2929" s="75">
        <f t="shared" si="47"/>
        <v>1.402898388069752E-5</v>
      </c>
    </row>
    <row r="2930" spans="2:4" x14ac:dyDescent="0.25">
      <c r="B2930" t="s">
        <v>9259</v>
      </c>
      <c r="C2930" s="71">
        <v>1</v>
      </c>
      <c r="D2930" s="75">
        <f t="shared" si="47"/>
        <v>1.402898388069752E-5</v>
      </c>
    </row>
    <row r="2931" spans="2:4" x14ac:dyDescent="0.25">
      <c r="B2931" t="s">
        <v>9260</v>
      </c>
      <c r="C2931" s="71">
        <v>1</v>
      </c>
      <c r="D2931" s="75">
        <f t="shared" si="47"/>
        <v>1.402898388069752E-5</v>
      </c>
    </row>
    <row r="2932" spans="2:4" x14ac:dyDescent="0.25">
      <c r="B2932" t="s">
        <v>9261</v>
      </c>
      <c r="C2932" s="71">
        <v>1</v>
      </c>
      <c r="D2932" s="75">
        <f t="shared" si="47"/>
        <v>1.402898388069752E-5</v>
      </c>
    </row>
    <row r="2933" spans="2:4" x14ac:dyDescent="0.25">
      <c r="B2933" t="s">
        <v>9262</v>
      </c>
      <c r="C2933" s="71">
        <v>1</v>
      </c>
      <c r="D2933" s="75">
        <f t="shared" si="47"/>
        <v>1.402898388069752E-5</v>
      </c>
    </row>
    <row r="2934" spans="2:4" x14ac:dyDescent="0.25">
      <c r="B2934" t="s">
        <v>9263</v>
      </c>
      <c r="C2934" s="71">
        <v>1</v>
      </c>
      <c r="D2934" s="75">
        <f t="shared" si="47"/>
        <v>1.402898388069752E-5</v>
      </c>
    </row>
    <row r="2935" spans="2:4" x14ac:dyDescent="0.25">
      <c r="B2935" t="s">
        <v>9264</v>
      </c>
      <c r="C2935" s="71">
        <v>1</v>
      </c>
      <c r="D2935" s="75">
        <f t="shared" si="47"/>
        <v>1.402898388069752E-5</v>
      </c>
    </row>
    <row r="2936" spans="2:4" x14ac:dyDescent="0.25">
      <c r="B2936" t="s">
        <v>9265</v>
      </c>
      <c r="C2936" s="71">
        <v>1</v>
      </c>
      <c r="D2936" s="75">
        <f t="shared" si="47"/>
        <v>1.402898388069752E-5</v>
      </c>
    </row>
    <row r="2937" spans="2:4" x14ac:dyDescent="0.25">
      <c r="B2937" t="s">
        <v>9266</v>
      </c>
      <c r="C2937" s="71">
        <v>1</v>
      </c>
      <c r="D2937" s="75">
        <f t="shared" si="47"/>
        <v>1.402898388069752E-5</v>
      </c>
    </row>
    <row r="2938" spans="2:4" x14ac:dyDescent="0.25">
      <c r="B2938" t="s">
        <v>9267</v>
      </c>
      <c r="C2938" s="71">
        <v>1</v>
      </c>
      <c r="D2938" s="75">
        <f t="shared" si="47"/>
        <v>1.402898388069752E-5</v>
      </c>
    </row>
    <row r="2939" spans="2:4" x14ac:dyDescent="0.25">
      <c r="B2939" t="e">
        <f>---gopian</f>
        <v>#NAME?</v>
      </c>
      <c r="C2939" s="71">
        <v>1</v>
      </c>
      <c r="D2939" s="75">
        <f t="shared" si="47"/>
        <v>1.402898388069752E-5</v>
      </c>
    </row>
    <row r="2940" spans="2:4" x14ac:dyDescent="0.25">
      <c r="B2940" t="s">
        <v>9268</v>
      </c>
      <c r="C2940" s="71">
        <v>1</v>
      </c>
      <c r="D2940" s="75">
        <f t="shared" si="47"/>
        <v>1.402898388069752E-5</v>
      </c>
    </row>
    <row r="2941" spans="2:4" x14ac:dyDescent="0.25">
      <c r="B2941" t="s">
        <v>9269</v>
      </c>
      <c r="C2941" s="71">
        <v>1</v>
      </c>
      <c r="D2941" s="75">
        <f t="shared" si="47"/>
        <v>1.402898388069752E-5</v>
      </c>
    </row>
    <row r="2942" spans="2:4" x14ac:dyDescent="0.25">
      <c r="B2942" t="s">
        <v>9270</v>
      </c>
      <c r="C2942" s="71">
        <v>1</v>
      </c>
      <c r="D2942" s="75">
        <f t="shared" si="47"/>
        <v>1.402898388069752E-5</v>
      </c>
    </row>
    <row r="2943" spans="2:4" x14ac:dyDescent="0.25">
      <c r="B2943" t="s">
        <v>9271</v>
      </c>
      <c r="C2943" s="71">
        <v>1</v>
      </c>
      <c r="D2943" s="75">
        <f t="shared" si="47"/>
        <v>1.402898388069752E-5</v>
      </c>
    </row>
    <row r="2944" spans="2:4" x14ac:dyDescent="0.25">
      <c r="B2944" t="s">
        <v>9272</v>
      </c>
      <c r="C2944" s="71">
        <v>1</v>
      </c>
      <c r="D2944" s="75">
        <f t="shared" si="47"/>
        <v>1.402898388069752E-5</v>
      </c>
    </row>
    <row r="2945" spans="2:4" x14ac:dyDescent="0.25">
      <c r="B2945" t="s">
        <v>9273</v>
      </c>
      <c r="C2945" s="71">
        <v>1</v>
      </c>
      <c r="D2945" s="75">
        <f t="shared" si="47"/>
        <v>1.402898388069752E-5</v>
      </c>
    </row>
    <row r="2946" spans="2:4" x14ac:dyDescent="0.25">
      <c r="B2946" t="s">
        <v>9274</v>
      </c>
      <c r="C2946" s="71">
        <v>1</v>
      </c>
      <c r="D2946" s="75">
        <f t="shared" si="47"/>
        <v>1.402898388069752E-5</v>
      </c>
    </row>
    <row r="2947" spans="2:4" x14ac:dyDescent="0.25">
      <c r="B2947" t="s">
        <v>9275</v>
      </c>
      <c r="C2947" s="71">
        <v>1</v>
      </c>
      <c r="D2947" s="75">
        <f t="shared" si="47"/>
        <v>1.402898388069752E-5</v>
      </c>
    </row>
    <row r="2948" spans="2:4" x14ac:dyDescent="0.25">
      <c r="B2948" t="s">
        <v>9276</v>
      </c>
      <c r="C2948" s="71">
        <v>1</v>
      </c>
      <c r="D2948" s="75">
        <f t="shared" si="47"/>
        <v>1.402898388069752E-5</v>
      </c>
    </row>
    <row r="2949" spans="2:4" x14ac:dyDescent="0.25">
      <c r="B2949" t="s">
        <v>9277</v>
      </c>
      <c r="C2949" s="71">
        <v>1</v>
      </c>
      <c r="D2949" s="75">
        <f t="shared" si="47"/>
        <v>1.402898388069752E-5</v>
      </c>
    </row>
    <row r="2950" spans="2:4" x14ac:dyDescent="0.25">
      <c r="B2950" t="s">
        <v>9278</v>
      </c>
      <c r="C2950" s="71">
        <v>1</v>
      </c>
      <c r="D2950" s="75">
        <f t="shared" ref="D2950:D3013" si="48">C2950/$C$4822</f>
        <v>1.402898388069752E-5</v>
      </c>
    </row>
    <row r="2951" spans="2:4" x14ac:dyDescent="0.25">
      <c r="B2951" t="s">
        <v>9279</v>
      </c>
      <c r="C2951" s="71">
        <v>1</v>
      </c>
      <c r="D2951" s="75">
        <f t="shared" si="48"/>
        <v>1.402898388069752E-5</v>
      </c>
    </row>
    <row r="2952" spans="2:4" x14ac:dyDescent="0.25">
      <c r="B2952" t="s">
        <v>9280</v>
      </c>
      <c r="C2952" s="71">
        <v>1</v>
      </c>
      <c r="D2952" s="75">
        <f t="shared" si="48"/>
        <v>1.402898388069752E-5</v>
      </c>
    </row>
    <row r="2953" spans="2:4" x14ac:dyDescent="0.25">
      <c r="B2953" t="s">
        <v>9281</v>
      </c>
      <c r="C2953" s="71">
        <v>1</v>
      </c>
      <c r="D2953" s="75">
        <f t="shared" si="48"/>
        <v>1.402898388069752E-5</v>
      </c>
    </row>
    <row r="2954" spans="2:4" x14ac:dyDescent="0.25">
      <c r="B2954" t="s">
        <v>9282</v>
      </c>
      <c r="C2954" s="71">
        <v>1</v>
      </c>
      <c r="D2954" s="75">
        <f t="shared" si="48"/>
        <v>1.402898388069752E-5</v>
      </c>
    </row>
    <row r="2955" spans="2:4" x14ac:dyDescent="0.25">
      <c r="B2955" t="s">
        <v>9283</v>
      </c>
      <c r="C2955" s="71">
        <v>1</v>
      </c>
      <c r="D2955" s="75">
        <f t="shared" si="48"/>
        <v>1.402898388069752E-5</v>
      </c>
    </row>
    <row r="2956" spans="2:4" x14ac:dyDescent="0.25">
      <c r="B2956" t="s">
        <v>9284</v>
      </c>
      <c r="C2956" s="71">
        <v>1</v>
      </c>
      <c r="D2956" s="75">
        <f t="shared" si="48"/>
        <v>1.402898388069752E-5</v>
      </c>
    </row>
    <row r="2957" spans="2:4" x14ac:dyDescent="0.25">
      <c r="B2957" t="s">
        <v>9285</v>
      </c>
      <c r="C2957" s="71">
        <v>1</v>
      </c>
      <c r="D2957" s="75">
        <f t="shared" si="48"/>
        <v>1.402898388069752E-5</v>
      </c>
    </row>
    <row r="2958" spans="2:4" x14ac:dyDescent="0.25">
      <c r="B2958" t="s">
        <v>9286</v>
      </c>
      <c r="C2958" s="71">
        <v>1</v>
      </c>
      <c r="D2958" s="75">
        <f t="shared" si="48"/>
        <v>1.402898388069752E-5</v>
      </c>
    </row>
    <row r="2959" spans="2:4" x14ac:dyDescent="0.25">
      <c r="B2959" t="s">
        <v>9287</v>
      </c>
      <c r="C2959" s="71">
        <v>1</v>
      </c>
      <c r="D2959" s="75">
        <f t="shared" si="48"/>
        <v>1.402898388069752E-5</v>
      </c>
    </row>
    <row r="2960" spans="2:4" x14ac:dyDescent="0.25">
      <c r="B2960" t="s">
        <v>9288</v>
      </c>
      <c r="C2960" s="71">
        <v>1</v>
      </c>
      <c r="D2960" s="75">
        <f t="shared" si="48"/>
        <v>1.402898388069752E-5</v>
      </c>
    </row>
    <row r="2961" spans="2:4" x14ac:dyDescent="0.25">
      <c r="B2961" t="s">
        <v>9289</v>
      </c>
      <c r="C2961" s="71">
        <v>1</v>
      </c>
      <c r="D2961" s="75">
        <f t="shared" si="48"/>
        <v>1.402898388069752E-5</v>
      </c>
    </row>
    <row r="2962" spans="2:4" x14ac:dyDescent="0.25">
      <c r="B2962" t="s">
        <v>9290</v>
      </c>
      <c r="C2962" s="71">
        <v>1</v>
      </c>
      <c r="D2962" s="75">
        <f t="shared" si="48"/>
        <v>1.402898388069752E-5</v>
      </c>
    </row>
    <row r="2963" spans="2:4" x14ac:dyDescent="0.25">
      <c r="B2963" t="s">
        <v>9291</v>
      </c>
      <c r="C2963" s="71">
        <v>1</v>
      </c>
      <c r="D2963" s="75">
        <f t="shared" si="48"/>
        <v>1.402898388069752E-5</v>
      </c>
    </row>
    <row r="2964" spans="2:4" x14ac:dyDescent="0.25">
      <c r="B2964" t="s">
        <v>9292</v>
      </c>
      <c r="C2964" s="71">
        <v>1</v>
      </c>
      <c r="D2964" s="75">
        <f t="shared" si="48"/>
        <v>1.402898388069752E-5</v>
      </c>
    </row>
    <row r="2965" spans="2:4" x14ac:dyDescent="0.25">
      <c r="B2965" t="s">
        <v>9293</v>
      </c>
      <c r="C2965" s="71">
        <v>1</v>
      </c>
      <c r="D2965" s="75">
        <f t="shared" si="48"/>
        <v>1.402898388069752E-5</v>
      </c>
    </row>
    <row r="2966" spans="2:4" x14ac:dyDescent="0.25">
      <c r="B2966" t="s">
        <v>9294</v>
      </c>
      <c r="C2966" s="71">
        <v>1</v>
      </c>
      <c r="D2966" s="75">
        <f t="shared" si="48"/>
        <v>1.402898388069752E-5</v>
      </c>
    </row>
    <row r="2967" spans="2:4" x14ac:dyDescent="0.25">
      <c r="B2967" t="s">
        <v>9295</v>
      </c>
      <c r="C2967" s="71">
        <v>1</v>
      </c>
      <c r="D2967" s="75">
        <f t="shared" si="48"/>
        <v>1.402898388069752E-5</v>
      </c>
    </row>
    <row r="2968" spans="2:4" x14ac:dyDescent="0.25">
      <c r="B2968" t="s">
        <v>9296</v>
      </c>
      <c r="C2968" s="71">
        <v>1</v>
      </c>
      <c r="D2968" s="75">
        <f t="shared" si="48"/>
        <v>1.402898388069752E-5</v>
      </c>
    </row>
    <row r="2969" spans="2:4" x14ac:dyDescent="0.25">
      <c r="B2969" t="s">
        <v>9297</v>
      </c>
      <c r="C2969" s="71">
        <v>1</v>
      </c>
      <c r="D2969" s="75">
        <f t="shared" si="48"/>
        <v>1.402898388069752E-5</v>
      </c>
    </row>
    <row r="2970" spans="2:4" x14ac:dyDescent="0.25">
      <c r="B2970" t="s">
        <v>9298</v>
      </c>
      <c r="C2970" s="71">
        <v>1</v>
      </c>
      <c r="D2970" s="75">
        <f t="shared" si="48"/>
        <v>1.402898388069752E-5</v>
      </c>
    </row>
    <row r="2971" spans="2:4" x14ac:dyDescent="0.25">
      <c r="B2971" t="s">
        <v>9299</v>
      </c>
      <c r="C2971" s="71">
        <v>1</v>
      </c>
      <c r="D2971" s="75">
        <f t="shared" si="48"/>
        <v>1.402898388069752E-5</v>
      </c>
    </row>
    <row r="2972" spans="2:4" x14ac:dyDescent="0.25">
      <c r="B2972" t="s">
        <v>9300</v>
      </c>
      <c r="C2972" s="71">
        <v>1</v>
      </c>
      <c r="D2972" s="75">
        <f t="shared" si="48"/>
        <v>1.402898388069752E-5</v>
      </c>
    </row>
    <row r="2973" spans="2:4" x14ac:dyDescent="0.25">
      <c r="B2973" t="s">
        <v>9301</v>
      </c>
      <c r="C2973" s="71">
        <v>1</v>
      </c>
      <c r="D2973" s="75">
        <f t="shared" si="48"/>
        <v>1.402898388069752E-5</v>
      </c>
    </row>
    <row r="2974" spans="2:4" x14ac:dyDescent="0.25">
      <c r="B2974" t="s">
        <v>9302</v>
      </c>
      <c r="C2974" s="71">
        <v>1</v>
      </c>
      <c r="D2974" s="75">
        <f t="shared" si="48"/>
        <v>1.402898388069752E-5</v>
      </c>
    </row>
    <row r="2975" spans="2:4" x14ac:dyDescent="0.25">
      <c r="B2975" t="s">
        <v>9303</v>
      </c>
      <c r="C2975" s="71">
        <v>1</v>
      </c>
      <c r="D2975" s="75">
        <f t="shared" si="48"/>
        <v>1.402898388069752E-5</v>
      </c>
    </row>
    <row r="2976" spans="2:4" x14ac:dyDescent="0.25">
      <c r="B2976" t="s">
        <v>9304</v>
      </c>
      <c r="C2976" s="71">
        <v>1</v>
      </c>
      <c r="D2976" s="75">
        <f t="shared" si="48"/>
        <v>1.402898388069752E-5</v>
      </c>
    </row>
    <row r="2977" spans="2:4" x14ac:dyDescent="0.25">
      <c r="B2977" t="s">
        <v>9305</v>
      </c>
      <c r="C2977" s="71">
        <v>1</v>
      </c>
      <c r="D2977" s="75">
        <f t="shared" si="48"/>
        <v>1.402898388069752E-5</v>
      </c>
    </row>
    <row r="2978" spans="2:4" x14ac:dyDescent="0.25">
      <c r="B2978" t="s">
        <v>9306</v>
      </c>
      <c r="C2978" s="71">
        <v>1</v>
      </c>
      <c r="D2978" s="75">
        <f t="shared" si="48"/>
        <v>1.402898388069752E-5</v>
      </c>
    </row>
    <row r="2979" spans="2:4" x14ac:dyDescent="0.25">
      <c r="B2979" t="s">
        <v>9307</v>
      </c>
      <c r="C2979" s="71">
        <v>1</v>
      </c>
      <c r="D2979" s="75">
        <f t="shared" si="48"/>
        <v>1.402898388069752E-5</v>
      </c>
    </row>
    <row r="2980" spans="2:4" x14ac:dyDescent="0.25">
      <c r="B2980" t="s">
        <v>9308</v>
      </c>
      <c r="C2980" s="71">
        <v>1</v>
      </c>
      <c r="D2980" s="75">
        <f t="shared" si="48"/>
        <v>1.402898388069752E-5</v>
      </c>
    </row>
    <row r="2981" spans="2:4" x14ac:dyDescent="0.25">
      <c r="B2981" t="s">
        <v>9309</v>
      </c>
      <c r="C2981" s="71">
        <v>1</v>
      </c>
      <c r="D2981" s="75">
        <f t="shared" si="48"/>
        <v>1.402898388069752E-5</v>
      </c>
    </row>
    <row r="2982" spans="2:4" x14ac:dyDescent="0.25">
      <c r="B2982" t="s">
        <v>9310</v>
      </c>
      <c r="C2982" s="71">
        <v>1</v>
      </c>
      <c r="D2982" s="75">
        <f t="shared" si="48"/>
        <v>1.402898388069752E-5</v>
      </c>
    </row>
    <row r="2983" spans="2:4" x14ac:dyDescent="0.25">
      <c r="B2983" t="s">
        <v>9311</v>
      </c>
      <c r="C2983" s="71">
        <v>1</v>
      </c>
      <c r="D2983" s="75">
        <f t="shared" si="48"/>
        <v>1.402898388069752E-5</v>
      </c>
    </row>
    <row r="2984" spans="2:4" x14ac:dyDescent="0.25">
      <c r="B2984" t="s">
        <v>9312</v>
      </c>
      <c r="C2984" s="71">
        <v>1</v>
      </c>
      <c r="D2984" s="75">
        <f t="shared" si="48"/>
        <v>1.402898388069752E-5</v>
      </c>
    </row>
    <row r="2985" spans="2:4" x14ac:dyDescent="0.25">
      <c r="B2985" t="s">
        <v>9313</v>
      </c>
      <c r="C2985" s="71">
        <v>1</v>
      </c>
      <c r="D2985" s="75">
        <f t="shared" si="48"/>
        <v>1.402898388069752E-5</v>
      </c>
    </row>
    <row r="2986" spans="2:4" x14ac:dyDescent="0.25">
      <c r="B2986" t="s">
        <v>9314</v>
      </c>
      <c r="C2986" s="71">
        <v>1</v>
      </c>
      <c r="D2986" s="75">
        <f t="shared" si="48"/>
        <v>1.402898388069752E-5</v>
      </c>
    </row>
    <row r="2987" spans="2:4" x14ac:dyDescent="0.25">
      <c r="B2987" t="s">
        <v>9315</v>
      </c>
      <c r="C2987" s="71">
        <v>1</v>
      </c>
      <c r="D2987" s="75">
        <f t="shared" si="48"/>
        <v>1.402898388069752E-5</v>
      </c>
    </row>
    <row r="2988" spans="2:4" x14ac:dyDescent="0.25">
      <c r="B2988" t="s">
        <v>9316</v>
      </c>
      <c r="C2988" s="71">
        <v>1</v>
      </c>
      <c r="D2988" s="75">
        <f t="shared" si="48"/>
        <v>1.402898388069752E-5</v>
      </c>
    </row>
    <row r="2989" spans="2:4" x14ac:dyDescent="0.25">
      <c r="B2989" t="s">
        <v>9317</v>
      </c>
      <c r="C2989" s="71">
        <v>1</v>
      </c>
      <c r="D2989" s="75">
        <f t="shared" si="48"/>
        <v>1.402898388069752E-5</v>
      </c>
    </row>
    <row r="2990" spans="2:4" x14ac:dyDescent="0.25">
      <c r="B2990" t="s">
        <v>9318</v>
      </c>
      <c r="C2990" s="71">
        <v>1</v>
      </c>
      <c r="D2990" s="75">
        <f t="shared" si="48"/>
        <v>1.402898388069752E-5</v>
      </c>
    </row>
    <row r="2991" spans="2:4" x14ac:dyDescent="0.25">
      <c r="B2991" t="s">
        <v>9319</v>
      </c>
      <c r="C2991" s="71">
        <v>1</v>
      </c>
      <c r="D2991" s="75">
        <f t="shared" si="48"/>
        <v>1.402898388069752E-5</v>
      </c>
    </row>
    <row r="2992" spans="2:4" x14ac:dyDescent="0.25">
      <c r="B2992" t="s">
        <v>9320</v>
      </c>
      <c r="C2992" s="71">
        <v>1</v>
      </c>
      <c r="D2992" s="75">
        <f t="shared" si="48"/>
        <v>1.402898388069752E-5</v>
      </c>
    </row>
    <row r="2993" spans="2:4" x14ac:dyDescent="0.25">
      <c r="B2993" t="s">
        <v>9321</v>
      </c>
      <c r="C2993" s="71">
        <v>1</v>
      </c>
      <c r="D2993" s="75">
        <f t="shared" si="48"/>
        <v>1.402898388069752E-5</v>
      </c>
    </row>
    <row r="2994" spans="2:4" x14ac:dyDescent="0.25">
      <c r="B2994" t="s">
        <v>9322</v>
      </c>
      <c r="C2994" s="71">
        <v>1</v>
      </c>
      <c r="D2994" s="75">
        <f t="shared" si="48"/>
        <v>1.402898388069752E-5</v>
      </c>
    </row>
    <row r="2995" spans="2:4" x14ac:dyDescent="0.25">
      <c r="B2995" t="s">
        <v>9323</v>
      </c>
      <c r="C2995" s="71">
        <v>1</v>
      </c>
      <c r="D2995" s="75">
        <f t="shared" si="48"/>
        <v>1.402898388069752E-5</v>
      </c>
    </row>
    <row r="2996" spans="2:4" x14ac:dyDescent="0.25">
      <c r="B2996" t="s">
        <v>9324</v>
      </c>
      <c r="C2996" s="71">
        <v>1</v>
      </c>
      <c r="D2996" s="75">
        <f t="shared" si="48"/>
        <v>1.402898388069752E-5</v>
      </c>
    </row>
    <row r="2997" spans="2:4" x14ac:dyDescent="0.25">
      <c r="B2997" t="s">
        <v>9325</v>
      </c>
      <c r="C2997" s="71">
        <v>1</v>
      </c>
      <c r="D2997" s="75">
        <f t="shared" si="48"/>
        <v>1.402898388069752E-5</v>
      </c>
    </row>
    <row r="2998" spans="2:4" x14ac:dyDescent="0.25">
      <c r="B2998" t="s">
        <v>9326</v>
      </c>
      <c r="C2998" s="71">
        <v>1</v>
      </c>
      <c r="D2998" s="75">
        <f t="shared" si="48"/>
        <v>1.402898388069752E-5</v>
      </c>
    </row>
    <row r="2999" spans="2:4" x14ac:dyDescent="0.25">
      <c r="B2999" t="s">
        <v>9327</v>
      </c>
      <c r="C2999" s="71">
        <v>1</v>
      </c>
      <c r="D2999" s="75">
        <f t="shared" si="48"/>
        <v>1.402898388069752E-5</v>
      </c>
    </row>
    <row r="3000" spans="2:4" x14ac:dyDescent="0.25">
      <c r="B3000" t="s">
        <v>9328</v>
      </c>
      <c r="C3000" s="71">
        <v>1</v>
      </c>
      <c r="D3000" s="75">
        <f t="shared" si="48"/>
        <v>1.402898388069752E-5</v>
      </c>
    </row>
    <row r="3001" spans="2:4" x14ac:dyDescent="0.25">
      <c r="B3001" t="s">
        <v>9329</v>
      </c>
      <c r="C3001" s="71">
        <v>1</v>
      </c>
      <c r="D3001" s="75">
        <f t="shared" si="48"/>
        <v>1.402898388069752E-5</v>
      </c>
    </row>
    <row r="3002" spans="2:4" x14ac:dyDescent="0.25">
      <c r="B3002" t="s">
        <v>9330</v>
      </c>
      <c r="C3002" s="71">
        <v>1</v>
      </c>
      <c r="D3002" s="75">
        <f t="shared" si="48"/>
        <v>1.402898388069752E-5</v>
      </c>
    </row>
    <row r="3003" spans="2:4" x14ac:dyDescent="0.25">
      <c r="B3003" t="s">
        <v>9331</v>
      </c>
      <c r="C3003" s="71">
        <v>1</v>
      </c>
      <c r="D3003" s="75">
        <f t="shared" si="48"/>
        <v>1.402898388069752E-5</v>
      </c>
    </row>
    <row r="3004" spans="2:4" x14ac:dyDescent="0.25">
      <c r="B3004" t="s">
        <v>9332</v>
      </c>
      <c r="C3004" s="71">
        <v>1</v>
      </c>
      <c r="D3004" s="75">
        <f t="shared" si="48"/>
        <v>1.402898388069752E-5</v>
      </c>
    </row>
    <row r="3005" spans="2:4" x14ac:dyDescent="0.25">
      <c r="B3005" t="s">
        <v>9333</v>
      </c>
      <c r="C3005" s="71">
        <v>1</v>
      </c>
      <c r="D3005" s="75">
        <f t="shared" si="48"/>
        <v>1.402898388069752E-5</v>
      </c>
    </row>
    <row r="3006" spans="2:4" x14ac:dyDescent="0.25">
      <c r="B3006" t="s">
        <v>9334</v>
      </c>
      <c r="C3006" s="71">
        <v>1</v>
      </c>
      <c r="D3006" s="75">
        <f t="shared" si="48"/>
        <v>1.402898388069752E-5</v>
      </c>
    </row>
    <row r="3007" spans="2:4" x14ac:dyDescent="0.25">
      <c r="B3007" t="s">
        <v>9335</v>
      </c>
      <c r="C3007" s="71">
        <v>1</v>
      </c>
      <c r="D3007" s="75">
        <f t="shared" si="48"/>
        <v>1.402898388069752E-5</v>
      </c>
    </row>
    <row r="3008" spans="2:4" x14ac:dyDescent="0.25">
      <c r="B3008" t="s">
        <v>9336</v>
      </c>
      <c r="C3008" s="71">
        <v>1</v>
      </c>
      <c r="D3008" s="75">
        <f t="shared" si="48"/>
        <v>1.402898388069752E-5</v>
      </c>
    </row>
    <row r="3009" spans="2:4" x14ac:dyDescent="0.25">
      <c r="B3009" t="s">
        <v>9337</v>
      </c>
      <c r="C3009" s="71">
        <v>1</v>
      </c>
      <c r="D3009" s="75">
        <f t="shared" si="48"/>
        <v>1.402898388069752E-5</v>
      </c>
    </row>
    <row r="3010" spans="2:4" x14ac:dyDescent="0.25">
      <c r="B3010" t="s">
        <v>9338</v>
      </c>
      <c r="C3010" s="71">
        <v>1</v>
      </c>
      <c r="D3010" s="75">
        <f t="shared" si="48"/>
        <v>1.402898388069752E-5</v>
      </c>
    </row>
    <row r="3011" spans="2:4" x14ac:dyDescent="0.25">
      <c r="B3011" t="s">
        <v>9339</v>
      </c>
      <c r="C3011" s="71">
        <v>1</v>
      </c>
      <c r="D3011" s="75">
        <f t="shared" si="48"/>
        <v>1.402898388069752E-5</v>
      </c>
    </row>
    <row r="3012" spans="2:4" x14ac:dyDescent="0.25">
      <c r="B3012" t="s">
        <v>9340</v>
      </c>
      <c r="C3012" s="71">
        <v>1</v>
      </c>
      <c r="D3012" s="75">
        <f t="shared" si="48"/>
        <v>1.402898388069752E-5</v>
      </c>
    </row>
    <row r="3013" spans="2:4" x14ac:dyDescent="0.25">
      <c r="B3013" t="s">
        <v>9341</v>
      </c>
      <c r="C3013" s="71">
        <v>1</v>
      </c>
      <c r="D3013" s="75">
        <f t="shared" si="48"/>
        <v>1.402898388069752E-5</v>
      </c>
    </row>
    <row r="3014" spans="2:4" x14ac:dyDescent="0.25">
      <c r="B3014" t="s">
        <v>9342</v>
      </c>
      <c r="C3014" s="71">
        <v>1</v>
      </c>
      <c r="D3014" s="75">
        <f t="shared" ref="D3014:D3077" si="49">C3014/$C$4822</f>
        <v>1.402898388069752E-5</v>
      </c>
    </row>
    <row r="3015" spans="2:4" x14ac:dyDescent="0.25">
      <c r="B3015" t="s">
        <v>9343</v>
      </c>
      <c r="C3015" s="71">
        <v>1</v>
      </c>
      <c r="D3015" s="75">
        <f t="shared" si="49"/>
        <v>1.402898388069752E-5</v>
      </c>
    </row>
    <row r="3016" spans="2:4" x14ac:dyDescent="0.25">
      <c r="B3016" t="s">
        <v>9344</v>
      </c>
      <c r="C3016" s="71">
        <v>1</v>
      </c>
      <c r="D3016" s="75">
        <f t="shared" si="49"/>
        <v>1.402898388069752E-5</v>
      </c>
    </row>
    <row r="3017" spans="2:4" x14ac:dyDescent="0.25">
      <c r="B3017" t="s">
        <v>9345</v>
      </c>
      <c r="C3017" s="71">
        <v>1</v>
      </c>
      <c r="D3017" s="75">
        <f t="shared" si="49"/>
        <v>1.402898388069752E-5</v>
      </c>
    </row>
    <row r="3018" spans="2:4" x14ac:dyDescent="0.25">
      <c r="B3018" t="s">
        <v>9346</v>
      </c>
      <c r="C3018" s="71">
        <v>1</v>
      </c>
      <c r="D3018" s="75">
        <f t="shared" si="49"/>
        <v>1.402898388069752E-5</v>
      </c>
    </row>
    <row r="3019" spans="2:4" x14ac:dyDescent="0.25">
      <c r="B3019" t="s">
        <v>9347</v>
      </c>
      <c r="C3019" s="71">
        <v>1</v>
      </c>
      <c r="D3019" s="75">
        <f t="shared" si="49"/>
        <v>1.402898388069752E-5</v>
      </c>
    </row>
    <row r="3020" spans="2:4" x14ac:dyDescent="0.25">
      <c r="B3020" t="s">
        <v>9348</v>
      </c>
      <c r="C3020" s="71">
        <v>1</v>
      </c>
      <c r="D3020" s="75">
        <f t="shared" si="49"/>
        <v>1.402898388069752E-5</v>
      </c>
    </row>
    <row r="3021" spans="2:4" x14ac:dyDescent="0.25">
      <c r="B3021" t="s">
        <v>9349</v>
      </c>
      <c r="C3021" s="71">
        <v>1</v>
      </c>
      <c r="D3021" s="75">
        <f t="shared" si="49"/>
        <v>1.402898388069752E-5</v>
      </c>
    </row>
    <row r="3022" spans="2:4" x14ac:dyDescent="0.25">
      <c r="B3022" t="s">
        <v>9350</v>
      </c>
      <c r="C3022" s="71">
        <v>1</v>
      </c>
      <c r="D3022" s="75">
        <f t="shared" si="49"/>
        <v>1.402898388069752E-5</v>
      </c>
    </row>
    <row r="3023" spans="2:4" x14ac:dyDescent="0.25">
      <c r="B3023" t="s">
        <v>9351</v>
      </c>
      <c r="C3023" s="71">
        <v>1</v>
      </c>
      <c r="D3023" s="75">
        <f t="shared" si="49"/>
        <v>1.402898388069752E-5</v>
      </c>
    </row>
    <row r="3024" spans="2:4" x14ac:dyDescent="0.25">
      <c r="B3024" t="s">
        <v>9352</v>
      </c>
      <c r="C3024" s="71">
        <v>1</v>
      </c>
      <c r="D3024" s="75">
        <f t="shared" si="49"/>
        <v>1.402898388069752E-5</v>
      </c>
    </row>
    <row r="3025" spans="2:4" x14ac:dyDescent="0.25">
      <c r="B3025" t="s">
        <v>9353</v>
      </c>
      <c r="C3025" s="71">
        <v>1</v>
      </c>
      <c r="D3025" s="75">
        <f t="shared" si="49"/>
        <v>1.402898388069752E-5</v>
      </c>
    </row>
    <row r="3026" spans="2:4" x14ac:dyDescent="0.25">
      <c r="B3026" t="s">
        <v>9354</v>
      </c>
      <c r="C3026" s="71">
        <v>1</v>
      </c>
      <c r="D3026" s="75">
        <f t="shared" si="49"/>
        <v>1.402898388069752E-5</v>
      </c>
    </row>
    <row r="3027" spans="2:4" x14ac:dyDescent="0.25">
      <c r="B3027" t="s">
        <v>9355</v>
      </c>
      <c r="C3027" s="71">
        <v>1</v>
      </c>
      <c r="D3027" s="75">
        <f t="shared" si="49"/>
        <v>1.402898388069752E-5</v>
      </c>
    </row>
    <row r="3028" spans="2:4" x14ac:dyDescent="0.25">
      <c r="B3028" t="s">
        <v>9356</v>
      </c>
      <c r="C3028" s="71">
        <v>1</v>
      </c>
      <c r="D3028" s="75">
        <f t="shared" si="49"/>
        <v>1.402898388069752E-5</v>
      </c>
    </row>
    <row r="3029" spans="2:4" x14ac:dyDescent="0.25">
      <c r="B3029" t="s">
        <v>9357</v>
      </c>
      <c r="C3029" s="71">
        <v>1</v>
      </c>
      <c r="D3029" s="75">
        <f t="shared" si="49"/>
        <v>1.402898388069752E-5</v>
      </c>
    </row>
    <row r="3030" spans="2:4" x14ac:dyDescent="0.25">
      <c r="B3030" t="s">
        <v>9358</v>
      </c>
      <c r="C3030" s="71">
        <v>1</v>
      </c>
      <c r="D3030" s="75">
        <f t="shared" si="49"/>
        <v>1.402898388069752E-5</v>
      </c>
    </row>
    <row r="3031" spans="2:4" x14ac:dyDescent="0.25">
      <c r="B3031" t="s">
        <v>9359</v>
      </c>
      <c r="C3031" s="71">
        <v>1</v>
      </c>
      <c r="D3031" s="75">
        <f t="shared" si="49"/>
        <v>1.402898388069752E-5</v>
      </c>
    </row>
    <row r="3032" spans="2:4" x14ac:dyDescent="0.25">
      <c r="B3032" t="s">
        <v>9360</v>
      </c>
      <c r="C3032" s="71">
        <v>1</v>
      </c>
      <c r="D3032" s="75">
        <f t="shared" si="49"/>
        <v>1.402898388069752E-5</v>
      </c>
    </row>
    <row r="3033" spans="2:4" x14ac:dyDescent="0.25">
      <c r="B3033" t="s">
        <v>9361</v>
      </c>
      <c r="C3033" s="71">
        <v>1</v>
      </c>
      <c r="D3033" s="75">
        <f t="shared" si="49"/>
        <v>1.402898388069752E-5</v>
      </c>
    </row>
    <row r="3034" spans="2:4" x14ac:dyDescent="0.25">
      <c r="B3034" t="s">
        <v>9362</v>
      </c>
      <c r="C3034" s="71">
        <v>1</v>
      </c>
      <c r="D3034" s="75">
        <f t="shared" si="49"/>
        <v>1.402898388069752E-5</v>
      </c>
    </row>
    <row r="3035" spans="2:4" x14ac:dyDescent="0.25">
      <c r="B3035" t="s">
        <v>9363</v>
      </c>
      <c r="C3035" s="71">
        <v>1</v>
      </c>
      <c r="D3035" s="75">
        <f t="shared" si="49"/>
        <v>1.402898388069752E-5</v>
      </c>
    </row>
    <row r="3036" spans="2:4" x14ac:dyDescent="0.25">
      <c r="B3036" t="s">
        <v>9364</v>
      </c>
      <c r="C3036" s="71">
        <v>1</v>
      </c>
      <c r="D3036" s="75">
        <f t="shared" si="49"/>
        <v>1.402898388069752E-5</v>
      </c>
    </row>
    <row r="3037" spans="2:4" x14ac:dyDescent="0.25">
      <c r="B3037" t="s">
        <v>9365</v>
      </c>
      <c r="C3037" s="71">
        <v>1</v>
      </c>
      <c r="D3037" s="75">
        <f t="shared" si="49"/>
        <v>1.402898388069752E-5</v>
      </c>
    </row>
    <row r="3038" spans="2:4" x14ac:dyDescent="0.25">
      <c r="B3038" t="s">
        <v>9366</v>
      </c>
      <c r="C3038" s="71">
        <v>1</v>
      </c>
      <c r="D3038" s="75">
        <f t="shared" si="49"/>
        <v>1.402898388069752E-5</v>
      </c>
    </row>
    <row r="3039" spans="2:4" x14ac:dyDescent="0.25">
      <c r="B3039" t="s">
        <v>9367</v>
      </c>
      <c r="C3039" s="71">
        <v>1</v>
      </c>
      <c r="D3039" s="75">
        <f t="shared" si="49"/>
        <v>1.402898388069752E-5</v>
      </c>
    </row>
    <row r="3040" spans="2:4" x14ac:dyDescent="0.25">
      <c r="B3040" t="s">
        <v>9368</v>
      </c>
      <c r="C3040" s="71">
        <v>1</v>
      </c>
      <c r="D3040" s="75">
        <f t="shared" si="49"/>
        <v>1.402898388069752E-5</v>
      </c>
    </row>
    <row r="3041" spans="2:4" x14ac:dyDescent="0.25">
      <c r="B3041" t="s">
        <v>9369</v>
      </c>
      <c r="C3041" s="71">
        <v>1</v>
      </c>
      <c r="D3041" s="75">
        <f t="shared" si="49"/>
        <v>1.402898388069752E-5</v>
      </c>
    </row>
    <row r="3042" spans="2:4" x14ac:dyDescent="0.25">
      <c r="B3042" t="s">
        <v>9370</v>
      </c>
      <c r="C3042" s="71">
        <v>1</v>
      </c>
      <c r="D3042" s="75">
        <f t="shared" si="49"/>
        <v>1.402898388069752E-5</v>
      </c>
    </row>
    <row r="3043" spans="2:4" x14ac:dyDescent="0.25">
      <c r="B3043" t="s">
        <v>9371</v>
      </c>
      <c r="C3043" s="71">
        <v>1</v>
      </c>
      <c r="D3043" s="75">
        <f t="shared" si="49"/>
        <v>1.402898388069752E-5</v>
      </c>
    </row>
    <row r="3044" spans="2:4" x14ac:dyDescent="0.25">
      <c r="B3044" t="s">
        <v>9372</v>
      </c>
      <c r="C3044" s="71">
        <v>1</v>
      </c>
      <c r="D3044" s="75">
        <f t="shared" si="49"/>
        <v>1.402898388069752E-5</v>
      </c>
    </row>
    <row r="3045" spans="2:4" x14ac:dyDescent="0.25">
      <c r="B3045" t="s">
        <v>9373</v>
      </c>
      <c r="C3045" s="71">
        <v>1</v>
      </c>
      <c r="D3045" s="75">
        <f t="shared" si="49"/>
        <v>1.402898388069752E-5</v>
      </c>
    </row>
    <row r="3046" spans="2:4" x14ac:dyDescent="0.25">
      <c r="B3046" t="s">
        <v>9374</v>
      </c>
      <c r="C3046" s="71">
        <v>1</v>
      </c>
      <c r="D3046" s="75">
        <f t="shared" si="49"/>
        <v>1.402898388069752E-5</v>
      </c>
    </row>
    <row r="3047" spans="2:4" x14ac:dyDescent="0.25">
      <c r="B3047" t="s">
        <v>9375</v>
      </c>
      <c r="C3047" s="71">
        <v>1</v>
      </c>
      <c r="D3047" s="75">
        <f t="shared" si="49"/>
        <v>1.402898388069752E-5</v>
      </c>
    </row>
    <row r="3048" spans="2:4" x14ac:dyDescent="0.25">
      <c r="B3048" t="s">
        <v>9376</v>
      </c>
      <c r="C3048" s="71">
        <v>1</v>
      </c>
      <c r="D3048" s="75">
        <f t="shared" si="49"/>
        <v>1.402898388069752E-5</v>
      </c>
    </row>
    <row r="3049" spans="2:4" x14ac:dyDescent="0.25">
      <c r="B3049" t="s">
        <v>9377</v>
      </c>
      <c r="C3049" s="71">
        <v>1</v>
      </c>
      <c r="D3049" s="75">
        <f t="shared" si="49"/>
        <v>1.402898388069752E-5</v>
      </c>
    </row>
    <row r="3050" spans="2:4" x14ac:dyDescent="0.25">
      <c r="B3050" t="s">
        <v>9378</v>
      </c>
      <c r="C3050" s="71">
        <v>1</v>
      </c>
      <c r="D3050" s="75">
        <f t="shared" si="49"/>
        <v>1.402898388069752E-5</v>
      </c>
    </row>
    <row r="3051" spans="2:4" x14ac:dyDescent="0.25">
      <c r="B3051" t="s">
        <v>9379</v>
      </c>
      <c r="C3051" s="71">
        <v>1</v>
      </c>
      <c r="D3051" s="75">
        <f t="shared" si="49"/>
        <v>1.402898388069752E-5</v>
      </c>
    </row>
    <row r="3052" spans="2:4" x14ac:dyDescent="0.25">
      <c r="B3052" t="s">
        <v>9380</v>
      </c>
      <c r="C3052" s="71">
        <v>1</v>
      </c>
      <c r="D3052" s="75">
        <f t="shared" si="49"/>
        <v>1.402898388069752E-5</v>
      </c>
    </row>
    <row r="3053" spans="2:4" x14ac:dyDescent="0.25">
      <c r="B3053" t="s">
        <v>9381</v>
      </c>
      <c r="C3053" s="71">
        <v>1</v>
      </c>
      <c r="D3053" s="75">
        <f t="shared" si="49"/>
        <v>1.402898388069752E-5</v>
      </c>
    </row>
    <row r="3054" spans="2:4" x14ac:dyDescent="0.25">
      <c r="B3054" t="s">
        <v>9382</v>
      </c>
      <c r="C3054" s="71">
        <v>1</v>
      </c>
      <c r="D3054" s="75">
        <f t="shared" si="49"/>
        <v>1.402898388069752E-5</v>
      </c>
    </row>
    <row r="3055" spans="2:4" x14ac:dyDescent="0.25">
      <c r="B3055" t="s">
        <v>9383</v>
      </c>
      <c r="C3055" s="71">
        <v>1</v>
      </c>
      <c r="D3055" s="75">
        <f t="shared" si="49"/>
        <v>1.402898388069752E-5</v>
      </c>
    </row>
    <row r="3056" spans="2:4" x14ac:dyDescent="0.25">
      <c r="B3056" t="s">
        <v>9384</v>
      </c>
      <c r="C3056" s="71">
        <v>1</v>
      </c>
      <c r="D3056" s="75">
        <f t="shared" si="49"/>
        <v>1.402898388069752E-5</v>
      </c>
    </row>
    <row r="3057" spans="2:4" x14ac:dyDescent="0.25">
      <c r="B3057" t="s">
        <v>9385</v>
      </c>
      <c r="C3057" s="71">
        <v>1</v>
      </c>
      <c r="D3057" s="75">
        <f t="shared" si="49"/>
        <v>1.402898388069752E-5</v>
      </c>
    </row>
    <row r="3058" spans="2:4" x14ac:dyDescent="0.25">
      <c r="B3058" t="s">
        <v>9386</v>
      </c>
      <c r="C3058" s="71">
        <v>1</v>
      </c>
      <c r="D3058" s="75">
        <f t="shared" si="49"/>
        <v>1.402898388069752E-5</v>
      </c>
    </row>
    <row r="3059" spans="2:4" x14ac:dyDescent="0.25">
      <c r="B3059" t="s">
        <v>9387</v>
      </c>
      <c r="C3059" s="71">
        <v>1</v>
      </c>
      <c r="D3059" s="75">
        <f t="shared" si="49"/>
        <v>1.402898388069752E-5</v>
      </c>
    </row>
    <row r="3060" spans="2:4" x14ac:dyDescent="0.25">
      <c r="B3060" t="s">
        <v>9388</v>
      </c>
      <c r="C3060" s="71">
        <v>1</v>
      </c>
      <c r="D3060" s="75">
        <f t="shared" si="49"/>
        <v>1.402898388069752E-5</v>
      </c>
    </row>
    <row r="3061" spans="2:4" x14ac:dyDescent="0.25">
      <c r="B3061" t="s">
        <v>9389</v>
      </c>
      <c r="C3061" s="71">
        <v>1</v>
      </c>
      <c r="D3061" s="75">
        <f t="shared" si="49"/>
        <v>1.402898388069752E-5</v>
      </c>
    </row>
    <row r="3062" spans="2:4" x14ac:dyDescent="0.25">
      <c r="B3062" t="s">
        <v>9390</v>
      </c>
      <c r="C3062" s="71">
        <v>1</v>
      </c>
      <c r="D3062" s="75">
        <f t="shared" si="49"/>
        <v>1.402898388069752E-5</v>
      </c>
    </row>
    <row r="3063" spans="2:4" x14ac:dyDescent="0.25">
      <c r="B3063" t="s">
        <v>9391</v>
      </c>
      <c r="C3063" s="71">
        <v>1</v>
      </c>
      <c r="D3063" s="75">
        <f t="shared" si="49"/>
        <v>1.402898388069752E-5</v>
      </c>
    </row>
    <row r="3064" spans="2:4" x14ac:dyDescent="0.25">
      <c r="B3064" t="s">
        <v>9392</v>
      </c>
      <c r="C3064" s="71">
        <v>1</v>
      </c>
      <c r="D3064" s="75">
        <f t="shared" si="49"/>
        <v>1.402898388069752E-5</v>
      </c>
    </row>
    <row r="3065" spans="2:4" x14ac:dyDescent="0.25">
      <c r="B3065" t="s">
        <v>9393</v>
      </c>
      <c r="C3065" s="71">
        <v>1</v>
      </c>
      <c r="D3065" s="75">
        <f t="shared" si="49"/>
        <v>1.402898388069752E-5</v>
      </c>
    </row>
    <row r="3066" spans="2:4" x14ac:dyDescent="0.25">
      <c r="B3066" t="s">
        <v>9394</v>
      </c>
      <c r="C3066" s="71">
        <v>1</v>
      </c>
      <c r="D3066" s="75">
        <f t="shared" si="49"/>
        <v>1.402898388069752E-5</v>
      </c>
    </row>
    <row r="3067" spans="2:4" x14ac:dyDescent="0.25">
      <c r="B3067" t="s">
        <v>9395</v>
      </c>
      <c r="C3067" s="71">
        <v>1</v>
      </c>
      <c r="D3067" s="75">
        <f t="shared" si="49"/>
        <v>1.402898388069752E-5</v>
      </c>
    </row>
    <row r="3068" spans="2:4" x14ac:dyDescent="0.25">
      <c r="B3068" t="s">
        <v>9396</v>
      </c>
      <c r="C3068" s="71">
        <v>1</v>
      </c>
      <c r="D3068" s="75">
        <f t="shared" si="49"/>
        <v>1.402898388069752E-5</v>
      </c>
    </row>
    <row r="3069" spans="2:4" x14ac:dyDescent="0.25">
      <c r="B3069" t="s">
        <v>9397</v>
      </c>
      <c r="C3069" s="71">
        <v>1</v>
      </c>
      <c r="D3069" s="75">
        <f t="shared" si="49"/>
        <v>1.402898388069752E-5</v>
      </c>
    </row>
    <row r="3070" spans="2:4" x14ac:dyDescent="0.25">
      <c r="B3070" t="s">
        <v>9398</v>
      </c>
      <c r="C3070" s="71">
        <v>1</v>
      </c>
      <c r="D3070" s="75">
        <f t="shared" si="49"/>
        <v>1.402898388069752E-5</v>
      </c>
    </row>
    <row r="3071" spans="2:4" x14ac:dyDescent="0.25">
      <c r="B3071" t="s">
        <v>9399</v>
      </c>
      <c r="C3071" s="71">
        <v>1</v>
      </c>
      <c r="D3071" s="75">
        <f t="shared" si="49"/>
        <v>1.402898388069752E-5</v>
      </c>
    </row>
    <row r="3072" spans="2:4" x14ac:dyDescent="0.25">
      <c r="B3072" t="s">
        <v>9400</v>
      </c>
      <c r="C3072" s="71">
        <v>1</v>
      </c>
      <c r="D3072" s="75">
        <f t="shared" si="49"/>
        <v>1.402898388069752E-5</v>
      </c>
    </row>
    <row r="3073" spans="2:4" x14ac:dyDescent="0.25">
      <c r="B3073" t="s">
        <v>9401</v>
      </c>
      <c r="C3073" s="71">
        <v>1</v>
      </c>
      <c r="D3073" s="75">
        <f t="shared" si="49"/>
        <v>1.402898388069752E-5</v>
      </c>
    </row>
    <row r="3074" spans="2:4" x14ac:dyDescent="0.25">
      <c r="B3074" t="s">
        <v>9402</v>
      </c>
      <c r="C3074" s="71">
        <v>1</v>
      </c>
      <c r="D3074" s="75">
        <f t="shared" si="49"/>
        <v>1.402898388069752E-5</v>
      </c>
    </row>
    <row r="3075" spans="2:4" x14ac:dyDescent="0.25">
      <c r="B3075" t="s">
        <v>9403</v>
      </c>
      <c r="C3075" s="71">
        <v>1</v>
      </c>
      <c r="D3075" s="75">
        <f t="shared" si="49"/>
        <v>1.402898388069752E-5</v>
      </c>
    </row>
    <row r="3076" spans="2:4" x14ac:dyDescent="0.25">
      <c r="B3076" t="s">
        <v>9404</v>
      </c>
      <c r="C3076" s="71">
        <v>1</v>
      </c>
      <c r="D3076" s="75">
        <f t="shared" si="49"/>
        <v>1.402898388069752E-5</v>
      </c>
    </row>
    <row r="3077" spans="2:4" x14ac:dyDescent="0.25">
      <c r="B3077" t="s">
        <v>9405</v>
      </c>
      <c r="C3077" s="71">
        <v>1</v>
      </c>
      <c r="D3077" s="75">
        <f t="shared" si="49"/>
        <v>1.402898388069752E-5</v>
      </c>
    </row>
    <row r="3078" spans="2:4" x14ac:dyDescent="0.25">
      <c r="B3078" t="s">
        <v>9406</v>
      </c>
      <c r="C3078" s="71">
        <v>1</v>
      </c>
      <c r="D3078" s="75">
        <f t="shared" ref="D3078:D3141" si="50">C3078/$C$4822</f>
        <v>1.402898388069752E-5</v>
      </c>
    </row>
    <row r="3079" spans="2:4" x14ac:dyDescent="0.25">
      <c r="B3079" t="s">
        <v>9407</v>
      </c>
      <c r="C3079" s="71">
        <v>1</v>
      </c>
      <c r="D3079" s="75">
        <f t="shared" si="50"/>
        <v>1.402898388069752E-5</v>
      </c>
    </row>
    <row r="3080" spans="2:4" x14ac:dyDescent="0.25">
      <c r="B3080" t="s">
        <v>9408</v>
      </c>
      <c r="C3080" s="71">
        <v>1</v>
      </c>
      <c r="D3080" s="75">
        <f t="shared" si="50"/>
        <v>1.402898388069752E-5</v>
      </c>
    </row>
    <row r="3081" spans="2:4" x14ac:dyDescent="0.25">
      <c r="B3081" t="s">
        <v>9409</v>
      </c>
      <c r="C3081" s="71">
        <v>1</v>
      </c>
      <c r="D3081" s="75">
        <f t="shared" si="50"/>
        <v>1.402898388069752E-5</v>
      </c>
    </row>
    <row r="3082" spans="2:4" x14ac:dyDescent="0.25">
      <c r="B3082" t="s">
        <v>9410</v>
      </c>
      <c r="C3082" s="71">
        <v>1</v>
      </c>
      <c r="D3082" s="75">
        <f t="shared" si="50"/>
        <v>1.402898388069752E-5</v>
      </c>
    </row>
    <row r="3083" spans="2:4" x14ac:dyDescent="0.25">
      <c r="B3083" t="s">
        <v>9411</v>
      </c>
      <c r="C3083" s="71">
        <v>1</v>
      </c>
      <c r="D3083" s="75">
        <f t="shared" si="50"/>
        <v>1.402898388069752E-5</v>
      </c>
    </row>
    <row r="3084" spans="2:4" x14ac:dyDescent="0.25">
      <c r="B3084" t="s">
        <v>9412</v>
      </c>
      <c r="C3084" s="71">
        <v>1</v>
      </c>
      <c r="D3084" s="75">
        <f t="shared" si="50"/>
        <v>1.402898388069752E-5</v>
      </c>
    </row>
    <row r="3085" spans="2:4" x14ac:dyDescent="0.25">
      <c r="B3085" t="s">
        <v>9413</v>
      </c>
      <c r="C3085" s="71">
        <v>1</v>
      </c>
      <c r="D3085" s="75">
        <f t="shared" si="50"/>
        <v>1.402898388069752E-5</v>
      </c>
    </row>
    <row r="3086" spans="2:4" x14ac:dyDescent="0.25">
      <c r="B3086" t="s">
        <v>9414</v>
      </c>
      <c r="C3086" s="71">
        <v>1</v>
      </c>
      <c r="D3086" s="75">
        <f t="shared" si="50"/>
        <v>1.402898388069752E-5</v>
      </c>
    </row>
    <row r="3087" spans="2:4" x14ac:dyDescent="0.25">
      <c r="B3087" t="s">
        <v>9415</v>
      </c>
      <c r="C3087" s="71">
        <v>1</v>
      </c>
      <c r="D3087" s="75">
        <f t="shared" si="50"/>
        <v>1.402898388069752E-5</v>
      </c>
    </row>
    <row r="3088" spans="2:4" x14ac:dyDescent="0.25">
      <c r="B3088" t="s">
        <v>9416</v>
      </c>
      <c r="C3088" s="71">
        <v>1</v>
      </c>
      <c r="D3088" s="75">
        <f t="shared" si="50"/>
        <v>1.402898388069752E-5</v>
      </c>
    </row>
    <row r="3089" spans="2:4" x14ac:dyDescent="0.25">
      <c r="B3089" t="s">
        <v>9417</v>
      </c>
      <c r="C3089" s="71">
        <v>1</v>
      </c>
      <c r="D3089" s="75">
        <f t="shared" si="50"/>
        <v>1.402898388069752E-5</v>
      </c>
    </row>
    <row r="3090" spans="2:4" x14ac:dyDescent="0.25">
      <c r="B3090" t="s">
        <v>9418</v>
      </c>
      <c r="C3090" s="71">
        <v>1</v>
      </c>
      <c r="D3090" s="75">
        <f t="shared" si="50"/>
        <v>1.402898388069752E-5</v>
      </c>
    </row>
    <row r="3091" spans="2:4" x14ac:dyDescent="0.25">
      <c r="B3091" t="s">
        <v>9419</v>
      </c>
      <c r="C3091" s="71">
        <v>1</v>
      </c>
      <c r="D3091" s="75">
        <f t="shared" si="50"/>
        <v>1.402898388069752E-5</v>
      </c>
    </row>
    <row r="3092" spans="2:4" x14ac:dyDescent="0.25">
      <c r="B3092" t="s">
        <v>9420</v>
      </c>
      <c r="C3092" s="71">
        <v>1</v>
      </c>
      <c r="D3092" s="75">
        <f t="shared" si="50"/>
        <v>1.402898388069752E-5</v>
      </c>
    </row>
    <row r="3093" spans="2:4" x14ac:dyDescent="0.25">
      <c r="B3093" t="s">
        <v>9421</v>
      </c>
      <c r="C3093" s="71">
        <v>1</v>
      </c>
      <c r="D3093" s="75">
        <f t="shared" si="50"/>
        <v>1.402898388069752E-5</v>
      </c>
    </row>
    <row r="3094" spans="2:4" x14ac:dyDescent="0.25">
      <c r="B3094" t="s">
        <v>9422</v>
      </c>
      <c r="C3094" s="71">
        <v>1</v>
      </c>
      <c r="D3094" s="75">
        <f t="shared" si="50"/>
        <v>1.402898388069752E-5</v>
      </c>
    </row>
    <row r="3095" spans="2:4" x14ac:dyDescent="0.25">
      <c r="B3095" t="s">
        <v>9423</v>
      </c>
      <c r="C3095" s="71">
        <v>1</v>
      </c>
      <c r="D3095" s="75">
        <f t="shared" si="50"/>
        <v>1.402898388069752E-5</v>
      </c>
    </row>
    <row r="3096" spans="2:4" x14ac:dyDescent="0.25">
      <c r="B3096" t="s">
        <v>9424</v>
      </c>
      <c r="C3096" s="71">
        <v>1</v>
      </c>
      <c r="D3096" s="75">
        <f t="shared" si="50"/>
        <v>1.402898388069752E-5</v>
      </c>
    </row>
    <row r="3097" spans="2:4" x14ac:dyDescent="0.25">
      <c r="B3097" t="s">
        <v>9425</v>
      </c>
      <c r="C3097" s="71">
        <v>1</v>
      </c>
      <c r="D3097" s="75">
        <f t="shared" si="50"/>
        <v>1.402898388069752E-5</v>
      </c>
    </row>
    <row r="3098" spans="2:4" x14ac:dyDescent="0.25">
      <c r="B3098" t="s">
        <v>9426</v>
      </c>
      <c r="C3098" s="71">
        <v>1</v>
      </c>
      <c r="D3098" s="75">
        <f t="shared" si="50"/>
        <v>1.402898388069752E-5</v>
      </c>
    </row>
    <row r="3099" spans="2:4" x14ac:dyDescent="0.25">
      <c r="B3099" t="s">
        <v>9427</v>
      </c>
      <c r="C3099" s="71">
        <v>1</v>
      </c>
      <c r="D3099" s="75">
        <f t="shared" si="50"/>
        <v>1.402898388069752E-5</v>
      </c>
    </row>
    <row r="3100" spans="2:4" x14ac:dyDescent="0.25">
      <c r="B3100" t="s">
        <v>9428</v>
      </c>
      <c r="C3100" s="71">
        <v>1</v>
      </c>
      <c r="D3100" s="75">
        <f t="shared" si="50"/>
        <v>1.402898388069752E-5</v>
      </c>
    </row>
    <row r="3101" spans="2:4" x14ac:dyDescent="0.25">
      <c r="B3101" t="s">
        <v>9429</v>
      </c>
      <c r="C3101" s="71">
        <v>1</v>
      </c>
      <c r="D3101" s="75">
        <f t="shared" si="50"/>
        <v>1.402898388069752E-5</v>
      </c>
    </row>
    <row r="3102" spans="2:4" x14ac:dyDescent="0.25">
      <c r="B3102" t="s">
        <v>9430</v>
      </c>
      <c r="C3102" s="71">
        <v>1</v>
      </c>
      <c r="D3102" s="75">
        <f t="shared" si="50"/>
        <v>1.402898388069752E-5</v>
      </c>
    </row>
    <row r="3103" spans="2:4" x14ac:dyDescent="0.25">
      <c r="B3103" t="s">
        <v>9431</v>
      </c>
      <c r="C3103" s="71">
        <v>1</v>
      </c>
      <c r="D3103" s="75">
        <f t="shared" si="50"/>
        <v>1.402898388069752E-5</v>
      </c>
    </row>
    <row r="3104" spans="2:4" x14ac:dyDescent="0.25">
      <c r="B3104" t="s">
        <v>9432</v>
      </c>
      <c r="C3104" s="71">
        <v>1</v>
      </c>
      <c r="D3104" s="75">
        <f t="shared" si="50"/>
        <v>1.402898388069752E-5</v>
      </c>
    </row>
    <row r="3105" spans="2:4" x14ac:dyDescent="0.25">
      <c r="B3105" t="s">
        <v>9433</v>
      </c>
      <c r="C3105" s="71">
        <v>1</v>
      </c>
      <c r="D3105" s="75">
        <f t="shared" si="50"/>
        <v>1.402898388069752E-5</v>
      </c>
    </row>
    <row r="3106" spans="2:4" x14ac:dyDescent="0.25">
      <c r="B3106" t="s">
        <v>9434</v>
      </c>
      <c r="C3106" s="71">
        <v>1</v>
      </c>
      <c r="D3106" s="75">
        <f t="shared" si="50"/>
        <v>1.402898388069752E-5</v>
      </c>
    </row>
    <row r="3107" spans="2:4" x14ac:dyDescent="0.25">
      <c r="B3107" t="s">
        <v>9435</v>
      </c>
      <c r="C3107" s="71">
        <v>1</v>
      </c>
      <c r="D3107" s="75">
        <f t="shared" si="50"/>
        <v>1.402898388069752E-5</v>
      </c>
    </row>
    <row r="3108" spans="2:4" x14ac:dyDescent="0.25">
      <c r="B3108" t="s">
        <v>9436</v>
      </c>
      <c r="C3108" s="71">
        <v>1</v>
      </c>
      <c r="D3108" s="75">
        <f t="shared" si="50"/>
        <v>1.402898388069752E-5</v>
      </c>
    </row>
    <row r="3109" spans="2:4" x14ac:dyDescent="0.25">
      <c r="B3109" t="s">
        <v>9437</v>
      </c>
      <c r="C3109" s="71">
        <v>1</v>
      </c>
      <c r="D3109" s="75">
        <f t="shared" si="50"/>
        <v>1.402898388069752E-5</v>
      </c>
    </row>
    <row r="3110" spans="2:4" x14ac:dyDescent="0.25">
      <c r="B3110" t="s">
        <v>9438</v>
      </c>
      <c r="C3110" s="71">
        <v>1</v>
      </c>
      <c r="D3110" s="75">
        <f t="shared" si="50"/>
        <v>1.402898388069752E-5</v>
      </c>
    </row>
    <row r="3111" spans="2:4" x14ac:dyDescent="0.25">
      <c r="B3111" t="s">
        <v>9439</v>
      </c>
      <c r="C3111" s="71">
        <v>1</v>
      </c>
      <c r="D3111" s="75">
        <f t="shared" si="50"/>
        <v>1.402898388069752E-5</v>
      </c>
    </row>
    <row r="3112" spans="2:4" x14ac:dyDescent="0.25">
      <c r="B3112" t="s">
        <v>9440</v>
      </c>
      <c r="C3112" s="71">
        <v>1</v>
      </c>
      <c r="D3112" s="75">
        <f t="shared" si="50"/>
        <v>1.402898388069752E-5</v>
      </c>
    </row>
    <row r="3113" spans="2:4" x14ac:dyDescent="0.25">
      <c r="B3113" t="s">
        <v>9441</v>
      </c>
      <c r="C3113" s="71">
        <v>1</v>
      </c>
      <c r="D3113" s="75">
        <f t="shared" si="50"/>
        <v>1.402898388069752E-5</v>
      </c>
    </row>
    <row r="3114" spans="2:4" x14ac:dyDescent="0.25">
      <c r="B3114" t="s">
        <v>9442</v>
      </c>
      <c r="C3114" s="71">
        <v>1</v>
      </c>
      <c r="D3114" s="75">
        <f t="shared" si="50"/>
        <v>1.402898388069752E-5</v>
      </c>
    </row>
    <row r="3115" spans="2:4" x14ac:dyDescent="0.25">
      <c r="B3115" t="s">
        <v>9443</v>
      </c>
      <c r="C3115" s="71">
        <v>1</v>
      </c>
      <c r="D3115" s="75">
        <f t="shared" si="50"/>
        <v>1.402898388069752E-5</v>
      </c>
    </row>
    <row r="3116" spans="2:4" x14ac:dyDescent="0.25">
      <c r="B3116" t="s">
        <v>9444</v>
      </c>
      <c r="C3116" s="71">
        <v>1</v>
      </c>
      <c r="D3116" s="75">
        <f t="shared" si="50"/>
        <v>1.402898388069752E-5</v>
      </c>
    </row>
    <row r="3117" spans="2:4" x14ac:dyDescent="0.25">
      <c r="B3117" t="s">
        <v>9445</v>
      </c>
      <c r="C3117" s="71">
        <v>1</v>
      </c>
      <c r="D3117" s="75">
        <f t="shared" si="50"/>
        <v>1.402898388069752E-5</v>
      </c>
    </row>
    <row r="3118" spans="2:4" x14ac:dyDescent="0.25">
      <c r="B3118" t="s">
        <v>9446</v>
      </c>
      <c r="C3118" s="71">
        <v>1</v>
      </c>
      <c r="D3118" s="75">
        <f t="shared" si="50"/>
        <v>1.402898388069752E-5</v>
      </c>
    </row>
    <row r="3119" spans="2:4" x14ac:dyDescent="0.25">
      <c r="B3119" t="s">
        <v>9447</v>
      </c>
      <c r="C3119" s="71">
        <v>1</v>
      </c>
      <c r="D3119" s="75">
        <f t="shared" si="50"/>
        <v>1.402898388069752E-5</v>
      </c>
    </row>
    <row r="3120" spans="2:4" x14ac:dyDescent="0.25">
      <c r="B3120" t="s">
        <v>9448</v>
      </c>
      <c r="C3120" s="71">
        <v>1</v>
      </c>
      <c r="D3120" s="75">
        <f t="shared" si="50"/>
        <v>1.402898388069752E-5</v>
      </c>
    </row>
    <row r="3121" spans="2:4" x14ac:dyDescent="0.25">
      <c r="B3121" t="s">
        <v>9449</v>
      </c>
      <c r="C3121" s="71">
        <v>1</v>
      </c>
      <c r="D3121" s="75">
        <f t="shared" si="50"/>
        <v>1.402898388069752E-5</v>
      </c>
    </row>
    <row r="3122" spans="2:4" x14ac:dyDescent="0.25">
      <c r="B3122" t="s">
        <v>9450</v>
      </c>
      <c r="C3122" s="71">
        <v>1</v>
      </c>
      <c r="D3122" s="75">
        <f t="shared" si="50"/>
        <v>1.402898388069752E-5</v>
      </c>
    </row>
    <row r="3123" spans="2:4" x14ac:dyDescent="0.25">
      <c r="B3123" t="s">
        <v>9451</v>
      </c>
      <c r="C3123" s="71">
        <v>1</v>
      </c>
      <c r="D3123" s="75">
        <f t="shared" si="50"/>
        <v>1.402898388069752E-5</v>
      </c>
    </row>
    <row r="3124" spans="2:4" x14ac:dyDescent="0.25">
      <c r="B3124" t="s">
        <v>9452</v>
      </c>
      <c r="C3124" s="71">
        <v>1</v>
      </c>
      <c r="D3124" s="75">
        <f t="shared" si="50"/>
        <v>1.402898388069752E-5</v>
      </c>
    </row>
    <row r="3125" spans="2:4" x14ac:dyDescent="0.25">
      <c r="B3125" t="s">
        <v>9453</v>
      </c>
      <c r="C3125" s="71">
        <v>1</v>
      </c>
      <c r="D3125" s="75">
        <f t="shared" si="50"/>
        <v>1.402898388069752E-5</v>
      </c>
    </row>
    <row r="3126" spans="2:4" x14ac:dyDescent="0.25">
      <c r="B3126" t="s">
        <v>9454</v>
      </c>
      <c r="C3126" s="71">
        <v>1</v>
      </c>
      <c r="D3126" s="75">
        <f t="shared" si="50"/>
        <v>1.402898388069752E-5</v>
      </c>
    </row>
    <row r="3127" spans="2:4" x14ac:dyDescent="0.25">
      <c r="B3127" t="s">
        <v>9455</v>
      </c>
      <c r="C3127" s="71">
        <v>1</v>
      </c>
      <c r="D3127" s="75">
        <f t="shared" si="50"/>
        <v>1.402898388069752E-5</v>
      </c>
    </row>
    <row r="3128" spans="2:4" x14ac:dyDescent="0.25">
      <c r="B3128" t="s">
        <v>9456</v>
      </c>
      <c r="C3128" s="71">
        <v>1</v>
      </c>
      <c r="D3128" s="75">
        <f t="shared" si="50"/>
        <v>1.402898388069752E-5</v>
      </c>
    </row>
    <row r="3129" spans="2:4" x14ac:dyDescent="0.25">
      <c r="B3129" t="s">
        <v>9457</v>
      </c>
      <c r="C3129" s="71">
        <v>1</v>
      </c>
      <c r="D3129" s="75">
        <f t="shared" si="50"/>
        <v>1.402898388069752E-5</v>
      </c>
    </row>
    <row r="3130" spans="2:4" x14ac:dyDescent="0.25">
      <c r="B3130" t="s">
        <v>9458</v>
      </c>
      <c r="C3130" s="71">
        <v>1</v>
      </c>
      <c r="D3130" s="75">
        <f t="shared" si="50"/>
        <v>1.402898388069752E-5</v>
      </c>
    </row>
    <row r="3131" spans="2:4" x14ac:dyDescent="0.25">
      <c r="B3131" t="s">
        <v>9459</v>
      </c>
      <c r="C3131" s="71">
        <v>1</v>
      </c>
      <c r="D3131" s="75">
        <f t="shared" si="50"/>
        <v>1.402898388069752E-5</v>
      </c>
    </row>
    <row r="3132" spans="2:4" x14ac:dyDescent="0.25">
      <c r="B3132" t="s">
        <v>9460</v>
      </c>
      <c r="C3132" s="71">
        <v>1</v>
      </c>
      <c r="D3132" s="75">
        <f t="shared" si="50"/>
        <v>1.402898388069752E-5</v>
      </c>
    </row>
    <row r="3133" spans="2:4" x14ac:dyDescent="0.25">
      <c r="B3133" t="s">
        <v>9461</v>
      </c>
      <c r="C3133" s="71">
        <v>1</v>
      </c>
      <c r="D3133" s="75">
        <f t="shared" si="50"/>
        <v>1.402898388069752E-5</v>
      </c>
    </row>
    <row r="3134" spans="2:4" x14ac:dyDescent="0.25">
      <c r="B3134" t="s">
        <v>9462</v>
      </c>
      <c r="C3134" s="71">
        <v>1</v>
      </c>
      <c r="D3134" s="75">
        <f t="shared" si="50"/>
        <v>1.402898388069752E-5</v>
      </c>
    </row>
    <row r="3135" spans="2:4" x14ac:dyDescent="0.25">
      <c r="B3135" t="s">
        <v>9463</v>
      </c>
      <c r="C3135" s="71">
        <v>1</v>
      </c>
      <c r="D3135" s="75">
        <f t="shared" si="50"/>
        <v>1.402898388069752E-5</v>
      </c>
    </row>
    <row r="3136" spans="2:4" x14ac:dyDescent="0.25">
      <c r="B3136" t="s">
        <v>9464</v>
      </c>
      <c r="C3136" s="71">
        <v>1</v>
      </c>
      <c r="D3136" s="75">
        <f t="shared" si="50"/>
        <v>1.402898388069752E-5</v>
      </c>
    </row>
    <row r="3137" spans="2:4" x14ac:dyDescent="0.25">
      <c r="B3137" t="s">
        <v>9465</v>
      </c>
      <c r="C3137" s="71">
        <v>1</v>
      </c>
      <c r="D3137" s="75">
        <f t="shared" si="50"/>
        <v>1.402898388069752E-5</v>
      </c>
    </row>
    <row r="3138" spans="2:4" x14ac:dyDescent="0.25">
      <c r="B3138" t="s">
        <v>9466</v>
      </c>
      <c r="C3138" s="71">
        <v>1</v>
      </c>
      <c r="D3138" s="75">
        <f t="shared" si="50"/>
        <v>1.402898388069752E-5</v>
      </c>
    </row>
    <row r="3139" spans="2:4" x14ac:dyDescent="0.25">
      <c r="B3139" t="s">
        <v>9467</v>
      </c>
      <c r="C3139" s="71">
        <v>1</v>
      </c>
      <c r="D3139" s="75">
        <f t="shared" si="50"/>
        <v>1.402898388069752E-5</v>
      </c>
    </row>
    <row r="3140" spans="2:4" x14ac:dyDescent="0.25">
      <c r="B3140" t="s">
        <v>9468</v>
      </c>
      <c r="C3140" s="71">
        <v>1</v>
      </c>
      <c r="D3140" s="75">
        <f t="shared" si="50"/>
        <v>1.402898388069752E-5</v>
      </c>
    </row>
    <row r="3141" spans="2:4" x14ac:dyDescent="0.25">
      <c r="B3141" t="s">
        <v>9469</v>
      </c>
      <c r="C3141" s="71">
        <v>1</v>
      </c>
      <c r="D3141" s="75">
        <f t="shared" si="50"/>
        <v>1.402898388069752E-5</v>
      </c>
    </row>
    <row r="3142" spans="2:4" x14ac:dyDescent="0.25">
      <c r="B3142" t="s">
        <v>9470</v>
      </c>
      <c r="C3142" s="71">
        <v>1</v>
      </c>
      <c r="D3142" s="75">
        <f t="shared" ref="D3142:D3205" si="51">C3142/$C$4822</f>
        <v>1.402898388069752E-5</v>
      </c>
    </row>
    <row r="3143" spans="2:4" x14ac:dyDescent="0.25">
      <c r="B3143" t="s">
        <v>9471</v>
      </c>
      <c r="C3143" s="71">
        <v>1</v>
      </c>
      <c r="D3143" s="75">
        <f t="shared" si="51"/>
        <v>1.402898388069752E-5</v>
      </c>
    </row>
    <row r="3144" spans="2:4" x14ac:dyDescent="0.25">
      <c r="B3144" t="s">
        <v>9472</v>
      </c>
      <c r="C3144" s="71">
        <v>1</v>
      </c>
      <c r="D3144" s="75">
        <f t="shared" si="51"/>
        <v>1.402898388069752E-5</v>
      </c>
    </row>
    <row r="3145" spans="2:4" x14ac:dyDescent="0.25">
      <c r="B3145" t="s">
        <v>9473</v>
      </c>
      <c r="C3145" s="71">
        <v>1</v>
      </c>
      <c r="D3145" s="75">
        <f t="shared" si="51"/>
        <v>1.402898388069752E-5</v>
      </c>
    </row>
    <row r="3146" spans="2:4" x14ac:dyDescent="0.25">
      <c r="B3146" t="s">
        <v>9474</v>
      </c>
      <c r="C3146" s="71">
        <v>1</v>
      </c>
      <c r="D3146" s="75">
        <f t="shared" si="51"/>
        <v>1.402898388069752E-5</v>
      </c>
    </row>
    <row r="3147" spans="2:4" x14ac:dyDescent="0.25">
      <c r="B3147" t="s">
        <v>9475</v>
      </c>
      <c r="C3147" s="71">
        <v>1</v>
      </c>
      <c r="D3147" s="75">
        <f t="shared" si="51"/>
        <v>1.402898388069752E-5</v>
      </c>
    </row>
    <row r="3148" spans="2:4" x14ac:dyDescent="0.25">
      <c r="B3148" t="s">
        <v>9476</v>
      </c>
      <c r="C3148" s="71">
        <v>1</v>
      </c>
      <c r="D3148" s="75">
        <f t="shared" si="51"/>
        <v>1.402898388069752E-5</v>
      </c>
    </row>
    <row r="3149" spans="2:4" x14ac:dyDescent="0.25">
      <c r="B3149" t="s">
        <v>9477</v>
      </c>
      <c r="C3149" s="71">
        <v>1</v>
      </c>
      <c r="D3149" s="75">
        <f t="shared" si="51"/>
        <v>1.402898388069752E-5</v>
      </c>
    </row>
    <row r="3150" spans="2:4" x14ac:dyDescent="0.25">
      <c r="B3150" t="s">
        <v>9478</v>
      </c>
      <c r="C3150" s="71">
        <v>1</v>
      </c>
      <c r="D3150" s="75">
        <f t="shared" si="51"/>
        <v>1.402898388069752E-5</v>
      </c>
    </row>
    <row r="3151" spans="2:4" x14ac:dyDescent="0.25">
      <c r="B3151" t="s">
        <v>9479</v>
      </c>
      <c r="C3151" s="71">
        <v>1</v>
      </c>
      <c r="D3151" s="75">
        <f t="shared" si="51"/>
        <v>1.402898388069752E-5</v>
      </c>
    </row>
    <row r="3152" spans="2:4" x14ac:dyDescent="0.25">
      <c r="B3152" t="s">
        <v>9480</v>
      </c>
      <c r="C3152" s="71">
        <v>1</v>
      </c>
      <c r="D3152" s="75">
        <f t="shared" si="51"/>
        <v>1.402898388069752E-5</v>
      </c>
    </row>
    <row r="3153" spans="2:4" x14ac:dyDescent="0.25">
      <c r="B3153" t="s">
        <v>9481</v>
      </c>
      <c r="C3153" s="71">
        <v>1</v>
      </c>
      <c r="D3153" s="75">
        <f t="shared" si="51"/>
        <v>1.402898388069752E-5</v>
      </c>
    </row>
    <row r="3154" spans="2:4" x14ac:dyDescent="0.25">
      <c r="B3154" t="s">
        <v>9482</v>
      </c>
      <c r="C3154" s="71">
        <v>1</v>
      </c>
      <c r="D3154" s="75">
        <f t="shared" si="51"/>
        <v>1.402898388069752E-5</v>
      </c>
    </row>
    <row r="3155" spans="2:4" x14ac:dyDescent="0.25">
      <c r="B3155" t="s">
        <v>9483</v>
      </c>
      <c r="C3155" s="71">
        <v>1</v>
      </c>
      <c r="D3155" s="75">
        <f t="shared" si="51"/>
        <v>1.402898388069752E-5</v>
      </c>
    </row>
    <row r="3156" spans="2:4" x14ac:dyDescent="0.25">
      <c r="B3156" t="s">
        <v>9484</v>
      </c>
      <c r="C3156" s="71">
        <v>1</v>
      </c>
      <c r="D3156" s="75">
        <f t="shared" si="51"/>
        <v>1.402898388069752E-5</v>
      </c>
    </row>
    <row r="3157" spans="2:4" x14ac:dyDescent="0.25">
      <c r="B3157" t="s">
        <v>9485</v>
      </c>
      <c r="C3157" s="71">
        <v>1</v>
      </c>
      <c r="D3157" s="75">
        <f t="shared" si="51"/>
        <v>1.402898388069752E-5</v>
      </c>
    </row>
    <row r="3158" spans="2:4" x14ac:dyDescent="0.25">
      <c r="B3158" t="s">
        <v>9486</v>
      </c>
      <c r="C3158" s="71">
        <v>1</v>
      </c>
      <c r="D3158" s="75">
        <f t="shared" si="51"/>
        <v>1.402898388069752E-5</v>
      </c>
    </row>
    <row r="3159" spans="2:4" x14ac:dyDescent="0.25">
      <c r="B3159" t="s">
        <v>9487</v>
      </c>
      <c r="C3159" s="71">
        <v>1</v>
      </c>
      <c r="D3159" s="75">
        <f t="shared" si="51"/>
        <v>1.402898388069752E-5</v>
      </c>
    </row>
    <row r="3160" spans="2:4" x14ac:dyDescent="0.25">
      <c r="B3160" t="s">
        <v>9488</v>
      </c>
      <c r="C3160" s="71">
        <v>1</v>
      </c>
      <c r="D3160" s="75">
        <f t="shared" si="51"/>
        <v>1.402898388069752E-5</v>
      </c>
    </row>
    <row r="3161" spans="2:4" x14ac:dyDescent="0.25">
      <c r="B3161" t="s">
        <v>9489</v>
      </c>
      <c r="C3161" s="71">
        <v>1</v>
      </c>
      <c r="D3161" s="75">
        <f t="shared" si="51"/>
        <v>1.402898388069752E-5</v>
      </c>
    </row>
    <row r="3162" spans="2:4" x14ac:dyDescent="0.25">
      <c r="B3162" t="s">
        <v>9490</v>
      </c>
      <c r="C3162" s="71">
        <v>1</v>
      </c>
      <c r="D3162" s="75">
        <f t="shared" si="51"/>
        <v>1.402898388069752E-5</v>
      </c>
    </row>
    <row r="3163" spans="2:4" x14ac:dyDescent="0.25">
      <c r="B3163" t="s">
        <v>9491</v>
      </c>
      <c r="C3163" s="71">
        <v>1</v>
      </c>
      <c r="D3163" s="75">
        <f t="shared" si="51"/>
        <v>1.402898388069752E-5</v>
      </c>
    </row>
    <row r="3164" spans="2:4" x14ac:dyDescent="0.25">
      <c r="B3164" t="s">
        <v>9492</v>
      </c>
      <c r="C3164" s="71">
        <v>1</v>
      </c>
      <c r="D3164" s="75">
        <f t="shared" si="51"/>
        <v>1.402898388069752E-5</v>
      </c>
    </row>
    <row r="3165" spans="2:4" x14ac:dyDescent="0.25">
      <c r="B3165" t="s">
        <v>9493</v>
      </c>
      <c r="C3165" s="71">
        <v>1</v>
      </c>
      <c r="D3165" s="75">
        <f t="shared" si="51"/>
        <v>1.402898388069752E-5</v>
      </c>
    </row>
    <row r="3166" spans="2:4" x14ac:dyDescent="0.25">
      <c r="B3166" t="s">
        <v>9494</v>
      </c>
      <c r="C3166" s="71">
        <v>1</v>
      </c>
      <c r="D3166" s="75">
        <f t="shared" si="51"/>
        <v>1.402898388069752E-5</v>
      </c>
    </row>
    <row r="3167" spans="2:4" x14ac:dyDescent="0.25">
      <c r="B3167" t="s">
        <v>9495</v>
      </c>
      <c r="C3167" s="71">
        <v>1</v>
      </c>
      <c r="D3167" s="75">
        <f t="shared" si="51"/>
        <v>1.402898388069752E-5</v>
      </c>
    </row>
    <row r="3168" spans="2:4" x14ac:dyDescent="0.25">
      <c r="B3168" t="s">
        <v>9496</v>
      </c>
      <c r="C3168" s="71">
        <v>1</v>
      </c>
      <c r="D3168" s="75">
        <f t="shared" si="51"/>
        <v>1.402898388069752E-5</v>
      </c>
    </row>
    <row r="3169" spans="2:4" x14ac:dyDescent="0.25">
      <c r="B3169" t="s">
        <v>9497</v>
      </c>
      <c r="C3169" s="71">
        <v>1</v>
      </c>
      <c r="D3169" s="75">
        <f t="shared" si="51"/>
        <v>1.402898388069752E-5</v>
      </c>
    </row>
    <row r="3170" spans="2:4" x14ac:dyDescent="0.25">
      <c r="B3170" t="s">
        <v>9498</v>
      </c>
      <c r="C3170" s="71">
        <v>1</v>
      </c>
      <c r="D3170" s="75">
        <f t="shared" si="51"/>
        <v>1.402898388069752E-5</v>
      </c>
    </row>
    <row r="3171" spans="2:4" x14ac:dyDescent="0.25">
      <c r="B3171" t="s">
        <v>9499</v>
      </c>
      <c r="C3171" s="71">
        <v>1</v>
      </c>
      <c r="D3171" s="75">
        <f t="shared" si="51"/>
        <v>1.402898388069752E-5</v>
      </c>
    </row>
    <row r="3172" spans="2:4" x14ac:dyDescent="0.25">
      <c r="B3172" t="s">
        <v>9500</v>
      </c>
      <c r="C3172" s="71">
        <v>1</v>
      </c>
      <c r="D3172" s="75">
        <f t="shared" si="51"/>
        <v>1.402898388069752E-5</v>
      </c>
    </row>
    <row r="3173" spans="2:4" x14ac:dyDescent="0.25">
      <c r="B3173" t="s">
        <v>9501</v>
      </c>
      <c r="C3173" s="71">
        <v>1</v>
      </c>
      <c r="D3173" s="75">
        <f t="shared" si="51"/>
        <v>1.402898388069752E-5</v>
      </c>
    </row>
    <row r="3174" spans="2:4" x14ac:dyDescent="0.25">
      <c r="B3174" t="s">
        <v>9502</v>
      </c>
      <c r="C3174" s="71">
        <v>1</v>
      </c>
      <c r="D3174" s="75">
        <f t="shared" si="51"/>
        <v>1.402898388069752E-5</v>
      </c>
    </row>
    <row r="3175" spans="2:4" x14ac:dyDescent="0.25">
      <c r="B3175" t="s">
        <v>9503</v>
      </c>
      <c r="C3175" s="71">
        <v>1</v>
      </c>
      <c r="D3175" s="75">
        <f t="shared" si="51"/>
        <v>1.402898388069752E-5</v>
      </c>
    </row>
    <row r="3176" spans="2:4" x14ac:dyDescent="0.25">
      <c r="B3176" t="s">
        <v>9504</v>
      </c>
      <c r="C3176" s="71">
        <v>1</v>
      </c>
      <c r="D3176" s="75">
        <f t="shared" si="51"/>
        <v>1.402898388069752E-5</v>
      </c>
    </row>
    <row r="3177" spans="2:4" x14ac:dyDescent="0.25">
      <c r="B3177" t="s">
        <v>9505</v>
      </c>
      <c r="C3177" s="71">
        <v>1</v>
      </c>
      <c r="D3177" s="75">
        <f t="shared" si="51"/>
        <v>1.402898388069752E-5</v>
      </c>
    </row>
    <row r="3178" spans="2:4" x14ac:dyDescent="0.25">
      <c r="B3178" t="s">
        <v>9506</v>
      </c>
      <c r="C3178" s="71">
        <v>1</v>
      </c>
      <c r="D3178" s="75">
        <f t="shared" si="51"/>
        <v>1.402898388069752E-5</v>
      </c>
    </row>
    <row r="3179" spans="2:4" x14ac:dyDescent="0.25">
      <c r="B3179" t="s">
        <v>9507</v>
      </c>
      <c r="C3179" s="71">
        <v>1</v>
      </c>
      <c r="D3179" s="75">
        <f t="shared" si="51"/>
        <v>1.402898388069752E-5</v>
      </c>
    </row>
    <row r="3180" spans="2:4" x14ac:dyDescent="0.25">
      <c r="B3180" t="s">
        <v>9508</v>
      </c>
      <c r="C3180" s="71">
        <v>1</v>
      </c>
      <c r="D3180" s="75">
        <f t="shared" si="51"/>
        <v>1.402898388069752E-5</v>
      </c>
    </row>
    <row r="3181" spans="2:4" x14ac:dyDescent="0.25">
      <c r="B3181" t="s">
        <v>9509</v>
      </c>
      <c r="C3181" s="71">
        <v>1</v>
      </c>
      <c r="D3181" s="75">
        <f t="shared" si="51"/>
        <v>1.402898388069752E-5</v>
      </c>
    </row>
    <row r="3182" spans="2:4" x14ac:dyDescent="0.25">
      <c r="B3182" t="s">
        <v>9510</v>
      </c>
      <c r="C3182" s="71">
        <v>1</v>
      </c>
      <c r="D3182" s="75">
        <f t="shared" si="51"/>
        <v>1.402898388069752E-5</v>
      </c>
    </row>
    <row r="3183" spans="2:4" x14ac:dyDescent="0.25">
      <c r="B3183" t="s">
        <v>9511</v>
      </c>
      <c r="C3183" s="71">
        <v>1</v>
      </c>
      <c r="D3183" s="75">
        <f t="shared" si="51"/>
        <v>1.402898388069752E-5</v>
      </c>
    </row>
    <row r="3184" spans="2:4" x14ac:dyDescent="0.25">
      <c r="B3184" t="s">
        <v>9512</v>
      </c>
      <c r="C3184" s="71">
        <v>1</v>
      </c>
      <c r="D3184" s="75">
        <f t="shared" si="51"/>
        <v>1.402898388069752E-5</v>
      </c>
    </row>
    <row r="3185" spans="2:4" x14ac:dyDescent="0.25">
      <c r="B3185" t="s">
        <v>9513</v>
      </c>
      <c r="C3185" s="71">
        <v>1</v>
      </c>
      <c r="D3185" s="75">
        <f t="shared" si="51"/>
        <v>1.402898388069752E-5</v>
      </c>
    </row>
    <row r="3186" spans="2:4" x14ac:dyDescent="0.25">
      <c r="B3186" t="s">
        <v>9514</v>
      </c>
      <c r="C3186" s="71">
        <v>1</v>
      </c>
      <c r="D3186" s="75">
        <f t="shared" si="51"/>
        <v>1.402898388069752E-5</v>
      </c>
    </row>
    <row r="3187" spans="2:4" x14ac:dyDescent="0.25">
      <c r="B3187" t="s">
        <v>9515</v>
      </c>
      <c r="C3187" s="71">
        <v>1</v>
      </c>
      <c r="D3187" s="75">
        <f t="shared" si="51"/>
        <v>1.402898388069752E-5</v>
      </c>
    </row>
    <row r="3188" spans="2:4" x14ac:dyDescent="0.25">
      <c r="B3188" t="s">
        <v>9516</v>
      </c>
      <c r="C3188" s="71">
        <v>1</v>
      </c>
      <c r="D3188" s="75">
        <f t="shared" si="51"/>
        <v>1.402898388069752E-5</v>
      </c>
    </row>
    <row r="3189" spans="2:4" x14ac:dyDescent="0.25">
      <c r="B3189" t="s">
        <v>9517</v>
      </c>
      <c r="C3189" s="71">
        <v>1</v>
      </c>
      <c r="D3189" s="75">
        <f t="shared" si="51"/>
        <v>1.402898388069752E-5</v>
      </c>
    </row>
    <row r="3190" spans="2:4" x14ac:dyDescent="0.25">
      <c r="B3190" t="s">
        <v>9518</v>
      </c>
      <c r="C3190" s="71">
        <v>1</v>
      </c>
      <c r="D3190" s="75">
        <f t="shared" si="51"/>
        <v>1.402898388069752E-5</v>
      </c>
    </row>
    <row r="3191" spans="2:4" x14ac:dyDescent="0.25">
      <c r="B3191" t="s">
        <v>9519</v>
      </c>
      <c r="C3191" s="71">
        <v>1</v>
      </c>
      <c r="D3191" s="75">
        <f t="shared" si="51"/>
        <v>1.402898388069752E-5</v>
      </c>
    </row>
    <row r="3192" spans="2:4" x14ac:dyDescent="0.25">
      <c r="B3192" t="s">
        <v>9520</v>
      </c>
      <c r="C3192" s="71">
        <v>1</v>
      </c>
      <c r="D3192" s="75">
        <f t="shared" si="51"/>
        <v>1.402898388069752E-5</v>
      </c>
    </row>
    <row r="3193" spans="2:4" x14ac:dyDescent="0.25">
      <c r="B3193" t="s">
        <v>9521</v>
      </c>
      <c r="C3193" s="71">
        <v>1</v>
      </c>
      <c r="D3193" s="75">
        <f t="shared" si="51"/>
        <v>1.402898388069752E-5</v>
      </c>
    </row>
    <row r="3194" spans="2:4" x14ac:dyDescent="0.25">
      <c r="B3194" t="s">
        <v>9522</v>
      </c>
      <c r="C3194" s="71">
        <v>1</v>
      </c>
      <c r="D3194" s="75">
        <f t="shared" si="51"/>
        <v>1.402898388069752E-5</v>
      </c>
    </row>
    <row r="3195" spans="2:4" x14ac:dyDescent="0.25">
      <c r="B3195" t="s">
        <v>9523</v>
      </c>
      <c r="C3195" s="71">
        <v>1</v>
      </c>
      <c r="D3195" s="75">
        <f t="shared" si="51"/>
        <v>1.402898388069752E-5</v>
      </c>
    </row>
    <row r="3196" spans="2:4" x14ac:dyDescent="0.25">
      <c r="B3196" t="s">
        <v>9524</v>
      </c>
      <c r="C3196" s="71">
        <v>1</v>
      </c>
      <c r="D3196" s="75">
        <f t="shared" si="51"/>
        <v>1.402898388069752E-5</v>
      </c>
    </row>
    <row r="3197" spans="2:4" x14ac:dyDescent="0.25">
      <c r="B3197" t="s">
        <v>9525</v>
      </c>
      <c r="C3197" s="71">
        <v>1</v>
      </c>
      <c r="D3197" s="75">
        <f t="shared" si="51"/>
        <v>1.402898388069752E-5</v>
      </c>
    </row>
    <row r="3198" spans="2:4" x14ac:dyDescent="0.25">
      <c r="B3198" t="s">
        <v>9526</v>
      </c>
      <c r="C3198" s="71">
        <v>1</v>
      </c>
      <c r="D3198" s="75">
        <f t="shared" si="51"/>
        <v>1.402898388069752E-5</v>
      </c>
    </row>
    <row r="3199" spans="2:4" x14ac:dyDescent="0.25">
      <c r="B3199" t="s">
        <v>9527</v>
      </c>
      <c r="C3199" s="71">
        <v>1</v>
      </c>
      <c r="D3199" s="75">
        <f t="shared" si="51"/>
        <v>1.402898388069752E-5</v>
      </c>
    </row>
    <row r="3200" spans="2:4" x14ac:dyDescent="0.25">
      <c r="B3200" t="s">
        <v>9528</v>
      </c>
      <c r="C3200" s="71">
        <v>1</v>
      </c>
      <c r="D3200" s="75">
        <f t="shared" si="51"/>
        <v>1.402898388069752E-5</v>
      </c>
    </row>
    <row r="3201" spans="2:4" x14ac:dyDescent="0.25">
      <c r="B3201" t="s">
        <v>9529</v>
      </c>
      <c r="C3201" s="71">
        <v>1</v>
      </c>
      <c r="D3201" s="75">
        <f t="shared" si="51"/>
        <v>1.402898388069752E-5</v>
      </c>
    </row>
    <row r="3202" spans="2:4" x14ac:dyDescent="0.25">
      <c r="B3202" t="s">
        <v>9530</v>
      </c>
      <c r="C3202" s="71">
        <v>1</v>
      </c>
      <c r="D3202" s="75">
        <f t="shared" si="51"/>
        <v>1.402898388069752E-5</v>
      </c>
    </row>
    <row r="3203" spans="2:4" x14ac:dyDescent="0.25">
      <c r="B3203" t="s">
        <v>9531</v>
      </c>
      <c r="C3203" s="71">
        <v>1</v>
      </c>
      <c r="D3203" s="75">
        <f t="shared" si="51"/>
        <v>1.402898388069752E-5</v>
      </c>
    </row>
    <row r="3204" spans="2:4" x14ac:dyDescent="0.25">
      <c r="B3204" t="s">
        <v>9532</v>
      </c>
      <c r="C3204" s="71">
        <v>1</v>
      </c>
      <c r="D3204" s="75">
        <f t="shared" si="51"/>
        <v>1.402898388069752E-5</v>
      </c>
    </row>
    <row r="3205" spans="2:4" x14ac:dyDescent="0.25">
      <c r="B3205" t="s">
        <v>9533</v>
      </c>
      <c r="C3205" s="71">
        <v>1</v>
      </c>
      <c r="D3205" s="75">
        <f t="shared" si="51"/>
        <v>1.402898388069752E-5</v>
      </c>
    </row>
    <row r="3206" spans="2:4" x14ac:dyDescent="0.25">
      <c r="B3206" t="s">
        <v>9534</v>
      </c>
      <c r="C3206" s="71">
        <v>1</v>
      </c>
      <c r="D3206" s="75">
        <f t="shared" ref="D3206:D3269" si="52">C3206/$C$4822</f>
        <v>1.402898388069752E-5</v>
      </c>
    </row>
    <row r="3207" spans="2:4" x14ac:dyDescent="0.25">
      <c r="B3207" t="s">
        <v>9535</v>
      </c>
      <c r="C3207" s="71">
        <v>1</v>
      </c>
      <c r="D3207" s="75">
        <f t="shared" si="52"/>
        <v>1.402898388069752E-5</v>
      </c>
    </row>
    <row r="3208" spans="2:4" x14ac:dyDescent="0.25">
      <c r="B3208" t="s">
        <v>9536</v>
      </c>
      <c r="C3208" s="71">
        <v>1</v>
      </c>
      <c r="D3208" s="75">
        <f t="shared" si="52"/>
        <v>1.402898388069752E-5</v>
      </c>
    </row>
    <row r="3209" spans="2:4" x14ac:dyDescent="0.25">
      <c r="B3209" t="s">
        <v>9537</v>
      </c>
      <c r="C3209" s="71">
        <v>1</v>
      </c>
      <c r="D3209" s="75">
        <f t="shared" si="52"/>
        <v>1.402898388069752E-5</v>
      </c>
    </row>
    <row r="3210" spans="2:4" x14ac:dyDescent="0.25">
      <c r="B3210" t="s">
        <v>9538</v>
      </c>
      <c r="C3210" s="71">
        <v>1</v>
      </c>
      <c r="D3210" s="75">
        <f t="shared" si="52"/>
        <v>1.402898388069752E-5</v>
      </c>
    </row>
    <row r="3211" spans="2:4" x14ac:dyDescent="0.25">
      <c r="B3211" t="s">
        <v>9539</v>
      </c>
      <c r="C3211" s="71">
        <v>1</v>
      </c>
      <c r="D3211" s="75">
        <f t="shared" si="52"/>
        <v>1.402898388069752E-5</v>
      </c>
    </row>
    <row r="3212" spans="2:4" x14ac:dyDescent="0.25">
      <c r="B3212" t="s">
        <v>9540</v>
      </c>
      <c r="C3212" s="71">
        <v>1</v>
      </c>
      <c r="D3212" s="75">
        <f t="shared" si="52"/>
        <v>1.402898388069752E-5</v>
      </c>
    </row>
    <row r="3213" spans="2:4" x14ac:dyDescent="0.25">
      <c r="B3213" t="s">
        <v>9541</v>
      </c>
      <c r="C3213" s="71">
        <v>1</v>
      </c>
      <c r="D3213" s="75">
        <f t="shared" si="52"/>
        <v>1.402898388069752E-5</v>
      </c>
    </row>
    <row r="3214" spans="2:4" x14ac:dyDescent="0.25">
      <c r="B3214" t="e">
        <f>---tsian</f>
        <v>#NAME?</v>
      </c>
      <c r="C3214" s="71">
        <v>1</v>
      </c>
      <c r="D3214" s="75">
        <f t="shared" si="52"/>
        <v>1.402898388069752E-5</v>
      </c>
    </row>
    <row r="3215" spans="2:4" x14ac:dyDescent="0.25">
      <c r="B3215" t="s">
        <v>9542</v>
      </c>
      <c r="C3215" s="71">
        <v>1</v>
      </c>
      <c r="D3215" s="75">
        <f t="shared" si="52"/>
        <v>1.402898388069752E-5</v>
      </c>
    </row>
    <row r="3216" spans="2:4" x14ac:dyDescent="0.25">
      <c r="B3216" t="s">
        <v>9543</v>
      </c>
      <c r="C3216" s="71">
        <v>1</v>
      </c>
      <c r="D3216" s="75">
        <f t="shared" si="52"/>
        <v>1.402898388069752E-5</v>
      </c>
    </row>
    <row r="3217" spans="2:4" x14ac:dyDescent="0.25">
      <c r="B3217" t="s">
        <v>9544</v>
      </c>
      <c r="C3217" s="71">
        <v>1</v>
      </c>
      <c r="D3217" s="75">
        <f t="shared" si="52"/>
        <v>1.402898388069752E-5</v>
      </c>
    </row>
    <row r="3218" spans="2:4" x14ac:dyDescent="0.25">
      <c r="B3218" t="s">
        <v>9545</v>
      </c>
      <c r="C3218" s="71">
        <v>1</v>
      </c>
      <c r="D3218" s="75">
        <f t="shared" si="52"/>
        <v>1.402898388069752E-5</v>
      </c>
    </row>
    <row r="3219" spans="2:4" x14ac:dyDescent="0.25">
      <c r="B3219" t="s">
        <v>9546</v>
      </c>
      <c r="C3219" s="71">
        <v>1</v>
      </c>
      <c r="D3219" s="75">
        <f t="shared" si="52"/>
        <v>1.402898388069752E-5</v>
      </c>
    </row>
    <row r="3220" spans="2:4" x14ac:dyDescent="0.25">
      <c r="B3220" t="s">
        <v>9547</v>
      </c>
      <c r="C3220" s="71">
        <v>1</v>
      </c>
      <c r="D3220" s="75">
        <f t="shared" si="52"/>
        <v>1.402898388069752E-5</v>
      </c>
    </row>
    <row r="3221" spans="2:4" x14ac:dyDescent="0.25">
      <c r="B3221" t="s">
        <v>9548</v>
      </c>
      <c r="C3221" s="71">
        <v>1</v>
      </c>
      <c r="D3221" s="75">
        <f t="shared" si="52"/>
        <v>1.402898388069752E-5</v>
      </c>
    </row>
    <row r="3222" spans="2:4" x14ac:dyDescent="0.25">
      <c r="B3222" t="s">
        <v>9549</v>
      </c>
      <c r="C3222" s="71">
        <v>1</v>
      </c>
      <c r="D3222" s="75">
        <f t="shared" si="52"/>
        <v>1.402898388069752E-5</v>
      </c>
    </row>
    <row r="3223" spans="2:4" x14ac:dyDescent="0.25">
      <c r="B3223" t="s">
        <v>9550</v>
      </c>
      <c r="C3223" s="71">
        <v>1</v>
      </c>
      <c r="D3223" s="75">
        <f t="shared" si="52"/>
        <v>1.402898388069752E-5</v>
      </c>
    </row>
    <row r="3224" spans="2:4" x14ac:dyDescent="0.25">
      <c r="B3224" t="s">
        <v>9551</v>
      </c>
      <c r="C3224" s="71">
        <v>1</v>
      </c>
      <c r="D3224" s="75">
        <f t="shared" si="52"/>
        <v>1.402898388069752E-5</v>
      </c>
    </row>
    <row r="3225" spans="2:4" x14ac:dyDescent="0.25">
      <c r="B3225" t="s">
        <v>9552</v>
      </c>
      <c r="C3225" s="71">
        <v>1</v>
      </c>
      <c r="D3225" s="75">
        <f t="shared" si="52"/>
        <v>1.402898388069752E-5</v>
      </c>
    </row>
    <row r="3226" spans="2:4" x14ac:dyDescent="0.25">
      <c r="B3226" t="s">
        <v>9553</v>
      </c>
      <c r="C3226" s="71">
        <v>1</v>
      </c>
      <c r="D3226" s="75">
        <f t="shared" si="52"/>
        <v>1.402898388069752E-5</v>
      </c>
    </row>
    <row r="3227" spans="2:4" x14ac:dyDescent="0.25">
      <c r="B3227" t="s">
        <v>9554</v>
      </c>
      <c r="C3227" s="71">
        <v>1</v>
      </c>
      <c r="D3227" s="75">
        <f t="shared" si="52"/>
        <v>1.402898388069752E-5</v>
      </c>
    </row>
    <row r="3228" spans="2:4" x14ac:dyDescent="0.25">
      <c r="B3228" t="s">
        <v>9555</v>
      </c>
      <c r="C3228" s="71">
        <v>1</v>
      </c>
      <c r="D3228" s="75">
        <f t="shared" si="52"/>
        <v>1.402898388069752E-5</v>
      </c>
    </row>
    <row r="3229" spans="2:4" x14ac:dyDescent="0.25">
      <c r="B3229" t="s">
        <v>9556</v>
      </c>
      <c r="C3229" s="71">
        <v>1</v>
      </c>
      <c r="D3229" s="75">
        <f t="shared" si="52"/>
        <v>1.402898388069752E-5</v>
      </c>
    </row>
    <row r="3230" spans="2:4" x14ac:dyDescent="0.25">
      <c r="B3230" t="e">
        <f>---iassian</f>
        <v>#NAME?</v>
      </c>
      <c r="C3230" s="71">
        <v>1</v>
      </c>
      <c r="D3230" s="75">
        <f t="shared" si="52"/>
        <v>1.402898388069752E-5</v>
      </c>
    </row>
    <row r="3231" spans="2:4" x14ac:dyDescent="0.25">
      <c r="B3231" t="s">
        <v>9557</v>
      </c>
      <c r="C3231" s="71">
        <v>1</v>
      </c>
      <c r="D3231" s="75">
        <f t="shared" si="52"/>
        <v>1.402898388069752E-5</v>
      </c>
    </row>
    <row r="3232" spans="2:4" x14ac:dyDescent="0.25">
      <c r="B3232" t="s">
        <v>9558</v>
      </c>
      <c r="C3232" s="71">
        <v>1</v>
      </c>
      <c r="D3232" s="75">
        <f t="shared" si="52"/>
        <v>1.402898388069752E-5</v>
      </c>
    </row>
    <row r="3233" spans="2:4" x14ac:dyDescent="0.25">
      <c r="B3233" t="s">
        <v>9559</v>
      </c>
      <c r="C3233" s="71">
        <v>1</v>
      </c>
      <c r="D3233" s="75">
        <f t="shared" si="52"/>
        <v>1.402898388069752E-5</v>
      </c>
    </row>
    <row r="3234" spans="2:4" x14ac:dyDescent="0.25">
      <c r="B3234" t="s">
        <v>9560</v>
      </c>
      <c r="C3234" s="71">
        <v>1</v>
      </c>
      <c r="D3234" s="75">
        <f t="shared" si="52"/>
        <v>1.402898388069752E-5</v>
      </c>
    </row>
    <row r="3235" spans="2:4" x14ac:dyDescent="0.25">
      <c r="B3235" t="s">
        <v>9561</v>
      </c>
      <c r="C3235" s="71">
        <v>1</v>
      </c>
      <c r="D3235" s="75">
        <f t="shared" si="52"/>
        <v>1.402898388069752E-5</v>
      </c>
    </row>
    <row r="3236" spans="2:4" x14ac:dyDescent="0.25">
      <c r="B3236" t="s">
        <v>9562</v>
      </c>
      <c r="C3236" s="71">
        <v>1</v>
      </c>
      <c r="D3236" s="75">
        <f t="shared" si="52"/>
        <v>1.402898388069752E-5</v>
      </c>
    </row>
    <row r="3237" spans="2:4" x14ac:dyDescent="0.25">
      <c r="B3237" t="s">
        <v>9563</v>
      </c>
      <c r="C3237" s="71">
        <v>1</v>
      </c>
      <c r="D3237" s="75">
        <f t="shared" si="52"/>
        <v>1.402898388069752E-5</v>
      </c>
    </row>
    <row r="3238" spans="2:4" x14ac:dyDescent="0.25">
      <c r="B3238" t="s">
        <v>9564</v>
      </c>
      <c r="C3238" s="71">
        <v>1</v>
      </c>
      <c r="D3238" s="75">
        <f t="shared" si="52"/>
        <v>1.402898388069752E-5</v>
      </c>
    </row>
    <row r="3239" spans="2:4" x14ac:dyDescent="0.25">
      <c r="B3239" t="s">
        <v>9565</v>
      </c>
      <c r="C3239" s="71">
        <v>1</v>
      </c>
      <c r="D3239" s="75">
        <f t="shared" si="52"/>
        <v>1.402898388069752E-5</v>
      </c>
    </row>
    <row r="3240" spans="2:4" x14ac:dyDescent="0.25">
      <c r="B3240" t="s">
        <v>9566</v>
      </c>
      <c r="C3240" s="71">
        <v>1</v>
      </c>
      <c r="D3240" s="75">
        <f t="shared" si="52"/>
        <v>1.402898388069752E-5</v>
      </c>
    </row>
    <row r="3241" spans="2:4" x14ac:dyDescent="0.25">
      <c r="B3241" t="s">
        <v>9567</v>
      </c>
      <c r="C3241" s="71">
        <v>1</v>
      </c>
      <c r="D3241" s="75">
        <f t="shared" si="52"/>
        <v>1.402898388069752E-5</v>
      </c>
    </row>
    <row r="3242" spans="2:4" x14ac:dyDescent="0.25">
      <c r="B3242" t="s">
        <v>9568</v>
      </c>
      <c r="C3242" s="71">
        <v>1</v>
      </c>
      <c r="D3242" s="75">
        <f t="shared" si="52"/>
        <v>1.402898388069752E-5</v>
      </c>
    </row>
    <row r="3243" spans="2:4" x14ac:dyDescent="0.25">
      <c r="B3243" t="s">
        <v>9569</v>
      </c>
      <c r="C3243" s="71">
        <v>1</v>
      </c>
      <c r="D3243" s="75">
        <f t="shared" si="52"/>
        <v>1.402898388069752E-5</v>
      </c>
    </row>
    <row r="3244" spans="2:4" x14ac:dyDescent="0.25">
      <c r="B3244" t="s">
        <v>9570</v>
      </c>
      <c r="C3244" s="71">
        <v>1</v>
      </c>
      <c r="D3244" s="75">
        <f t="shared" si="52"/>
        <v>1.402898388069752E-5</v>
      </c>
    </row>
    <row r="3245" spans="2:4" x14ac:dyDescent="0.25">
      <c r="B3245" t="s">
        <v>9571</v>
      </c>
      <c r="C3245" s="71">
        <v>1</v>
      </c>
      <c r="D3245" s="75">
        <f t="shared" si="52"/>
        <v>1.402898388069752E-5</v>
      </c>
    </row>
    <row r="3246" spans="2:4" x14ac:dyDescent="0.25">
      <c r="B3246" t="s">
        <v>9572</v>
      </c>
      <c r="C3246" s="71">
        <v>1</v>
      </c>
      <c r="D3246" s="75">
        <f t="shared" si="52"/>
        <v>1.402898388069752E-5</v>
      </c>
    </row>
    <row r="3247" spans="2:4" x14ac:dyDescent="0.25">
      <c r="B3247" t="s">
        <v>9573</v>
      </c>
      <c r="C3247" s="71">
        <v>1</v>
      </c>
      <c r="D3247" s="75">
        <f t="shared" si="52"/>
        <v>1.402898388069752E-5</v>
      </c>
    </row>
    <row r="3248" spans="2:4" x14ac:dyDescent="0.25">
      <c r="B3248" t="s">
        <v>9574</v>
      </c>
      <c r="C3248" s="71">
        <v>1</v>
      </c>
      <c r="D3248" s="75">
        <f t="shared" si="52"/>
        <v>1.402898388069752E-5</v>
      </c>
    </row>
    <row r="3249" spans="2:4" x14ac:dyDescent="0.25">
      <c r="B3249" t="s">
        <v>9575</v>
      </c>
      <c r="C3249" s="71">
        <v>1</v>
      </c>
      <c r="D3249" s="75">
        <f t="shared" si="52"/>
        <v>1.402898388069752E-5</v>
      </c>
    </row>
    <row r="3250" spans="2:4" x14ac:dyDescent="0.25">
      <c r="B3250" t="s">
        <v>9576</v>
      </c>
      <c r="C3250" s="71">
        <v>1</v>
      </c>
      <c r="D3250" s="75">
        <f t="shared" si="52"/>
        <v>1.402898388069752E-5</v>
      </c>
    </row>
    <row r="3251" spans="2:4" x14ac:dyDescent="0.25">
      <c r="B3251" t="s">
        <v>9577</v>
      </c>
      <c r="C3251" s="71">
        <v>1</v>
      </c>
      <c r="D3251" s="75">
        <f t="shared" si="52"/>
        <v>1.402898388069752E-5</v>
      </c>
    </row>
    <row r="3252" spans="2:4" x14ac:dyDescent="0.25">
      <c r="B3252" t="s">
        <v>9578</v>
      </c>
      <c r="C3252" s="71">
        <v>1</v>
      </c>
      <c r="D3252" s="75">
        <f t="shared" si="52"/>
        <v>1.402898388069752E-5</v>
      </c>
    </row>
    <row r="3253" spans="2:4" x14ac:dyDescent="0.25">
      <c r="B3253" t="s">
        <v>9579</v>
      </c>
      <c r="C3253" s="71">
        <v>1</v>
      </c>
      <c r="D3253" s="75">
        <f t="shared" si="52"/>
        <v>1.402898388069752E-5</v>
      </c>
    </row>
    <row r="3254" spans="2:4" x14ac:dyDescent="0.25">
      <c r="B3254" t="s">
        <v>9580</v>
      </c>
      <c r="C3254" s="71">
        <v>1</v>
      </c>
      <c r="D3254" s="75">
        <f t="shared" si="52"/>
        <v>1.402898388069752E-5</v>
      </c>
    </row>
    <row r="3255" spans="2:4" x14ac:dyDescent="0.25">
      <c r="B3255" t="s">
        <v>9581</v>
      </c>
      <c r="C3255" s="71">
        <v>1</v>
      </c>
      <c r="D3255" s="75">
        <f t="shared" si="52"/>
        <v>1.402898388069752E-5</v>
      </c>
    </row>
    <row r="3256" spans="2:4" x14ac:dyDescent="0.25">
      <c r="B3256" t="s">
        <v>9582</v>
      </c>
      <c r="C3256" s="71">
        <v>1</v>
      </c>
      <c r="D3256" s="75">
        <f t="shared" si="52"/>
        <v>1.402898388069752E-5</v>
      </c>
    </row>
    <row r="3257" spans="2:4" x14ac:dyDescent="0.25">
      <c r="B3257" t="s">
        <v>9583</v>
      </c>
      <c r="C3257" s="71">
        <v>1</v>
      </c>
      <c r="D3257" s="75">
        <f t="shared" si="52"/>
        <v>1.402898388069752E-5</v>
      </c>
    </row>
    <row r="3258" spans="2:4" x14ac:dyDescent="0.25">
      <c r="B3258" t="s">
        <v>9584</v>
      </c>
      <c r="C3258" s="71">
        <v>1</v>
      </c>
      <c r="D3258" s="75">
        <f t="shared" si="52"/>
        <v>1.402898388069752E-5</v>
      </c>
    </row>
    <row r="3259" spans="2:4" x14ac:dyDescent="0.25">
      <c r="B3259" t="s">
        <v>9585</v>
      </c>
      <c r="C3259" s="71">
        <v>1</v>
      </c>
      <c r="D3259" s="75">
        <f t="shared" si="52"/>
        <v>1.402898388069752E-5</v>
      </c>
    </row>
    <row r="3260" spans="2:4" x14ac:dyDescent="0.25">
      <c r="B3260" t="s">
        <v>9586</v>
      </c>
      <c r="C3260" s="71">
        <v>1</v>
      </c>
      <c r="D3260" s="75">
        <f t="shared" si="52"/>
        <v>1.402898388069752E-5</v>
      </c>
    </row>
    <row r="3261" spans="2:4" x14ac:dyDescent="0.25">
      <c r="B3261" t="s">
        <v>9587</v>
      </c>
      <c r="C3261" s="71">
        <v>1</v>
      </c>
      <c r="D3261" s="75">
        <f t="shared" si="52"/>
        <v>1.402898388069752E-5</v>
      </c>
    </row>
    <row r="3262" spans="2:4" x14ac:dyDescent="0.25">
      <c r="B3262" t="s">
        <v>9588</v>
      </c>
      <c r="C3262" s="71">
        <v>1</v>
      </c>
      <c r="D3262" s="75">
        <f t="shared" si="52"/>
        <v>1.402898388069752E-5</v>
      </c>
    </row>
    <row r="3263" spans="2:4" x14ac:dyDescent="0.25">
      <c r="B3263" t="s">
        <v>9589</v>
      </c>
      <c r="C3263" s="71">
        <v>1</v>
      </c>
      <c r="D3263" s="75">
        <f t="shared" si="52"/>
        <v>1.402898388069752E-5</v>
      </c>
    </row>
    <row r="3264" spans="2:4" x14ac:dyDescent="0.25">
      <c r="B3264" t="s">
        <v>9590</v>
      </c>
      <c r="C3264" s="71">
        <v>1</v>
      </c>
      <c r="D3264" s="75">
        <f t="shared" si="52"/>
        <v>1.402898388069752E-5</v>
      </c>
    </row>
    <row r="3265" spans="2:4" x14ac:dyDescent="0.25">
      <c r="B3265" t="s">
        <v>9591</v>
      </c>
      <c r="C3265" s="71">
        <v>1</v>
      </c>
      <c r="D3265" s="75">
        <f t="shared" si="52"/>
        <v>1.402898388069752E-5</v>
      </c>
    </row>
    <row r="3266" spans="2:4" x14ac:dyDescent="0.25">
      <c r="B3266" t="s">
        <v>9592</v>
      </c>
      <c r="C3266" s="71">
        <v>1</v>
      </c>
      <c r="D3266" s="75">
        <f t="shared" si="52"/>
        <v>1.402898388069752E-5</v>
      </c>
    </row>
    <row r="3267" spans="2:4" x14ac:dyDescent="0.25">
      <c r="B3267" t="s">
        <v>9593</v>
      </c>
      <c r="C3267" s="71">
        <v>1</v>
      </c>
      <c r="D3267" s="75">
        <f t="shared" si="52"/>
        <v>1.402898388069752E-5</v>
      </c>
    </row>
    <row r="3268" spans="2:4" x14ac:dyDescent="0.25">
      <c r="B3268" t="s">
        <v>9594</v>
      </c>
      <c r="C3268" s="71">
        <v>1</v>
      </c>
      <c r="D3268" s="75">
        <f t="shared" si="52"/>
        <v>1.402898388069752E-5</v>
      </c>
    </row>
    <row r="3269" spans="2:4" x14ac:dyDescent="0.25">
      <c r="B3269" t="s">
        <v>9595</v>
      </c>
      <c r="C3269" s="71">
        <v>1</v>
      </c>
      <c r="D3269" s="75">
        <f t="shared" si="52"/>
        <v>1.402898388069752E-5</v>
      </c>
    </row>
    <row r="3270" spans="2:4" x14ac:dyDescent="0.25">
      <c r="B3270" t="s">
        <v>9596</v>
      </c>
      <c r="C3270" s="71">
        <v>1</v>
      </c>
      <c r="D3270" s="75">
        <f t="shared" ref="D3270:D3333" si="53">C3270/$C$4822</f>
        <v>1.402898388069752E-5</v>
      </c>
    </row>
    <row r="3271" spans="2:4" x14ac:dyDescent="0.25">
      <c r="B3271" t="s">
        <v>9597</v>
      </c>
      <c r="C3271" s="71">
        <v>1</v>
      </c>
      <c r="D3271" s="75">
        <f t="shared" si="53"/>
        <v>1.402898388069752E-5</v>
      </c>
    </row>
    <row r="3272" spans="2:4" x14ac:dyDescent="0.25">
      <c r="B3272" t="s">
        <v>9598</v>
      </c>
      <c r="C3272" s="71">
        <v>1</v>
      </c>
      <c r="D3272" s="75">
        <f t="shared" si="53"/>
        <v>1.402898388069752E-5</v>
      </c>
    </row>
    <row r="3273" spans="2:4" x14ac:dyDescent="0.25">
      <c r="B3273" t="s">
        <v>9599</v>
      </c>
      <c r="C3273" s="71">
        <v>1</v>
      </c>
      <c r="D3273" s="75">
        <f t="shared" si="53"/>
        <v>1.402898388069752E-5</v>
      </c>
    </row>
    <row r="3274" spans="2:4" x14ac:dyDescent="0.25">
      <c r="B3274" t="s">
        <v>9600</v>
      </c>
      <c r="C3274" s="71">
        <v>1</v>
      </c>
      <c r="D3274" s="75">
        <f t="shared" si="53"/>
        <v>1.402898388069752E-5</v>
      </c>
    </row>
    <row r="3275" spans="2:4" x14ac:dyDescent="0.25">
      <c r="B3275" t="s">
        <v>9601</v>
      </c>
      <c r="C3275" s="71">
        <v>1</v>
      </c>
      <c r="D3275" s="75">
        <f t="shared" si="53"/>
        <v>1.402898388069752E-5</v>
      </c>
    </row>
    <row r="3276" spans="2:4" x14ac:dyDescent="0.25">
      <c r="B3276" t="s">
        <v>9602</v>
      </c>
      <c r="C3276" s="71">
        <v>1</v>
      </c>
      <c r="D3276" s="75">
        <f t="shared" si="53"/>
        <v>1.402898388069752E-5</v>
      </c>
    </row>
    <row r="3277" spans="2:4" x14ac:dyDescent="0.25">
      <c r="B3277" t="s">
        <v>9603</v>
      </c>
      <c r="C3277" s="71">
        <v>1</v>
      </c>
      <c r="D3277" s="75">
        <f t="shared" si="53"/>
        <v>1.402898388069752E-5</v>
      </c>
    </row>
    <row r="3278" spans="2:4" x14ac:dyDescent="0.25">
      <c r="B3278" t="s">
        <v>9604</v>
      </c>
      <c r="C3278" s="71">
        <v>1</v>
      </c>
      <c r="D3278" s="75">
        <f t="shared" si="53"/>
        <v>1.402898388069752E-5</v>
      </c>
    </row>
    <row r="3279" spans="2:4" x14ac:dyDescent="0.25">
      <c r="B3279" t="s">
        <v>9605</v>
      </c>
      <c r="C3279" s="71">
        <v>1</v>
      </c>
      <c r="D3279" s="75">
        <f t="shared" si="53"/>
        <v>1.402898388069752E-5</v>
      </c>
    </row>
    <row r="3280" spans="2:4" x14ac:dyDescent="0.25">
      <c r="B3280" t="s">
        <v>9606</v>
      </c>
      <c r="C3280" s="71">
        <v>1</v>
      </c>
      <c r="D3280" s="75">
        <f t="shared" si="53"/>
        <v>1.402898388069752E-5</v>
      </c>
    </row>
    <row r="3281" spans="2:4" x14ac:dyDescent="0.25">
      <c r="B3281" t="s">
        <v>9607</v>
      </c>
      <c r="C3281" s="71">
        <v>1</v>
      </c>
      <c r="D3281" s="75">
        <f t="shared" si="53"/>
        <v>1.402898388069752E-5</v>
      </c>
    </row>
    <row r="3282" spans="2:4" x14ac:dyDescent="0.25">
      <c r="B3282" t="s">
        <v>9608</v>
      </c>
      <c r="C3282" s="71">
        <v>1</v>
      </c>
      <c r="D3282" s="75">
        <f t="shared" si="53"/>
        <v>1.402898388069752E-5</v>
      </c>
    </row>
    <row r="3283" spans="2:4" x14ac:dyDescent="0.25">
      <c r="B3283" t="s">
        <v>9609</v>
      </c>
      <c r="C3283" s="71">
        <v>1</v>
      </c>
      <c r="D3283" s="75">
        <f t="shared" si="53"/>
        <v>1.402898388069752E-5</v>
      </c>
    </row>
    <row r="3284" spans="2:4" x14ac:dyDescent="0.25">
      <c r="B3284" t="s">
        <v>9610</v>
      </c>
      <c r="C3284" s="71">
        <v>1</v>
      </c>
      <c r="D3284" s="75">
        <f t="shared" si="53"/>
        <v>1.402898388069752E-5</v>
      </c>
    </row>
    <row r="3285" spans="2:4" x14ac:dyDescent="0.25">
      <c r="B3285" t="s">
        <v>9611</v>
      </c>
      <c r="C3285" s="71">
        <v>1</v>
      </c>
      <c r="D3285" s="75">
        <f t="shared" si="53"/>
        <v>1.402898388069752E-5</v>
      </c>
    </row>
    <row r="3286" spans="2:4" x14ac:dyDescent="0.25">
      <c r="B3286" t="s">
        <v>9612</v>
      </c>
      <c r="C3286" s="71">
        <v>1</v>
      </c>
      <c r="D3286" s="75">
        <f t="shared" si="53"/>
        <v>1.402898388069752E-5</v>
      </c>
    </row>
    <row r="3287" spans="2:4" x14ac:dyDescent="0.25">
      <c r="B3287" t="s">
        <v>9613</v>
      </c>
      <c r="C3287" s="71">
        <v>1</v>
      </c>
      <c r="D3287" s="75">
        <f t="shared" si="53"/>
        <v>1.402898388069752E-5</v>
      </c>
    </row>
    <row r="3288" spans="2:4" x14ac:dyDescent="0.25">
      <c r="B3288" t="s">
        <v>9614</v>
      </c>
      <c r="C3288" s="71">
        <v>1</v>
      </c>
      <c r="D3288" s="75">
        <f t="shared" si="53"/>
        <v>1.402898388069752E-5</v>
      </c>
    </row>
    <row r="3289" spans="2:4" x14ac:dyDescent="0.25">
      <c r="B3289" t="s">
        <v>9615</v>
      </c>
      <c r="C3289" s="71">
        <v>1</v>
      </c>
      <c r="D3289" s="75">
        <f t="shared" si="53"/>
        <v>1.402898388069752E-5</v>
      </c>
    </row>
    <row r="3290" spans="2:4" x14ac:dyDescent="0.25">
      <c r="B3290" t="s">
        <v>9616</v>
      </c>
      <c r="C3290" s="71">
        <v>1</v>
      </c>
      <c r="D3290" s="75">
        <f t="shared" si="53"/>
        <v>1.402898388069752E-5</v>
      </c>
    </row>
    <row r="3291" spans="2:4" x14ac:dyDescent="0.25">
      <c r="B3291" t="s">
        <v>9617</v>
      </c>
      <c r="C3291" s="71">
        <v>1</v>
      </c>
      <c r="D3291" s="75">
        <f t="shared" si="53"/>
        <v>1.402898388069752E-5</v>
      </c>
    </row>
    <row r="3292" spans="2:4" x14ac:dyDescent="0.25">
      <c r="B3292" t="s">
        <v>9618</v>
      </c>
      <c r="C3292" s="71">
        <v>1</v>
      </c>
      <c r="D3292" s="75">
        <f t="shared" si="53"/>
        <v>1.402898388069752E-5</v>
      </c>
    </row>
    <row r="3293" spans="2:4" x14ac:dyDescent="0.25">
      <c r="B3293" t="s">
        <v>9619</v>
      </c>
      <c r="C3293" s="71">
        <v>1</v>
      </c>
      <c r="D3293" s="75">
        <f t="shared" si="53"/>
        <v>1.402898388069752E-5</v>
      </c>
    </row>
    <row r="3294" spans="2:4" x14ac:dyDescent="0.25">
      <c r="B3294" t="s">
        <v>9620</v>
      </c>
      <c r="C3294" s="71">
        <v>1</v>
      </c>
      <c r="D3294" s="75">
        <f t="shared" si="53"/>
        <v>1.402898388069752E-5</v>
      </c>
    </row>
    <row r="3295" spans="2:4" x14ac:dyDescent="0.25">
      <c r="B3295" t="s">
        <v>9621</v>
      </c>
      <c r="C3295" s="71">
        <v>1</v>
      </c>
      <c r="D3295" s="75">
        <f t="shared" si="53"/>
        <v>1.402898388069752E-5</v>
      </c>
    </row>
    <row r="3296" spans="2:4" x14ac:dyDescent="0.25">
      <c r="B3296" t="s">
        <v>9622</v>
      </c>
      <c r="C3296" s="71">
        <v>1</v>
      </c>
      <c r="D3296" s="75">
        <f t="shared" si="53"/>
        <v>1.402898388069752E-5</v>
      </c>
    </row>
    <row r="3297" spans="2:4" x14ac:dyDescent="0.25">
      <c r="B3297" t="s">
        <v>9623</v>
      </c>
      <c r="C3297" s="71">
        <v>1</v>
      </c>
      <c r="D3297" s="75">
        <f t="shared" si="53"/>
        <v>1.402898388069752E-5</v>
      </c>
    </row>
    <row r="3298" spans="2:4" x14ac:dyDescent="0.25">
      <c r="B3298" t="s">
        <v>9624</v>
      </c>
      <c r="C3298" s="71">
        <v>1</v>
      </c>
      <c r="D3298" s="75">
        <f t="shared" si="53"/>
        <v>1.402898388069752E-5</v>
      </c>
    </row>
    <row r="3299" spans="2:4" x14ac:dyDescent="0.25">
      <c r="B3299" t="s">
        <v>9625</v>
      </c>
      <c r="C3299" s="71">
        <v>1</v>
      </c>
      <c r="D3299" s="75">
        <f t="shared" si="53"/>
        <v>1.402898388069752E-5</v>
      </c>
    </row>
    <row r="3300" spans="2:4" x14ac:dyDescent="0.25">
      <c r="B3300" t="s">
        <v>9626</v>
      </c>
      <c r="C3300" s="71">
        <v>1</v>
      </c>
      <c r="D3300" s="75">
        <f t="shared" si="53"/>
        <v>1.402898388069752E-5</v>
      </c>
    </row>
    <row r="3301" spans="2:4" x14ac:dyDescent="0.25">
      <c r="B3301" t="s">
        <v>9627</v>
      </c>
      <c r="C3301" s="71">
        <v>1</v>
      </c>
      <c r="D3301" s="75">
        <f t="shared" si="53"/>
        <v>1.402898388069752E-5</v>
      </c>
    </row>
    <row r="3302" spans="2:4" x14ac:dyDescent="0.25">
      <c r="B3302" t="s">
        <v>9628</v>
      </c>
      <c r="C3302" s="71">
        <v>1</v>
      </c>
      <c r="D3302" s="75">
        <f t="shared" si="53"/>
        <v>1.402898388069752E-5</v>
      </c>
    </row>
    <row r="3303" spans="2:4" x14ac:dyDescent="0.25">
      <c r="B3303" t="s">
        <v>9629</v>
      </c>
      <c r="C3303" s="71">
        <v>1</v>
      </c>
      <c r="D3303" s="75">
        <f t="shared" si="53"/>
        <v>1.402898388069752E-5</v>
      </c>
    </row>
    <row r="3304" spans="2:4" x14ac:dyDescent="0.25">
      <c r="B3304" t="s">
        <v>9630</v>
      </c>
      <c r="C3304" s="71">
        <v>1</v>
      </c>
      <c r="D3304" s="75">
        <f t="shared" si="53"/>
        <v>1.402898388069752E-5</v>
      </c>
    </row>
    <row r="3305" spans="2:4" x14ac:dyDescent="0.25">
      <c r="B3305" t="s">
        <v>9631</v>
      </c>
      <c r="C3305" s="71">
        <v>1</v>
      </c>
      <c r="D3305" s="75">
        <f t="shared" si="53"/>
        <v>1.402898388069752E-5</v>
      </c>
    </row>
    <row r="3306" spans="2:4" x14ac:dyDescent="0.25">
      <c r="B3306" t="s">
        <v>9632</v>
      </c>
      <c r="C3306" s="71">
        <v>1</v>
      </c>
      <c r="D3306" s="75">
        <f t="shared" si="53"/>
        <v>1.402898388069752E-5</v>
      </c>
    </row>
    <row r="3307" spans="2:4" x14ac:dyDescent="0.25">
      <c r="B3307" t="s">
        <v>9633</v>
      </c>
      <c r="C3307" s="71">
        <v>1</v>
      </c>
      <c r="D3307" s="75">
        <f t="shared" si="53"/>
        <v>1.402898388069752E-5</v>
      </c>
    </row>
    <row r="3308" spans="2:4" x14ac:dyDescent="0.25">
      <c r="B3308" t="s">
        <v>9634</v>
      </c>
      <c r="C3308" s="71">
        <v>1</v>
      </c>
      <c r="D3308" s="75">
        <f t="shared" si="53"/>
        <v>1.402898388069752E-5</v>
      </c>
    </row>
    <row r="3309" spans="2:4" x14ac:dyDescent="0.25">
      <c r="B3309" t="s">
        <v>9635</v>
      </c>
      <c r="C3309" s="71">
        <v>1</v>
      </c>
      <c r="D3309" s="75">
        <f t="shared" si="53"/>
        <v>1.402898388069752E-5</v>
      </c>
    </row>
    <row r="3310" spans="2:4" x14ac:dyDescent="0.25">
      <c r="B3310" t="s">
        <v>9636</v>
      </c>
      <c r="C3310" s="71">
        <v>1</v>
      </c>
      <c r="D3310" s="75">
        <f t="shared" si="53"/>
        <v>1.402898388069752E-5</v>
      </c>
    </row>
    <row r="3311" spans="2:4" x14ac:dyDescent="0.25">
      <c r="B3311" t="s">
        <v>9637</v>
      </c>
      <c r="C3311" s="71">
        <v>1</v>
      </c>
      <c r="D3311" s="75">
        <f t="shared" si="53"/>
        <v>1.402898388069752E-5</v>
      </c>
    </row>
    <row r="3312" spans="2:4" x14ac:dyDescent="0.25">
      <c r="B3312" t="s">
        <v>9638</v>
      </c>
      <c r="C3312" s="71">
        <v>1</v>
      </c>
      <c r="D3312" s="75">
        <f t="shared" si="53"/>
        <v>1.402898388069752E-5</v>
      </c>
    </row>
    <row r="3313" spans="2:4" x14ac:dyDescent="0.25">
      <c r="B3313" t="s">
        <v>9639</v>
      </c>
      <c r="C3313" s="71">
        <v>1</v>
      </c>
      <c r="D3313" s="75">
        <f t="shared" si="53"/>
        <v>1.402898388069752E-5</v>
      </c>
    </row>
    <row r="3314" spans="2:4" x14ac:dyDescent="0.25">
      <c r="B3314" t="s">
        <v>9640</v>
      </c>
      <c r="C3314" s="71">
        <v>1</v>
      </c>
      <c r="D3314" s="75">
        <f t="shared" si="53"/>
        <v>1.402898388069752E-5</v>
      </c>
    </row>
    <row r="3315" spans="2:4" x14ac:dyDescent="0.25">
      <c r="B3315" t="s">
        <v>9641</v>
      </c>
      <c r="C3315" s="71">
        <v>1</v>
      </c>
      <c r="D3315" s="75">
        <f t="shared" si="53"/>
        <v>1.402898388069752E-5</v>
      </c>
    </row>
    <row r="3316" spans="2:4" x14ac:dyDescent="0.25">
      <c r="B3316" t="s">
        <v>9642</v>
      </c>
      <c r="C3316" s="71">
        <v>1</v>
      </c>
      <c r="D3316" s="75">
        <f t="shared" si="53"/>
        <v>1.402898388069752E-5</v>
      </c>
    </row>
    <row r="3317" spans="2:4" x14ac:dyDescent="0.25">
      <c r="B3317" t="s">
        <v>9643</v>
      </c>
      <c r="C3317" s="71">
        <v>1</v>
      </c>
      <c r="D3317" s="75">
        <f t="shared" si="53"/>
        <v>1.402898388069752E-5</v>
      </c>
    </row>
    <row r="3318" spans="2:4" x14ac:dyDescent="0.25">
      <c r="B3318" t="s">
        <v>9644</v>
      </c>
      <c r="C3318" s="71">
        <v>1</v>
      </c>
      <c r="D3318" s="75">
        <f t="shared" si="53"/>
        <v>1.402898388069752E-5</v>
      </c>
    </row>
    <row r="3319" spans="2:4" x14ac:dyDescent="0.25">
      <c r="B3319" t="s">
        <v>9645</v>
      </c>
      <c r="C3319" s="71">
        <v>1</v>
      </c>
      <c r="D3319" s="75">
        <f t="shared" si="53"/>
        <v>1.402898388069752E-5</v>
      </c>
    </row>
    <row r="3320" spans="2:4" x14ac:dyDescent="0.25">
      <c r="B3320" t="s">
        <v>9646</v>
      </c>
      <c r="C3320" s="71">
        <v>1</v>
      </c>
      <c r="D3320" s="75">
        <f t="shared" si="53"/>
        <v>1.402898388069752E-5</v>
      </c>
    </row>
    <row r="3321" spans="2:4" x14ac:dyDescent="0.25">
      <c r="B3321" t="s">
        <v>9647</v>
      </c>
      <c r="C3321" s="71">
        <v>1</v>
      </c>
      <c r="D3321" s="75">
        <f t="shared" si="53"/>
        <v>1.402898388069752E-5</v>
      </c>
    </row>
    <row r="3322" spans="2:4" x14ac:dyDescent="0.25">
      <c r="B3322" t="s">
        <v>9648</v>
      </c>
      <c r="C3322" s="71">
        <v>1</v>
      </c>
      <c r="D3322" s="75">
        <f t="shared" si="53"/>
        <v>1.402898388069752E-5</v>
      </c>
    </row>
    <row r="3323" spans="2:4" x14ac:dyDescent="0.25">
      <c r="B3323" t="s">
        <v>9649</v>
      </c>
      <c r="C3323" s="71">
        <v>1</v>
      </c>
      <c r="D3323" s="75">
        <f t="shared" si="53"/>
        <v>1.402898388069752E-5</v>
      </c>
    </row>
    <row r="3324" spans="2:4" x14ac:dyDescent="0.25">
      <c r="B3324" t="s">
        <v>9650</v>
      </c>
      <c r="C3324" s="71">
        <v>1</v>
      </c>
      <c r="D3324" s="75">
        <f t="shared" si="53"/>
        <v>1.402898388069752E-5</v>
      </c>
    </row>
    <row r="3325" spans="2:4" x14ac:dyDescent="0.25">
      <c r="B3325" t="s">
        <v>9651</v>
      </c>
      <c r="C3325" s="71">
        <v>1</v>
      </c>
      <c r="D3325" s="75">
        <f t="shared" si="53"/>
        <v>1.402898388069752E-5</v>
      </c>
    </row>
    <row r="3326" spans="2:4" x14ac:dyDescent="0.25">
      <c r="B3326" t="s">
        <v>9652</v>
      </c>
      <c r="C3326" s="71">
        <v>1</v>
      </c>
      <c r="D3326" s="75">
        <f t="shared" si="53"/>
        <v>1.402898388069752E-5</v>
      </c>
    </row>
    <row r="3327" spans="2:4" x14ac:dyDescent="0.25">
      <c r="B3327" t="s">
        <v>9653</v>
      </c>
      <c r="C3327" s="71">
        <v>1</v>
      </c>
      <c r="D3327" s="75">
        <f t="shared" si="53"/>
        <v>1.402898388069752E-5</v>
      </c>
    </row>
    <row r="3328" spans="2:4" x14ac:dyDescent="0.25">
      <c r="B3328" t="s">
        <v>9654</v>
      </c>
      <c r="C3328" s="71">
        <v>1</v>
      </c>
      <c r="D3328" s="75">
        <f t="shared" si="53"/>
        <v>1.402898388069752E-5</v>
      </c>
    </row>
    <row r="3329" spans="2:4" x14ac:dyDescent="0.25">
      <c r="B3329" t="s">
        <v>9655</v>
      </c>
      <c r="C3329" s="71">
        <v>1</v>
      </c>
      <c r="D3329" s="75">
        <f t="shared" si="53"/>
        <v>1.402898388069752E-5</v>
      </c>
    </row>
    <row r="3330" spans="2:4" x14ac:dyDescent="0.25">
      <c r="B3330" t="s">
        <v>9656</v>
      </c>
      <c r="C3330" s="71">
        <v>1</v>
      </c>
      <c r="D3330" s="75">
        <f t="shared" si="53"/>
        <v>1.402898388069752E-5</v>
      </c>
    </row>
    <row r="3331" spans="2:4" x14ac:dyDescent="0.25">
      <c r="B3331" t="s">
        <v>9657</v>
      </c>
      <c r="C3331" s="71">
        <v>1</v>
      </c>
      <c r="D3331" s="75">
        <f t="shared" si="53"/>
        <v>1.402898388069752E-5</v>
      </c>
    </row>
    <row r="3332" spans="2:4" x14ac:dyDescent="0.25">
      <c r="B3332" t="s">
        <v>9658</v>
      </c>
      <c r="C3332" s="71">
        <v>1</v>
      </c>
      <c r="D3332" s="75">
        <f t="shared" si="53"/>
        <v>1.402898388069752E-5</v>
      </c>
    </row>
    <row r="3333" spans="2:4" x14ac:dyDescent="0.25">
      <c r="B3333" t="s">
        <v>9659</v>
      </c>
      <c r="C3333" s="71">
        <v>1</v>
      </c>
      <c r="D3333" s="75">
        <f t="shared" si="53"/>
        <v>1.402898388069752E-5</v>
      </c>
    </row>
    <row r="3334" spans="2:4" x14ac:dyDescent="0.25">
      <c r="B3334" t="s">
        <v>9660</v>
      </c>
      <c r="C3334" s="71">
        <v>1</v>
      </c>
      <c r="D3334" s="75">
        <f t="shared" ref="D3334:D3397" si="54">C3334/$C$4822</f>
        <v>1.402898388069752E-5</v>
      </c>
    </row>
    <row r="3335" spans="2:4" x14ac:dyDescent="0.25">
      <c r="B3335" t="s">
        <v>9661</v>
      </c>
      <c r="C3335" s="71">
        <v>1</v>
      </c>
      <c r="D3335" s="75">
        <f t="shared" si="54"/>
        <v>1.402898388069752E-5</v>
      </c>
    </row>
    <row r="3336" spans="2:4" x14ac:dyDescent="0.25">
      <c r="B3336" t="s">
        <v>9662</v>
      </c>
      <c r="C3336" s="71">
        <v>1</v>
      </c>
      <c r="D3336" s="75">
        <f t="shared" si="54"/>
        <v>1.402898388069752E-5</v>
      </c>
    </row>
    <row r="3337" spans="2:4" x14ac:dyDescent="0.25">
      <c r="B3337" t="s">
        <v>9663</v>
      </c>
      <c r="C3337" s="71">
        <v>1</v>
      </c>
      <c r="D3337" s="75">
        <f t="shared" si="54"/>
        <v>1.402898388069752E-5</v>
      </c>
    </row>
    <row r="3338" spans="2:4" x14ac:dyDescent="0.25">
      <c r="B3338" t="s">
        <v>9664</v>
      </c>
      <c r="C3338" s="71">
        <v>1</v>
      </c>
      <c r="D3338" s="75">
        <f t="shared" si="54"/>
        <v>1.402898388069752E-5</v>
      </c>
    </row>
    <row r="3339" spans="2:4" x14ac:dyDescent="0.25">
      <c r="B3339" t="s">
        <v>9665</v>
      </c>
      <c r="C3339" s="71">
        <v>1</v>
      </c>
      <c r="D3339" s="75">
        <f t="shared" si="54"/>
        <v>1.402898388069752E-5</v>
      </c>
    </row>
    <row r="3340" spans="2:4" x14ac:dyDescent="0.25">
      <c r="B3340" t="s">
        <v>9666</v>
      </c>
      <c r="C3340" s="71">
        <v>1</v>
      </c>
      <c r="D3340" s="75">
        <f t="shared" si="54"/>
        <v>1.402898388069752E-5</v>
      </c>
    </row>
    <row r="3341" spans="2:4" x14ac:dyDescent="0.25">
      <c r="B3341" t="s">
        <v>9667</v>
      </c>
      <c r="C3341" s="71">
        <v>1</v>
      </c>
      <c r="D3341" s="75">
        <f t="shared" si="54"/>
        <v>1.402898388069752E-5</v>
      </c>
    </row>
    <row r="3342" spans="2:4" x14ac:dyDescent="0.25">
      <c r="B3342" t="s">
        <v>9668</v>
      </c>
      <c r="C3342" s="71">
        <v>1</v>
      </c>
      <c r="D3342" s="75">
        <f t="shared" si="54"/>
        <v>1.402898388069752E-5</v>
      </c>
    </row>
    <row r="3343" spans="2:4" x14ac:dyDescent="0.25">
      <c r="B3343" t="s">
        <v>9669</v>
      </c>
      <c r="C3343" s="71">
        <v>1</v>
      </c>
      <c r="D3343" s="75">
        <f t="shared" si="54"/>
        <v>1.402898388069752E-5</v>
      </c>
    </row>
    <row r="3344" spans="2:4" x14ac:dyDescent="0.25">
      <c r="B3344" t="s">
        <v>9670</v>
      </c>
      <c r="C3344" s="71">
        <v>1</v>
      </c>
      <c r="D3344" s="75">
        <f t="shared" si="54"/>
        <v>1.402898388069752E-5</v>
      </c>
    </row>
    <row r="3345" spans="2:4" x14ac:dyDescent="0.25">
      <c r="B3345" t="s">
        <v>9671</v>
      </c>
      <c r="C3345" s="71">
        <v>1</v>
      </c>
      <c r="D3345" s="75">
        <f t="shared" si="54"/>
        <v>1.402898388069752E-5</v>
      </c>
    </row>
    <row r="3346" spans="2:4" x14ac:dyDescent="0.25">
      <c r="B3346" t="s">
        <v>9672</v>
      </c>
      <c r="C3346" s="71">
        <v>1</v>
      </c>
      <c r="D3346" s="75">
        <f t="shared" si="54"/>
        <v>1.402898388069752E-5</v>
      </c>
    </row>
    <row r="3347" spans="2:4" x14ac:dyDescent="0.25">
      <c r="B3347" t="s">
        <v>9673</v>
      </c>
      <c r="C3347" s="71">
        <v>1</v>
      </c>
      <c r="D3347" s="75">
        <f t="shared" si="54"/>
        <v>1.402898388069752E-5</v>
      </c>
    </row>
    <row r="3348" spans="2:4" x14ac:dyDescent="0.25">
      <c r="B3348" t="s">
        <v>9674</v>
      </c>
      <c r="C3348" s="71">
        <v>1</v>
      </c>
      <c r="D3348" s="75">
        <f t="shared" si="54"/>
        <v>1.402898388069752E-5</v>
      </c>
    </row>
    <row r="3349" spans="2:4" x14ac:dyDescent="0.25">
      <c r="B3349" t="s">
        <v>9675</v>
      </c>
      <c r="C3349" s="71">
        <v>1</v>
      </c>
      <c r="D3349" s="75">
        <f t="shared" si="54"/>
        <v>1.402898388069752E-5</v>
      </c>
    </row>
    <row r="3350" spans="2:4" x14ac:dyDescent="0.25">
      <c r="B3350" t="s">
        <v>9676</v>
      </c>
      <c r="C3350" s="71">
        <v>1</v>
      </c>
      <c r="D3350" s="75">
        <f t="shared" si="54"/>
        <v>1.402898388069752E-5</v>
      </c>
    </row>
    <row r="3351" spans="2:4" x14ac:dyDescent="0.25">
      <c r="B3351" t="s">
        <v>9677</v>
      </c>
      <c r="C3351" s="71">
        <v>1</v>
      </c>
      <c r="D3351" s="75">
        <f t="shared" si="54"/>
        <v>1.402898388069752E-5</v>
      </c>
    </row>
    <row r="3352" spans="2:4" x14ac:dyDescent="0.25">
      <c r="B3352" t="s">
        <v>9678</v>
      </c>
      <c r="C3352" s="71">
        <v>1</v>
      </c>
      <c r="D3352" s="75">
        <f t="shared" si="54"/>
        <v>1.402898388069752E-5</v>
      </c>
    </row>
    <row r="3353" spans="2:4" x14ac:dyDescent="0.25">
      <c r="B3353" t="s">
        <v>9679</v>
      </c>
      <c r="C3353" s="71">
        <v>1</v>
      </c>
      <c r="D3353" s="75">
        <f t="shared" si="54"/>
        <v>1.402898388069752E-5</v>
      </c>
    </row>
    <row r="3354" spans="2:4" x14ac:dyDescent="0.25">
      <c r="B3354" t="s">
        <v>9680</v>
      </c>
      <c r="C3354" s="71">
        <v>1</v>
      </c>
      <c r="D3354" s="75">
        <f t="shared" si="54"/>
        <v>1.402898388069752E-5</v>
      </c>
    </row>
    <row r="3355" spans="2:4" x14ac:dyDescent="0.25">
      <c r="B3355" t="s">
        <v>9681</v>
      </c>
      <c r="C3355" s="71">
        <v>1</v>
      </c>
      <c r="D3355" s="75">
        <f t="shared" si="54"/>
        <v>1.402898388069752E-5</v>
      </c>
    </row>
    <row r="3356" spans="2:4" x14ac:dyDescent="0.25">
      <c r="B3356" t="s">
        <v>9682</v>
      </c>
      <c r="C3356" s="71">
        <v>1</v>
      </c>
      <c r="D3356" s="75">
        <f t="shared" si="54"/>
        <v>1.402898388069752E-5</v>
      </c>
    </row>
    <row r="3357" spans="2:4" x14ac:dyDescent="0.25">
      <c r="B3357" t="s">
        <v>9683</v>
      </c>
      <c r="C3357" s="71">
        <v>1</v>
      </c>
      <c r="D3357" s="75">
        <f t="shared" si="54"/>
        <v>1.402898388069752E-5</v>
      </c>
    </row>
    <row r="3358" spans="2:4" x14ac:dyDescent="0.25">
      <c r="B3358" t="s">
        <v>9684</v>
      </c>
      <c r="C3358" s="71">
        <v>1</v>
      </c>
      <c r="D3358" s="75">
        <f t="shared" si="54"/>
        <v>1.402898388069752E-5</v>
      </c>
    </row>
    <row r="3359" spans="2:4" x14ac:dyDescent="0.25">
      <c r="B3359" t="s">
        <v>9685</v>
      </c>
      <c r="C3359" s="71">
        <v>1</v>
      </c>
      <c r="D3359" s="75">
        <f t="shared" si="54"/>
        <v>1.402898388069752E-5</v>
      </c>
    </row>
    <row r="3360" spans="2:4" x14ac:dyDescent="0.25">
      <c r="B3360" t="s">
        <v>9686</v>
      </c>
      <c r="C3360" s="71">
        <v>1</v>
      </c>
      <c r="D3360" s="75">
        <f t="shared" si="54"/>
        <v>1.402898388069752E-5</v>
      </c>
    </row>
    <row r="3361" spans="2:4" x14ac:dyDescent="0.25">
      <c r="B3361" t="s">
        <v>9687</v>
      </c>
      <c r="C3361" s="71">
        <v>1</v>
      </c>
      <c r="D3361" s="75">
        <f t="shared" si="54"/>
        <v>1.402898388069752E-5</v>
      </c>
    </row>
    <row r="3362" spans="2:4" x14ac:dyDescent="0.25">
      <c r="B3362" t="s">
        <v>9688</v>
      </c>
      <c r="C3362" s="71">
        <v>1</v>
      </c>
      <c r="D3362" s="75">
        <f t="shared" si="54"/>
        <v>1.402898388069752E-5</v>
      </c>
    </row>
    <row r="3363" spans="2:4" x14ac:dyDescent="0.25">
      <c r="B3363" t="s">
        <v>9689</v>
      </c>
      <c r="C3363" s="71">
        <v>1</v>
      </c>
      <c r="D3363" s="75">
        <f t="shared" si="54"/>
        <v>1.402898388069752E-5</v>
      </c>
    </row>
    <row r="3364" spans="2:4" x14ac:dyDescent="0.25">
      <c r="B3364" t="s">
        <v>9690</v>
      </c>
      <c r="C3364" s="71">
        <v>1</v>
      </c>
      <c r="D3364" s="75">
        <f t="shared" si="54"/>
        <v>1.402898388069752E-5</v>
      </c>
    </row>
    <row r="3365" spans="2:4" x14ac:dyDescent="0.25">
      <c r="B3365" t="s">
        <v>9691</v>
      </c>
      <c r="C3365" s="71">
        <v>1</v>
      </c>
      <c r="D3365" s="75">
        <f t="shared" si="54"/>
        <v>1.402898388069752E-5</v>
      </c>
    </row>
    <row r="3366" spans="2:4" x14ac:dyDescent="0.25">
      <c r="B3366" t="s">
        <v>9692</v>
      </c>
      <c r="C3366" s="71">
        <v>1</v>
      </c>
      <c r="D3366" s="75">
        <f t="shared" si="54"/>
        <v>1.402898388069752E-5</v>
      </c>
    </row>
    <row r="3367" spans="2:4" x14ac:dyDescent="0.25">
      <c r="B3367" t="s">
        <v>9693</v>
      </c>
      <c r="C3367" s="71">
        <v>1</v>
      </c>
      <c r="D3367" s="75">
        <f t="shared" si="54"/>
        <v>1.402898388069752E-5</v>
      </c>
    </row>
    <row r="3368" spans="2:4" x14ac:dyDescent="0.25">
      <c r="B3368" t="s">
        <v>9694</v>
      </c>
      <c r="C3368" s="71">
        <v>1</v>
      </c>
      <c r="D3368" s="75">
        <f t="shared" si="54"/>
        <v>1.402898388069752E-5</v>
      </c>
    </row>
    <row r="3369" spans="2:4" x14ac:dyDescent="0.25">
      <c r="B3369" t="s">
        <v>9695</v>
      </c>
      <c r="C3369" s="71">
        <v>1</v>
      </c>
      <c r="D3369" s="75">
        <f t="shared" si="54"/>
        <v>1.402898388069752E-5</v>
      </c>
    </row>
    <row r="3370" spans="2:4" x14ac:dyDescent="0.25">
      <c r="B3370" t="s">
        <v>9696</v>
      </c>
      <c r="C3370" s="71">
        <v>1</v>
      </c>
      <c r="D3370" s="75">
        <f t="shared" si="54"/>
        <v>1.402898388069752E-5</v>
      </c>
    </row>
    <row r="3371" spans="2:4" x14ac:dyDescent="0.25">
      <c r="B3371" t="s">
        <v>9697</v>
      </c>
      <c r="C3371" s="71">
        <v>1</v>
      </c>
      <c r="D3371" s="75">
        <f t="shared" si="54"/>
        <v>1.402898388069752E-5</v>
      </c>
    </row>
    <row r="3372" spans="2:4" x14ac:dyDescent="0.25">
      <c r="B3372" t="s">
        <v>9698</v>
      </c>
      <c r="C3372" s="71">
        <v>1</v>
      </c>
      <c r="D3372" s="75">
        <f t="shared" si="54"/>
        <v>1.402898388069752E-5</v>
      </c>
    </row>
    <row r="3373" spans="2:4" x14ac:dyDescent="0.25">
      <c r="B3373" t="s">
        <v>9699</v>
      </c>
      <c r="C3373" s="71">
        <v>1</v>
      </c>
      <c r="D3373" s="75">
        <f t="shared" si="54"/>
        <v>1.402898388069752E-5</v>
      </c>
    </row>
    <row r="3374" spans="2:4" x14ac:dyDescent="0.25">
      <c r="B3374" t="s">
        <v>9700</v>
      </c>
      <c r="C3374" s="71">
        <v>1</v>
      </c>
      <c r="D3374" s="75">
        <f t="shared" si="54"/>
        <v>1.402898388069752E-5</v>
      </c>
    </row>
    <row r="3375" spans="2:4" x14ac:dyDescent="0.25">
      <c r="B3375" t="s">
        <v>9701</v>
      </c>
      <c r="C3375" s="71">
        <v>1</v>
      </c>
      <c r="D3375" s="75">
        <f t="shared" si="54"/>
        <v>1.402898388069752E-5</v>
      </c>
    </row>
    <row r="3376" spans="2:4" x14ac:dyDescent="0.25">
      <c r="B3376" t="s">
        <v>9702</v>
      </c>
      <c r="C3376" s="71">
        <v>1</v>
      </c>
      <c r="D3376" s="75">
        <f t="shared" si="54"/>
        <v>1.402898388069752E-5</v>
      </c>
    </row>
    <row r="3377" spans="2:4" x14ac:dyDescent="0.25">
      <c r="B3377" t="s">
        <v>9703</v>
      </c>
      <c r="C3377" s="71">
        <v>1</v>
      </c>
      <c r="D3377" s="75">
        <f t="shared" si="54"/>
        <v>1.402898388069752E-5</v>
      </c>
    </row>
    <row r="3378" spans="2:4" x14ac:dyDescent="0.25">
      <c r="B3378" t="s">
        <v>9704</v>
      </c>
      <c r="C3378" s="71">
        <v>1</v>
      </c>
      <c r="D3378" s="75">
        <f t="shared" si="54"/>
        <v>1.402898388069752E-5</v>
      </c>
    </row>
    <row r="3379" spans="2:4" x14ac:dyDescent="0.25">
      <c r="B3379" t="s">
        <v>9705</v>
      </c>
      <c r="C3379" s="71">
        <v>1</v>
      </c>
      <c r="D3379" s="75">
        <f t="shared" si="54"/>
        <v>1.402898388069752E-5</v>
      </c>
    </row>
    <row r="3380" spans="2:4" x14ac:dyDescent="0.25">
      <c r="B3380" t="s">
        <v>9706</v>
      </c>
      <c r="C3380" s="71">
        <v>1</v>
      </c>
      <c r="D3380" s="75">
        <f t="shared" si="54"/>
        <v>1.402898388069752E-5</v>
      </c>
    </row>
    <row r="3381" spans="2:4" x14ac:dyDescent="0.25">
      <c r="B3381" t="s">
        <v>9707</v>
      </c>
      <c r="C3381" s="71">
        <v>1</v>
      </c>
      <c r="D3381" s="75">
        <f t="shared" si="54"/>
        <v>1.402898388069752E-5</v>
      </c>
    </row>
    <row r="3382" spans="2:4" x14ac:dyDescent="0.25">
      <c r="B3382" t="s">
        <v>9708</v>
      </c>
      <c r="C3382" s="71">
        <v>1</v>
      </c>
      <c r="D3382" s="75">
        <f t="shared" si="54"/>
        <v>1.402898388069752E-5</v>
      </c>
    </row>
    <row r="3383" spans="2:4" x14ac:dyDescent="0.25">
      <c r="B3383" t="s">
        <v>9709</v>
      </c>
      <c r="C3383" s="71">
        <v>1</v>
      </c>
      <c r="D3383" s="75">
        <f t="shared" si="54"/>
        <v>1.402898388069752E-5</v>
      </c>
    </row>
    <row r="3384" spans="2:4" x14ac:dyDescent="0.25">
      <c r="B3384" t="s">
        <v>9710</v>
      </c>
      <c r="C3384" s="71">
        <v>1</v>
      </c>
      <c r="D3384" s="75">
        <f t="shared" si="54"/>
        <v>1.402898388069752E-5</v>
      </c>
    </row>
    <row r="3385" spans="2:4" x14ac:dyDescent="0.25">
      <c r="B3385" t="s">
        <v>9711</v>
      </c>
      <c r="C3385" s="71">
        <v>1</v>
      </c>
      <c r="D3385" s="75">
        <f t="shared" si="54"/>
        <v>1.402898388069752E-5</v>
      </c>
    </row>
    <row r="3386" spans="2:4" x14ac:dyDescent="0.25">
      <c r="B3386" t="s">
        <v>9712</v>
      </c>
      <c r="C3386" s="71">
        <v>1</v>
      </c>
      <c r="D3386" s="75">
        <f t="shared" si="54"/>
        <v>1.402898388069752E-5</v>
      </c>
    </row>
    <row r="3387" spans="2:4" x14ac:dyDescent="0.25">
      <c r="B3387" t="s">
        <v>9713</v>
      </c>
      <c r="C3387" s="71">
        <v>1</v>
      </c>
      <c r="D3387" s="75">
        <f t="shared" si="54"/>
        <v>1.402898388069752E-5</v>
      </c>
    </row>
    <row r="3388" spans="2:4" x14ac:dyDescent="0.25">
      <c r="B3388" t="s">
        <v>9714</v>
      </c>
      <c r="C3388" s="71">
        <v>1</v>
      </c>
      <c r="D3388" s="75">
        <f t="shared" si="54"/>
        <v>1.402898388069752E-5</v>
      </c>
    </row>
    <row r="3389" spans="2:4" x14ac:dyDescent="0.25">
      <c r="B3389" t="s">
        <v>9715</v>
      </c>
      <c r="C3389" s="71">
        <v>1</v>
      </c>
      <c r="D3389" s="75">
        <f t="shared" si="54"/>
        <v>1.402898388069752E-5</v>
      </c>
    </row>
    <row r="3390" spans="2:4" x14ac:dyDescent="0.25">
      <c r="B3390" t="s">
        <v>9716</v>
      </c>
      <c r="C3390" s="71">
        <v>1</v>
      </c>
      <c r="D3390" s="75">
        <f t="shared" si="54"/>
        <v>1.402898388069752E-5</v>
      </c>
    </row>
    <row r="3391" spans="2:4" x14ac:dyDescent="0.25">
      <c r="B3391" t="s">
        <v>9717</v>
      </c>
      <c r="C3391" s="71">
        <v>1</v>
      </c>
      <c r="D3391" s="75">
        <f t="shared" si="54"/>
        <v>1.402898388069752E-5</v>
      </c>
    </row>
    <row r="3392" spans="2:4" x14ac:dyDescent="0.25">
      <c r="B3392" t="s">
        <v>9718</v>
      </c>
      <c r="C3392" s="71">
        <v>1</v>
      </c>
      <c r="D3392" s="75">
        <f t="shared" si="54"/>
        <v>1.402898388069752E-5</v>
      </c>
    </row>
    <row r="3393" spans="2:4" x14ac:dyDescent="0.25">
      <c r="B3393" t="s">
        <v>9719</v>
      </c>
      <c r="C3393" s="71">
        <v>1</v>
      </c>
      <c r="D3393" s="75">
        <f t="shared" si="54"/>
        <v>1.402898388069752E-5</v>
      </c>
    </row>
    <row r="3394" spans="2:4" x14ac:dyDescent="0.25">
      <c r="B3394" t="s">
        <v>9720</v>
      </c>
      <c r="C3394" s="71">
        <v>1</v>
      </c>
      <c r="D3394" s="75">
        <f t="shared" si="54"/>
        <v>1.402898388069752E-5</v>
      </c>
    </row>
    <row r="3395" spans="2:4" x14ac:dyDescent="0.25">
      <c r="B3395" t="s">
        <v>9721</v>
      </c>
      <c r="C3395" s="71">
        <v>1</v>
      </c>
      <c r="D3395" s="75">
        <f t="shared" si="54"/>
        <v>1.402898388069752E-5</v>
      </c>
    </row>
    <row r="3396" spans="2:4" x14ac:dyDescent="0.25">
      <c r="B3396" t="s">
        <v>9722</v>
      </c>
      <c r="C3396" s="71">
        <v>1</v>
      </c>
      <c r="D3396" s="75">
        <f t="shared" si="54"/>
        <v>1.402898388069752E-5</v>
      </c>
    </row>
    <row r="3397" spans="2:4" x14ac:dyDescent="0.25">
      <c r="B3397" t="s">
        <v>9723</v>
      </c>
      <c r="C3397" s="71">
        <v>1</v>
      </c>
      <c r="D3397" s="75">
        <f t="shared" si="54"/>
        <v>1.402898388069752E-5</v>
      </c>
    </row>
    <row r="3398" spans="2:4" x14ac:dyDescent="0.25">
      <c r="B3398" t="s">
        <v>9724</v>
      </c>
      <c r="C3398" s="71">
        <v>1</v>
      </c>
      <c r="D3398" s="75">
        <f t="shared" ref="D3398:D3461" si="55">C3398/$C$4822</f>
        <v>1.402898388069752E-5</v>
      </c>
    </row>
    <row r="3399" spans="2:4" x14ac:dyDescent="0.25">
      <c r="B3399" t="s">
        <v>9725</v>
      </c>
      <c r="C3399" s="71">
        <v>1</v>
      </c>
      <c r="D3399" s="75">
        <f t="shared" si="55"/>
        <v>1.402898388069752E-5</v>
      </c>
    </row>
    <row r="3400" spans="2:4" x14ac:dyDescent="0.25">
      <c r="B3400" t="s">
        <v>9726</v>
      </c>
      <c r="C3400" s="71">
        <v>1</v>
      </c>
      <c r="D3400" s="75">
        <f t="shared" si="55"/>
        <v>1.402898388069752E-5</v>
      </c>
    </row>
    <row r="3401" spans="2:4" x14ac:dyDescent="0.25">
      <c r="B3401" t="s">
        <v>9727</v>
      </c>
      <c r="C3401" s="71">
        <v>1</v>
      </c>
      <c r="D3401" s="75">
        <f t="shared" si="55"/>
        <v>1.402898388069752E-5</v>
      </c>
    </row>
    <row r="3402" spans="2:4" x14ac:dyDescent="0.25">
      <c r="B3402" t="s">
        <v>9728</v>
      </c>
      <c r="C3402" s="71">
        <v>1</v>
      </c>
      <c r="D3402" s="75">
        <f t="shared" si="55"/>
        <v>1.402898388069752E-5</v>
      </c>
    </row>
    <row r="3403" spans="2:4" x14ac:dyDescent="0.25">
      <c r="B3403" t="s">
        <v>9729</v>
      </c>
      <c r="C3403" s="71">
        <v>1</v>
      </c>
      <c r="D3403" s="75">
        <f t="shared" si="55"/>
        <v>1.402898388069752E-5</v>
      </c>
    </row>
    <row r="3404" spans="2:4" x14ac:dyDescent="0.25">
      <c r="B3404" t="s">
        <v>9730</v>
      </c>
      <c r="C3404" s="71">
        <v>1</v>
      </c>
      <c r="D3404" s="75">
        <f t="shared" si="55"/>
        <v>1.402898388069752E-5</v>
      </c>
    </row>
    <row r="3405" spans="2:4" x14ac:dyDescent="0.25">
      <c r="B3405" t="s">
        <v>9731</v>
      </c>
      <c r="C3405" s="71">
        <v>1</v>
      </c>
      <c r="D3405" s="75">
        <f t="shared" si="55"/>
        <v>1.402898388069752E-5</v>
      </c>
    </row>
    <row r="3406" spans="2:4" x14ac:dyDescent="0.25">
      <c r="B3406" t="s">
        <v>9732</v>
      </c>
      <c r="C3406" s="71">
        <v>1</v>
      </c>
      <c r="D3406" s="75">
        <f t="shared" si="55"/>
        <v>1.402898388069752E-5</v>
      </c>
    </row>
    <row r="3407" spans="2:4" x14ac:dyDescent="0.25">
      <c r="B3407" t="s">
        <v>9733</v>
      </c>
      <c r="C3407" s="71">
        <v>1</v>
      </c>
      <c r="D3407" s="75">
        <f t="shared" si="55"/>
        <v>1.402898388069752E-5</v>
      </c>
    </row>
    <row r="3408" spans="2:4" x14ac:dyDescent="0.25">
      <c r="B3408" t="s">
        <v>9734</v>
      </c>
      <c r="C3408" s="71">
        <v>1</v>
      </c>
      <c r="D3408" s="75">
        <f t="shared" si="55"/>
        <v>1.402898388069752E-5</v>
      </c>
    </row>
    <row r="3409" spans="2:4" x14ac:dyDescent="0.25">
      <c r="B3409" t="s">
        <v>9735</v>
      </c>
      <c r="C3409" s="71">
        <v>1</v>
      </c>
      <c r="D3409" s="75">
        <f t="shared" si="55"/>
        <v>1.402898388069752E-5</v>
      </c>
    </row>
    <row r="3410" spans="2:4" x14ac:dyDescent="0.25">
      <c r="B3410" t="s">
        <v>9736</v>
      </c>
      <c r="C3410" s="71">
        <v>1</v>
      </c>
      <c r="D3410" s="75">
        <f t="shared" si="55"/>
        <v>1.402898388069752E-5</v>
      </c>
    </row>
    <row r="3411" spans="2:4" x14ac:dyDescent="0.25">
      <c r="B3411" t="s">
        <v>9737</v>
      </c>
      <c r="C3411" s="71">
        <v>1</v>
      </c>
      <c r="D3411" s="75">
        <f t="shared" si="55"/>
        <v>1.402898388069752E-5</v>
      </c>
    </row>
    <row r="3412" spans="2:4" x14ac:dyDescent="0.25">
      <c r="B3412" t="s">
        <v>9738</v>
      </c>
      <c r="C3412" s="71">
        <v>1</v>
      </c>
      <c r="D3412" s="75">
        <f t="shared" si="55"/>
        <v>1.402898388069752E-5</v>
      </c>
    </row>
    <row r="3413" spans="2:4" x14ac:dyDescent="0.25">
      <c r="B3413" t="s">
        <v>9739</v>
      </c>
      <c r="C3413" s="71">
        <v>1</v>
      </c>
      <c r="D3413" s="75">
        <f t="shared" si="55"/>
        <v>1.402898388069752E-5</v>
      </c>
    </row>
    <row r="3414" spans="2:4" x14ac:dyDescent="0.25">
      <c r="B3414" t="s">
        <v>9740</v>
      </c>
      <c r="C3414" s="71">
        <v>1</v>
      </c>
      <c r="D3414" s="75">
        <f t="shared" si="55"/>
        <v>1.402898388069752E-5</v>
      </c>
    </row>
    <row r="3415" spans="2:4" x14ac:dyDescent="0.25">
      <c r="B3415" t="s">
        <v>9741</v>
      </c>
      <c r="C3415" s="71">
        <v>1</v>
      </c>
      <c r="D3415" s="75">
        <f t="shared" si="55"/>
        <v>1.402898388069752E-5</v>
      </c>
    </row>
    <row r="3416" spans="2:4" x14ac:dyDescent="0.25">
      <c r="B3416" t="s">
        <v>9742</v>
      </c>
      <c r="C3416" s="71">
        <v>1</v>
      </c>
      <c r="D3416" s="75">
        <f t="shared" si="55"/>
        <v>1.402898388069752E-5</v>
      </c>
    </row>
    <row r="3417" spans="2:4" x14ac:dyDescent="0.25">
      <c r="B3417" t="s">
        <v>9743</v>
      </c>
      <c r="C3417" s="71">
        <v>1</v>
      </c>
      <c r="D3417" s="75">
        <f t="shared" si="55"/>
        <v>1.402898388069752E-5</v>
      </c>
    </row>
    <row r="3418" spans="2:4" x14ac:dyDescent="0.25">
      <c r="B3418" t="s">
        <v>9744</v>
      </c>
      <c r="C3418" s="71">
        <v>1</v>
      </c>
      <c r="D3418" s="75">
        <f t="shared" si="55"/>
        <v>1.402898388069752E-5</v>
      </c>
    </row>
    <row r="3419" spans="2:4" x14ac:dyDescent="0.25">
      <c r="B3419" t="s">
        <v>9745</v>
      </c>
      <c r="C3419" s="71">
        <v>1</v>
      </c>
      <c r="D3419" s="75">
        <f t="shared" si="55"/>
        <v>1.402898388069752E-5</v>
      </c>
    </row>
    <row r="3420" spans="2:4" x14ac:dyDescent="0.25">
      <c r="B3420" t="s">
        <v>9746</v>
      </c>
      <c r="C3420" s="71">
        <v>1</v>
      </c>
      <c r="D3420" s="75">
        <f t="shared" si="55"/>
        <v>1.402898388069752E-5</v>
      </c>
    </row>
    <row r="3421" spans="2:4" x14ac:dyDescent="0.25">
      <c r="B3421" t="s">
        <v>9747</v>
      </c>
      <c r="C3421" s="71">
        <v>1</v>
      </c>
      <c r="D3421" s="75">
        <f t="shared" si="55"/>
        <v>1.402898388069752E-5</v>
      </c>
    </row>
    <row r="3422" spans="2:4" x14ac:dyDescent="0.25">
      <c r="B3422" t="s">
        <v>9748</v>
      </c>
      <c r="C3422" s="71">
        <v>1</v>
      </c>
      <c r="D3422" s="75">
        <f t="shared" si="55"/>
        <v>1.402898388069752E-5</v>
      </c>
    </row>
    <row r="3423" spans="2:4" x14ac:dyDescent="0.25">
      <c r="B3423" t="s">
        <v>9749</v>
      </c>
      <c r="C3423" s="71">
        <v>1</v>
      </c>
      <c r="D3423" s="75">
        <f t="shared" si="55"/>
        <v>1.402898388069752E-5</v>
      </c>
    </row>
    <row r="3424" spans="2:4" x14ac:dyDescent="0.25">
      <c r="B3424" t="s">
        <v>9750</v>
      </c>
      <c r="C3424" s="71">
        <v>1</v>
      </c>
      <c r="D3424" s="75">
        <f t="shared" si="55"/>
        <v>1.402898388069752E-5</v>
      </c>
    </row>
    <row r="3425" spans="2:4" x14ac:dyDescent="0.25">
      <c r="B3425" t="s">
        <v>9751</v>
      </c>
      <c r="C3425" s="71">
        <v>1</v>
      </c>
      <c r="D3425" s="75">
        <f t="shared" si="55"/>
        <v>1.402898388069752E-5</v>
      </c>
    </row>
    <row r="3426" spans="2:4" x14ac:dyDescent="0.25">
      <c r="B3426" t="s">
        <v>9752</v>
      </c>
      <c r="C3426" s="71">
        <v>1</v>
      </c>
      <c r="D3426" s="75">
        <f t="shared" si="55"/>
        <v>1.402898388069752E-5</v>
      </c>
    </row>
    <row r="3427" spans="2:4" x14ac:dyDescent="0.25">
      <c r="B3427" t="s">
        <v>9753</v>
      </c>
      <c r="C3427" s="71">
        <v>1</v>
      </c>
      <c r="D3427" s="75">
        <f t="shared" si="55"/>
        <v>1.402898388069752E-5</v>
      </c>
    </row>
    <row r="3428" spans="2:4" x14ac:dyDescent="0.25">
      <c r="B3428" t="s">
        <v>9754</v>
      </c>
      <c r="C3428" s="71">
        <v>1</v>
      </c>
      <c r="D3428" s="75">
        <f t="shared" si="55"/>
        <v>1.402898388069752E-5</v>
      </c>
    </row>
    <row r="3429" spans="2:4" x14ac:dyDescent="0.25">
      <c r="B3429" t="s">
        <v>9755</v>
      </c>
      <c r="C3429" s="71">
        <v>1</v>
      </c>
      <c r="D3429" s="75">
        <f t="shared" si="55"/>
        <v>1.402898388069752E-5</v>
      </c>
    </row>
    <row r="3430" spans="2:4" x14ac:dyDescent="0.25">
      <c r="B3430" t="s">
        <v>9756</v>
      </c>
      <c r="C3430" s="71">
        <v>1</v>
      </c>
      <c r="D3430" s="75">
        <f t="shared" si="55"/>
        <v>1.402898388069752E-5</v>
      </c>
    </row>
    <row r="3431" spans="2:4" x14ac:dyDescent="0.25">
      <c r="B3431" t="s">
        <v>9757</v>
      </c>
      <c r="C3431" s="71">
        <v>1</v>
      </c>
      <c r="D3431" s="75">
        <f t="shared" si="55"/>
        <v>1.402898388069752E-5</v>
      </c>
    </row>
    <row r="3432" spans="2:4" x14ac:dyDescent="0.25">
      <c r="B3432" t="s">
        <v>9758</v>
      </c>
      <c r="C3432" s="71">
        <v>1</v>
      </c>
      <c r="D3432" s="75">
        <f t="shared" si="55"/>
        <v>1.402898388069752E-5</v>
      </c>
    </row>
    <row r="3433" spans="2:4" x14ac:dyDescent="0.25">
      <c r="B3433" t="s">
        <v>9759</v>
      </c>
      <c r="C3433" s="71">
        <v>1</v>
      </c>
      <c r="D3433" s="75">
        <f t="shared" si="55"/>
        <v>1.402898388069752E-5</v>
      </c>
    </row>
    <row r="3434" spans="2:4" x14ac:dyDescent="0.25">
      <c r="B3434" t="s">
        <v>9760</v>
      </c>
      <c r="C3434" s="71">
        <v>1</v>
      </c>
      <c r="D3434" s="75">
        <f t="shared" si="55"/>
        <v>1.402898388069752E-5</v>
      </c>
    </row>
    <row r="3435" spans="2:4" x14ac:dyDescent="0.25">
      <c r="B3435" t="s">
        <v>9761</v>
      </c>
      <c r="C3435" s="71">
        <v>1</v>
      </c>
      <c r="D3435" s="75">
        <f t="shared" si="55"/>
        <v>1.402898388069752E-5</v>
      </c>
    </row>
    <row r="3436" spans="2:4" x14ac:dyDescent="0.25">
      <c r="B3436" t="s">
        <v>9762</v>
      </c>
      <c r="C3436" s="71">
        <v>1</v>
      </c>
      <c r="D3436" s="75">
        <f t="shared" si="55"/>
        <v>1.402898388069752E-5</v>
      </c>
    </row>
    <row r="3437" spans="2:4" x14ac:dyDescent="0.25">
      <c r="B3437" t="s">
        <v>9763</v>
      </c>
      <c r="C3437" s="71">
        <v>1</v>
      </c>
      <c r="D3437" s="75">
        <f t="shared" si="55"/>
        <v>1.402898388069752E-5</v>
      </c>
    </row>
    <row r="3438" spans="2:4" x14ac:dyDescent="0.25">
      <c r="B3438" t="s">
        <v>9764</v>
      </c>
      <c r="C3438" s="71">
        <v>1</v>
      </c>
      <c r="D3438" s="75">
        <f t="shared" si="55"/>
        <v>1.402898388069752E-5</v>
      </c>
    </row>
    <row r="3439" spans="2:4" x14ac:dyDescent="0.25">
      <c r="B3439" t="s">
        <v>9765</v>
      </c>
      <c r="C3439" s="71">
        <v>1</v>
      </c>
      <c r="D3439" s="75">
        <f t="shared" si="55"/>
        <v>1.402898388069752E-5</v>
      </c>
    </row>
    <row r="3440" spans="2:4" x14ac:dyDescent="0.25">
      <c r="B3440" t="s">
        <v>9766</v>
      </c>
      <c r="C3440" s="71">
        <v>1</v>
      </c>
      <c r="D3440" s="75">
        <f t="shared" si="55"/>
        <v>1.402898388069752E-5</v>
      </c>
    </row>
    <row r="3441" spans="2:4" x14ac:dyDescent="0.25">
      <c r="B3441" t="s">
        <v>9767</v>
      </c>
      <c r="C3441" s="71">
        <v>1</v>
      </c>
      <c r="D3441" s="75">
        <f t="shared" si="55"/>
        <v>1.402898388069752E-5</v>
      </c>
    </row>
    <row r="3442" spans="2:4" x14ac:dyDescent="0.25">
      <c r="B3442" t="s">
        <v>9768</v>
      </c>
      <c r="C3442" s="71">
        <v>1</v>
      </c>
      <c r="D3442" s="75">
        <f t="shared" si="55"/>
        <v>1.402898388069752E-5</v>
      </c>
    </row>
    <row r="3443" spans="2:4" x14ac:dyDescent="0.25">
      <c r="B3443" t="s">
        <v>9769</v>
      </c>
      <c r="C3443" s="71">
        <v>1</v>
      </c>
      <c r="D3443" s="75">
        <f t="shared" si="55"/>
        <v>1.402898388069752E-5</v>
      </c>
    </row>
    <row r="3444" spans="2:4" x14ac:dyDescent="0.25">
      <c r="B3444" t="s">
        <v>9770</v>
      </c>
      <c r="C3444" s="71">
        <v>1</v>
      </c>
      <c r="D3444" s="75">
        <f t="shared" si="55"/>
        <v>1.402898388069752E-5</v>
      </c>
    </row>
    <row r="3445" spans="2:4" x14ac:dyDescent="0.25">
      <c r="B3445" t="s">
        <v>9771</v>
      </c>
      <c r="C3445" s="71">
        <v>1</v>
      </c>
      <c r="D3445" s="75">
        <f t="shared" si="55"/>
        <v>1.402898388069752E-5</v>
      </c>
    </row>
    <row r="3446" spans="2:4" x14ac:dyDescent="0.25">
      <c r="B3446" t="s">
        <v>9772</v>
      </c>
      <c r="C3446" s="71">
        <v>1</v>
      </c>
      <c r="D3446" s="75">
        <f t="shared" si="55"/>
        <v>1.402898388069752E-5</v>
      </c>
    </row>
    <row r="3447" spans="2:4" x14ac:dyDescent="0.25">
      <c r="B3447" t="s">
        <v>9773</v>
      </c>
      <c r="C3447" s="71">
        <v>1</v>
      </c>
      <c r="D3447" s="75">
        <f t="shared" si="55"/>
        <v>1.402898388069752E-5</v>
      </c>
    </row>
    <row r="3448" spans="2:4" x14ac:dyDescent="0.25">
      <c r="B3448" t="s">
        <v>9774</v>
      </c>
      <c r="C3448" s="71">
        <v>1</v>
      </c>
      <c r="D3448" s="75">
        <f t="shared" si="55"/>
        <v>1.402898388069752E-5</v>
      </c>
    </row>
    <row r="3449" spans="2:4" x14ac:dyDescent="0.25">
      <c r="B3449" t="s">
        <v>9775</v>
      </c>
      <c r="C3449" s="71">
        <v>1</v>
      </c>
      <c r="D3449" s="75">
        <f t="shared" si="55"/>
        <v>1.402898388069752E-5</v>
      </c>
    </row>
    <row r="3450" spans="2:4" x14ac:dyDescent="0.25">
      <c r="B3450" t="s">
        <v>9776</v>
      </c>
      <c r="C3450" s="71">
        <v>1</v>
      </c>
      <c r="D3450" s="75">
        <f t="shared" si="55"/>
        <v>1.402898388069752E-5</v>
      </c>
    </row>
    <row r="3451" spans="2:4" x14ac:dyDescent="0.25">
      <c r="B3451" t="s">
        <v>9777</v>
      </c>
      <c r="C3451" s="71">
        <v>1</v>
      </c>
      <c r="D3451" s="75">
        <f t="shared" si="55"/>
        <v>1.402898388069752E-5</v>
      </c>
    </row>
    <row r="3452" spans="2:4" x14ac:dyDescent="0.25">
      <c r="B3452" t="s">
        <v>9778</v>
      </c>
      <c r="C3452" s="71">
        <v>1</v>
      </c>
      <c r="D3452" s="75">
        <f t="shared" si="55"/>
        <v>1.402898388069752E-5</v>
      </c>
    </row>
    <row r="3453" spans="2:4" x14ac:dyDescent="0.25">
      <c r="B3453" t="s">
        <v>9779</v>
      </c>
      <c r="C3453" s="71">
        <v>1</v>
      </c>
      <c r="D3453" s="75">
        <f t="shared" si="55"/>
        <v>1.402898388069752E-5</v>
      </c>
    </row>
    <row r="3454" spans="2:4" x14ac:dyDescent="0.25">
      <c r="B3454" t="s">
        <v>9780</v>
      </c>
      <c r="C3454" s="71">
        <v>1</v>
      </c>
      <c r="D3454" s="75">
        <f t="shared" si="55"/>
        <v>1.402898388069752E-5</v>
      </c>
    </row>
    <row r="3455" spans="2:4" x14ac:dyDescent="0.25">
      <c r="B3455" t="s">
        <v>9781</v>
      </c>
      <c r="C3455" s="71">
        <v>1</v>
      </c>
      <c r="D3455" s="75">
        <f t="shared" si="55"/>
        <v>1.402898388069752E-5</v>
      </c>
    </row>
    <row r="3456" spans="2:4" x14ac:dyDescent="0.25">
      <c r="B3456" t="s">
        <v>9782</v>
      </c>
      <c r="C3456" s="71">
        <v>1</v>
      </c>
      <c r="D3456" s="75">
        <f t="shared" si="55"/>
        <v>1.402898388069752E-5</v>
      </c>
    </row>
    <row r="3457" spans="2:4" x14ac:dyDescent="0.25">
      <c r="B3457" t="s">
        <v>9783</v>
      </c>
      <c r="C3457" s="71">
        <v>1</v>
      </c>
      <c r="D3457" s="75">
        <f t="shared" si="55"/>
        <v>1.402898388069752E-5</v>
      </c>
    </row>
    <row r="3458" spans="2:4" x14ac:dyDescent="0.25">
      <c r="B3458" t="s">
        <v>9784</v>
      </c>
      <c r="C3458" s="71">
        <v>1</v>
      </c>
      <c r="D3458" s="75">
        <f t="shared" si="55"/>
        <v>1.402898388069752E-5</v>
      </c>
    </row>
    <row r="3459" spans="2:4" x14ac:dyDescent="0.25">
      <c r="B3459" t="s">
        <v>9785</v>
      </c>
      <c r="C3459" s="71">
        <v>1</v>
      </c>
      <c r="D3459" s="75">
        <f t="shared" si="55"/>
        <v>1.402898388069752E-5</v>
      </c>
    </row>
    <row r="3460" spans="2:4" x14ac:dyDescent="0.25">
      <c r="B3460" t="s">
        <v>9786</v>
      </c>
      <c r="C3460" s="71">
        <v>1</v>
      </c>
      <c r="D3460" s="75">
        <f t="shared" si="55"/>
        <v>1.402898388069752E-5</v>
      </c>
    </row>
    <row r="3461" spans="2:4" x14ac:dyDescent="0.25">
      <c r="B3461" t="s">
        <v>9787</v>
      </c>
      <c r="C3461" s="71">
        <v>1</v>
      </c>
      <c r="D3461" s="75">
        <f t="shared" si="55"/>
        <v>1.402898388069752E-5</v>
      </c>
    </row>
    <row r="3462" spans="2:4" x14ac:dyDescent="0.25">
      <c r="B3462" t="s">
        <v>9788</v>
      </c>
      <c r="C3462" s="71">
        <v>1</v>
      </c>
      <c r="D3462" s="75">
        <f t="shared" ref="D3462:D3525" si="56">C3462/$C$4822</f>
        <v>1.402898388069752E-5</v>
      </c>
    </row>
    <row r="3463" spans="2:4" x14ac:dyDescent="0.25">
      <c r="B3463" t="s">
        <v>9789</v>
      </c>
      <c r="C3463" s="71">
        <v>1</v>
      </c>
      <c r="D3463" s="75">
        <f t="shared" si="56"/>
        <v>1.402898388069752E-5</v>
      </c>
    </row>
    <row r="3464" spans="2:4" x14ac:dyDescent="0.25">
      <c r="B3464" t="s">
        <v>9790</v>
      </c>
      <c r="C3464" s="71">
        <v>1</v>
      </c>
      <c r="D3464" s="75">
        <f t="shared" si="56"/>
        <v>1.402898388069752E-5</v>
      </c>
    </row>
    <row r="3465" spans="2:4" x14ac:dyDescent="0.25">
      <c r="B3465" t="e">
        <f>---dyakian</f>
        <v>#NAME?</v>
      </c>
      <c r="C3465" s="71">
        <v>1</v>
      </c>
      <c r="D3465" s="75">
        <f t="shared" si="56"/>
        <v>1.402898388069752E-5</v>
      </c>
    </row>
    <row r="3466" spans="2:4" x14ac:dyDescent="0.25">
      <c r="B3466" t="s">
        <v>9791</v>
      </c>
      <c r="C3466" s="71">
        <v>1</v>
      </c>
      <c r="D3466" s="75">
        <f t="shared" si="56"/>
        <v>1.402898388069752E-5</v>
      </c>
    </row>
    <row r="3467" spans="2:4" x14ac:dyDescent="0.25">
      <c r="B3467" t="s">
        <v>9792</v>
      </c>
      <c r="C3467" s="71">
        <v>1</v>
      </c>
      <c r="D3467" s="75">
        <f t="shared" si="56"/>
        <v>1.402898388069752E-5</v>
      </c>
    </row>
    <row r="3468" spans="2:4" x14ac:dyDescent="0.25">
      <c r="B3468" t="s">
        <v>9793</v>
      </c>
      <c r="C3468" s="71">
        <v>1</v>
      </c>
      <c r="D3468" s="75">
        <f t="shared" si="56"/>
        <v>1.402898388069752E-5</v>
      </c>
    </row>
    <row r="3469" spans="2:4" x14ac:dyDescent="0.25">
      <c r="B3469" t="s">
        <v>9794</v>
      </c>
      <c r="C3469" s="71">
        <v>1</v>
      </c>
      <c r="D3469" s="75">
        <f t="shared" si="56"/>
        <v>1.402898388069752E-5</v>
      </c>
    </row>
    <row r="3470" spans="2:4" x14ac:dyDescent="0.25">
      <c r="B3470" t="s">
        <v>9795</v>
      </c>
      <c r="C3470" s="71">
        <v>1</v>
      </c>
      <c r="D3470" s="75">
        <f t="shared" si="56"/>
        <v>1.402898388069752E-5</v>
      </c>
    </row>
    <row r="3471" spans="2:4" x14ac:dyDescent="0.25">
      <c r="B3471" t="s">
        <v>9796</v>
      </c>
      <c r="C3471" s="71">
        <v>1</v>
      </c>
      <c r="D3471" s="75">
        <f t="shared" si="56"/>
        <v>1.402898388069752E-5</v>
      </c>
    </row>
    <row r="3472" spans="2:4" x14ac:dyDescent="0.25">
      <c r="B3472" t="s">
        <v>9797</v>
      </c>
      <c r="C3472" s="71">
        <v>1</v>
      </c>
      <c r="D3472" s="75">
        <f t="shared" si="56"/>
        <v>1.402898388069752E-5</v>
      </c>
    </row>
    <row r="3473" spans="2:4" x14ac:dyDescent="0.25">
      <c r="B3473" t="s">
        <v>9798</v>
      </c>
      <c r="C3473" s="71">
        <v>1</v>
      </c>
      <c r="D3473" s="75">
        <f t="shared" si="56"/>
        <v>1.402898388069752E-5</v>
      </c>
    </row>
    <row r="3474" spans="2:4" x14ac:dyDescent="0.25">
      <c r="B3474" t="s">
        <v>9799</v>
      </c>
      <c r="C3474" s="71">
        <v>1</v>
      </c>
      <c r="D3474" s="75">
        <f t="shared" si="56"/>
        <v>1.402898388069752E-5</v>
      </c>
    </row>
    <row r="3475" spans="2:4" x14ac:dyDescent="0.25">
      <c r="B3475" t="s">
        <v>9800</v>
      </c>
      <c r="C3475" s="71">
        <v>1</v>
      </c>
      <c r="D3475" s="75">
        <f t="shared" si="56"/>
        <v>1.402898388069752E-5</v>
      </c>
    </row>
    <row r="3476" spans="2:4" x14ac:dyDescent="0.25">
      <c r="B3476" t="s">
        <v>9801</v>
      </c>
      <c r="C3476" s="71">
        <v>1</v>
      </c>
      <c r="D3476" s="75">
        <f t="shared" si="56"/>
        <v>1.402898388069752E-5</v>
      </c>
    </row>
    <row r="3477" spans="2:4" x14ac:dyDescent="0.25">
      <c r="B3477" t="s">
        <v>9802</v>
      </c>
      <c r="C3477" s="71">
        <v>1</v>
      </c>
      <c r="D3477" s="75">
        <f t="shared" si="56"/>
        <v>1.402898388069752E-5</v>
      </c>
    </row>
    <row r="3478" spans="2:4" x14ac:dyDescent="0.25">
      <c r="B3478" t="s">
        <v>9803</v>
      </c>
      <c r="C3478" s="71">
        <v>1</v>
      </c>
      <c r="D3478" s="75">
        <f t="shared" si="56"/>
        <v>1.402898388069752E-5</v>
      </c>
    </row>
    <row r="3479" spans="2:4" x14ac:dyDescent="0.25">
      <c r="B3479" t="s">
        <v>9804</v>
      </c>
      <c r="C3479" s="71">
        <v>1</v>
      </c>
      <c r="D3479" s="75">
        <f t="shared" si="56"/>
        <v>1.402898388069752E-5</v>
      </c>
    </row>
    <row r="3480" spans="2:4" x14ac:dyDescent="0.25">
      <c r="B3480" t="s">
        <v>9805</v>
      </c>
      <c r="C3480" s="71">
        <v>1</v>
      </c>
      <c r="D3480" s="75">
        <f t="shared" si="56"/>
        <v>1.402898388069752E-5</v>
      </c>
    </row>
    <row r="3481" spans="2:4" x14ac:dyDescent="0.25">
      <c r="B3481" t="s">
        <v>9806</v>
      </c>
      <c r="C3481" s="71">
        <v>1</v>
      </c>
      <c r="D3481" s="75">
        <f t="shared" si="56"/>
        <v>1.402898388069752E-5</v>
      </c>
    </row>
    <row r="3482" spans="2:4" x14ac:dyDescent="0.25">
      <c r="B3482" t="s">
        <v>9807</v>
      </c>
      <c r="C3482" s="71">
        <v>1</v>
      </c>
      <c r="D3482" s="75">
        <f t="shared" si="56"/>
        <v>1.402898388069752E-5</v>
      </c>
    </row>
    <row r="3483" spans="2:4" x14ac:dyDescent="0.25">
      <c r="B3483" t="s">
        <v>9808</v>
      </c>
      <c r="C3483" s="71">
        <v>1</v>
      </c>
      <c r="D3483" s="75">
        <f t="shared" si="56"/>
        <v>1.402898388069752E-5</v>
      </c>
    </row>
    <row r="3484" spans="2:4" x14ac:dyDescent="0.25">
      <c r="B3484" t="s">
        <v>9809</v>
      </c>
      <c r="C3484" s="71">
        <v>1</v>
      </c>
      <c r="D3484" s="75">
        <f t="shared" si="56"/>
        <v>1.402898388069752E-5</v>
      </c>
    </row>
    <row r="3485" spans="2:4" x14ac:dyDescent="0.25">
      <c r="B3485" t="s">
        <v>9810</v>
      </c>
      <c r="C3485" s="71">
        <v>1</v>
      </c>
      <c r="D3485" s="75">
        <f t="shared" si="56"/>
        <v>1.402898388069752E-5</v>
      </c>
    </row>
    <row r="3486" spans="2:4" x14ac:dyDescent="0.25">
      <c r="B3486" t="s">
        <v>9811</v>
      </c>
      <c r="C3486" s="71">
        <v>1</v>
      </c>
      <c r="D3486" s="75">
        <f t="shared" si="56"/>
        <v>1.402898388069752E-5</v>
      </c>
    </row>
    <row r="3487" spans="2:4" x14ac:dyDescent="0.25">
      <c r="B3487" t="s">
        <v>9812</v>
      </c>
      <c r="C3487" s="71">
        <v>1</v>
      </c>
      <c r="D3487" s="75">
        <f t="shared" si="56"/>
        <v>1.402898388069752E-5</v>
      </c>
    </row>
    <row r="3488" spans="2:4" x14ac:dyDescent="0.25">
      <c r="B3488" t="s">
        <v>9813</v>
      </c>
      <c r="C3488" s="71">
        <v>1</v>
      </c>
      <c r="D3488" s="75">
        <f t="shared" si="56"/>
        <v>1.402898388069752E-5</v>
      </c>
    </row>
    <row r="3489" spans="2:4" x14ac:dyDescent="0.25">
      <c r="B3489" t="s">
        <v>9814</v>
      </c>
      <c r="C3489" s="71">
        <v>1</v>
      </c>
      <c r="D3489" s="75">
        <f t="shared" si="56"/>
        <v>1.402898388069752E-5</v>
      </c>
    </row>
    <row r="3490" spans="2:4" x14ac:dyDescent="0.25">
      <c r="B3490" t="s">
        <v>9815</v>
      </c>
      <c r="C3490" s="71">
        <v>1</v>
      </c>
      <c r="D3490" s="75">
        <f t="shared" si="56"/>
        <v>1.402898388069752E-5</v>
      </c>
    </row>
    <row r="3491" spans="2:4" x14ac:dyDescent="0.25">
      <c r="B3491" t="s">
        <v>9816</v>
      </c>
      <c r="C3491" s="71">
        <v>1</v>
      </c>
      <c r="D3491" s="75">
        <f t="shared" si="56"/>
        <v>1.402898388069752E-5</v>
      </c>
    </row>
    <row r="3492" spans="2:4" x14ac:dyDescent="0.25">
      <c r="B3492" t="s">
        <v>9817</v>
      </c>
      <c r="C3492" s="71">
        <v>1</v>
      </c>
      <c r="D3492" s="75">
        <f t="shared" si="56"/>
        <v>1.402898388069752E-5</v>
      </c>
    </row>
    <row r="3493" spans="2:4" x14ac:dyDescent="0.25">
      <c r="B3493" t="s">
        <v>9818</v>
      </c>
      <c r="C3493" s="71">
        <v>1</v>
      </c>
      <c r="D3493" s="75">
        <f t="shared" si="56"/>
        <v>1.402898388069752E-5</v>
      </c>
    </row>
    <row r="3494" spans="2:4" x14ac:dyDescent="0.25">
      <c r="B3494" t="s">
        <v>9819</v>
      </c>
      <c r="C3494" s="71">
        <v>1</v>
      </c>
      <c r="D3494" s="75">
        <f t="shared" si="56"/>
        <v>1.402898388069752E-5</v>
      </c>
    </row>
    <row r="3495" spans="2:4" x14ac:dyDescent="0.25">
      <c r="B3495" t="s">
        <v>9820</v>
      </c>
      <c r="C3495" s="71">
        <v>1</v>
      </c>
      <c r="D3495" s="75">
        <f t="shared" si="56"/>
        <v>1.402898388069752E-5</v>
      </c>
    </row>
    <row r="3496" spans="2:4" x14ac:dyDescent="0.25">
      <c r="B3496" t="s">
        <v>9821</v>
      </c>
      <c r="C3496" s="71">
        <v>1</v>
      </c>
      <c r="D3496" s="75">
        <f t="shared" si="56"/>
        <v>1.402898388069752E-5</v>
      </c>
    </row>
    <row r="3497" spans="2:4" x14ac:dyDescent="0.25">
      <c r="B3497" t="s">
        <v>9822</v>
      </c>
      <c r="C3497" s="71">
        <v>1</v>
      </c>
      <c r="D3497" s="75">
        <f t="shared" si="56"/>
        <v>1.402898388069752E-5</v>
      </c>
    </row>
    <row r="3498" spans="2:4" x14ac:dyDescent="0.25">
      <c r="B3498" t="s">
        <v>9823</v>
      </c>
      <c r="C3498" s="71">
        <v>1</v>
      </c>
      <c r="D3498" s="75">
        <f t="shared" si="56"/>
        <v>1.402898388069752E-5</v>
      </c>
    </row>
    <row r="3499" spans="2:4" x14ac:dyDescent="0.25">
      <c r="B3499" t="s">
        <v>9824</v>
      </c>
      <c r="C3499" s="71">
        <v>1</v>
      </c>
      <c r="D3499" s="75">
        <f t="shared" si="56"/>
        <v>1.402898388069752E-5</v>
      </c>
    </row>
    <row r="3500" spans="2:4" x14ac:dyDescent="0.25">
      <c r="B3500" t="s">
        <v>9825</v>
      </c>
      <c r="C3500" s="71">
        <v>1</v>
      </c>
      <c r="D3500" s="75">
        <f t="shared" si="56"/>
        <v>1.402898388069752E-5</v>
      </c>
    </row>
    <row r="3501" spans="2:4" x14ac:dyDescent="0.25">
      <c r="B3501" t="e">
        <f>---nikian</f>
        <v>#NAME?</v>
      </c>
      <c r="C3501" s="71">
        <v>1</v>
      </c>
      <c r="D3501" s="75">
        <f t="shared" si="56"/>
        <v>1.402898388069752E-5</v>
      </c>
    </row>
    <row r="3502" spans="2:4" x14ac:dyDescent="0.25">
      <c r="B3502" t="s">
        <v>9826</v>
      </c>
      <c r="C3502" s="71">
        <v>1</v>
      </c>
      <c r="D3502" s="75">
        <f t="shared" si="56"/>
        <v>1.402898388069752E-5</v>
      </c>
    </row>
    <row r="3503" spans="2:4" x14ac:dyDescent="0.25">
      <c r="B3503" t="s">
        <v>9827</v>
      </c>
      <c r="C3503" s="71">
        <v>1</v>
      </c>
      <c r="D3503" s="75">
        <f t="shared" si="56"/>
        <v>1.402898388069752E-5</v>
      </c>
    </row>
    <row r="3504" spans="2:4" x14ac:dyDescent="0.25">
      <c r="B3504" t="s">
        <v>9828</v>
      </c>
      <c r="C3504" s="71">
        <v>1</v>
      </c>
      <c r="D3504" s="75">
        <f t="shared" si="56"/>
        <v>1.402898388069752E-5</v>
      </c>
    </row>
    <row r="3505" spans="2:4" x14ac:dyDescent="0.25">
      <c r="B3505" t="s">
        <v>9829</v>
      </c>
      <c r="C3505" s="71">
        <v>1</v>
      </c>
      <c r="D3505" s="75">
        <f t="shared" si="56"/>
        <v>1.402898388069752E-5</v>
      </c>
    </row>
    <row r="3506" spans="2:4" x14ac:dyDescent="0.25">
      <c r="B3506" t="s">
        <v>9830</v>
      </c>
      <c r="C3506" s="71">
        <v>1</v>
      </c>
      <c r="D3506" s="75">
        <f t="shared" si="56"/>
        <v>1.402898388069752E-5</v>
      </c>
    </row>
    <row r="3507" spans="2:4" x14ac:dyDescent="0.25">
      <c r="B3507" t="s">
        <v>9831</v>
      </c>
      <c r="C3507" s="71">
        <v>1</v>
      </c>
      <c r="D3507" s="75">
        <f t="shared" si="56"/>
        <v>1.402898388069752E-5</v>
      </c>
    </row>
    <row r="3508" spans="2:4" x14ac:dyDescent="0.25">
      <c r="B3508" t="s">
        <v>9832</v>
      </c>
      <c r="C3508" s="71">
        <v>1</v>
      </c>
      <c r="D3508" s="75">
        <f t="shared" si="56"/>
        <v>1.402898388069752E-5</v>
      </c>
    </row>
    <row r="3509" spans="2:4" x14ac:dyDescent="0.25">
      <c r="B3509" t="s">
        <v>9833</v>
      </c>
      <c r="C3509" s="71">
        <v>1</v>
      </c>
      <c r="D3509" s="75">
        <f t="shared" si="56"/>
        <v>1.402898388069752E-5</v>
      </c>
    </row>
    <row r="3510" spans="2:4" x14ac:dyDescent="0.25">
      <c r="B3510" t="s">
        <v>9834</v>
      </c>
      <c r="C3510" s="71">
        <v>1</v>
      </c>
      <c r="D3510" s="75">
        <f t="shared" si="56"/>
        <v>1.402898388069752E-5</v>
      </c>
    </row>
    <row r="3511" spans="2:4" x14ac:dyDescent="0.25">
      <c r="B3511" t="s">
        <v>9835</v>
      </c>
      <c r="C3511" s="71">
        <v>1</v>
      </c>
      <c r="D3511" s="75">
        <f t="shared" si="56"/>
        <v>1.402898388069752E-5</v>
      </c>
    </row>
    <row r="3512" spans="2:4" x14ac:dyDescent="0.25">
      <c r="B3512" t="s">
        <v>9836</v>
      </c>
      <c r="C3512" s="71">
        <v>1</v>
      </c>
      <c r="D3512" s="75">
        <f t="shared" si="56"/>
        <v>1.402898388069752E-5</v>
      </c>
    </row>
    <row r="3513" spans="2:4" x14ac:dyDescent="0.25">
      <c r="B3513" t="s">
        <v>9837</v>
      </c>
      <c r="C3513" s="71">
        <v>1</v>
      </c>
      <c r="D3513" s="75">
        <f t="shared" si="56"/>
        <v>1.402898388069752E-5</v>
      </c>
    </row>
    <row r="3514" spans="2:4" x14ac:dyDescent="0.25">
      <c r="B3514" t="s">
        <v>9838</v>
      </c>
      <c r="C3514" s="71">
        <v>1</v>
      </c>
      <c r="D3514" s="75">
        <f t="shared" si="56"/>
        <v>1.402898388069752E-5</v>
      </c>
    </row>
    <row r="3515" spans="2:4" x14ac:dyDescent="0.25">
      <c r="B3515" t="s">
        <v>9839</v>
      </c>
      <c r="C3515" s="71">
        <v>1</v>
      </c>
      <c r="D3515" s="75">
        <f t="shared" si="56"/>
        <v>1.402898388069752E-5</v>
      </c>
    </row>
    <row r="3516" spans="2:4" x14ac:dyDescent="0.25">
      <c r="B3516" t="s">
        <v>9840</v>
      </c>
      <c r="C3516" s="71">
        <v>1</v>
      </c>
      <c r="D3516" s="75">
        <f t="shared" si="56"/>
        <v>1.402898388069752E-5</v>
      </c>
    </row>
    <row r="3517" spans="2:4" x14ac:dyDescent="0.25">
      <c r="B3517" t="s">
        <v>9841</v>
      </c>
      <c r="C3517" s="71">
        <v>1</v>
      </c>
      <c r="D3517" s="75">
        <f t="shared" si="56"/>
        <v>1.402898388069752E-5</v>
      </c>
    </row>
    <row r="3518" spans="2:4" x14ac:dyDescent="0.25">
      <c r="B3518" t="s">
        <v>9842</v>
      </c>
      <c r="C3518" s="71">
        <v>1</v>
      </c>
      <c r="D3518" s="75">
        <f t="shared" si="56"/>
        <v>1.402898388069752E-5</v>
      </c>
    </row>
    <row r="3519" spans="2:4" x14ac:dyDescent="0.25">
      <c r="B3519" t="s">
        <v>9843</v>
      </c>
      <c r="C3519" s="71">
        <v>1</v>
      </c>
      <c r="D3519" s="75">
        <f t="shared" si="56"/>
        <v>1.402898388069752E-5</v>
      </c>
    </row>
    <row r="3520" spans="2:4" x14ac:dyDescent="0.25">
      <c r="B3520" t="s">
        <v>9844</v>
      </c>
      <c r="C3520" s="71">
        <v>1</v>
      </c>
      <c r="D3520" s="75">
        <f t="shared" si="56"/>
        <v>1.402898388069752E-5</v>
      </c>
    </row>
    <row r="3521" spans="2:4" x14ac:dyDescent="0.25">
      <c r="B3521" t="s">
        <v>9845</v>
      </c>
      <c r="C3521" s="71">
        <v>1</v>
      </c>
      <c r="D3521" s="75">
        <f t="shared" si="56"/>
        <v>1.402898388069752E-5</v>
      </c>
    </row>
    <row r="3522" spans="2:4" x14ac:dyDescent="0.25">
      <c r="B3522" t="s">
        <v>9846</v>
      </c>
      <c r="C3522" s="71">
        <v>1</v>
      </c>
      <c r="D3522" s="75">
        <f t="shared" si="56"/>
        <v>1.402898388069752E-5</v>
      </c>
    </row>
    <row r="3523" spans="2:4" x14ac:dyDescent="0.25">
      <c r="B3523" t="s">
        <v>9847</v>
      </c>
      <c r="C3523" s="71">
        <v>1</v>
      </c>
      <c r="D3523" s="75">
        <f t="shared" si="56"/>
        <v>1.402898388069752E-5</v>
      </c>
    </row>
    <row r="3524" spans="2:4" x14ac:dyDescent="0.25">
      <c r="B3524" t="s">
        <v>9848</v>
      </c>
      <c r="C3524" s="71">
        <v>1</v>
      </c>
      <c r="D3524" s="75">
        <f t="shared" si="56"/>
        <v>1.402898388069752E-5</v>
      </c>
    </row>
    <row r="3525" spans="2:4" x14ac:dyDescent="0.25">
      <c r="B3525" t="s">
        <v>9849</v>
      </c>
      <c r="C3525" s="71">
        <v>1</v>
      </c>
      <c r="D3525" s="75">
        <f t="shared" si="56"/>
        <v>1.402898388069752E-5</v>
      </c>
    </row>
    <row r="3526" spans="2:4" x14ac:dyDescent="0.25">
      <c r="B3526" t="s">
        <v>9850</v>
      </c>
      <c r="C3526" s="71">
        <v>1</v>
      </c>
      <c r="D3526" s="75">
        <f t="shared" ref="D3526:D3589" si="57">C3526/$C$4822</f>
        <v>1.402898388069752E-5</v>
      </c>
    </row>
    <row r="3527" spans="2:4" x14ac:dyDescent="0.25">
      <c r="B3527" t="s">
        <v>9851</v>
      </c>
      <c r="C3527" s="71">
        <v>1</v>
      </c>
      <c r="D3527" s="75">
        <f t="shared" si="57"/>
        <v>1.402898388069752E-5</v>
      </c>
    </row>
    <row r="3528" spans="2:4" x14ac:dyDescent="0.25">
      <c r="B3528" t="s">
        <v>9852</v>
      </c>
      <c r="C3528" s="71">
        <v>1</v>
      </c>
      <c r="D3528" s="75">
        <f t="shared" si="57"/>
        <v>1.402898388069752E-5</v>
      </c>
    </row>
    <row r="3529" spans="2:4" x14ac:dyDescent="0.25">
      <c r="B3529" t="s">
        <v>9853</v>
      </c>
      <c r="C3529" s="71">
        <v>1</v>
      </c>
      <c r="D3529" s="75">
        <f t="shared" si="57"/>
        <v>1.402898388069752E-5</v>
      </c>
    </row>
    <row r="3530" spans="2:4" x14ac:dyDescent="0.25">
      <c r="B3530" t="s">
        <v>9854</v>
      </c>
      <c r="C3530" s="71">
        <v>1</v>
      </c>
      <c r="D3530" s="75">
        <f t="shared" si="57"/>
        <v>1.402898388069752E-5</v>
      </c>
    </row>
    <row r="3531" spans="2:4" x14ac:dyDescent="0.25">
      <c r="B3531" t="s">
        <v>9855</v>
      </c>
      <c r="C3531" s="71">
        <v>1</v>
      </c>
      <c r="D3531" s="75">
        <f t="shared" si="57"/>
        <v>1.402898388069752E-5</v>
      </c>
    </row>
    <row r="3532" spans="2:4" x14ac:dyDescent="0.25">
      <c r="B3532" t="s">
        <v>9856</v>
      </c>
      <c r="C3532" s="71">
        <v>1</v>
      </c>
      <c r="D3532" s="75">
        <f t="shared" si="57"/>
        <v>1.402898388069752E-5</v>
      </c>
    </row>
    <row r="3533" spans="2:4" x14ac:dyDescent="0.25">
      <c r="B3533" t="s">
        <v>9857</v>
      </c>
      <c r="C3533" s="71">
        <v>1</v>
      </c>
      <c r="D3533" s="75">
        <f t="shared" si="57"/>
        <v>1.402898388069752E-5</v>
      </c>
    </row>
    <row r="3534" spans="2:4" x14ac:dyDescent="0.25">
      <c r="B3534" t="s">
        <v>9858</v>
      </c>
      <c r="C3534" s="71">
        <v>1</v>
      </c>
      <c r="D3534" s="75">
        <f t="shared" si="57"/>
        <v>1.402898388069752E-5</v>
      </c>
    </row>
    <row r="3535" spans="2:4" x14ac:dyDescent="0.25">
      <c r="B3535" t="s">
        <v>9859</v>
      </c>
      <c r="C3535" s="71">
        <v>1</v>
      </c>
      <c r="D3535" s="75">
        <f t="shared" si="57"/>
        <v>1.402898388069752E-5</v>
      </c>
    </row>
    <row r="3536" spans="2:4" x14ac:dyDescent="0.25">
      <c r="B3536" t="s">
        <v>9860</v>
      </c>
      <c r="C3536" s="71">
        <v>1</v>
      </c>
      <c r="D3536" s="75">
        <f t="shared" si="57"/>
        <v>1.402898388069752E-5</v>
      </c>
    </row>
    <row r="3537" spans="2:4" x14ac:dyDescent="0.25">
      <c r="B3537" t="s">
        <v>9861</v>
      </c>
      <c r="C3537" s="71">
        <v>1</v>
      </c>
      <c r="D3537" s="75">
        <f t="shared" si="57"/>
        <v>1.402898388069752E-5</v>
      </c>
    </row>
    <row r="3538" spans="2:4" x14ac:dyDescent="0.25">
      <c r="B3538" t="s">
        <v>9862</v>
      </c>
      <c r="C3538" s="71">
        <v>1</v>
      </c>
      <c r="D3538" s="75">
        <f t="shared" si="57"/>
        <v>1.402898388069752E-5</v>
      </c>
    </row>
    <row r="3539" spans="2:4" x14ac:dyDescent="0.25">
      <c r="B3539" t="s">
        <v>9863</v>
      </c>
      <c r="C3539" s="71">
        <v>1</v>
      </c>
      <c r="D3539" s="75">
        <f t="shared" si="57"/>
        <v>1.402898388069752E-5</v>
      </c>
    </row>
    <row r="3540" spans="2:4" x14ac:dyDescent="0.25">
      <c r="B3540" t="s">
        <v>9864</v>
      </c>
      <c r="C3540" s="71">
        <v>1</v>
      </c>
      <c r="D3540" s="75">
        <f t="shared" si="57"/>
        <v>1.402898388069752E-5</v>
      </c>
    </row>
    <row r="3541" spans="2:4" x14ac:dyDescent="0.25">
      <c r="B3541" t="s">
        <v>9865</v>
      </c>
      <c r="C3541" s="71">
        <v>1</v>
      </c>
      <c r="D3541" s="75">
        <f t="shared" si="57"/>
        <v>1.402898388069752E-5</v>
      </c>
    </row>
    <row r="3542" spans="2:4" x14ac:dyDescent="0.25">
      <c r="B3542" t="s">
        <v>9866</v>
      </c>
      <c r="C3542" s="71">
        <v>1</v>
      </c>
      <c r="D3542" s="75">
        <f t="shared" si="57"/>
        <v>1.402898388069752E-5</v>
      </c>
    </row>
    <row r="3543" spans="2:4" x14ac:dyDescent="0.25">
      <c r="B3543" t="s">
        <v>9867</v>
      </c>
      <c r="C3543" s="71">
        <v>1</v>
      </c>
      <c r="D3543" s="75">
        <f t="shared" si="57"/>
        <v>1.402898388069752E-5</v>
      </c>
    </row>
    <row r="3544" spans="2:4" x14ac:dyDescent="0.25">
      <c r="B3544" t="s">
        <v>9868</v>
      </c>
      <c r="C3544" s="71">
        <v>1</v>
      </c>
      <c r="D3544" s="75">
        <f t="shared" si="57"/>
        <v>1.402898388069752E-5</v>
      </c>
    </row>
    <row r="3545" spans="2:4" x14ac:dyDescent="0.25">
      <c r="B3545" t="s">
        <v>9869</v>
      </c>
      <c r="C3545" s="71">
        <v>1</v>
      </c>
      <c r="D3545" s="75">
        <f t="shared" si="57"/>
        <v>1.402898388069752E-5</v>
      </c>
    </row>
    <row r="3546" spans="2:4" x14ac:dyDescent="0.25">
      <c r="B3546" t="s">
        <v>9870</v>
      </c>
      <c r="C3546" s="71">
        <v>1</v>
      </c>
      <c r="D3546" s="75">
        <f t="shared" si="57"/>
        <v>1.402898388069752E-5</v>
      </c>
    </row>
    <row r="3547" spans="2:4" x14ac:dyDescent="0.25">
      <c r="B3547" t="s">
        <v>9871</v>
      </c>
      <c r="C3547" s="71">
        <v>1</v>
      </c>
      <c r="D3547" s="75">
        <f t="shared" si="57"/>
        <v>1.402898388069752E-5</v>
      </c>
    </row>
    <row r="3548" spans="2:4" x14ac:dyDescent="0.25">
      <c r="B3548" t="s">
        <v>9872</v>
      </c>
      <c r="C3548" s="71">
        <v>1</v>
      </c>
      <c r="D3548" s="75">
        <f t="shared" si="57"/>
        <v>1.402898388069752E-5</v>
      </c>
    </row>
    <row r="3549" spans="2:4" x14ac:dyDescent="0.25">
      <c r="B3549" t="s">
        <v>9873</v>
      </c>
      <c r="C3549" s="71">
        <v>1</v>
      </c>
      <c r="D3549" s="75">
        <f t="shared" si="57"/>
        <v>1.402898388069752E-5</v>
      </c>
    </row>
    <row r="3550" spans="2:4" x14ac:dyDescent="0.25">
      <c r="B3550" t="s">
        <v>9874</v>
      </c>
      <c r="C3550" s="71">
        <v>1</v>
      </c>
      <c r="D3550" s="75">
        <f t="shared" si="57"/>
        <v>1.402898388069752E-5</v>
      </c>
    </row>
    <row r="3551" spans="2:4" x14ac:dyDescent="0.25">
      <c r="B3551" t="s">
        <v>9875</v>
      </c>
      <c r="C3551" s="71">
        <v>1</v>
      </c>
      <c r="D3551" s="75">
        <f t="shared" si="57"/>
        <v>1.402898388069752E-5</v>
      </c>
    </row>
    <row r="3552" spans="2:4" x14ac:dyDescent="0.25">
      <c r="B3552" t="s">
        <v>9876</v>
      </c>
      <c r="C3552" s="71">
        <v>1</v>
      </c>
      <c r="D3552" s="75">
        <f t="shared" si="57"/>
        <v>1.402898388069752E-5</v>
      </c>
    </row>
    <row r="3553" spans="2:4" x14ac:dyDescent="0.25">
      <c r="B3553" t="s">
        <v>9877</v>
      </c>
      <c r="C3553" s="71">
        <v>1</v>
      </c>
      <c r="D3553" s="75">
        <f t="shared" si="57"/>
        <v>1.402898388069752E-5</v>
      </c>
    </row>
    <row r="3554" spans="2:4" x14ac:dyDescent="0.25">
      <c r="B3554" t="s">
        <v>9878</v>
      </c>
      <c r="C3554" s="71">
        <v>1</v>
      </c>
      <c r="D3554" s="75">
        <f t="shared" si="57"/>
        <v>1.402898388069752E-5</v>
      </c>
    </row>
    <row r="3555" spans="2:4" x14ac:dyDescent="0.25">
      <c r="B3555" t="s">
        <v>9879</v>
      </c>
      <c r="C3555" s="71">
        <v>1</v>
      </c>
      <c r="D3555" s="75">
        <f t="shared" si="57"/>
        <v>1.402898388069752E-5</v>
      </c>
    </row>
    <row r="3556" spans="2:4" x14ac:dyDescent="0.25">
      <c r="B3556" t="s">
        <v>9880</v>
      </c>
      <c r="C3556" s="71">
        <v>1</v>
      </c>
      <c r="D3556" s="75">
        <f t="shared" si="57"/>
        <v>1.402898388069752E-5</v>
      </c>
    </row>
    <row r="3557" spans="2:4" x14ac:dyDescent="0.25">
      <c r="B3557" t="s">
        <v>9881</v>
      </c>
      <c r="C3557" s="71">
        <v>1</v>
      </c>
      <c r="D3557" s="75">
        <f t="shared" si="57"/>
        <v>1.402898388069752E-5</v>
      </c>
    </row>
    <row r="3558" spans="2:4" x14ac:dyDescent="0.25">
      <c r="B3558" t="s">
        <v>9882</v>
      </c>
      <c r="C3558" s="71">
        <v>1</v>
      </c>
      <c r="D3558" s="75">
        <f t="shared" si="57"/>
        <v>1.402898388069752E-5</v>
      </c>
    </row>
    <row r="3559" spans="2:4" x14ac:dyDescent="0.25">
      <c r="B3559" t="s">
        <v>9883</v>
      </c>
      <c r="C3559" s="71">
        <v>1</v>
      </c>
      <c r="D3559" s="75">
        <f t="shared" si="57"/>
        <v>1.402898388069752E-5</v>
      </c>
    </row>
    <row r="3560" spans="2:4" x14ac:dyDescent="0.25">
      <c r="B3560" t="s">
        <v>9884</v>
      </c>
      <c r="C3560" s="71">
        <v>1</v>
      </c>
      <c r="D3560" s="75">
        <f t="shared" si="57"/>
        <v>1.402898388069752E-5</v>
      </c>
    </row>
    <row r="3561" spans="2:4" x14ac:dyDescent="0.25">
      <c r="B3561" t="s">
        <v>9885</v>
      </c>
      <c r="C3561" s="71">
        <v>1</v>
      </c>
      <c r="D3561" s="75">
        <f t="shared" si="57"/>
        <v>1.402898388069752E-5</v>
      </c>
    </row>
    <row r="3562" spans="2:4" x14ac:dyDescent="0.25">
      <c r="B3562" t="s">
        <v>9886</v>
      </c>
      <c r="C3562" s="71">
        <v>1</v>
      </c>
      <c r="D3562" s="75">
        <f t="shared" si="57"/>
        <v>1.402898388069752E-5</v>
      </c>
    </row>
    <row r="3563" spans="2:4" x14ac:dyDescent="0.25">
      <c r="B3563" t="s">
        <v>9887</v>
      </c>
      <c r="C3563" s="71">
        <v>1</v>
      </c>
      <c r="D3563" s="75">
        <f t="shared" si="57"/>
        <v>1.402898388069752E-5</v>
      </c>
    </row>
    <row r="3564" spans="2:4" x14ac:dyDescent="0.25">
      <c r="B3564" t="s">
        <v>9888</v>
      </c>
      <c r="C3564" s="71">
        <v>1</v>
      </c>
      <c r="D3564" s="75">
        <f t="shared" si="57"/>
        <v>1.402898388069752E-5</v>
      </c>
    </row>
    <row r="3565" spans="2:4" x14ac:dyDescent="0.25">
      <c r="B3565" t="s">
        <v>9889</v>
      </c>
      <c r="C3565" s="71">
        <v>1</v>
      </c>
      <c r="D3565" s="75">
        <f t="shared" si="57"/>
        <v>1.402898388069752E-5</v>
      </c>
    </row>
    <row r="3566" spans="2:4" x14ac:dyDescent="0.25">
      <c r="B3566" t="s">
        <v>9890</v>
      </c>
      <c r="C3566" s="71">
        <v>1</v>
      </c>
      <c r="D3566" s="75">
        <f t="shared" si="57"/>
        <v>1.402898388069752E-5</v>
      </c>
    </row>
    <row r="3567" spans="2:4" x14ac:dyDescent="0.25">
      <c r="B3567" t="s">
        <v>9891</v>
      </c>
      <c r="C3567" s="71">
        <v>1</v>
      </c>
      <c r="D3567" s="75">
        <f t="shared" si="57"/>
        <v>1.402898388069752E-5</v>
      </c>
    </row>
    <row r="3568" spans="2:4" x14ac:dyDescent="0.25">
      <c r="B3568" t="s">
        <v>9892</v>
      </c>
      <c r="C3568" s="71">
        <v>1</v>
      </c>
      <c r="D3568" s="75">
        <f t="shared" si="57"/>
        <v>1.402898388069752E-5</v>
      </c>
    </row>
    <row r="3569" spans="2:4" x14ac:dyDescent="0.25">
      <c r="B3569" t="s">
        <v>9893</v>
      </c>
      <c r="C3569" s="71">
        <v>1</v>
      </c>
      <c r="D3569" s="75">
        <f t="shared" si="57"/>
        <v>1.402898388069752E-5</v>
      </c>
    </row>
    <row r="3570" spans="2:4" x14ac:dyDescent="0.25">
      <c r="B3570" t="s">
        <v>9894</v>
      </c>
      <c r="C3570" s="71">
        <v>1</v>
      </c>
      <c r="D3570" s="75">
        <f t="shared" si="57"/>
        <v>1.402898388069752E-5</v>
      </c>
    </row>
    <row r="3571" spans="2:4" x14ac:dyDescent="0.25">
      <c r="B3571" t="s">
        <v>9895</v>
      </c>
      <c r="C3571" s="71">
        <v>1</v>
      </c>
      <c r="D3571" s="75">
        <f t="shared" si="57"/>
        <v>1.402898388069752E-5</v>
      </c>
    </row>
    <row r="3572" spans="2:4" x14ac:dyDescent="0.25">
      <c r="B3572" t="s">
        <v>9896</v>
      </c>
      <c r="C3572" s="71">
        <v>1</v>
      </c>
      <c r="D3572" s="75">
        <f t="shared" si="57"/>
        <v>1.402898388069752E-5</v>
      </c>
    </row>
    <row r="3573" spans="2:4" x14ac:dyDescent="0.25">
      <c r="B3573" t="s">
        <v>9897</v>
      </c>
      <c r="C3573" s="71">
        <v>1</v>
      </c>
      <c r="D3573" s="75">
        <f t="shared" si="57"/>
        <v>1.402898388069752E-5</v>
      </c>
    </row>
    <row r="3574" spans="2:4" x14ac:dyDescent="0.25">
      <c r="B3574" t="s">
        <v>9898</v>
      </c>
      <c r="C3574" s="71">
        <v>1</v>
      </c>
      <c r="D3574" s="75">
        <f t="shared" si="57"/>
        <v>1.402898388069752E-5</v>
      </c>
    </row>
    <row r="3575" spans="2:4" x14ac:dyDescent="0.25">
      <c r="B3575" t="s">
        <v>9899</v>
      </c>
      <c r="C3575" s="71">
        <v>1</v>
      </c>
      <c r="D3575" s="75">
        <f t="shared" si="57"/>
        <v>1.402898388069752E-5</v>
      </c>
    </row>
    <row r="3576" spans="2:4" x14ac:dyDescent="0.25">
      <c r="B3576" t="s">
        <v>9900</v>
      </c>
      <c r="C3576" s="71">
        <v>1</v>
      </c>
      <c r="D3576" s="75">
        <f t="shared" si="57"/>
        <v>1.402898388069752E-5</v>
      </c>
    </row>
    <row r="3577" spans="2:4" x14ac:dyDescent="0.25">
      <c r="B3577" t="s">
        <v>9901</v>
      </c>
      <c r="C3577" s="71">
        <v>1</v>
      </c>
      <c r="D3577" s="75">
        <f t="shared" si="57"/>
        <v>1.402898388069752E-5</v>
      </c>
    </row>
    <row r="3578" spans="2:4" x14ac:dyDescent="0.25">
      <c r="B3578" t="s">
        <v>9902</v>
      </c>
      <c r="C3578" s="71">
        <v>1</v>
      </c>
      <c r="D3578" s="75">
        <f t="shared" si="57"/>
        <v>1.402898388069752E-5</v>
      </c>
    </row>
    <row r="3579" spans="2:4" x14ac:dyDescent="0.25">
      <c r="B3579" t="s">
        <v>9903</v>
      </c>
      <c r="C3579" s="71">
        <v>1</v>
      </c>
      <c r="D3579" s="75">
        <f t="shared" si="57"/>
        <v>1.402898388069752E-5</v>
      </c>
    </row>
    <row r="3580" spans="2:4" x14ac:dyDescent="0.25">
      <c r="B3580" t="s">
        <v>9904</v>
      </c>
      <c r="C3580" s="71">
        <v>1</v>
      </c>
      <c r="D3580" s="75">
        <f t="shared" si="57"/>
        <v>1.402898388069752E-5</v>
      </c>
    </row>
    <row r="3581" spans="2:4" x14ac:dyDescent="0.25">
      <c r="B3581" t="s">
        <v>9905</v>
      </c>
      <c r="C3581" s="71">
        <v>1</v>
      </c>
      <c r="D3581" s="75">
        <f t="shared" si="57"/>
        <v>1.402898388069752E-5</v>
      </c>
    </row>
    <row r="3582" spans="2:4" x14ac:dyDescent="0.25">
      <c r="B3582" t="s">
        <v>9906</v>
      </c>
      <c r="C3582" s="71">
        <v>1</v>
      </c>
      <c r="D3582" s="75">
        <f t="shared" si="57"/>
        <v>1.402898388069752E-5</v>
      </c>
    </row>
    <row r="3583" spans="2:4" x14ac:dyDescent="0.25">
      <c r="B3583" t="s">
        <v>9907</v>
      </c>
      <c r="C3583" s="71">
        <v>1</v>
      </c>
      <c r="D3583" s="75">
        <f t="shared" si="57"/>
        <v>1.402898388069752E-5</v>
      </c>
    </row>
    <row r="3584" spans="2:4" x14ac:dyDescent="0.25">
      <c r="B3584" t="s">
        <v>9908</v>
      </c>
      <c r="C3584" s="71">
        <v>1</v>
      </c>
      <c r="D3584" s="75">
        <f t="shared" si="57"/>
        <v>1.402898388069752E-5</v>
      </c>
    </row>
    <row r="3585" spans="2:4" x14ac:dyDescent="0.25">
      <c r="B3585" t="s">
        <v>9909</v>
      </c>
      <c r="C3585" s="71">
        <v>1</v>
      </c>
      <c r="D3585" s="75">
        <f t="shared" si="57"/>
        <v>1.402898388069752E-5</v>
      </c>
    </row>
    <row r="3586" spans="2:4" x14ac:dyDescent="0.25">
      <c r="B3586" t="s">
        <v>9910</v>
      </c>
      <c r="C3586" s="71">
        <v>1</v>
      </c>
      <c r="D3586" s="75">
        <f t="shared" si="57"/>
        <v>1.402898388069752E-5</v>
      </c>
    </row>
    <row r="3587" spans="2:4" x14ac:dyDescent="0.25">
      <c r="B3587" t="s">
        <v>9911</v>
      </c>
      <c r="C3587" s="71">
        <v>1</v>
      </c>
      <c r="D3587" s="75">
        <f t="shared" si="57"/>
        <v>1.402898388069752E-5</v>
      </c>
    </row>
    <row r="3588" spans="2:4" x14ac:dyDescent="0.25">
      <c r="B3588" t="s">
        <v>9912</v>
      </c>
      <c r="C3588" s="71">
        <v>1</v>
      </c>
      <c r="D3588" s="75">
        <f t="shared" si="57"/>
        <v>1.402898388069752E-5</v>
      </c>
    </row>
    <row r="3589" spans="2:4" x14ac:dyDescent="0.25">
      <c r="B3589" t="s">
        <v>9913</v>
      </c>
      <c r="C3589" s="71">
        <v>1</v>
      </c>
      <c r="D3589" s="75">
        <f t="shared" si="57"/>
        <v>1.402898388069752E-5</v>
      </c>
    </row>
    <row r="3590" spans="2:4" x14ac:dyDescent="0.25">
      <c r="B3590" t="s">
        <v>9914</v>
      </c>
      <c r="C3590" s="71">
        <v>1</v>
      </c>
      <c r="D3590" s="75">
        <f t="shared" ref="D3590:D3653" si="58">C3590/$C$4822</f>
        <v>1.402898388069752E-5</v>
      </c>
    </row>
    <row r="3591" spans="2:4" x14ac:dyDescent="0.25">
      <c r="B3591" t="s">
        <v>9915</v>
      </c>
      <c r="C3591" s="71">
        <v>1</v>
      </c>
      <c r="D3591" s="75">
        <f t="shared" si="58"/>
        <v>1.402898388069752E-5</v>
      </c>
    </row>
    <row r="3592" spans="2:4" x14ac:dyDescent="0.25">
      <c r="B3592" t="s">
        <v>9916</v>
      </c>
      <c r="C3592" s="71">
        <v>1</v>
      </c>
      <c r="D3592" s="75">
        <f t="shared" si="58"/>
        <v>1.402898388069752E-5</v>
      </c>
    </row>
    <row r="3593" spans="2:4" x14ac:dyDescent="0.25">
      <c r="B3593" t="s">
        <v>9917</v>
      </c>
      <c r="C3593" s="71">
        <v>1</v>
      </c>
      <c r="D3593" s="75">
        <f t="shared" si="58"/>
        <v>1.402898388069752E-5</v>
      </c>
    </row>
    <row r="3594" spans="2:4" x14ac:dyDescent="0.25">
      <c r="B3594" t="s">
        <v>9918</v>
      </c>
      <c r="C3594" s="71">
        <v>1</v>
      </c>
      <c r="D3594" s="75">
        <f t="shared" si="58"/>
        <v>1.402898388069752E-5</v>
      </c>
    </row>
    <row r="3595" spans="2:4" x14ac:dyDescent="0.25">
      <c r="B3595" t="s">
        <v>9919</v>
      </c>
      <c r="C3595" s="71">
        <v>1</v>
      </c>
      <c r="D3595" s="75">
        <f t="shared" si="58"/>
        <v>1.402898388069752E-5</v>
      </c>
    </row>
    <row r="3596" spans="2:4" x14ac:dyDescent="0.25">
      <c r="B3596" t="s">
        <v>9920</v>
      </c>
      <c r="C3596" s="71">
        <v>1</v>
      </c>
      <c r="D3596" s="75">
        <f t="shared" si="58"/>
        <v>1.402898388069752E-5</v>
      </c>
    </row>
    <row r="3597" spans="2:4" x14ac:dyDescent="0.25">
      <c r="B3597" t="s">
        <v>9921</v>
      </c>
      <c r="C3597" s="71">
        <v>1</v>
      </c>
      <c r="D3597" s="75">
        <f t="shared" si="58"/>
        <v>1.402898388069752E-5</v>
      </c>
    </row>
    <row r="3598" spans="2:4" x14ac:dyDescent="0.25">
      <c r="B3598" t="s">
        <v>9922</v>
      </c>
      <c r="C3598" s="71">
        <v>1</v>
      </c>
      <c r="D3598" s="75">
        <f t="shared" si="58"/>
        <v>1.402898388069752E-5</v>
      </c>
    </row>
    <row r="3599" spans="2:4" x14ac:dyDescent="0.25">
      <c r="B3599" t="s">
        <v>9923</v>
      </c>
      <c r="C3599" s="71">
        <v>1</v>
      </c>
      <c r="D3599" s="75">
        <f t="shared" si="58"/>
        <v>1.402898388069752E-5</v>
      </c>
    </row>
    <row r="3600" spans="2:4" x14ac:dyDescent="0.25">
      <c r="B3600" t="s">
        <v>9924</v>
      </c>
      <c r="C3600" s="71">
        <v>1</v>
      </c>
      <c r="D3600" s="75">
        <f t="shared" si="58"/>
        <v>1.402898388069752E-5</v>
      </c>
    </row>
    <row r="3601" spans="2:4" x14ac:dyDescent="0.25">
      <c r="B3601" t="s">
        <v>9925</v>
      </c>
      <c r="C3601" s="71">
        <v>1</v>
      </c>
      <c r="D3601" s="75">
        <f t="shared" si="58"/>
        <v>1.402898388069752E-5</v>
      </c>
    </row>
    <row r="3602" spans="2:4" x14ac:dyDescent="0.25">
      <c r="B3602" t="s">
        <v>9926</v>
      </c>
      <c r="C3602" s="71">
        <v>1</v>
      </c>
      <c r="D3602" s="75">
        <f t="shared" si="58"/>
        <v>1.402898388069752E-5</v>
      </c>
    </row>
    <row r="3603" spans="2:4" x14ac:dyDescent="0.25">
      <c r="B3603" t="s">
        <v>9927</v>
      </c>
      <c r="C3603" s="71">
        <v>1</v>
      </c>
      <c r="D3603" s="75">
        <f t="shared" si="58"/>
        <v>1.402898388069752E-5</v>
      </c>
    </row>
    <row r="3604" spans="2:4" x14ac:dyDescent="0.25">
      <c r="B3604" t="s">
        <v>9928</v>
      </c>
      <c r="C3604" s="71">
        <v>1</v>
      </c>
      <c r="D3604" s="75">
        <f t="shared" si="58"/>
        <v>1.402898388069752E-5</v>
      </c>
    </row>
    <row r="3605" spans="2:4" x14ac:dyDescent="0.25">
      <c r="B3605" t="s">
        <v>9929</v>
      </c>
      <c r="C3605" s="71">
        <v>1</v>
      </c>
      <c r="D3605" s="75">
        <f t="shared" si="58"/>
        <v>1.402898388069752E-5</v>
      </c>
    </row>
    <row r="3606" spans="2:4" x14ac:dyDescent="0.25">
      <c r="B3606" t="s">
        <v>9930</v>
      </c>
      <c r="C3606" s="71">
        <v>1</v>
      </c>
      <c r="D3606" s="75">
        <f t="shared" si="58"/>
        <v>1.402898388069752E-5</v>
      </c>
    </row>
    <row r="3607" spans="2:4" x14ac:dyDescent="0.25">
      <c r="B3607" t="s">
        <v>9931</v>
      </c>
      <c r="C3607" s="71">
        <v>1</v>
      </c>
      <c r="D3607" s="75">
        <f t="shared" si="58"/>
        <v>1.402898388069752E-5</v>
      </c>
    </row>
    <row r="3608" spans="2:4" x14ac:dyDescent="0.25">
      <c r="B3608" t="s">
        <v>9932</v>
      </c>
      <c r="C3608" s="71">
        <v>1</v>
      </c>
      <c r="D3608" s="75">
        <f t="shared" si="58"/>
        <v>1.402898388069752E-5</v>
      </c>
    </row>
    <row r="3609" spans="2:4" x14ac:dyDescent="0.25">
      <c r="B3609" t="s">
        <v>9933</v>
      </c>
      <c r="C3609" s="71">
        <v>1</v>
      </c>
      <c r="D3609" s="75">
        <f t="shared" si="58"/>
        <v>1.402898388069752E-5</v>
      </c>
    </row>
    <row r="3610" spans="2:4" x14ac:dyDescent="0.25">
      <c r="B3610" t="s">
        <v>9934</v>
      </c>
      <c r="C3610" s="71">
        <v>1</v>
      </c>
      <c r="D3610" s="75">
        <f t="shared" si="58"/>
        <v>1.402898388069752E-5</v>
      </c>
    </row>
    <row r="3611" spans="2:4" x14ac:dyDescent="0.25">
      <c r="B3611" t="s">
        <v>9935</v>
      </c>
      <c r="C3611" s="71">
        <v>1</v>
      </c>
      <c r="D3611" s="75">
        <f t="shared" si="58"/>
        <v>1.402898388069752E-5</v>
      </c>
    </row>
    <row r="3612" spans="2:4" x14ac:dyDescent="0.25">
      <c r="B3612" t="s">
        <v>9936</v>
      </c>
      <c r="C3612" s="71">
        <v>1</v>
      </c>
      <c r="D3612" s="75">
        <f t="shared" si="58"/>
        <v>1.402898388069752E-5</v>
      </c>
    </row>
    <row r="3613" spans="2:4" x14ac:dyDescent="0.25">
      <c r="B3613" t="s">
        <v>9937</v>
      </c>
      <c r="C3613" s="71">
        <v>1</v>
      </c>
      <c r="D3613" s="75">
        <f t="shared" si="58"/>
        <v>1.402898388069752E-5</v>
      </c>
    </row>
    <row r="3614" spans="2:4" x14ac:dyDescent="0.25">
      <c r="B3614" t="s">
        <v>9938</v>
      </c>
      <c r="C3614" s="71">
        <v>1</v>
      </c>
      <c r="D3614" s="75">
        <f t="shared" si="58"/>
        <v>1.402898388069752E-5</v>
      </c>
    </row>
    <row r="3615" spans="2:4" x14ac:dyDescent="0.25">
      <c r="B3615" t="e">
        <f>---orian</f>
        <v>#NAME?</v>
      </c>
      <c r="C3615" s="71">
        <v>1</v>
      </c>
      <c r="D3615" s="75">
        <f t="shared" si="58"/>
        <v>1.402898388069752E-5</v>
      </c>
    </row>
    <row r="3616" spans="2:4" x14ac:dyDescent="0.25">
      <c r="B3616" t="s">
        <v>9939</v>
      </c>
      <c r="C3616" s="71">
        <v>1</v>
      </c>
      <c r="D3616" s="75">
        <f t="shared" si="58"/>
        <v>1.402898388069752E-5</v>
      </c>
    </row>
    <row r="3617" spans="2:4" x14ac:dyDescent="0.25">
      <c r="B3617" t="s">
        <v>9940</v>
      </c>
      <c r="C3617" s="71">
        <v>1</v>
      </c>
      <c r="D3617" s="75">
        <f t="shared" si="58"/>
        <v>1.402898388069752E-5</v>
      </c>
    </row>
    <row r="3618" spans="2:4" x14ac:dyDescent="0.25">
      <c r="B3618" t="s">
        <v>9941</v>
      </c>
      <c r="C3618" s="71">
        <v>1</v>
      </c>
      <c r="D3618" s="75">
        <f t="shared" si="58"/>
        <v>1.402898388069752E-5</v>
      </c>
    </row>
    <row r="3619" spans="2:4" x14ac:dyDescent="0.25">
      <c r="B3619" t="s">
        <v>9942</v>
      </c>
      <c r="C3619" s="71">
        <v>1</v>
      </c>
      <c r="D3619" s="75">
        <f t="shared" si="58"/>
        <v>1.402898388069752E-5</v>
      </c>
    </row>
    <row r="3620" spans="2:4" x14ac:dyDescent="0.25">
      <c r="B3620" t="s">
        <v>9943</v>
      </c>
      <c r="C3620" s="71">
        <v>1</v>
      </c>
      <c r="D3620" s="75">
        <f t="shared" si="58"/>
        <v>1.402898388069752E-5</v>
      </c>
    </row>
    <row r="3621" spans="2:4" x14ac:dyDescent="0.25">
      <c r="B3621" t="s">
        <v>9944</v>
      </c>
      <c r="C3621" s="71">
        <v>1</v>
      </c>
      <c r="D3621" s="75">
        <f t="shared" si="58"/>
        <v>1.402898388069752E-5</v>
      </c>
    </row>
    <row r="3622" spans="2:4" x14ac:dyDescent="0.25">
      <c r="B3622" t="s">
        <v>9945</v>
      </c>
      <c r="C3622" s="71">
        <v>1</v>
      </c>
      <c r="D3622" s="75">
        <f t="shared" si="58"/>
        <v>1.402898388069752E-5</v>
      </c>
    </row>
    <row r="3623" spans="2:4" x14ac:dyDescent="0.25">
      <c r="B3623" t="s">
        <v>9946</v>
      </c>
      <c r="C3623" s="71">
        <v>1</v>
      </c>
      <c r="D3623" s="75">
        <f t="shared" si="58"/>
        <v>1.402898388069752E-5</v>
      </c>
    </row>
    <row r="3624" spans="2:4" x14ac:dyDescent="0.25">
      <c r="B3624" t="s">
        <v>9947</v>
      </c>
      <c r="C3624" s="71">
        <v>1</v>
      </c>
      <c r="D3624" s="75">
        <f t="shared" si="58"/>
        <v>1.402898388069752E-5</v>
      </c>
    </row>
    <row r="3625" spans="2:4" x14ac:dyDescent="0.25">
      <c r="B3625" t="s">
        <v>9948</v>
      </c>
      <c r="C3625" s="71">
        <v>1</v>
      </c>
      <c r="D3625" s="75">
        <f t="shared" si="58"/>
        <v>1.402898388069752E-5</v>
      </c>
    </row>
    <row r="3626" spans="2:4" x14ac:dyDescent="0.25">
      <c r="B3626" t="s">
        <v>9949</v>
      </c>
      <c r="C3626" s="71">
        <v>1</v>
      </c>
      <c r="D3626" s="75">
        <f t="shared" si="58"/>
        <v>1.402898388069752E-5</v>
      </c>
    </row>
    <row r="3627" spans="2:4" x14ac:dyDescent="0.25">
      <c r="B3627" t="s">
        <v>9950</v>
      </c>
      <c r="C3627" s="71">
        <v>1</v>
      </c>
      <c r="D3627" s="75">
        <f t="shared" si="58"/>
        <v>1.402898388069752E-5</v>
      </c>
    </row>
    <row r="3628" spans="2:4" x14ac:dyDescent="0.25">
      <c r="B3628" t="s">
        <v>9951</v>
      </c>
      <c r="C3628" s="71">
        <v>1</v>
      </c>
      <c r="D3628" s="75">
        <f t="shared" si="58"/>
        <v>1.402898388069752E-5</v>
      </c>
    </row>
    <row r="3629" spans="2:4" x14ac:dyDescent="0.25">
      <c r="B3629" t="s">
        <v>9952</v>
      </c>
      <c r="C3629" s="71">
        <v>1</v>
      </c>
      <c r="D3629" s="75">
        <f t="shared" si="58"/>
        <v>1.402898388069752E-5</v>
      </c>
    </row>
    <row r="3630" spans="2:4" x14ac:dyDescent="0.25">
      <c r="B3630" t="s">
        <v>9953</v>
      </c>
      <c r="C3630" s="71">
        <v>1</v>
      </c>
      <c r="D3630" s="75">
        <f t="shared" si="58"/>
        <v>1.402898388069752E-5</v>
      </c>
    </row>
    <row r="3631" spans="2:4" x14ac:dyDescent="0.25">
      <c r="B3631" t="s">
        <v>9954</v>
      </c>
      <c r="C3631" s="71">
        <v>1</v>
      </c>
      <c r="D3631" s="75">
        <f t="shared" si="58"/>
        <v>1.402898388069752E-5</v>
      </c>
    </row>
    <row r="3632" spans="2:4" x14ac:dyDescent="0.25">
      <c r="B3632" t="s">
        <v>9955</v>
      </c>
      <c r="C3632" s="71">
        <v>1</v>
      </c>
      <c r="D3632" s="75">
        <f t="shared" si="58"/>
        <v>1.402898388069752E-5</v>
      </c>
    </row>
    <row r="3633" spans="2:4" x14ac:dyDescent="0.25">
      <c r="B3633" t="s">
        <v>9956</v>
      </c>
      <c r="C3633" s="71">
        <v>1</v>
      </c>
      <c r="D3633" s="75">
        <f t="shared" si="58"/>
        <v>1.402898388069752E-5</v>
      </c>
    </row>
    <row r="3634" spans="2:4" x14ac:dyDescent="0.25">
      <c r="B3634" t="s">
        <v>9957</v>
      </c>
      <c r="C3634" s="71">
        <v>1</v>
      </c>
      <c r="D3634" s="75">
        <f t="shared" si="58"/>
        <v>1.402898388069752E-5</v>
      </c>
    </row>
    <row r="3635" spans="2:4" x14ac:dyDescent="0.25">
      <c r="B3635" t="s">
        <v>9958</v>
      </c>
      <c r="C3635" s="71">
        <v>1</v>
      </c>
      <c r="D3635" s="75">
        <f t="shared" si="58"/>
        <v>1.402898388069752E-5</v>
      </c>
    </row>
    <row r="3636" spans="2:4" x14ac:dyDescent="0.25">
      <c r="B3636" t="s">
        <v>9959</v>
      </c>
      <c r="C3636" s="71">
        <v>1</v>
      </c>
      <c r="D3636" s="75">
        <f t="shared" si="58"/>
        <v>1.402898388069752E-5</v>
      </c>
    </row>
    <row r="3637" spans="2:4" x14ac:dyDescent="0.25">
      <c r="B3637" t="s">
        <v>9960</v>
      </c>
      <c r="C3637" s="71">
        <v>1</v>
      </c>
      <c r="D3637" s="75">
        <f t="shared" si="58"/>
        <v>1.402898388069752E-5</v>
      </c>
    </row>
    <row r="3638" spans="2:4" x14ac:dyDescent="0.25">
      <c r="B3638" t="s">
        <v>9961</v>
      </c>
      <c r="C3638" s="71">
        <v>1</v>
      </c>
      <c r="D3638" s="75">
        <f t="shared" si="58"/>
        <v>1.402898388069752E-5</v>
      </c>
    </row>
    <row r="3639" spans="2:4" x14ac:dyDescent="0.25">
      <c r="B3639" t="s">
        <v>9962</v>
      </c>
      <c r="C3639" s="71">
        <v>1</v>
      </c>
      <c r="D3639" s="75">
        <f t="shared" si="58"/>
        <v>1.402898388069752E-5</v>
      </c>
    </row>
    <row r="3640" spans="2:4" x14ac:dyDescent="0.25">
      <c r="B3640" t="s">
        <v>9963</v>
      </c>
      <c r="C3640" s="71">
        <v>1</v>
      </c>
      <c r="D3640" s="75">
        <f t="shared" si="58"/>
        <v>1.402898388069752E-5</v>
      </c>
    </row>
    <row r="3641" spans="2:4" x14ac:dyDescent="0.25">
      <c r="B3641" t="s">
        <v>9964</v>
      </c>
      <c r="C3641" s="71">
        <v>1</v>
      </c>
      <c r="D3641" s="75">
        <f t="shared" si="58"/>
        <v>1.402898388069752E-5</v>
      </c>
    </row>
    <row r="3642" spans="2:4" x14ac:dyDescent="0.25">
      <c r="B3642" t="s">
        <v>9965</v>
      </c>
      <c r="C3642" s="71">
        <v>1</v>
      </c>
      <c r="D3642" s="75">
        <f t="shared" si="58"/>
        <v>1.402898388069752E-5</v>
      </c>
    </row>
    <row r="3643" spans="2:4" x14ac:dyDescent="0.25">
      <c r="B3643" t="s">
        <v>9966</v>
      </c>
      <c r="C3643" s="71">
        <v>1</v>
      </c>
      <c r="D3643" s="75">
        <f t="shared" si="58"/>
        <v>1.402898388069752E-5</v>
      </c>
    </row>
    <row r="3644" spans="2:4" x14ac:dyDescent="0.25">
      <c r="B3644" t="s">
        <v>9967</v>
      </c>
      <c r="C3644" s="71">
        <v>1</v>
      </c>
      <c r="D3644" s="75">
        <f t="shared" si="58"/>
        <v>1.402898388069752E-5</v>
      </c>
    </row>
    <row r="3645" spans="2:4" x14ac:dyDescent="0.25">
      <c r="B3645" t="s">
        <v>9968</v>
      </c>
      <c r="C3645" s="71">
        <v>1</v>
      </c>
      <c r="D3645" s="75">
        <f t="shared" si="58"/>
        <v>1.402898388069752E-5</v>
      </c>
    </row>
    <row r="3646" spans="2:4" x14ac:dyDescent="0.25">
      <c r="B3646" t="s">
        <v>9969</v>
      </c>
      <c r="C3646" s="71">
        <v>1</v>
      </c>
      <c r="D3646" s="75">
        <f t="shared" si="58"/>
        <v>1.402898388069752E-5</v>
      </c>
    </row>
    <row r="3647" spans="2:4" x14ac:dyDescent="0.25">
      <c r="B3647" t="s">
        <v>9970</v>
      </c>
      <c r="C3647" s="71">
        <v>1</v>
      </c>
      <c r="D3647" s="75">
        <f t="shared" si="58"/>
        <v>1.402898388069752E-5</v>
      </c>
    </row>
    <row r="3648" spans="2:4" x14ac:dyDescent="0.25">
      <c r="B3648" t="e">
        <f>---ukian</f>
        <v>#NAME?</v>
      </c>
      <c r="C3648" s="71">
        <v>1</v>
      </c>
      <c r="D3648" s="75">
        <f t="shared" si="58"/>
        <v>1.402898388069752E-5</v>
      </c>
    </row>
    <row r="3649" spans="2:4" x14ac:dyDescent="0.25">
      <c r="B3649" t="s">
        <v>9971</v>
      </c>
      <c r="C3649" s="71">
        <v>1</v>
      </c>
      <c r="D3649" s="75">
        <f t="shared" si="58"/>
        <v>1.402898388069752E-5</v>
      </c>
    </row>
    <row r="3650" spans="2:4" x14ac:dyDescent="0.25">
      <c r="B3650" t="s">
        <v>9972</v>
      </c>
      <c r="C3650" s="71">
        <v>1</v>
      </c>
      <c r="D3650" s="75">
        <f t="shared" si="58"/>
        <v>1.402898388069752E-5</v>
      </c>
    </row>
    <row r="3651" spans="2:4" x14ac:dyDescent="0.25">
      <c r="B3651" t="s">
        <v>9973</v>
      </c>
      <c r="C3651" s="71">
        <v>1</v>
      </c>
      <c r="D3651" s="75">
        <f t="shared" si="58"/>
        <v>1.402898388069752E-5</v>
      </c>
    </row>
    <row r="3652" spans="2:4" x14ac:dyDescent="0.25">
      <c r="B3652" t="s">
        <v>9974</v>
      </c>
      <c r="C3652" s="71">
        <v>1</v>
      </c>
      <c r="D3652" s="75">
        <f t="shared" si="58"/>
        <v>1.402898388069752E-5</v>
      </c>
    </row>
    <row r="3653" spans="2:4" x14ac:dyDescent="0.25">
      <c r="B3653" t="s">
        <v>9975</v>
      </c>
      <c r="C3653" s="71">
        <v>1</v>
      </c>
      <c r="D3653" s="75">
        <f t="shared" si="58"/>
        <v>1.402898388069752E-5</v>
      </c>
    </row>
    <row r="3654" spans="2:4" x14ac:dyDescent="0.25">
      <c r="B3654" t="s">
        <v>9976</v>
      </c>
      <c r="C3654" s="71">
        <v>1</v>
      </c>
      <c r="D3654" s="75">
        <f t="shared" ref="D3654:D3717" si="59">C3654/$C$4822</f>
        <v>1.402898388069752E-5</v>
      </c>
    </row>
    <row r="3655" spans="2:4" x14ac:dyDescent="0.25">
      <c r="B3655" t="s">
        <v>9977</v>
      </c>
      <c r="C3655" s="71">
        <v>1</v>
      </c>
      <c r="D3655" s="75">
        <f t="shared" si="59"/>
        <v>1.402898388069752E-5</v>
      </c>
    </row>
    <row r="3656" spans="2:4" x14ac:dyDescent="0.25">
      <c r="B3656" t="s">
        <v>9978</v>
      </c>
      <c r="C3656" s="71">
        <v>1</v>
      </c>
      <c r="D3656" s="75">
        <f t="shared" si="59"/>
        <v>1.402898388069752E-5</v>
      </c>
    </row>
    <row r="3657" spans="2:4" x14ac:dyDescent="0.25">
      <c r="B3657" t="s">
        <v>9979</v>
      </c>
      <c r="C3657" s="71">
        <v>1</v>
      </c>
      <c r="D3657" s="75">
        <f t="shared" si="59"/>
        <v>1.402898388069752E-5</v>
      </c>
    </row>
    <row r="3658" spans="2:4" x14ac:dyDescent="0.25">
      <c r="B3658" t="s">
        <v>9980</v>
      </c>
      <c r="C3658" s="71">
        <v>1</v>
      </c>
      <c r="D3658" s="75">
        <f t="shared" si="59"/>
        <v>1.402898388069752E-5</v>
      </c>
    </row>
    <row r="3659" spans="2:4" x14ac:dyDescent="0.25">
      <c r="B3659" t="s">
        <v>9981</v>
      </c>
      <c r="C3659" s="71">
        <v>1</v>
      </c>
      <c r="D3659" s="75">
        <f t="shared" si="59"/>
        <v>1.402898388069752E-5</v>
      </c>
    </row>
    <row r="3660" spans="2:4" x14ac:dyDescent="0.25">
      <c r="B3660" t="s">
        <v>9982</v>
      </c>
      <c r="C3660" s="71">
        <v>1</v>
      </c>
      <c r="D3660" s="75">
        <f t="shared" si="59"/>
        <v>1.402898388069752E-5</v>
      </c>
    </row>
    <row r="3661" spans="2:4" x14ac:dyDescent="0.25">
      <c r="B3661" t="s">
        <v>9983</v>
      </c>
      <c r="C3661" s="71">
        <v>1</v>
      </c>
      <c r="D3661" s="75">
        <f t="shared" si="59"/>
        <v>1.402898388069752E-5</v>
      </c>
    </row>
    <row r="3662" spans="2:4" x14ac:dyDescent="0.25">
      <c r="B3662" t="s">
        <v>9984</v>
      </c>
      <c r="C3662" s="71">
        <v>1</v>
      </c>
      <c r="D3662" s="75">
        <f t="shared" si="59"/>
        <v>1.402898388069752E-5</v>
      </c>
    </row>
    <row r="3663" spans="2:4" x14ac:dyDescent="0.25">
      <c r="B3663" t="s">
        <v>9985</v>
      </c>
      <c r="C3663" s="71">
        <v>1</v>
      </c>
      <c r="D3663" s="75">
        <f t="shared" si="59"/>
        <v>1.402898388069752E-5</v>
      </c>
    </row>
    <row r="3664" spans="2:4" x14ac:dyDescent="0.25">
      <c r="B3664" t="s">
        <v>9986</v>
      </c>
      <c r="C3664" s="71">
        <v>1</v>
      </c>
      <c r="D3664" s="75">
        <f t="shared" si="59"/>
        <v>1.402898388069752E-5</v>
      </c>
    </row>
    <row r="3665" spans="2:4" x14ac:dyDescent="0.25">
      <c r="B3665" t="s">
        <v>9987</v>
      </c>
      <c r="C3665" s="71">
        <v>1</v>
      </c>
      <c r="D3665" s="75">
        <f t="shared" si="59"/>
        <v>1.402898388069752E-5</v>
      </c>
    </row>
    <row r="3666" spans="2:4" x14ac:dyDescent="0.25">
      <c r="B3666" t="s">
        <v>9988</v>
      </c>
      <c r="C3666" s="71">
        <v>1</v>
      </c>
      <c r="D3666" s="75">
        <f t="shared" si="59"/>
        <v>1.402898388069752E-5</v>
      </c>
    </row>
    <row r="3667" spans="2:4" x14ac:dyDescent="0.25">
      <c r="B3667" t="s">
        <v>9989</v>
      </c>
      <c r="C3667" s="71">
        <v>1</v>
      </c>
      <c r="D3667" s="75">
        <f t="shared" si="59"/>
        <v>1.402898388069752E-5</v>
      </c>
    </row>
    <row r="3668" spans="2:4" x14ac:dyDescent="0.25">
      <c r="B3668" t="s">
        <v>9990</v>
      </c>
      <c r="C3668" s="71">
        <v>1</v>
      </c>
      <c r="D3668" s="75">
        <f t="shared" si="59"/>
        <v>1.402898388069752E-5</v>
      </c>
    </row>
    <row r="3669" spans="2:4" x14ac:dyDescent="0.25">
      <c r="B3669" t="s">
        <v>9991</v>
      </c>
      <c r="C3669" s="71">
        <v>1</v>
      </c>
      <c r="D3669" s="75">
        <f t="shared" si="59"/>
        <v>1.402898388069752E-5</v>
      </c>
    </row>
    <row r="3670" spans="2:4" x14ac:dyDescent="0.25">
      <c r="B3670" t="s">
        <v>9992</v>
      </c>
      <c r="C3670" s="71">
        <v>1</v>
      </c>
      <c r="D3670" s="75">
        <f t="shared" si="59"/>
        <v>1.402898388069752E-5</v>
      </c>
    </row>
    <row r="3671" spans="2:4" x14ac:dyDescent="0.25">
      <c r="B3671" t="s">
        <v>9993</v>
      </c>
      <c r="C3671" s="71">
        <v>1</v>
      </c>
      <c r="D3671" s="75">
        <f t="shared" si="59"/>
        <v>1.402898388069752E-5</v>
      </c>
    </row>
    <row r="3672" spans="2:4" x14ac:dyDescent="0.25">
      <c r="B3672" t="s">
        <v>9994</v>
      </c>
      <c r="C3672" s="71">
        <v>1</v>
      </c>
      <c r="D3672" s="75">
        <f t="shared" si="59"/>
        <v>1.402898388069752E-5</v>
      </c>
    </row>
    <row r="3673" spans="2:4" x14ac:dyDescent="0.25">
      <c r="B3673" t="s">
        <v>9995</v>
      </c>
      <c r="C3673" s="71">
        <v>1</v>
      </c>
      <c r="D3673" s="75">
        <f t="shared" si="59"/>
        <v>1.402898388069752E-5</v>
      </c>
    </row>
    <row r="3674" spans="2:4" x14ac:dyDescent="0.25">
      <c r="B3674" t="s">
        <v>9996</v>
      </c>
      <c r="C3674" s="71">
        <v>1</v>
      </c>
      <c r="D3674" s="75">
        <f t="shared" si="59"/>
        <v>1.402898388069752E-5</v>
      </c>
    </row>
    <row r="3675" spans="2:4" x14ac:dyDescent="0.25">
      <c r="B3675" t="s">
        <v>9997</v>
      </c>
      <c r="C3675" s="71">
        <v>1</v>
      </c>
      <c r="D3675" s="75">
        <f t="shared" si="59"/>
        <v>1.402898388069752E-5</v>
      </c>
    </row>
    <row r="3676" spans="2:4" x14ac:dyDescent="0.25">
      <c r="B3676" t="s">
        <v>9998</v>
      </c>
      <c r="C3676" s="71">
        <v>1</v>
      </c>
      <c r="D3676" s="75">
        <f t="shared" si="59"/>
        <v>1.402898388069752E-5</v>
      </c>
    </row>
    <row r="3677" spans="2:4" x14ac:dyDescent="0.25">
      <c r="B3677" t="s">
        <v>9999</v>
      </c>
      <c r="C3677" s="71">
        <v>1</v>
      </c>
      <c r="D3677" s="75">
        <f t="shared" si="59"/>
        <v>1.402898388069752E-5</v>
      </c>
    </row>
    <row r="3678" spans="2:4" x14ac:dyDescent="0.25">
      <c r="B3678" t="s">
        <v>10000</v>
      </c>
      <c r="C3678" s="71">
        <v>1</v>
      </c>
      <c r="D3678" s="75">
        <f t="shared" si="59"/>
        <v>1.402898388069752E-5</v>
      </c>
    </row>
    <row r="3679" spans="2:4" x14ac:dyDescent="0.25">
      <c r="B3679" t="s">
        <v>10001</v>
      </c>
      <c r="C3679" s="71">
        <v>1</v>
      </c>
      <c r="D3679" s="75">
        <f t="shared" si="59"/>
        <v>1.402898388069752E-5</v>
      </c>
    </row>
    <row r="3680" spans="2:4" x14ac:dyDescent="0.25">
      <c r="B3680" t="s">
        <v>10002</v>
      </c>
      <c r="C3680" s="71">
        <v>1</v>
      </c>
      <c r="D3680" s="75">
        <f t="shared" si="59"/>
        <v>1.402898388069752E-5</v>
      </c>
    </row>
    <row r="3681" spans="2:4" x14ac:dyDescent="0.25">
      <c r="B3681" t="s">
        <v>10003</v>
      </c>
      <c r="C3681" s="71">
        <v>1</v>
      </c>
      <c r="D3681" s="75">
        <f t="shared" si="59"/>
        <v>1.402898388069752E-5</v>
      </c>
    </row>
    <row r="3682" spans="2:4" x14ac:dyDescent="0.25">
      <c r="B3682" t="s">
        <v>10004</v>
      </c>
      <c r="C3682" s="71">
        <v>1</v>
      </c>
      <c r="D3682" s="75">
        <f t="shared" si="59"/>
        <v>1.402898388069752E-5</v>
      </c>
    </row>
    <row r="3683" spans="2:4" x14ac:dyDescent="0.25">
      <c r="B3683" t="s">
        <v>10005</v>
      </c>
      <c r="C3683" s="71">
        <v>1</v>
      </c>
      <c r="D3683" s="75">
        <f t="shared" si="59"/>
        <v>1.402898388069752E-5</v>
      </c>
    </row>
    <row r="3684" spans="2:4" x14ac:dyDescent="0.25">
      <c r="B3684" t="s">
        <v>10006</v>
      </c>
      <c r="C3684" s="71">
        <v>1</v>
      </c>
      <c r="D3684" s="75">
        <f t="shared" si="59"/>
        <v>1.402898388069752E-5</v>
      </c>
    </row>
    <row r="3685" spans="2:4" x14ac:dyDescent="0.25">
      <c r="B3685" t="s">
        <v>10007</v>
      </c>
      <c r="C3685" s="71">
        <v>1</v>
      </c>
      <c r="D3685" s="75">
        <f t="shared" si="59"/>
        <v>1.402898388069752E-5</v>
      </c>
    </row>
    <row r="3686" spans="2:4" x14ac:dyDescent="0.25">
      <c r="B3686" t="s">
        <v>10008</v>
      </c>
      <c r="C3686" s="71">
        <v>1</v>
      </c>
      <c r="D3686" s="75">
        <f t="shared" si="59"/>
        <v>1.402898388069752E-5</v>
      </c>
    </row>
    <row r="3687" spans="2:4" x14ac:dyDescent="0.25">
      <c r="B3687" t="s">
        <v>10009</v>
      </c>
      <c r="C3687" s="71">
        <v>1</v>
      </c>
      <c r="D3687" s="75">
        <f t="shared" si="59"/>
        <v>1.402898388069752E-5</v>
      </c>
    </row>
    <row r="3688" spans="2:4" x14ac:dyDescent="0.25">
      <c r="B3688" t="s">
        <v>10010</v>
      </c>
      <c r="C3688" s="71">
        <v>1</v>
      </c>
      <c r="D3688" s="75">
        <f t="shared" si="59"/>
        <v>1.402898388069752E-5</v>
      </c>
    </row>
    <row r="3689" spans="2:4" x14ac:dyDescent="0.25">
      <c r="B3689" t="s">
        <v>10011</v>
      </c>
      <c r="C3689" s="71">
        <v>1</v>
      </c>
      <c r="D3689" s="75">
        <f t="shared" si="59"/>
        <v>1.402898388069752E-5</v>
      </c>
    </row>
    <row r="3690" spans="2:4" x14ac:dyDescent="0.25">
      <c r="B3690" t="s">
        <v>10012</v>
      </c>
      <c r="C3690" s="71">
        <v>1</v>
      </c>
      <c r="D3690" s="75">
        <f t="shared" si="59"/>
        <v>1.402898388069752E-5</v>
      </c>
    </row>
    <row r="3691" spans="2:4" x14ac:dyDescent="0.25">
      <c r="B3691" t="s">
        <v>10013</v>
      </c>
      <c r="C3691" s="71">
        <v>1</v>
      </c>
      <c r="D3691" s="75">
        <f t="shared" si="59"/>
        <v>1.402898388069752E-5</v>
      </c>
    </row>
    <row r="3692" spans="2:4" x14ac:dyDescent="0.25">
      <c r="B3692" t="s">
        <v>10014</v>
      </c>
      <c r="C3692" s="71">
        <v>1</v>
      </c>
      <c r="D3692" s="75">
        <f t="shared" si="59"/>
        <v>1.402898388069752E-5</v>
      </c>
    </row>
    <row r="3693" spans="2:4" x14ac:dyDescent="0.25">
      <c r="B3693" t="s">
        <v>10015</v>
      </c>
      <c r="C3693" s="71">
        <v>1</v>
      </c>
      <c r="D3693" s="75">
        <f t="shared" si="59"/>
        <v>1.402898388069752E-5</v>
      </c>
    </row>
    <row r="3694" spans="2:4" x14ac:dyDescent="0.25">
      <c r="B3694" t="s">
        <v>10016</v>
      </c>
      <c r="C3694" s="71">
        <v>1</v>
      </c>
      <c r="D3694" s="75">
        <f t="shared" si="59"/>
        <v>1.402898388069752E-5</v>
      </c>
    </row>
    <row r="3695" spans="2:4" x14ac:dyDescent="0.25">
      <c r="B3695" t="s">
        <v>10017</v>
      </c>
      <c r="C3695" s="71">
        <v>1</v>
      </c>
      <c r="D3695" s="75">
        <f t="shared" si="59"/>
        <v>1.402898388069752E-5</v>
      </c>
    </row>
    <row r="3696" spans="2:4" x14ac:dyDescent="0.25">
      <c r="B3696" t="s">
        <v>10018</v>
      </c>
      <c r="C3696" s="71">
        <v>1</v>
      </c>
      <c r="D3696" s="75">
        <f t="shared" si="59"/>
        <v>1.402898388069752E-5</v>
      </c>
    </row>
    <row r="3697" spans="2:4" x14ac:dyDescent="0.25">
      <c r="B3697" t="s">
        <v>10019</v>
      </c>
      <c r="C3697" s="71">
        <v>1</v>
      </c>
      <c r="D3697" s="75">
        <f t="shared" si="59"/>
        <v>1.402898388069752E-5</v>
      </c>
    </row>
    <row r="3698" spans="2:4" x14ac:dyDescent="0.25">
      <c r="B3698" t="s">
        <v>10020</v>
      </c>
      <c r="C3698" s="71">
        <v>1</v>
      </c>
      <c r="D3698" s="75">
        <f t="shared" si="59"/>
        <v>1.402898388069752E-5</v>
      </c>
    </row>
    <row r="3699" spans="2:4" x14ac:dyDescent="0.25">
      <c r="B3699" t="s">
        <v>10021</v>
      </c>
      <c r="C3699" s="71">
        <v>1</v>
      </c>
      <c r="D3699" s="75">
        <f t="shared" si="59"/>
        <v>1.402898388069752E-5</v>
      </c>
    </row>
    <row r="3700" spans="2:4" x14ac:dyDescent="0.25">
      <c r="B3700" t="s">
        <v>10022</v>
      </c>
      <c r="C3700" s="71">
        <v>1</v>
      </c>
      <c r="D3700" s="75">
        <f t="shared" si="59"/>
        <v>1.402898388069752E-5</v>
      </c>
    </row>
    <row r="3701" spans="2:4" x14ac:dyDescent="0.25">
      <c r="B3701" t="s">
        <v>10023</v>
      </c>
      <c r="C3701" s="71">
        <v>1</v>
      </c>
      <c r="D3701" s="75">
        <f t="shared" si="59"/>
        <v>1.402898388069752E-5</v>
      </c>
    </row>
    <row r="3702" spans="2:4" x14ac:dyDescent="0.25">
      <c r="B3702" t="s">
        <v>10024</v>
      </c>
      <c r="C3702" s="71">
        <v>1</v>
      </c>
      <c r="D3702" s="75">
        <f t="shared" si="59"/>
        <v>1.402898388069752E-5</v>
      </c>
    </row>
    <row r="3703" spans="2:4" x14ac:dyDescent="0.25">
      <c r="B3703" t="s">
        <v>10025</v>
      </c>
      <c r="C3703" s="71">
        <v>1</v>
      </c>
      <c r="D3703" s="75">
        <f t="shared" si="59"/>
        <v>1.402898388069752E-5</v>
      </c>
    </row>
    <row r="3704" spans="2:4" x14ac:dyDescent="0.25">
      <c r="B3704" t="s">
        <v>10026</v>
      </c>
      <c r="C3704" s="71">
        <v>1</v>
      </c>
      <c r="D3704" s="75">
        <f t="shared" si="59"/>
        <v>1.402898388069752E-5</v>
      </c>
    </row>
    <row r="3705" spans="2:4" x14ac:dyDescent="0.25">
      <c r="B3705" t="s">
        <v>10027</v>
      </c>
      <c r="C3705" s="71">
        <v>1</v>
      </c>
      <c r="D3705" s="75">
        <f t="shared" si="59"/>
        <v>1.402898388069752E-5</v>
      </c>
    </row>
    <row r="3706" spans="2:4" x14ac:dyDescent="0.25">
      <c r="B3706" t="s">
        <v>10028</v>
      </c>
      <c r="C3706" s="71">
        <v>1</v>
      </c>
      <c r="D3706" s="75">
        <f t="shared" si="59"/>
        <v>1.402898388069752E-5</v>
      </c>
    </row>
    <row r="3707" spans="2:4" x14ac:dyDescent="0.25">
      <c r="B3707" t="s">
        <v>10029</v>
      </c>
      <c r="C3707" s="71">
        <v>1</v>
      </c>
      <c r="D3707" s="75">
        <f t="shared" si="59"/>
        <v>1.402898388069752E-5</v>
      </c>
    </row>
    <row r="3708" spans="2:4" x14ac:dyDescent="0.25">
      <c r="B3708" t="s">
        <v>10030</v>
      </c>
      <c r="C3708" s="71">
        <v>1</v>
      </c>
      <c r="D3708" s="75">
        <f t="shared" si="59"/>
        <v>1.402898388069752E-5</v>
      </c>
    </row>
    <row r="3709" spans="2:4" x14ac:dyDescent="0.25">
      <c r="B3709" t="s">
        <v>10031</v>
      </c>
      <c r="C3709" s="71">
        <v>1</v>
      </c>
      <c r="D3709" s="75">
        <f t="shared" si="59"/>
        <v>1.402898388069752E-5</v>
      </c>
    </row>
    <row r="3710" spans="2:4" x14ac:dyDescent="0.25">
      <c r="B3710" t="s">
        <v>10032</v>
      </c>
      <c r="C3710" s="71">
        <v>1</v>
      </c>
      <c r="D3710" s="75">
        <f t="shared" si="59"/>
        <v>1.402898388069752E-5</v>
      </c>
    </row>
    <row r="3711" spans="2:4" x14ac:dyDescent="0.25">
      <c r="B3711" t="s">
        <v>10033</v>
      </c>
      <c r="C3711" s="71">
        <v>1</v>
      </c>
      <c r="D3711" s="75">
        <f t="shared" si="59"/>
        <v>1.402898388069752E-5</v>
      </c>
    </row>
    <row r="3712" spans="2:4" x14ac:dyDescent="0.25">
      <c r="B3712" t="s">
        <v>10034</v>
      </c>
      <c r="C3712" s="71">
        <v>1</v>
      </c>
      <c r="D3712" s="75">
        <f t="shared" si="59"/>
        <v>1.402898388069752E-5</v>
      </c>
    </row>
    <row r="3713" spans="2:4" x14ac:dyDescent="0.25">
      <c r="B3713" t="s">
        <v>10035</v>
      </c>
      <c r="C3713" s="71">
        <v>1</v>
      </c>
      <c r="D3713" s="75">
        <f t="shared" si="59"/>
        <v>1.402898388069752E-5</v>
      </c>
    </row>
    <row r="3714" spans="2:4" x14ac:dyDescent="0.25">
      <c r="B3714" t="s">
        <v>10036</v>
      </c>
      <c r="C3714" s="71">
        <v>1</v>
      </c>
      <c r="D3714" s="75">
        <f t="shared" si="59"/>
        <v>1.402898388069752E-5</v>
      </c>
    </row>
    <row r="3715" spans="2:4" x14ac:dyDescent="0.25">
      <c r="B3715" t="s">
        <v>10037</v>
      </c>
      <c r="C3715" s="71">
        <v>1</v>
      </c>
      <c r="D3715" s="75">
        <f t="shared" si="59"/>
        <v>1.402898388069752E-5</v>
      </c>
    </row>
    <row r="3716" spans="2:4" x14ac:dyDescent="0.25">
      <c r="B3716" t="s">
        <v>10038</v>
      </c>
      <c r="C3716" s="71">
        <v>1</v>
      </c>
      <c r="D3716" s="75">
        <f t="shared" si="59"/>
        <v>1.402898388069752E-5</v>
      </c>
    </row>
    <row r="3717" spans="2:4" x14ac:dyDescent="0.25">
      <c r="B3717" t="s">
        <v>10039</v>
      </c>
      <c r="C3717" s="71">
        <v>1</v>
      </c>
      <c r="D3717" s="75">
        <f t="shared" si="59"/>
        <v>1.402898388069752E-5</v>
      </c>
    </row>
    <row r="3718" spans="2:4" x14ac:dyDescent="0.25">
      <c r="B3718" t="s">
        <v>10040</v>
      </c>
      <c r="C3718" s="71">
        <v>1</v>
      </c>
      <c r="D3718" s="75">
        <f t="shared" ref="D3718:D3781" si="60">C3718/$C$4822</f>
        <v>1.402898388069752E-5</v>
      </c>
    </row>
    <row r="3719" spans="2:4" x14ac:dyDescent="0.25">
      <c r="B3719" t="s">
        <v>10041</v>
      </c>
      <c r="C3719" s="71">
        <v>1</v>
      </c>
      <c r="D3719" s="75">
        <f t="shared" si="60"/>
        <v>1.402898388069752E-5</v>
      </c>
    </row>
    <row r="3720" spans="2:4" x14ac:dyDescent="0.25">
      <c r="B3720" t="s">
        <v>10042</v>
      </c>
      <c r="C3720" s="71">
        <v>1</v>
      </c>
      <c r="D3720" s="75">
        <f t="shared" si="60"/>
        <v>1.402898388069752E-5</v>
      </c>
    </row>
    <row r="3721" spans="2:4" x14ac:dyDescent="0.25">
      <c r="B3721" t="s">
        <v>10043</v>
      </c>
      <c r="C3721" s="71">
        <v>1</v>
      </c>
      <c r="D3721" s="75">
        <f t="shared" si="60"/>
        <v>1.402898388069752E-5</v>
      </c>
    </row>
    <row r="3722" spans="2:4" x14ac:dyDescent="0.25">
      <c r="B3722" t="s">
        <v>10044</v>
      </c>
      <c r="C3722" s="71">
        <v>1</v>
      </c>
      <c r="D3722" s="75">
        <f t="shared" si="60"/>
        <v>1.402898388069752E-5</v>
      </c>
    </row>
    <row r="3723" spans="2:4" x14ac:dyDescent="0.25">
      <c r="B3723" t="s">
        <v>10045</v>
      </c>
      <c r="C3723" s="71">
        <v>1</v>
      </c>
      <c r="D3723" s="75">
        <f t="shared" si="60"/>
        <v>1.402898388069752E-5</v>
      </c>
    </row>
    <row r="3724" spans="2:4" x14ac:dyDescent="0.25">
      <c r="B3724" t="s">
        <v>10046</v>
      </c>
      <c r="C3724" s="71">
        <v>1</v>
      </c>
      <c r="D3724" s="75">
        <f t="shared" si="60"/>
        <v>1.402898388069752E-5</v>
      </c>
    </row>
    <row r="3725" spans="2:4" x14ac:dyDescent="0.25">
      <c r="B3725" t="s">
        <v>10047</v>
      </c>
      <c r="C3725" s="71">
        <v>1</v>
      </c>
      <c r="D3725" s="75">
        <f t="shared" si="60"/>
        <v>1.402898388069752E-5</v>
      </c>
    </row>
    <row r="3726" spans="2:4" x14ac:dyDescent="0.25">
      <c r="B3726" t="s">
        <v>10048</v>
      </c>
      <c r="C3726" s="71">
        <v>1</v>
      </c>
      <c r="D3726" s="75">
        <f t="shared" si="60"/>
        <v>1.402898388069752E-5</v>
      </c>
    </row>
    <row r="3727" spans="2:4" x14ac:dyDescent="0.25">
      <c r="B3727" t="s">
        <v>10049</v>
      </c>
      <c r="C3727" s="71">
        <v>1</v>
      </c>
      <c r="D3727" s="75">
        <f t="shared" si="60"/>
        <v>1.402898388069752E-5</v>
      </c>
    </row>
    <row r="3728" spans="2:4" x14ac:dyDescent="0.25">
      <c r="B3728" t="s">
        <v>10050</v>
      </c>
      <c r="C3728" s="71">
        <v>1</v>
      </c>
      <c r="D3728" s="75">
        <f t="shared" si="60"/>
        <v>1.402898388069752E-5</v>
      </c>
    </row>
    <row r="3729" spans="2:4" x14ac:dyDescent="0.25">
      <c r="B3729" t="s">
        <v>10051</v>
      </c>
      <c r="C3729" s="71">
        <v>1</v>
      </c>
      <c r="D3729" s="75">
        <f t="shared" si="60"/>
        <v>1.402898388069752E-5</v>
      </c>
    </row>
    <row r="3730" spans="2:4" x14ac:dyDescent="0.25">
      <c r="B3730" t="s">
        <v>10052</v>
      </c>
      <c r="C3730" s="71">
        <v>1</v>
      </c>
      <c r="D3730" s="75">
        <f t="shared" si="60"/>
        <v>1.402898388069752E-5</v>
      </c>
    </row>
    <row r="3731" spans="2:4" x14ac:dyDescent="0.25">
      <c r="B3731" t="s">
        <v>10053</v>
      </c>
      <c r="C3731" s="71">
        <v>1</v>
      </c>
      <c r="D3731" s="75">
        <f t="shared" si="60"/>
        <v>1.402898388069752E-5</v>
      </c>
    </row>
    <row r="3732" spans="2:4" x14ac:dyDescent="0.25">
      <c r="B3732" t="s">
        <v>10054</v>
      </c>
      <c r="C3732" s="71">
        <v>1</v>
      </c>
      <c r="D3732" s="75">
        <f t="shared" si="60"/>
        <v>1.402898388069752E-5</v>
      </c>
    </row>
    <row r="3733" spans="2:4" x14ac:dyDescent="0.25">
      <c r="B3733" t="s">
        <v>10055</v>
      </c>
      <c r="C3733" s="71">
        <v>1</v>
      </c>
      <c r="D3733" s="75">
        <f t="shared" si="60"/>
        <v>1.402898388069752E-5</v>
      </c>
    </row>
    <row r="3734" spans="2:4" x14ac:dyDescent="0.25">
      <c r="B3734" t="s">
        <v>10056</v>
      </c>
      <c r="C3734" s="71">
        <v>1</v>
      </c>
      <c r="D3734" s="75">
        <f t="shared" si="60"/>
        <v>1.402898388069752E-5</v>
      </c>
    </row>
    <row r="3735" spans="2:4" x14ac:dyDescent="0.25">
      <c r="B3735" t="s">
        <v>10057</v>
      </c>
      <c r="C3735" s="71">
        <v>1</v>
      </c>
      <c r="D3735" s="75">
        <f t="shared" si="60"/>
        <v>1.402898388069752E-5</v>
      </c>
    </row>
    <row r="3736" spans="2:4" x14ac:dyDescent="0.25">
      <c r="B3736" t="s">
        <v>10058</v>
      </c>
      <c r="C3736" s="71">
        <v>1</v>
      </c>
      <c r="D3736" s="75">
        <f t="shared" si="60"/>
        <v>1.402898388069752E-5</v>
      </c>
    </row>
    <row r="3737" spans="2:4" x14ac:dyDescent="0.25">
      <c r="B3737" t="s">
        <v>10059</v>
      </c>
      <c r="C3737" s="71">
        <v>1</v>
      </c>
      <c r="D3737" s="75">
        <f t="shared" si="60"/>
        <v>1.402898388069752E-5</v>
      </c>
    </row>
    <row r="3738" spans="2:4" x14ac:dyDescent="0.25">
      <c r="B3738" t="s">
        <v>10060</v>
      </c>
      <c r="C3738" s="71">
        <v>1</v>
      </c>
      <c r="D3738" s="75">
        <f t="shared" si="60"/>
        <v>1.402898388069752E-5</v>
      </c>
    </row>
    <row r="3739" spans="2:4" x14ac:dyDescent="0.25">
      <c r="B3739" t="s">
        <v>10061</v>
      </c>
      <c r="C3739" s="71">
        <v>1</v>
      </c>
      <c r="D3739" s="75">
        <f t="shared" si="60"/>
        <v>1.402898388069752E-5</v>
      </c>
    </row>
    <row r="3740" spans="2:4" x14ac:dyDescent="0.25">
      <c r="B3740" t="s">
        <v>10062</v>
      </c>
      <c r="C3740" s="71">
        <v>1</v>
      </c>
      <c r="D3740" s="75">
        <f t="shared" si="60"/>
        <v>1.402898388069752E-5</v>
      </c>
    </row>
    <row r="3741" spans="2:4" x14ac:dyDescent="0.25">
      <c r="B3741" t="s">
        <v>10063</v>
      </c>
      <c r="C3741" s="71">
        <v>1</v>
      </c>
      <c r="D3741" s="75">
        <f t="shared" si="60"/>
        <v>1.402898388069752E-5</v>
      </c>
    </row>
    <row r="3742" spans="2:4" x14ac:dyDescent="0.25">
      <c r="B3742" t="s">
        <v>10064</v>
      </c>
      <c r="C3742" s="71">
        <v>1</v>
      </c>
      <c r="D3742" s="75">
        <f t="shared" si="60"/>
        <v>1.402898388069752E-5</v>
      </c>
    </row>
    <row r="3743" spans="2:4" x14ac:dyDescent="0.25">
      <c r="B3743" t="s">
        <v>10065</v>
      </c>
      <c r="C3743" s="71">
        <v>1</v>
      </c>
      <c r="D3743" s="75">
        <f t="shared" si="60"/>
        <v>1.402898388069752E-5</v>
      </c>
    </row>
    <row r="3744" spans="2:4" x14ac:dyDescent="0.25">
      <c r="B3744" t="s">
        <v>10066</v>
      </c>
      <c r="C3744" s="71">
        <v>1</v>
      </c>
      <c r="D3744" s="75">
        <f t="shared" si="60"/>
        <v>1.402898388069752E-5</v>
      </c>
    </row>
    <row r="3745" spans="2:4" x14ac:dyDescent="0.25">
      <c r="B3745" t="s">
        <v>10067</v>
      </c>
      <c r="C3745" s="71">
        <v>1</v>
      </c>
      <c r="D3745" s="75">
        <f t="shared" si="60"/>
        <v>1.402898388069752E-5</v>
      </c>
    </row>
    <row r="3746" spans="2:4" x14ac:dyDescent="0.25">
      <c r="B3746" t="s">
        <v>10068</v>
      </c>
      <c r="C3746" s="71">
        <v>1</v>
      </c>
      <c r="D3746" s="75">
        <f t="shared" si="60"/>
        <v>1.402898388069752E-5</v>
      </c>
    </row>
    <row r="3747" spans="2:4" x14ac:dyDescent="0.25">
      <c r="B3747" t="s">
        <v>10069</v>
      </c>
      <c r="C3747" s="71">
        <v>1</v>
      </c>
      <c r="D3747" s="75">
        <f t="shared" si="60"/>
        <v>1.402898388069752E-5</v>
      </c>
    </row>
    <row r="3748" spans="2:4" x14ac:dyDescent="0.25">
      <c r="B3748" t="s">
        <v>10070</v>
      </c>
      <c r="C3748" s="71">
        <v>1</v>
      </c>
      <c r="D3748" s="75">
        <f t="shared" si="60"/>
        <v>1.402898388069752E-5</v>
      </c>
    </row>
    <row r="3749" spans="2:4" x14ac:dyDescent="0.25">
      <c r="B3749" t="s">
        <v>10071</v>
      </c>
      <c r="C3749" s="71">
        <v>1</v>
      </c>
      <c r="D3749" s="75">
        <f t="shared" si="60"/>
        <v>1.402898388069752E-5</v>
      </c>
    </row>
    <row r="3750" spans="2:4" x14ac:dyDescent="0.25">
      <c r="B3750" t="s">
        <v>10072</v>
      </c>
      <c r="C3750" s="71">
        <v>1</v>
      </c>
      <c r="D3750" s="75">
        <f t="shared" si="60"/>
        <v>1.402898388069752E-5</v>
      </c>
    </row>
    <row r="3751" spans="2:4" x14ac:dyDescent="0.25">
      <c r="B3751" t="s">
        <v>10073</v>
      </c>
      <c r="C3751" s="71">
        <v>1</v>
      </c>
      <c r="D3751" s="75">
        <f t="shared" si="60"/>
        <v>1.402898388069752E-5</v>
      </c>
    </row>
    <row r="3752" spans="2:4" x14ac:dyDescent="0.25">
      <c r="B3752" t="s">
        <v>10074</v>
      </c>
      <c r="C3752" s="71">
        <v>1</v>
      </c>
      <c r="D3752" s="75">
        <f t="shared" si="60"/>
        <v>1.402898388069752E-5</v>
      </c>
    </row>
    <row r="3753" spans="2:4" x14ac:dyDescent="0.25">
      <c r="B3753" t="s">
        <v>10075</v>
      </c>
      <c r="C3753" s="71">
        <v>1</v>
      </c>
      <c r="D3753" s="75">
        <f t="shared" si="60"/>
        <v>1.402898388069752E-5</v>
      </c>
    </row>
    <row r="3754" spans="2:4" x14ac:dyDescent="0.25">
      <c r="B3754" t="s">
        <v>10076</v>
      </c>
      <c r="C3754" s="71">
        <v>1</v>
      </c>
      <c r="D3754" s="75">
        <f t="shared" si="60"/>
        <v>1.402898388069752E-5</v>
      </c>
    </row>
    <row r="3755" spans="2:4" x14ac:dyDescent="0.25">
      <c r="B3755" t="s">
        <v>10077</v>
      </c>
      <c r="C3755" s="71">
        <v>1</v>
      </c>
      <c r="D3755" s="75">
        <f t="shared" si="60"/>
        <v>1.402898388069752E-5</v>
      </c>
    </row>
    <row r="3756" spans="2:4" x14ac:dyDescent="0.25">
      <c r="B3756" t="s">
        <v>10078</v>
      </c>
      <c r="C3756" s="71">
        <v>1</v>
      </c>
      <c r="D3756" s="75">
        <f t="shared" si="60"/>
        <v>1.402898388069752E-5</v>
      </c>
    </row>
    <row r="3757" spans="2:4" x14ac:dyDescent="0.25">
      <c r="B3757" t="s">
        <v>10079</v>
      </c>
      <c r="C3757" s="71">
        <v>1</v>
      </c>
      <c r="D3757" s="75">
        <f t="shared" si="60"/>
        <v>1.402898388069752E-5</v>
      </c>
    </row>
    <row r="3758" spans="2:4" x14ac:dyDescent="0.25">
      <c r="B3758" t="s">
        <v>10080</v>
      </c>
      <c r="C3758" s="71">
        <v>1</v>
      </c>
      <c r="D3758" s="75">
        <f t="shared" si="60"/>
        <v>1.402898388069752E-5</v>
      </c>
    </row>
    <row r="3759" spans="2:4" x14ac:dyDescent="0.25">
      <c r="B3759" t="s">
        <v>10081</v>
      </c>
      <c r="C3759" s="71">
        <v>1</v>
      </c>
      <c r="D3759" s="75">
        <f t="shared" si="60"/>
        <v>1.402898388069752E-5</v>
      </c>
    </row>
    <row r="3760" spans="2:4" x14ac:dyDescent="0.25">
      <c r="B3760" t="s">
        <v>10082</v>
      </c>
      <c r="C3760" s="71">
        <v>1</v>
      </c>
      <c r="D3760" s="75">
        <f t="shared" si="60"/>
        <v>1.402898388069752E-5</v>
      </c>
    </row>
    <row r="3761" spans="2:4" x14ac:dyDescent="0.25">
      <c r="B3761" t="s">
        <v>10083</v>
      </c>
      <c r="C3761" s="71">
        <v>1</v>
      </c>
      <c r="D3761" s="75">
        <f t="shared" si="60"/>
        <v>1.402898388069752E-5</v>
      </c>
    </row>
    <row r="3762" spans="2:4" x14ac:dyDescent="0.25">
      <c r="B3762" t="s">
        <v>10084</v>
      </c>
      <c r="C3762" s="71">
        <v>1</v>
      </c>
      <c r="D3762" s="75">
        <f t="shared" si="60"/>
        <v>1.402898388069752E-5</v>
      </c>
    </row>
    <row r="3763" spans="2:4" x14ac:dyDescent="0.25">
      <c r="B3763" t="s">
        <v>10085</v>
      </c>
      <c r="C3763" s="71">
        <v>1</v>
      </c>
      <c r="D3763" s="75">
        <f t="shared" si="60"/>
        <v>1.402898388069752E-5</v>
      </c>
    </row>
    <row r="3764" spans="2:4" x14ac:dyDescent="0.25">
      <c r="B3764" t="s">
        <v>10086</v>
      </c>
      <c r="C3764" s="71">
        <v>1</v>
      </c>
      <c r="D3764" s="75">
        <f t="shared" si="60"/>
        <v>1.402898388069752E-5</v>
      </c>
    </row>
    <row r="3765" spans="2:4" x14ac:dyDescent="0.25">
      <c r="B3765" t="s">
        <v>10087</v>
      </c>
      <c r="C3765" s="71">
        <v>1</v>
      </c>
      <c r="D3765" s="75">
        <f t="shared" si="60"/>
        <v>1.402898388069752E-5</v>
      </c>
    </row>
    <row r="3766" spans="2:4" x14ac:dyDescent="0.25">
      <c r="B3766" t="s">
        <v>10088</v>
      </c>
      <c r="C3766" s="71">
        <v>1</v>
      </c>
      <c r="D3766" s="75">
        <f t="shared" si="60"/>
        <v>1.402898388069752E-5</v>
      </c>
    </row>
    <row r="3767" spans="2:4" x14ac:dyDescent="0.25">
      <c r="B3767" t="s">
        <v>10089</v>
      </c>
      <c r="C3767" s="71">
        <v>1</v>
      </c>
      <c r="D3767" s="75">
        <f t="shared" si="60"/>
        <v>1.402898388069752E-5</v>
      </c>
    </row>
    <row r="3768" spans="2:4" x14ac:dyDescent="0.25">
      <c r="B3768" t="s">
        <v>10090</v>
      </c>
      <c r="C3768" s="71">
        <v>1</v>
      </c>
      <c r="D3768" s="75">
        <f t="shared" si="60"/>
        <v>1.402898388069752E-5</v>
      </c>
    </row>
    <row r="3769" spans="2:4" x14ac:dyDescent="0.25">
      <c r="B3769" t="s">
        <v>10091</v>
      </c>
      <c r="C3769" s="71">
        <v>1</v>
      </c>
      <c r="D3769" s="75">
        <f t="shared" si="60"/>
        <v>1.402898388069752E-5</v>
      </c>
    </row>
    <row r="3770" spans="2:4" x14ac:dyDescent="0.25">
      <c r="B3770" t="s">
        <v>10092</v>
      </c>
      <c r="C3770" s="71">
        <v>1</v>
      </c>
      <c r="D3770" s="75">
        <f t="shared" si="60"/>
        <v>1.402898388069752E-5</v>
      </c>
    </row>
    <row r="3771" spans="2:4" x14ac:dyDescent="0.25">
      <c r="B3771" t="s">
        <v>10093</v>
      </c>
      <c r="C3771" s="71">
        <v>1</v>
      </c>
      <c r="D3771" s="75">
        <f t="shared" si="60"/>
        <v>1.402898388069752E-5</v>
      </c>
    </row>
    <row r="3772" spans="2:4" x14ac:dyDescent="0.25">
      <c r="B3772" t="s">
        <v>10094</v>
      </c>
      <c r="C3772" s="71">
        <v>1</v>
      </c>
      <c r="D3772" s="75">
        <f t="shared" si="60"/>
        <v>1.402898388069752E-5</v>
      </c>
    </row>
    <row r="3773" spans="2:4" x14ac:dyDescent="0.25">
      <c r="B3773" t="s">
        <v>10095</v>
      </c>
      <c r="C3773" s="71">
        <v>1</v>
      </c>
      <c r="D3773" s="75">
        <f t="shared" si="60"/>
        <v>1.402898388069752E-5</v>
      </c>
    </row>
    <row r="3774" spans="2:4" x14ac:dyDescent="0.25">
      <c r="B3774" t="s">
        <v>10096</v>
      </c>
      <c r="C3774" s="71">
        <v>1</v>
      </c>
      <c r="D3774" s="75">
        <f t="shared" si="60"/>
        <v>1.402898388069752E-5</v>
      </c>
    </row>
    <row r="3775" spans="2:4" x14ac:dyDescent="0.25">
      <c r="B3775" t="s">
        <v>10097</v>
      </c>
      <c r="C3775" s="71">
        <v>1</v>
      </c>
      <c r="D3775" s="75">
        <f t="shared" si="60"/>
        <v>1.402898388069752E-5</v>
      </c>
    </row>
    <row r="3776" spans="2:4" x14ac:dyDescent="0.25">
      <c r="B3776" t="s">
        <v>10098</v>
      </c>
      <c r="C3776" s="71">
        <v>1</v>
      </c>
      <c r="D3776" s="75">
        <f t="shared" si="60"/>
        <v>1.402898388069752E-5</v>
      </c>
    </row>
    <row r="3777" spans="2:4" x14ac:dyDescent="0.25">
      <c r="B3777" t="s">
        <v>10099</v>
      </c>
      <c r="C3777" s="71">
        <v>1</v>
      </c>
      <c r="D3777" s="75">
        <f t="shared" si="60"/>
        <v>1.402898388069752E-5</v>
      </c>
    </row>
    <row r="3778" spans="2:4" x14ac:dyDescent="0.25">
      <c r="B3778" t="s">
        <v>10100</v>
      </c>
      <c r="C3778" s="71">
        <v>1</v>
      </c>
      <c r="D3778" s="75">
        <f t="shared" si="60"/>
        <v>1.402898388069752E-5</v>
      </c>
    </row>
    <row r="3779" spans="2:4" x14ac:dyDescent="0.25">
      <c r="B3779" t="s">
        <v>10101</v>
      </c>
      <c r="C3779" s="71">
        <v>1</v>
      </c>
      <c r="D3779" s="75">
        <f t="shared" si="60"/>
        <v>1.402898388069752E-5</v>
      </c>
    </row>
    <row r="3780" spans="2:4" x14ac:dyDescent="0.25">
      <c r="B3780" t="s">
        <v>10102</v>
      </c>
      <c r="C3780" s="71">
        <v>1</v>
      </c>
      <c r="D3780" s="75">
        <f t="shared" si="60"/>
        <v>1.402898388069752E-5</v>
      </c>
    </row>
    <row r="3781" spans="2:4" x14ac:dyDescent="0.25">
      <c r="B3781" t="s">
        <v>10103</v>
      </c>
      <c r="C3781" s="71">
        <v>1</v>
      </c>
      <c r="D3781" s="75">
        <f t="shared" si="60"/>
        <v>1.402898388069752E-5</v>
      </c>
    </row>
    <row r="3782" spans="2:4" x14ac:dyDescent="0.25">
      <c r="B3782" t="s">
        <v>10104</v>
      </c>
      <c r="C3782" s="71">
        <v>1</v>
      </c>
      <c r="D3782" s="75">
        <f t="shared" ref="D3782:D3845" si="61">C3782/$C$4822</f>
        <v>1.402898388069752E-5</v>
      </c>
    </row>
    <row r="3783" spans="2:4" x14ac:dyDescent="0.25">
      <c r="B3783" t="s">
        <v>10105</v>
      </c>
      <c r="C3783" s="71">
        <v>1</v>
      </c>
      <c r="D3783" s="75">
        <f t="shared" si="61"/>
        <v>1.402898388069752E-5</v>
      </c>
    </row>
    <row r="3784" spans="2:4" x14ac:dyDescent="0.25">
      <c r="B3784" t="s">
        <v>10106</v>
      </c>
      <c r="C3784" s="71">
        <v>1</v>
      </c>
      <c r="D3784" s="75">
        <f t="shared" si="61"/>
        <v>1.402898388069752E-5</v>
      </c>
    </row>
    <row r="3785" spans="2:4" x14ac:dyDescent="0.25">
      <c r="B3785" t="s">
        <v>10107</v>
      </c>
      <c r="C3785" s="71">
        <v>1</v>
      </c>
      <c r="D3785" s="75">
        <f t="shared" si="61"/>
        <v>1.402898388069752E-5</v>
      </c>
    </row>
    <row r="3786" spans="2:4" x14ac:dyDescent="0.25">
      <c r="B3786" t="s">
        <v>10108</v>
      </c>
      <c r="C3786" s="71">
        <v>1</v>
      </c>
      <c r="D3786" s="75">
        <f t="shared" si="61"/>
        <v>1.402898388069752E-5</v>
      </c>
    </row>
    <row r="3787" spans="2:4" x14ac:dyDescent="0.25">
      <c r="B3787" t="s">
        <v>10109</v>
      </c>
      <c r="C3787" s="71">
        <v>1</v>
      </c>
      <c r="D3787" s="75">
        <f t="shared" si="61"/>
        <v>1.402898388069752E-5</v>
      </c>
    </row>
    <row r="3788" spans="2:4" x14ac:dyDescent="0.25">
      <c r="B3788" t="s">
        <v>10110</v>
      </c>
      <c r="C3788" s="71">
        <v>1</v>
      </c>
      <c r="D3788" s="75">
        <f t="shared" si="61"/>
        <v>1.402898388069752E-5</v>
      </c>
    </row>
    <row r="3789" spans="2:4" x14ac:dyDescent="0.25">
      <c r="B3789" t="s">
        <v>10111</v>
      </c>
      <c r="C3789" s="71">
        <v>1</v>
      </c>
      <c r="D3789" s="75">
        <f t="shared" si="61"/>
        <v>1.402898388069752E-5</v>
      </c>
    </row>
    <row r="3790" spans="2:4" x14ac:dyDescent="0.25">
      <c r="B3790" t="s">
        <v>10112</v>
      </c>
      <c r="C3790" s="71">
        <v>1</v>
      </c>
      <c r="D3790" s="75">
        <f t="shared" si="61"/>
        <v>1.402898388069752E-5</v>
      </c>
    </row>
    <row r="3791" spans="2:4" x14ac:dyDescent="0.25">
      <c r="B3791" t="s">
        <v>10113</v>
      </c>
      <c r="C3791" s="71">
        <v>1</v>
      </c>
      <c r="D3791" s="75">
        <f t="shared" si="61"/>
        <v>1.402898388069752E-5</v>
      </c>
    </row>
    <row r="3792" spans="2:4" x14ac:dyDescent="0.25">
      <c r="B3792" t="s">
        <v>10114</v>
      </c>
      <c r="C3792" s="71">
        <v>1</v>
      </c>
      <c r="D3792" s="75">
        <f t="shared" si="61"/>
        <v>1.402898388069752E-5</v>
      </c>
    </row>
    <row r="3793" spans="2:4" x14ac:dyDescent="0.25">
      <c r="B3793" t="s">
        <v>10115</v>
      </c>
      <c r="C3793" s="71">
        <v>1</v>
      </c>
      <c r="D3793" s="75">
        <f t="shared" si="61"/>
        <v>1.402898388069752E-5</v>
      </c>
    </row>
    <row r="3794" spans="2:4" x14ac:dyDescent="0.25">
      <c r="B3794" t="s">
        <v>10116</v>
      </c>
      <c r="C3794" s="71">
        <v>1</v>
      </c>
      <c r="D3794" s="75">
        <f t="shared" si="61"/>
        <v>1.402898388069752E-5</v>
      </c>
    </row>
    <row r="3795" spans="2:4" x14ac:dyDescent="0.25">
      <c r="B3795" t="s">
        <v>10117</v>
      </c>
      <c r="C3795" s="71">
        <v>1</v>
      </c>
      <c r="D3795" s="75">
        <f t="shared" si="61"/>
        <v>1.402898388069752E-5</v>
      </c>
    </row>
    <row r="3796" spans="2:4" x14ac:dyDescent="0.25">
      <c r="B3796" t="s">
        <v>10118</v>
      </c>
      <c r="C3796" s="71">
        <v>1</v>
      </c>
      <c r="D3796" s="75">
        <f t="shared" si="61"/>
        <v>1.402898388069752E-5</v>
      </c>
    </row>
    <row r="3797" spans="2:4" x14ac:dyDescent="0.25">
      <c r="B3797" t="s">
        <v>10119</v>
      </c>
      <c r="C3797" s="71">
        <v>1</v>
      </c>
      <c r="D3797" s="75">
        <f t="shared" si="61"/>
        <v>1.402898388069752E-5</v>
      </c>
    </row>
    <row r="3798" spans="2:4" x14ac:dyDescent="0.25">
      <c r="B3798" t="s">
        <v>10120</v>
      </c>
      <c r="C3798" s="71">
        <v>1</v>
      </c>
      <c r="D3798" s="75">
        <f t="shared" si="61"/>
        <v>1.402898388069752E-5</v>
      </c>
    </row>
    <row r="3799" spans="2:4" x14ac:dyDescent="0.25">
      <c r="B3799" t="s">
        <v>10121</v>
      </c>
      <c r="C3799" s="71">
        <v>1</v>
      </c>
      <c r="D3799" s="75">
        <f t="shared" si="61"/>
        <v>1.402898388069752E-5</v>
      </c>
    </row>
    <row r="3800" spans="2:4" x14ac:dyDescent="0.25">
      <c r="B3800" t="s">
        <v>10122</v>
      </c>
      <c r="C3800" s="71">
        <v>1</v>
      </c>
      <c r="D3800" s="75">
        <f t="shared" si="61"/>
        <v>1.402898388069752E-5</v>
      </c>
    </row>
    <row r="3801" spans="2:4" x14ac:dyDescent="0.25">
      <c r="B3801" t="s">
        <v>10123</v>
      </c>
      <c r="C3801" s="71">
        <v>1</v>
      </c>
      <c r="D3801" s="75">
        <f t="shared" si="61"/>
        <v>1.402898388069752E-5</v>
      </c>
    </row>
    <row r="3802" spans="2:4" x14ac:dyDescent="0.25">
      <c r="B3802" t="s">
        <v>10124</v>
      </c>
      <c r="C3802" s="71">
        <v>1</v>
      </c>
      <c r="D3802" s="75">
        <f t="shared" si="61"/>
        <v>1.402898388069752E-5</v>
      </c>
    </row>
    <row r="3803" spans="2:4" x14ac:dyDescent="0.25">
      <c r="B3803" t="s">
        <v>10125</v>
      </c>
      <c r="C3803" s="71">
        <v>1</v>
      </c>
      <c r="D3803" s="75">
        <f t="shared" si="61"/>
        <v>1.402898388069752E-5</v>
      </c>
    </row>
    <row r="3804" spans="2:4" x14ac:dyDescent="0.25">
      <c r="B3804" t="s">
        <v>10126</v>
      </c>
      <c r="C3804" s="71">
        <v>1</v>
      </c>
      <c r="D3804" s="75">
        <f t="shared" si="61"/>
        <v>1.402898388069752E-5</v>
      </c>
    </row>
    <row r="3805" spans="2:4" x14ac:dyDescent="0.25">
      <c r="B3805" t="s">
        <v>10127</v>
      </c>
      <c r="C3805" s="71">
        <v>1</v>
      </c>
      <c r="D3805" s="75">
        <f t="shared" si="61"/>
        <v>1.402898388069752E-5</v>
      </c>
    </row>
    <row r="3806" spans="2:4" x14ac:dyDescent="0.25">
      <c r="B3806" t="s">
        <v>10128</v>
      </c>
      <c r="C3806" s="71">
        <v>1</v>
      </c>
      <c r="D3806" s="75">
        <f t="shared" si="61"/>
        <v>1.402898388069752E-5</v>
      </c>
    </row>
    <row r="3807" spans="2:4" x14ac:dyDescent="0.25">
      <c r="B3807" t="e">
        <f>---eoyan</f>
        <v>#NAME?</v>
      </c>
      <c r="C3807" s="71">
        <v>1</v>
      </c>
      <c r="D3807" s="75">
        <f t="shared" si="61"/>
        <v>1.402898388069752E-5</v>
      </c>
    </row>
    <row r="3808" spans="2:4" x14ac:dyDescent="0.25">
      <c r="B3808" t="s">
        <v>10129</v>
      </c>
      <c r="C3808" s="71">
        <v>1</v>
      </c>
      <c r="D3808" s="75">
        <f t="shared" si="61"/>
        <v>1.402898388069752E-5</v>
      </c>
    </row>
    <row r="3809" spans="2:4" x14ac:dyDescent="0.25">
      <c r="B3809" t="s">
        <v>10130</v>
      </c>
      <c r="C3809" s="71">
        <v>1</v>
      </c>
      <c r="D3809" s="75">
        <f t="shared" si="61"/>
        <v>1.402898388069752E-5</v>
      </c>
    </row>
    <row r="3810" spans="2:4" x14ac:dyDescent="0.25">
      <c r="B3810" t="s">
        <v>10131</v>
      </c>
      <c r="C3810" s="71">
        <v>1</v>
      </c>
      <c r="D3810" s="75">
        <f t="shared" si="61"/>
        <v>1.402898388069752E-5</v>
      </c>
    </row>
    <row r="3811" spans="2:4" x14ac:dyDescent="0.25">
      <c r="B3811" t="s">
        <v>10132</v>
      </c>
      <c r="C3811" s="71">
        <v>1</v>
      </c>
      <c r="D3811" s="75">
        <f t="shared" si="61"/>
        <v>1.402898388069752E-5</v>
      </c>
    </row>
    <row r="3812" spans="2:4" x14ac:dyDescent="0.25">
      <c r="B3812" t="s">
        <v>10133</v>
      </c>
      <c r="C3812" s="71">
        <v>1</v>
      </c>
      <c r="D3812" s="75">
        <f t="shared" si="61"/>
        <v>1.402898388069752E-5</v>
      </c>
    </row>
    <row r="3813" spans="2:4" x14ac:dyDescent="0.25">
      <c r="B3813" t="e">
        <f>---doorian</f>
        <v>#NAME?</v>
      </c>
      <c r="C3813" s="71">
        <v>1</v>
      </c>
      <c r="D3813" s="75">
        <f t="shared" si="61"/>
        <v>1.402898388069752E-5</v>
      </c>
    </row>
    <row r="3814" spans="2:4" x14ac:dyDescent="0.25">
      <c r="B3814" t="s">
        <v>10134</v>
      </c>
      <c r="C3814" s="71">
        <v>1</v>
      </c>
      <c r="D3814" s="75">
        <f t="shared" si="61"/>
        <v>1.402898388069752E-5</v>
      </c>
    </row>
    <row r="3815" spans="2:4" x14ac:dyDescent="0.25">
      <c r="B3815" t="s">
        <v>10135</v>
      </c>
      <c r="C3815" s="71">
        <v>1</v>
      </c>
      <c r="D3815" s="75">
        <f t="shared" si="61"/>
        <v>1.402898388069752E-5</v>
      </c>
    </row>
    <row r="3816" spans="2:4" x14ac:dyDescent="0.25">
      <c r="B3816" t="s">
        <v>10136</v>
      </c>
      <c r="C3816" s="71">
        <v>1</v>
      </c>
      <c r="D3816" s="75">
        <f t="shared" si="61"/>
        <v>1.402898388069752E-5</v>
      </c>
    </row>
    <row r="3817" spans="2:4" x14ac:dyDescent="0.25">
      <c r="B3817" t="s">
        <v>10137</v>
      </c>
      <c r="C3817" s="71">
        <v>1</v>
      </c>
      <c r="D3817" s="75">
        <f t="shared" si="61"/>
        <v>1.402898388069752E-5</v>
      </c>
    </row>
    <row r="3818" spans="2:4" x14ac:dyDescent="0.25">
      <c r="B3818" t="s">
        <v>10138</v>
      </c>
      <c r="C3818" s="71">
        <v>1</v>
      </c>
      <c r="D3818" s="75">
        <f t="shared" si="61"/>
        <v>1.402898388069752E-5</v>
      </c>
    </row>
    <row r="3819" spans="2:4" x14ac:dyDescent="0.25">
      <c r="B3819" t="s">
        <v>10139</v>
      </c>
      <c r="C3819" s="71">
        <v>1</v>
      </c>
      <c r="D3819" s="75">
        <f t="shared" si="61"/>
        <v>1.402898388069752E-5</v>
      </c>
    </row>
    <row r="3820" spans="2:4" x14ac:dyDescent="0.25">
      <c r="B3820" t="s">
        <v>10140</v>
      </c>
      <c r="C3820" s="71">
        <v>1</v>
      </c>
      <c r="D3820" s="75">
        <f t="shared" si="61"/>
        <v>1.402898388069752E-5</v>
      </c>
    </row>
    <row r="3821" spans="2:4" x14ac:dyDescent="0.25">
      <c r="B3821" t="s">
        <v>10141</v>
      </c>
      <c r="C3821" s="71">
        <v>1</v>
      </c>
      <c r="D3821" s="75">
        <f t="shared" si="61"/>
        <v>1.402898388069752E-5</v>
      </c>
    </row>
    <row r="3822" spans="2:4" x14ac:dyDescent="0.25">
      <c r="B3822" t="s">
        <v>10142</v>
      </c>
      <c r="C3822" s="71">
        <v>1</v>
      </c>
      <c r="D3822" s="75">
        <f t="shared" si="61"/>
        <v>1.402898388069752E-5</v>
      </c>
    </row>
    <row r="3823" spans="2:4" x14ac:dyDescent="0.25">
      <c r="B3823" t="s">
        <v>10143</v>
      </c>
      <c r="C3823" s="71">
        <v>1</v>
      </c>
      <c r="D3823" s="75">
        <f t="shared" si="61"/>
        <v>1.402898388069752E-5</v>
      </c>
    </row>
    <row r="3824" spans="2:4" x14ac:dyDescent="0.25">
      <c r="B3824" t="s">
        <v>10144</v>
      </c>
      <c r="C3824" s="71">
        <v>1</v>
      </c>
      <c r="D3824" s="75">
        <f t="shared" si="61"/>
        <v>1.402898388069752E-5</v>
      </c>
    </row>
    <row r="3825" spans="2:4" x14ac:dyDescent="0.25">
      <c r="B3825" t="s">
        <v>10145</v>
      </c>
      <c r="C3825" s="71">
        <v>1</v>
      </c>
      <c r="D3825" s="75">
        <f t="shared" si="61"/>
        <v>1.402898388069752E-5</v>
      </c>
    </row>
    <row r="3826" spans="2:4" x14ac:dyDescent="0.25">
      <c r="B3826" t="s">
        <v>10146</v>
      </c>
      <c r="C3826" s="71">
        <v>1</v>
      </c>
      <c r="D3826" s="75">
        <f t="shared" si="61"/>
        <v>1.402898388069752E-5</v>
      </c>
    </row>
    <row r="3827" spans="2:4" x14ac:dyDescent="0.25">
      <c r="B3827" t="s">
        <v>10147</v>
      </c>
      <c r="C3827" s="71">
        <v>1</v>
      </c>
      <c r="D3827" s="75">
        <f t="shared" si="61"/>
        <v>1.402898388069752E-5</v>
      </c>
    </row>
    <row r="3828" spans="2:4" x14ac:dyDescent="0.25">
      <c r="B3828" t="s">
        <v>10148</v>
      </c>
      <c r="C3828" s="71">
        <v>1</v>
      </c>
      <c r="D3828" s="75">
        <f t="shared" si="61"/>
        <v>1.402898388069752E-5</v>
      </c>
    </row>
    <row r="3829" spans="2:4" x14ac:dyDescent="0.25">
      <c r="B3829" t="s">
        <v>10149</v>
      </c>
      <c r="C3829" s="71">
        <v>1</v>
      </c>
      <c r="D3829" s="75">
        <f t="shared" si="61"/>
        <v>1.402898388069752E-5</v>
      </c>
    </row>
    <row r="3830" spans="2:4" x14ac:dyDescent="0.25">
      <c r="B3830" t="s">
        <v>10150</v>
      </c>
      <c r="C3830" s="71">
        <v>1</v>
      </c>
      <c r="D3830" s="75">
        <f t="shared" si="61"/>
        <v>1.402898388069752E-5</v>
      </c>
    </row>
    <row r="3831" spans="2:4" x14ac:dyDescent="0.25">
      <c r="B3831" t="s">
        <v>10151</v>
      </c>
      <c r="C3831" s="71">
        <v>1</v>
      </c>
      <c r="D3831" s="75">
        <f t="shared" si="61"/>
        <v>1.402898388069752E-5</v>
      </c>
    </row>
    <row r="3832" spans="2:4" x14ac:dyDescent="0.25">
      <c r="B3832" t="s">
        <v>10152</v>
      </c>
      <c r="C3832" s="71">
        <v>1</v>
      </c>
      <c r="D3832" s="75">
        <f t="shared" si="61"/>
        <v>1.402898388069752E-5</v>
      </c>
    </row>
    <row r="3833" spans="2:4" x14ac:dyDescent="0.25">
      <c r="B3833" t="s">
        <v>10153</v>
      </c>
      <c r="C3833" s="71">
        <v>1</v>
      </c>
      <c r="D3833" s="75">
        <f t="shared" si="61"/>
        <v>1.402898388069752E-5</v>
      </c>
    </row>
    <row r="3834" spans="2:4" x14ac:dyDescent="0.25">
      <c r="B3834" t="s">
        <v>10154</v>
      </c>
      <c r="C3834" s="71">
        <v>1</v>
      </c>
      <c r="D3834" s="75">
        <f t="shared" si="61"/>
        <v>1.402898388069752E-5</v>
      </c>
    </row>
    <row r="3835" spans="2:4" x14ac:dyDescent="0.25">
      <c r="B3835" t="s">
        <v>10155</v>
      </c>
      <c r="C3835" s="71">
        <v>1</v>
      </c>
      <c r="D3835" s="75">
        <f t="shared" si="61"/>
        <v>1.402898388069752E-5</v>
      </c>
    </row>
    <row r="3836" spans="2:4" x14ac:dyDescent="0.25">
      <c r="B3836" t="s">
        <v>10156</v>
      </c>
      <c r="C3836" s="71">
        <v>1</v>
      </c>
      <c r="D3836" s="75">
        <f t="shared" si="61"/>
        <v>1.402898388069752E-5</v>
      </c>
    </row>
    <row r="3837" spans="2:4" x14ac:dyDescent="0.25">
      <c r="B3837" t="s">
        <v>10157</v>
      </c>
      <c r="C3837" s="71">
        <v>1</v>
      </c>
      <c r="D3837" s="75">
        <f t="shared" si="61"/>
        <v>1.402898388069752E-5</v>
      </c>
    </row>
    <row r="3838" spans="2:4" x14ac:dyDescent="0.25">
      <c r="B3838" t="s">
        <v>10158</v>
      </c>
      <c r="C3838" s="71">
        <v>1</v>
      </c>
      <c r="D3838" s="75">
        <f t="shared" si="61"/>
        <v>1.402898388069752E-5</v>
      </c>
    </row>
    <row r="3839" spans="2:4" x14ac:dyDescent="0.25">
      <c r="B3839" t="s">
        <v>10159</v>
      </c>
      <c r="C3839" s="71">
        <v>1</v>
      </c>
      <c r="D3839" s="75">
        <f t="shared" si="61"/>
        <v>1.402898388069752E-5</v>
      </c>
    </row>
    <row r="3840" spans="2:4" x14ac:dyDescent="0.25">
      <c r="B3840" t="s">
        <v>10160</v>
      </c>
      <c r="C3840" s="71">
        <v>1</v>
      </c>
      <c r="D3840" s="75">
        <f t="shared" si="61"/>
        <v>1.402898388069752E-5</v>
      </c>
    </row>
    <row r="3841" spans="2:4" x14ac:dyDescent="0.25">
      <c r="B3841" t="s">
        <v>10161</v>
      </c>
      <c r="C3841" s="71">
        <v>1</v>
      </c>
      <c r="D3841" s="75">
        <f t="shared" si="61"/>
        <v>1.402898388069752E-5</v>
      </c>
    </row>
    <row r="3842" spans="2:4" x14ac:dyDescent="0.25">
      <c r="B3842" t="s">
        <v>10162</v>
      </c>
      <c r="C3842" s="71">
        <v>1</v>
      </c>
      <c r="D3842" s="75">
        <f t="shared" si="61"/>
        <v>1.402898388069752E-5</v>
      </c>
    </row>
    <row r="3843" spans="2:4" x14ac:dyDescent="0.25">
      <c r="B3843" t="s">
        <v>10163</v>
      </c>
      <c r="C3843" s="71">
        <v>1</v>
      </c>
      <c r="D3843" s="75">
        <f t="shared" si="61"/>
        <v>1.402898388069752E-5</v>
      </c>
    </row>
    <row r="3844" spans="2:4" x14ac:dyDescent="0.25">
      <c r="B3844" t="s">
        <v>10164</v>
      </c>
      <c r="C3844" s="71">
        <v>1</v>
      </c>
      <c r="D3844" s="75">
        <f t="shared" si="61"/>
        <v>1.402898388069752E-5</v>
      </c>
    </row>
    <row r="3845" spans="2:4" x14ac:dyDescent="0.25">
      <c r="B3845" t="s">
        <v>10165</v>
      </c>
      <c r="C3845" s="71">
        <v>1</v>
      </c>
      <c r="D3845" s="75">
        <f t="shared" si="61"/>
        <v>1.402898388069752E-5</v>
      </c>
    </row>
    <row r="3846" spans="2:4" x14ac:dyDescent="0.25">
      <c r="B3846" t="s">
        <v>10166</v>
      </c>
      <c r="C3846" s="71">
        <v>1</v>
      </c>
      <c r="D3846" s="75">
        <f t="shared" ref="D3846:D3909" si="62">C3846/$C$4822</f>
        <v>1.402898388069752E-5</v>
      </c>
    </row>
    <row r="3847" spans="2:4" x14ac:dyDescent="0.25">
      <c r="B3847" t="s">
        <v>10167</v>
      </c>
      <c r="C3847" s="71">
        <v>1</v>
      </c>
      <c r="D3847" s="75">
        <f t="shared" si="62"/>
        <v>1.402898388069752E-5</v>
      </c>
    </row>
    <row r="3848" spans="2:4" x14ac:dyDescent="0.25">
      <c r="B3848" t="s">
        <v>10168</v>
      </c>
      <c r="C3848" s="71">
        <v>1</v>
      </c>
      <c r="D3848" s="75">
        <f t="shared" si="62"/>
        <v>1.402898388069752E-5</v>
      </c>
    </row>
    <row r="3849" spans="2:4" x14ac:dyDescent="0.25">
      <c r="B3849" t="s">
        <v>10169</v>
      </c>
      <c r="C3849" s="71">
        <v>1</v>
      </c>
      <c r="D3849" s="75">
        <f t="shared" si="62"/>
        <v>1.402898388069752E-5</v>
      </c>
    </row>
    <row r="3850" spans="2:4" x14ac:dyDescent="0.25">
      <c r="B3850" t="s">
        <v>10170</v>
      </c>
      <c r="C3850" s="71">
        <v>1</v>
      </c>
      <c r="D3850" s="75">
        <f t="shared" si="62"/>
        <v>1.402898388069752E-5</v>
      </c>
    </row>
    <row r="3851" spans="2:4" x14ac:dyDescent="0.25">
      <c r="B3851" t="s">
        <v>10171</v>
      </c>
      <c r="C3851" s="71">
        <v>1</v>
      </c>
      <c r="D3851" s="75">
        <f t="shared" si="62"/>
        <v>1.402898388069752E-5</v>
      </c>
    </row>
    <row r="3852" spans="2:4" x14ac:dyDescent="0.25">
      <c r="B3852" t="s">
        <v>10172</v>
      </c>
      <c r="C3852" s="71">
        <v>1</v>
      </c>
      <c r="D3852" s="75">
        <f t="shared" si="62"/>
        <v>1.402898388069752E-5</v>
      </c>
    </row>
    <row r="3853" spans="2:4" x14ac:dyDescent="0.25">
      <c r="B3853" t="s">
        <v>10173</v>
      </c>
      <c r="C3853" s="71">
        <v>1</v>
      </c>
      <c r="D3853" s="75">
        <f t="shared" si="62"/>
        <v>1.402898388069752E-5</v>
      </c>
    </row>
    <row r="3854" spans="2:4" x14ac:dyDescent="0.25">
      <c r="B3854" t="s">
        <v>10174</v>
      </c>
      <c r="C3854" s="71">
        <v>1</v>
      </c>
      <c r="D3854" s="75">
        <f t="shared" si="62"/>
        <v>1.402898388069752E-5</v>
      </c>
    </row>
    <row r="3855" spans="2:4" x14ac:dyDescent="0.25">
      <c r="B3855" t="s">
        <v>10175</v>
      </c>
      <c r="C3855" s="71">
        <v>1</v>
      </c>
      <c r="D3855" s="75">
        <f t="shared" si="62"/>
        <v>1.402898388069752E-5</v>
      </c>
    </row>
    <row r="3856" spans="2:4" x14ac:dyDescent="0.25">
      <c r="B3856" t="s">
        <v>10176</v>
      </c>
      <c r="C3856" s="71">
        <v>1</v>
      </c>
      <c r="D3856" s="75">
        <f t="shared" si="62"/>
        <v>1.402898388069752E-5</v>
      </c>
    </row>
    <row r="3857" spans="2:4" x14ac:dyDescent="0.25">
      <c r="B3857" t="s">
        <v>10177</v>
      </c>
      <c r="C3857" s="71">
        <v>1</v>
      </c>
      <c r="D3857" s="75">
        <f t="shared" si="62"/>
        <v>1.402898388069752E-5</v>
      </c>
    </row>
    <row r="3858" spans="2:4" x14ac:dyDescent="0.25">
      <c r="B3858" t="s">
        <v>10178</v>
      </c>
      <c r="C3858" s="71">
        <v>1</v>
      </c>
      <c r="D3858" s="75">
        <f t="shared" si="62"/>
        <v>1.402898388069752E-5</v>
      </c>
    </row>
    <row r="3859" spans="2:4" x14ac:dyDescent="0.25">
      <c r="B3859" t="s">
        <v>10179</v>
      </c>
      <c r="C3859" s="71">
        <v>1</v>
      </c>
      <c r="D3859" s="75">
        <f t="shared" si="62"/>
        <v>1.402898388069752E-5</v>
      </c>
    </row>
    <row r="3860" spans="2:4" x14ac:dyDescent="0.25">
      <c r="B3860" t="s">
        <v>10180</v>
      </c>
      <c r="C3860" s="71">
        <v>1</v>
      </c>
      <c r="D3860" s="75">
        <f t="shared" si="62"/>
        <v>1.402898388069752E-5</v>
      </c>
    </row>
    <row r="3861" spans="2:4" x14ac:dyDescent="0.25">
      <c r="B3861" t="s">
        <v>10181</v>
      </c>
      <c r="C3861" s="71">
        <v>1</v>
      </c>
      <c r="D3861" s="75">
        <f t="shared" si="62"/>
        <v>1.402898388069752E-5</v>
      </c>
    </row>
    <row r="3862" spans="2:4" x14ac:dyDescent="0.25">
      <c r="B3862" t="s">
        <v>10182</v>
      </c>
      <c r="C3862" s="71">
        <v>1</v>
      </c>
      <c r="D3862" s="75">
        <f t="shared" si="62"/>
        <v>1.402898388069752E-5</v>
      </c>
    </row>
    <row r="3863" spans="2:4" x14ac:dyDescent="0.25">
      <c r="B3863" t="s">
        <v>10183</v>
      </c>
      <c r="C3863" s="71">
        <v>1</v>
      </c>
      <c r="D3863" s="75">
        <f t="shared" si="62"/>
        <v>1.402898388069752E-5</v>
      </c>
    </row>
    <row r="3864" spans="2:4" x14ac:dyDescent="0.25">
      <c r="B3864" t="s">
        <v>10184</v>
      </c>
      <c r="C3864" s="71">
        <v>1</v>
      </c>
      <c r="D3864" s="75">
        <f t="shared" si="62"/>
        <v>1.402898388069752E-5</v>
      </c>
    </row>
    <row r="3865" spans="2:4" x14ac:dyDescent="0.25">
      <c r="B3865" t="s">
        <v>10185</v>
      </c>
      <c r="C3865" s="71">
        <v>1</v>
      </c>
      <c r="D3865" s="75">
        <f t="shared" si="62"/>
        <v>1.402898388069752E-5</v>
      </c>
    </row>
    <row r="3866" spans="2:4" x14ac:dyDescent="0.25">
      <c r="B3866" t="s">
        <v>10186</v>
      </c>
      <c r="C3866" s="71">
        <v>1</v>
      </c>
      <c r="D3866" s="75">
        <f t="shared" si="62"/>
        <v>1.402898388069752E-5</v>
      </c>
    </row>
    <row r="3867" spans="2:4" x14ac:dyDescent="0.25">
      <c r="B3867" t="s">
        <v>10187</v>
      </c>
      <c r="C3867" s="71">
        <v>1</v>
      </c>
      <c r="D3867" s="75">
        <f t="shared" si="62"/>
        <v>1.402898388069752E-5</v>
      </c>
    </row>
    <row r="3868" spans="2:4" x14ac:dyDescent="0.25">
      <c r="B3868" t="s">
        <v>10188</v>
      </c>
      <c r="C3868" s="71">
        <v>1</v>
      </c>
      <c r="D3868" s="75">
        <f t="shared" si="62"/>
        <v>1.402898388069752E-5</v>
      </c>
    </row>
    <row r="3869" spans="2:4" x14ac:dyDescent="0.25">
      <c r="B3869" t="s">
        <v>10189</v>
      </c>
      <c r="C3869" s="71">
        <v>1</v>
      </c>
      <c r="D3869" s="75">
        <f t="shared" si="62"/>
        <v>1.402898388069752E-5</v>
      </c>
    </row>
    <row r="3870" spans="2:4" x14ac:dyDescent="0.25">
      <c r="B3870" t="s">
        <v>10190</v>
      </c>
      <c r="C3870" s="71">
        <v>1</v>
      </c>
      <c r="D3870" s="75">
        <f t="shared" si="62"/>
        <v>1.402898388069752E-5</v>
      </c>
    </row>
    <row r="3871" spans="2:4" x14ac:dyDescent="0.25">
      <c r="B3871" t="s">
        <v>10191</v>
      </c>
      <c r="C3871" s="71">
        <v>1</v>
      </c>
      <c r="D3871" s="75">
        <f t="shared" si="62"/>
        <v>1.402898388069752E-5</v>
      </c>
    </row>
    <row r="3872" spans="2:4" x14ac:dyDescent="0.25">
      <c r="B3872" t="s">
        <v>10192</v>
      </c>
      <c r="C3872" s="71">
        <v>1</v>
      </c>
      <c r="D3872" s="75">
        <f t="shared" si="62"/>
        <v>1.402898388069752E-5</v>
      </c>
    </row>
    <row r="3873" spans="2:4" x14ac:dyDescent="0.25">
      <c r="B3873" t="s">
        <v>10193</v>
      </c>
      <c r="C3873" s="71">
        <v>1</v>
      </c>
      <c r="D3873" s="75">
        <f t="shared" si="62"/>
        <v>1.402898388069752E-5</v>
      </c>
    </row>
    <row r="3874" spans="2:4" x14ac:dyDescent="0.25">
      <c r="B3874" t="s">
        <v>10194</v>
      </c>
      <c r="C3874" s="71">
        <v>1</v>
      </c>
      <c r="D3874" s="75">
        <f t="shared" si="62"/>
        <v>1.402898388069752E-5</v>
      </c>
    </row>
    <row r="3875" spans="2:4" x14ac:dyDescent="0.25">
      <c r="B3875" t="s">
        <v>10195</v>
      </c>
      <c r="C3875" s="71">
        <v>1</v>
      </c>
      <c r="D3875" s="75">
        <f t="shared" si="62"/>
        <v>1.402898388069752E-5</v>
      </c>
    </row>
    <row r="3876" spans="2:4" x14ac:dyDescent="0.25">
      <c r="B3876" t="s">
        <v>10196</v>
      </c>
      <c r="C3876" s="71">
        <v>1</v>
      </c>
      <c r="D3876" s="75">
        <f t="shared" si="62"/>
        <v>1.402898388069752E-5</v>
      </c>
    </row>
    <row r="3877" spans="2:4" x14ac:dyDescent="0.25">
      <c r="B3877" t="s">
        <v>10197</v>
      </c>
      <c r="C3877" s="71">
        <v>1</v>
      </c>
      <c r="D3877" s="75">
        <f t="shared" si="62"/>
        <v>1.402898388069752E-5</v>
      </c>
    </row>
    <row r="3878" spans="2:4" x14ac:dyDescent="0.25">
      <c r="B3878" t="s">
        <v>10198</v>
      </c>
      <c r="C3878" s="71">
        <v>1</v>
      </c>
      <c r="D3878" s="75">
        <f t="shared" si="62"/>
        <v>1.402898388069752E-5</v>
      </c>
    </row>
    <row r="3879" spans="2:4" x14ac:dyDescent="0.25">
      <c r="B3879" t="s">
        <v>10199</v>
      </c>
      <c r="C3879" s="71">
        <v>1</v>
      </c>
      <c r="D3879" s="75">
        <f t="shared" si="62"/>
        <v>1.402898388069752E-5</v>
      </c>
    </row>
    <row r="3880" spans="2:4" x14ac:dyDescent="0.25">
      <c r="B3880" t="s">
        <v>10200</v>
      </c>
      <c r="C3880" s="71">
        <v>1</v>
      </c>
      <c r="D3880" s="75">
        <f t="shared" si="62"/>
        <v>1.402898388069752E-5</v>
      </c>
    </row>
    <row r="3881" spans="2:4" x14ac:dyDescent="0.25">
      <c r="B3881" t="s">
        <v>10201</v>
      </c>
      <c r="C3881" s="71">
        <v>1</v>
      </c>
      <c r="D3881" s="75">
        <f t="shared" si="62"/>
        <v>1.402898388069752E-5</v>
      </c>
    </row>
    <row r="3882" spans="2:4" x14ac:dyDescent="0.25">
      <c r="B3882" t="s">
        <v>10202</v>
      </c>
      <c r="C3882" s="71">
        <v>1</v>
      </c>
      <c r="D3882" s="75">
        <f t="shared" si="62"/>
        <v>1.402898388069752E-5</v>
      </c>
    </row>
    <row r="3883" spans="2:4" x14ac:dyDescent="0.25">
      <c r="B3883" t="s">
        <v>10203</v>
      </c>
      <c r="C3883" s="71">
        <v>1</v>
      </c>
      <c r="D3883" s="75">
        <f t="shared" si="62"/>
        <v>1.402898388069752E-5</v>
      </c>
    </row>
    <row r="3884" spans="2:4" x14ac:dyDescent="0.25">
      <c r="B3884" t="s">
        <v>10204</v>
      </c>
      <c r="C3884" s="71">
        <v>1</v>
      </c>
      <c r="D3884" s="75">
        <f t="shared" si="62"/>
        <v>1.402898388069752E-5</v>
      </c>
    </row>
    <row r="3885" spans="2:4" x14ac:dyDescent="0.25">
      <c r="B3885" t="s">
        <v>10205</v>
      </c>
      <c r="C3885" s="71">
        <v>1</v>
      </c>
      <c r="D3885" s="75">
        <f t="shared" si="62"/>
        <v>1.402898388069752E-5</v>
      </c>
    </row>
    <row r="3886" spans="2:4" x14ac:dyDescent="0.25">
      <c r="B3886" t="s">
        <v>10206</v>
      </c>
      <c r="C3886" s="71">
        <v>1</v>
      </c>
      <c r="D3886" s="75">
        <f t="shared" si="62"/>
        <v>1.402898388069752E-5</v>
      </c>
    </row>
    <row r="3887" spans="2:4" x14ac:dyDescent="0.25">
      <c r="B3887" t="s">
        <v>10207</v>
      </c>
      <c r="C3887" s="71">
        <v>1</v>
      </c>
      <c r="D3887" s="75">
        <f t="shared" si="62"/>
        <v>1.402898388069752E-5</v>
      </c>
    </row>
    <row r="3888" spans="2:4" x14ac:dyDescent="0.25">
      <c r="B3888" t="s">
        <v>10208</v>
      </c>
      <c r="C3888" s="71">
        <v>1</v>
      </c>
      <c r="D3888" s="75">
        <f t="shared" si="62"/>
        <v>1.402898388069752E-5</v>
      </c>
    </row>
    <row r="3889" spans="2:4" x14ac:dyDescent="0.25">
      <c r="B3889" t="s">
        <v>10209</v>
      </c>
      <c r="C3889" s="71">
        <v>1</v>
      </c>
      <c r="D3889" s="75">
        <f t="shared" si="62"/>
        <v>1.402898388069752E-5</v>
      </c>
    </row>
    <row r="3890" spans="2:4" x14ac:dyDescent="0.25">
      <c r="B3890" t="s">
        <v>10210</v>
      </c>
      <c r="C3890" s="71">
        <v>1</v>
      </c>
      <c r="D3890" s="75">
        <f t="shared" si="62"/>
        <v>1.402898388069752E-5</v>
      </c>
    </row>
    <row r="3891" spans="2:4" x14ac:dyDescent="0.25">
      <c r="B3891" t="s">
        <v>10211</v>
      </c>
      <c r="C3891" s="71">
        <v>1</v>
      </c>
      <c r="D3891" s="75">
        <f t="shared" si="62"/>
        <v>1.402898388069752E-5</v>
      </c>
    </row>
    <row r="3892" spans="2:4" x14ac:dyDescent="0.25">
      <c r="B3892" t="s">
        <v>10212</v>
      </c>
      <c r="C3892" s="71">
        <v>1</v>
      </c>
      <c r="D3892" s="75">
        <f t="shared" si="62"/>
        <v>1.402898388069752E-5</v>
      </c>
    </row>
    <row r="3893" spans="2:4" x14ac:dyDescent="0.25">
      <c r="B3893" t="s">
        <v>10213</v>
      </c>
      <c r="C3893" s="71">
        <v>1</v>
      </c>
      <c r="D3893" s="75">
        <f t="shared" si="62"/>
        <v>1.402898388069752E-5</v>
      </c>
    </row>
    <row r="3894" spans="2:4" x14ac:dyDescent="0.25">
      <c r="B3894" t="s">
        <v>10214</v>
      </c>
      <c r="C3894" s="71">
        <v>1</v>
      </c>
      <c r="D3894" s="75">
        <f t="shared" si="62"/>
        <v>1.402898388069752E-5</v>
      </c>
    </row>
    <row r="3895" spans="2:4" x14ac:dyDescent="0.25">
      <c r="B3895" t="s">
        <v>10215</v>
      </c>
      <c r="C3895" s="71">
        <v>1</v>
      </c>
      <c r="D3895" s="75">
        <f t="shared" si="62"/>
        <v>1.402898388069752E-5</v>
      </c>
    </row>
    <row r="3896" spans="2:4" x14ac:dyDescent="0.25">
      <c r="B3896" t="s">
        <v>10216</v>
      </c>
      <c r="C3896" s="71">
        <v>1</v>
      </c>
      <c r="D3896" s="75">
        <f t="shared" si="62"/>
        <v>1.402898388069752E-5</v>
      </c>
    </row>
    <row r="3897" spans="2:4" x14ac:dyDescent="0.25">
      <c r="B3897" t="s">
        <v>10217</v>
      </c>
      <c r="C3897" s="71">
        <v>1</v>
      </c>
      <c r="D3897" s="75">
        <f t="shared" si="62"/>
        <v>1.402898388069752E-5</v>
      </c>
    </row>
    <row r="3898" spans="2:4" x14ac:dyDescent="0.25">
      <c r="B3898" t="s">
        <v>10218</v>
      </c>
      <c r="C3898" s="71">
        <v>1</v>
      </c>
      <c r="D3898" s="75">
        <f t="shared" si="62"/>
        <v>1.402898388069752E-5</v>
      </c>
    </row>
    <row r="3899" spans="2:4" x14ac:dyDescent="0.25">
      <c r="B3899" t="s">
        <v>10219</v>
      </c>
      <c r="C3899" s="71">
        <v>1</v>
      </c>
      <c r="D3899" s="75">
        <f t="shared" si="62"/>
        <v>1.402898388069752E-5</v>
      </c>
    </row>
    <row r="3900" spans="2:4" x14ac:dyDescent="0.25">
      <c r="B3900" t="s">
        <v>10220</v>
      </c>
      <c r="C3900" s="71">
        <v>1</v>
      </c>
      <c r="D3900" s="75">
        <f t="shared" si="62"/>
        <v>1.402898388069752E-5</v>
      </c>
    </row>
    <row r="3901" spans="2:4" x14ac:dyDescent="0.25">
      <c r="B3901" t="s">
        <v>10221</v>
      </c>
      <c r="C3901" s="71">
        <v>1</v>
      </c>
      <c r="D3901" s="75">
        <f t="shared" si="62"/>
        <v>1.402898388069752E-5</v>
      </c>
    </row>
    <row r="3902" spans="2:4" x14ac:dyDescent="0.25">
      <c r="B3902" t="s">
        <v>10222</v>
      </c>
      <c r="C3902" s="71">
        <v>1</v>
      </c>
      <c r="D3902" s="75">
        <f t="shared" si="62"/>
        <v>1.402898388069752E-5</v>
      </c>
    </row>
    <row r="3903" spans="2:4" x14ac:dyDescent="0.25">
      <c r="B3903" t="s">
        <v>10223</v>
      </c>
      <c r="C3903" s="71">
        <v>1</v>
      </c>
      <c r="D3903" s="75">
        <f t="shared" si="62"/>
        <v>1.402898388069752E-5</v>
      </c>
    </row>
    <row r="3904" spans="2:4" x14ac:dyDescent="0.25">
      <c r="B3904" t="s">
        <v>10224</v>
      </c>
      <c r="C3904" s="71">
        <v>1</v>
      </c>
      <c r="D3904" s="75">
        <f t="shared" si="62"/>
        <v>1.402898388069752E-5</v>
      </c>
    </row>
    <row r="3905" spans="2:4" x14ac:dyDescent="0.25">
      <c r="B3905" t="s">
        <v>10225</v>
      </c>
      <c r="C3905" s="71">
        <v>1</v>
      </c>
      <c r="D3905" s="75">
        <f t="shared" si="62"/>
        <v>1.402898388069752E-5</v>
      </c>
    </row>
    <row r="3906" spans="2:4" x14ac:dyDescent="0.25">
      <c r="B3906" t="s">
        <v>10226</v>
      </c>
      <c r="C3906" s="71">
        <v>1</v>
      </c>
      <c r="D3906" s="75">
        <f t="shared" si="62"/>
        <v>1.402898388069752E-5</v>
      </c>
    </row>
    <row r="3907" spans="2:4" x14ac:dyDescent="0.25">
      <c r="B3907" t="s">
        <v>10227</v>
      </c>
      <c r="C3907" s="71">
        <v>1</v>
      </c>
      <c r="D3907" s="75">
        <f t="shared" si="62"/>
        <v>1.402898388069752E-5</v>
      </c>
    </row>
    <row r="3908" spans="2:4" x14ac:dyDescent="0.25">
      <c r="B3908" t="s">
        <v>10228</v>
      </c>
      <c r="C3908" s="71">
        <v>1</v>
      </c>
      <c r="D3908" s="75">
        <f t="shared" si="62"/>
        <v>1.402898388069752E-5</v>
      </c>
    </row>
    <row r="3909" spans="2:4" x14ac:dyDescent="0.25">
      <c r="B3909" t="s">
        <v>10229</v>
      </c>
      <c r="C3909" s="71">
        <v>1</v>
      </c>
      <c r="D3909" s="75">
        <f t="shared" si="62"/>
        <v>1.402898388069752E-5</v>
      </c>
    </row>
    <row r="3910" spans="2:4" x14ac:dyDescent="0.25">
      <c r="B3910" t="s">
        <v>10230</v>
      </c>
      <c r="C3910" s="71">
        <v>1</v>
      </c>
      <c r="D3910" s="75">
        <f t="shared" ref="D3910:D3973" si="63">C3910/$C$4822</f>
        <v>1.402898388069752E-5</v>
      </c>
    </row>
    <row r="3911" spans="2:4" x14ac:dyDescent="0.25">
      <c r="B3911" t="s">
        <v>10231</v>
      </c>
      <c r="C3911" s="71">
        <v>1</v>
      </c>
      <c r="D3911" s="75">
        <f t="shared" si="63"/>
        <v>1.402898388069752E-5</v>
      </c>
    </row>
    <row r="3912" spans="2:4" x14ac:dyDescent="0.25">
      <c r="B3912" t="s">
        <v>10232</v>
      </c>
      <c r="C3912" s="71">
        <v>1</v>
      </c>
      <c r="D3912" s="75">
        <f t="shared" si="63"/>
        <v>1.402898388069752E-5</v>
      </c>
    </row>
    <row r="3913" spans="2:4" x14ac:dyDescent="0.25">
      <c r="B3913" t="s">
        <v>10233</v>
      </c>
      <c r="C3913" s="71">
        <v>1</v>
      </c>
      <c r="D3913" s="75">
        <f t="shared" si="63"/>
        <v>1.402898388069752E-5</v>
      </c>
    </row>
    <row r="3914" spans="2:4" x14ac:dyDescent="0.25">
      <c r="B3914" t="s">
        <v>10234</v>
      </c>
      <c r="C3914" s="71">
        <v>1</v>
      </c>
      <c r="D3914" s="75">
        <f t="shared" si="63"/>
        <v>1.402898388069752E-5</v>
      </c>
    </row>
    <row r="3915" spans="2:4" x14ac:dyDescent="0.25">
      <c r="B3915" t="s">
        <v>10235</v>
      </c>
      <c r="C3915" s="71">
        <v>1</v>
      </c>
      <c r="D3915" s="75">
        <f t="shared" si="63"/>
        <v>1.402898388069752E-5</v>
      </c>
    </row>
    <row r="3916" spans="2:4" x14ac:dyDescent="0.25">
      <c r="B3916" t="s">
        <v>10236</v>
      </c>
      <c r="C3916" s="71">
        <v>1</v>
      </c>
      <c r="D3916" s="75">
        <f t="shared" si="63"/>
        <v>1.402898388069752E-5</v>
      </c>
    </row>
    <row r="3917" spans="2:4" x14ac:dyDescent="0.25">
      <c r="B3917" t="s">
        <v>10237</v>
      </c>
      <c r="C3917" s="71">
        <v>1</v>
      </c>
      <c r="D3917" s="75">
        <f t="shared" si="63"/>
        <v>1.402898388069752E-5</v>
      </c>
    </row>
    <row r="3918" spans="2:4" x14ac:dyDescent="0.25">
      <c r="B3918" t="s">
        <v>10238</v>
      </c>
      <c r="C3918" s="71">
        <v>1</v>
      </c>
      <c r="D3918" s="75">
        <f t="shared" si="63"/>
        <v>1.402898388069752E-5</v>
      </c>
    </row>
    <row r="3919" spans="2:4" x14ac:dyDescent="0.25">
      <c r="B3919" t="s">
        <v>10239</v>
      </c>
      <c r="C3919" s="71">
        <v>1</v>
      </c>
      <c r="D3919" s="75">
        <f t="shared" si="63"/>
        <v>1.402898388069752E-5</v>
      </c>
    </row>
    <row r="3920" spans="2:4" x14ac:dyDescent="0.25">
      <c r="B3920" t="s">
        <v>10240</v>
      </c>
      <c r="C3920" s="71">
        <v>1</v>
      </c>
      <c r="D3920" s="75">
        <f t="shared" si="63"/>
        <v>1.402898388069752E-5</v>
      </c>
    </row>
    <row r="3921" spans="2:4" x14ac:dyDescent="0.25">
      <c r="B3921" t="s">
        <v>10241</v>
      </c>
      <c r="C3921" s="71">
        <v>1</v>
      </c>
      <c r="D3921" s="75">
        <f t="shared" si="63"/>
        <v>1.402898388069752E-5</v>
      </c>
    </row>
    <row r="3922" spans="2:4" x14ac:dyDescent="0.25">
      <c r="B3922" t="s">
        <v>10242</v>
      </c>
      <c r="C3922" s="71">
        <v>1</v>
      </c>
      <c r="D3922" s="75">
        <f t="shared" si="63"/>
        <v>1.402898388069752E-5</v>
      </c>
    </row>
    <row r="3923" spans="2:4" x14ac:dyDescent="0.25">
      <c r="B3923" t="s">
        <v>10243</v>
      </c>
      <c r="C3923" s="71">
        <v>1</v>
      </c>
      <c r="D3923" s="75">
        <f t="shared" si="63"/>
        <v>1.402898388069752E-5</v>
      </c>
    </row>
    <row r="3924" spans="2:4" x14ac:dyDescent="0.25">
      <c r="B3924" t="s">
        <v>10244</v>
      </c>
      <c r="C3924" s="71">
        <v>1</v>
      </c>
      <c r="D3924" s="75">
        <f t="shared" si="63"/>
        <v>1.402898388069752E-5</v>
      </c>
    </row>
    <row r="3925" spans="2:4" x14ac:dyDescent="0.25">
      <c r="B3925" t="s">
        <v>10245</v>
      </c>
      <c r="C3925" s="71">
        <v>1</v>
      </c>
      <c r="D3925" s="75">
        <f t="shared" si="63"/>
        <v>1.402898388069752E-5</v>
      </c>
    </row>
    <row r="3926" spans="2:4" x14ac:dyDescent="0.25">
      <c r="B3926" t="s">
        <v>10246</v>
      </c>
      <c r="C3926" s="71">
        <v>1</v>
      </c>
      <c r="D3926" s="75">
        <f t="shared" si="63"/>
        <v>1.402898388069752E-5</v>
      </c>
    </row>
    <row r="3927" spans="2:4" x14ac:dyDescent="0.25">
      <c r="B3927" t="s">
        <v>10247</v>
      </c>
      <c r="C3927" s="71">
        <v>1</v>
      </c>
      <c r="D3927" s="75">
        <f t="shared" si="63"/>
        <v>1.402898388069752E-5</v>
      </c>
    </row>
    <row r="3928" spans="2:4" x14ac:dyDescent="0.25">
      <c r="B3928" t="s">
        <v>10248</v>
      </c>
      <c r="C3928" s="71">
        <v>1</v>
      </c>
      <c r="D3928" s="75">
        <f t="shared" si="63"/>
        <v>1.402898388069752E-5</v>
      </c>
    </row>
    <row r="3929" spans="2:4" x14ac:dyDescent="0.25">
      <c r="B3929" t="s">
        <v>10249</v>
      </c>
      <c r="C3929" s="71">
        <v>1</v>
      </c>
      <c r="D3929" s="75">
        <f t="shared" si="63"/>
        <v>1.402898388069752E-5</v>
      </c>
    </row>
    <row r="3930" spans="2:4" x14ac:dyDescent="0.25">
      <c r="B3930" t="s">
        <v>10250</v>
      </c>
      <c r="C3930" s="71">
        <v>1</v>
      </c>
      <c r="D3930" s="75">
        <f t="shared" si="63"/>
        <v>1.402898388069752E-5</v>
      </c>
    </row>
    <row r="3931" spans="2:4" x14ac:dyDescent="0.25">
      <c r="B3931" t="s">
        <v>10251</v>
      </c>
      <c r="C3931" s="71">
        <v>1</v>
      </c>
      <c r="D3931" s="75">
        <f t="shared" si="63"/>
        <v>1.402898388069752E-5</v>
      </c>
    </row>
    <row r="3932" spans="2:4" x14ac:dyDescent="0.25">
      <c r="B3932" t="s">
        <v>10252</v>
      </c>
      <c r="C3932" s="71">
        <v>1</v>
      </c>
      <c r="D3932" s="75">
        <f t="shared" si="63"/>
        <v>1.402898388069752E-5</v>
      </c>
    </row>
    <row r="3933" spans="2:4" x14ac:dyDescent="0.25">
      <c r="B3933" t="s">
        <v>10253</v>
      </c>
      <c r="C3933" s="71">
        <v>1</v>
      </c>
      <c r="D3933" s="75">
        <f t="shared" si="63"/>
        <v>1.402898388069752E-5</v>
      </c>
    </row>
    <row r="3934" spans="2:4" x14ac:dyDescent="0.25">
      <c r="B3934" t="s">
        <v>10254</v>
      </c>
      <c r="C3934" s="71">
        <v>1</v>
      </c>
      <c r="D3934" s="75">
        <f t="shared" si="63"/>
        <v>1.402898388069752E-5</v>
      </c>
    </row>
    <row r="3935" spans="2:4" x14ac:dyDescent="0.25">
      <c r="B3935" t="s">
        <v>10255</v>
      </c>
      <c r="C3935" s="71">
        <v>1</v>
      </c>
      <c r="D3935" s="75">
        <f t="shared" si="63"/>
        <v>1.402898388069752E-5</v>
      </c>
    </row>
    <row r="3936" spans="2:4" x14ac:dyDescent="0.25">
      <c r="B3936" t="s">
        <v>10256</v>
      </c>
      <c r="C3936" s="71">
        <v>1</v>
      </c>
      <c r="D3936" s="75">
        <f t="shared" si="63"/>
        <v>1.402898388069752E-5</v>
      </c>
    </row>
    <row r="3937" spans="2:4" x14ac:dyDescent="0.25">
      <c r="B3937" t="s">
        <v>10257</v>
      </c>
      <c r="C3937" s="71">
        <v>1</v>
      </c>
      <c r="D3937" s="75">
        <f t="shared" si="63"/>
        <v>1.402898388069752E-5</v>
      </c>
    </row>
    <row r="3938" spans="2:4" x14ac:dyDescent="0.25">
      <c r="B3938" t="s">
        <v>10258</v>
      </c>
      <c r="C3938" s="71">
        <v>1</v>
      </c>
      <c r="D3938" s="75">
        <f t="shared" si="63"/>
        <v>1.402898388069752E-5</v>
      </c>
    </row>
    <row r="3939" spans="2:4" x14ac:dyDescent="0.25">
      <c r="B3939" t="s">
        <v>10259</v>
      </c>
      <c r="C3939" s="71">
        <v>1</v>
      </c>
      <c r="D3939" s="75">
        <f t="shared" si="63"/>
        <v>1.402898388069752E-5</v>
      </c>
    </row>
    <row r="3940" spans="2:4" x14ac:dyDescent="0.25">
      <c r="B3940" t="s">
        <v>10260</v>
      </c>
      <c r="C3940" s="71">
        <v>1</v>
      </c>
      <c r="D3940" s="75">
        <f t="shared" si="63"/>
        <v>1.402898388069752E-5</v>
      </c>
    </row>
    <row r="3941" spans="2:4" x14ac:dyDescent="0.25">
      <c r="B3941" t="s">
        <v>10261</v>
      </c>
      <c r="C3941" s="71">
        <v>1</v>
      </c>
      <c r="D3941" s="75">
        <f t="shared" si="63"/>
        <v>1.402898388069752E-5</v>
      </c>
    </row>
    <row r="3942" spans="2:4" x14ac:dyDescent="0.25">
      <c r="B3942" t="s">
        <v>10262</v>
      </c>
      <c r="C3942" s="71">
        <v>1</v>
      </c>
      <c r="D3942" s="75">
        <f t="shared" si="63"/>
        <v>1.402898388069752E-5</v>
      </c>
    </row>
    <row r="3943" spans="2:4" x14ac:dyDescent="0.25">
      <c r="B3943" t="s">
        <v>10263</v>
      </c>
      <c r="C3943" s="71">
        <v>1</v>
      </c>
      <c r="D3943" s="75">
        <f t="shared" si="63"/>
        <v>1.402898388069752E-5</v>
      </c>
    </row>
    <row r="3944" spans="2:4" x14ac:dyDescent="0.25">
      <c r="B3944" t="s">
        <v>10264</v>
      </c>
      <c r="C3944" s="71">
        <v>1</v>
      </c>
      <c r="D3944" s="75">
        <f t="shared" si="63"/>
        <v>1.402898388069752E-5</v>
      </c>
    </row>
    <row r="3945" spans="2:4" x14ac:dyDescent="0.25">
      <c r="B3945" t="s">
        <v>10265</v>
      </c>
      <c r="C3945" s="71">
        <v>1</v>
      </c>
      <c r="D3945" s="75">
        <f t="shared" si="63"/>
        <v>1.402898388069752E-5</v>
      </c>
    </row>
    <row r="3946" spans="2:4" x14ac:dyDescent="0.25">
      <c r="B3946" t="s">
        <v>10266</v>
      </c>
      <c r="C3946" s="71">
        <v>1</v>
      </c>
      <c r="D3946" s="75">
        <f t="shared" si="63"/>
        <v>1.402898388069752E-5</v>
      </c>
    </row>
    <row r="3947" spans="2:4" x14ac:dyDescent="0.25">
      <c r="B3947" t="s">
        <v>10267</v>
      </c>
      <c r="C3947" s="71">
        <v>1</v>
      </c>
      <c r="D3947" s="75">
        <f t="shared" si="63"/>
        <v>1.402898388069752E-5</v>
      </c>
    </row>
    <row r="3948" spans="2:4" x14ac:dyDescent="0.25">
      <c r="B3948" t="s">
        <v>10268</v>
      </c>
      <c r="C3948" s="71">
        <v>1</v>
      </c>
      <c r="D3948" s="75">
        <f t="shared" si="63"/>
        <v>1.402898388069752E-5</v>
      </c>
    </row>
    <row r="3949" spans="2:4" x14ac:dyDescent="0.25">
      <c r="B3949" t="s">
        <v>10269</v>
      </c>
      <c r="C3949" s="71">
        <v>1</v>
      </c>
      <c r="D3949" s="75">
        <f t="shared" si="63"/>
        <v>1.402898388069752E-5</v>
      </c>
    </row>
    <row r="3950" spans="2:4" x14ac:dyDescent="0.25">
      <c r="B3950" t="e">
        <f>---ssenian</f>
        <v>#NAME?</v>
      </c>
      <c r="C3950" s="71">
        <v>1</v>
      </c>
      <c r="D3950" s="75">
        <f t="shared" si="63"/>
        <v>1.402898388069752E-5</v>
      </c>
    </row>
    <row r="3951" spans="2:4" x14ac:dyDescent="0.25">
      <c r="B3951" t="s">
        <v>10270</v>
      </c>
      <c r="C3951" s="71">
        <v>1</v>
      </c>
      <c r="D3951" s="75">
        <f t="shared" si="63"/>
        <v>1.402898388069752E-5</v>
      </c>
    </row>
    <row r="3952" spans="2:4" x14ac:dyDescent="0.25">
      <c r="B3952" t="s">
        <v>10271</v>
      </c>
      <c r="C3952" s="71">
        <v>1</v>
      </c>
      <c r="D3952" s="75">
        <f t="shared" si="63"/>
        <v>1.402898388069752E-5</v>
      </c>
    </row>
    <row r="3953" spans="2:4" x14ac:dyDescent="0.25">
      <c r="B3953" t="s">
        <v>10272</v>
      </c>
      <c r="C3953" s="71">
        <v>1</v>
      </c>
      <c r="D3953" s="75">
        <f t="shared" si="63"/>
        <v>1.402898388069752E-5</v>
      </c>
    </row>
    <row r="3954" spans="2:4" x14ac:dyDescent="0.25">
      <c r="B3954" t="s">
        <v>10273</v>
      </c>
      <c r="C3954" s="71">
        <v>1</v>
      </c>
      <c r="D3954" s="75">
        <f t="shared" si="63"/>
        <v>1.402898388069752E-5</v>
      </c>
    </row>
    <row r="3955" spans="2:4" x14ac:dyDescent="0.25">
      <c r="B3955" t="s">
        <v>10274</v>
      </c>
      <c r="C3955" s="71">
        <v>1</v>
      </c>
      <c r="D3955" s="75">
        <f t="shared" si="63"/>
        <v>1.402898388069752E-5</v>
      </c>
    </row>
    <row r="3956" spans="2:4" x14ac:dyDescent="0.25">
      <c r="B3956" t="s">
        <v>10275</v>
      </c>
      <c r="C3956" s="71">
        <v>1</v>
      </c>
      <c r="D3956" s="75">
        <f t="shared" si="63"/>
        <v>1.402898388069752E-5</v>
      </c>
    </row>
    <row r="3957" spans="2:4" x14ac:dyDescent="0.25">
      <c r="B3957" t="s">
        <v>10276</v>
      </c>
      <c r="C3957" s="71">
        <v>1</v>
      </c>
      <c r="D3957" s="75">
        <f t="shared" si="63"/>
        <v>1.402898388069752E-5</v>
      </c>
    </row>
    <row r="3958" spans="2:4" x14ac:dyDescent="0.25">
      <c r="B3958" t="s">
        <v>10277</v>
      </c>
      <c r="C3958" s="71">
        <v>1</v>
      </c>
      <c r="D3958" s="75">
        <f t="shared" si="63"/>
        <v>1.402898388069752E-5</v>
      </c>
    </row>
    <row r="3959" spans="2:4" x14ac:dyDescent="0.25">
      <c r="B3959" t="s">
        <v>10278</v>
      </c>
      <c r="C3959" s="71">
        <v>1</v>
      </c>
      <c r="D3959" s="75">
        <f t="shared" si="63"/>
        <v>1.402898388069752E-5</v>
      </c>
    </row>
    <row r="3960" spans="2:4" x14ac:dyDescent="0.25">
      <c r="B3960" t="s">
        <v>10279</v>
      </c>
      <c r="C3960" s="71">
        <v>1</v>
      </c>
      <c r="D3960" s="75">
        <f t="shared" si="63"/>
        <v>1.402898388069752E-5</v>
      </c>
    </row>
    <row r="3961" spans="2:4" x14ac:dyDescent="0.25">
      <c r="B3961" t="s">
        <v>10280</v>
      </c>
      <c r="C3961" s="71">
        <v>1</v>
      </c>
      <c r="D3961" s="75">
        <f t="shared" si="63"/>
        <v>1.402898388069752E-5</v>
      </c>
    </row>
    <row r="3962" spans="2:4" x14ac:dyDescent="0.25">
      <c r="B3962" t="s">
        <v>10281</v>
      </c>
      <c r="C3962" s="71">
        <v>1</v>
      </c>
      <c r="D3962" s="75">
        <f t="shared" si="63"/>
        <v>1.402898388069752E-5</v>
      </c>
    </row>
    <row r="3963" spans="2:4" x14ac:dyDescent="0.25">
      <c r="B3963" t="s">
        <v>10282</v>
      </c>
      <c r="C3963" s="71">
        <v>1</v>
      </c>
      <c r="D3963" s="75">
        <f t="shared" si="63"/>
        <v>1.402898388069752E-5</v>
      </c>
    </row>
    <row r="3964" spans="2:4" x14ac:dyDescent="0.25">
      <c r="B3964" t="s">
        <v>10283</v>
      </c>
      <c r="C3964" s="71">
        <v>1</v>
      </c>
      <c r="D3964" s="75">
        <f t="shared" si="63"/>
        <v>1.402898388069752E-5</v>
      </c>
    </row>
    <row r="3965" spans="2:4" x14ac:dyDescent="0.25">
      <c r="B3965" t="s">
        <v>10284</v>
      </c>
      <c r="C3965" s="71">
        <v>1</v>
      </c>
      <c r="D3965" s="75">
        <f t="shared" si="63"/>
        <v>1.402898388069752E-5</v>
      </c>
    </row>
    <row r="3966" spans="2:4" x14ac:dyDescent="0.25">
      <c r="B3966" t="s">
        <v>10285</v>
      </c>
      <c r="C3966" s="71">
        <v>1</v>
      </c>
      <c r="D3966" s="75">
        <f t="shared" si="63"/>
        <v>1.402898388069752E-5</v>
      </c>
    </row>
    <row r="3967" spans="2:4" x14ac:dyDescent="0.25">
      <c r="B3967" t="s">
        <v>10286</v>
      </c>
      <c r="C3967" s="71">
        <v>1</v>
      </c>
      <c r="D3967" s="75">
        <f t="shared" si="63"/>
        <v>1.402898388069752E-5</v>
      </c>
    </row>
    <row r="3968" spans="2:4" x14ac:dyDescent="0.25">
      <c r="B3968" t="s">
        <v>10287</v>
      </c>
      <c r="C3968" s="71">
        <v>1</v>
      </c>
      <c r="D3968" s="75">
        <f t="shared" si="63"/>
        <v>1.402898388069752E-5</v>
      </c>
    </row>
    <row r="3969" spans="2:4" x14ac:dyDescent="0.25">
      <c r="B3969" t="s">
        <v>10288</v>
      </c>
      <c r="C3969" s="71">
        <v>1</v>
      </c>
      <c r="D3969" s="75">
        <f t="shared" si="63"/>
        <v>1.402898388069752E-5</v>
      </c>
    </row>
    <row r="3970" spans="2:4" x14ac:dyDescent="0.25">
      <c r="B3970" t="s">
        <v>10289</v>
      </c>
      <c r="C3970" s="71">
        <v>1</v>
      </c>
      <c r="D3970" s="75">
        <f t="shared" si="63"/>
        <v>1.402898388069752E-5</v>
      </c>
    </row>
    <row r="3971" spans="2:4" x14ac:dyDescent="0.25">
      <c r="B3971" t="s">
        <v>10290</v>
      </c>
      <c r="C3971" s="71">
        <v>1</v>
      </c>
      <c r="D3971" s="75">
        <f t="shared" si="63"/>
        <v>1.402898388069752E-5</v>
      </c>
    </row>
    <row r="3972" spans="2:4" x14ac:dyDescent="0.25">
      <c r="B3972" t="s">
        <v>10291</v>
      </c>
      <c r="C3972" s="71">
        <v>1</v>
      </c>
      <c r="D3972" s="75">
        <f t="shared" si="63"/>
        <v>1.402898388069752E-5</v>
      </c>
    </row>
    <row r="3973" spans="2:4" x14ac:dyDescent="0.25">
      <c r="B3973" t="s">
        <v>10292</v>
      </c>
      <c r="C3973" s="71">
        <v>1</v>
      </c>
      <c r="D3973" s="75">
        <f t="shared" si="63"/>
        <v>1.402898388069752E-5</v>
      </c>
    </row>
    <row r="3974" spans="2:4" x14ac:dyDescent="0.25">
      <c r="B3974" t="s">
        <v>10293</v>
      </c>
      <c r="C3974" s="71">
        <v>1</v>
      </c>
      <c r="D3974" s="75">
        <f t="shared" ref="D3974:D4037" si="64">C3974/$C$4822</f>
        <v>1.402898388069752E-5</v>
      </c>
    </row>
    <row r="3975" spans="2:4" x14ac:dyDescent="0.25">
      <c r="B3975" t="s">
        <v>10294</v>
      </c>
      <c r="C3975" s="71">
        <v>1</v>
      </c>
      <c r="D3975" s="75">
        <f t="shared" si="64"/>
        <v>1.402898388069752E-5</v>
      </c>
    </row>
    <row r="3976" spans="2:4" x14ac:dyDescent="0.25">
      <c r="B3976" t="s">
        <v>10295</v>
      </c>
      <c r="C3976" s="71">
        <v>1</v>
      </c>
      <c r="D3976" s="75">
        <f t="shared" si="64"/>
        <v>1.402898388069752E-5</v>
      </c>
    </row>
    <row r="3977" spans="2:4" x14ac:dyDescent="0.25">
      <c r="B3977" t="s">
        <v>10296</v>
      </c>
      <c r="C3977" s="71">
        <v>1</v>
      </c>
      <c r="D3977" s="75">
        <f t="shared" si="64"/>
        <v>1.402898388069752E-5</v>
      </c>
    </row>
    <row r="3978" spans="2:4" x14ac:dyDescent="0.25">
      <c r="B3978" t="s">
        <v>10297</v>
      </c>
      <c r="C3978" s="71">
        <v>1</v>
      </c>
      <c r="D3978" s="75">
        <f t="shared" si="64"/>
        <v>1.402898388069752E-5</v>
      </c>
    </row>
    <row r="3979" spans="2:4" x14ac:dyDescent="0.25">
      <c r="B3979" t="s">
        <v>10298</v>
      </c>
      <c r="C3979" s="71">
        <v>1</v>
      </c>
      <c r="D3979" s="75">
        <f t="shared" si="64"/>
        <v>1.402898388069752E-5</v>
      </c>
    </row>
    <row r="3980" spans="2:4" x14ac:dyDescent="0.25">
      <c r="B3980" t="s">
        <v>10299</v>
      </c>
      <c r="C3980" s="71">
        <v>1</v>
      </c>
      <c r="D3980" s="75">
        <f t="shared" si="64"/>
        <v>1.402898388069752E-5</v>
      </c>
    </row>
    <row r="3981" spans="2:4" x14ac:dyDescent="0.25">
      <c r="B3981" t="s">
        <v>10300</v>
      </c>
      <c r="C3981" s="71">
        <v>1</v>
      </c>
      <c r="D3981" s="75">
        <f t="shared" si="64"/>
        <v>1.402898388069752E-5</v>
      </c>
    </row>
    <row r="3982" spans="2:4" x14ac:dyDescent="0.25">
      <c r="B3982" t="s">
        <v>10301</v>
      </c>
      <c r="C3982" s="71">
        <v>1</v>
      </c>
      <c r="D3982" s="75">
        <f t="shared" si="64"/>
        <v>1.402898388069752E-5</v>
      </c>
    </row>
    <row r="3983" spans="2:4" x14ac:dyDescent="0.25">
      <c r="B3983" t="s">
        <v>10302</v>
      </c>
      <c r="C3983" s="71">
        <v>1</v>
      </c>
      <c r="D3983" s="75">
        <f t="shared" si="64"/>
        <v>1.402898388069752E-5</v>
      </c>
    </row>
    <row r="3984" spans="2:4" x14ac:dyDescent="0.25">
      <c r="B3984" t="s">
        <v>10303</v>
      </c>
      <c r="C3984" s="71">
        <v>1</v>
      </c>
      <c r="D3984" s="75">
        <f t="shared" si="64"/>
        <v>1.402898388069752E-5</v>
      </c>
    </row>
    <row r="3985" spans="2:4" x14ac:dyDescent="0.25">
      <c r="B3985" t="s">
        <v>10304</v>
      </c>
      <c r="C3985" s="71">
        <v>1</v>
      </c>
      <c r="D3985" s="75">
        <f t="shared" si="64"/>
        <v>1.402898388069752E-5</v>
      </c>
    </row>
    <row r="3986" spans="2:4" x14ac:dyDescent="0.25">
      <c r="B3986" t="s">
        <v>10305</v>
      </c>
      <c r="C3986" s="71">
        <v>1</v>
      </c>
      <c r="D3986" s="75">
        <f t="shared" si="64"/>
        <v>1.402898388069752E-5</v>
      </c>
    </row>
    <row r="3987" spans="2:4" x14ac:dyDescent="0.25">
      <c r="B3987" t="s">
        <v>10306</v>
      </c>
      <c r="C3987" s="71">
        <v>1</v>
      </c>
      <c r="D3987" s="75">
        <f t="shared" si="64"/>
        <v>1.402898388069752E-5</v>
      </c>
    </row>
    <row r="3988" spans="2:4" x14ac:dyDescent="0.25">
      <c r="B3988" t="s">
        <v>10307</v>
      </c>
      <c r="C3988" s="71">
        <v>1</v>
      </c>
      <c r="D3988" s="75">
        <f t="shared" si="64"/>
        <v>1.402898388069752E-5</v>
      </c>
    </row>
    <row r="3989" spans="2:4" x14ac:dyDescent="0.25">
      <c r="B3989" t="s">
        <v>10308</v>
      </c>
      <c r="C3989" s="71">
        <v>1</v>
      </c>
      <c r="D3989" s="75">
        <f t="shared" si="64"/>
        <v>1.402898388069752E-5</v>
      </c>
    </row>
    <row r="3990" spans="2:4" x14ac:dyDescent="0.25">
      <c r="B3990" t="s">
        <v>10309</v>
      </c>
      <c r="C3990" s="71">
        <v>1</v>
      </c>
      <c r="D3990" s="75">
        <f t="shared" si="64"/>
        <v>1.402898388069752E-5</v>
      </c>
    </row>
    <row r="3991" spans="2:4" x14ac:dyDescent="0.25">
      <c r="B3991" t="s">
        <v>10310</v>
      </c>
      <c r="C3991" s="71">
        <v>1</v>
      </c>
      <c r="D3991" s="75">
        <f t="shared" si="64"/>
        <v>1.402898388069752E-5</v>
      </c>
    </row>
    <row r="3992" spans="2:4" x14ac:dyDescent="0.25">
      <c r="B3992" t="s">
        <v>10311</v>
      </c>
      <c r="C3992" s="71">
        <v>1</v>
      </c>
      <c r="D3992" s="75">
        <f t="shared" si="64"/>
        <v>1.402898388069752E-5</v>
      </c>
    </row>
    <row r="3993" spans="2:4" x14ac:dyDescent="0.25">
      <c r="B3993" t="s">
        <v>10312</v>
      </c>
      <c r="C3993" s="71">
        <v>1</v>
      </c>
      <c r="D3993" s="75">
        <f t="shared" si="64"/>
        <v>1.402898388069752E-5</v>
      </c>
    </row>
    <row r="3994" spans="2:4" x14ac:dyDescent="0.25">
      <c r="B3994" t="s">
        <v>10313</v>
      </c>
      <c r="C3994" s="71">
        <v>1</v>
      </c>
      <c r="D3994" s="75">
        <f t="shared" si="64"/>
        <v>1.402898388069752E-5</v>
      </c>
    </row>
    <row r="3995" spans="2:4" x14ac:dyDescent="0.25">
      <c r="B3995" t="s">
        <v>10314</v>
      </c>
      <c r="C3995" s="71">
        <v>1</v>
      </c>
      <c r="D3995" s="75">
        <f t="shared" si="64"/>
        <v>1.402898388069752E-5</v>
      </c>
    </row>
    <row r="3996" spans="2:4" x14ac:dyDescent="0.25">
      <c r="B3996" t="s">
        <v>10315</v>
      </c>
      <c r="C3996" s="71">
        <v>1</v>
      </c>
      <c r="D3996" s="75">
        <f t="shared" si="64"/>
        <v>1.402898388069752E-5</v>
      </c>
    </row>
    <row r="3997" spans="2:4" x14ac:dyDescent="0.25">
      <c r="B3997" t="s">
        <v>10316</v>
      </c>
      <c r="C3997" s="71">
        <v>1</v>
      </c>
      <c r="D3997" s="75">
        <f t="shared" si="64"/>
        <v>1.402898388069752E-5</v>
      </c>
    </row>
    <row r="3998" spans="2:4" x14ac:dyDescent="0.25">
      <c r="B3998" t="s">
        <v>10317</v>
      </c>
      <c r="C3998" s="71">
        <v>1</v>
      </c>
      <c r="D3998" s="75">
        <f t="shared" si="64"/>
        <v>1.402898388069752E-5</v>
      </c>
    </row>
    <row r="3999" spans="2:4" x14ac:dyDescent="0.25">
      <c r="B3999" t="s">
        <v>10318</v>
      </c>
      <c r="C3999" s="71">
        <v>1</v>
      </c>
      <c r="D3999" s="75">
        <f t="shared" si="64"/>
        <v>1.402898388069752E-5</v>
      </c>
    </row>
    <row r="4000" spans="2:4" x14ac:dyDescent="0.25">
      <c r="B4000" t="s">
        <v>10319</v>
      </c>
      <c r="C4000" s="71">
        <v>1</v>
      </c>
      <c r="D4000" s="75">
        <f t="shared" si="64"/>
        <v>1.402898388069752E-5</v>
      </c>
    </row>
    <row r="4001" spans="2:4" x14ac:dyDescent="0.25">
      <c r="B4001" t="s">
        <v>10320</v>
      </c>
      <c r="C4001" s="71">
        <v>1</v>
      </c>
      <c r="D4001" s="75">
        <f t="shared" si="64"/>
        <v>1.402898388069752E-5</v>
      </c>
    </row>
    <row r="4002" spans="2:4" x14ac:dyDescent="0.25">
      <c r="B4002" t="s">
        <v>10321</v>
      </c>
      <c r="C4002" s="71">
        <v>1</v>
      </c>
      <c r="D4002" s="75">
        <f t="shared" si="64"/>
        <v>1.402898388069752E-5</v>
      </c>
    </row>
    <row r="4003" spans="2:4" x14ac:dyDescent="0.25">
      <c r="B4003" t="s">
        <v>10322</v>
      </c>
      <c r="C4003" s="71">
        <v>1</v>
      </c>
      <c r="D4003" s="75">
        <f t="shared" si="64"/>
        <v>1.402898388069752E-5</v>
      </c>
    </row>
    <row r="4004" spans="2:4" x14ac:dyDescent="0.25">
      <c r="B4004" t="s">
        <v>10323</v>
      </c>
      <c r="C4004" s="71">
        <v>1</v>
      </c>
      <c r="D4004" s="75">
        <f t="shared" si="64"/>
        <v>1.402898388069752E-5</v>
      </c>
    </row>
    <row r="4005" spans="2:4" x14ac:dyDescent="0.25">
      <c r="B4005" t="s">
        <v>10324</v>
      </c>
      <c r="C4005" s="71">
        <v>1</v>
      </c>
      <c r="D4005" s="75">
        <f t="shared" si="64"/>
        <v>1.402898388069752E-5</v>
      </c>
    </row>
    <row r="4006" spans="2:4" x14ac:dyDescent="0.25">
      <c r="B4006" t="s">
        <v>10325</v>
      </c>
      <c r="C4006" s="71">
        <v>1</v>
      </c>
      <c r="D4006" s="75">
        <f t="shared" si="64"/>
        <v>1.402898388069752E-5</v>
      </c>
    </row>
    <row r="4007" spans="2:4" x14ac:dyDescent="0.25">
      <c r="B4007" t="s">
        <v>10326</v>
      </c>
      <c r="C4007" s="71">
        <v>1</v>
      </c>
      <c r="D4007" s="75">
        <f t="shared" si="64"/>
        <v>1.402898388069752E-5</v>
      </c>
    </row>
    <row r="4008" spans="2:4" x14ac:dyDescent="0.25">
      <c r="B4008" t="s">
        <v>10327</v>
      </c>
      <c r="C4008" s="71">
        <v>1</v>
      </c>
      <c r="D4008" s="75">
        <f t="shared" si="64"/>
        <v>1.402898388069752E-5</v>
      </c>
    </row>
    <row r="4009" spans="2:4" x14ac:dyDescent="0.25">
      <c r="B4009" t="s">
        <v>10328</v>
      </c>
      <c r="C4009" s="71">
        <v>1</v>
      </c>
      <c r="D4009" s="75">
        <f t="shared" si="64"/>
        <v>1.402898388069752E-5</v>
      </c>
    </row>
    <row r="4010" spans="2:4" x14ac:dyDescent="0.25">
      <c r="B4010" t="s">
        <v>10329</v>
      </c>
      <c r="C4010" s="71">
        <v>1</v>
      </c>
      <c r="D4010" s="75">
        <f t="shared" si="64"/>
        <v>1.402898388069752E-5</v>
      </c>
    </row>
    <row r="4011" spans="2:4" x14ac:dyDescent="0.25">
      <c r="B4011" t="e">
        <f>---oorian</f>
        <v>#NAME?</v>
      </c>
      <c r="C4011" s="71">
        <v>1</v>
      </c>
      <c r="D4011" s="75">
        <f t="shared" si="64"/>
        <v>1.402898388069752E-5</v>
      </c>
    </row>
    <row r="4012" spans="2:4" x14ac:dyDescent="0.25">
      <c r="B4012" t="s">
        <v>10330</v>
      </c>
      <c r="C4012" s="71">
        <v>1</v>
      </c>
      <c r="D4012" s="75">
        <f t="shared" si="64"/>
        <v>1.402898388069752E-5</v>
      </c>
    </row>
    <row r="4013" spans="2:4" x14ac:dyDescent="0.25">
      <c r="B4013" t="s">
        <v>10331</v>
      </c>
      <c r="C4013" s="71">
        <v>1</v>
      </c>
      <c r="D4013" s="75">
        <f t="shared" si="64"/>
        <v>1.402898388069752E-5</v>
      </c>
    </row>
    <row r="4014" spans="2:4" x14ac:dyDescent="0.25">
      <c r="B4014" t="s">
        <v>10332</v>
      </c>
      <c r="C4014" s="71">
        <v>1</v>
      </c>
      <c r="D4014" s="75">
        <f t="shared" si="64"/>
        <v>1.402898388069752E-5</v>
      </c>
    </row>
    <row r="4015" spans="2:4" x14ac:dyDescent="0.25">
      <c r="B4015" t="s">
        <v>10333</v>
      </c>
      <c r="C4015" s="71">
        <v>1</v>
      </c>
      <c r="D4015" s="75">
        <f t="shared" si="64"/>
        <v>1.402898388069752E-5</v>
      </c>
    </row>
    <row r="4016" spans="2:4" x14ac:dyDescent="0.25">
      <c r="B4016" t="s">
        <v>10334</v>
      </c>
      <c r="C4016" s="71">
        <v>1</v>
      </c>
      <c r="D4016" s="75">
        <f t="shared" si="64"/>
        <v>1.402898388069752E-5</v>
      </c>
    </row>
    <row r="4017" spans="2:4" x14ac:dyDescent="0.25">
      <c r="B4017" t="s">
        <v>10335</v>
      </c>
      <c r="C4017" s="71">
        <v>1</v>
      </c>
      <c r="D4017" s="75">
        <f t="shared" si="64"/>
        <v>1.402898388069752E-5</v>
      </c>
    </row>
    <row r="4018" spans="2:4" x14ac:dyDescent="0.25">
      <c r="B4018" t="s">
        <v>10336</v>
      </c>
      <c r="C4018" s="71">
        <v>1</v>
      </c>
      <c r="D4018" s="75">
        <f t="shared" si="64"/>
        <v>1.402898388069752E-5</v>
      </c>
    </row>
    <row r="4019" spans="2:4" x14ac:dyDescent="0.25">
      <c r="B4019" t="s">
        <v>10337</v>
      </c>
      <c r="C4019" s="71">
        <v>1</v>
      </c>
      <c r="D4019" s="75">
        <f t="shared" si="64"/>
        <v>1.402898388069752E-5</v>
      </c>
    </row>
    <row r="4020" spans="2:4" x14ac:dyDescent="0.25">
      <c r="B4020" t="s">
        <v>10338</v>
      </c>
      <c r="C4020" s="71">
        <v>1</v>
      </c>
      <c r="D4020" s="75">
        <f t="shared" si="64"/>
        <v>1.402898388069752E-5</v>
      </c>
    </row>
    <row r="4021" spans="2:4" x14ac:dyDescent="0.25">
      <c r="B4021" t="s">
        <v>10339</v>
      </c>
      <c r="C4021" s="71">
        <v>1</v>
      </c>
      <c r="D4021" s="75">
        <f t="shared" si="64"/>
        <v>1.402898388069752E-5</v>
      </c>
    </row>
    <row r="4022" spans="2:4" x14ac:dyDescent="0.25">
      <c r="B4022" t="s">
        <v>10340</v>
      </c>
      <c r="C4022" s="71">
        <v>1</v>
      </c>
      <c r="D4022" s="75">
        <f t="shared" si="64"/>
        <v>1.402898388069752E-5</v>
      </c>
    </row>
    <row r="4023" spans="2:4" x14ac:dyDescent="0.25">
      <c r="B4023" t="s">
        <v>10341</v>
      </c>
      <c r="C4023" s="71">
        <v>1</v>
      </c>
      <c r="D4023" s="75">
        <f t="shared" si="64"/>
        <v>1.402898388069752E-5</v>
      </c>
    </row>
    <row r="4024" spans="2:4" x14ac:dyDescent="0.25">
      <c r="B4024" t="s">
        <v>10342</v>
      </c>
      <c r="C4024" s="71">
        <v>1</v>
      </c>
      <c r="D4024" s="75">
        <f t="shared" si="64"/>
        <v>1.402898388069752E-5</v>
      </c>
    </row>
    <row r="4025" spans="2:4" x14ac:dyDescent="0.25">
      <c r="B4025" t="s">
        <v>10343</v>
      </c>
      <c r="C4025" s="71">
        <v>1</v>
      </c>
      <c r="D4025" s="75">
        <f t="shared" si="64"/>
        <v>1.402898388069752E-5</v>
      </c>
    </row>
    <row r="4026" spans="2:4" x14ac:dyDescent="0.25">
      <c r="B4026" t="s">
        <v>10344</v>
      </c>
      <c r="C4026" s="71">
        <v>1</v>
      </c>
      <c r="D4026" s="75">
        <f t="shared" si="64"/>
        <v>1.402898388069752E-5</v>
      </c>
    </row>
    <row r="4027" spans="2:4" x14ac:dyDescent="0.25">
      <c r="B4027" t="s">
        <v>10345</v>
      </c>
      <c r="C4027" s="71">
        <v>1</v>
      </c>
      <c r="D4027" s="75">
        <f t="shared" si="64"/>
        <v>1.402898388069752E-5</v>
      </c>
    </row>
    <row r="4028" spans="2:4" x14ac:dyDescent="0.25">
      <c r="B4028" t="s">
        <v>10346</v>
      </c>
      <c r="C4028" s="71">
        <v>1</v>
      </c>
      <c r="D4028" s="75">
        <f t="shared" si="64"/>
        <v>1.402898388069752E-5</v>
      </c>
    </row>
    <row r="4029" spans="2:4" x14ac:dyDescent="0.25">
      <c r="B4029" t="s">
        <v>10347</v>
      </c>
      <c r="C4029" s="71">
        <v>1</v>
      </c>
      <c r="D4029" s="75">
        <f t="shared" si="64"/>
        <v>1.402898388069752E-5</v>
      </c>
    </row>
    <row r="4030" spans="2:4" x14ac:dyDescent="0.25">
      <c r="B4030" t="s">
        <v>10348</v>
      </c>
      <c r="C4030" s="71">
        <v>1</v>
      </c>
      <c r="D4030" s="75">
        <f t="shared" si="64"/>
        <v>1.402898388069752E-5</v>
      </c>
    </row>
    <row r="4031" spans="2:4" x14ac:dyDescent="0.25">
      <c r="B4031" t="s">
        <v>10349</v>
      </c>
      <c r="C4031" s="71">
        <v>1</v>
      </c>
      <c r="D4031" s="75">
        <f t="shared" si="64"/>
        <v>1.402898388069752E-5</v>
      </c>
    </row>
    <row r="4032" spans="2:4" x14ac:dyDescent="0.25">
      <c r="B4032" t="s">
        <v>10350</v>
      </c>
      <c r="C4032" s="71">
        <v>1</v>
      </c>
      <c r="D4032" s="75">
        <f t="shared" si="64"/>
        <v>1.402898388069752E-5</v>
      </c>
    </row>
    <row r="4033" spans="2:4" x14ac:dyDescent="0.25">
      <c r="B4033" t="s">
        <v>10351</v>
      </c>
      <c r="C4033" s="71">
        <v>1</v>
      </c>
      <c r="D4033" s="75">
        <f t="shared" si="64"/>
        <v>1.402898388069752E-5</v>
      </c>
    </row>
    <row r="4034" spans="2:4" x14ac:dyDescent="0.25">
      <c r="B4034" t="s">
        <v>10352</v>
      </c>
      <c r="C4034" s="71">
        <v>1</v>
      </c>
      <c r="D4034" s="75">
        <f t="shared" si="64"/>
        <v>1.402898388069752E-5</v>
      </c>
    </row>
    <row r="4035" spans="2:4" x14ac:dyDescent="0.25">
      <c r="B4035" t="s">
        <v>10353</v>
      </c>
      <c r="C4035" s="71">
        <v>1</v>
      </c>
      <c r="D4035" s="75">
        <f t="shared" si="64"/>
        <v>1.402898388069752E-5</v>
      </c>
    </row>
    <row r="4036" spans="2:4" x14ac:dyDescent="0.25">
      <c r="B4036" t="s">
        <v>10354</v>
      </c>
      <c r="C4036" s="71">
        <v>1</v>
      </c>
      <c r="D4036" s="75">
        <f t="shared" si="64"/>
        <v>1.402898388069752E-5</v>
      </c>
    </row>
    <row r="4037" spans="2:4" x14ac:dyDescent="0.25">
      <c r="B4037" t="s">
        <v>10355</v>
      </c>
      <c r="C4037" s="71">
        <v>1</v>
      </c>
      <c r="D4037" s="75">
        <f t="shared" si="64"/>
        <v>1.402898388069752E-5</v>
      </c>
    </row>
    <row r="4038" spans="2:4" x14ac:dyDescent="0.25">
      <c r="B4038" t="s">
        <v>10356</v>
      </c>
      <c r="C4038" s="71">
        <v>1</v>
      </c>
      <c r="D4038" s="75">
        <f t="shared" ref="D4038:D4101" si="65">C4038/$C$4822</f>
        <v>1.402898388069752E-5</v>
      </c>
    </row>
    <row r="4039" spans="2:4" x14ac:dyDescent="0.25">
      <c r="B4039" t="s">
        <v>10357</v>
      </c>
      <c r="C4039" s="71">
        <v>1</v>
      </c>
      <c r="D4039" s="75">
        <f t="shared" si="65"/>
        <v>1.402898388069752E-5</v>
      </c>
    </row>
    <row r="4040" spans="2:4" x14ac:dyDescent="0.25">
      <c r="B4040" t="s">
        <v>10358</v>
      </c>
      <c r="C4040" s="71">
        <v>1</v>
      </c>
      <c r="D4040" s="75">
        <f t="shared" si="65"/>
        <v>1.402898388069752E-5</v>
      </c>
    </row>
    <row r="4041" spans="2:4" x14ac:dyDescent="0.25">
      <c r="B4041" t="s">
        <v>10359</v>
      </c>
      <c r="C4041" s="71">
        <v>1</v>
      </c>
      <c r="D4041" s="75">
        <f t="shared" si="65"/>
        <v>1.402898388069752E-5</v>
      </c>
    </row>
    <row r="4042" spans="2:4" x14ac:dyDescent="0.25">
      <c r="B4042" t="s">
        <v>10360</v>
      </c>
      <c r="C4042" s="71">
        <v>1</v>
      </c>
      <c r="D4042" s="75">
        <f t="shared" si="65"/>
        <v>1.402898388069752E-5</v>
      </c>
    </row>
    <row r="4043" spans="2:4" x14ac:dyDescent="0.25">
      <c r="B4043" t="s">
        <v>10361</v>
      </c>
      <c r="C4043" s="71">
        <v>1</v>
      </c>
      <c r="D4043" s="75">
        <f t="shared" si="65"/>
        <v>1.402898388069752E-5</v>
      </c>
    </row>
    <row r="4044" spans="2:4" x14ac:dyDescent="0.25">
      <c r="B4044" t="s">
        <v>10362</v>
      </c>
      <c r="C4044" s="71">
        <v>1</v>
      </c>
      <c r="D4044" s="75">
        <f t="shared" si="65"/>
        <v>1.402898388069752E-5</v>
      </c>
    </row>
    <row r="4045" spans="2:4" x14ac:dyDescent="0.25">
      <c r="B4045" t="s">
        <v>10363</v>
      </c>
      <c r="C4045" s="71">
        <v>1</v>
      </c>
      <c r="D4045" s="75">
        <f t="shared" si="65"/>
        <v>1.402898388069752E-5</v>
      </c>
    </row>
    <row r="4046" spans="2:4" x14ac:dyDescent="0.25">
      <c r="B4046" t="s">
        <v>10364</v>
      </c>
      <c r="C4046" s="71">
        <v>1</v>
      </c>
      <c r="D4046" s="75">
        <f t="shared" si="65"/>
        <v>1.402898388069752E-5</v>
      </c>
    </row>
    <row r="4047" spans="2:4" x14ac:dyDescent="0.25">
      <c r="B4047" t="s">
        <v>10365</v>
      </c>
      <c r="C4047" s="71">
        <v>1</v>
      </c>
      <c r="D4047" s="75">
        <f t="shared" si="65"/>
        <v>1.402898388069752E-5</v>
      </c>
    </row>
    <row r="4048" spans="2:4" x14ac:dyDescent="0.25">
      <c r="B4048" t="s">
        <v>10366</v>
      </c>
      <c r="C4048" s="71">
        <v>1</v>
      </c>
      <c r="D4048" s="75">
        <f t="shared" si="65"/>
        <v>1.402898388069752E-5</v>
      </c>
    </row>
    <row r="4049" spans="2:4" x14ac:dyDescent="0.25">
      <c r="B4049" t="s">
        <v>10367</v>
      </c>
      <c r="C4049" s="71">
        <v>1</v>
      </c>
      <c r="D4049" s="75">
        <f t="shared" si="65"/>
        <v>1.402898388069752E-5</v>
      </c>
    </row>
    <row r="4050" spans="2:4" x14ac:dyDescent="0.25">
      <c r="B4050" t="s">
        <v>10368</v>
      </c>
      <c r="C4050" s="71">
        <v>1</v>
      </c>
      <c r="D4050" s="75">
        <f t="shared" si="65"/>
        <v>1.402898388069752E-5</v>
      </c>
    </row>
    <row r="4051" spans="2:4" x14ac:dyDescent="0.25">
      <c r="B4051" t="s">
        <v>10369</v>
      </c>
      <c r="C4051" s="71">
        <v>1</v>
      </c>
      <c r="D4051" s="75">
        <f t="shared" si="65"/>
        <v>1.402898388069752E-5</v>
      </c>
    </row>
    <row r="4052" spans="2:4" x14ac:dyDescent="0.25">
      <c r="B4052" t="s">
        <v>10370</v>
      </c>
      <c r="C4052" s="71">
        <v>1</v>
      </c>
      <c r="D4052" s="75">
        <f t="shared" si="65"/>
        <v>1.402898388069752E-5</v>
      </c>
    </row>
    <row r="4053" spans="2:4" x14ac:dyDescent="0.25">
      <c r="B4053" t="s">
        <v>10371</v>
      </c>
      <c r="C4053" s="71">
        <v>1</v>
      </c>
      <c r="D4053" s="75">
        <f t="shared" si="65"/>
        <v>1.402898388069752E-5</v>
      </c>
    </row>
    <row r="4054" spans="2:4" x14ac:dyDescent="0.25">
      <c r="B4054" t="s">
        <v>10372</v>
      </c>
      <c r="C4054" s="71">
        <v>1</v>
      </c>
      <c r="D4054" s="75">
        <f t="shared" si="65"/>
        <v>1.402898388069752E-5</v>
      </c>
    </row>
    <row r="4055" spans="2:4" x14ac:dyDescent="0.25">
      <c r="B4055" t="s">
        <v>10373</v>
      </c>
      <c r="C4055" s="71">
        <v>1</v>
      </c>
      <c r="D4055" s="75">
        <f t="shared" si="65"/>
        <v>1.402898388069752E-5</v>
      </c>
    </row>
    <row r="4056" spans="2:4" x14ac:dyDescent="0.25">
      <c r="B4056" t="s">
        <v>10374</v>
      </c>
      <c r="C4056" s="71">
        <v>1</v>
      </c>
      <c r="D4056" s="75">
        <f t="shared" si="65"/>
        <v>1.402898388069752E-5</v>
      </c>
    </row>
    <row r="4057" spans="2:4" x14ac:dyDescent="0.25">
      <c r="B4057" t="s">
        <v>10375</v>
      </c>
      <c r="C4057" s="71">
        <v>1</v>
      </c>
      <c r="D4057" s="75">
        <f t="shared" si="65"/>
        <v>1.402898388069752E-5</v>
      </c>
    </row>
    <row r="4058" spans="2:4" x14ac:dyDescent="0.25">
      <c r="B4058" t="s">
        <v>10376</v>
      </c>
      <c r="C4058" s="71">
        <v>1</v>
      </c>
      <c r="D4058" s="75">
        <f t="shared" si="65"/>
        <v>1.402898388069752E-5</v>
      </c>
    </row>
    <row r="4059" spans="2:4" x14ac:dyDescent="0.25">
      <c r="B4059" t="s">
        <v>10377</v>
      </c>
      <c r="C4059" s="71">
        <v>1</v>
      </c>
      <c r="D4059" s="75">
        <f t="shared" si="65"/>
        <v>1.402898388069752E-5</v>
      </c>
    </row>
    <row r="4060" spans="2:4" x14ac:dyDescent="0.25">
      <c r="B4060" t="s">
        <v>10378</v>
      </c>
      <c r="C4060" s="71">
        <v>1</v>
      </c>
      <c r="D4060" s="75">
        <f t="shared" si="65"/>
        <v>1.402898388069752E-5</v>
      </c>
    </row>
    <row r="4061" spans="2:4" x14ac:dyDescent="0.25">
      <c r="B4061" t="s">
        <v>10379</v>
      </c>
      <c r="C4061" s="71">
        <v>1</v>
      </c>
      <c r="D4061" s="75">
        <f t="shared" si="65"/>
        <v>1.402898388069752E-5</v>
      </c>
    </row>
    <row r="4062" spans="2:4" x14ac:dyDescent="0.25">
      <c r="B4062" t="s">
        <v>10380</v>
      </c>
      <c r="C4062" s="71">
        <v>1</v>
      </c>
      <c r="D4062" s="75">
        <f t="shared" si="65"/>
        <v>1.402898388069752E-5</v>
      </c>
    </row>
    <row r="4063" spans="2:4" x14ac:dyDescent="0.25">
      <c r="B4063" t="s">
        <v>10381</v>
      </c>
      <c r="C4063" s="71">
        <v>1</v>
      </c>
      <c r="D4063" s="75">
        <f t="shared" si="65"/>
        <v>1.402898388069752E-5</v>
      </c>
    </row>
    <row r="4064" spans="2:4" x14ac:dyDescent="0.25">
      <c r="B4064" t="s">
        <v>10382</v>
      </c>
      <c r="C4064" s="71">
        <v>1</v>
      </c>
      <c r="D4064" s="75">
        <f t="shared" si="65"/>
        <v>1.402898388069752E-5</v>
      </c>
    </row>
    <row r="4065" spans="2:4" x14ac:dyDescent="0.25">
      <c r="B4065" t="s">
        <v>10383</v>
      </c>
      <c r="C4065" s="71">
        <v>1</v>
      </c>
      <c r="D4065" s="75">
        <f t="shared" si="65"/>
        <v>1.402898388069752E-5</v>
      </c>
    </row>
    <row r="4066" spans="2:4" x14ac:dyDescent="0.25">
      <c r="B4066" t="s">
        <v>10384</v>
      </c>
      <c r="C4066" s="71">
        <v>1</v>
      </c>
      <c r="D4066" s="75">
        <f t="shared" si="65"/>
        <v>1.402898388069752E-5</v>
      </c>
    </row>
    <row r="4067" spans="2:4" x14ac:dyDescent="0.25">
      <c r="B4067" t="s">
        <v>10385</v>
      </c>
      <c r="C4067" s="71">
        <v>1</v>
      </c>
      <c r="D4067" s="75">
        <f t="shared" si="65"/>
        <v>1.402898388069752E-5</v>
      </c>
    </row>
    <row r="4068" spans="2:4" x14ac:dyDescent="0.25">
      <c r="B4068" t="s">
        <v>10386</v>
      </c>
      <c r="C4068" s="71">
        <v>1</v>
      </c>
      <c r="D4068" s="75">
        <f t="shared" si="65"/>
        <v>1.402898388069752E-5</v>
      </c>
    </row>
    <row r="4069" spans="2:4" x14ac:dyDescent="0.25">
      <c r="B4069" t="s">
        <v>10387</v>
      </c>
      <c r="C4069" s="71">
        <v>1</v>
      </c>
      <c r="D4069" s="75">
        <f t="shared" si="65"/>
        <v>1.402898388069752E-5</v>
      </c>
    </row>
    <row r="4070" spans="2:4" x14ac:dyDescent="0.25">
      <c r="B4070" t="s">
        <v>10388</v>
      </c>
      <c r="C4070" s="71">
        <v>1</v>
      </c>
      <c r="D4070" s="75">
        <f t="shared" si="65"/>
        <v>1.402898388069752E-5</v>
      </c>
    </row>
    <row r="4071" spans="2:4" x14ac:dyDescent="0.25">
      <c r="B4071" t="s">
        <v>10389</v>
      </c>
      <c r="C4071" s="71">
        <v>1</v>
      </c>
      <c r="D4071" s="75">
        <f t="shared" si="65"/>
        <v>1.402898388069752E-5</v>
      </c>
    </row>
    <row r="4072" spans="2:4" x14ac:dyDescent="0.25">
      <c r="B4072" t="s">
        <v>10390</v>
      </c>
      <c r="C4072" s="71">
        <v>1</v>
      </c>
      <c r="D4072" s="75">
        <f t="shared" si="65"/>
        <v>1.402898388069752E-5</v>
      </c>
    </row>
    <row r="4073" spans="2:4" x14ac:dyDescent="0.25">
      <c r="B4073" t="s">
        <v>10391</v>
      </c>
      <c r="C4073" s="71">
        <v>1</v>
      </c>
      <c r="D4073" s="75">
        <f t="shared" si="65"/>
        <v>1.402898388069752E-5</v>
      </c>
    </row>
    <row r="4074" spans="2:4" x14ac:dyDescent="0.25">
      <c r="B4074" t="s">
        <v>10392</v>
      </c>
      <c r="C4074" s="71">
        <v>1</v>
      </c>
      <c r="D4074" s="75">
        <f t="shared" si="65"/>
        <v>1.402898388069752E-5</v>
      </c>
    </row>
    <row r="4075" spans="2:4" x14ac:dyDescent="0.25">
      <c r="B4075" t="s">
        <v>10393</v>
      </c>
      <c r="C4075" s="71">
        <v>1</v>
      </c>
      <c r="D4075" s="75">
        <f t="shared" si="65"/>
        <v>1.402898388069752E-5</v>
      </c>
    </row>
    <row r="4076" spans="2:4" x14ac:dyDescent="0.25">
      <c r="B4076" t="s">
        <v>10394</v>
      </c>
      <c r="C4076" s="71">
        <v>1</v>
      </c>
      <c r="D4076" s="75">
        <f t="shared" si="65"/>
        <v>1.402898388069752E-5</v>
      </c>
    </row>
    <row r="4077" spans="2:4" x14ac:dyDescent="0.25">
      <c r="B4077" t="s">
        <v>10395</v>
      </c>
      <c r="C4077" s="71">
        <v>1</v>
      </c>
      <c r="D4077" s="75">
        <f t="shared" si="65"/>
        <v>1.402898388069752E-5</v>
      </c>
    </row>
    <row r="4078" spans="2:4" x14ac:dyDescent="0.25">
      <c r="B4078" t="s">
        <v>10396</v>
      </c>
      <c r="C4078" s="71">
        <v>1</v>
      </c>
      <c r="D4078" s="75">
        <f t="shared" si="65"/>
        <v>1.402898388069752E-5</v>
      </c>
    </row>
    <row r="4079" spans="2:4" x14ac:dyDescent="0.25">
      <c r="B4079" t="s">
        <v>10397</v>
      </c>
      <c r="C4079" s="71">
        <v>1</v>
      </c>
      <c r="D4079" s="75">
        <f t="shared" si="65"/>
        <v>1.402898388069752E-5</v>
      </c>
    </row>
    <row r="4080" spans="2:4" x14ac:dyDescent="0.25">
      <c r="B4080" t="s">
        <v>10398</v>
      </c>
      <c r="C4080" s="71">
        <v>1</v>
      </c>
      <c r="D4080" s="75">
        <f t="shared" si="65"/>
        <v>1.402898388069752E-5</v>
      </c>
    </row>
    <row r="4081" spans="2:4" x14ac:dyDescent="0.25">
      <c r="B4081" t="s">
        <v>10399</v>
      </c>
      <c r="C4081" s="71">
        <v>1</v>
      </c>
      <c r="D4081" s="75">
        <f t="shared" si="65"/>
        <v>1.402898388069752E-5</v>
      </c>
    </row>
    <row r="4082" spans="2:4" x14ac:dyDescent="0.25">
      <c r="B4082" t="s">
        <v>10400</v>
      </c>
      <c r="C4082" s="71">
        <v>1</v>
      </c>
      <c r="D4082" s="75">
        <f t="shared" si="65"/>
        <v>1.402898388069752E-5</v>
      </c>
    </row>
    <row r="4083" spans="2:4" x14ac:dyDescent="0.25">
      <c r="B4083" t="s">
        <v>10401</v>
      </c>
      <c r="C4083" s="71">
        <v>1</v>
      </c>
      <c r="D4083" s="75">
        <f t="shared" si="65"/>
        <v>1.402898388069752E-5</v>
      </c>
    </row>
    <row r="4084" spans="2:4" x14ac:dyDescent="0.25">
      <c r="B4084" t="s">
        <v>10402</v>
      </c>
      <c r="C4084" s="71">
        <v>1</v>
      </c>
      <c r="D4084" s="75">
        <f t="shared" si="65"/>
        <v>1.402898388069752E-5</v>
      </c>
    </row>
    <row r="4085" spans="2:4" x14ac:dyDescent="0.25">
      <c r="B4085" t="s">
        <v>10403</v>
      </c>
      <c r="C4085" s="71">
        <v>1</v>
      </c>
      <c r="D4085" s="75">
        <f t="shared" si="65"/>
        <v>1.402898388069752E-5</v>
      </c>
    </row>
    <row r="4086" spans="2:4" x14ac:dyDescent="0.25">
      <c r="B4086" t="s">
        <v>10404</v>
      </c>
      <c r="C4086" s="71">
        <v>1</v>
      </c>
      <c r="D4086" s="75">
        <f t="shared" si="65"/>
        <v>1.402898388069752E-5</v>
      </c>
    </row>
    <row r="4087" spans="2:4" x14ac:dyDescent="0.25">
      <c r="B4087" t="s">
        <v>10405</v>
      </c>
      <c r="C4087" s="71">
        <v>1</v>
      </c>
      <c r="D4087" s="75">
        <f t="shared" si="65"/>
        <v>1.402898388069752E-5</v>
      </c>
    </row>
    <row r="4088" spans="2:4" x14ac:dyDescent="0.25">
      <c r="B4088" t="s">
        <v>10406</v>
      </c>
      <c r="C4088" s="71">
        <v>1</v>
      </c>
      <c r="D4088" s="75">
        <f t="shared" si="65"/>
        <v>1.402898388069752E-5</v>
      </c>
    </row>
    <row r="4089" spans="2:4" x14ac:dyDescent="0.25">
      <c r="B4089" t="s">
        <v>10407</v>
      </c>
      <c r="C4089" s="71">
        <v>1</v>
      </c>
      <c r="D4089" s="75">
        <f t="shared" si="65"/>
        <v>1.402898388069752E-5</v>
      </c>
    </row>
    <row r="4090" spans="2:4" x14ac:dyDescent="0.25">
      <c r="B4090" t="s">
        <v>10408</v>
      </c>
      <c r="C4090" s="71">
        <v>1</v>
      </c>
      <c r="D4090" s="75">
        <f t="shared" si="65"/>
        <v>1.402898388069752E-5</v>
      </c>
    </row>
    <row r="4091" spans="2:4" x14ac:dyDescent="0.25">
      <c r="B4091" t="s">
        <v>10409</v>
      </c>
      <c r="C4091" s="71">
        <v>1</v>
      </c>
      <c r="D4091" s="75">
        <f t="shared" si="65"/>
        <v>1.402898388069752E-5</v>
      </c>
    </row>
    <row r="4092" spans="2:4" x14ac:dyDescent="0.25">
      <c r="B4092" t="s">
        <v>10410</v>
      </c>
      <c r="C4092" s="71">
        <v>1</v>
      </c>
      <c r="D4092" s="75">
        <f t="shared" si="65"/>
        <v>1.402898388069752E-5</v>
      </c>
    </row>
    <row r="4093" spans="2:4" x14ac:dyDescent="0.25">
      <c r="B4093" t="s">
        <v>10411</v>
      </c>
      <c r="C4093" s="71">
        <v>1</v>
      </c>
      <c r="D4093" s="75">
        <f t="shared" si="65"/>
        <v>1.402898388069752E-5</v>
      </c>
    </row>
    <row r="4094" spans="2:4" x14ac:dyDescent="0.25">
      <c r="B4094" t="s">
        <v>10412</v>
      </c>
      <c r="C4094" s="71">
        <v>1</v>
      </c>
      <c r="D4094" s="75">
        <f t="shared" si="65"/>
        <v>1.402898388069752E-5</v>
      </c>
    </row>
    <row r="4095" spans="2:4" x14ac:dyDescent="0.25">
      <c r="B4095" t="s">
        <v>10413</v>
      </c>
      <c r="C4095" s="71">
        <v>1</v>
      </c>
      <c r="D4095" s="75">
        <f t="shared" si="65"/>
        <v>1.402898388069752E-5</v>
      </c>
    </row>
    <row r="4096" spans="2:4" x14ac:dyDescent="0.25">
      <c r="B4096" t="s">
        <v>10414</v>
      </c>
      <c r="C4096" s="71">
        <v>1</v>
      </c>
      <c r="D4096" s="75">
        <f t="shared" si="65"/>
        <v>1.402898388069752E-5</v>
      </c>
    </row>
    <row r="4097" spans="2:4" x14ac:dyDescent="0.25">
      <c r="B4097" t="s">
        <v>10415</v>
      </c>
      <c r="C4097" s="71">
        <v>1</v>
      </c>
      <c r="D4097" s="75">
        <f t="shared" si="65"/>
        <v>1.402898388069752E-5</v>
      </c>
    </row>
    <row r="4098" spans="2:4" x14ac:dyDescent="0.25">
      <c r="B4098" t="s">
        <v>10416</v>
      </c>
      <c r="C4098" s="71">
        <v>1</v>
      </c>
      <c r="D4098" s="75">
        <f t="shared" si="65"/>
        <v>1.402898388069752E-5</v>
      </c>
    </row>
    <row r="4099" spans="2:4" x14ac:dyDescent="0.25">
      <c r="B4099" t="s">
        <v>10417</v>
      </c>
      <c r="C4099" s="71">
        <v>1</v>
      </c>
      <c r="D4099" s="75">
        <f t="shared" si="65"/>
        <v>1.402898388069752E-5</v>
      </c>
    </row>
    <row r="4100" spans="2:4" x14ac:dyDescent="0.25">
      <c r="B4100" t="s">
        <v>10418</v>
      </c>
      <c r="C4100" s="71">
        <v>1</v>
      </c>
      <c r="D4100" s="75">
        <f t="shared" si="65"/>
        <v>1.402898388069752E-5</v>
      </c>
    </row>
    <row r="4101" spans="2:4" x14ac:dyDescent="0.25">
      <c r="B4101" t="s">
        <v>10419</v>
      </c>
      <c r="C4101" s="71">
        <v>1</v>
      </c>
      <c r="D4101" s="75">
        <f t="shared" si="65"/>
        <v>1.402898388069752E-5</v>
      </c>
    </row>
    <row r="4102" spans="2:4" x14ac:dyDescent="0.25">
      <c r="B4102" t="s">
        <v>10420</v>
      </c>
      <c r="C4102" s="71">
        <v>1</v>
      </c>
      <c r="D4102" s="75">
        <f t="shared" ref="D4102:D4165" si="66">C4102/$C$4822</f>
        <v>1.402898388069752E-5</v>
      </c>
    </row>
    <row r="4103" spans="2:4" x14ac:dyDescent="0.25">
      <c r="B4103" t="s">
        <v>10421</v>
      </c>
      <c r="C4103" s="71">
        <v>1</v>
      </c>
      <c r="D4103" s="75">
        <f t="shared" si="66"/>
        <v>1.402898388069752E-5</v>
      </c>
    </row>
    <row r="4104" spans="2:4" x14ac:dyDescent="0.25">
      <c r="B4104" t="s">
        <v>10422</v>
      </c>
      <c r="C4104" s="71">
        <v>1</v>
      </c>
      <c r="D4104" s="75">
        <f t="shared" si="66"/>
        <v>1.402898388069752E-5</v>
      </c>
    </row>
    <row r="4105" spans="2:4" x14ac:dyDescent="0.25">
      <c r="B4105" t="s">
        <v>10423</v>
      </c>
      <c r="C4105" s="71">
        <v>1</v>
      </c>
      <c r="D4105" s="75">
        <f t="shared" si="66"/>
        <v>1.402898388069752E-5</v>
      </c>
    </row>
    <row r="4106" spans="2:4" x14ac:dyDescent="0.25">
      <c r="B4106" t="s">
        <v>10424</v>
      </c>
      <c r="C4106" s="71">
        <v>1</v>
      </c>
      <c r="D4106" s="75">
        <f t="shared" si="66"/>
        <v>1.402898388069752E-5</v>
      </c>
    </row>
    <row r="4107" spans="2:4" x14ac:dyDescent="0.25">
      <c r="B4107" t="s">
        <v>10425</v>
      </c>
      <c r="C4107" s="71">
        <v>1</v>
      </c>
      <c r="D4107" s="75">
        <f t="shared" si="66"/>
        <v>1.402898388069752E-5</v>
      </c>
    </row>
    <row r="4108" spans="2:4" x14ac:dyDescent="0.25">
      <c r="B4108" t="s">
        <v>10426</v>
      </c>
      <c r="C4108" s="71">
        <v>1</v>
      </c>
      <c r="D4108" s="75">
        <f t="shared" si="66"/>
        <v>1.402898388069752E-5</v>
      </c>
    </row>
    <row r="4109" spans="2:4" x14ac:dyDescent="0.25">
      <c r="B4109" t="s">
        <v>10427</v>
      </c>
      <c r="C4109" s="71">
        <v>1</v>
      </c>
      <c r="D4109" s="75">
        <f t="shared" si="66"/>
        <v>1.402898388069752E-5</v>
      </c>
    </row>
    <row r="4110" spans="2:4" x14ac:dyDescent="0.25">
      <c r="B4110" t="s">
        <v>10428</v>
      </c>
      <c r="C4110" s="71">
        <v>1</v>
      </c>
      <c r="D4110" s="75">
        <f t="shared" si="66"/>
        <v>1.402898388069752E-5</v>
      </c>
    </row>
    <row r="4111" spans="2:4" x14ac:dyDescent="0.25">
      <c r="B4111" t="e">
        <f>---amadjian</f>
        <v>#NAME?</v>
      </c>
      <c r="C4111" s="71">
        <v>1</v>
      </c>
      <c r="D4111" s="75">
        <f t="shared" si="66"/>
        <v>1.402898388069752E-5</v>
      </c>
    </row>
    <row r="4112" spans="2:4" x14ac:dyDescent="0.25">
      <c r="B4112" t="s">
        <v>10429</v>
      </c>
      <c r="C4112" s="71">
        <v>1</v>
      </c>
      <c r="D4112" s="75">
        <f t="shared" si="66"/>
        <v>1.402898388069752E-5</v>
      </c>
    </row>
    <row r="4113" spans="2:4" x14ac:dyDescent="0.25">
      <c r="B4113" t="s">
        <v>10430</v>
      </c>
      <c r="C4113" s="71">
        <v>1</v>
      </c>
      <c r="D4113" s="75">
        <f t="shared" si="66"/>
        <v>1.402898388069752E-5</v>
      </c>
    </row>
    <row r="4114" spans="2:4" x14ac:dyDescent="0.25">
      <c r="B4114" t="s">
        <v>10431</v>
      </c>
      <c r="C4114" s="71">
        <v>1</v>
      </c>
      <c r="D4114" s="75">
        <f t="shared" si="66"/>
        <v>1.402898388069752E-5</v>
      </c>
    </row>
    <row r="4115" spans="2:4" x14ac:dyDescent="0.25">
      <c r="B4115" t="s">
        <v>10432</v>
      </c>
      <c r="C4115" s="71">
        <v>1</v>
      </c>
      <c r="D4115" s="75">
        <f t="shared" si="66"/>
        <v>1.402898388069752E-5</v>
      </c>
    </row>
    <row r="4116" spans="2:4" x14ac:dyDescent="0.25">
      <c r="B4116" t="s">
        <v>10433</v>
      </c>
      <c r="C4116" s="71">
        <v>1</v>
      </c>
      <c r="D4116" s="75">
        <f t="shared" si="66"/>
        <v>1.402898388069752E-5</v>
      </c>
    </row>
    <row r="4117" spans="2:4" x14ac:dyDescent="0.25">
      <c r="B4117" t="s">
        <v>10434</v>
      </c>
      <c r="C4117" s="71">
        <v>1</v>
      </c>
      <c r="D4117" s="75">
        <f t="shared" si="66"/>
        <v>1.402898388069752E-5</v>
      </c>
    </row>
    <row r="4118" spans="2:4" x14ac:dyDescent="0.25">
      <c r="B4118" t="s">
        <v>10435</v>
      </c>
      <c r="C4118" s="71">
        <v>1</v>
      </c>
      <c r="D4118" s="75">
        <f t="shared" si="66"/>
        <v>1.402898388069752E-5</v>
      </c>
    </row>
    <row r="4119" spans="2:4" x14ac:dyDescent="0.25">
      <c r="B4119" t="s">
        <v>10436</v>
      </c>
      <c r="C4119" s="71">
        <v>1</v>
      </c>
      <c r="D4119" s="75">
        <f t="shared" si="66"/>
        <v>1.402898388069752E-5</v>
      </c>
    </row>
    <row r="4120" spans="2:4" x14ac:dyDescent="0.25">
      <c r="B4120" t="s">
        <v>10437</v>
      </c>
      <c r="C4120" s="71">
        <v>1</v>
      </c>
      <c r="D4120" s="75">
        <f t="shared" si="66"/>
        <v>1.402898388069752E-5</v>
      </c>
    </row>
    <row r="4121" spans="2:4" x14ac:dyDescent="0.25">
      <c r="B4121" t="s">
        <v>10438</v>
      </c>
      <c r="C4121" s="71">
        <v>1</v>
      </c>
      <c r="D4121" s="75">
        <f t="shared" si="66"/>
        <v>1.402898388069752E-5</v>
      </c>
    </row>
    <row r="4122" spans="2:4" x14ac:dyDescent="0.25">
      <c r="B4122" t="s">
        <v>10439</v>
      </c>
      <c r="C4122" s="71">
        <v>1</v>
      </c>
      <c r="D4122" s="75">
        <f t="shared" si="66"/>
        <v>1.402898388069752E-5</v>
      </c>
    </row>
    <row r="4123" spans="2:4" x14ac:dyDescent="0.25">
      <c r="B4123" t="s">
        <v>10440</v>
      </c>
      <c r="C4123" s="71">
        <v>1</v>
      </c>
      <c r="D4123" s="75">
        <f t="shared" si="66"/>
        <v>1.402898388069752E-5</v>
      </c>
    </row>
    <row r="4124" spans="2:4" x14ac:dyDescent="0.25">
      <c r="B4124" t="s">
        <v>10441</v>
      </c>
      <c r="C4124" s="71">
        <v>1</v>
      </c>
      <c r="D4124" s="75">
        <f t="shared" si="66"/>
        <v>1.402898388069752E-5</v>
      </c>
    </row>
    <row r="4125" spans="2:4" x14ac:dyDescent="0.25">
      <c r="B4125" t="s">
        <v>10442</v>
      </c>
      <c r="C4125" s="71">
        <v>1</v>
      </c>
      <c r="D4125" s="75">
        <f t="shared" si="66"/>
        <v>1.402898388069752E-5</v>
      </c>
    </row>
    <row r="4126" spans="2:4" x14ac:dyDescent="0.25">
      <c r="B4126" t="s">
        <v>10443</v>
      </c>
      <c r="C4126" s="71">
        <v>1</v>
      </c>
      <c r="D4126" s="75">
        <f t="shared" si="66"/>
        <v>1.402898388069752E-5</v>
      </c>
    </row>
    <row r="4127" spans="2:4" x14ac:dyDescent="0.25">
      <c r="B4127" t="s">
        <v>10444</v>
      </c>
      <c r="C4127" s="71">
        <v>1</v>
      </c>
      <c r="D4127" s="75">
        <f t="shared" si="66"/>
        <v>1.402898388069752E-5</v>
      </c>
    </row>
    <row r="4128" spans="2:4" x14ac:dyDescent="0.25">
      <c r="B4128" t="s">
        <v>10445</v>
      </c>
      <c r="C4128" s="71">
        <v>1</v>
      </c>
      <c r="D4128" s="75">
        <f t="shared" si="66"/>
        <v>1.402898388069752E-5</v>
      </c>
    </row>
    <row r="4129" spans="2:4" x14ac:dyDescent="0.25">
      <c r="B4129" t="s">
        <v>10446</v>
      </c>
      <c r="C4129" s="71">
        <v>1</v>
      </c>
      <c r="D4129" s="75">
        <f t="shared" si="66"/>
        <v>1.402898388069752E-5</v>
      </c>
    </row>
    <row r="4130" spans="2:4" x14ac:dyDescent="0.25">
      <c r="B4130" t="s">
        <v>10447</v>
      </c>
      <c r="C4130" s="71">
        <v>1</v>
      </c>
      <c r="D4130" s="75">
        <f t="shared" si="66"/>
        <v>1.402898388069752E-5</v>
      </c>
    </row>
    <row r="4131" spans="2:4" x14ac:dyDescent="0.25">
      <c r="B4131" t="s">
        <v>10448</v>
      </c>
      <c r="C4131" s="71">
        <v>1</v>
      </c>
      <c r="D4131" s="75">
        <f t="shared" si="66"/>
        <v>1.402898388069752E-5</v>
      </c>
    </row>
    <row r="4132" spans="2:4" x14ac:dyDescent="0.25">
      <c r="B4132" t="s">
        <v>10449</v>
      </c>
      <c r="C4132" s="71">
        <v>1</v>
      </c>
      <c r="D4132" s="75">
        <f t="shared" si="66"/>
        <v>1.402898388069752E-5</v>
      </c>
    </row>
    <row r="4133" spans="2:4" x14ac:dyDescent="0.25">
      <c r="B4133" t="s">
        <v>10450</v>
      </c>
      <c r="C4133" s="71">
        <v>1</v>
      </c>
      <c r="D4133" s="75">
        <f t="shared" si="66"/>
        <v>1.402898388069752E-5</v>
      </c>
    </row>
    <row r="4134" spans="2:4" x14ac:dyDescent="0.25">
      <c r="B4134" t="s">
        <v>10451</v>
      </c>
      <c r="C4134" s="71">
        <v>1</v>
      </c>
      <c r="D4134" s="75">
        <f t="shared" si="66"/>
        <v>1.402898388069752E-5</v>
      </c>
    </row>
    <row r="4135" spans="2:4" x14ac:dyDescent="0.25">
      <c r="B4135" t="s">
        <v>10452</v>
      </c>
      <c r="C4135" s="71">
        <v>1</v>
      </c>
      <c r="D4135" s="75">
        <f t="shared" si="66"/>
        <v>1.402898388069752E-5</v>
      </c>
    </row>
    <row r="4136" spans="2:4" x14ac:dyDescent="0.25">
      <c r="B4136" t="s">
        <v>10453</v>
      </c>
      <c r="C4136" s="71">
        <v>1</v>
      </c>
      <c r="D4136" s="75">
        <f t="shared" si="66"/>
        <v>1.402898388069752E-5</v>
      </c>
    </row>
    <row r="4137" spans="2:4" x14ac:dyDescent="0.25">
      <c r="B4137" t="s">
        <v>10454</v>
      </c>
      <c r="C4137" s="71">
        <v>1</v>
      </c>
      <c r="D4137" s="75">
        <f t="shared" si="66"/>
        <v>1.402898388069752E-5</v>
      </c>
    </row>
    <row r="4138" spans="2:4" x14ac:dyDescent="0.25">
      <c r="B4138" t="s">
        <v>10455</v>
      </c>
      <c r="C4138" s="71">
        <v>1</v>
      </c>
      <c r="D4138" s="75">
        <f t="shared" si="66"/>
        <v>1.402898388069752E-5</v>
      </c>
    </row>
    <row r="4139" spans="2:4" x14ac:dyDescent="0.25">
      <c r="B4139" t="s">
        <v>10456</v>
      </c>
      <c r="C4139" s="71">
        <v>1</v>
      </c>
      <c r="D4139" s="75">
        <f t="shared" si="66"/>
        <v>1.402898388069752E-5</v>
      </c>
    </row>
    <row r="4140" spans="2:4" x14ac:dyDescent="0.25">
      <c r="B4140" t="s">
        <v>10457</v>
      </c>
      <c r="C4140" s="71">
        <v>1</v>
      </c>
      <c r="D4140" s="75">
        <f t="shared" si="66"/>
        <v>1.402898388069752E-5</v>
      </c>
    </row>
    <row r="4141" spans="2:4" x14ac:dyDescent="0.25">
      <c r="B4141" t="s">
        <v>10458</v>
      </c>
      <c r="C4141" s="71">
        <v>1</v>
      </c>
      <c r="D4141" s="75">
        <f t="shared" si="66"/>
        <v>1.402898388069752E-5</v>
      </c>
    </row>
    <row r="4142" spans="2:4" x14ac:dyDescent="0.25">
      <c r="B4142" t="s">
        <v>10459</v>
      </c>
      <c r="C4142" s="71">
        <v>1</v>
      </c>
      <c r="D4142" s="75">
        <f t="shared" si="66"/>
        <v>1.402898388069752E-5</v>
      </c>
    </row>
    <row r="4143" spans="2:4" x14ac:dyDescent="0.25">
      <c r="B4143" t="s">
        <v>10460</v>
      </c>
      <c r="C4143" s="71">
        <v>1</v>
      </c>
      <c r="D4143" s="75">
        <f t="shared" si="66"/>
        <v>1.402898388069752E-5</v>
      </c>
    </row>
    <row r="4144" spans="2:4" x14ac:dyDescent="0.25">
      <c r="B4144" t="s">
        <v>10461</v>
      </c>
      <c r="C4144" s="71">
        <v>1</v>
      </c>
      <c r="D4144" s="75">
        <f t="shared" si="66"/>
        <v>1.402898388069752E-5</v>
      </c>
    </row>
    <row r="4145" spans="2:4" x14ac:dyDescent="0.25">
      <c r="B4145" t="s">
        <v>10462</v>
      </c>
      <c r="C4145" s="71">
        <v>1</v>
      </c>
      <c r="D4145" s="75">
        <f t="shared" si="66"/>
        <v>1.402898388069752E-5</v>
      </c>
    </row>
    <row r="4146" spans="2:4" x14ac:dyDescent="0.25">
      <c r="B4146" t="s">
        <v>10463</v>
      </c>
      <c r="C4146" s="71">
        <v>1</v>
      </c>
      <c r="D4146" s="75">
        <f t="shared" si="66"/>
        <v>1.402898388069752E-5</v>
      </c>
    </row>
    <row r="4147" spans="2:4" x14ac:dyDescent="0.25">
      <c r="B4147" t="s">
        <v>10464</v>
      </c>
      <c r="C4147" s="71">
        <v>1</v>
      </c>
      <c r="D4147" s="75">
        <f t="shared" si="66"/>
        <v>1.402898388069752E-5</v>
      </c>
    </row>
    <row r="4148" spans="2:4" x14ac:dyDescent="0.25">
      <c r="B4148" t="s">
        <v>10465</v>
      </c>
      <c r="C4148" s="71">
        <v>1</v>
      </c>
      <c r="D4148" s="75">
        <f t="shared" si="66"/>
        <v>1.402898388069752E-5</v>
      </c>
    </row>
    <row r="4149" spans="2:4" x14ac:dyDescent="0.25">
      <c r="B4149" t="s">
        <v>10466</v>
      </c>
      <c r="C4149" s="71">
        <v>1</v>
      </c>
      <c r="D4149" s="75">
        <f t="shared" si="66"/>
        <v>1.402898388069752E-5</v>
      </c>
    </row>
    <row r="4150" spans="2:4" x14ac:dyDescent="0.25">
      <c r="B4150" t="s">
        <v>10467</v>
      </c>
      <c r="C4150" s="71">
        <v>1</v>
      </c>
      <c r="D4150" s="75">
        <f t="shared" si="66"/>
        <v>1.402898388069752E-5</v>
      </c>
    </row>
    <row r="4151" spans="2:4" x14ac:dyDescent="0.25">
      <c r="B4151" t="s">
        <v>10468</v>
      </c>
      <c r="C4151" s="71">
        <v>1</v>
      </c>
      <c r="D4151" s="75">
        <f t="shared" si="66"/>
        <v>1.402898388069752E-5</v>
      </c>
    </row>
    <row r="4152" spans="2:4" x14ac:dyDescent="0.25">
      <c r="B4152" t="s">
        <v>10469</v>
      </c>
      <c r="C4152" s="71">
        <v>1</v>
      </c>
      <c r="D4152" s="75">
        <f t="shared" si="66"/>
        <v>1.402898388069752E-5</v>
      </c>
    </row>
    <row r="4153" spans="2:4" x14ac:dyDescent="0.25">
      <c r="B4153" t="s">
        <v>10470</v>
      </c>
      <c r="C4153" s="71">
        <v>1</v>
      </c>
      <c r="D4153" s="75">
        <f t="shared" si="66"/>
        <v>1.402898388069752E-5</v>
      </c>
    </row>
    <row r="4154" spans="2:4" x14ac:dyDescent="0.25">
      <c r="B4154" t="s">
        <v>10471</v>
      </c>
      <c r="C4154" s="71">
        <v>1</v>
      </c>
      <c r="D4154" s="75">
        <f t="shared" si="66"/>
        <v>1.402898388069752E-5</v>
      </c>
    </row>
    <row r="4155" spans="2:4" x14ac:dyDescent="0.25">
      <c r="B4155" t="s">
        <v>10472</v>
      </c>
      <c r="C4155" s="71">
        <v>1</v>
      </c>
      <c r="D4155" s="75">
        <f t="shared" si="66"/>
        <v>1.402898388069752E-5</v>
      </c>
    </row>
    <row r="4156" spans="2:4" x14ac:dyDescent="0.25">
      <c r="B4156" t="s">
        <v>10473</v>
      </c>
      <c r="C4156" s="71">
        <v>1</v>
      </c>
      <c r="D4156" s="75">
        <f t="shared" si="66"/>
        <v>1.402898388069752E-5</v>
      </c>
    </row>
    <row r="4157" spans="2:4" x14ac:dyDescent="0.25">
      <c r="B4157" t="s">
        <v>10474</v>
      </c>
      <c r="C4157" s="71">
        <v>1</v>
      </c>
      <c r="D4157" s="75">
        <f t="shared" si="66"/>
        <v>1.402898388069752E-5</v>
      </c>
    </row>
    <row r="4158" spans="2:4" x14ac:dyDescent="0.25">
      <c r="B4158" t="s">
        <v>10475</v>
      </c>
      <c r="C4158" s="71">
        <v>1</v>
      </c>
      <c r="D4158" s="75">
        <f t="shared" si="66"/>
        <v>1.402898388069752E-5</v>
      </c>
    </row>
    <row r="4159" spans="2:4" x14ac:dyDescent="0.25">
      <c r="B4159" t="s">
        <v>10476</v>
      </c>
      <c r="C4159" s="71">
        <v>1</v>
      </c>
      <c r="D4159" s="75">
        <f t="shared" si="66"/>
        <v>1.402898388069752E-5</v>
      </c>
    </row>
    <row r="4160" spans="2:4" x14ac:dyDescent="0.25">
      <c r="B4160" t="s">
        <v>10477</v>
      </c>
      <c r="C4160" s="71">
        <v>1</v>
      </c>
      <c r="D4160" s="75">
        <f t="shared" si="66"/>
        <v>1.402898388069752E-5</v>
      </c>
    </row>
    <row r="4161" spans="2:4" x14ac:dyDescent="0.25">
      <c r="B4161" t="s">
        <v>10478</v>
      </c>
      <c r="C4161" s="71">
        <v>1</v>
      </c>
      <c r="D4161" s="75">
        <f t="shared" si="66"/>
        <v>1.402898388069752E-5</v>
      </c>
    </row>
    <row r="4162" spans="2:4" x14ac:dyDescent="0.25">
      <c r="B4162" t="s">
        <v>10479</v>
      </c>
      <c r="C4162" s="71">
        <v>1</v>
      </c>
      <c r="D4162" s="75">
        <f t="shared" si="66"/>
        <v>1.402898388069752E-5</v>
      </c>
    </row>
    <row r="4163" spans="2:4" x14ac:dyDescent="0.25">
      <c r="B4163" t="s">
        <v>10480</v>
      </c>
      <c r="C4163" s="71">
        <v>1</v>
      </c>
      <c r="D4163" s="75">
        <f t="shared" si="66"/>
        <v>1.402898388069752E-5</v>
      </c>
    </row>
    <row r="4164" spans="2:4" x14ac:dyDescent="0.25">
      <c r="B4164" t="s">
        <v>10481</v>
      </c>
      <c r="C4164" s="71">
        <v>1</v>
      </c>
      <c r="D4164" s="75">
        <f t="shared" si="66"/>
        <v>1.402898388069752E-5</v>
      </c>
    </row>
    <row r="4165" spans="2:4" x14ac:dyDescent="0.25">
      <c r="B4165" t="s">
        <v>10482</v>
      </c>
      <c r="C4165" s="71">
        <v>1</v>
      </c>
      <c r="D4165" s="75">
        <f t="shared" si="66"/>
        <v>1.402898388069752E-5</v>
      </c>
    </row>
    <row r="4166" spans="2:4" x14ac:dyDescent="0.25">
      <c r="B4166" t="s">
        <v>10483</v>
      </c>
      <c r="C4166" s="71">
        <v>1</v>
      </c>
      <c r="D4166" s="75">
        <f t="shared" ref="D4166:D4229" si="67">C4166/$C$4822</f>
        <v>1.402898388069752E-5</v>
      </c>
    </row>
    <row r="4167" spans="2:4" x14ac:dyDescent="0.25">
      <c r="B4167" t="s">
        <v>10484</v>
      </c>
      <c r="C4167" s="71">
        <v>1</v>
      </c>
      <c r="D4167" s="75">
        <f t="shared" si="67"/>
        <v>1.402898388069752E-5</v>
      </c>
    </row>
    <row r="4168" spans="2:4" x14ac:dyDescent="0.25">
      <c r="B4168" t="s">
        <v>10485</v>
      </c>
      <c r="C4168" s="71">
        <v>1</v>
      </c>
      <c r="D4168" s="75">
        <f t="shared" si="67"/>
        <v>1.402898388069752E-5</v>
      </c>
    </row>
    <row r="4169" spans="2:4" x14ac:dyDescent="0.25">
      <c r="B4169" t="s">
        <v>10486</v>
      </c>
      <c r="C4169" s="71">
        <v>1</v>
      </c>
      <c r="D4169" s="75">
        <f t="shared" si="67"/>
        <v>1.402898388069752E-5</v>
      </c>
    </row>
    <row r="4170" spans="2:4" x14ac:dyDescent="0.25">
      <c r="B4170" t="s">
        <v>10487</v>
      </c>
      <c r="C4170" s="71">
        <v>1</v>
      </c>
      <c r="D4170" s="75">
        <f t="shared" si="67"/>
        <v>1.402898388069752E-5</v>
      </c>
    </row>
    <row r="4171" spans="2:4" x14ac:dyDescent="0.25">
      <c r="B4171" t="s">
        <v>10488</v>
      </c>
      <c r="C4171" s="71">
        <v>1</v>
      </c>
      <c r="D4171" s="75">
        <f t="shared" si="67"/>
        <v>1.402898388069752E-5</v>
      </c>
    </row>
    <row r="4172" spans="2:4" x14ac:dyDescent="0.25">
      <c r="B4172" t="s">
        <v>10489</v>
      </c>
      <c r="C4172" s="71">
        <v>1</v>
      </c>
      <c r="D4172" s="75">
        <f t="shared" si="67"/>
        <v>1.402898388069752E-5</v>
      </c>
    </row>
    <row r="4173" spans="2:4" x14ac:dyDescent="0.25">
      <c r="B4173" t="s">
        <v>10490</v>
      </c>
      <c r="C4173" s="71">
        <v>1</v>
      </c>
      <c r="D4173" s="75">
        <f t="shared" si="67"/>
        <v>1.402898388069752E-5</v>
      </c>
    </row>
    <row r="4174" spans="2:4" x14ac:dyDescent="0.25">
      <c r="B4174" t="s">
        <v>10491</v>
      </c>
      <c r="C4174" s="71">
        <v>1</v>
      </c>
      <c r="D4174" s="75">
        <f t="shared" si="67"/>
        <v>1.402898388069752E-5</v>
      </c>
    </row>
    <row r="4175" spans="2:4" x14ac:dyDescent="0.25">
      <c r="B4175" t="s">
        <v>10492</v>
      </c>
      <c r="C4175" s="71">
        <v>1</v>
      </c>
      <c r="D4175" s="75">
        <f t="shared" si="67"/>
        <v>1.402898388069752E-5</v>
      </c>
    </row>
    <row r="4176" spans="2:4" x14ac:dyDescent="0.25">
      <c r="B4176" t="s">
        <v>10493</v>
      </c>
      <c r="C4176" s="71">
        <v>1</v>
      </c>
      <c r="D4176" s="75">
        <f t="shared" si="67"/>
        <v>1.402898388069752E-5</v>
      </c>
    </row>
    <row r="4177" spans="2:4" x14ac:dyDescent="0.25">
      <c r="B4177" t="s">
        <v>10494</v>
      </c>
      <c r="C4177" s="71">
        <v>1</v>
      </c>
      <c r="D4177" s="75">
        <f t="shared" si="67"/>
        <v>1.402898388069752E-5</v>
      </c>
    </row>
    <row r="4178" spans="2:4" x14ac:dyDescent="0.25">
      <c r="B4178" t="s">
        <v>10495</v>
      </c>
      <c r="C4178" s="71">
        <v>1</v>
      </c>
      <c r="D4178" s="75">
        <f t="shared" si="67"/>
        <v>1.402898388069752E-5</v>
      </c>
    </row>
    <row r="4179" spans="2:4" x14ac:dyDescent="0.25">
      <c r="B4179" t="s">
        <v>10496</v>
      </c>
      <c r="C4179" s="71">
        <v>1</v>
      </c>
      <c r="D4179" s="75">
        <f t="shared" si="67"/>
        <v>1.402898388069752E-5</v>
      </c>
    </row>
    <row r="4180" spans="2:4" x14ac:dyDescent="0.25">
      <c r="B4180" t="s">
        <v>10497</v>
      </c>
      <c r="C4180" s="71">
        <v>1</v>
      </c>
      <c r="D4180" s="75">
        <f t="shared" si="67"/>
        <v>1.402898388069752E-5</v>
      </c>
    </row>
    <row r="4181" spans="2:4" x14ac:dyDescent="0.25">
      <c r="B4181" t="s">
        <v>10498</v>
      </c>
      <c r="C4181" s="71">
        <v>1</v>
      </c>
      <c r="D4181" s="75">
        <f t="shared" si="67"/>
        <v>1.402898388069752E-5</v>
      </c>
    </row>
    <row r="4182" spans="2:4" x14ac:dyDescent="0.25">
      <c r="B4182" t="s">
        <v>10499</v>
      </c>
      <c r="C4182" s="71">
        <v>1</v>
      </c>
      <c r="D4182" s="75">
        <f t="shared" si="67"/>
        <v>1.402898388069752E-5</v>
      </c>
    </row>
    <row r="4183" spans="2:4" x14ac:dyDescent="0.25">
      <c r="B4183" t="s">
        <v>10500</v>
      </c>
      <c r="C4183" s="71">
        <v>1</v>
      </c>
      <c r="D4183" s="75">
        <f t="shared" si="67"/>
        <v>1.402898388069752E-5</v>
      </c>
    </row>
    <row r="4184" spans="2:4" x14ac:dyDescent="0.25">
      <c r="B4184" t="s">
        <v>10501</v>
      </c>
      <c r="C4184" s="71">
        <v>1</v>
      </c>
      <c r="D4184" s="75">
        <f t="shared" si="67"/>
        <v>1.402898388069752E-5</v>
      </c>
    </row>
    <row r="4185" spans="2:4" x14ac:dyDescent="0.25">
      <c r="B4185" t="s">
        <v>10502</v>
      </c>
      <c r="C4185" s="71">
        <v>1</v>
      </c>
      <c r="D4185" s="75">
        <f t="shared" si="67"/>
        <v>1.402898388069752E-5</v>
      </c>
    </row>
    <row r="4186" spans="2:4" x14ac:dyDescent="0.25">
      <c r="B4186" t="s">
        <v>10503</v>
      </c>
      <c r="C4186" s="71">
        <v>1</v>
      </c>
      <c r="D4186" s="75">
        <f t="shared" si="67"/>
        <v>1.402898388069752E-5</v>
      </c>
    </row>
    <row r="4187" spans="2:4" x14ac:dyDescent="0.25">
      <c r="B4187" t="s">
        <v>10504</v>
      </c>
      <c r="C4187" s="71">
        <v>1</v>
      </c>
      <c r="D4187" s="75">
        <f t="shared" si="67"/>
        <v>1.402898388069752E-5</v>
      </c>
    </row>
    <row r="4188" spans="2:4" x14ac:dyDescent="0.25">
      <c r="B4188" t="s">
        <v>10505</v>
      </c>
      <c r="C4188" s="71">
        <v>1</v>
      </c>
      <c r="D4188" s="75">
        <f t="shared" si="67"/>
        <v>1.402898388069752E-5</v>
      </c>
    </row>
    <row r="4189" spans="2:4" x14ac:dyDescent="0.25">
      <c r="B4189" t="s">
        <v>10506</v>
      </c>
      <c r="C4189" s="71">
        <v>1</v>
      </c>
      <c r="D4189" s="75">
        <f t="shared" si="67"/>
        <v>1.402898388069752E-5</v>
      </c>
    </row>
    <row r="4190" spans="2:4" x14ac:dyDescent="0.25">
      <c r="B4190" t="s">
        <v>10507</v>
      </c>
      <c r="C4190" s="71">
        <v>1</v>
      </c>
      <c r="D4190" s="75">
        <f t="shared" si="67"/>
        <v>1.402898388069752E-5</v>
      </c>
    </row>
    <row r="4191" spans="2:4" x14ac:dyDescent="0.25">
      <c r="B4191" t="s">
        <v>10508</v>
      </c>
      <c r="C4191" s="71">
        <v>1</v>
      </c>
      <c r="D4191" s="75">
        <f t="shared" si="67"/>
        <v>1.402898388069752E-5</v>
      </c>
    </row>
    <row r="4192" spans="2:4" x14ac:dyDescent="0.25">
      <c r="B4192" t="s">
        <v>10509</v>
      </c>
      <c r="C4192" s="71">
        <v>1</v>
      </c>
      <c r="D4192" s="75">
        <f t="shared" si="67"/>
        <v>1.402898388069752E-5</v>
      </c>
    </row>
    <row r="4193" spans="2:4" x14ac:dyDescent="0.25">
      <c r="B4193" t="s">
        <v>10510</v>
      </c>
      <c r="C4193" s="71">
        <v>1</v>
      </c>
      <c r="D4193" s="75">
        <f t="shared" si="67"/>
        <v>1.402898388069752E-5</v>
      </c>
    </row>
    <row r="4194" spans="2:4" x14ac:dyDescent="0.25">
      <c r="B4194" t="s">
        <v>10511</v>
      </c>
      <c r="C4194" s="71">
        <v>1</v>
      </c>
      <c r="D4194" s="75">
        <f t="shared" si="67"/>
        <v>1.402898388069752E-5</v>
      </c>
    </row>
    <row r="4195" spans="2:4" x14ac:dyDescent="0.25">
      <c r="B4195" t="s">
        <v>10512</v>
      </c>
      <c r="C4195" s="71">
        <v>1</v>
      </c>
      <c r="D4195" s="75">
        <f t="shared" si="67"/>
        <v>1.402898388069752E-5</v>
      </c>
    </row>
    <row r="4196" spans="2:4" x14ac:dyDescent="0.25">
      <c r="B4196" t="s">
        <v>10513</v>
      </c>
      <c r="C4196" s="71">
        <v>1</v>
      </c>
      <c r="D4196" s="75">
        <f t="shared" si="67"/>
        <v>1.402898388069752E-5</v>
      </c>
    </row>
    <row r="4197" spans="2:4" x14ac:dyDescent="0.25">
      <c r="B4197" t="s">
        <v>10514</v>
      </c>
      <c r="C4197" s="71">
        <v>1</v>
      </c>
      <c r="D4197" s="75">
        <f t="shared" si="67"/>
        <v>1.402898388069752E-5</v>
      </c>
    </row>
    <row r="4198" spans="2:4" x14ac:dyDescent="0.25">
      <c r="B4198" t="s">
        <v>10515</v>
      </c>
      <c r="C4198" s="71">
        <v>1</v>
      </c>
      <c r="D4198" s="75">
        <f t="shared" si="67"/>
        <v>1.402898388069752E-5</v>
      </c>
    </row>
    <row r="4199" spans="2:4" x14ac:dyDescent="0.25">
      <c r="B4199" t="s">
        <v>10516</v>
      </c>
      <c r="C4199" s="71">
        <v>1</v>
      </c>
      <c r="D4199" s="75">
        <f t="shared" si="67"/>
        <v>1.402898388069752E-5</v>
      </c>
    </row>
    <row r="4200" spans="2:4" x14ac:dyDescent="0.25">
      <c r="B4200" t="s">
        <v>10517</v>
      </c>
      <c r="C4200" s="71">
        <v>1</v>
      </c>
      <c r="D4200" s="75">
        <f t="shared" si="67"/>
        <v>1.402898388069752E-5</v>
      </c>
    </row>
    <row r="4201" spans="2:4" x14ac:dyDescent="0.25">
      <c r="B4201" t="s">
        <v>10518</v>
      </c>
      <c r="C4201" s="71">
        <v>1</v>
      </c>
      <c r="D4201" s="75">
        <f t="shared" si="67"/>
        <v>1.402898388069752E-5</v>
      </c>
    </row>
    <row r="4202" spans="2:4" x14ac:dyDescent="0.25">
      <c r="B4202" t="s">
        <v>10519</v>
      </c>
      <c r="C4202" s="71">
        <v>1</v>
      </c>
      <c r="D4202" s="75">
        <f t="shared" si="67"/>
        <v>1.402898388069752E-5</v>
      </c>
    </row>
    <row r="4203" spans="2:4" x14ac:dyDescent="0.25">
      <c r="B4203" t="s">
        <v>10520</v>
      </c>
      <c r="C4203" s="71">
        <v>1</v>
      </c>
      <c r="D4203" s="75">
        <f t="shared" si="67"/>
        <v>1.402898388069752E-5</v>
      </c>
    </row>
    <row r="4204" spans="2:4" x14ac:dyDescent="0.25">
      <c r="B4204" t="s">
        <v>10521</v>
      </c>
      <c r="C4204" s="71">
        <v>1</v>
      </c>
      <c r="D4204" s="75">
        <f t="shared" si="67"/>
        <v>1.402898388069752E-5</v>
      </c>
    </row>
    <row r="4205" spans="2:4" x14ac:dyDescent="0.25">
      <c r="B4205" t="s">
        <v>10522</v>
      </c>
      <c r="C4205" s="71">
        <v>1</v>
      </c>
      <c r="D4205" s="75">
        <f t="shared" si="67"/>
        <v>1.402898388069752E-5</v>
      </c>
    </row>
    <row r="4206" spans="2:4" x14ac:dyDescent="0.25">
      <c r="B4206" t="s">
        <v>10523</v>
      </c>
      <c r="C4206" s="71">
        <v>1</v>
      </c>
      <c r="D4206" s="75">
        <f t="shared" si="67"/>
        <v>1.402898388069752E-5</v>
      </c>
    </row>
    <row r="4207" spans="2:4" x14ac:dyDescent="0.25">
      <c r="B4207" t="s">
        <v>10524</v>
      </c>
      <c r="C4207" s="71">
        <v>1</v>
      </c>
      <c r="D4207" s="75">
        <f t="shared" si="67"/>
        <v>1.402898388069752E-5</v>
      </c>
    </row>
    <row r="4208" spans="2:4" x14ac:dyDescent="0.25">
      <c r="B4208" t="e">
        <f>---chahanian</f>
        <v>#NAME?</v>
      </c>
      <c r="C4208" s="71">
        <v>1</v>
      </c>
      <c r="D4208" s="75">
        <f t="shared" si="67"/>
        <v>1.402898388069752E-5</v>
      </c>
    </row>
    <row r="4209" spans="2:4" x14ac:dyDescent="0.25">
      <c r="B4209" t="s">
        <v>10525</v>
      </c>
      <c r="C4209" s="71">
        <v>1</v>
      </c>
      <c r="D4209" s="75">
        <f t="shared" si="67"/>
        <v>1.402898388069752E-5</v>
      </c>
    </row>
    <row r="4210" spans="2:4" x14ac:dyDescent="0.25">
      <c r="B4210" t="s">
        <v>10526</v>
      </c>
      <c r="C4210" s="71">
        <v>1</v>
      </c>
      <c r="D4210" s="75">
        <f t="shared" si="67"/>
        <v>1.402898388069752E-5</v>
      </c>
    </row>
    <row r="4211" spans="2:4" x14ac:dyDescent="0.25">
      <c r="B4211" t="s">
        <v>10527</v>
      </c>
      <c r="C4211" s="71">
        <v>1</v>
      </c>
      <c r="D4211" s="75">
        <f t="shared" si="67"/>
        <v>1.402898388069752E-5</v>
      </c>
    </row>
    <row r="4212" spans="2:4" x14ac:dyDescent="0.25">
      <c r="B4212" t="s">
        <v>10528</v>
      </c>
      <c r="C4212" s="71">
        <v>1</v>
      </c>
      <c r="D4212" s="75">
        <f t="shared" si="67"/>
        <v>1.402898388069752E-5</v>
      </c>
    </row>
    <row r="4213" spans="2:4" x14ac:dyDescent="0.25">
      <c r="B4213" t="s">
        <v>10529</v>
      </c>
      <c r="C4213" s="71">
        <v>1</v>
      </c>
      <c r="D4213" s="75">
        <f t="shared" si="67"/>
        <v>1.402898388069752E-5</v>
      </c>
    </row>
    <row r="4214" spans="2:4" x14ac:dyDescent="0.25">
      <c r="B4214" t="s">
        <v>10530</v>
      </c>
      <c r="C4214" s="71">
        <v>1</v>
      </c>
      <c r="D4214" s="75">
        <f t="shared" si="67"/>
        <v>1.402898388069752E-5</v>
      </c>
    </row>
    <row r="4215" spans="2:4" x14ac:dyDescent="0.25">
      <c r="B4215" t="s">
        <v>10531</v>
      </c>
      <c r="C4215" s="71">
        <v>1</v>
      </c>
      <c r="D4215" s="75">
        <f t="shared" si="67"/>
        <v>1.402898388069752E-5</v>
      </c>
    </row>
    <row r="4216" spans="2:4" x14ac:dyDescent="0.25">
      <c r="B4216" t="s">
        <v>10532</v>
      </c>
      <c r="C4216" s="71">
        <v>1</v>
      </c>
      <c r="D4216" s="75">
        <f t="shared" si="67"/>
        <v>1.402898388069752E-5</v>
      </c>
    </row>
    <row r="4217" spans="2:4" x14ac:dyDescent="0.25">
      <c r="B4217" t="s">
        <v>10533</v>
      </c>
      <c r="C4217" s="71">
        <v>1</v>
      </c>
      <c r="D4217" s="75">
        <f t="shared" si="67"/>
        <v>1.402898388069752E-5</v>
      </c>
    </row>
    <row r="4218" spans="2:4" x14ac:dyDescent="0.25">
      <c r="B4218" t="s">
        <v>10534</v>
      </c>
      <c r="C4218" s="71">
        <v>1</v>
      </c>
      <c r="D4218" s="75">
        <f t="shared" si="67"/>
        <v>1.402898388069752E-5</v>
      </c>
    </row>
    <row r="4219" spans="2:4" x14ac:dyDescent="0.25">
      <c r="B4219" t="s">
        <v>10535</v>
      </c>
      <c r="C4219" s="71">
        <v>1</v>
      </c>
      <c r="D4219" s="75">
        <f t="shared" si="67"/>
        <v>1.402898388069752E-5</v>
      </c>
    </row>
    <row r="4220" spans="2:4" x14ac:dyDescent="0.25">
      <c r="B4220" t="s">
        <v>10536</v>
      </c>
      <c r="C4220" s="71">
        <v>1</v>
      </c>
      <c r="D4220" s="75">
        <f t="shared" si="67"/>
        <v>1.402898388069752E-5</v>
      </c>
    </row>
    <row r="4221" spans="2:4" x14ac:dyDescent="0.25">
      <c r="B4221" t="s">
        <v>10537</v>
      </c>
      <c r="C4221" s="71">
        <v>1</v>
      </c>
      <c r="D4221" s="75">
        <f t="shared" si="67"/>
        <v>1.402898388069752E-5</v>
      </c>
    </row>
    <row r="4222" spans="2:4" x14ac:dyDescent="0.25">
      <c r="B4222" t="s">
        <v>10538</v>
      </c>
      <c r="C4222" s="71">
        <v>1</v>
      </c>
      <c r="D4222" s="75">
        <f t="shared" si="67"/>
        <v>1.402898388069752E-5</v>
      </c>
    </row>
    <row r="4223" spans="2:4" x14ac:dyDescent="0.25">
      <c r="B4223" t="s">
        <v>10539</v>
      </c>
      <c r="C4223" s="71">
        <v>1</v>
      </c>
      <c r="D4223" s="75">
        <f t="shared" si="67"/>
        <v>1.402898388069752E-5</v>
      </c>
    </row>
    <row r="4224" spans="2:4" x14ac:dyDescent="0.25">
      <c r="B4224" t="s">
        <v>10540</v>
      </c>
      <c r="C4224" s="71">
        <v>1</v>
      </c>
      <c r="D4224" s="75">
        <f t="shared" si="67"/>
        <v>1.402898388069752E-5</v>
      </c>
    </row>
    <row r="4225" spans="2:4" x14ac:dyDescent="0.25">
      <c r="B4225" t="s">
        <v>10541</v>
      </c>
      <c r="C4225" s="71">
        <v>1</v>
      </c>
      <c r="D4225" s="75">
        <f t="shared" si="67"/>
        <v>1.402898388069752E-5</v>
      </c>
    </row>
    <row r="4226" spans="2:4" x14ac:dyDescent="0.25">
      <c r="B4226" t="s">
        <v>10542</v>
      </c>
      <c r="C4226" s="71">
        <v>1</v>
      </c>
      <c r="D4226" s="75">
        <f t="shared" si="67"/>
        <v>1.402898388069752E-5</v>
      </c>
    </row>
    <row r="4227" spans="2:4" x14ac:dyDescent="0.25">
      <c r="B4227" t="s">
        <v>10543</v>
      </c>
      <c r="C4227" s="71">
        <v>1</v>
      </c>
      <c r="D4227" s="75">
        <f t="shared" si="67"/>
        <v>1.402898388069752E-5</v>
      </c>
    </row>
    <row r="4228" spans="2:4" x14ac:dyDescent="0.25">
      <c r="B4228" t="s">
        <v>10544</v>
      </c>
      <c r="C4228" s="71">
        <v>1</v>
      </c>
      <c r="D4228" s="75">
        <f t="shared" si="67"/>
        <v>1.402898388069752E-5</v>
      </c>
    </row>
    <row r="4229" spans="2:4" x14ac:dyDescent="0.25">
      <c r="B4229" t="s">
        <v>10545</v>
      </c>
      <c r="C4229" s="71">
        <v>1</v>
      </c>
      <c r="D4229" s="75">
        <f t="shared" si="67"/>
        <v>1.402898388069752E-5</v>
      </c>
    </row>
    <row r="4230" spans="2:4" x14ac:dyDescent="0.25">
      <c r="B4230" t="s">
        <v>10546</v>
      </c>
      <c r="C4230" s="71">
        <v>1</v>
      </c>
      <c r="D4230" s="75">
        <f t="shared" ref="D4230:D4293" si="68">C4230/$C$4822</f>
        <v>1.402898388069752E-5</v>
      </c>
    </row>
    <row r="4231" spans="2:4" x14ac:dyDescent="0.25">
      <c r="B4231" t="s">
        <v>10547</v>
      </c>
      <c r="C4231" s="71">
        <v>1</v>
      </c>
      <c r="D4231" s="75">
        <f t="shared" si="68"/>
        <v>1.402898388069752E-5</v>
      </c>
    </row>
    <row r="4232" spans="2:4" x14ac:dyDescent="0.25">
      <c r="B4232" t="s">
        <v>10548</v>
      </c>
      <c r="C4232" s="71">
        <v>1</v>
      </c>
      <c r="D4232" s="75">
        <f t="shared" si="68"/>
        <v>1.402898388069752E-5</v>
      </c>
    </row>
    <row r="4233" spans="2:4" x14ac:dyDescent="0.25">
      <c r="B4233" t="s">
        <v>10549</v>
      </c>
      <c r="C4233" s="71">
        <v>1</v>
      </c>
      <c r="D4233" s="75">
        <f t="shared" si="68"/>
        <v>1.402898388069752E-5</v>
      </c>
    </row>
    <row r="4234" spans="2:4" x14ac:dyDescent="0.25">
      <c r="B4234" t="e">
        <f>---bedian</f>
        <v>#NAME?</v>
      </c>
      <c r="C4234" s="71">
        <v>1</v>
      </c>
      <c r="D4234" s="75">
        <f t="shared" si="68"/>
        <v>1.402898388069752E-5</v>
      </c>
    </row>
    <row r="4235" spans="2:4" x14ac:dyDescent="0.25">
      <c r="B4235" t="s">
        <v>10550</v>
      </c>
      <c r="C4235" s="71">
        <v>1</v>
      </c>
      <c r="D4235" s="75">
        <f t="shared" si="68"/>
        <v>1.402898388069752E-5</v>
      </c>
    </row>
    <row r="4236" spans="2:4" x14ac:dyDescent="0.25">
      <c r="B4236" t="s">
        <v>10551</v>
      </c>
      <c r="C4236" s="71">
        <v>1</v>
      </c>
      <c r="D4236" s="75">
        <f t="shared" si="68"/>
        <v>1.402898388069752E-5</v>
      </c>
    </row>
    <row r="4237" spans="2:4" x14ac:dyDescent="0.25">
      <c r="B4237" t="s">
        <v>10552</v>
      </c>
      <c r="C4237" s="71">
        <v>1</v>
      </c>
      <c r="D4237" s="75">
        <f t="shared" si="68"/>
        <v>1.402898388069752E-5</v>
      </c>
    </row>
    <row r="4238" spans="2:4" x14ac:dyDescent="0.25">
      <c r="B4238" t="s">
        <v>10553</v>
      </c>
      <c r="C4238" s="71">
        <v>1</v>
      </c>
      <c r="D4238" s="75">
        <f t="shared" si="68"/>
        <v>1.402898388069752E-5</v>
      </c>
    </row>
    <row r="4239" spans="2:4" x14ac:dyDescent="0.25">
      <c r="B4239" t="s">
        <v>10554</v>
      </c>
      <c r="C4239" s="71">
        <v>1</v>
      </c>
      <c r="D4239" s="75">
        <f t="shared" si="68"/>
        <v>1.402898388069752E-5</v>
      </c>
    </row>
    <row r="4240" spans="2:4" x14ac:dyDescent="0.25">
      <c r="B4240" t="s">
        <v>10555</v>
      </c>
      <c r="C4240" s="71">
        <v>1</v>
      </c>
      <c r="D4240" s="75">
        <f t="shared" si="68"/>
        <v>1.402898388069752E-5</v>
      </c>
    </row>
    <row r="4241" spans="2:4" x14ac:dyDescent="0.25">
      <c r="B4241" t="s">
        <v>10556</v>
      </c>
      <c r="C4241" s="71">
        <v>1</v>
      </c>
      <c r="D4241" s="75">
        <f t="shared" si="68"/>
        <v>1.402898388069752E-5</v>
      </c>
    </row>
    <row r="4242" spans="2:4" x14ac:dyDescent="0.25">
      <c r="B4242" t="s">
        <v>10557</v>
      </c>
      <c r="C4242" s="71">
        <v>1</v>
      </c>
      <c r="D4242" s="75">
        <f t="shared" si="68"/>
        <v>1.402898388069752E-5</v>
      </c>
    </row>
    <row r="4243" spans="2:4" x14ac:dyDescent="0.25">
      <c r="B4243" t="s">
        <v>10558</v>
      </c>
      <c r="C4243" s="71">
        <v>1</v>
      </c>
      <c r="D4243" s="75">
        <f t="shared" si="68"/>
        <v>1.402898388069752E-5</v>
      </c>
    </row>
    <row r="4244" spans="2:4" x14ac:dyDescent="0.25">
      <c r="B4244" t="s">
        <v>10559</v>
      </c>
      <c r="C4244" s="71">
        <v>1</v>
      </c>
      <c r="D4244" s="75">
        <f t="shared" si="68"/>
        <v>1.402898388069752E-5</v>
      </c>
    </row>
    <row r="4245" spans="2:4" x14ac:dyDescent="0.25">
      <c r="B4245" t="s">
        <v>10560</v>
      </c>
      <c r="C4245" s="71">
        <v>1</v>
      </c>
      <c r="D4245" s="75">
        <f t="shared" si="68"/>
        <v>1.402898388069752E-5</v>
      </c>
    </row>
    <row r="4246" spans="2:4" x14ac:dyDescent="0.25">
      <c r="B4246" t="s">
        <v>10561</v>
      </c>
      <c r="C4246" s="71">
        <v>1</v>
      </c>
      <c r="D4246" s="75">
        <f t="shared" si="68"/>
        <v>1.402898388069752E-5</v>
      </c>
    </row>
    <row r="4247" spans="2:4" x14ac:dyDescent="0.25">
      <c r="B4247" t="e">
        <f>---irounian</f>
        <v>#NAME?</v>
      </c>
      <c r="C4247" s="71">
        <v>1</v>
      </c>
      <c r="D4247" s="75">
        <f t="shared" si="68"/>
        <v>1.402898388069752E-5</v>
      </c>
    </row>
    <row r="4248" spans="2:4" x14ac:dyDescent="0.25">
      <c r="B4248" t="s">
        <v>10562</v>
      </c>
      <c r="C4248" s="71">
        <v>1</v>
      </c>
      <c r="D4248" s="75">
        <f t="shared" si="68"/>
        <v>1.402898388069752E-5</v>
      </c>
    </row>
    <row r="4249" spans="2:4" x14ac:dyDescent="0.25">
      <c r="B4249" t="s">
        <v>10563</v>
      </c>
      <c r="C4249" s="71">
        <v>1</v>
      </c>
      <c r="D4249" s="75">
        <f t="shared" si="68"/>
        <v>1.402898388069752E-5</v>
      </c>
    </row>
    <row r="4250" spans="2:4" x14ac:dyDescent="0.25">
      <c r="B4250" t="s">
        <v>10564</v>
      </c>
      <c r="C4250" s="71">
        <v>1</v>
      </c>
      <c r="D4250" s="75">
        <f t="shared" si="68"/>
        <v>1.402898388069752E-5</v>
      </c>
    </row>
    <row r="4251" spans="2:4" x14ac:dyDescent="0.25">
      <c r="B4251" t="s">
        <v>10565</v>
      </c>
      <c r="C4251" s="71">
        <v>1</v>
      </c>
      <c r="D4251" s="75">
        <f t="shared" si="68"/>
        <v>1.402898388069752E-5</v>
      </c>
    </row>
    <row r="4252" spans="2:4" x14ac:dyDescent="0.25">
      <c r="B4252" t="s">
        <v>10566</v>
      </c>
      <c r="C4252" s="71">
        <v>1</v>
      </c>
      <c r="D4252" s="75">
        <f t="shared" si="68"/>
        <v>1.402898388069752E-5</v>
      </c>
    </row>
    <row r="4253" spans="2:4" x14ac:dyDescent="0.25">
      <c r="B4253" t="s">
        <v>10567</v>
      </c>
      <c r="C4253" s="71">
        <v>1</v>
      </c>
      <c r="D4253" s="75">
        <f t="shared" si="68"/>
        <v>1.402898388069752E-5</v>
      </c>
    </row>
    <row r="4254" spans="2:4" x14ac:dyDescent="0.25">
      <c r="B4254" t="s">
        <v>10568</v>
      </c>
      <c r="C4254" s="71">
        <v>1</v>
      </c>
      <c r="D4254" s="75">
        <f t="shared" si="68"/>
        <v>1.402898388069752E-5</v>
      </c>
    </row>
    <row r="4255" spans="2:4" x14ac:dyDescent="0.25">
      <c r="B4255" t="s">
        <v>10569</v>
      </c>
      <c r="C4255" s="71">
        <v>1</v>
      </c>
      <c r="D4255" s="75">
        <f t="shared" si="68"/>
        <v>1.402898388069752E-5</v>
      </c>
    </row>
    <row r="4256" spans="2:4" x14ac:dyDescent="0.25">
      <c r="B4256" t="s">
        <v>10570</v>
      </c>
      <c r="C4256" s="71">
        <v>1</v>
      </c>
      <c r="D4256" s="75">
        <f t="shared" si="68"/>
        <v>1.402898388069752E-5</v>
      </c>
    </row>
    <row r="4257" spans="2:4" x14ac:dyDescent="0.25">
      <c r="B4257" t="s">
        <v>10571</v>
      </c>
      <c r="C4257" s="71">
        <v>1</v>
      </c>
      <c r="D4257" s="75">
        <f t="shared" si="68"/>
        <v>1.402898388069752E-5</v>
      </c>
    </row>
    <row r="4258" spans="2:4" x14ac:dyDescent="0.25">
      <c r="B4258" t="s">
        <v>10572</v>
      </c>
      <c r="C4258" s="71">
        <v>1</v>
      </c>
      <c r="D4258" s="75">
        <f t="shared" si="68"/>
        <v>1.402898388069752E-5</v>
      </c>
    </row>
    <row r="4259" spans="2:4" x14ac:dyDescent="0.25">
      <c r="B4259" t="s">
        <v>10573</v>
      </c>
      <c r="C4259" s="71">
        <v>1</v>
      </c>
      <c r="D4259" s="75">
        <f t="shared" si="68"/>
        <v>1.402898388069752E-5</v>
      </c>
    </row>
    <row r="4260" spans="2:4" x14ac:dyDescent="0.25">
      <c r="B4260" t="s">
        <v>10574</v>
      </c>
      <c r="C4260" s="71">
        <v>1</v>
      </c>
      <c r="D4260" s="75">
        <f t="shared" si="68"/>
        <v>1.402898388069752E-5</v>
      </c>
    </row>
    <row r="4261" spans="2:4" x14ac:dyDescent="0.25">
      <c r="B4261" t="s">
        <v>10575</v>
      </c>
      <c r="C4261" s="71">
        <v>1</v>
      </c>
      <c r="D4261" s="75">
        <f t="shared" si="68"/>
        <v>1.402898388069752E-5</v>
      </c>
    </row>
    <row r="4262" spans="2:4" x14ac:dyDescent="0.25">
      <c r="B4262" t="s">
        <v>10576</v>
      </c>
      <c r="C4262" s="71">
        <v>1</v>
      </c>
      <c r="D4262" s="75">
        <f t="shared" si="68"/>
        <v>1.402898388069752E-5</v>
      </c>
    </row>
    <row r="4263" spans="2:4" x14ac:dyDescent="0.25">
      <c r="B4263" t="s">
        <v>10577</v>
      </c>
      <c r="C4263" s="71">
        <v>1</v>
      </c>
      <c r="D4263" s="75">
        <f t="shared" si="68"/>
        <v>1.402898388069752E-5</v>
      </c>
    </row>
    <row r="4264" spans="2:4" x14ac:dyDescent="0.25">
      <c r="B4264" t="s">
        <v>10578</v>
      </c>
      <c r="C4264" s="71">
        <v>1</v>
      </c>
      <c r="D4264" s="75">
        <f t="shared" si="68"/>
        <v>1.402898388069752E-5</v>
      </c>
    </row>
    <row r="4265" spans="2:4" x14ac:dyDescent="0.25">
      <c r="B4265" t="s">
        <v>10579</v>
      </c>
      <c r="C4265" s="71">
        <v>1</v>
      </c>
      <c r="D4265" s="75">
        <f t="shared" si="68"/>
        <v>1.402898388069752E-5</v>
      </c>
    </row>
    <row r="4266" spans="2:4" x14ac:dyDescent="0.25">
      <c r="B4266" t="s">
        <v>10580</v>
      </c>
      <c r="C4266" s="71">
        <v>1</v>
      </c>
      <c r="D4266" s="75">
        <f t="shared" si="68"/>
        <v>1.402898388069752E-5</v>
      </c>
    </row>
    <row r="4267" spans="2:4" x14ac:dyDescent="0.25">
      <c r="B4267" t="s">
        <v>10581</v>
      </c>
      <c r="C4267" s="71">
        <v>1</v>
      </c>
      <c r="D4267" s="75">
        <f t="shared" si="68"/>
        <v>1.402898388069752E-5</v>
      </c>
    </row>
    <row r="4268" spans="2:4" x14ac:dyDescent="0.25">
      <c r="B4268" t="s">
        <v>10582</v>
      </c>
      <c r="C4268" s="71">
        <v>1</v>
      </c>
      <c r="D4268" s="75">
        <f t="shared" si="68"/>
        <v>1.402898388069752E-5</v>
      </c>
    </row>
    <row r="4269" spans="2:4" x14ac:dyDescent="0.25">
      <c r="B4269" t="s">
        <v>10583</v>
      </c>
      <c r="C4269" s="71">
        <v>1</v>
      </c>
      <c r="D4269" s="75">
        <f t="shared" si="68"/>
        <v>1.402898388069752E-5</v>
      </c>
    </row>
    <row r="4270" spans="2:4" x14ac:dyDescent="0.25">
      <c r="B4270" t="s">
        <v>10584</v>
      </c>
      <c r="C4270" s="71">
        <v>1</v>
      </c>
      <c r="D4270" s="75">
        <f t="shared" si="68"/>
        <v>1.402898388069752E-5</v>
      </c>
    </row>
    <row r="4271" spans="2:4" x14ac:dyDescent="0.25">
      <c r="B4271" t="s">
        <v>10585</v>
      </c>
      <c r="C4271" s="71">
        <v>1</v>
      </c>
      <c r="D4271" s="75">
        <f t="shared" si="68"/>
        <v>1.402898388069752E-5</v>
      </c>
    </row>
    <row r="4272" spans="2:4" x14ac:dyDescent="0.25">
      <c r="B4272" t="s">
        <v>10586</v>
      </c>
      <c r="C4272" s="71">
        <v>1</v>
      </c>
      <c r="D4272" s="75">
        <f t="shared" si="68"/>
        <v>1.402898388069752E-5</v>
      </c>
    </row>
    <row r="4273" spans="2:4" x14ac:dyDescent="0.25">
      <c r="B4273" t="s">
        <v>10587</v>
      </c>
      <c r="C4273" s="71">
        <v>1</v>
      </c>
      <c r="D4273" s="75">
        <f t="shared" si="68"/>
        <v>1.402898388069752E-5</v>
      </c>
    </row>
    <row r="4274" spans="2:4" x14ac:dyDescent="0.25">
      <c r="B4274" t="s">
        <v>10588</v>
      </c>
      <c r="C4274" s="71">
        <v>1</v>
      </c>
      <c r="D4274" s="75">
        <f t="shared" si="68"/>
        <v>1.402898388069752E-5</v>
      </c>
    </row>
    <row r="4275" spans="2:4" x14ac:dyDescent="0.25">
      <c r="B4275" t="s">
        <v>10589</v>
      </c>
      <c r="C4275" s="71">
        <v>1</v>
      </c>
      <c r="D4275" s="75">
        <f t="shared" si="68"/>
        <v>1.402898388069752E-5</v>
      </c>
    </row>
    <row r="4276" spans="2:4" x14ac:dyDescent="0.25">
      <c r="B4276" t="s">
        <v>10590</v>
      </c>
      <c r="C4276" s="71">
        <v>1</v>
      </c>
      <c r="D4276" s="75">
        <f t="shared" si="68"/>
        <v>1.402898388069752E-5</v>
      </c>
    </row>
    <row r="4277" spans="2:4" x14ac:dyDescent="0.25">
      <c r="B4277" t="s">
        <v>10591</v>
      </c>
      <c r="C4277" s="71">
        <v>1</v>
      </c>
      <c r="D4277" s="75">
        <f t="shared" si="68"/>
        <v>1.402898388069752E-5</v>
      </c>
    </row>
    <row r="4278" spans="2:4" x14ac:dyDescent="0.25">
      <c r="B4278" t="s">
        <v>10592</v>
      </c>
      <c r="C4278" s="71">
        <v>1</v>
      </c>
      <c r="D4278" s="75">
        <f t="shared" si="68"/>
        <v>1.402898388069752E-5</v>
      </c>
    </row>
    <row r="4279" spans="2:4" x14ac:dyDescent="0.25">
      <c r="B4279" t="s">
        <v>10593</v>
      </c>
      <c r="C4279" s="71">
        <v>1</v>
      </c>
      <c r="D4279" s="75">
        <f t="shared" si="68"/>
        <v>1.402898388069752E-5</v>
      </c>
    </row>
    <row r="4280" spans="2:4" x14ac:dyDescent="0.25">
      <c r="B4280" t="s">
        <v>10594</v>
      </c>
      <c r="C4280" s="71">
        <v>1</v>
      </c>
      <c r="D4280" s="75">
        <f t="shared" si="68"/>
        <v>1.402898388069752E-5</v>
      </c>
    </row>
    <row r="4281" spans="2:4" x14ac:dyDescent="0.25">
      <c r="B4281" t="s">
        <v>10595</v>
      </c>
      <c r="C4281" s="71">
        <v>1</v>
      </c>
      <c r="D4281" s="75">
        <f t="shared" si="68"/>
        <v>1.402898388069752E-5</v>
      </c>
    </row>
    <row r="4282" spans="2:4" x14ac:dyDescent="0.25">
      <c r="B4282" t="s">
        <v>10596</v>
      </c>
      <c r="C4282" s="71">
        <v>1</v>
      </c>
      <c r="D4282" s="75">
        <f t="shared" si="68"/>
        <v>1.402898388069752E-5</v>
      </c>
    </row>
    <row r="4283" spans="2:4" x14ac:dyDescent="0.25">
      <c r="B4283" t="s">
        <v>10597</v>
      </c>
      <c r="C4283" s="71">
        <v>1</v>
      </c>
      <c r="D4283" s="75">
        <f t="shared" si="68"/>
        <v>1.402898388069752E-5</v>
      </c>
    </row>
    <row r="4284" spans="2:4" x14ac:dyDescent="0.25">
      <c r="B4284" t="s">
        <v>10598</v>
      </c>
      <c r="C4284" s="71">
        <v>1</v>
      </c>
      <c r="D4284" s="75">
        <f t="shared" si="68"/>
        <v>1.402898388069752E-5</v>
      </c>
    </row>
    <row r="4285" spans="2:4" x14ac:dyDescent="0.25">
      <c r="B4285" t="s">
        <v>10599</v>
      </c>
      <c r="C4285" s="71">
        <v>1</v>
      </c>
      <c r="D4285" s="75">
        <f t="shared" si="68"/>
        <v>1.402898388069752E-5</v>
      </c>
    </row>
    <row r="4286" spans="2:4" x14ac:dyDescent="0.25">
      <c r="B4286" t="s">
        <v>10600</v>
      </c>
      <c r="C4286" s="71">
        <v>1</v>
      </c>
      <c r="D4286" s="75">
        <f t="shared" si="68"/>
        <v>1.402898388069752E-5</v>
      </c>
    </row>
    <row r="4287" spans="2:4" x14ac:dyDescent="0.25">
      <c r="B4287" t="s">
        <v>10601</v>
      </c>
      <c r="C4287" s="71">
        <v>1</v>
      </c>
      <c r="D4287" s="75">
        <f t="shared" si="68"/>
        <v>1.402898388069752E-5</v>
      </c>
    </row>
    <row r="4288" spans="2:4" x14ac:dyDescent="0.25">
      <c r="B4288" t="s">
        <v>10602</v>
      </c>
      <c r="C4288" s="71">
        <v>1</v>
      </c>
      <c r="D4288" s="75">
        <f t="shared" si="68"/>
        <v>1.402898388069752E-5</v>
      </c>
    </row>
    <row r="4289" spans="2:4" x14ac:dyDescent="0.25">
      <c r="B4289" t="s">
        <v>10603</v>
      </c>
      <c r="C4289" s="71">
        <v>1</v>
      </c>
      <c r="D4289" s="75">
        <f t="shared" si="68"/>
        <v>1.402898388069752E-5</v>
      </c>
    </row>
    <row r="4290" spans="2:4" x14ac:dyDescent="0.25">
      <c r="B4290" t="s">
        <v>10604</v>
      </c>
      <c r="C4290" s="71">
        <v>1</v>
      </c>
      <c r="D4290" s="75">
        <f t="shared" si="68"/>
        <v>1.402898388069752E-5</v>
      </c>
    </row>
    <row r="4291" spans="2:4" x14ac:dyDescent="0.25">
      <c r="B4291" t="s">
        <v>10605</v>
      </c>
      <c r="C4291" s="71">
        <v>1</v>
      </c>
      <c r="D4291" s="75">
        <f t="shared" si="68"/>
        <v>1.402898388069752E-5</v>
      </c>
    </row>
    <row r="4292" spans="2:4" x14ac:dyDescent="0.25">
      <c r="B4292" t="s">
        <v>10606</v>
      </c>
      <c r="C4292" s="71">
        <v>1</v>
      </c>
      <c r="D4292" s="75">
        <f t="shared" si="68"/>
        <v>1.402898388069752E-5</v>
      </c>
    </row>
    <row r="4293" spans="2:4" x14ac:dyDescent="0.25">
      <c r="B4293" t="s">
        <v>10607</v>
      </c>
      <c r="C4293" s="71">
        <v>1</v>
      </c>
      <c r="D4293" s="75">
        <f t="shared" si="68"/>
        <v>1.402898388069752E-5</v>
      </c>
    </row>
    <row r="4294" spans="2:4" x14ac:dyDescent="0.25">
      <c r="B4294" t="s">
        <v>10608</v>
      </c>
      <c r="C4294" s="71">
        <v>1</v>
      </c>
      <c r="D4294" s="75">
        <f t="shared" ref="D4294:D4357" si="69">C4294/$C$4822</f>
        <v>1.402898388069752E-5</v>
      </c>
    </row>
    <row r="4295" spans="2:4" x14ac:dyDescent="0.25">
      <c r="B4295" t="s">
        <v>10609</v>
      </c>
      <c r="C4295" s="71">
        <v>1</v>
      </c>
      <c r="D4295" s="75">
        <f t="shared" si="69"/>
        <v>1.402898388069752E-5</v>
      </c>
    </row>
    <row r="4296" spans="2:4" x14ac:dyDescent="0.25">
      <c r="B4296" t="s">
        <v>10610</v>
      </c>
      <c r="C4296" s="71">
        <v>1</v>
      </c>
      <c r="D4296" s="75">
        <f t="shared" si="69"/>
        <v>1.402898388069752E-5</v>
      </c>
    </row>
    <row r="4297" spans="2:4" x14ac:dyDescent="0.25">
      <c r="B4297" t="s">
        <v>10611</v>
      </c>
      <c r="C4297" s="71">
        <v>1</v>
      </c>
      <c r="D4297" s="75">
        <f t="shared" si="69"/>
        <v>1.402898388069752E-5</v>
      </c>
    </row>
    <row r="4298" spans="2:4" x14ac:dyDescent="0.25">
      <c r="B4298" t="s">
        <v>10612</v>
      </c>
      <c r="C4298" s="71">
        <v>1</v>
      </c>
      <c r="D4298" s="75">
        <f t="shared" si="69"/>
        <v>1.402898388069752E-5</v>
      </c>
    </row>
    <row r="4299" spans="2:4" x14ac:dyDescent="0.25">
      <c r="B4299" t="s">
        <v>10613</v>
      </c>
      <c r="C4299" s="71">
        <v>1</v>
      </c>
      <c r="D4299" s="75">
        <f t="shared" si="69"/>
        <v>1.402898388069752E-5</v>
      </c>
    </row>
    <row r="4300" spans="2:4" x14ac:dyDescent="0.25">
      <c r="B4300" t="s">
        <v>10614</v>
      </c>
      <c r="C4300" s="71">
        <v>1</v>
      </c>
      <c r="D4300" s="75">
        <f t="shared" si="69"/>
        <v>1.402898388069752E-5</v>
      </c>
    </row>
    <row r="4301" spans="2:4" x14ac:dyDescent="0.25">
      <c r="B4301" t="s">
        <v>10615</v>
      </c>
      <c r="C4301" s="71">
        <v>1</v>
      </c>
      <c r="D4301" s="75">
        <f t="shared" si="69"/>
        <v>1.402898388069752E-5</v>
      </c>
    </row>
    <row r="4302" spans="2:4" x14ac:dyDescent="0.25">
      <c r="B4302" t="s">
        <v>10616</v>
      </c>
      <c r="C4302" s="71">
        <v>1</v>
      </c>
      <c r="D4302" s="75">
        <f t="shared" si="69"/>
        <v>1.402898388069752E-5</v>
      </c>
    </row>
    <row r="4303" spans="2:4" x14ac:dyDescent="0.25">
      <c r="B4303" t="s">
        <v>10617</v>
      </c>
      <c r="C4303" s="71">
        <v>1</v>
      </c>
      <c r="D4303" s="75">
        <f t="shared" si="69"/>
        <v>1.402898388069752E-5</v>
      </c>
    </row>
    <row r="4304" spans="2:4" x14ac:dyDescent="0.25">
      <c r="B4304" t="s">
        <v>10618</v>
      </c>
      <c r="C4304" s="71">
        <v>1</v>
      </c>
      <c r="D4304" s="75">
        <f t="shared" si="69"/>
        <v>1.402898388069752E-5</v>
      </c>
    </row>
    <row r="4305" spans="2:4" x14ac:dyDescent="0.25">
      <c r="B4305" t="s">
        <v>10619</v>
      </c>
      <c r="C4305" s="71">
        <v>1</v>
      </c>
      <c r="D4305" s="75">
        <f t="shared" si="69"/>
        <v>1.402898388069752E-5</v>
      </c>
    </row>
    <row r="4306" spans="2:4" x14ac:dyDescent="0.25">
      <c r="B4306" t="s">
        <v>10620</v>
      </c>
      <c r="C4306" s="71">
        <v>1</v>
      </c>
      <c r="D4306" s="75">
        <f t="shared" si="69"/>
        <v>1.402898388069752E-5</v>
      </c>
    </row>
    <row r="4307" spans="2:4" x14ac:dyDescent="0.25">
      <c r="B4307" t="s">
        <v>10621</v>
      </c>
      <c r="C4307" s="71">
        <v>1</v>
      </c>
      <c r="D4307" s="75">
        <f t="shared" si="69"/>
        <v>1.402898388069752E-5</v>
      </c>
    </row>
    <row r="4308" spans="2:4" x14ac:dyDescent="0.25">
      <c r="B4308" t="s">
        <v>10622</v>
      </c>
      <c r="C4308" s="71">
        <v>1</v>
      </c>
      <c r="D4308" s="75">
        <f t="shared" si="69"/>
        <v>1.402898388069752E-5</v>
      </c>
    </row>
    <row r="4309" spans="2:4" x14ac:dyDescent="0.25">
      <c r="B4309" t="s">
        <v>10623</v>
      </c>
      <c r="C4309" s="71">
        <v>1</v>
      </c>
      <c r="D4309" s="75">
        <f t="shared" si="69"/>
        <v>1.402898388069752E-5</v>
      </c>
    </row>
    <row r="4310" spans="2:4" x14ac:dyDescent="0.25">
      <c r="B4310" t="s">
        <v>10624</v>
      </c>
      <c r="C4310" s="71">
        <v>1</v>
      </c>
      <c r="D4310" s="75">
        <f t="shared" si="69"/>
        <v>1.402898388069752E-5</v>
      </c>
    </row>
    <row r="4311" spans="2:4" x14ac:dyDescent="0.25">
      <c r="B4311" t="s">
        <v>10625</v>
      </c>
      <c r="C4311" s="71">
        <v>1</v>
      </c>
      <c r="D4311" s="75">
        <f t="shared" si="69"/>
        <v>1.402898388069752E-5</v>
      </c>
    </row>
    <row r="4312" spans="2:4" x14ac:dyDescent="0.25">
      <c r="B4312" t="s">
        <v>10626</v>
      </c>
      <c r="C4312" s="71">
        <v>1</v>
      </c>
      <c r="D4312" s="75">
        <f t="shared" si="69"/>
        <v>1.402898388069752E-5</v>
      </c>
    </row>
    <row r="4313" spans="2:4" x14ac:dyDescent="0.25">
      <c r="B4313" t="s">
        <v>10627</v>
      </c>
      <c r="C4313" s="71">
        <v>1</v>
      </c>
      <c r="D4313" s="75">
        <f t="shared" si="69"/>
        <v>1.402898388069752E-5</v>
      </c>
    </row>
    <row r="4314" spans="2:4" x14ac:dyDescent="0.25">
      <c r="B4314" t="s">
        <v>10628</v>
      </c>
      <c r="C4314" s="71">
        <v>1</v>
      </c>
      <c r="D4314" s="75">
        <f t="shared" si="69"/>
        <v>1.402898388069752E-5</v>
      </c>
    </row>
    <row r="4315" spans="2:4" x14ac:dyDescent="0.25">
      <c r="B4315" t="s">
        <v>10629</v>
      </c>
      <c r="C4315" s="71">
        <v>1</v>
      </c>
      <c r="D4315" s="75">
        <f t="shared" si="69"/>
        <v>1.402898388069752E-5</v>
      </c>
    </row>
    <row r="4316" spans="2:4" x14ac:dyDescent="0.25">
      <c r="B4316" t="s">
        <v>10630</v>
      </c>
      <c r="C4316" s="71">
        <v>1</v>
      </c>
      <c r="D4316" s="75">
        <f t="shared" si="69"/>
        <v>1.402898388069752E-5</v>
      </c>
    </row>
    <row r="4317" spans="2:4" x14ac:dyDescent="0.25">
      <c r="B4317" t="s">
        <v>10631</v>
      </c>
      <c r="C4317" s="71">
        <v>1</v>
      </c>
      <c r="D4317" s="75">
        <f t="shared" si="69"/>
        <v>1.402898388069752E-5</v>
      </c>
    </row>
    <row r="4318" spans="2:4" x14ac:dyDescent="0.25">
      <c r="B4318" t="s">
        <v>10632</v>
      </c>
      <c r="C4318" s="71">
        <v>1</v>
      </c>
      <c r="D4318" s="75">
        <f t="shared" si="69"/>
        <v>1.402898388069752E-5</v>
      </c>
    </row>
    <row r="4319" spans="2:4" x14ac:dyDescent="0.25">
      <c r="B4319" t="s">
        <v>10633</v>
      </c>
      <c r="C4319" s="71">
        <v>1</v>
      </c>
      <c r="D4319" s="75">
        <f t="shared" si="69"/>
        <v>1.402898388069752E-5</v>
      </c>
    </row>
    <row r="4320" spans="2:4" x14ac:dyDescent="0.25">
      <c r="B4320" t="s">
        <v>10634</v>
      </c>
      <c r="C4320" s="71">
        <v>1</v>
      </c>
      <c r="D4320" s="75">
        <f t="shared" si="69"/>
        <v>1.402898388069752E-5</v>
      </c>
    </row>
    <row r="4321" spans="2:4" x14ac:dyDescent="0.25">
      <c r="B4321" t="s">
        <v>10635</v>
      </c>
      <c r="C4321" s="71">
        <v>1</v>
      </c>
      <c r="D4321" s="75">
        <f t="shared" si="69"/>
        <v>1.402898388069752E-5</v>
      </c>
    </row>
    <row r="4322" spans="2:4" x14ac:dyDescent="0.25">
      <c r="B4322" t="s">
        <v>10636</v>
      </c>
      <c r="C4322" s="71">
        <v>1</v>
      </c>
      <c r="D4322" s="75">
        <f t="shared" si="69"/>
        <v>1.402898388069752E-5</v>
      </c>
    </row>
    <row r="4323" spans="2:4" x14ac:dyDescent="0.25">
      <c r="B4323" t="s">
        <v>10637</v>
      </c>
      <c r="C4323" s="71">
        <v>1</v>
      </c>
      <c r="D4323" s="75">
        <f t="shared" si="69"/>
        <v>1.402898388069752E-5</v>
      </c>
    </row>
    <row r="4324" spans="2:4" x14ac:dyDescent="0.25">
      <c r="B4324" t="s">
        <v>10638</v>
      </c>
      <c r="C4324" s="71">
        <v>1</v>
      </c>
      <c r="D4324" s="75">
        <f t="shared" si="69"/>
        <v>1.402898388069752E-5</v>
      </c>
    </row>
    <row r="4325" spans="2:4" x14ac:dyDescent="0.25">
      <c r="B4325" t="s">
        <v>10639</v>
      </c>
      <c r="C4325" s="71">
        <v>1</v>
      </c>
      <c r="D4325" s="75">
        <f t="shared" si="69"/>
        <v>1.402898388069752E-5</v>
      </c>
    </row>
    <row r="4326" spans="2:4" x14ac:dyDescent="0.25">
      <c r="B4326" t="s">
        <v>10640</v>
      </c>
      <c r="C4326" s="71">
        <v>1</v>
      </c>
      <c r="D4326" s="75">
        <f t="shared" si="69"/>
        <v>1.402898388069752E-5</v>
      </c>
    </row>
    <row r="4327" spans="2:4" x14ac:dyDescent="0.25">
      <c r="B4327" t="s">
        <v>10641</v>
      </c>
      <c r="C4327" s="71">
        <v>1</v>
      </c>
      <c r="D4327" s="75">
        <f t="shared" si="69"/>
        <v>1.402898388069752E-5</v>
      </c>
    </row>
    <row r="4328" spans="2:4" x14ac:dyDescent="0.25">
      <c r="B4328" t="s">
        <v>10642</v>
      </c>
      <c r="C4328" s="71">
        <v>1</v>
      </c>
      <c r="D4328" s="75">
        <f t="shared" si="69"/>
        <v>1.402898388069752E-5</v>
      </c>
    </row>
    <row r="4329" spans="2:4" x14ac:dyDescent="0.25">
      <c r="B4329" t="s">
        <v>10643</v>
      </c>
      <c r="C4329" s="71">
        <v>1</v>
      </c>
      <c r="D4329" s="75">
        <f t="shared" si="69"/>
        <v>1.402898388069752E-5</v>
      </c>
    </row>
    <row r="4330" spans="2:4" x14ac:dyDescent="0.25">
      <c r="B4330" t="s">
        <v>10644</v>
      </c>
      <c r="C4330" s="71">
        <v>1</v>
      </c>
      <c r="D4330" s="75">
        <f t="shared" si="69"/>
        <v>1.402898388069752E-5</v>
      </c>
    </row>
    <row r="4331" spans="2:4" x14ac:dyDescent="0.25">
      <c r="B4331" t="s">
        <v>10645</v>
      </c>
      <c r="C4331" s="71">
        <v>1</v>
      </c>
      <c r="D4331" s="75">
        <f t="shared" si="69"/>
        <v>1.402898388069752E-5</v>
      </c>
    </row>
    <row r="4332" spans="2:4" x14ac:dyDescent="0.25">
      <c r="B4332" t="s">
        <v>10646</v>
      </c>
      <c r="C4332" s="71">
        <v>1</v>
      </c>
      <c r="D4332" s="75">
        <f t="shared" si="69"/>
        <v>1.402898388069752E-5</v>
      </c>
    </row>
    <row r="4333" spans="2:4" x14ac:dyDescent="0.25">
      <c r="B4333" t="s">
        <v>10647</v>
      </c>
      <c r="C4333" s="71">
        <v>1</v>
      </c>
      <c r="D4333" s="75">
        <f t="shared" si="69"/>
        <v>1.402898388069752E-5</v>
      </c>
    </row>
    <row r="4334" spans="2:4" x14ac:dyDescent="0.25">
      <c r="B4334" t="s">
        <v>10648</v>
      </c>
      <c r="C4334" s="71">
        <v>1</v>
      </c>
      <c r="D4334" s="75">
        <f t="shared" si="69"/>
        <v>1.402898388069752E-5</v>
      </c>
    </row>
    <row r="4335" spans="2:4" x14ac:dyDescent="0.25">
      <c r="B4335" t="s">
        <v>10649</v>
      </c>
      <c r="C4335" s="71">
        <v>1</v>
      </c>
      <c r="D4335" s="75">
        <f t="shared" si="69"/>
        <v>1.402898388069752E-5</v>
      </c>
    </row>
    <row r="4336" spans="2:4" x14ac:dyDescent="0.25">
      <c r="B4336" t="s">
        <v>10650</v>
      </c>
      <c r="C4336" s="71">
        <v>1</v>
      </c>
      <c r="D4336" s="75">
        <f t="shared" si="69"/>
        <v>1.402898388069752E-5</v>
      </c>
    </row>
    <row r="4337" spans="2:4" x14ac:dyDescent="0.25">
      <c r="B4337" t="s">
        <v>10651</v>
      </c>
      <c r="C4337" s="71">
        <v>1</v>
      </c>
      <c r="D4337" s="75">
        <f t="shared" si="69"/>
        <v>1.402898388069752E-5</v>
      </c>
    </row>
    <row r="4338" spans="2:4" x14ac:dyDescent="0.25">
      <c r="B4338" t="s">
        <v>10652</v>
      </c>
      <c r="C4338" s="71">
        <v>1</v>
      </c>
      <c r="D4338" s="75">
        <f t="shared" si="69"/>
        <v>1.402898388069752E-5</v>
      </c>
    </row>
    <row r="4339" spans="2:4" x14ac:dyDescent="0.25">
      <c r="B4339" t="s">
        <v>10653</v>
      </c>
      <c r="C4339" s="71">
        <v>1</v>
      </c>
      <c r="D4339" s="75">
        <f t="shared" si="69"/>
        <v>1.402898388069752E-5</v>
      </c>
    </row>
    <row r="4340" spans="2:4" x14ac:dyDescent="0.25">
      <c r="B4340" t="s">
        <v>10654</v>
      </c>
      <c r="C4340" s="71">
        <v>1</v>
      </c>
      <c r="D4340" s="75">
        <f t="shared" si="69"/>
        <v>1.402898388069752E-5</v>
      </c>
    </row>
    <row r="4341" spans="2:4" x14ac:dyDescent="0.25">
      <c r="B4341" t="s">
        <v>10655</v>
      </c>
      <c r="C4341" s="71">
        <v>1</v>
      </c>
      <c r="D4341" s="75">
        <f t="shared" si="69"/>
        <v>1.402898388069752E-5</v>
      </c>
    </row>
    <row r="4342" spans="2:4" x14ac:dyDescent="0.25">
      <c r="B4342" t="s">
        <v>10656</v>
      </c>
      <c r="C4342" s="71">
        <v>1</v>
      </c>
      <c r="D4342" s="75">
        <f t="shared" si="69"/>
        <v>1.402898388069752E-5</v>
      </c>
    </row>
    <row r="4343" spans="2:4" x14ac:dyDescent="0.25">
      <c r="B4343" t="s">
        <v>10657</v>
      </c>
      <c r="C4343" s="71">
        <v>1</v>
      </c>
      <c r="D4343" s="75">
        <f t="shared" si="69"/>
        <v>1.402898388069752E-5</v>
      </c>
    </row>
    <row r="4344" spans="2:4" x14ac:dyDescent="0.25">
      <c r="B4344" t="s">
        <v>10658</v>
      </c>
      <c r="C4344" s="71">
        <v>1</v>
      </c>
      <c r="D4344" s="75">
        <f t="shared" si="69"/>
        <v>1.402898388069752E-5</v>
      </c>
    </row>
    <row r="4345" spans="2:4" x14ac:dyDescent="0.25">
      <c r="B4345" t="s">
        <v>10659</v>
      </c>
      <c r="C4345" s="71">
        <v>1</v>
      </c>
      <c r="D4345" s="75">
        <f t="shared" si="69"/>
        <v>1.402898388069752E-5</v>
      </c>
    </row>
    <row r="4346" spans="2:4" x14ac:dyDescent="0.25">
      <c r="B4346" t="s">
        <v>10660</v>
      </c>
      <c r="C4346" s="71">
        <v>1</v>
      </c>
      <c r="D4346" s="75">
        <f t="shared" si="69"/>
        <v>1.402898388069752E-5</v>
      </c>
    </row>
    <row r="4347" spans="2:4" x14ac:dyDescent="0.25">
      <c r="B4347" t="s">
        <v>10661</v>
      </c>
      <c r="C4347" s="71">
        <v>1</v>
      </c>
      <c r="D4347" s="75">
        <f t="shared" si="69"/>
        <v>1.402898388069752E-5</v>
      </c>
    </row>
    <row r="4348" spans="2:4" x14ac:dyDescent="0.25">
      <c r="B4348" t="s">
        <v>10662</v>
      </c>
      <c r="C4348" s="71">
        <v>1</v>
      </c>
      <c r="D4348" s="75">
        <f t="shared" si="69"/>
        <v>1.402898388069752E-5</v>
      </c>
    </row>
    <row r="4349" spans="2:4" x14ac:dyDescent="0.25">
      <c r="B4349" t="s">
        <v>10663</v>
      </c>
      <c r="C4349" s="71">
        <v>1</v>
      </c>
      <c r="D4349" s="75">
        <f t="shared" si="69"/>
        <v>1.402898388069752E-5</v>
      </c>
    </row>
    <row r="4350" spans="2:4" x14ac:dyDescent="0.25">
      <c r="B4350" t="s">
        <v>10664</v>
      </c>
      <c r="C4350" s="71">
        <v>1</v>
      </c>
      <c r="D4350" s="75">
        <f t="shared" si="69"/>
        <v>1.402898388069752E-5</v>
      </c>
    </row>
    <row r="4351" spans="2:4" x14ac:dyDescent="0.25">
      <c r="B4351" t="s">
        <v>10665</v>
      </c>
      <c r="C4351" s="71">
        <v>1</v>
      </c>
      <c r="D4351" s="75">
        <f t="shared" si="69"/>
        <v>1.402898388069752E-5</v>
      </c>
    </row>
    <row r="4352" spans="2:4" x14ac:dyDescent="0.25">
      <c r="B4352" t="s">
        <v>10666</v>
      </c>
      <c r="C4352" s="71">
        <v>1</v>
      </c>
      <c r="D4352" s="75">
        <f t="shared" si="69"/>
        <v>1.402898388069752E-5</v>
      </c>
    </row>
    <row r="4353" spans="2:4" x14ac:dyDescent="0.25">
      <c r="B4353" t="s">
        <v>10667</v>
      </c>
      <c r="C4353" s="71">
        <v>1</v>
      </c>
      <c r="D4353" s="75">
        <f t="shared" si="69"/>
        <v>1.402898388069752E-5</v>
      </c>
    </row>
    <row r="4354" spans="2:4" x14ac:dyDescent="0.25">
      <c r="B4354" t="s">
        <v>10668</v>
      </c>
      <c r="C4354" s="71">
        <v>1</v>
      </c>
      <c r="D4354" s="75">
        <f t="shared" si="69"/>
        <v>1.402898388069752E-5</v>
      </c>
    </row>
    <row r="4355" spans="2:4" x14ac:dyDescent="0.25">
      <c r="B4355" t="s">
        <v>10669</v>
      </c>
      <c r="C4355" s="71">
        <v>1</v>
      </c>
      <c r="D4355" s="75">
        <f t="shared" si="69"/>
        <v>1.402898388069752E-5</v>
      </c>
    </row>
    <row r="4356" spans="2:4" x14ac:dyDescent="0.25">
      <c r="B4356" t="s">
        <v>10670</v>
      </c>
      <c r="C4356" s="71">
        <v>1</v>
      </c>
      <c r="D4356" s="75">
        <f t="shared" si="69"/>
        <v>1.402898388069752E-5</v>
      </c>
    </row>
    <row r="4357" spans="2:4" x14ac:dyDescent="0.25">
      <c r="B4357" t="s">
        <v>10671</v>
      </c>
      <c r="C4357" s="71">
        <v>1</v>
      </c>
      <c r="D4357" s="75">
        <f t="shared" si="69"/>
        <v>1.402898388069752E-5</v>
      </c>
    </row>
    <row r="4358" spans="2:4" x14ac:dyDescent="0.25">
      <c r="B4358" t="s">
        <v>10672</v>
      </c>
      <c r="C4358" s="71">
        <v>1</v>
      </c>
      <c r="D4358" s="75">
        <f t="shared" ref="D4358:D4421" si="70">C4358/$C$4822</f>
        <v>1.402898388069752E-5</v>
      </c>
    </row>
    <row r="4359" spans="2:4" x14ac:dyDescent="0.25">
      <c r="B4359" t="s">
        <v>10673</v>
      </c>
      <c r="C4359" s="71">
        <v>1</v>
      </c>
      <c r="D4359" s="75">
        <f t="shared" si="70"/>
        <v>1.402898388069752E-5</v>
      </c>
    </row>
    <row r="4360" spans="2:4" x14ac:dyDescent="0.25">
      <c r="B4360" t="s">
        <v>10674</v>
      </c>
      <c r="C4360" s="71">
        <v>1</v>
      </c>
      <c r="D4360" s="75">
        <f t="shared" si="70"/>
        <v>1.402898388069752E-5</v>
      </c>
    </row>
    <row r="4361" spans="2:4" x14ac:dyDescent="0.25">
      <c r="B4361" t="s">
        <v>10675</v>
      </c>
      <c r="C4361" s="71">
        <v>1</v>
      </c>
      <c r="D4361" s="75">
        <f t="shared" si="70"/>
        <v>1.402898388069752E-5</v>
      </c>
    </row>
    <row r="4362" spans="2:4" x14ac:dyDescent="0.25">
      <c r="B4362" t="s">
        <v>10676</v>
      </c>
      <c r="C4362" s="71">
        <v>1</v>
      </c>
      <c r="D4362" s="75">
        <f t="shared" si="70"/>
        <v>1.402898388069752E-5</v>
      </c>
    </row>
    <row r="4363" spans="2:4" x14ac:dyDescent="0.25">
      <c r="B4363" t="s">
        <v>10677</v>
      </c>
      <c r="C4363" s="71">
        <v>1</v>
      </c>
      <c r="D4363" s="75">
        <f t="shared" si="70"/>
        <v>1.402898388069752E-5</v>
      </c>
    </row>
    <row r="4364" spans="2:4" x14ac:dyDescent="0.25">
      <c r="B4364" t="s">
        <v>10678</v>
      </c>
      <c r="C4364" s="71">
        <v>1</v>
      </c>
      <c r="D4364" s="75">
        <f t="shared" si="70"/>
        <v>1.402898388069752E-5</v>
      </c>
    </row>
    <row r="4365" spans="2:4" x14ac:dyDescent="0.25">
      <c r="B4365" t="s">
        <v>10679</v>
      </c>
      <c r="C4365" s="71">
        <v>1</v>
      </c>
      <c r="D4365" s="75">
        <f t="shared" si="70"/>
        <v>1.402898388069752E-5</v>
      </c>
    </row>
    <row r="4366" spans="2:4" x14ac:dyDescent="0.25">
      <c r="B4366" t="s">
        <v>10680</v>
      </c>
      <c r="C4366" s="71">
        <v>1</v>
      </c>
      <c r="D4366" s="75">
        <f t="shared" si="70"/>
        <v>1.402898388069752E-5</v>
      </c>
    </row>
    <row r="4367" spans="2:4" x14ac:dyDescent="0.25">
      <c r="B4367" t="s">
        <v>10681</v>
      </c>
      <c r="C4367" s="71">
        <v>1</v>
      </c>
      <c r="D4367" s="75">
        <f t="shared" si="70"/>
        <v>1.402898388069752E-5</v>
      </c>
    </row>
    <row r="4368" spans="2:4" x14ac:dyDescent="0.25">
      <c r="B4368" t="s">
        <v>10682</v>
      </c>
      <c r="C4368" s="71">
        <v>1</v>
      </c>
      <c r="D4368" s="75">
        <f t="shared" si="70"/>
        <v>1.402898388069752E-5</v>
      </c>
    </row>
    <row r="4369" spans="2:4" x14ac:dyDescent="0.25">
      <c r="B4369" t="s">
        <v>10683</v>
      </c>
      <c r="C4369" s="71">
        <v>1</v>
      </c>
      <c r="D4369" s="75">
        <f t="shared" si="70"/>
        <v>1.402898388069752E-5</v>
      </c>
    </row>
    <row r="4370" spans="2:4" x14ac:dyDescent="0.25">
      <c r="B4370" t="s">
        <v>10684</v>
      </c>
      <c r="C4370" s="71">
        <v>1</v>
      </c>
      <c r="D4370" s="75">
        <f t="shared" si="70"/>
        <v>1.402898388069752E-5</v>
      </c>
    </row>
    <row r="4371" spans="2:4" x14ac:dyDescent="0.25">
      <c r="B4371" t="s">
        <v>10685</v>
      </c>
      <c r="C4371" s="71">
        <v>1</v>
      </c>
      <c r="D4371" s="75">
        <f t="shared" si="70"/>
        <v>1.402898388069752E-5</v>
      </c>
    </row>
    <row r="4372" spans="2:4" x14ac:dyDescent="0.25">
      <c r="B4372" t="s">
        <v>10686</v>
      </c>
      <c r="C4372" s="71">
        <v>1</v>
      </c>
      <c r="D4372" s="75">
        <f t="shared" si="70"/>
        <v>1.402898388069752E-5</v>
      </c>
    </row>
    <row r="4373" spans="2:4" x14ac:dyDescent="0.25">
      <c r="B4373" t="s">
        <v>10687</v>
      </c>
      <c r="C4373" s="71">
        <v>1</v>
      </c>
      <c r="D4373" s="75">
        <f t="shared" si="70"/>
        <v>1.402898388069752E-5</v>
      </c>
    </row>
    <row r="4374" spans="2:4" x14ac:dyDescent="0.25">
      <c r="B4374" t="s">
        <v>10688</v>
      </c>
      <c r="C4374" s="71">
        <v>1</v>
      </c>
      <c r="D4374" s="75">
        <f t="shared" si="70"/>
        <v>1.402898388069752E-5</v>
      </c>
    </row>
    <row r="4375" spans="2:4" x14ac:dyDescent="0.25">
      <c r="B4375" t="s">
        <v>10689</v>
      </c>
      <c r="C4375" s="71">
        <v>1</v>
      </c>
      <c r="D4375" s="75">
        <f t="shared" si="70"/>
        <v>1.402898388069752E-5</v>
      </c>
    </row>
    <row r="4376" spans="2:4" x14ac:dyDescent="0.25">
      <c r="B4376" t="s">
        <v>10690</v>
      </c>
      <c r="C4376" s="71">
        <v>1</v>
      </c>
      <c r="D4376" s="75">
        <f t="shared" si="70"/>
        <v>1.402898388069752E-5</v>
      </c>
    </row>
    <row r="4377" spans="2:4" x14ac:dyDescent="0.25">
      <c r="B4377" t="s">
        <v>10691</v>
      </c>
      <c r="C4377" s="71">
        <v>1</v>
      </c>
      <c r="D4377" s="75">
        <f t="shared" si="70"/>
        <v>1.402898388069752E-5</v>
      </c>
    </row>
    <row r="4378" spans="2:4" x14ac:dyDescent="0.25">
      <c r="B4378" t="s">
        <v>10692</v>
      </c>
      <c r="C4378" s="71">
        <v>1</v>
      </c>
      <c r="D4378" s="75">
        <f t="shared" si="70"/>
        <v>1.402898388069752E-5</v>
      </c>
    </row>
    <row r="4379" spans="2:4" x14ac:dyDescent="0.25">
      <c r="B4379" t="s">
        <v>10693</v>
      </c>
      <c r="C4379" s="71">
        <v>1</v>
      </c>
      <c r="D4379" s="75">
        <f t="shared" si="70"/>
        <v>1.402898388069752E-5</v>
      </c>
    </row>
    <row r="4380" spans="2:4" x14ac:dyDescent="0.25">
      <c r="B4380" t="s">
        <v>10694</v>
      </c>
      <c r="C4380" s="71">
        <v>1</v>
      </c>
      <c r="D4380" s="75">
        <f t="shared" si="70"/>
        <v>1.402898388069752E-5</v>
      </c>
    </row>
    <row r="4381" spans="2:4" x14ac:dyDescent="0.25">
      <c r="B4381" t="s">
        <v>10695</v>
      </c>
      <c r="C4381" s="71">
        <v>1</v>
      </c>
      <c r="D4381" s="75">
        <f t="shared" si="70"/>
        <v>1.402898388069752E-5</v>
      </c>
    </row>
    <row r="4382" spans="2:4" x14ac:dyDescent="0.25">
      <c r="B4382" t="s">
        <v>10696</v>
      </c>
      <c r="C4382" s="71">
        <v>1</v>
      </c>
      <c r="D4382" s="75">
        <f t="shared" si="70"/>
        <v>1.402898388069752E-5</v>
      </c>
    </row>
    <row r="4383" spans="2:4" x14ac:dyDescent="0.25">
      <c r="B4383" t="s">
        <v>10697</v>
      </c>
      <c r="C4383" s="71">
        <v>1</v>
      </c>
      <c r="D4383" s="75">
        <f t="shared" si="70"/>
        <v>1.402898388069752E-5</v>
      </c>
    </row>
    <row r="4384" spans="2:4" x14ac:dyDescent="0.25">
      <c r="B4384" t="s">
        <v>10698</v>
      </c>
      <c r="C4384" s="71">
        <v>1</v>
      </c>
      <c r="D4384" s="75">
        <f t="shared" si="70"/>
        <v>1.402898388069752E-5</v>
      </c>
    </row>
    <row r="4385" spans="2:4" x14ac:dyDescent="0.25">
      <c r="B4385" t="s">
        <v>10699</v>
      </c>
      <c r="C4385" s="71">
        <v>1</v>
      </c>
      <c r="D4385" s="75">
        <f t="shared" si="70"/>
        <v>1.402898388069752E-5</v>
      </c>
    </row>
    <row r="4386" spans="2:4" x14ac:dyDescent="0.25">
      <c r="B4386" t="s">
        <v>10700</v>
      </c>
      <c r="C4386" s="71">
        <v>1</v>
      </c>
      <c r="D4386" s="75">
        <f t="shared" si="70"/>
        <v>1.402898388069752E-5</v>
      </c>
    </row>
    <row r="4387" spans="2:4" x14ac:dyDescent="0.25">
      <c r="B4387" t="s">
        <v>10701</v>
      </c>
      <c r="C4387" s="71">
        <v>1</v>
      </c>
      <c r="D4387" s="75">
        <f t="shared" si="70"/>
        <v>1.402898388069752E-5</v>
      </c>
    </row>
    <row r="4388" spans="2:4" x14ac:dyDescent="0.25">
      <c r="B4388" t="s">
        <v>10702</v>
      </c>
      <c r="C4388" s="71">
        <v>1</v>
      </c>
      <c r="D4388" s="75">
        <f t="shared" si="70"/>
        <v>1.402898388069752E-5</v>
      </c>
    </row>
    <row r="4389" spans="2:4" x14ac:dyDescent="0.25">
      <c r="B4389" t="s">
        <v>10703</v>
      </c>
      <c r="C4389" s="71">
        <v>1</v>
      </c>
      <c r="D4389" s="75">
        <f t="shared" si="70"/>
        <v>1.402898388069752E-5</v>
      </c>
    </row>
    <row r="4390" spans="2:4" x14ac:dyDescent="0.25">
      <c r="B4390" t="s">
        <v>10704</v>
      </c>
      <c r="C4390" s="71">
        <v>1</v>
      </c>
      <c r="D4390" s="75">
        <f t="shared" si="70"/>
        <v>1.402898388069752E-5</v>
      </c>
    </row>
    <row r="4391" spans="2:4" x14ac:dyDescent="0.25">
      <c r="B4391" t="s">
        <v>10705</v>
      </c>
      <c r="C4391" s="71">
        <v>1</v>
      </c>
      <c r="D4391" s="75">
        <f t="shared" si="70"/>
        <v>1.402898388069752E-5</v>
      </c>
    </row>
    <row r="4392" spans="2:4" x14ac:dyDescent="0.25">
      <c r="B4392" t="s">
        <v>10706</v>
      </c>
      <c r="C4392" s="71">
        <v>1</v>
      </c>
      <c r="D4392" s="75">
        <f t="shared" si="70"/>
        <v>1.402898388069752E-5</v>
      </c>
    </row>
    <row r="4393" spans="2:4" x14ac:dyDescent="0.25">
      <c r="B4393" t="s">
        <v>10707</v>
      </c>
      <c r="C4393" s="71">
        <v>1</v>
      </c>
      <c r="D4393" s="75">
        <f t="shared" si="70"/>
        <v>1.402898388069752E-5</v>
      </c>
    </row>
    <row r="4394" spans="2:4" x14ac:dyDescent="0.25">
      <c r="B4394" t="s">
        <v>10708</v>
      </c>
      <c r="C4394" s="71">
        <v>1</v>
      </c>
      <c r="D4394" s="75">
        <f t="shared" si="70"/>
        <v>1.402898388069752E-5</v>
      </c>
    </row>
    <row r="4395" spans="2:4" x14ac:dyDescent="0.25">
      <c r="B4395" t="s">
        <v>10709</v>
      </c>
      <c r="C4395" s="71">
        <v>1</v>
      </c>
      <c r="D4395" s="75">
        <f t="shared" si="70"/>
        <v>1.402898388069752E-5</v>
      </c>
    </row>
    <row r="4396" spans="2:4" x14ac:dyDescent="0.25">
      <c r="B4396" t="s">
        <v>10710</v>
      </c>
      <c r="C4396" s="71">
        <v>1</v>
      </c>
      <c r="D4396" s="75">
        <f t="shared" si="70"/>
        <v>1.402898388069752E-5</v>
      </c>
    </row>
    <row r="4397" spans="2:4" x14ac:dyDescent="0.25">
      <c r="B4397" t="s">
        <v>10711</v>
      </c>
      <c r="C4397" s="71">
        <v>1</v>
      </c>
      <c r="D4397" s="75">
        <f t="shared" si="70"/>
        <v>1.402898388069752E-5</v>
      </c>
    </row>
    <row r="4398" spans="2:4" x14ac:dyDescent="0.25">
      <c r="B4398" t="s">
        <v>10712</v>
      </c>
      <c r="C4398" s="71">
        <v>1</v>
      </c>
      <c r="D4398" s="75">
        <f t="shared" si="70"/>
        <v>1.402898388069752E-5</v>
      </c>
    </row>
    <row r="4399" spans="2:4" x14ac:dyDescent="0.25">
      <c r="B4399" t="s">
        <v>10713</v>
      </c>
      <c r="C4399" s="71">
        <v>1</v>
      </c>
      <c r="D4399" s="75">
        <f t="shared" si="70"/>
        <v>1.402898388069752E-5</v>
      </c>
    </row>
    <row r="4400" spans="2:4" x14ac:dyDescent="0.25">
      <c r="B4400" t="s">
        <v>10714</v>
      </c>
      <c r="C4400" s="71">
        <v>1</v>
      </c>
      <c r="D4400" s="75">
        <f t="shared" si="70"/>
        <v>1.402898388069752E-5</v>
      </c>
    </row>
    <row r="4401" spans="2:4" x14ac:dyDescent="0.25">
      <c r="B4401" t="s">
        <v>10715</v>
      </c>
      <c r="C4401" s="71">
        <v>1</v>
      </c>
      <c r="D4401" s="75">
        <f t="shared" si="70"/>
        <v>1.402898388069752E-5</v>
      </c>
    </row>
    <row r="4402" spans="2:4" x14ac:dyDescent="0.25">
      <c r="B4402" t="s">
        <v>10716</v>
      </c>
      <c r="C4402" s="71">
        <v>1</v>
      </c>
      <c r="D4402" s="75">
        <f t="shared" si="70"/>
        <v>1.402898388069752E-5</v>
      </c>
    </row>
    <row r="4403" spans="2:4" x14ac:dyDescent="0.25">
      <c r="B4403" t="s">
        <v>10717</v>
      </c>
      <c r="C4403" s="71">
        <v>1</v>
      </c>
      <c r="D4403" s="75">
        <f t="shared" si="70"/>
        <v>1.402898388069752E-5</v>
      </c>
    </row>
    <row r="4404" spans="2:4" x14ac:dyDescent="0.25">
      <c r="B4404" t="s">
        <v>10718</v>
      </c>
      <c r="C4404" s="71">
        <v>1</v>
      </c>
      <c r="D4404" s="75">
        <f t="shared" si="70"/>
        <v>1.402898388069752E-5</v>
      </c>
    </row>
    <row r="4405" spans="2:4" x14ac:dyDescent="0.25">
      <c r="B4405" t="s">
        <v>10719</v>
      </c>
      <c r="C4405" s="71">
        <v>1</v>
      </c>
      <c r="D4405" s="75">
        <f t="shared" si="70"/>
        <v>1.402898388069752E-5</v>
      </c>
    </row>
    <row r="4406" spans="2:4" x14ac:dyDescent="0.25">
      <c r="B4406" t="e">
        <f>---ghemian</f>
        <v>#NAME?</v>
      </c>
      <c r="C4406" s="71">
        <v>1</v>
      </c>
      <c r="D4406" s="75">
        <f t="shared" si="70"/>
        <v>1.402898388069752E-5</v>
      </c>
    </row>
    <row r="4407" spans="2:4" x14ac:dyDescent="0.25">
      <c r="B4407" t="s">
        <v>10720</v>
      </c>
      <c r="C4407" s="71">
        <v>1</v>
      </c>
      <c r="D4407" s="75">
        <f t="shared" si="70"/>
        <v>1.402898388069752E-5</v>
      </c>
    </row>
    <row r="4408" spans="2:4" x14ac:dyDescent="0.25">
      <c r="B4408" t="s">
        <v>10721</v>
      </c>
      <c r="C4408" s="71">
        <v>1</v>
      </c>
      <c r="D4408" s="75">
        <f t="shared" si="70"/>
        <v>1.402898388069752E-5</v>
      </c>
    </row>
    <row r="4409" spans="2:4" x14ac:dyDescent="0.25">
      <c r="B4409" t="s">
        <v>10722</v>
      </c>
      <c r="C4409" s="71">
        <v>1</v>
      </c>
      <c r="D4409" s="75">
        <f t="shared" si="70"/>
        <v>1.402898388069752E-5</v>
      </c>
    </row>
    <row r="4410" spans="2:4" x14ac:dyDescent="0.25">
      <c r="B4410" t="s">
        <v>10723</v>
      </c>
      <c r="C4410" s="71">
        <v>1</v>
      </c>
      <c r="D4410" s="75">
        <f t="shared" si="70"/>
        <v>1.402898388069752E-5</v>
      </c>
    </row>
    <row r="4411" spans="2:4" x14ac:dyDescent="0.25">
      <c r="B4411" t="s">
        <v>10724</v>
      </c>
      <c r="C4411" s="71">
        <v>1</v>
      </c>
      <c r="D4411" s="75">
        <f t="shared" si="70"/>
        <v>1.402898388069752E-5</v>
      </c>
    </row>
    <row r="4412" spans="2:4" x14ac:dyDescent="0.25">
      <c r="B4412" t="s">
        <v>10725</v>
      </c>
      <c r="C4412" s="71">
        <v>1</v>
      </c>
      <c r="D4412" s="75">
        <f t="shared" si="70"/>
        <v>1.402898388069752E-5</v>
      </c>
    </row>
    <row r="4413" spans="2:4" x14ac:dyDescent="0.25">
      <c r="B4413" t="s">
        <v>10726</v>
      </c>
      <c r="C4413" s="71">
        <v>1</v>
      </c>
      <c r="D4413" s="75">
        <f t="shared" si="70"/>
        <v>1.402898388069752E-5</v>
      </c>
    </row>
    <row r="4414" spans="2:4" x14ac:dyDescent="0.25">
      <c r="B4414" t="s">
        <v>10727</v>
      </c>
      <c r="C4414" s="71">
        <v>1</v>
      </c>
      <c r="D4414" s="75">
        <f t="shared" si="70"/>
        <v>1.402898388069752E-5</v>
      </c>
    </row>
    <row r="4415" spans="2:4" x14ac:dyDescent="0.25">
      <c r="B4415" t="s">
        <v>10728</v>
      </c>
      <c r="C4415" s="71">
        <v>1</v>
      </c>
      <c r="D4415" s="75">
        <f t="shared" si="70"/>
        <v>1.402898388069752E-5</v>
      </c>
    </row>
    <row r="4416" spans="2:4" x14ac:dyDescent="0.25">
      <c r="B4416" t="s">
        <v>10729</v>
      </c>
      <c r="C4416" s="71">
        <v>1</v>
      </c>
      <c r="D4416" s="75">
        <f t="shared" si="70"/>
        <v>1.402898388069752E-5</v>
      </c>
    </row>
    <row r="4417" spans="2:4" x14ac:dyDescent="0.25">
      <c r="B4417" t="s">
        <v>10730</v>
      </c>
      <c r="C4417" s="71">
        <v>1</v>
      </c>
      <c r="D4417" s="75">
        <f t="shared" si="70"/>
        <v>1.402898388069752E-5</v>
      </c>
    </row>
    <row r="4418" spans="2:4" x14ac:dyDescent="0.25">
      <c r="B4418" t="s">
        <v>10731</v>
      </c>
      <c r="C4418" s="71">
        <v>1</v>
      </c>
      <c r="D4418" s="75">
        <f t="shared" si="70"/>
        <v>1.402898388069752E-5</v>
      </c>
    </row>
    <row r="4419" spans="2:4" x14ac:dyDescent="0.25">
      <c r="B4419" t="e">
        <f>---ttossian</f>
        <v>#NAME?</v>
      </c>
      <c r="C4419" s="71">
        <v>1</v>
      </c>
      <c r="D4419" s="75">
        <f t="shared" si="70"/>
        <v>1.402898388069752E-5</v>
      </c>
    </row>
    <row r="4420" spans="2:4" x14ac:dyDescent="0.25">
      <c r="B4420" t="s">
        <v>10732</v>
      </c>
      <c r="C4420" s="71">
        <v>1</v>
      </c>
      <c r="D4420" s="75">
        <f t="shared" si="70"/>
        <v>1.402898388069752E-5</v>
      </c>
    </row>
    <row r="4421" spans="2:4" x14ac:dyDescent="0.25">
      <c r="B4421" t="s">
        <v>10733</v>
      </c>
      <c r="C4421" s="71">
        <v>1</v>
      </c>
      <c r="D4421" s="75">
        <f t="shared" si="70"/>
        <v>1.402898388069752E-5</v>
      </c>
    </row>
    <row r="4422" spans="2:4" x14ac:dyDescent="0.25">
      <c r="B4422" t="s">
        <v>10734</v>
      </c>
      <c r="C4422" s="71">
        <v>1</v>
      </c>
      <c r="D4422" s="75">
        <f t="shared" ref="D4422:D4485" si="71">C4422/$C$4822</f>
        <v>1.402898388069752E-5</v>
      </c>
    </row>
    <row r="4423" spans="2:4" x14ac:dyDescent="0.25">
      <c r="B4423" t="s">
        <v>10735</v>
      </c>
      <c r="C4423" s="71">
        <v>1</v>
      </c>
      <c r="D4423" s="75">
        <f t="shared" si="71"/>
        <v>1.402898388069752E-5</v>
      </c>
    </row>
    <row r="4424" spans="2:4" x14ac:dyDescent="0.25">
      <c r="B4424" t="s">
        <v>10736</v>
      </c>
      <c r="C4424" s="71">
        <v>1</v>
      </c>
      <c r="D4424" s="75">
        <f t="shared" si="71"/>
        <v>1.402898388069752E-5</v>
      </c>
    </row>
    <row r="4425" spans="2:4" x14ac:dyDescent="0.25">
      <c r="B4425" t="s">
        <v>10737</v>
      </c>
      <c r="C4425" s="71">
        <v>1</v>
      </c>
      <c r="D4425" s="75">
        <f t="shared" si="71"/>
        <v>1.402898388069752E-5</v>
      </c>
    </row>
    <row r="4426" spans="2:4" x14ac:dyDescent="0.25">
      <c r="B4426" t="e">
        <f>---kilidjian</f>
        <v>#NAME?</v>
      </c>
      <c r="C4426" s="71">
        <v>1</v>
      </c>
      <c r="D4426" s="75">
        <f t="shared" si="71"/>
        <v>1.402898388069752E-5</v>
      </c>
    </row>
    <row r="4427" spans="2:4" x14ac:dyDescent="0.25">
      <c r="B4427" t="s">
        <v>10738</v>
      </c>
      <c r="C4427" s="71">
        <v>1</v>
      </c>
      <c r="D4427" s="75">
        <f t="shared" si="71"/>
        <v>1.402898388069752E-5</v>
      </c>
    </row>
    <row r="4428" spans="2:4" x14ac:dyDescent="0.25">
      <c r="B4428" t="s">
        <v>10739</v>
      </c>
      <c r="C4428" s="71">
        <v>1</v>
      </c>
      <c r="D4428" s="75">
        <f t="shared" si="71"/>
        <v>1.402898388069752E-5</v>
      </c>
    </row>
    <row r="4429" spans="2:4" x14ac:dyDescent="0.25">
      <c r="B4429" t="s">
        <v>10740</v>
      </c>
      <c r="C4429" s="71">
        <v>1</v>
      </c>
      <c r="D4429" s="75">
        <f t="shared" si="71"/>
        <v>1.402898388069752E-5</v>
      </c>
    </row>
    <row r="4430" spans="2:4" x14ac:dyDescent="0.25">
      <c r="B4430" t="s">
        <v>10741</v>
      </c>
      <c r="C4430" s="71">
        <v>1</v>
      </c>
      <c r="D4430" s="75">
        <f t="shared" si="71"/>
        <v>1.402898388069752E-5</v>
      </c>
    </row>
    <row r="4431" spans="2:4" x14ac:dyDescent="0.25">
      <c r="B4431" t="s">
        <v>10742</v>
      </c>
      <c r="C4431" s="71">
        <v>1</v>
      </c>
      <c r="D4431" s="75">
        <f t="shared" si="71"/>
        <v>1.402898388069752E-5</v>
      </c>
    </row>
    <row r="4432" spans="2:4" x14ac:dyDescent="0.25">
      <c r="B4432" t="s">
        <v>10743</v>
      </c>
      <c r="C4432" s="71">
        <v>1</v>
      </c>
      <c r="D4432" s="75">
        <f t="shared" si="71"/>
        <v>1.402898388069752E-5</v>
      </c>
    </row>
    <row r="4433" spans="2:4" x14ac:dyDescent="0.25">
      <c r="B4433" t="s">
        <v>10744</v>
      </c>
      <c r="C4433" s="71">
        <v>1</v>
      </c>
      <c r="D4433" s="75">
        <f t="shared" si="71"/>
        <v>1.402898388069752E-5</v>
      </c>
    </row>
    <row r="4434" spans="2:4" x14ac:dyDescent="0.25">
      <c r="B4434" t="s">
        <v>10745</v>
      </c>
      <c r="C4434" s="71">
        <v>1</v>
      </c>
      <c r="D4434" s="75">
        <f t="shared" si="71"/>
        <v>1.402898388069752E-5</v>
      </c>
    </row>
    <row r="4435" spans="2:4" x14ac:dyDescent="0.25">
      <c r="B4435" t="s">
        <v>10746</v>
      </c>
      <c r="C4435" s="71">
        <v>1</v>
      </c>
      <c r="D4435" s="75">
        <f t="shared" si="71"/>
        <v>1.402898388069752E-5</v>
      </c>
    </row>
    <row r="4436" spans="2:4" x14ac:dyDescent="0.25">
      <c r="B4436" t="s">
        <v>10747</v>
      </c>
      <c r="C4436" s="71">
        <v>1</v>
      </c>
      <c r="D4436" s="75">
        <f t="shared" si="71"/>
        <v>1.402898388069752E-5</v>
      </c>
    </row>
    <row r="4437" spans="2:4" x14ac:dyDescent="0.25">
      <c r="B4437" t="s">
        <v>10748</v>
      </c>
      <c r="C4437" s="71">
        <v>1</v>
      </c>
      <c r="D4437" s="75">
        <f t="shared" si="71"/>
        <v>1.402898388069752E-5</v>
      </c>
    </row>
    <row r="4438" spans="2:4" x14ac:dyDescent="0.25">
      <c r="B4438" t="s">
        <v>10749</v>
      </c>
      <c r="C4438" s="71">
        <v>1</v>
      </c>
      <c r="D4438" s="75">
        <f t="shared" si="71"/>
        <v>1.402898388069752E-5</v>
      </c>
    </row>
    <row r="4439" spans="2:4" x14ac:dyDescent="0.25">
      <c r="B4439" t="s">
        <v>10750</v>
      </c>
      <c r="C4439" s="71">
        <v>1</v>
      </c>
      <c r="D4439" s="75">
        <f t="shared" si="71"/>
        <v>1.402898388069752E-5</v>
      </c>
    </row>
    <row r="4440" spans="2:4" x14ac:dyDescent="0.25">
      <c r="B4440" t="s">
        <v>10751</v>
      </c>
      <c r="C4440" s="71">
        <v>1</v>
      </c>
      <c r="D4440" s="75">
        <f t="shared" si="71"/>
        <v>1.402898388069752E-5</v>
      </c>
    </row>
    <row r="4441" spans="2:4" x14ac:dyDescent="0.25">
      <c r="B4441" t="s">
        <v>10752</v>
      </c>
      <c r="C4441" s="71">
        <v>1</v>
      </c>
      <c r="D4441" s="75">
        <f t="shared" si="71"/>
        <v>1.402898388069752E-5</v>
      </c>
    </row>
    <row r="4442" spans="2:4" x14ac:dyDescent="0.25">
      <c r="B4442" t="s">
        <v>10753</v>
      </c>
      <c r="C4442" s="71">
        <v>1</v>
      </c>
      <c r="D4442" s="75">
        <f t="shared" si="71"/>
        <v>1.402898388069752E-5</v>
      </c>
    </row>
    <row r="4443" spans="2:4" x14ac:dyDescent="0.25">
      <c r="B4443" t="s">
        <v>10754</v>
      </c>
      <c r="C4443" s="71">
        <v>1</v>
      </c>
      <c r="D4443" s="75">
        <f t="shared" si="71"/>
        <v>1.402898388069752E-5</v>
      </c>
    </row>
    <row r="4444" spans="2:4" x14ac:dyDescent="0.25">
      <c r="B4444" t="s">
        <v>10755</v>
      </c>
      <c r="C4444" s="71">
        <v>1</v>
      </c>
      <c r="D4444" s="75">
        <f t="shared" si="71"/>
        <v>1.402898388069752E-5</v>
      </c>
    </row>
    <row r="4445" spans="2:4" x14ac:dyDescent="0.25">
      <c r="B4445" t="s">
        <v>10756</v>
      </c>
      <c r="C4445" s="71">
        <v>1</v>
      </c>
      <c r="D4445" s="75">
        <f t="shared" si="71"/>
        <v>1.402898388069752E-5</v>
      </c>
    </row>
    <row r="4446" spans="2:4" x14ac:dyDescent="0.25">
      <c r="B4446" t="s">
        <v>10757</v>
      </c>
      <c r="C4446" s="71">
        <v>1</v>
      </c>
      <c r="D4446" s="75">
        <f t="shared" si="71"/>
        <v>1.402898388069752E-5</v>
      </c>
    </row>
    <row r="4447" spans="2:4" x14ac:dyDescent="0.25">
      <c r="B4447" t="s">
        <v>10758</v>
      </c>
      <c r="C4447" s="71">
        <v>1</v>
      </c>
      <c r="D4447" s="75">
        <f t="shared" si="71"/>
        <v>1.402898388069752E-5</v>
      </c>
    </row>
    <row r="4448" spans="2:4" x14ac:dyDescent="0.25">
      <c r="B4448" t="s">
        <v>10759</v>
      </c>
      <c r="C4448" s="71">
        <v>1</v>
      </c>
      <c r="D4448" s="75">
        <f t="shared" si="71"/>
        <v>1.402898388069752E-5</v>
      </c>
    </row>
    <row r="4449" spans="2:4" x14ac:dyDescent="0.25">
      <c r="B4449" t="s">
        <v>10760</v>
      </c>
      <c r="C4449" s="71">
        <v>1</v>
      </c>
      <c r="D4449" s="75">
        <f t="shared" si="71"/>
        <v>1.402898388069752E-5</v>
      </c>
    </row>
    <row r="4450" spans="2:4" x14ac:dyDescent="0.25">
      <c r="B4450" t="s">
        <v>10761</v>
      </c>
      <c r="C4450" s="71">
        <v>1</v>
      </c>
      <c r="D4450" s="75">
        <f t="shared" si="71"/>
        <v>1.402898388069752E-5</v>
      </c>
    </row>
    <row r="4451" spans="2:4" x14ac:dyDescent="0.25">
      <c r="B4451" t="s">
        <v>10762</v>
      </c>
      <c r="C4451" s="71">
        <v>1</v>
      </c>
      <c r="D4451" s="75">
        <f t="shared" si="71"/>
        <v>1.402898388069752E-5</v>
      </c>
    </row>
    <row r="4452" spans="2:4" x14ac:dyDescent="0.25">
      <c r="B4452" t="s">
        <v>10763</v>
      </c>
      <c r="C4452" s="71">
        <v>1</v>
      </c>
      <c r="D4452" s="75">
        <f t="shared" si="71"/>
        <v>1.402898388069752E-5</v>
      </c>
    </row>
    <row r="4453" spans="2:4" x14ac:dyDescent="0.25">
      <c r="B4453" t="s">
        <v>10764</v>
      </c>
      <c r="C4453" s="71">
        <v>1</v>
      </c>
      <c r="D4453" s="75">
        <f t="shared" si="71"/>
        <v>1.402898388069752E-5</v>
      </c>
    </row>
    <row r="4454" spans="2:4" x14ac:dyDescent="0.25">
      <c r="B4454" t="s">
        <v>10765</v>
      </c>
      <c r="C4454" s="71">
        <v>1</v>
      </c>
      <c r="D4454" s="75">
        <f t="shared" si="71"/>
        <v>1.402898388069752E-5</v>
      </c>
    </row>
    <row r="4455" spans="2:4" x14ac:dyDescent="0.25">
      <c r="B4455" t="s">
        <v>10766</v>
      </c>
      <c r="C4455" s="71">
        <v>1</v>
      </c>
      <c r="D4455" s="75">
        <f t="shared" si="71"/>
        <v>1.402898388069752E-5</v>
      </c>
    </row>
    <row r="4456" spans="2:4" x14ac:dyDescent="0.25">
      <c r="B4456" t="s">
        <v>10767</v>
      </c>
      <c r="C4456" s="71">
        <v>1</v>
      </c>
      <c r="D4456" s="75">
        <f t="shared" si="71"/>
        <v>1.402898388069752E-5</v>
      </c>
    </row>
    <row r="4457" spans="2:4" x14ac:dyDescent="0.25">
      <c r="B4457" t="s">
        <v>10768</v>
      </c>
      <c r="C4457" s="71">
        <v>1</v>
      </c>
      <c r="D4457" s="75">
        <f t="shared" si="71"/>
        <v>1.402898388069752E-5</v>
      </c>
    </row>
    <row r="4458" spans="2:4" x14ac:dyDescent="0.25">
      <c r="B4458" t="s">
        <v>10769</v>
      </c>
      <c r="C4458" s="71">
        <v>1</v>
      </c>
      <c r="D4458" s="75">
        <f t="shared" si="71"/>
        <v>1.402898388069752E-5</v>
      </c>
    </row>
    <row r="4459" spans="2:4" x14ac:dyDescent="0.25">
      <c r="B4459" t="s">
        <v>10770</v>
      </c>
      <c r="C4459" s="71">
        <v>1</v>
      </c>
      <c r="D4459" s="75">
        <f t="shared" si="71"/>
        <v>1.402898388069752E-5</v>
      </c>
    </row>
    <row r="4460" spans="2:4" x14ac:dyDescent="0.25">
      <c r="B4460" t="s">
        <v>10771</v>
      </c>
      <c r="C4460" s="71">
        <v>1</v>
      </c>
      <c r="D4460" s="75">
        <f t="shared" si="71"/>
        <v>1.402898388069752E-5</v>
      </c>
    </row>
    <row r="4461" spans="2:4" x14ac:dyDescent="0.25">
      <c r="B4461" t="s">
        <v>10772</v>
      </c>
      <c r="C4461" s="71">
        <v>1</v>
      </c>
      <c r="D4461" s="75">
        <f t="shared" si="71"/>
        <v>1.402898388069752E-5</v>
      </c>
    </row>
    <row r="4462" spans="2:4" x14ac:dyDescent="0.25">
      <c r="B4462" t="s">
        <v>10773</v>
      </c>
      <c r="C4462" s="71">
        <v>1</v>
      </c>
      <c r="D4462" s="75">
        <f t="shared" si="71"/>
        <v>1.402898388069752E-5</v>
      </c>
    </row>
    <row r="4463" spans="2:4" x14ac:dyDescent="0.25">
      <c r="B4463" t="s">
        <v>10774</v>
      </c>
      <c r="C4463" s="71">
        <v>1</v>
      </c>
      <c r="D4463" s="75">
        <f t="shared" si="71"/>
        <v>1.402898388069752E-5</v>
      </c>
    </row>
    <row r="4464" spans="2:4" x14ac:dyDescent="0.25">
      <c r="B4464" t="s">
        <v>10775</v>
      </c>
      <c r="C4464" s="71">
        <v>1</v>
      </c>
      <c r="D4464" s="75">
        <f t="shared" si="71"/>
        <v>1.402898388069752E-5</v>
      </c>
    </row>
    <row r="4465" spans="2:4" x14ac:dyDescent="0.25">
      <c r="B4465" t="s">
        <v>10776</v>
      </c>
      <c r="C4465" s="71">
        <v>1</v>
      </c>
      <c r="D4465" s="75">
        <f t="shared" si="71"/>
        <v>1.402898388069752E-5</v>
      </c>
    </row>
    <row r="4466" spans="2:4" x14ac:dyDescent="0.25">
      <c r="B4466" t="s">
        <v>10777</v>
      </c>
      <c r="C4466" s="71">
        <v>1</v>
      </c>
      <c r="D4466" s="75">
        <f t="shared" si="71"/>
        <v>1.402898388069752E-5</v>
      </c>
    </row>
    <row r="4467" spans="2:4" x14ac:dyDescent="0.25">
      <c r="B4467" t="s">
        <v>10778</v>
      </c>
      <c r="C4467" s="71">
        <v>1</v>
      </c>
      <c r="D4467" s="75">
        <f t="shared" si="71"/>
        <v>1.402898388069752E-5</v>
      </c>
    </row>
    <row r="4468" spans="2:4" x14ac:dyDescent="0.25">
      <c r="B4468" t="s">
        <v>10779</v>
      </c>
      <c r="C4468" s="71">
        <v>1</v>
      </c>
      <c r="D4468" s="75">
        <f t="shared" si="71"/>
        <v>1.402898388069752E-5</v>
      </c>
    </row>
    <row r="4469" spans="2:4" x14ac:dyDescent="0.25">
      <c r="B4469" t="s">
        <v>10780</v>
      </c>
      <c r="C4469" s="71">
        <v>1</v>
      </c>
      <c r="D4469" s="75">
        <f t="shared" si="71"/>
        <v>1.402898388069752E-5</v>
      </c>
    </row>
    <row r="4470" spans="2:4" x14ac:dyDescent="0.25">
      <c r="B4470" t="s">
        <v>10781</v>
      </c>
      <c r="C4470" s="71">
        <v>1</v>
      </c>
      <c r="D4470" s="75">
        <f t="shared" si="71"/>
        <v>1.402898388069752E-5</v>
      </c>
    </row>
    <row r="4471" spans="2:4" x14ac:dyDescent="0.25">
      <c r="B4471" t="s">
        <v>10782</v>
      </c>
      <c r="C4471" s="71">
        <v>1</v>
      </c>
      <c r="D4471" s="75">
        <f t="shared" si="71"/>
        <v>1.402898388069752E-5</v>
      </c>
    </row>
    <row r="4472" spans="2:4" x14ac:dyDescent="0.25">
      <c r="B4472" t="s">
        <v>10783</v>
      </c>
      <c r="C4472" s="71">
        <v>1</v>
      </c>
      <c r="D4472" s="75">
        <f t="shared" si="71"/>
        <v>1.402898388069752E-5</v>
      </c>
    </row>
    <row r="4473" spans="2:4" x14ac:dyDescent="0.25">
      <c r="B4473" t="s">
        <v>10784</v>
      </c>
      <c r="C4473" s="71">
        <v>1</v>
      </c>
      <c r="D4473" s="75">
        <f t="shared" si="71"/>
        <v>1.402898388069752E-5</v>
      </c>
    </row>
    <row r="4474" spans="2:4" x14ac:dyDescent="0.25">
      <c r="B4474" t="s">
        <v>10785</v>
      </c>
      <c r="C4474" s="71">
        <v>1</v>
      </c>
      <c r="D4474" s="75">
        <f t="shared" si="71"/>
        <v>1.402898388069752E-5</v>
      </c>
    </row>
    <row r="4475" spans="2:4" x14ac:dyDescent="0.25">
      <c r="B4475" t="s">
        <v>10786</v>
      </c>
      <c r="C4475" s="71">
        <v>1</v>
      </c>
      <c r="D4475" s="75">
        <f t="shared" si="71"/>
        <v>1.402898388069752E-5</v>
      </c>
    </row>
    <row r="4476" spans="2:4" x14ac:dyDescent="0.25">
      <c r="B4476" t="s">
        <v>10787</v>
      </c>
      <c r="C4476" s="71">
        <v>1</v>
      </c>
      <c r="D4476" s="75">
        <f t="shared" si="71"/>
        <v>1.402898388069752E-5</v>
      </c>
    </row>
    <row r="4477" spans="2:4" x14ac:dyDescent="0.25">
      <c r="B4477" t="s">
        <v>10788</v>
      </c>
      <c r="C4477" s="71">
        <v>1</v>
      </c>
      <c r="D4477" s="75">
        <f t="shared" si="71"/>
        <v>1.402898388069752E-5</v>
      </c>
    </row>
    <row r="4478" spans="2:4" x14ac:dyDescent="0.25">
      <c r="B4478" t="s">
        <v>10789</v>
      </c>
      <c r="C4478" s="71">
        <v>1</v>
      </c>
      <c r="D4478" s="75">
        <f t="shared" si="71"/>
        <v>1.402898388069752E-5</v>
      </c>
    </row>
    <row r="4479" spans="2:4" x14ac:dyDescent="0.25">
      <c r="B4479" t="s">
        <v>10790</v>
      </c>
      <c r="C4479" s="71">
        <v>1</v>
      </c>
      <c r="D4479" s="75">
        <f t="shared" si="71"/>
        <v>1.402898388069752E-5</v>
      </c>
    </row>
    <row r="4480" spans="2:4" x14ac:dyDescent="0.25">
      <c r="B4480" t="s">
        <v>10791</v>
      </c>
      <c r="C4480" s="71">
        <v>1</v>
      </c>
      <c r="D4480" s="75">
        <f t="shared" si="71"/>
        <v>1.402898388069752E-5</v>
      </c>
    </row>
    <row r="4481" spans="2:4" x14ac:dyDescent="0.25">
      <c r="B4481" t="s">
        <v>10792</v>
      </c>
      <c r="C4481" s="71">
        <v>1</v>
      </c>
      <c r="D4481" s="75">
        <f t="shared" si="71"/>
        <v>1.402898388069752E-5</v>
      </c>
    </row>
    <row r="4482" spans="2:4" x14ac:dyDescent="0.25">
      <c r="B4482" t="s">
        <v>10793</v>
      </c>
      <c r="C4482" s="71">
        <v>1</v>
      </c>
      <c r="D4482" s="75">
        <f t="shared" si="71"/>
        <v>1.402898388069752E-5</v>
      </c>
    </row>
    <row r="4483" spans="2:4" x14ac:dyDescent="0.25">
      <c r="B4483" t="s">
        <v>10794</v>
      </c>
      <c r="C4483" s="71">
        <v>1</v>
      </c>
      <c r="D4483" s="75">
        <f t="shared" si="71"/>
        <v>1.402898388069752E-5</v>
      </c>
    </row>
    <row r="4484" spans="2:4" x14ac:dyDescent="0.25">
      <c r="B4484" t="s">
        <v>10795</v>
      </c>
      <c r="C4484" s="71">
        <v>1</v>
      </c>
      <c r="D4484" s="75">
        <f t="shared" si="71"/>
        <v>1.402898388069752E-5</v>
      </c>
    </row>
    <row r="4485" spans="2:4" x14ac:dyDescent="0.25">
      <c r="B4485" t="s">
        <v>10796</v>
      </c>
      <c r="C4485" s="71">
        <v>1</v>
      </c>
      <c r="D4485" s="75">
        <f t="shared" si="71"/>
        <v>1.402898388069752E-5</v>
      </c>
    </row>
    <row r="4486" spans="2:4" x14ac:dyDescent="0.25">
      <c r="B4486" t="s">
        <v>10797</v>
      </c>
      <c r="C4486" s="71">
        <v>1</v>
      </c>
      <c r="D4486" s="75">
        <f t="shared" ref="D4486:D4549" si="72">C4486/$C$4822</f>
        <v>1.402898388069752E-5</v>
      </c>
    </row>
    <row r="4487" spans="2:4" x14ac:dyDescent="0.25">
      <c r="B4487" t="s">
        <v>10798</v>
      </c>
      <c r="C4487" s="71">
        <v>1</v>
      </c>
      <c r="D4487" s="75">
        <f t="shared" si="72"/>
        <v>1.402898388069752E-5</v>
      </c>
    </row>
    <row r="4488" spans="2:4" x14ac:dyDescent="0.25">
      <c r="B4488" t="s">
        <v>10799</v>
      </c>
      <c r="C4488" s="71">
        <v>1</v>
      </c>
      <c r="D4488" s="75">
        <f t="shared" si="72"/>
        <v>1.402898388069752E-5</v>
      </c>
    </row>
    <row r="4489" spans="2:4" x14ac:dyDescent="0.25">
      <c r="B4489" t="s">
        <v>10800</v>
      </c>
      <c r="C4489" s="71">
        <v>1</v>
      </c>
      <c r="D4489" s="75">
        <f t="shared" si="72"/>
        <v>1.402898388069752E-5</v>
      </c>
    </row>
    <row r="4490" spans="2:4" x14ac:dyDescent="0.25">
      <c r="B4490" t="s">
        <v>10801</v>
      </c>
      <c r="C4490" s="71">
        <v>1</v>
      </c>
      <c r="D4490" s="75">
        <f t="shared" si="72"/>
        <v>1.402898388069752E-5</v>
      </c>
    </row>
    <row r="4491" spans="2:4" x14ac:dyDescent="0.25">
      <c r="B4491" t="s">
        <v>10802</v>
      </c>
      <c r="C4491" s="71">
        <v>1</v>
      </c>
      <c r="D4491" s="75">
        <f t="shared" si="72"/>
        <v>1.402898388069752E-5</v>
      </c>
    </row>
    <row r="4492" spans="2:4" x14ac:dyDescent="0.25">
      <c r="B4492" t="s">
        <v>10803</v>
      </c>
      <c r="C4492" s="71">
        <v>1</v>
      </c>
      <c r="D4492" s="75">
        <f t="shared" si="72"/>
        <v>1.402898388069752E-5</v>
      </c>
    </row>
    <row r="4493" spans="2:4" x14ac:dyDescent="0.25">
      <c r="B4493" t="s">
        <v>10804</v>
      </c>
      <c r="C4493" s="71">
        <v>1</v>
      </c>
      <c r="D4493" s="75">
        <f t="shared" si="72"/>
        <v>1.402898388069752E-5</v>
      </c>
    </row>
    <row r="4494" spans="2:4" x14ac:dyDescent="0.25">
      <c r="B4494" t="s">
        <v>10805</v>
      </c>
      <c r="C4494" s="71">
        <v>1</v>
      </c>
      <c r="D4494" s="75">
        <f t="shared" si="72"/>
        <v>1.402898388069752E-5</v>
      </c>
    </row>
    <row r="4495" spans="2:4" x14ac:dyDescent="0.25">
      <c r="B4495" t="s">
        <v>10806</v>
      </c>
      <c r="C4495" s="71">
        <v>1</v>
      </c>
      <c r="D4495" s="75">
        <f t="shared" si="72"/>
        <v>1.402898388069752E-5</v>
      </c>
    </row>
    <row r="4496" spans="2:4" x14ac:dyDescent="0.25">
      <c r="B4496" t="s">
        <v>10807</v>
      </c>
      <c r="C4496" s="71">
        <v>1</v>
      </c>
      <c r="D4496" s="75">
        <f t="shared" si="72"/>
        <v>1.402898388069752E-5</v>
      </c>
    </row>
    <row r="4497" spans="2:4" x14ac:dyDescent="0.25">
      <c r="B4497" t="s">
        <v>10808</v>
      </c>
      <c r="C4497" s="71">
        <v>1</v>
      </c>
      <c r="D4497" s="75">
        <f t="shared" si="72"/>
        <v>1.402898388069752E-5</v>
      </c>
    </row>
    <row r="4498" spans="2:4" x14ac:dyDescent="0.25">
      <c r="B4498" t="s">
        <v>10809</v>
      </c>
      <c r="C4498" s="71">
        <v>1</v>
      </c>
      <c r="D4498" s="75">
        <f t="shared" si="72"/>
        <v>1.402898388069752E-5</v>
      </c>
    </row>
    <row r="4499" spans="2:4" x14ac:dyDescent="0.25">
      <c r="B4499" t="s">
        <v>10810</v>
      </c>
      <c r="C4499" s="71">
        <v>1</v>
      </c>
      <c r="D4499" s="75">
        <f t="shared" si="72"/>
        <v>1.402898388069752E-5</v>
      </c>
    </row>
    <row r="4500" spans="2:4" x14ac:dyDescent="0.25">
      <c r="B4500" t="s">
        <v>10811</v>
      </c>
      <c r="C4500" s="71">
        <v>1</v>
      </c>
      <c r="D4500" s="75">
        <f t="shared" si="72"/>
        <v>1.402898388069752E-5</v>
      </c>
    </row>
    <row r="4501" spans="2:4" x14ac:dyDescent="0.25">
      <c r="B4501" t="s">
        <v>10812</v>
      </c>
      <c r="C4501" s="71">
        <v>1</v>
      </c>
      <c r="D4501" s="75">
        <f t="shared" si="72"/>
        <v>1.402898388069752E-5</v>
      </c>
    </row>
    <row r="4502" spans="2:4" x14ac:dyDescent="0.25">
      <c r="B4502" t="s">
        <v>10813</v>
      </c>
      <c r="C4502" s="71">
        <v>1</v>
      </c>
      <c r="D4502" s="75">
        <f t="shared" si="72"/>
        <v>1.402898388069752E-5</v>
      </c>
    </row>
    <row r="4503" spans="2:4" x14ac:dyDescent="0.25">
      <c r="B4503" t="s">
        <v>10814</v>
      </c>
      <c r="C4503" s="71">
        <v>1</v>
      </c>
      <c r="D4503" s="75">
        <f t="shared" si="72"/>
        <v>1.402898388069752E-5</v>
      </c>
    </row>
    <row r="4504" spans="2:4" x14ac:dyDescent="0.25">
      <c r="B4504" t="s">
        <v>10815</v>
      </c>
      <c r="C4504" s="71">
        <v>1</v>
      </c>
      <c r="D4504" s="75">
        <f t="shared" si="72"/>
        <v>1.402898388069752E-5</v>
      </c>
    </row>
    <row r="4505" spans="2:4" x14ac:dyDescent="0.25">
      <c r="B4505" t="s">
        <v>10816</v>
      </c>
      <c r="C4505" s="71">
        <v>1</v>
      </c>
      <c r="D4505" s="75">
        <f t="shared" si="72"/>
        <v>1.402898388069752E-5</v>
      </c>
    </row>
    <row r="4506" spans="2:4" x14ac:dyDescent="0.25">
      <c r="B4506" t="s">
        <v>10817</v>
      </c>
      <c r="C4506" s="71">
        <v>1</v>
      </c>
      <c r="D4506" s="75">
        <f t="shared" si="72"/>
        <v>1.402898388069752E-5</v>
      </c>
    </row>
    <row r="4507" spans="2:4" x14ac:dyDescent="0.25">
      <c r="B4507" t="s">
        <v>10818</v>
      </c>
      <c r="C4507" s="71">
        <v>1</v>
      </c>
      <c r="D4507" s="75">
        <f t="shared" si="72"/>
        <v>1.402898388069752E-5</v>
      </c>
    </row>
    <row r="4508" spans="2:4" x14ac:dyDescent="0.25">
      <c r="B4508" t="s">
        <v>10819</v>
      </c>
      <c r="C4508" s="71">
        <v>1</v>
      </c>
      <c r="D4508" s="75">
        <f t="shared" si="72"/>
        <v>1.402898388069752E-5</v>
      </c>
    </row>
    <row r="4509" spans="2:4" x14ac:dyDescent="0.25">
      <c r="B4509" t="s">
        <v>10820</v>
      </c>
      <c r="C4509" s="71">
        <v>1</v>
      </c>
      <c r="D4509" s="75">
        <f t="shared" si="72"/>
        <v>1.402898388069752E-5</v>
      </c>
    </row>
    <row r="4510" spans="2:4" x14ac:dyDescent="0.25">
      <c r="B4510" t="s">
        <v>10821</v>
      </c>
      <c r="C4510" s="71">
        <v>1</v>
      </c>
      <c r="D4510" s="75">
        <f t="shared" si="72"/>
        <v>1.402898388069752E-5</v>
      </c>
    </row>
    <row r="4511" spans="2:4" x14ac:dyDescent="0.25">
      <c r="B4511" t="s">
        <v>10822</v>
      </c>
      <c r="C4511" s="71">
        <v>1</v>
      </c>
      <c r="D4511" s="75">
        <f t="shared" si="72"/>
        <v>1.402898388069752E-5</v>
      </c>
    </row>
    <row r="4512" spans="2:4" x14ac:dyDescent="0.25">
      <c r="B4512" t="s">
        <v>10823</v>
      </c>
      <c r="C4512" s="71">
        <v>1</v>
      </c>
      <c r="D4512" s="75">
        <f t="shared" si="72"/>
        <v>1.402898388069752E-5</v>
      </c>
    </row>
    <row r="4513" spans="2:4" x14ac:dyDescent="0.25">
      <c r="B4513" t="s">
        <v>10824</v>
      </c>
      <c r="C4513" s="71">
        <v>1</v>
      </c>
      <c r="D4513" s="75">
        <f t="shared" si="72"/>
        <v>1.402898388069752E-5</v>
      </c>
    </row>
    <row r="4514" spans="2:4" x14ac:dyDescent="0.25">
      <c r="B4514" t="s">
        <v>10825</v>
      </c>
      <c r="C4514" s="71">
        <v>1</v>
      </c>
      <c r="D4514" s="75">
        <f t="shared" si="72"/>
        <v>1.402898388069752E-5</v>
      </c>
    </row>
    <row r="4515" spans="2:4" x14ac:dyDescent="0.25">
      <c r="B4515" t="s">
        <v>10826</v>
      </c>
      <c r="C4515" s="71">
        <v>1</v>
      </c>
      <c r="D4515" s="75">
        <f t="shared" si="72"/>
        <v>1.402898388069752E-5</v>
      </c>
    </row>
    <row r="4516" spans="2:4" x14ac:dyDescent="0.25">
      <c r="B4516" t="s">
        <v>10827</v>
      </c>
      <c r="C4516" s="71">
        <v>1</v>
      </c>
      <c r="D4516" s="75">
        <f t="shared" si="72"/>
        <v>1.402898388069752E-5</v>
      </c>
    </row>
    <row r="4517" spans="2:4" x14ac:dyDescent="0.25">
      <c r="B4517" t="s">
        <v>10828</v>
      </c>
      <c r="C4517" s="71">
        <v>1</v>
      </c>
      <c r="D4517" s="75">
        <f t="shared" si="72"/>
        <v>1.402898388069752E-5</v>
      </c>
    </row>
    <row r="4518" spans="2:4" x14ac:dyDescent="0.25">
      <c r="B4518" t="s">
        <v>10829</v>
      </c>
      <c r="C4518" s="71">
        <v>1</v>
      </c>
      <c r="D4518" s="75">
        <f t="shared" si="72"/>
        <v>1.402898388069752E-5</v>
      </c>
    </row>
    <row r="4519" spans="2:4" x14ac:dyDescent="0.25">
      <c r="B4519" t="s">
        <v>10830</v>
      </c>
      <c r="C4519" s="71">
        <v>1</v>
      </c>
      <c r="D4519" s="75">
        <f t="shared" si="72"/>
        <v>1.402898388069752E-5</v>
      </c>
    </row>
    <row r="4520" spans="2:4" x14ac:dyDescent="0.25">
      <c r="B4520" t="s">
        <v>10831</v>
      </c>
      <c r="C4520" s="71">
        <v>1</v>
      </c>
      <c r="D4520" s="75">
        <f t="shared" si="72"/>
        <v>1.402898388069752E-5</v>
      </c>
    </row>
    <row r="4521" spans="2:4" x14ac:dyDescent="0.25">
      <c r="B4521" t="s">
        <v>10832</v>
      </c>
      <c r="C4521" s="71">
        <v>1</v>
      </c>
      <c r="D4521" s="75">
        <f t="shared" si="72"/>
        <v>1.402898388069752E-5</v>
      </c>
    </row>
    <row r="4522" spans="2:4" x14ac:dyDescent="0.25">
      <c r="B4522" t="s">
        <v>10833</v>
      </c>
      <c r="C4522" s="71">
        <v>1</v>
      </c>
      <c r="D4522" s="75">
        <f t="shared" si="72"/>
        <v>1.402898388069752E-5</v>
      </c>
    </row>
    <row r="4523" spans="2:4" x14ac:dyDescent="0.25">
      <c r="B4523" t="s">
        <v>10834</v>
      </c>
      <c r="C4523" s="71">
        <v>1</v>
      </c>
      <c r="D4523" s="75">
        <f t="shared" si="72"/>
        <v>1.402898388069752E-5</v>
      </c>
    </row>
    <row r="4524" spans="2:4" x14ac:dyDescent="0.25">
      <c r="B4524" t="s">
        <v>10835</v>
      </c>
      <c r="C4524" s="71">
        <v>1</v>
      </c>
      <c r="D4524" s="75">
        <f t="shared" si="72"/>
        <v>1.402898388069752E-5</v>
      </c>
    </row>
    <row r="4525" spans="2:4" x14ac:dyDescent="0.25">
      <c r="B4525" t="s">
        <v>10836</v>
      </c>
      <c r="C4525" s="71">
        <v>1</v>
      </c>
      <c r="D4525" s="75">
        <f t="shared" si="72"/>
        <v>1.402898388069752E-5</v>
      </c>
    </row>
    <row r="4526" spans="2:4" x14ac:dyDescent="0.25">
      <c r="B4526" t="s">
        <v>10837</v>
      </c>
      <c r="C4526" s="71">
        <v>1</v>
      </c>
      <c r="D4526" s="75">
        <f t="shared" si="72"/>
        <v>1.402898388069752E-5</v>
      </c>
    </row>
    <row r="4527" spans="2:4" x14ac:dyDescent="0.25">
      <c r="B4527" t="s">
        <v>10838</v>
      </c>
      <c r="C4527" s="71">
        <v>1</v>
      </c>
      <c r="D4527" s="75">
        <f t="shared" si="72"/>
        <v>1.402898388069752E-5</v>
      </c>
    </row>
    <row r="4528" spans="2:4" x14ac:dyDescent="0.25">
      <c r="B4528" t="s">
        <v>10839</v>
      </c>
      <c r="C4528" s="71">
        <v>1</v>
      </c>
      <c r="D4528" s="75">
        <f t="shared" si="72"/>
        <v>1.402898388069752E-5</v>
      </c>
    </row>
    <row r="4529" spans="2:4" x14ac:dyDescent="0.25">
      <c r="B4529" t="s">
        <v>10840</v>
      </c>
      <c r="C4529" s="71">
        <v>1</v>
      </c>
      <c r="D4529" s="75">
        <f t="shared" si="72"/>
        <v>1.402898388069752E-5</v>
      </c>
    </row>
    <row r="4530" spans="2:4" x14ac:dyDescent="0.25">
      <c r="B4530" t="s">
        <v>10841</v>
      </c>
      <c r="C4530" s="71">
        <v>1</v>
      </c>
      <c r="D4530" s="75">
        <f t="shared" si="72"/>
        <v>1.402898388069752E-5</v>
      </c>
    </row>
    <row r="4531" spans="2:4" x14ac:dyDescent="0.25">
      <c r="B4531" t="s">
        <v>10842</v>
      </c>
      <c r="C4531" s="71">
        <v>1</v>
      </c>
      <c r="D4531" s="75">
        <f t="shared" si="72"/>
        <v>1.402898388069752E-5</v>
      </c>
    </row>
    <row r="4532" spans="2:4" x14ac:dyDescent="0.25">
      <c r="B4532" t="s">
        <v>10843</v>
      </c>
      <c r="C4532" s="71">
        <v>1</v>
      </c>
      <c r="D4532" s="75">
        <f t="shared" si="72"/>
        <v>1.402898388069752E-5</v>
      </c>
    </row>
    <row r="4533" spans="2:4" x14ac:dyDescent="0.25">
      <c r="B4533" t="s">
        <v>10844</v>
      </c>
      <c r="C4533" s="71">
        <v>1</v>
      </c>
      <c r="D4533" s="75">
        <f t="shared" si="72"/>
        <v>1.402898388069752E-5</v>
      </c>
    </row>
    <row r="4534" spans="2:4" x14ac:dyDescent="0.25">
      <c r="B4534" t="s">
        <v>10845</v>
      </c>
      <c r="C4534" s="71">
        <v>1</v>
      </c>
      <c r="D4534" s="75">
        <f t="shared" si="72"/>
        <v>1.402898388069752E-5</v>
      </c>
    </row>
    <row r="4535" spans="2:4" x14ac:dyDescent="0.25">
      <c r="B4535" t="s">
        <v>10846</v>
      </c>
      <c r="C4535" s="71">
        <v>1</v>
      </c>
      <c r="D4535" s="75">
        <f t="shared" si="72"/>
        <v>1.402898388069752E-5</v>
      </c>
    </row>
    <row r="4536" spans="2:4" x14ac:dyDescent="0.25">
      <c r="B4536" t="s">
        <v>10847</v>
      </c>
      <c r="C4536" s="71">
        <v>1</v>
      </c>
      <c r="D4536" s="75">
        <f t="shared" si="72"/>
        <v>1.402898388069752E-5</v>
      </c>
    </row>
    <row r="4537" spans="2:4" x14ac:dyDescent="0.25">
      <c r="B4537" t="s">
        <v>10848</v>
      </c>
      <c r="C4537" s="71">
        <v>1</v>
      </c>
      <c r="D4537" s="75">
        <f t="shared" si="72"/>
        <v>1.402898388069752E-5</v>
      </c>
    </row>
    <row r="4538" spans="2:4" x14ac:dyDescent="0.25">
      <c r="B4538" t="s">
        <v>10849</v>
      </c>
      <c r="C4538" s="71">
        <v>1</v>
      </c>
      <c r="D4538" s="75">
        <f t="shared" si="72"/>
        <v>1.402898388069752E-5</v>
      </c>
    </row>
    <row r="4539" spans="2:4" x14ac:dyDescent="0.25">
      <c r="B4539" t="s">
        <v>10850</v>
      </c>
      <c r="C4539" s="71">
        <v>1</v>
      </c>
      <c r="D4539" s="75">
        <f t="shared" si="72"/>
        <v>1.402898388069752E-5</v>
      </c>
    </row>
    <row r="4540" spans="2:4" x14ac:dyDescent="0.25">
      <c r="B4540" t="s">
        <v>10851</v>
      </c>
      <c r="C4540" s="71">
        <v>1</v>
      </c>
      <c r="D4540" s="75">
        <f t="shared" si="72"/>
        <v>1.402898388069752E-5</v>
      </c>
    </row>
    <row r="4541" spans="2:4" x14ac:dyDescent="0.25">
      <c r="B4541" t="e">
        <f>---uhtarian</f>
        <v>#NAME?</v>
      </c>
      <c r="C4541" s="71">
        <v>1</v>
      </c>
      <c r="D4541" s="75">
        <f t="shared" si="72"/>
        <v>1.402898388069752E-5</v>
      </c>
    </row>
    <row r="4542" spans="2:4" x14ac:dyDescent="0.25">
      <c r="B4542" t="s">
        <v>10852</v>
      </c>
      <c r="C4542" s="71">
        <v>1</v>
      </c>
      <c r="D4542" s="75">
        <f t="shared" si="72"/>
        <v>1.402898388069752E-5</v>
      </c>
    </row>
    <row r="4543" spans="2:4" x14ac:dyDescent="0.25">
      <c r="B4543" t="s">
        <v>10853</v>
      </c>
      <c r="C4543" s="71">
        <v>1</v>
      </c>
      <c r="D4543" s="75">
        <f t="shared" si="72"/>
        <v>1.402898388069752E-5</v>
      </c>
    </row>
    <row r="4544" spans="2:4" x14ac:dyDescent="0.25">
      <c r="B4544" t="s">
        <v>10854</v>
      </c>
      <c r="C4544" s="71">
        <v>1</v>
      </c>
      <c r="D4544" s="75">
        <f t="shared" si="72"/>
        <v>1.402898388069752E-5</v>
      </c>
    </row>
    <row r="4545" spans="2:4" x14ac:dyDescent="0.25">
      <c r="B4545" t="s">
        <v>10855</v>
      </c>
      <c r="C4545" s="71">
        <v>1</v>
      </c>
      <c r="D4545" s="75">
        <f t="shared" si="72"/>
        <v>1.402898388069752E-5</v>
      </c>
    </row>
    <row r="4546" spans="2:4" x14ac:dyDescent="0.25">
      <c r="B4546" t="s">
        <v>10856</v>
      </c>
      <c r="C4546" s="71">
        <v>1</v>
      </c>
      <c r="D4546" s="75">
        <f t="shared" si="72"/>
        <v>1.402898388069752E-5</v>
      </c>
    </row>
    <row r="4547" spans="2:4" x14ac:dyDescent="0.25">
      <c r="B4547" t="s">
        <v>10857</v>
      </c>
      <c r="C4547" s="71">
        <v>1</v>
      </c>
      <c r="D4547" s="75">
        <f t="shared" si="72"/>
        <v>1.402898388069752E-5</v>
      </c>
    </row>
    <row r="4548" spans="2:4" x14ac:dyDescent="0.25">
      <c r="B4548" t="s">
        <v>10858</v>
      </c>
      <c r="C4548" s="71">
        <v>1</v>
      </c>
      <c r="D4548" s="75">
        <f t="shared" si="72"/>
        <v>1.402898388069752E-5</v>
      </c>
    </row>
    <row r="4549" spans="2:4" x14ac:dyDescent="0.25">
      <c r="B4549" t="s">
        <v>10859</v>
      </c>
      <c r="C4549" s="71">
        <v>1</v>
      </c>
      <c r="D4549" s="75">
        <f t="shared" si="72"/>
        <v>1.402898388069752E-5</v>
      </c>
    </row>
    <row r="4550" spans="2:4" x14ac:dyDescent="0.25">
      <c r="B4550" t="s">
        <v>10860</v>
      </c>
      <c r="C4550" s="71">
        <v>1</v>
      </c>
      <c r="D4550" s="75">
        <f t="shared" ref="D4550:D4613" si="73">C4550/$C$4822</f>
        <v>1.402898388069752E-5</v>
      </c>
    </row>
    <row r="4551" spans="2:4" x14ac:dyDescent="0.25">
      <c r="B4551" t="s">
        <v>10861</v>
      </c>
      <c r="C4551" s="71">
        <v>1</v>
      </c>
      <c r="D4551" s="75">
        <f t="shared" si="73"/>
        <v>1.402898388069752E-5</v>
      </c>
    </row>
    <row r="4552" spans="2:4" x14ac:dyDescent="0.25">
      <c r="B4552" t="s">
        <v>10862</v>
      </c>
      <c r="C4552" s="71">
        <v>1</v>
      </c>
      <c r="D4552" s="75">
        <f t="shared" si="73"/>
        <v>1.402898388069752E-5</v>
      </c>
    </row>
    <row r="4553" spans="2:4" x14ac:dyDescent="0.25">
      <c r="B4553" t="s">
        <v>10863</v>
      </c>
      <c r="C4553" s="71">
        <v>1</v>
      </c>
      <c r="D4553" s="75">
        <f t="shared" si="73"/>
        <v>1.402898388069752E-5</v>
      </c>
    </row>
    <row r="4554" spans="2:4" x14ac:dyDescent="0.25">
      <c r="B4554" t="s">
        <v>10864</v>
      </c>
      <c r="C4554" s="71">
        <v>1</v>
      </c>
      <c r="D4554" s="75">
        <f t="shared" si="73"/>
        <v>1.402898388069752E-5</v>
      </c>
    </row>
    <row r="4555" spans="2:4" x14ac:dyDescent="0.25">
      <c r="B4555" t="s">
        <v>10865</v>
      </c>
      <c r="C4555" s="71">
        <v>1</v>
      </c>
      <c r="D4555" s="75">
        <f t="shared" si="73"/>
        <v>1.402898388069752E-5</v>
      </c>
    </row>
    <row r="4556" spans="2:4" x14ac:dyDescent="0.25">
      <c r="B4556" t="s">
        <v>10866</v>
      </c>
      <c r="C4556" s="71">
        <v>1</v>
      </c>
      <c r="D4556" s="75">
        <f t="shared" si="73"/>
        <v>1.402898388069752E-5</v>
      </c>
    </row>
    <row r="4557" spans="2:4" x14ac:dyDescent="0.25">
      <c r="B4557" t="s">
        <v>10867</v>
      </c>
      <c r="C4557" s="71">
        <v>1</v>
      </c>
      <c r="D4557" s="75">
        <f t="shared" si="73"/>
        <v>1.402898388069752E-5</v>
      </c>
    </row>
    <row r="4558" spans="2:4" x14ac:dyDescent="0.25">
      <c r="B4558" t="s">
        <v>10868</v>
      </c>
      <c r="C4558" s="71">
        <v>1</v>
      </c>
      <c r="D4558" s="75">
        <f t="shared" si="73"/>
        <v>1.402898388069752E-5</v>
      </c>
    </row>
    <row r="4559" spans="2:4" x14ac:dyDescent="0.25">
      <c r="B4559" t="s">
        <v>10869</v>
      </c>
      <c r="C4559" s="71">
        <v>1</v>
      </c>
      <c r="D4559" s="75">
        <f t="shared" si="73"/>
        <v>1.402898388069752E-5</v>
      </c>
    </row>
    <row r="4560" spans="2:4" x14ac:dyDescent="0.25">
      <c r="B4560" t="s">
        <v>10870</v>
      </c>
      <c r="C4560" s="71">
        <v>1</v>
      </c>
      <c r="D4560" s="75">
        <f t="shared" si="73"/>
        <v>1.402898388069752E-5</v>
      </c>
    </row>
    <row r="4561" spans="2:4" x14ac:dyDescent="0.25">
      <c r="B4561" t="s">
        <v>10871</v>
      </c>
      <c r="C4561" s="71">
        <v>1</v>
      </c>
      <c r="D4561" s="75">
        <f t="shared" si="73"/>
        <v>1.402898388069752E-5</v>
      </c>
    </row>
    <row r="4562" spans="2:4" x14ac:dyDescent="0.25">
      <c r="B4562" t="s">
        <v>10872</v>
      </c>
      <c r="C4562" s="71">
        <v>1</v>
      </c>
      <c r="D4562" s="75">
        <f t="shared" si="73"/>
        <v>1.402898388069752E-5</v>
      </c>
    </row>
    <row r="4563" spans="2:4" x14ac:dyDescent="0.25">
      <c r="B4563" t="s">
        <v>10873</v>
      </c>
      <c r="C4563" s="71">
        <v>1</v>
      </c>
      <c r="D4563" s="75">
        <f t="shared" si="73"/>
        <v>1.402898388069752E-5</v>
      </c>
    </row>
    <row r="4564" spans="2:4" x14ac:dyDescent="0.25">
      <c r="B4564" t="s">
        <v>10874</v>
      </c>
      <c r="C4564" s="71">
        <v>1</v>
      </c>
      <c r="D4564" s="75">
        <f t="shared" si="73"/>
        <v>1.402898388069752E-5</v>
      </c>
    </row>
    <row r="4565" spans="2:4" x14ac:dyDescent="0.25">
      <c r="B4565" t="s">
        <v>10875</v>
      </c>
      <c r="C4565" s="71">
        <v>1</v>
      </c>
      <c r="D4565" s="75">
        <f t="shared" si="73"/>
        <v>1.402898388069752E-5</v>
      </c>
    </row>
    <row r="4566" spans="2:4" x14ac:dyDescent="0.25">
      <c r="B4566" t="s">
        <v>10876</v>
      </c>
      <c r="C4566" s="71">
        <v>1</v>
      </c>
      <c r="D4566" s="75">
        <f t="shared" si="73"/>
        <v>1.402898388069752E-5</v>
      </c>
    </row>
    <row r="4567" spans="2:4" x14ac:dyDescent="0.25">
      <c r="B4567" t="s">
        <v>10877</v>
      </c>
      <c r="C4567" s="71">
        <v>1</v>
      </c>
      <c r="D4567" s="75">
        <f t="shared" si="73"/>
        <v>1.402898388069752E-5</v>
      </c>
    </row>
    <row r="4568" spans="2:4" x14ac:dyDescent="0.25">
      <c r="B4568" t="s">
        <v>10878</v>
      </c>
      <c r="C4568" s="71">
        <v>1</v>
      </c>
      <c r="D4568" s="75">
        <f t="shared" si="73"/>
        <v>1.402898388069752E-5</v>
      </c>
    </row>
    <row r="4569" spans="2:4" x14ac:dyDescent="0.25">
      <c r="B4569" t="s">
        <v>10879</v>
      </c>
      <c r="C4569" s="71">
        <v>1</v>
      </c>
      <c r="D4569" s="75">
        <f t="shared" si="73"/>
        <v>1.402898388069752E-5</v>
      </c>
    </row>
    <row r="4570" spans="2:4" x14ac:dyDescent="0.25">
      <c r="B4570" t="s">
        <v>10880</v>
      </c>
      <c r="C4570" s="71">
        <v>1</v>
      </c>
      <c r="D4570" s="75">
        <f t="shared" si="73"/>
        <v>1.402898388069752E-5</v>
      </c>
    </row>
    <row r="4571" spans="2:4" x14ac:dyDescent="0.25">
      <c r="B4571" t="s">
        <v>10881</v>
      </c>
      <c r="C4571" s="71">
        <v>1</v>
      </c>
      <c r="D4571" s="75">
        <f t="shared" si="73"/>
        <v>1.402898388069752E-5</v>
      </c>
    </row>
    <row r="4572" spans="2:4" x14ac:dyDescent="0.25">
      <c r="B4572" t="s">
        <v>10882</v>
      </c>
      <c r="C4572" s="71">
        <v>1</v>
      </c>
      <c r="D4572" s="75">
        <f t="shared" si="73"/>
        <v>1.402898388069752E-5</v>
      </c>
    </row>
    <row r="4573" spans="2:4" x14ac:dyDescent="0.25">
      <c r="B4573" t="s">
        <v>10883</v>
      </c>
      <c r="C4573" s="71">
        <v>1</v>
      </c>
      <c r="D4573" s="75">
        <f t="shared" si="73"/>
        <v>1.402898388069752E-5</v>
      </c>
    </row>
    <row r="4574" spans="2:4" x14ac:dyDescent="0.25">
      <c r="B4574" t="s">
        <v>10884</v>
      </c>
      <c r="C4574" s="71">
        <v>1</v>
      </c>
      <c r="D4574" s="75">
        <f t="shared" si="73"/>
        <v>1.402898388069752E-5</v>
      </c>
    </row>
    <row r="4575" spans="2:4" x14ac:dyDescent="0.25">
      <c r="B4575" t="s">
        <v>10885</v>
      </c>
      <c r="C4575" s="71">
        <v>1</v>
      </c>
      <c r="D4575" s="75">
        <f t="shared" si="73"/>
        <v>1.402898388069752E-5</v>
      </c>
    </row>
    <row r="4576" spans="2:4" x14ac:dyDescent="0.25">
      <c r="B4576" t="s">
        <v>10886</v>
      </c>
      <c r="C4576" s="71">
        <v>1</v>
      </c>
      <c r="D4576" s="75">
        <f t="shared" si="73"/>
        <v>1.402898388069752E-5</v>
      </c>
    </row>
    <row r="4577" spans="2:4" x14ac:dyDescent="0.25">
      <c r="B4577" t="s">
        <v>10887</v>
      </c>
      <c r="C4577" s="71">
        <v>1</v>
      </c>
      <c r="D4577" s="75">
        <f t="shared" si="73"/>
        <v>1.402898388069752E-5</v>
      </c>
    </row>
    <row r="4578" spans="2:4" x14ac:dyDescent="0.25">
      <c r="B4578" t="s">
        <v>10888</v>
      </c>
      <c r="C4578" s="71">
        <v>1</v>
      </c>
      <c r="D4578" s="75">
        <f t="shared" si="73"/>
        <v>1.402898388069752E-5</v>
      </c>
    </row>
    <row r="4579" spans="2:4" x14ac:dyDescent="0.25">
      <c r="B4579" t="s">
        <v>10889</v>
      </c>
      <c r="C4579" s="71">
        <v>1</v>
      </c>
      <c r="D4579" s="75">
        <f t="shared" si="73"/>
        <v>1.402898388069752E-5</v>
      </c>
    </row>
    <row r="4580" spans="2:4" x14ac:dyDescent="0.25">
      <c r="B4580" t="s">
        <v>10890</v>
      </c>
      <c r="C4580" s="71">
        <v>1</v>
      </c>
      <c r="D4580" s="75">
        <f t="shared" si="73"/>
        <v>1.402898388069752E-5</v>
      </c>
    </row>
    <row r="4581" spans="2:4" x14ac:dyDescent="0.25">
      <c r="B4581" t="s">
        <v>10891</v>
      </c>
      <c r="C4581" s="71">
        <v>1</v>
      </c>
      <c r="D4581" s="75">
        <f t="shared" si="73"/>
        <v>1.402898388069752E-5</v>
      </c>
    </row>
    <row r="4582" spans="2:4" x14ac:dyDescent="0.25">
      <c r="B4582" t="s">
        <v>10892</v>
      </c>
      <c r="C4582" s="71">
        <v>1</v>
      </c>
      <c r="D4582" s="75">
        <f t="shared" si="73"/>
        <v>1.402898388069752E-5</v>
      </c>
    </row>
    <row r="4583" spans="2:4" x14ac:dyDescent="0.25">
      <c r="B4583" t="s">
        <v>10893</v>
      </c>
      <c r="C4583" s="71">
        <v>1</v>
      </c>
      <c r="D4583" s="75">
        <f t="shared" si="73"/>
        <v>1.402898388069752E-5</v>
      </c>
    </row>
    <row r="4584" spans="2:4" x14ac:dyDescent="0.25">
      <c r="B4584" t="s">
        <v>10894</v>
      </c>
      <c r="C4584" s="71">
        <v>1</v>
      </c>
      <c r="D4584" s="75">
        <f t="shared" si="73"/>
        <v>1.402898388069752E-5</v>
      </c>
    </row>
    <row r="4585" spans="2:4" x14ac:dyDescent="0.25">
      <c r="B4585" t="s">
        <v>10895</v>
      </c>
      <c r="C4585" s="71">
        <v>1</v>
      </c>
      <c r="D4585" s="75">
        <f t="shared" si="73"/>
        <v>1.402898388069752E-5</v>
      </c>
    </row>
    <row r="4586" spans="2:4" x14ac:dyDescent="0.25">
      <c r="B4586" t="s">
        <v>10896</v>
      </c>
      <c r="C4586" s="71">
        <v>1</v>
      </c>
      <c r="D4586" s="75">
        <f t="shared" si="73"/>
        <v>1.402898388069752E-5</v>
      </c>
    </row>
    <row r="4587" spans="2:4" x14ac:dyDescent="0.25">
      <c r="B4587" t="s">
        <v>10897</v>
      </c>
      <c r="C4587" s="71">
        <v>1</v>
      </c>
      <c r="D4587" s="75">
        <f t="shared" si="73"/>
        <v>1.402898388069752E-5</v>
      </c>
    </row>
    <row r="4588" spans="2:4" x14ac:dyDescent="0.25">
      <c r="B4588" t="s">
        <v>10898</v>
      </c>
      <c r="C4588" s="71">
        <v>1</v>
      </c>
      <c r="D4588" s="75">
        <f t="shared" si="73"/>
        <v>1.402898388069752E-5</v>
      </c>
    </row>
    <row r="4589" spans="2:4" x14ac:dyDescent="0.25">
      <c r="B4589" t="s">
        <v>10899</v>
      </c>
      <c r="C4589" s="71">
        <v>1</v>
      </c>
      <c r="D4589" s="75">
        <f t="shared" si="73"/>
        <v>1.402898388069752E-5</v>
      </c>
    </row>
    <row r="4590" spans="2:4" x14ac:dyDescent="0.25">
      <c r="B4590" t="s">
        <v>10900</v>
      </c>
      <c r="C4590" s="71">
        <v>1</v>
      </c>
      <c r="D4590" s="75">
        <f t="shared" si="73"/>
        <v>1.402898388069752E-5</v>
      </c>
    </row>
    <row r="4591" spans="2:4" x14ac:dyDescent="0.25">
      <c r="B4591" t="s">
        <v>10901</v>
      </c>
      <c r="C4591" s="71">
        <v>1</v>
      </c>
      <c r="D4591" s="75">
        <f t="shared" si="73"/>
        <v>1.402898388069752E-5</v>
      </c>
    </row>
    <row r="4592" spans="2:4" x14ac:dyDescent="0.25">
      <c r="B4592" t="s">
        <v>10902</v>
      </c>
      <c r="C4592" s="71">
        <v>1</v>
      </c>
      <c r="D4592" s="75">
        <f t="shared" si="73"/>
        <v>1.402898388069752E-5</v>
      </c>
    </row>
    <row r="4593" spans="2:4" x14ac:dyDescent="0.25">
      <c r="B4593" t="s">
        <v>10903</v>
      </c>
      <c r="C4593" s="71">
        <v>1</v>
      </c>
      <c r="D4593" s="75">
        <f t="shared" si="73"/>
        <v>1.402898388069752E-5</v>
      </c>
    </row>
    <row r="4594" spans="2:4" x14ac:dyDescent="0.25">
      <c r="B4594" t="s">
        <v>10904</v>
      </c>
      <c r="C4594" s="71">
        <v>1</v>
      </c>
      <c r="D4594" s="75">
        <f t="shared" si="73"/>
        <v>1.402898388069752E-5</v>
      </c>
    </row>
    <row r="4595" spans="2:4" x14ac:dyDescent="0.25">
      <c r="B4595" t="s">
        <v>10905</v>
      </c>
      <c r="C4595" s="71">
        <v>1</v>
      </c>
      <c r="D4595" s="75">
        <f t="shared" si="73"/>
        <v>1.402898388069752E-5</v>
      </c>
    </row>
    <row r="4596" spans="2:4" x14ac:dyDescent="0.25">
      <c r="B4596" t="s">
        <v>10906</v>
      </c>
      <c r="C4596" s="71">
        <v>1</v>
      </c>
      <c r="D4596" s="75">
        <f t="shared" si="73"/>
        <v>1.402898388069752E-5</v>
      </c>
    </row>
    <row r="4597" spans="2:4" x14ac:dyDescent="0.25">
      <c r="B4597" t="s">
        <v>10907</v>
      </c>
      <c r="C4597" s="71">
        <v>1</v>
      </c>
      <c r="D4597" s="75">
        <f t="shared" si="73"/>
        <v>1.402898388069752E-5</v>
      </c>
    </row>
    <row r="4598" spans="2:4" x14ac:dyDescent="0.25">
      <c r="B4598" t="s">
        <v>10908</v>
      </c>
      <c r="C4598" s="71">
        <v>1</v>
      </c>
      <c r="D4598" s="75">
        <f t="shared" si="73"/>
        <v>1.402898388069752E-5</v>
      </c>
    </row>
    <row r="4599" spans="2:4" x14ac:dyDescent="0.25">
      <c r="B4599" t="s">
        <v>10909</v>
      </c>
      <c r="C4599" s="71">
        <v>1</v>
      </c>
      <c r="D4599" s="75">
        <f t="shared" si="73"/>
        <v>1.402898388069752E-5</v>
      </c>
    </row>
    <row r="4600" spans="2:4" x14ac:dyDescent="0.25">
      <c r="B4600" t="s">
        <v>10910</v>
      </c>
      <c r="C4600" s="71">
        <v>1</v>
      </c>
      <c r="D4600" s="75">
        <f t="shared" si="73"/>
        <v>1.402898388069752E-5</v>
      </c>
    </row>
    <row r="4601" spans="2:4" x14ac:dyDescent="0.25">
      <c r="B4601" t="s">
        <v>10911</v>
      </c>
      <c r="C4601" s="71">
        <v>1</v>
      </c>
      <c r="D4601" s="75">
        <f t="shared" si="73"/>
        <v>1.402898388069752E-5</v>
      </c>
    </row>
    <row r="4602" spans="2:4" x14ac:dyDescent="0.25">
      <c r="B4602" t="s">
        <v>10912</v>
      </c>
      <c r="C4602" s="71">
        <v>1</v>
      </c>
      <c r="D4602" s="75">
        <f t="shared" si="73"/>
        <v>1.402898388069752E-5</v>
      </c>
    </row>
    <row r="4603" spans="2:4" x14ac:dyDescent="0.25">
      <c r="B4603" t="s">
        <v>10913</v>
      </c>
      <c r="C4603" s="71">
        <v>1</v>
      </c>
      <c r="D4603" s="75">
        <f t="shared" si="73"/>
        <v>1.402898388069752E-5</v>
      </c>
    </row>
    <row r="4604" spans="2:4" x14ac:dyDescent="0.25">
      <c r="B4604" t="s">
        <v>10914</v>
      </c>
      <c r="C4604" s="71">
        <v>1</v>
      </c>
      <c r="D4604" s="75">
        <f t="shared" si="73"/>
        <v>1.402898388069752E-5</v>
      </c>
    </row>
    <row r="4605" spans="2:4" x14ac:dyDescent="0.25">
      <c r="B4605" t="s">
        <v>10915</v>
      </c>
      <c r="C4605" s="71">
        <v>1</v>
      </c>
      <c r="D4605" s="75">
        <f t="shared" si="73"/>
        <v>1.402898388069752E-5</v>
      </c>
    </row>
    <row r="4606" spans="2:4" x14ac:dyDescent="0.25">
      <c r="B4606" t="s">
        <v>10916</v>
      </c>
      <c r="C4606" s="71">
        <v>1</v>
      </c>
      <c r="D4606" s="75">
        <f t="shared" si="73"/>
        <v>1.402898388069752E-5</v>
      </c>
    </row>
    <row r="4607" spans="2:4" x14ac:dyDescent="0.25">
      <c r="B4607" t="s">
        <v>10917</v>
      </c>
      <c r="C4607" s="71">
        <v>1</v>
      </c>
      <c r="D4607" s="75">
        <f t="shared" si="73"/>
        <v>1.402898388069752E-5</v>
      </c>
    </row>
    <row r="4608" spans="2:4" x14ac:dyDescent="0.25">
      <c r="B4608" t="s">
        <v>10918</v>
      </c>
      <c r="C4608" s="71">
        <v>1</v>
      </c>
      <c r="D4608" s="75">
        <f t="shared" si="73"/>
        <v>1.402898388069752E-5</v>
      </c>
    </row>
    <row r="4609" spans="2:4" x14ac:dyDescent="0.25">
      <c r="B4609" t="s">
        <v>10919</v>
      </c>
      <c r="C4609" s="71">
        <v>1</v>
      </c>
      <c r="D4609" s="75">
        <f t="shared" si="73"/>
        <v>1.402898388069752E-5</v>
      </c>
    </row>
    <row r="4610" spans="2:4" x14ac:dyDescent="0.25">
      <c r="B4610" t="s">
        <v>10920</v>
      </c>
      <c r="C4610" s="71">
        <v>1</v>
      </c>
      <c r="D4610" s="75">
        <f t="shared" si="73"/>
        <v>1.402898388069752E-5</v>
      </c>
    </row>
    <row r="4611" spans="2:4" x14ac:dyDescent="0.25">
      <c r="B4611" t="s">
        <v>10921</v>
      </c>
      <c r="C4611" s="71">
        <v>1</v>
      </c>
      <c r="D4611" s="75">
        <f t="shared" si="73"/>
        <v>1.402898388069752E-5</v>
      </c>
    </row>
    <row r="4612" spans="2:4" x14ac:dyDescent="0.25">
      <c r="B4612" t="s">
        <v>10922</v>
      </c>
      <c r="C4612" s="71">
        <v>1</v>
      </c>
      <c r="D4612" s="75">
        <f t="shared" si="73"/>
        <v>1.402898388069752E-5</v>
      </c>
    </row>
    <row r="4613" spans="2:4" x14ac:dyDescent="0.25">
      <c r="B4613" t="s">
        <v>10923</v>
      </c>
      <c r="C4613" s="71">
        <v>1</v>
      </c>
      <c r="D4613" s="75">
        <f t="shared" si="73"/>
        <v>1.402898388069752E-5</v>
      </c>
    </row>
    <row r="4614" spans="2:4" x14ac:dyDescent="0.25">
      <c r="B4614" t="s">
        <v>10924</v>
      </c>
      <c r="C4614" s="71">
        <v>1</v>
      </c>
      <c r="D4614" s="75">
        <f t="shared" ref="D4614:D4677" si="74">C4614/$C$4822</f>
        <v>1.402898388069752E-5</v>
      </c>
    </row>
    <row r="4615" spans="2:4" x14ac:dyDescent="0.25">
      <c r="B4615" t="s">
        <v>10925</v>
      </c>
      <c r="C4615" s="71">
        <v>1</v>
      </c>
      <c r="D4615" s="75">
        <f t="shared" si="74"/>
        <v>1.402898388069752E-5</v>
      </c>
    </row>
    <row r="4616" spans="2:4" x14ac:dyDescent="0.25">
      <c r="B4616" t="s">
        <v>10926</v>
      </c>
      <c r="C4616" s="71">
        <v>1</v>
      </c>
      <c r="D4616" s="75">
        <f t="shared" si="74"/>
        <v>1.402898388069752E-5</v>
      </c>
    </row>
    <row r="4617" spans="2:4" x14ac:dyDescent="0.25">
      <c r="B4617" t="s">
        <v>10927</v>
      </c>
      <c r="C4617" s="71">
        <v>1</v>
      </c>
      <c r="D4617" s="75">
        <f t="shared" si="74"/>
        <v>1.402898388069752E-5</v>
      </c>
    </row>
    <row r="4618" spans="2:4" x14ac:dyDescent="0.25">
      <c r="B4618" t="s">
        <v>10928</v>
      </c>
      <c r="C4618" s="71">
        <v>1</v>
      </c>
      <c r="D4618" s="75">
        <f t="shared" si="74"/>
        <v>1.402898388069752E-5</v>
      </c>
    </row>
    <row r="4619" spans="2:4" x14ac:dyDescent="0.25">
      <c r="B4619" t="s">
        <v>10929</v>
      </c>
      <c r="C4619" s="71">
        <v>1</v>
      </c>
      <c r="D4619" s="75">
        <f t="shared" si="74"/>
        <v>1.402898388069752E-5</v>
      </c>
    </row>
    <row r="4620" spans="2:4" x14ac:dyDescent="0.25">
      <c r="B4620" t="s">
        <v>10930</v>
      </c>
      <c r="C4620" s="71">
        <v>1</v>
      </c>
      <c r="D4620" s="75">
        <f t="shared" si="74"/>
        <v>1.402898388069752E-5</v>
      </c>
    </row>
    <row r="4621" spans="2:4" x14ac:dyDescent="0.25">
      <c r="B4621" t="s">
        <v>10931</v>
      </c>
      <c r="C4621" s="71">
        <v>1</v>
      </c>
      <c r="D4621" s="75">
        <f t="shared" si="74"/>
        <v>1.402898388069752E-5</v>
      </c>
    </row>
    <row r="4622" spans="2:4" x14ac:dyDescent="0.25">
      <c r="B4622" t="s">
        <v>10932</v>
      </c>
      <c r="C4622" s="71">
        <v>1</v>
      </c>
      <c r="D4622" s="75">
        <f t="shared" si="74"/>
        <v>1.402898388069752E-5</v>
      </c>
    </row>
    <row r="4623" spans="2:4" x14ac:dyDescent="0.25">
      <c r="B4623" t="s">
        <v>10933</v>
      </c>
      <c r="C4623" s="71">
        <v>1</v>
      </c>
      <c r="D4623" s="75">
        <f t="shared" si="74"/>
        <v>1.402898388069752E-5</v>
      </c>
    </row>
    <row r="4624" spans="2:4" x14ac:dyDescent="0.25">
      <c r="B4624" t="s">
        <v>10934</v>
      </c>
      <c r="C4624" s="71">
        <v>1</v>
      </c>
      <c r="D4624" s="75">
        <f t="shared" si="74"/>
        <v>1.402898388069752E-5</v>
      </c>
    </row>
    <row r="4625" spans="2:4" x14ac:dyDescent="0.25">
      <c r="B4625" t="s">
        <v>10935</v>
      </c>
      <c r="C4625" s="71">
        <v>1</v>
      </c>
      <c r="D4625" s="75">
        <f t="shared" si="74"/>
        <v>1.402898388069752E-5</v>
      </c>
    </row>
    <row r="4626" spans="2:4" x14ac:dyDescent="0.25">
      <c r="B4626" t="s">
        <v>10936</v>
      </c>
      <c r="C4626" s="71">
        <v>1</v>
      </c>
      <c r="D4626" s="75">
        <f t="shared" si="74"/>
        <v>1.402898388069752E-5</v>
      </c>
    </row>
    <row r="4627" spans="2:4" x14ac:dyDescent="0.25">
      <c r="B4627" t="s">
        <v>10937</v>
      </c>
      <c r="C4627" s="71">
        <v>1</v>
      </c>
      <c r="D4627" s="75">
        <f t="shared" si="74"/>
        <v>1.402898388069752E-5</v>
      </c>
    </row>
    <row r="4628" spans="2:4" x14ac:dyDescent="0.25">
      <c r="B4628" t="s">
        <v>10938</v>
      </c>
      <c r="C4628" s="71">
        <v>1</v>
      </c>
      <c r="D4628" s="75">
        <f t="shared" si="74"/>
        <v>1.402898388069752E-5</v>
      </c>
    </row>
    <row r="4629" spans="2:4" x14ac:dyDescent="0.25">
      <c r="B4629" t="s">
        <v>10939</v>
      </c>
      <c r="C4629" s="71">
        <v>1</v>
      </c>
      <c r="D4629" s="75">
        <f t="shared" si="74"/>
        <v>1.402898388069752E-5</v>
      </c>
    </row>
    <row r="4630" spans="2:4" x14ac:dyDescent="0.25">
      <c r="B4630" t="s">
        <v>10940</v>
      </c>
      <c r="C4630" s="71">
        <v>1</v>
      </c>
      <c r="D4630" s="75">
        <f t="shared" si="74"/>
        <v>1.402898388069752E-5</v>
      </c>
    </row>
    <row r="4631" spans="2:4" x14ac:dyDescent="0.25">
      <c r="B4631" t="s">
        <v>10941</v>
      </c>
      <c r="C4631" s="71">
        <v>1</v>
      </c>
      <c r="D4631" s="75">
        <f t="shared" si="74"/>
        <v>1.402898388069752E-5</v>
      </c>
    </row>
    <row r="4632" spans="2:4" x14ac:dyDescent="0.25">
      <c r="B4632" t="s">
        <v>10942</v>
      </c>
      <c r="C4632" s="71">
        <v>1</v>
      </c>
      <c r="D4632" s="75">
        <f t="shared" si="74"/>
        <v>1.402898388069752E-5</v>
      </c>
    </row>
    <row r="4633" spans="2:4" x14ac:dyDescent="0.25">
      <c r="B4633" t="s">
        <v>10943</v>
      </c>
      <c r="C4633" s="71">
        <v>1</v>
      </c>
      <c r="D4633" s="75">
        <f t="shared" si="74"/>
        <v>1.402898388069752E-5</v>
      </c>
    </row>
    <row r="4634" spans="2:4" x14ac:dyDescent="0.25">
      <c r="B4634" t="s">
        <v>10944</v>
      </c>
      <c r="C4634" s="71">
        <v>1</v>
      </c>
      <c r="D4634" s="75">
        <f t="shared" si="74"/>
        <v>1.402898388069752E-5</v>
      </c>
    </row>
    <row r="4635" spans="2:4" x14ac:dyDescent="0.25">
      <c r="B4635" t="s">
        <v>10945</v>
      </c>
      <c r="C4635" s="71">
        <v>1</v>
      </c>
      <c r="D4635" s="75">
        <f t="shared" si="74"/>
        <v>1.402898388069752E-5</v>
      </c>
    </row>
    <row r="4636" spans="2:4" x14ac:dyDescent="0.25">
      <c r="B4636" t="s">
        <v>10946</v>
      </c>
      <c r="C4636" s="71">
        <v>1</v>
      </c>
      <c r="D4636" s="75">
        <f t="shared" si="74"/>
        <v>1.402898388069752E-5</v>
      </c>
    </row>
    <row r="4637" spans="2:4" x14ac:dyDescent="0.25">
      <c r="B4637" t="s">
        <v>10947</v>
      </c>
      <c r="C4637" s="71">
        <v>1</v>
      </c>
      <c r="D4637" s="75">
        <f t="shared" si="74"/>
        <v>1.402898388069752E-5</v>
      </c>
    </row>
    <row r="4638" spans="2:4" x14ac:dyDescent="0.25">
      <c r="B4638" t="s">
        <v>10948</v>
      </c>
      <c r="C4638" s="71">
        <v>1</v>
      </c>
      <c r="D4638" s="75">
        <f t="shared" si="74"/>
        <v>1.402898388069752E-5</v>
      </c>
    </row>
    <row r="4639" spans="2:4" x14ac:dyDescent="0.25">
      <c r="B4639" t="s">
        <v>10949</v>
      </c>
      <c r="C4639" s="71">
        <v>1</v>
      </c>
      <c r="D4639" s="75">
        <f t="shared" si="74"/>
        <v>1.402898388069752E-5</v>
      </c>
    </row>
    <row r="4640" spans="2:4" x14ac:dyDescent="0.25">
      <c r="B4640" t="s">
        <v>10950</v>
      </c>
      <c r="C4640" s="71">
        <v>1</v>
      </c>
      <c r="D4640" s="75">
        <f t="shared" si="74"/>
        <v>1.402898388069752E-5</v>
      </c>
    </row>
    <row r="4641" spans="2:4" x14ac:dyDescent="0.25">
      <c r="B4641" t="s">
        <v>10951</v>
      </c>
      <c r="C4641" s="71">
        <v>1</v>
      </c>
      <c r="D4641" s="75">
        <f t="shared" si="74"/>
        <v>1.402898388069752E-5</v>
      </c>
    </row>
    <row r="4642" spans="2:4" x14ac:dyDescent="0.25">
      <c r="B4642" t="s">
        <v>10952</v>
      </c>
      <c r="C4642" s="71">
        <v>1</v>
      </c>
      <c r="D4642" s="75">
        <f t="shared" si="74"/>
        <v>1.402898388069752E-5</v>
      </c>
    </row>
    <row r="4643" spans="2:4" x14ac:dyDescent="0.25">
      <c r="B4643" t="s">
        <v>10953</v>
      </c>
      <c r="C4643" s="71">
        <v>1</v>
      </c>
      <c r="D4643" s="75">
        <f t="shared" si="74"/>
        <v>1.402898388069752E-5</v>
      </c>
    </row>
    <row r="4644" spans="2:4" x14ac:dyDescent="0.25">
      <c r="B4644" t="s">
        <v>10954</v>
      </c>
      <c r="C4644" s="71">
        <v>1</v>
      </c>
      <c r="D4644" s="75">
        <f t="shared" si="74"/>
        <v>1.402898388069752E-5</v>
      </c>
    </row>
    <row r="4645" spans="2:4" x14ac:dyDescent="0.25">
      <c r="B4645" t="s">
        <v>10955</v>
      </c>
      <c r="C4645" s="71">
        <v>1</v>
      </c>
      <c r="D4645" s="75">
        <f t="shared" si="74"/>
        <v>1.402898388069752E-5</v>
      </c>
    </row>
    <row r="4646" spans="2:4" x14ac:dyDescent="0.25">
      <c r="B4646" t="s">
        <v>10956</v>
      </c>
      <c r="C4646" s="71">
        <v>1</v>
      </c>
      <c r="D4646" s="75">
        <f t="shared" si="74"/>
        <v>1.402898388069752E-5</v>
      </c>
    </row>
    <row r="4647" spans="2:4" x14ac:dyDescent="0.25">
      <c r="B4647" t="s">
        <v>10957</v>
      </c>
      <c r="C4647" s="71">
        <v>1</v>
      </c>
      <c r="D4647" s="75">
        <f t="shared" si="74"/>
        <v>1.402898388069752E-5</v>
      </c>
    </row>
    <row r="4648" spans="2:4" x14ac:dyDescent="0.25">
      <c r="B4648" t="s">
        <v>10958</v>
      </c>
      <c r="C4648" s="71">
        <v>1</v>
      </c>
      <c r="D4648" s="75">
        <f t="shared" si="74"/>
        <v>1.402898388069752E-5</v>
      </c>
    </row>
    <row r="4649" spans="2:4" x14ac:dyDescent="0.25">
      <c r="B4649" t="s">
        <v>10959</v>
      </c>
      <c r="C4649" s="71">
        <v>1</v>
      </c>
      <c r="D4649" s="75">
        <f t="shared" si="74"/>
        <v>1.402898388069752E-5</v>
      </c>
    </row>
    <row r="4650" spans="2:4" x14ac:dyDescent="0.25">
      <c r="B4650" t="s">
        <v>10960</v>
      </c>
      <c r="C4650" s="71">
        <v>1</v>
      </c>
      <c r="D4650" s="75">
        <f t="shared" si="74"/>
        <v>1.402898388069752E-5</v>
      </c>
    </row>
    <row r="4651" spans="2:4" x14ac:dyDescent="0.25">
      <c r="B4651" t="s">
        <v>10961</v>
      </c>
      <c r="C4651" s="71">
        <v>1</v>
      </c>
      <c r="D4651" s="75">
        <f t="shared" si="74"/>
        <v>1.402898388069752E-5</v>
      </c>
    </row>
    <row r="4652" spans="2:4" x14ac:dyDescent="0.25">
      <c r="B4652" t="s">
        <v>10962</v>
      </c>
      <c r="C4652" s="71">
        <v>1</v>
      </c>
      <c r="D4652" s="75">
        <f t="shared" si="74"/>
        <v>1.402898388069752E-5</v>
      </c>
    </row>
    <row r="4653" spans="2:4" x14ac:dyDescent="0.25">
      <c r="B4653" t="s">
        <v>10963</v>
      </c>
      <c r="C4653" s="71">
        <v>1</v>
      </c>
      <c r="D4653" s="75">
        <f t="shared" si="74"/>
        <v>1.402898388069752E-5</v>
      </c>
    </row>
    <row r="4654" spans="2:4" x14ac:dyDescent="0.25">
      <c r="B4654" t="s">
        <v>10964</v>
      </c>
      <c r="C4654" s="71">
        <v>1</v>
      </c>
      <c r="D4654" s="75">
        <f t="shared" si="74"/>
        <v>1.402898388069752E-5</v>
      </c>
    </row>
    <row r="4655" spans="2:4" x14ac:dyDescent="0.25">
      <c r="B4655" t="s">
        <v>10965</v>
      </c>
      <c r="C4655" s="71">
        <v>1</v>
      </c>
      <c r="D4655" s="75">
        <f t="shared" si="74"/>
        <v>1.402898388069752E-5</v>
      </c>
    </row>
    <row r="4656" spans="2:4" x14ac:dyDescent="0.25">
      <c r="B4656" t="s">
        <v>10966</v>
      </c>
      <c r="C4656" s="71">
        <v>1</v>
      </c>
      <c r="D4656" s="75">
        <f t="shared" si="74"/>
        <v>1.402898388069752E-5</v>
      </c>
    </row>
    <row r="4657" spans="2:4" x14ac:dyDescent="0.25">
      <c r="B4657" t="s">
        <v>10967</v>
      </c>
      <c r="C4657" s="71">
        <v>1</v>
      </c>
      <c r="D4657" s="75">
        <f t="shared" si="74"/>
        <v>1.402898388069752E-5</v>
      </c>
    </row>
    <row r="4658" spans="2:4" x14ac:dyDescent="0.25">
      <c r="B4658" t="s">
        <v>10968</v>
      </c>
      <c r="C4658" s="71">
        <v>1</v>
      </c>
      <c r="D4658" s="75">
        <f t="shared" si="74"/>
        <v>1.402898388069752E-5</v>
      </c>
    </row>
    <row r="4659" spans="2:4" x14ac:dyDescent="0.25">
      <c r="B4659" t="s">
        <v>10969</v>
      </c>
      <c r="C4659" s="71">
        <v>1</v>
      </c>
      <c r="D4659" s="75">
        <f t="shared" si="74"/>
        <v>1.402898388069752E-5</v>
      </c>
    </row>
    <row r="4660" spans="2:4" x14ac:dyDescent="0.25">
      <c r="B4660" t="s">
        <v>10970</v>
      </c>
      <c r="C4660" s="71">
        <v>1</v>
      </c>
      <c r="D4660" s="75">
        <f t="shared" si="74"/>
        <v>1.402898388069752E-5</v>
      </c>
    </row>
    <row r="4661" spans="2:4" x14ac:dyDescent="0.25">
      <c r="B4661" t="s">
        <v>10971</v>
      </c>
      <c r="C4661" s="71">
        <v>1</v>
      </c>
      <c r="D4661" s="75">
        <f t="shared" si="74"/>
        <v>1.402898388069752E-5</v>
      </c>
    </row>
    <row r="4662" spans="2:4" x14ac:dyDescent="0.25">
      <c r="B4662" t="s">
        <v>10972</v>
      </c>
      <c r="C4662" s="71">
        <v>1</v>
      </c>
      <c r="D4662" s="75">
        <f t="shared" si="74"/>
        <v>1.402898388069752E-5</v>
      </c>
    </row>
    <row r="4663" spans="2:4" x14ac:dyDescent="0.25">
      <c r="B4663" t="s">
        <v>10973</v>
      </c>
      <c r="C4663" s="71">
        <v>1</v>
      </c>
      <c r="D4663" s="75">
        <f t="shared" si="74"/>
        <v>1.402898388069752E-5</v>
      </c>
    </row>
    <row r="4664" spans="2:4" x14ac:dyDescent="0.25">
      <c r="B4664" t="s">
        <v>10974</v>
      </c>
      <c r="C4664" s="71">
        <v>1</v>
      </c>
      <c r="D4664" s="75">
        <f t="shared" si="74"/>
        <v>1.402898388069752E-5</v>
      </c>
    </row>
    <row r="4665" spans="2:4" x14ac:dyDescent="0.25">
      <c r="B4665" t="e">
        <f>---lian</f>
        <v>#NAME?</v>
      </c>
      <c r="C4665" s="71">
        <v>1</v>
      </c>
      <c r="D4665" s="75">
        <f t="shared" si="74"/>
        <v>1.402898388069752E-5</v>
      </c>
    </row>
    <row r="4666" spans="2:4" x14ac:dyDescent="0.25">
      <c r="B4666" t="s">
        <v>10975</v>
      </c>
      <c r="C4666" s="71">
        <v>1</v>
      </c>
      <c r="D4666" s="75">
        <f t="shared" si="74"/>
        <v>1.402898388069752E-5</v>
      </c>
    </row>
    <row r="4667" spans="2:4" x14ac:dyDescent="0.25">
      <c r="B4667" t="s">
        <v>10976</v>
      </c>
      <c r="C4667" s="71">
        <v>1</v>
      </c>
      <c r="D4667" s="75">
        <f t="shared" si="74"/>
        <v>1.402898388069752E-5</v>
      </c>
    </row>
    <row r="4668" spans="2:4" x14ac:dyDescent="0.25">
      <c r="B4668" t="s">
        <v>10977</v>
      </c>
      <c r="C4668" s="71">
        <v>1</v>
      </c>
      <c r="D4668" s="75">
        <f t="shared" si="74"/>
        <v>1.402898388069752E-5</v>
      </c>
    </row>
    <row r="4669" spans="2:4" x14ac:dyDescent="0.25">
      <c r="B4669" t="s">
        <v>10978</v>
      </c>
      <c r="C4669" s="71">
        <v>1</v>
      </c>
      <c r="D4669" s="75">
        <f t="shared" si="74"/>
        <v>1.402898388069752E-5</v>
      </c>
    </row>
    <row r="4670" spans="2:4" x14ac:dyDescent="0.25">
      <c r="B4670" t="s">
        <v>10979</v>
      </c>
      <c r="C4670" s="71">
        <v>1</v>
      </c>
      <c r="D4670" s="75">
        <f t="shared" si="74"/>
        <v>1.402898388069752E-5</v>
      </c>
    </row>
    <row r="4671" spans="2:4" x14ac:dyDescent="0.25">
      <c r="B4671" t="s">
        <v>10980</v>
      </c>
      <c r="C4671" s="71">
        <v>1</v>
      </c>
      <c r="D4671" s="75">
        <f t="shared" si="74"/>
        <v>1.402898388069752E-5</v>
      </c>
    </row>
    <row r="4672" spans="2:4" x14ac:dyDescent="0.25">
      <c r="B4672" t="s">
        <v>10981</v>
      </c>
      <c r="C4672" s="71">
        <v>1</v>
      </c>
      <c r="D4672" s="75">
        <f t="shared" si="74"/>
        <v>1.402898388069752E-5</v>
      </c>
    </row>
    <row r="4673" spans="2:4" x14ac:dyDescent="0.25">
      <c r="B4673" t="s">
        <v>10982</v>
      </c>
      <c r="C4673" s="71">
        <v>1</v>
      </c>
      <c r="D4673" s="75">
        <f t="shared" si="74"/>
        <v>1.402898388069752E-5</v>
      </c>
    </row>
    <row r="4674" spans="2:4" x14ac:dyDescent="0.25">
      <c r="B4674" t="s">
        <v>10983</v>
      </c>
      <c r="C4674" s="71">
        <v>1</v>
      </c>
      <c r="D4674" s="75">
        <f t="shared" si="74"/>
        <v>1.402898388069752E-5</v>
      </c>
    </row>
    <row r="4675" spans="2:4" x14ac:dyDescent="0.25">
      <c r="B4675" t="s">
        <v>10984</v>
      </c>
      <c r="C4675" s="71">
        <v>1</v>
      </c>
      <c r="D4675" s="75">
        <f t="shared" si="74"/>
        <v>1.402898388069752E-5</v>
      </c>
    </row>
    <row r="4676" spans="2:4" x14ac:dyDescent="0.25">
      <c r="B4676" t="s">
        <v>10985</v>
      </c>
      <c r="C4676" s="71">
        <v>1</v>
      </c>
      <c r="D4676" s="75">
        <f t="shared" si="74"/>
        <v>1.402898388069752E-5</v>
      </c>
    </row>
    <row r="4677" spans="2:4" x14ac:dyDescent="0.25">
      <c r="B4677" t="s">
        <v>10986</v>
      </c>
      <c r="C4677" s="71">
        <v>1</v>
      </c>
      <c r="D4677" s="75">
        <f t="shared" si="74"/>
        <v>1.402898388069752E-5</v>
      </c>
    </row>
    <row r="4678" spans="2:4" x14ac:dyDescent="0.25">
      <c r="B4678" t="s">
        <v>10987</v>
      </c>
      <c r="C4678" s="71">
        <v>1</v>
      </c>
      <c r="D4678" s="75">
        <f t="shared" ref="D4678:D4741" si="75">C4678/$C$4822</f>
        <v>1.402898388069752E-5</v>
      </c>
    </row>
    <row r="4679" spans="2:4" x14ac:dyDescent="0.25">
      <c r="B4679" t="s">
        <v>10988</v>
      </c>
      <c r="C4679" s="71">
        <v>1</v>
      </c>
      <c r="D4679" s="75">
        <f t="shared" si="75"/>
        <v>1.402898388069752E-5</v>
      </c>
    </row>
    <row r="4680" spans="2:4" x14ac:dyDescent="0.25">
      <c r="B4680" t="s">
        <v>10989</v>
      </c>
      <c r="C4680" s="71">
        <v>1</v>
      </c>
      <c r="D4680" s="75">
        <f t="shared" si="75"/>
        <v>1.402898388069752E-5</v>
      </c>
    </row>
    <row r="4681" spans="2:4" x14ac:dyDescent="0.25">
      <c r="B4681" t="s">
        <v>10990</v>
      </c>
      <c r="C4681" s="71">
        <v>1</v>
      </c>
      <c r="D4681" s="75">
        <f t="shared" si="75"/>
        <v>1.402898388069752E-5</v>
      </c>
    </row>
    <row r="4682" spans="2:4" x14ac:dyDescent="0.25">
      <c r="B4682" t="s">
        <v>10991</v>
      </c>
      <c r="C4682" s="71">
        <v>1</v>
      </c>
      <c r="D4682" s="75">
        <f t="shared" si="75"/>
        <v>1.402898388069752E-5</v>
      </c>
    </row>
    <row r="4683" spans="2:4" x14ac:dyDescent="0.25">
      <c r="B4683" t="s">
        <v>10992</v>
      </c>
      <c r="C4683" s="71">
        <v>1</v>
      </c>
      <c r="D4683" s="75">
        <f t="shared" si="75"/>
        <v>1.402898388069752E-5</v>
      </c>
    </row>
    <row r="4684" spans="2:4" x14ac:dyDescent="0.25">
      <c r="B4684" t="s">
        <v>10993</v>
      </c>
      <c r="C4684" s="71">
        <v>1</v>
      </c>
      <c r="D4684" s="75">
        <f t="shared" si="75"/>
        <v>1.402898388069752E-5</v>
      </c>
    </row>
    <row r="4685" spans="2:4" x14ac:dyDescent="0.25">
      <c r="B4685" t="s">
        <v>10994</v>
      </c>
      <c r="C4685" s="71">
        <v>1</v>
      </c>
      <c r="D4685" s="75">
        <f t="shared" si="75"/>
        <v>1.402898388069752E-5</v>
      </c>
    </row>
    <row r="4686" spans="2:4" x14ac:dyDescent="0.25">
      <c r="B4686" t="s">
        <v>10995</v>
      </c>
      <c r="C4686" s="71">
        <v>1</v>
      </c>
      <c r="D4686" s="75">
        <f t="shared" si="75"/>
        <v>1.402898388069752E-5</v>
      </c>
    </row>
    <row r="4687" spans="2:4" x14ac:dyDescent="0.25">
      <c r="B4687" t="s">
        <v>10996</v>
      </c>
      <c r="C4687" s="71">
        <v>1</v>
      </c>
      <c r="D4687" s="75">
        <f t="shared" si="75"/>
        <v>1.402898388069752E-5</v>
      </c>
    </row>
    <row r="4688" spans="2:4" x14ac:dyDescent="0.25">
      <c r="B4688" t="s">
        <v>10997</v>
      </c>
      <c r="C4688" s="71">
        <v>1</v>
      </c>
      <c r="D4688" s="75">
        <f t="shared" si="75"/>
        <v>1.402898388069752E-5</v>
      </c>
    </row>
    <row r="4689" spans="2:4" x14ac:dyDescent="0.25">
      <c r="B4689" t="s">
        <v>10998</v>
      </c>
      <c r="C4689" s="71">
        <v>1</v>
      </c>
      <c r="D4689" s="75">
        <f t="shared" si="75"/>
        <v>1.402898388069752E-5</v>
      </c>
    </row>
    <row r="4690" spans="2:4" x14ac:dyDescent="0.25">
      <c r="B4690" t="s">
        <v>10999</v>
      </c>
      <c r="C4690" s="71">
        <v>1</v>
      </c>
      <c r="D4690" s="75">
        <f t="shared" si="75"/>
        <v>1.402898388069752E-5</v>
      </c>
    </row>
    <row r="4691" spans="2:4" x14ac:dyDescent="0.25">
      <c r="B4691" t="s">
        <v>11000</v>
      </c>
      <c r="C4691" s="71">
        <v>1</v>
      </c>
      <c r="D4691" s="75">
        <f t="shared" si="75"/>
        <v>1.402898388069752E-5</v>
      </c>
    </row>
    <row r="4692" spans="2:4" x14ac:dyDescent="0.25">
      <c r="B4692" t="s">
        <v>11001</v>
      </c>
      <c r="C4692" s="71">
        <v>1</v>
      </c>
      <c r="D4692" s="75">
        <f t="shared" si="75"/>
        <v>1.402898388069752E-5</v>
      </c>
    </row>
    <row r="4693" spans="2:4" x14ac:dyDescent="0.25">
      <c r="B4693" t="s">
        <v>11002</v>
      </c>
      <c r="C4693" s="71">
        <v>1</v>
      </c>
      <c r="D4693" s="75">
        <f t="shared" si="75"/>
        <v>1.402898388069752E-5</v>
      </c>
    </row>
    <row r="4694" spans="2:4" x14ac:dyDescent="0.25">
      <c r="B4694" t="s">
        <v>11003</v>
      </c>
      <c r="C4694" s="71">
        <v>1</v>
      </c>
      <c r="D4694" s="75">
        <f t="shared" si="75"/>
        <v>1.402898388069752E-5</v>
      </c>
    </row>
    <row r="4695" spans="2:4" x14ac:dyDescent="0.25">
      <c r="B4695" t="s">
        <v>11004</v>
      </c>
      <c r="C4695" s="71">
        <v>1</v>
      </c>
      <c r="D4695" s="75">
        <f t="shared" si="75"/>
        <v>1.402898388069752E-5</v>
      </c>
    </row>
    <row r="4696" spans="2:4" x14ac:dyDescent="0.25">
      <c r="B4696" t="s">
        <v>11005</v>
      </c>
      <c r="C4696" s="71">
        <v>1</v>
      </c>
      <c r="D4696" s="75">
        <f t="shared" si="75"/>
        <v>1.402898388069752E-5</v>
      </c>
    </row>
    <row r="4697" spans="2:4" x14ac:dyDescent="0.25">
      <c r="B4697" t="s">
        <v>11006</v>
      </c>
      <c r="C4697" s="71">
        <v>1</v>
      </c>
      <c r="D4697" s="75">
        <f t="shared" si="75"/>
        <v>1.402898388069752E-5</v>
      </c>
    </row>
    <row r="4698" spans="2:4" x14ac:dyDescent="0.25">
      <c r="B4698" t="s">
        <v>11007</v>
      </c>
      <c r="C4698" s="71">
        <v>1</v>
      </c>
      <c r="D4698" s="75">
        <f t="shared" si="75"/>
        <v>1.402898388069752E-5</v>
      </c>
    </row>
    <row r="4699" spans="2:4" x14ac:dyDescent="0.25">
      <c r="B4699" t="s">
        <v>11008</v>
      </c>
      <c r="C4699" s="71">
        <v>1</v>
      </c>
      <c r="D4699" s="75">
        <f t="shared" si="75"/>
        <v>1.402898388069752E-5</v>
      </c>
    </row>
    <row r="4700" spans="2:4" x14ac:dyDescent="0.25">
      <c r="B4700" t="s">
        <v>11009</v>
      </c>
      <c r="C4700" s="71">
        <v>1</v>
      </c>
      <c r="D4700" s="75">
        <f t="shared" si="75"/>
        <v>1.402898388069752E-5</v>
      </c>
    </row>
    <row r="4701" spans="2:4" x14ac:dyDescent="0.25">
      <c r="B4701" t="s">
        <v>11010</v>
      </c>
      <c r="C4701" s="71">
        <v>1</v>
      </c>
      <c r="D4701" s="75">
        <f t="shared" si="75"/>
        <v>1.402898388069752E-5</v>
      </c>
    </row>
    <row r="4702" spans="2:4" x14ac:dyDescent="0.25">
      <c r="B4702" t="s">
        <v>11011</v>
      </c>
      <c r="C4702" s="71">
        <v>1</v>
      </c>
      <c r="D4702" s="75">
        <f t="shared" si="75"/>
        <v>1.402898388069752E-5</v>
      </c>
    </row>
    <row r="4703" spans="2:4" x14ac:dyDescent="0.25">
      <c r="B4703" t="e">
        <f>---ramakian</f>
        <v>#NAME?</v>
      </c>
      <c r="C4703" s="71">
        <v>1</v>
      </c>
      <c r="D4703" s="75">
        <f t="shared" si="75"/>
        <v>1.402898388069752E-5</v>
      </c>
    </row>
    <row r="4704" spans="2:4" x14ac:dyDescent="0.25">
      <c r="B4704" t="s">
        <v>11012</v>
      </c>
      <c r="C4704" s="71">
        <v>1</v>
      </c>
      <c r="D4704" s="75">
        <f t="shared" si="75"/>
        <v>1.402898388069752E-5</v>
      </c>
    </row>
    <row r="4705" spans="2:4" x14ac:dyDescent="0.25">
      <c r="B4705" t="s">
        <v>11013</v>
      </c>
      <c r="C4705" s="71">
        <v>1</v>
      </c>
      <c r="D4705" s="75">
        <f t="shared" si="75"/>
        <v>1.402898388069752E-5</v>
      </c>
    </row>
    <row r="4706" spans="2:4" x14ac:dyDescent="0.25">
      <c r="B4706" t="s">
        <v>11014</v>
      </c>
      <c r="C4706" s="71">
        <v>1</v>
      </c>
      <c r="D4706" s="75">
        <f t="shared" si="75"/>
        <v>1.402898388069752E-5</v>
      </c>
    </row>
    <row r="4707" spans="2:4" x14ac:dyDescent="0.25">
      <c r="B4707" t="s">
        <v>11015</v>
      </c>
      <c r="C4707" s="71">
        <v>1</v>
      </c>
      <c r="D4707" s="75">
        <f t="shared" si="75"/>
        <v>1.402898388069752E-5</v>
      </c>
    </row>
    <row r="4708" spans="2:4" x14ac:dyDescent="0.25">
      <c r="B4708" t="s">
        <v>11016</v>
      </c>
      <c r="C4708" s="71">
        <v>1</v>
      </c>
      <c r="D4708" s="75">
        <f t="shared" si="75"/>
        <v>1.402898388069752E-5</v>
      </c>
    </row>
    <row r="4709" spans="2:4" x14ac:dyDescent="0.25">
      <c r="B4709" t="s">
        <v>11017</v>
      </c>
      <c r="C4709" s="71">
        <v>1</v>
      </c>
      <c r="D4709" s="75">
        <f t="shared" si="75"/>
        <v>1.402898388069752E-5</v>
      </c>
    </row>
    <row r="4710" spans="2:4" x14ac:dyDescent="0.25">
      <c r="B4710" t="s">
        <v>11018</v>
      </c>
      <c r="C4710" s="71">
        <v>1</v>
      </c>
      <c r="D4710" s="75">
        <f t="shared" si="75"/>
        <v>1.402898388069752E-5</v>
      </c>
    </row>
    <row r="4711" spans="2:4" x14ac:dyDescent="0.25">
      <c r="B4711" t="s">
        <v>11019</v>
      </c>
      <c r="C4711" s="71">
        <v>1</v>
      </c>
      <c r="D4711" s="75">
        <f t="shared" si="75"/>
        <v>1.402898388069752E-5</v>
      </c>
    </row>
    <row r="4712" spans="2:4" x14ac:dyDescent="0.25">
      <c r="B4712" t="s">
        <v>11020</v>
      </c>
      <c r="C4712" s="71">
        <v>1</v>
      </c>
      <c r="D4712" s="75">
        <f t="shared" si="75"/>
        <v>1.402898388069752E-5</v>
      </c>
    </row>
    <row r="4713" spans="2:4" x14ac:dyDescent="0.25">
      <c r="B4713" t="s">
        <v>11021</v>
      </c>
      <c r="C4713" s="71">
        <v>1</v>
      </c>
      <c r="D4713" s="75">
        <f t="shared" si="75"/>
        <v>1.402898388069752E-5</v>
      </c>
    </row>
    <row r="4714" spans="2:4" x14ac:dyDescent="0.25">
      <c r="B4714" t="s">
        <v>11022</v>
      </c>
      <c r="C4714" s="71">
        <v>1</v>
      </c>
      <c r="D4714" s="75">
        <f t="shared" si="75"/>
        <v>1.402898388069752E-5</v>
      </c>
    </row>
    <row r="4715" spans="2:4" x14ac:dyDescent="0.25">
      <c r="B4715" t="s">
        <v>11023</v>
      </c>
      <c r="C4715" s="71">
        <v>1</v>
      </c>
      <c r="D4715" s="75">
        <f t="shared" si="75"/>
        <v>1.402898388069752E-5</v>
      </c>
    </row>
    <row r="4716" spans="2:4" x14ac:dyDescent="0.25">
      <c r="B4716" t="s">
        <v>11024</v>
      </c>
      <c r="C4716" s="71">
        <v>1</v>
      </c>
      <c r="D4716" s="75">
        <f t="shared" si="75"/>
        <v>1.402898388069752E-5</v>
      </c>
    </row>
    <row r="4717" spans="2:4" x14ac:dyDescent="0.25">
      <c r="B4717" t="s">
        <v>11025</v>
      </c>
      <c r="C4717" s="71">
        <v>1</v>
      </c>
      <c r="D4717" s="75">
        <f t="shared" si="75"/>
        <v>1.402898388069752E-5</v>
      </c>
    </row>
    <row r="4718" spans="2:4" x14ac:dyDescent="0.25">
      <c r="B4718" t="s">
        <v>11026</v>
      </c>
      <c r="C4718" s="71">
        <v>1</v>
      </c>
      <c r="D4718" s="75">
        <f t="shared" si="75"/>
        <v>1.402898388069752E-5</v>
      </c>
    </row>
    <row r="4719" spans="2:4" x14ac:dyDescent="0.25">
      <c r="B4719" t="s">
        <v>11027</v>
      </c>
      <c r="C4719" s="71">
        <v>1</v>
      </c>
      <c r="D4719" s="75">
        <f t="shared" si="75"/>
        <v>1.402898388069752E-5</v>
      </c>
    </row>
    <row r="4720" spans="2:4" x14ac:dyDescent="0.25">
      <c r="B4720" t="s">
        <v>11028</v>
      </c>
      <c r="C4720" s="71">
        <v>1</v>
      </c>
      <c r="D4720" s="75">
        <f t="shared" si="75"/>
        <v>1.402898388069752E-5</v>
      </c>
    </row>
    <row r="4721" spans="2:4" x14ac:dyDescent="0.25">
      <c r="B4721" t="s">
        <v>11029</v>
      </c>
      <c r="C4721" s="71">
        <v>1</v>
      </c>
      <c r="D4721" s="75">
        <f t="shared" si="75"/>
        <v>1.402898388069752E-5</v>
      </c>
    </row>
    <row r="4722" spans="2:4" x14ac:dyDescent="0.25">
      <c r="B4722" t="s">
        <v>11030</v>
      </c>
      <c r="C4722" s="71">
        <v>1</v>
      </c>
      <c r="D4722" s="75">
        <f t="shared" si="75"/>
        <v>1.402898388069752E-5</v>
      </c>
    </row>
    <row r="4723" spans="2:4" x14ac:dyDescent="0.25">
      <c r="B4723" t="s">
        <v>11031</v>
      </c>
      <c r="C4723" s="71">
        <v>1</v>
      </c>
      <c r="D4723" s="75">
        <f t="shared" si="75"/>
        <v>1.402898388069752E-5</v>
      </c>
    </row>
    <row r="4724" spans="2:4" x14ac:dyDescent="0.25">
      <c r="B4724" t="s">
        <v>11032</v>
      </c>
      <c r="C4724" s="71">
        <v>1</v>
      </c>
      <c r="D4724" s="75">
        <f t="shared" si="75"/>
        <v>1.402898388069752E-5</v>
      </c>
    </row>
    <row r="4725" spans="2:4" x14ac:dyDescent="0.25">
      <c r="B4725" t="s">
        <v>11033</v>
      </c>
      <c r="C4725" s="71">
        <v>1</v>
      </c>
      <c r="D4725" s="75">
        <f t="shared" si="75"/>
        <v>1.402898388069752E-5</v>
      </c>
    </row>
    <row r="4726" spans="2:4" x14ac:dyDescent="0.25">
      <c r="B4726" t="s">
        <v>11034</v>
      </c>
      <c r="C4726" s="71">
        <v>1</v>
      </c>
      <c r="D4726" s="75">
        <f t="shared" si="75"/>
        <v>1.402898388069752E-5</v>
      </c>
    </row>
    <row r="4727" spans="2:4" x14ac:dyDescent="0.25">
      <c r="B4727" t="s">
        <v>11035</v>
      </c>
      <c r="C4727" s="71">
        <v>1</v>
      </c>
      <c r="D4727" s="75">
        <f t="shared" si="75"/>
        <v>1.402898388069752E-5</v>
      </c>
    </row>
    <row r="4728" spans="2:4" x14ac:dyDescent="0.25">
      <c r="B4728" t="s">
        <v>11036</v>
      </c>
      <c r="C4728" s="71">
        <v>1</v>
      </c>
      <c r="D4728" s="75">
        <f t="shared" si="75"/>
        <v>1.402898388069752E-5</v>
      </c>
    </row>
    <row r="4729" spans="2:4" x14ac:dyDescent="0.25">
      <c r="B4729" t="s">
        <v>11037</v>
      </c>
      <c r="C4729" s="71">
        <v>1</v>
      </c>
      <c r="D4729" s="75">
        <f t="shared" si="75"/>
        <v>1.402898388069752E-5</v>
      </c>
    </row>
    <row r="4730" spans="2:4" x14ac:dyDescent="0.25">
      <c r="B4730" t="s">
        <v>11038</v>
      </c>
      <c r="C4730" s="71">
        <v>1</v>
      </c>
      <c r="D4730" s="75">
        <f t="shared" si="75"/>
        <v>1.402898388069752E-5</v>
      </c>
    </row>
    <row r="4731" spans="2:4" x14ac:dyDescent="0.25">
      <c r="B4731" t="s">
        <v>11039</v>
      </c>
      <c r="C4731" s="71">
        <v>1</v>
      </c>
      <c r="D4731" s="75">
        <f t="shared" si="75"/>
        <v>1.402898388069752E-5</v>
      </c>
    </row>
    <row r="4732" spans="2:4" x14ac:dyDescent="0.25">
      <c r="B4732" t="s">
        <v>11040</v>
      </c>
      <c r="C4732" s="71">
        <v>1</v>
      </c>
      <c r="D4732" s="75">
        <f t="shared" si="75"/>
        <v>1.402898388069752E-5</v>
      </c>
    </row>
    <row r="4733" spans="2:4" x14ac:dyDescent="0.25">
      <c r="B4733" t="s">
        <v>11041</v>
      </c>
      <c r="C4733" s="71">
        <v>1</v>
      </c>
      <c r="D4733" s="75">
        <f t="shared" si="75"/>
        <v>1.402898388069752E-5</v>
      </c>
    </row>
    <row r="4734" spans="2:4" x14ac:dyDescent="0.25">
      <c r="B4734" t="s">
        <v>11042</v>
      </c>
      <c r="C4734" s="71">
        <v>1</v>
      </c>
      <c r="D4734" s="75">
        <f t="shared" si="75"/>
        <v>1.402898388069752E-5</v>
      </c>
    </row>
    <row r="4735" spans="2:4" x14ac:dyDescent="0.25">
      <c r="B4735" t="s">
        <v>11043</v>
      </c>
      <c r="C4735" s="71">
        <v>1</v>
      </c>
      <c r="D4735" s="75">
        <f t="shared" si="75"/>
        <v>1.402898388069752E-5</v>
      </c>
    </row>
    <row r="4736" spans="2:4" x14ac:dyDescent="0.25">
      <c r="B4736" t="s">
        <v>11044</v>
      </c>
      <c r="C4736" s="71">
        <v>1</v>
      </c>
      <c r="D4736" s="75">
        <f t="shared" si="75"/>
        <v>1.402898388069752E-5</v>
      </c>
    </row>
    <row r="4737" spans="2:4" x14ac:dyDescent="0.25">
      <c r="B4737" t="s">
        <v>11045</v>
      </c>
      <c r="C4737" s="71">
        <v>1</v>
      </c>
      <c r="D4737" s="75">
        <f t="shared" si="75"/>
        <v>1.402898388069752E-5</v>
      </c>
    </row>
    <row r="4738" spans="2:4" x14ac:dyDescent="0.25">
      <c r="B4738" t="s">
        <v>11046</v>
      </c>
      <c r="C4738" s="71">
        <v>1</v>
      </c>
      <c r="D4738" s="75">
        <f t="shared" si="75"/>
        <v>1.402898388069752E-5</v>
      </c>
    </row>
    <row r="4739" spans="2:4" x14ac:dyDescent="0.25">
      <c r="B4739" t="s">
        <v>11047</v>
      </c>
      <c r="C4739" s="71">
        <v>1</v>
      </c>
      <c r="D4739" s="75">
        <f t="shared" si="75"/>
        <v>1.402898388069752E-5</v>
      </c>
    </row>
    <row r="4740" spans="2:4" x14ac:dyDescent="0.25">
      <c r="B4740" t="s">
        <v>11048</v>
      </c>
      <c r="C4740" s="71">
        <v>1</v>
      </c>
      <c r="D4740" s="75">
        <f t="shared" si="75"/>
        <v>1.402898388069752E-5</v>
      </c>
    </row>
    <row r="4741" spans="2:4" x14ac:dyDescent="0.25">
      <c r="B4741" t="s">
        <v>11049</v>
      </c>
      <c r="C4741" s="71">
        <v>1</v>
      </c>
      <c r="D4741" s="75">
        <f t="shared" si="75"/>
        <v>1.402898388069752E-5</v>
      </c>
    </row>
    <row r="4742" spans="2:4" x14ac:dyDescent="0.25">
      <c r="B4742" t="s">
        <v>11050</v>
      </c>
      <c r="C4742" s="71">
        <v>1</v>
      </c>
      <c r="D4742" s="75">
        <f t="shared" ref="D4742:D4805" si="76">C4742/$C$4822</f>
        <v>1.402898388069752E-5</v>
      </c>
    </row>
    <row r="4743" spans="2:4" x14ac:dyDescent="0.25">
      <c r="B4743" t="s">
        <v>11051</v>
      </c>
      <c r="C4743" s="71">
        <v>1</v>
      </c>
      <c r="D4743" s="75">
        <f t="shared" si="76"/>
        <v>1.402898388069752E-5</v>
      </c>
    </row>
    <row r="4744" spans="2:4" x14ac:dyDescent="0.25">
      <c r="B4744" t="s">
        <v>11052</v>
      </c>
      <c r="C4744" s="71">
        <v>1</v>
      </c>
      <c r="D4744" s="75">
        <f t="shared" si="76"/>
        <v>1.402898388069752E-5</v>
      </c>
    </row>
    <row r="4745" spans="2:4" x14ac:dyDescent="0.25">
      <c r="B4745" t="s">
        <v>11053</v>
      </c>
      <c r="C4745" s="71">
        <v>1</v>
      </c>
      <c r="D4745" s="75">
        <f t="shared" si="76"/>
        <v>1.402898388069752E-5</v>
      </c>
    </row>
    <row r="4746" spans="2:4" x14ac:dyDescent="0.25">
      <c r="B4746" t="s">
        <v>11054</v>
      </c>
      <c r="C4746" s="71">
        <v>1</v>
      </c>
      <c r="D4746" s="75">
        <f t="shared" si="76"/>
        <v>1.402898388069752E-5</v>
      </c>
    </row>
    <row r="4747" spans="2:4" x14ac:dyDescent="0.25">
      <c r="B4747" t="s">
        <v>11055</v>
      </c>
      <c r="C4747" s="71">
        <v>1</v>
      </c>
      <c r="D4747" s="75">
        <f t="shared" si="76"/>
        <v>1.402898388069752E-5</v>
      </c>
    </row>
    <row r="4748" spans="2:4" x14ac:dyDescent="0.25">
      <c r="B4748" t="s">
        <v>11056</v>
      </c>
      <c r="C4748" s="71">
        <v>1</v>
      </c>
      <c r="D4748" s="75">
        <f t="shared" si="76"/>
        <v>1.402898388069752E-5</v>
      </c>
    </row>
    <row r="4749" spans="2:4" x14ac:dyDescent="0.25">
      <c r="B4749" t="s">
        <v>11057</v>
      </c>
      <c r="C4749" s="71">
        <v>1</v>
      </c>
      <c r="D4749" s="75">
        <f t="shared" si="76"/>
        <v>1.402898388069752E-5</v>
      </c>
    </row>
    <row r="4750" spans="2:4" x14ac:dyDescent="0.25">
      <c r="B4750" t="s">
        <v>11058</v>
      </c>
      <c r="C4750" s="71">
        <v>1</v>
      </c>
      <c r="D4750" s="75">
        <f t="shared" si="76"/>
        <v>1.402898388069752E-5</v>
      </c>
    </row>
    <row r="4751" spans="2:4" x14ac:dyDescent="0.25">
      <c r="B4751" t="s">
        <v>11059</v>
      </c>
      <c r="C4751" s="71">
        <v>1</v>
      </c>
      <c r="D4751" s="75">
        <f t="shared" si="76"/>
        <v>1.402898388069752E-5</v>
      </c>
    </row>
    <row r="4752" spans="2:4" x14ac:dyDescent="0.25">
      <c r="B4752" t="s">
        <v>11060</v>
      </c>
      <c r="C4752" s="71">
        <v>1</v>
      </c>
      <c r="D4752" s="75">
        <f t="shared" si="76"/>
        <v>1.402898388069752E-5</v>
      </c>
    </row>
    <row r="4753" spans="2:4" x14ac:dyDescent="0.25">
      <c r="B4753" t="s">
        <v>11061</v>
      </c>
      <c r="C4753" s="71">
        <v>1</v>
      </c>
      <c r="D4753" s="75">
        <f t="shared" si="76"/>
        <v>1.402898388069752E-5</v>
      </c>
    </row>
    <row r="4754" spans="2:4" x14ac:dyDescent="0.25">
      <c r="B4754" t="s">
        <v>11062</v>
      </c>
      <c r="C4754" s="71">
        <v>1</v>
      </c>
      <c r="D4754" s="75">
        <f t="shared" si="76"/>
        <v>1.402898388069752E-5</v>
      </c>
    </row>
    <row r="4755" spans="2:4" x14ac:dyDescent="0.25">
      <c r="B4755" t="s">
        <v>11063</v>
      </c>
      <c r="C4755" s="71">
        <v>1</v>
      </c>
      <c r="D4755" s="75">
        <f t="shared" si="76"/>
        <v>1.402898388069752E-5</v>
      </c>
    </row>
    <row r="4756" spans="2:4" x14ac:dyDescent="0.25">
      <c r="B4756" t="s">
        <v>11064</v>
      </c>
      <c r="C4756" s="71">
        <v>1</v>
      </c>
      <c r="D4756" s="75">
        <f t="shared" si="76"/>
        <v>1.402898388069752E-5</v>
      </c>
    </row>
    <row r="4757" spans="2:4" x14ac:dyDescent="0.25">
      <c r="B4757" t="s">
        <v>11065</v>
      </c>
      <c r="C4757" s="71">
        <v>1</v>
      </c>
      <c r="D4757" s="75">
        <f t="shared" si="76"/>
        <v>1.402898388069752E-5</v>
      </c>
    </row>
    <row r="4758" spans="2:4" x14ac:dyDescent="0.25">
      <c r="B4758" t="s">
        <v>11066</v>
      </c>
      <c r="C4758" s="71">
        <v>1</v>
      </c>
      <c r="D4758" s="75">
        <f t="shared" si="76"/>
        <v>1.402898388069752E-5</v>
      </c>
    </row>
    <row r="4759" spans="2:4" x14ac:dyDescent="0.25">
      <c r="B4759" t="s">
        <v>11067</v>
      </c>
      <c r="C4759" s="71">
        <v>1</v>
      </c>
      <c r="D4759" s="75">
        <f t="shared" si="76"/>
        <v>1.402898388069752E-5</v>
      </c>
    </row>
    <row r="4760" spans="2:4" x14ac:dyDescent="0.25">
      <c r="B4760" t="s">
        <v>11068</v>
      </c>
      <c r="C4760" s="71">
        <v>1</v>
      </c>
      <c r="D4760" s="75">
        <f t="shared" si="76"/>
        <v>1.402898388069752E-5</v>
      </c>
    </row>
    <row r="4761" spans="2:4" x14ac:dyDescent="0.25">
      <c r="B4761" t="s">
        <v>11069</v>
      </c>
      <c r="C4761" s="71">
        <v>1</v>
      </c>
      <c r="D4761" s="75">
        <f t="shared" si="76"/>
        <v>1.402898388069752E-5</v>
      </c>
    </row>
    <row r="4762" spans="2:4" x14ac:dyDescent="0.25">
      <c r="B4762" t="s">
        <v>11070</v>
      </c>
      <c r="C4762" s="71">
        <v>1</v>
      </c>
      <c r="D4762" s="75">
        <f t="shared" si="76"/>
        <v>1.402898388069752E-5</v>
      </c>
    </row>
    <row r="4763" spans="2:4" x14ac:dyDescent="0.25">
      <c r="B4763" t="s">
        <v>11071</v>
      </c>
      <c r="C4763" s="71">
        <v>1</v>
      </c>
      <c r="D4763" s="75">
        <f t="shared" si="76"/>
        <v>1.402898388069752E-5</v>
      </c>
    </row>
    <row r="4764" spans="2:4" x14ac:dyDescent="0.25">
      <c r="B4764" t="s">
        <v>11072</v>
      </c>
      <c r="C4764" s="71">
        <v>1</v>
      </c>
      <c r="D4764" s="75">
        <f t="shared" si="76"/>
        <v>1.402898388069752E-5</v>
      </c>
    </row>
    <row r="4765" spans="2:4" x14ac:dyDescent="0.25">
      <c r="B4765" t="s">
        <v>11073</v>
      </c>
      <c r="C4765" s="71">
        <v>1</v>
      </c>
      <c r="D4765" s="75">
        <f t="shared" si="76"/>
        <v>1.402898388069752E-5</v>
      </c>
    </row>
    <row r="4766" spans="2:4" x14ac:dyDescent="0.25">
      <c r="B4766" t="s">
        <v>11074</v>
      </c>
      <c r="C4766" s="71">
        <v>1</v>
      </c>
      <c r="D4766" s="75">
        <f t="shared" si="76"/>
        <v>1.402898388069752E-5</v>
      </c>
    </row>
    <row r="4767" spans="2:4" x14ac:dyDescent="0.25">
      <c r="B4767" t="s">
        <v>11075</v>
      </c>
      <c r="C4767" s="71">
        <v>1</v>
      </c>
      <c r="D4767" s="75">
        <f t="shared" si="76"/>
        <v>1.402898388069752E-5</v>
      </c>
    </row>
    <row r="4768" spans="2:4" x14ac:dyDescent="0.25">
      <c r="B4768" t="s">
        <v>11076</v>
      </c>
      <c r="C4768" s="71">
        <v>1</v>
      </c>
      <c r="D4768" s="75">
        <f t="shared" si="76"/>
        <v>1.402898388069752E-5</v>
      </c>
    </row>
    <row r="4769" spans="2:4" x14ac:dyDescent="0.25">
      <c r="B4769" t="s">
        <v>11077</v>
      </c>
      <c r="C4769" s="71">
        <v>1</v>
      </c>
      <c r="D4769" s="75">
        <f t="shared" si="76"/>
        <v>1.402898388069752E-5</v>
      </c>
    </row>
    <row r="4770" spans="2:4" x14ac:dyDescent="0.25">
      <c r="B4770" t="s">
        <v>11078</v>
      </c>
      <c r="C4770" s="71">
        <v>1</v>
      </c>
      <c r="D4770" s="75">
        <f t="shared" si="76"/>
        <v>1.402898388069752E-5</v>
      </c>
    </row>
    <row r="4771" spans="2:4" x14ac:dyDescent="0.25">
      <c r="B4771" t="s">
        <v>11079</v>
      </c>
      <c r="C4771" s="71">
        <v>1</v>
      </c>
      <c r="D4771" s="75">
        <f t="shared" si="76"/>
        <v>1.402898388069752E-5</v>
      </c>
    </row>
    <row r="4772" spans="2:4" x14ac:dyDescent="0.25">
      <c r="B4772" t="s">
        <v>11080</v>
      </c>
      <c r="C4772" s="71">
        <v>1</v>
      </c>
      <c r="D4772" s="75">
        <f t="shared" si="76"/>
        <v>1.402898388069752E-5</v>
      </c>
    </row>
    <row r="4773" spans="2:4" x14ac:dyDescent="0.25">
      <c r="B4773" t="s">
        <v>11081</v>
      </c>
      <c r="C4773" s="71">
        <v>1</v>
      </c>
      <c r="D4773" s="75">
        <f t="shared" si="76"/>
        <v>1.402898388069752E-5</v>
      </c>
    </row>
    <row r="4774" spans="2:4" x14ac:dyDescent="0.25">
      <c r="B4774" t="s">
        <v>11082</v>
      </c>
      <c r="C4774" s="71">
        <v>1</v>
      </c>
      <c r="D4774" s="75">
        <f t="shared" si="76"/>
        <v>1.402898388069752E-5</v>
      </c>
    </row>
    <row r="4775" spans="2:4" x14ac:dyDescent="0.25">
      <c r="B4775" t="s">
        <v>11083</v>
      </c>
      <c r="C4775" s="71">
        <v>1</v>
      </c>
      <c r="D4775" s="75">
        <f t="shared" si="76"/>
        <v>1.402898388069752E-5</v>
      </c>
    </row>
    <row r="4776" spans="2:4" x14ac:dyDescent="0.25">
      <c r="B4776" t="s">
        <v>11084</v>
      </c>
      <c r="C4776" s="71">
        <v>1</v>
      </c>
      <c r="D4776" s="75">
        <f t="shared" si="76"/>
        <v>1.402898388069752E-5</v>
      </c>
    </row>
    <row r="4777" spans="2:4" x14ac:dyDescent="0.25">
      <c r="B4777" t="s">
        <v>11085</v>
      </c>
      <c r="C4777" s="71">
        <v>1</v>
      </c>
      <c r="D4777" s="75">
        <f t="shared" si="76"/>
        <v>1.402898388069752E-5</v>
      </c>
    </row>
    <row r="4778" spans="2:4" x14ac:dyDescent="0.25">
      <c r="B4778" t="s">
        <v>11086</v>
      </c>
      <c r="C4778" s="71">
        <v>1</v>
      </c>
      <c r="D4778" s="75">
        <f t="shared" si="76"/>
        <v>1.402898388069752E-5</v>
      </c>
    </row>
    <row r="4779" spans="2:4" x14ac:dyDescent="0.25">
      <c r="B4779" t="s">
        <v>11087</v>
      </c>
      <c r="C4779" s="71">
        <v>1</v>
      </c>
      <c r="D4779" s="75">
        <f t="shared" si="76"/>
        <v>1.402898388069752E-5</v>
      </c>
    </row>
    <row r="4780" spans="2:4" x14ac:dyDescent="0.25">
      <c r="B4780" t="s">
        <v>11088</v>
      </c>
      <c r="C4780" s="71">
        <v>1</v>
      </c>
      <c r="D4780" s="75">
        <f t="shared" si="76"/>
        <v>1.402898388069752E-5</v>
      </c>
    </row>
    <row r="4781" spans="2:4" x14ac:dyDescent="0.25">
      <c r="B4781" t="s">
        <v>11089</v>
      </c>
      <c r="C4781" s="71">
        <v>1</v>
      </c>
      <c r="D4781" s="75">
        <f t="shared" si="76"/>
        <v>1.402898388069752E-5</v>
      </c>
    </row>
    <row r="4782" spans="2:4" x14ac:dyDescent="0.25">
      <c r="B4782" t="s">
        <v>11090</v>
      </c>
      <c r="C4782" s="71">
        <v>1</v>
      </c>
      <c r="D4782" s="75">
        <f t="shared" si="76"/>
        <v>1.402898388069752E-5</v>
      </c>
    </row>
    <row r="4783" spans="2:4" x14ac:dyDescent="0.25">
      <c r="B4783" t="s">
        <v>11091</v>
      </c>
      <c r="C4783" s="71">
        <v>1</v>
      </c>
      <c r="D4783" s="75">
        <f t="shared" si="76"/>
        <v>1.402898388069752E-5</v>
      </c>
    </row>
    <row r="4784" spans="2:4" x14ac:dyDescent="0.25">
      <c r="B4784" t="s">
        <v>11092</v>
      </c>
      <c r="C4784" s="71">
        <v>1</v>
      </c>
      <c r="D4784" s="75">
        <f t="shared" si="76"/>
        <v>1.402898388069752E-5</v>
      </c>
    </row>
    <row r="4785" spans="2:4" x14ac:dyDescent="0.25">
      <c r="B4785" t="s">
        <v>11093</v>
      </c>
      <c r="C4785" s="71">
        <v>1</v>
      </c>
      <c r="D4785" s="75">
        <f t="shared" si="76"/>
        <v>1.402898388069752E-5</v>
      </c>
    </row>
    <row r="4786" spans="2:4" x14ac:dyDescent="0.25">
      <c r="B4786" t="s">
        <v>11094</v>
      </c>
      <c r="C4786" s="71">
        <v>1</v>
      </c>
      <c r="D4786" s="75">
        <f t="shared" si="76"/>
        <v>1.402898388069752E-5</v>
      </c>
    </row>
    <row r="4787" spans="2:4" x14ac:dyDescent="0.25">
      <c r="B4787" t="s">
        <v>11095</v>
      </c>
      <c r="C4787" s="71">
        <v>1</v>
      </c>
      <c r="D4787" s="75">
        <f t="shared" si="76"/>
        <v>1.402898388069752E-5</v>
      </c>
    </row>
    <row r="4788" spans="2:4" x14ac:dyDescent="0.25">
      <c r="B4788" t="s">
        <v>11096</v>
      </c>
      <c r="C4788" s="71">
        <v>1</v>
      </c>
      <c r="D4788" s="75">
        <f t="shared" si="76"/>
        <v>1.402898388069752E-5</v>
      </c>
    </row>
    <row r="4789" spans="2:4" x14ac:dyDescent="0.25">
      <c r="B4789" t="s">
        <v>11097</v>
      </c>
      <c r="C4789" s="71">
        <v>1</v>
      </c>
      <c r="D4789" s="75">
        <f t="shared" si="76"/>
        <v>1.402898388069752E-5</v>
      </c>
    </row>
    <row r="4790" spans="2:4" x14ac:dyDescent="0.25">
      <c r="B4790" t="s">
        <v>11098</v>
      </c>
      <c r="C4790" s="71">
        <v>1</v>
      </c>
      <c r="D4790" s="75">
        <f t="shared" si="76"/>
        <v>1.402898388069752E-5</v>
      </c>
    </row>
    <row r="4791" spans="2:4" x14ac:dyDescent="0.25">
      <c r="B4791" t="s">
        <v>11099</v>
      </c>
      <c r="C4791" s="71">
        <v>1</v>
      </c>
      <c r="D4791" s="75">
        <f t="shared" si="76"/>
        <v>1.402898388069752E-5</v>
      </c>
    </row>
    <row r="4792" spans="2:4" x14ac:dyDescent="0.25">
      <c r="B4792" t="s">
        <v>11100</v>
      </c>
      <c r="C4792" s="71">
        <v>1</v>
      </c>
      <c r="D4792" s="75">
        <f t="shared" si="76"/>
        <v>1.402898388069752E-5</v>
      </c>
    </row>
    <row r="4793" spans="2:4" x14ac:dyDescent="0.25">
      <c r="B4793" t="s">
        <v>11101</v>
      </c>
      <c r="C4793" s="71">
        <v>1</v>
      </c>
      <c r="D4793" s="75">
        <f t="shared" si="76"/>
        <v>1.402898388069752E-5</v>
      </c>
    </row>
    <row r="4794" spans="2:4" x14ac:dyDescent="0.25">
      <c r="B4794" t="s">
        <v>11102</v>
      </c>
      <c r="C4794" s="71">
        <v>1</v>
      </c>
      <c r="D4794" s="75">
        <f t="shared" si="76"/>
        <v>1.402898388069752E-5</v>
      </c>
    </row>
    <row r="4795" spans="2:4" x14ac:dyDescent="0.25">
      <c r="B4795" t="s">
        <v>11103</v>
      </c>
      <c r="C4795" s="71">
        <v>1</v>
      </c>
      <c r="D4795" s="75">
        <f t="shared" si="76"/>
        <v>1.402898388069752E-5</v>
      </c>
    </row>
    <row r="4796" spans="2:4" x14ac:dyDescent="0.25">
      <c r="B4796" t="s">
        <v>11104</v>
      </c>
      <c r="C4796" s="71">
        <v>1</v>
      </c>
      <c r="D4796" s="75">
        <f t="shared" si="76"/>
        <v>1.402898388069752E-5</v>
      </c>
    </row>
    <row r="4797" spans="2:4" x14ac:dyDescent="0.25">
      <c r="B4797" t="s">
        <v>11105</v>
      </c>
      <c r="C4797" s="71">
        <v>1</v>
      </c>
      <c r="D4797" s="75">
        <f t="shared" si="76"/>
        <v>1.402898388069752E-5</v>
      </c>
    </row>
    <row r="4798" spans="2:4" x14ac:dyDescent="0.25">
      <c r="B4798" t="s">
        <v>11106</v>
      </c>
      <c r="C4798" s="71">
        <v>1</v>
      </c>
      <c r="D4798" s="75">
        <f t="shared" si="76"/>
        <v>1.402898388069752E-5</v>
      </c>
    </row>
    <row r="4799" spans="2:4" x14ac:dyDescent="0.25">
      <c r="B4799" t="s">
        <v>11107</v>
      </c>
      <c r="C4799" s="71">
        <v>1</v>
      </c>
      <c r="D4799" s="75">
        <f t="shared" si="76"/>
        <v>1.402898388069752E-5</v>
      </c>
    </row>
    <row r="4800" spans="2:4" x14ac:dyDescent="0.25">
      <c r="B4800" t="s">
        <v>11108</v>
      </c>
      <c r="C4800" s="71">
        <v>1</v>
      </c>
      <c r="D4800" s="75">
        <f t="shared" si="76"/>
        <v>1.402898388069752E-5</v>
      </c>
    </row>
    <row r="4801" spans="2:4" x14ac:dyDescent="0.25">
      <c r="B4801" t="s">
        <v>11109</v>
      </c>
      <c r="C4801" s="71">
        <v>1</v>
      </c>
      <c r="D4801" s="75">
        <f t="shared" si="76"/>
        <v>1.402898388069752E-5</v>
      </c>
    </row>
    <row r="4802" spans="2:4" x14ac:dyDescent="0.25">
      <c r="B4802" t="s">
        <v>11110</v>
      </c>
      <c r="C4802" s="71">
        <v>1</v>
      </c>
      <c r="D4802" s="75">
        <f t="shared" si="76"/>
        <v>1.402898388069752E-5</v>
      </c>
    </row>
    <row r="4803" spans="2:4" x14ac:dyDescent="0.25">
      <c r="B4803" t="s">
        <v>11111</v>
      </c>
      <c r="C4803" s="71">
        <v>1</v>
      </c>
      <c r="D4803" s="75">
        <f t="shared" si="76"/>
        <v>1.402898388069752E-5</v>
      </c>
    </row>
    <row r="4804" spans="2:4" x14ac:dyDescent="0.25">
      <c r="B4804" t="s">
        <v>11112</v>
      </c>
      <c r="C4804" s="71">
        <v>1</v>
      </c>
      <c r="D4804" s="75">
        <f t="shared" si="76"/>
        <v>1.402898388069752E-5</v>
      </c>
    </row>
    <row r="4805" spans="2:4" x14ac:dyDescent="0.25">
      <c r="B4805" t="s">
        <v>11113</v>
      </c>
      <c r="C4805" s="71">
        <v>1</v>
      </c>
      <c r="D4805" s="75">
        <f t="shared" si="76"/>
        <v>1.402898388069752E-5</v>
      </c>
    </row>
    <row r="4806" spans="2:4" x14ac:dyDescent="0.25">
      <c r="B4806" t="s">
        <v>11114</v>
      </c>
      <c r="C4806" s="71">
        <v>1</v>
      </c>
      <c r="D4806" s="75">
        <f t="shared" ref="D4806:D4820" si="77">C4806/$C$4822</f>
        <v>1.402898388069752E-5</v>
      </c>
    </row>
    <row r="4807" spans="2:4" x14ac:dyDescent="0.25">
      <c r="B4807" t="s">
        <v>11115</v>
      </c>
      <c r="C4807" s="71">
        <v>1</v>
      </c>
      <c r="D4807" s="75">
        <f t="shared" si="77"/>
        <v>1.402898388069752E-5</v>
      </c>
    </row>
    <row r="4808" spans="2:4" x14ac:dyDescent="0.25">
      <c r="B4808" t="s">
        <v>11116</v>
      </c>
      <c r="C4808" s="71">
        <v>1</v>
      </c>
      <c r="D4808" s="75">
        <f t="shared" si="77"/>
        <v>1.402898388069752E-5</v>
      </c>
    </row>
    <row r="4809" spans="2:4" x14ac:dyDescent="0.25">
      <c r="B4809" t="s">
        <v>11117</v>
      </c>
      <c r="C4809" s="71">
        <v>1</v>
      </c>
      <c r="D4809" s="75">
        <f t="shared" si="77"/>
        <v>1.402898388069752E-5</v>
      </c>
    </row>
    <row r="4810" spans="2:4" x14ac:dyDescent="0.25">
      <c r="B4810" t="s">
        <v>11118</v>
      </c>
      <c r="C4810" s="71">
        <v>1</v>
      </c>
      <c r="D4810" s="75">
        <f t="shared" si="77"/>
        <v>1.402898388069752E-5</v>
      </c>
    </row>
    <row r="4811" spans="2:4" x14ac:dyDescent="0.25">
      <c r="B4811" t="s">
        <v>11119</v>
      </c>
      <c r="C4811" s="71">
        <v>1</v>
      </c>
      <c r="D4811" s="75">
        <f t="shared" si="77"/>
        <v>1.402898388069752E-5</v>
      </c>
    </row>
    <row r="4812" spans="2:4" x14ac:dyDescent="0.25">
      <c r="B4812" t="s">
        <v>11120</v>
      </c>
      <c r="C4812" s="71">
        <v>1</v>
      </c>
      <c r="D4812" s="75">
        <f t="shared" si="77"/>
        <v>1.402898388069752E-5</v>
      </c>
    </row>
    <row r="4813" spans="2:4" x14ac:dyDescent="0.25">
      <c r="B4813" t="s">
        <v>11121</v>
      </c>
      <c r="C4813" s="71">
        <v>1</v>
      </c>
      <c r="D4813" s="75">
        <f t="shared" si="77"/>
        <v>1.402898388069752E-5</v>
      </c>
    </row>
    <row r="4814" spans="2:4" x14ac:dyDescent="0.25">
      <c r="B4814" t="s">
        <v>11122</v>
      </c>
      <c r="C4814" s="71">
        <v>1</v>
      </c>
      <c r="D4814" s="75">
        <f t="shared" si="77"/>
        <v>1.402898388069752E-5</v>
      </c>
    </row>
    <row r="4815" spans="2:4" x14ac:dyDescent="0.25">
      <c r="B4815" t="s">
        <v>11123</v>
      </c>
      <c r="C4815" s="71">
        <v>1</v>
      </c>
      <c r="D4815" s="75">
        <f t="shared" si="77"/>
        <v>1.402898388069752E-5</v>
      </c>
    </row>
    <row r="4816" spans="2:4" x14ac:dyDescent="0.25">
      <c r="B4816" t="s">
        <v>11124</v>
      </c>
      <c r="C4816" s="71">
        <v>1</v>
      </c>
      <c r="D4816" s="75">
        <f t="shared" si="77"/>
        <v>1.402898388069752E-5</v>
      </c>
    </row>
    <row r="4817" spans="2:4" x14ac:dyDescent="0.25">
      <c r="B4817" t="s">
        <v>11125</v>
      </c>
      <c r="C4817" s="71">
        <v>1</v>
      </c>
      <c r="D4817" s="75">
        <f t="shared" si="77"/>
        <v>1.402898388069752E-5</v>
      </c>
    </row>
    <row r="4818" spans="2:4" x14ac:dyDescent="0.25">
      <c r="B4818" t="s">
        <v>11126</v>
      </c>
      <c r="C4818" s="71">
        <v>1</v>
      </c>
      <c r="D4818" s="75">
        <f t="shared" si="77"/>
        <v>1.402898388069752E-5</v>
      </c>
    </row>
    <row r="4819" spans="2:4" x14ac:dyDescent="0.25">
      <c r="B4819" t="s">
        <v>11127</v>
      </c>
      <c r="C4819" s="71">
        <v>1</v>
      </c>
      <c r="D4819" s="75">
        <f t="shared" si="77"/>
        <v>1.402898388069752E-5</v>
      </c>
    </row>
    <row r="4820" spans="2:4" x14ac:dyDescent="0.25">
      <c r="B4820" t="s">
        <v>11128</v>
      </c>
      <c r="C4820" s="71">
        <v>1</v>
      </c>
      <c r="D4820" s="75">
        <f t="shared" si="77"/>
        <v>1.402898388069752E-5</v>
      </c>
    </row>
    <row r="4822" spans="2:4" x14ac:dyDescent="0.25">
      <c r="C4822" s="72">
        <f>SUM(C5:C4821)</f>
        <v>71281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7"/>
  <sheetViews>
    <sheetView zoomScale="110" zoomScaleNormal="110" workbookViewId="0">
      <selection activeCell="F7" sqref="F7"/>
    </sheetView>
  </sheetViews>
  <sheetFormatPr defaultColWidth="9.109375" defaultRowHeight="13.2" x14ac:dyDescent="0.25"/>
  <cols>
    <col min="1" max="1" width="9.109375" style="67"/>
    <col min="2" max="6" width="15.6640625" style="67" customWidth="1"/>
    <col min="7" max="7" width="61.44140625" style="67" customWidth="1"/>
    <col min="8" max="16384" width="9.109375" style="67"/>
  </cols>
  <sheetData>
    <row r="1" spans="1:7" ht="15.6" x14ac:dyDescent="0.25">
      <c r="A1" s="66" t="s">
        <v>5849</v>
      </c>
    </row>
    <row r="3" spans="1:7" s="68" customFormat="1" x14ac:dyDescent="0.25">
      <c r="B3" s="68" t="s">
        <v>1690</v>
      </c>
      <c r="D3" s="84" t="s">
        <v>5851</v>
      </c>
      <c r="E3" s="84"/>
    </row>
    <row r="4" spans="1:7" s="68" customFormat="1" x14ac:dyDescent="0.25">
      <c r="B4" s="68" t="s">
        <v>1694</v>
      </c>
      <c r="C4" s="68" t="s">
        <v>5850</v>
      </c>
      <c r="D4" s="68" t="s">
        <v>5852</v>
      </c>
      <c r="E4" s="68" t="s">
        <v>5853</v>
      </c>
      <c r="F4" s="68" t="s">
        <v>5856</v>
      </c>
      <c r="G4" s="68" t="s">
        <v>2465</v>
      </c>
    </row>
    <row r="6" spans="1:7" x14ac:dyDescent="0.25">
      <c r="B6" s="67" t="s">
        <v>1700</v>
      </c>
      <c r="C6" s="67">
        <v>457</v>
      </c>
      <c r="D6" s="67" t="s">
        <v>5854</v>
      </c>
      <c r="E6" s="67" t="s">
        <v>5855</v>
      </c>
      <c r="F6" s="67" t="s">
        <v>5857</v>
      </c>
      <c r="G6" s="67" t="s">
        <v>5860</v>
      </c>
    </row>
    <row r="7" spans="1:7" x14ac:dyDescent="0.25">
      <c r="B7" s="67" t="s">
        <v>1700</v>
      </c>
      <c r="C7" s="67">
        <v>458</v>
      </c>
      <c r="D7" s="67" t="s">
        <v>5858</v>
      </c>
      <c r="E7" s="67" t="s">
        <v>5859</v>
      </c>
      <c r="F7" s="67" t="s">
        <v>5857</v>
      </c>
      <c r="G7" s="67" t="s">
        <v>5860</v>
      </c>
    </row>
  </sheetData>
  <mergeCells count="1">
    <mergeCell ref="D3:E3"/>
  </mergeCells>
  <pageMargins left="0.7" right="0.7" top="0.75" bottom="0.75" header="0.3" footer="0.3"/>
  <pageSetup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>
      <selection activeCell="A15" sqref="A15"/>
    </sheetView>
  </sheetViews>
  <sheetFormatPr defaultRowHeight="13.2" x14ac:dyDescent="0.25"/>
  <cols>
    <col min="1" max="1" width="15" customWidth="1"/>
    <col min="2" max="2" width="18.5546875" style="77" customWidth="1"/>
    <col min="3" max="3" width="25.44140625" customWidth="1"/>
    <col min="4" max="4" width="24.44140625" customWidth="1"/>
    <col min="5" max="5" width="22.88671875" customWidth="1"/>
  </cols>
  <sheetData>
    <row r="1" spans="1:5" s="4" customFormat="1" x14ac:dyDescent="0.25">
      <c r="A1" s="4" t="s">
        <v>11326</v>
      </c>
      <c r="B1" s="76" t="s">
        <v>11327</v>
      </c>
      <c r="C1" s="4" t="s">
        <v>11297</v>
      </c>
      <c r="D1" s="4" t="s">
        <v>11298</v>
      </c>
      <c r="E1" s="4" t="s">
        <v>11299</v>
      </c>
    </row>
    <row r="3" spans="1:5" x14ac:dyDescent="0.25">
      <c r="A3" t="s">
        <v>11286</v>
      </c>
      <c r="B3" s="77" t="s">
        <v>11328</v>
      </c>
      <c r="C3" t="s">
        <v>11318</v>
      </c>
      <c r="D3" t="s">
        <v>11319</v>
      </c>
      <c r="E3" t="s">
        <v>11305</v>
      </c>
    </row>
    <row r="4" spans="1:5" x14ac:dyDescent="0.25">
      <c r="A4" t="s">
        <v>11286</v>
      </c>
      <c r="B4" s="77" t="s">
        <v>11328</v>
      </c>
      <c r="C4" t="s">
        <v>11320</v>
      </c>
      <c r="D4" t="s">
        <v>11321</v>
      </c>
      <c r="E4" t="s">
        <v>8732</v>
      </c>
    </row>
    <row r="5" spans="1:5" x14ac:dyDescent="0.25">
      <c r="A5" t="s">
        <v>11286</v>
      </c>
      <c r="B5" s="77" t="s">
        <v>11328</v>
      </c>
      <c r="C5" t="s">
        <v>11322</v>
      </c>
      <c r="D5" t="s">
        <v>11323</v>
      </c>
      <c r="E5" t="s">
        <v>11324</v>
      </c>
    </row>
    <row r="6" spans="1:5" x14ac:dyDescent="0.25">
      <c r="A6" t="s">
        <v>3825</v>
      </c>
      <c r="B6" s="77" t="s">
        <v>11329</v>
      </c>
      <c r="C6" t="s">
        <v>11306</v>
      </c>
      <c r="D6" t="s">
        <v>11307</v>
      </c>
      <c r="E6" t="s">
        <v>11308</v>
      </c>
    </row>
    <row r="7" spans="1:5" x14ac:dyDescent="0.25">
      <c r="A7" t="s">
        <v>3825</v>
      </c>
      <c r="B7" s="77" t="s">
        <v>11329</v>
      </c>
      <c r="C7" t="s">
        <v>11309</v>
      </c>
      <c r="D7" t="s">
        <v>11310</v>
      </c>
      <c r="E7" t="s">
        <v>11311</v>
      </c>
    </row>
    <row r="8" spans="1:5" x14ac:dyDescent="0.25">
      <c r="A8" t="s">
        <v>3825</v>
      </c>
      <c r="B8" s="77" t="s">
        <v>11329</v>
      </c>
      <c r="C8" t="s">
        <v>11312</v>
      </c>
      <c r="D8" t="s">
        <v>11310</v>
      </c>
      <c r="E8" t="s">
        <v>11313</v>
      </c>
    </row>
    <row r="9" spans="1:5" x14ac:dyDescent="0.25">
      <c r="A9" t="s">
        <v>3825</v>
      </c>
      <c r="B9" s="77" t="s">
        <v>11329</v>
      </c>
      <c r="C9" t="s">
        <v>11314</v>
      </c>
      <c r="D9" t="s">
        <v>11310</v>
      </c>
      <c r="E9" t="s">
        <v>11315</v>
      </c>
    </row>
    <row r="10" spans="1:5" x14ac:dyDescent="0.25">
      <c r="A10" t="s">
        <v>3825</v>
      </c>
      <c r="B10" s="77" t="s">
        <v>11329</v>
      </c>
      <c r="C10" t="s">
        <v>11316</v>
      </c>
      <c r="D10" t="s">
        <v>11310</v>
      </c>
      <c r="E10" t="s">
        <v>11317</v>
      </c>
    </row>
    <row r="11" spans="1:5" x14ac:dyDescent="0.25">
      <c r="A11" t="s">
        <v>3384</v>
      </c>
      <c r="B11" s="77" t="s">
        <v>11330</v>
      </c>
      <c r="C11" t="s">
        <v>11300</v>
      </c>
      <c r="D11" t="s">
        <v>11301</v>
      </c>
      <c r="E11" t="s">
        <v>11302</v>
      </c>
    </row>
    <row r="12" spans="1:5" x14ac:dyDescent="0.25">
      <c r="A12" t="s">
        <v>3384</v>
      </c>
      <c r="B12" s="77" t="s">
        <v>11330</v>
      </c>
      <c r="C12" t="s">
        <v>11303</v>
      </c>
      <c r="D12" t="s">
        <v>11304</v>
      </c>
      <c r="E12" t="s">
        <v>11305</v>
      </c>
    </row>
    <row r="15" spans="1:5" x14ac:dyDescent="0.25">
      <c r="A15" t="s">
        <v>11325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4"/>
  <sheetViews>
    <sheetView zoomScale="110" zoomScaleNormal="110" workbookViewId="0">
      <selection activeCell="B4" sqref="B4:B5"/>
    </sheetView>
  </sheetViews>
  <sheetFormatPr defaultRowHeight="13.2" x14ac:dyDescent="0.25"/>
  <cols>
    <col min="1" max="1" width="58.44140625" customWidth="1"/>
    <col min="2" max="3" width="50.6640625" customWidth="1"/>
  </cols>
  <sheetData>
    <row r="1" spans="1:3" s="4" customFormat="1" x14ac:dyDescent="0.25">
      <c r="B1" s="4" t="s">
        <v>3859</v>
      </c>
    </row>
    <row r="2" spans="1:3" s="4" customFormat="1" x14ac:dyDescent="0.25">
      <c r="A2" s="4" t="s">
        <v>1693</v>
      </c>
      <c r="B2" s="4" t="s">
        <v>1692</v>
      </c>
      <c r="C2" s="4" t="s">
        <v>3858</v>
      </c>
    </row>
    <row r="4" spans="1:3" x14ac:dyDescent="0.25">
      <c r="A4" s="78" t="s">
        <v>11459</v>
      </c>
      <c r="B4" s="78" t="s">
        <v>11457</v>
      </c>
      <c r="C4" s="78" t="s">
        <v>11458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58"/>
  <sheetViews>
    <sheetView topLeftCell="A17" workbookViewId="0">
      <selection activeCell="C51" sqref="C51"/>
    </sheetView>
  </sheetViews>
  <sheetFormatPr defaultRowHeight="13.2" x14ac:dyDescent="0.25"/>
  <cols>
    <col min="1" max="1" width="22.6640625" customWidth="1"/>
    <col min="2" max="2" width="11.5546875" customWidth="1"/>
    <col min="3" max="3" width="8.88671875" style="1" customWidth="1"/>
  </cols>
  <sheetData>
    <row r="1" spans="1:3" s="2" customFormat="1" ht="17.399999999999999" x14ac:dyDescent="0.3">
      <c r="A1" s="2" t="s">
        <v>110</v>
      </c>
      <c r="C1" s="3"/>
    </row>
    <row r="3" spans="1:3" s="4" customFormat="1" x14ac:dyDescent="0.25">
      <c r="A3" s="4" t="s">
        <v>1688</v>
      </c>
      <c r="B3" s="4" t="s">
        <v>111</v>
      </c>
      <c r="C3" s="4" t="s">
        <v>113</v>
      </c>
    </row>
    <row r="4" spans="1:3" s="4" customFormat="1" x14ac:dyDescent="0.25">
      <c r="A4" s="4" t="s">
        <v>1693</v>
      </c>
      <c r="B4" s="4" t="s">
        <v>112</v>
      </c>
      <c r="C4" s="4" t="s">
        <v>345</v>
      </c>
    </row>
    <row r="6" spans="1:3" x14ac:dyDescent="0.25">
      <c r="A6" t="s">
        <v>98</v>
      </c>
      <c r="B6">
        <v>138</v>
      </c>
      <c r="C6" s="1" t="s">
        <v>1703</v>
      </c>
    </row>
    <row r="7" spans="1:3" x14ac:dyDescent="0.25">
      <c r="A7" t="s">
        <v>107</v>
      </c>
      <c r="B7">
        <v>88</v>
      </c>
      <c r="C7" s="1" t="s">
        <v>1703</v>
      </c>
    </row>
    <row r="8" spans="1:3" x14ac:dyDescent="0.25">
      <c r="A8" t="s">
        <v>128</v>
      </c>
      <c r="B8">
        <v>87</v>
      </c>
      <c r="C8" s="1" t="s">
        <v>1703</v>
      </c>
    </row>
    <row r="9" spans="1:3" x14ac:dyDescent="0.25">
      <c r="A9" t="s">
        <v>134</v>
      </c>
      <c r="B9">
        <v>77</v>
      </c>
      <c r="C9" s="1" t="s">
        <v>1703</v>
      </c>
    </row>
    <row r="10" spans="1:3" x14ac:dyDescent="0.25">
      <c r="A10" t="s">
        <v>121</v>
      </c>
      <c r="B10">
        <v>69</v>
      </c>
      <c r="C10" s="1" t="s">
        <v>1703</v>
      </c>
    </row>
    <row r="11" spans="1:3" x14ac:dyDescent="0.25">
      <c r="A11" t="s">
        <v>137</v>
      </c>
      <c r="B11">
        <v>40</v>
      </c>
    </row>
    <row r="12" spans="1:3" x14ac:dyDescent="0.25">
      <c r="A12" t="s">
        <v>130</v>
      </c>
      <c r="B12">
        <v>35</v>
      </c>
    </row>
    <row r="13" spans="1:3" x14ac:dyDescent="0.25">
      <c r="A13" t="s">
        <v>129</v>
      </c>
      <c r="B13">
        <v>32</v>
      </c>
    </row>
    <row r="14" spans="1:3" x14ac:dyDescent="0.25">
      <c r="A14" t="s">
        <v>118</v>
      </c>
      <c r="B14">
        <v>29</v>
      </c>
    </row>
    <row r="15" spans="1:3" x14ac:dyDescent="0.25">
      <c r="A15" t="s">
        <v>120</v>
      </c>
      <c r="B15">
        <v>28</v>
      </c>
      <c r="C15" s="1" t="s">
        <v>1703</v>
      </c>
    </row>
    <row r="16" spans="1:3" x14ac:dyDescent="0.25">
      <c r="A16" t="s">
        <v>1698</v>
      </c>
      <c r="B16">
        <v>28</v>
      </c>
      <c r="C16" s="1" t="s">
        <v>1703</v>
      </c>
    </row>
    <row r="17" spans="1:3" x14ac:dyDescent="0.25">
      <c r="A17" t="s">
        <v>131</v>
      </c>
      <c r="B17">
        <v>26</v>
      </c>
    </row>
    <row r="18" spans="1:3" x14ac:dyDescent="0.25">
      <c r="A18" t="s">
        <v>115</v>
      </c>
      <c r="B18">
        <v>24</v>
      </c>
    </row>
    <row r="19" spans="1:3" x14ac:dyDescent="0.25">
      <c r="A19" t="s">
        <v>124</v>
      </c>
      <c r="B19">
        <v>24</v>
      </c>
    </row>
    <row r="20" spans="1:3" x14ac:dyDescent="0.25">
      <c r="A20" t="s">
        <v>114</v>
      </c>
      <c r="B20">
        <v>22</v>
      </c>
    </row>
    <row r="21" spans="1:3" x14ac:dyDescent="0.25">
      <c r="A21" t="s">
        <v>123</v>
      </c>
      <c r="B21">
        <v>22</v>
      </c>
    </row>
    <row r="22" spans="1:3" x14ac:dyDescent="0.25">
      <c r="A22" t="s">
        <v>122</v>
      </c>
      <c r="B22">
        <v>20</v>
      </c>
      <c r="C22" s="1" t="s">
        <v>1703</v>
      </c>
    </row>
    <row r="23" spans="1:3" x14ac:dyDescent="0.25">
      <c r="A23" t="s">
        <v>94</v>
      </c>
      <c r="B23">
        <v>17</v>
      </c>
      <c r="C23" s="1" t="s">
        <v>1703</v>
      </c>
    </row>
    <row r="24" spans="1:3" x14ac:dyDescent="0.25">
      <c r="A24" t="s">
        <v>136</v>
      </c>
      <c r="B24">
        <v>17</v>
      </c>
    </row>
    <row r="25" spans="1:3" x14ac:dyDescent="0.25">
      <c r="A25" t="s">
        <v>138</v>
      </c>
      <c r="B25">
        <v>16</v>
      </c>
    </row>
    <row r="26" spans="1:3" x14ac:dyDescent="0.25">
      <c r="A26" t="s">
        <v>116</v>
      </c>
      <c r="B26">
        <v>10</v>
      </c>
    </row>
    <row r="27" spans="1:3" x14ac:dyDescent="0.25">
      <c r="A27" t="s">
        <v>135</v>
      </c>
      <c r="B27">
        <v>9</v>
      </c>
    </row>
    <row r="28" spans="1:3" x14ac:dyDescent="0.25">
      <c r="A28" t="s">
        <v>126</v>
      </c>
      <c r="B28">
        <v>6</v>
      </c>
    </row>
    <row r="29" spans="1:3" x14ac:dyDescent="0.25">
      <c r="A29" t="s">
        <v>125</v>
      </c>
      <c r="B29">
        <v>5</v>
      </c>
    </row>
    <row r="30" spans="1:3" x14ac:dyDescent="0.25">
      <c r="A30" t="s">
        <v>119</v>
      </c>
      <c r="B30">
        <v>3</v>
      </c>
    </row>
    <row r="31" spans="1:3" x14ac:dyDescent="0.25">
      <c r="A31" t="s">
        <v>127</v>
      </c>
      <c r="B31">
        <v>2</v>
      </c>
    </row>
    <row r="32" spans="1:3" x14ac:dyDescent="0.25">
      <c r="A32" t="s">
        <v>132</v>
      </c>
      <c r="B32">
        <v>2</v>
      </c>
    </row>
    <row r="33" spans="1:3" x14ac:dyDescent="0.25">
      <c r="A33" t="s">
        <v>133</v>
      </c>
      <c r="B33">
        <v>2</v>
      </c>
    </row>
    <row r="34" spans="1:3" x14ac:dyDescent="0.25">
      <c r="A34" t="s">
        <v>117</v>
      </c>
      <c r="B34">
        <v>1</v>
      </c>
    </row>
    <row r="35" spans="1:3" x14ac:dyDescent="0.25">
      <c r="A35" t="s">
        <v>2249</v>
      </c>
      <c r="B35">
        <v>1</v>
      </c>
      <c r="C35" s="1" t="s">
        <v>1703</v>
      </c>
    </row>
    <row r="36" spans="1:3" s="5" customFormat="1" x14ac:dyDescent="0.25">
      <c r="B36" s="5">
        <f>SUM(B6:B35)</f>
        <v>880</v>
      </c>
      <c r="C36" s="4"/>
    </row>
    <row r="39" spans="1:3" s="2" customFormat="1" ht="17.399999999999999" x14ac:dyDescent="0.3">
      <c r="A39" s="2" t="s">
        <v>683</v>
      </c>
      <c r="C39" s="3"/>
    </row>
    <row r="40" spans="1:3" x14ac:dyDescent="0.25">
      <c r="A40" t="s">
        <v>685</v>
      </c>
    </row>
    <row r="42" spans="1:3" s="4" customFormat="1" x14ac:dyDescent="0.25">
      <c r="A42" s="4" t="s">
        <v>1688</v>
      </c>
      <c r="B42" s="4" t="s">
        <v>111</v>
      </c>
      <c r="C42" s="4" t="s">
        <v>113</v>
      </c>
    </row>
    <row r="43" spans="1:3" s="4" customFormat="1" x14ac:dyDescent="0.25">
      <c r="A43" s="4" t="s">
        <v>1693</v>
      </c>
      <c r="B43" s="4" t="s">
        <v>112</v>
      </c>
      <c r="C43" s="4" t="s">
        <v>345</v>
      </c>
    </row>
    <row r="45" spans="1:3" x14ac:dyDescent="0.25">
      <c r="A45" t="s">
        <v>94</v>
      </c>
      <c r="B45">
        <v>186</v>
      </c>
      <c r="C45" s="1" t="s">
        <v>1703</v>
      </c>
    </row>
    <row r="46" spans="1:3" x14ac:dyDescent="0.25">
      <c r="A46" t="s">
        <v>122</v>
      </c>
      <c r="B46">
        <v>176</v>
      </c>
      <c r="C46" s="1" t="s">
        <v>1703</v>
      </c>
    </row>
    <row r="47" spans="1:3" x14ac:dyDescent="0.25">
      <c r="A47" t="s">
        <v>120</v>
      </c>
      <c r="B47">
        <v>142</v>
      </c>
      <c r="C47" s="1" t="s">
        <v>1703</v>
      </c>
    </row>
    <row r="48" spans="1:3" x14ac:dyDescent="0.25">
      <c r="A48" t="s">
        <v>2249</v>
      </c>
      <c r="B48">
        <v>125</v>
      </c>
      <c r="C48" s="1" t="s">
        <v>1703</v>
      </c>
    </row>
    <row r="49" spans="1:3" x14ac:dyDescent="0.25">
      <c r="A49" t="s">
        <v>121</v>
      </c>
      <c r="B49">
        <v>107</v>
      </c>
      <c r="C49" s="1" t="s">
        <v>1703</v>
      </c>
    </row>
    <row r="50" spans="1:3" x14ac:dyDescent="0.25">
      <c r="A50" t="s">
        <v>123</v>
      </c>
      <c r="B50">
        <v>99</v>
      </c>
      <c r="C50" s="1" t="s">
        <v>1703</v>
      </c>
    </row>
    <row r="51" spans="1:3" x14ac:dyDescent="0.25">
      <c r="A51" t="s">
        <v>1698</v>
      </c>
      <c r="B51">
        <v>87</v>
      </c>
      <c r="C51" s="1" t="s">
        <v>1703</v>
      </c>
    </row>
    <row r="52" spans="1:3" x14ac:dyDescent="0.25">
      <c r="A52" t="s">
        <v>135</v>
      </c>
      <c r="B52">
        <v>53</v>
      </c>
    </row>
    <row r="53" spans="1:3" x14ac:dyDescent="0.25">
      <c r="A53" t="s">
        <v>686</v>
      </c>
      <c r="B53">
        <v>46</v>
      </c>
    </row>
    <row r="54" spans="1:3" x14ac:dyDescent="0.25">
      <c r="A54" t="s">
        <v>688</v>
      </c>
      <c r="B54">
        <v>36</v>
      </c>
    </row>
    <row r="55" spans="1:3" x14ac:dyDescent="0.25">
      <c r="A55" t="s">
        <v>116</v>
      </c>
      <c r="B55">
        <v>29</v>
      </c>
    </row>
    <row r="56" spans="1:3" x14ac:dyDescent="0.25">
      <c r="A56" t="s">
        <v>687</v>
      </c>
      <c r="B56">
        <v>29</v>
      </c>
    </row>
    <row r="57" spans="1:3" x14ac:dyDescent="0.25">
      <c r="A57" t="s">
        <v>684</v>
      </c>
      <c r="B57">
        <v>28</v>
      </c>
    </row>
    <row r="58" spans="1:3" x14ac:dyDescent="0.25">
      <c r="A58" t="s">
        <v>114</v>
      </c>
      <c r="B58">
        <v>27</v>
      </c>
    </row>
  </sheetData>
  <phoneticPr fontId="5" type="noConversion"/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6"/>
  <sheetViews>
    <sheetView workbookViewId="0">
      <selection activeCell="P6" sqref="P6"/>
    </sheetView>
  </sheetViews>
  <sheetFormatPr defaultRowHeight="13.2" x14ac:dyDescent="0.25"/>
  <cols>
    <col min="1" max="1" width="19.6640625" customWidth="1"/>
    <col min="2" max="17" width="5.6640625" customWidth="1"/>
  </cols>
  <sheetData>
    <row r="1" spans="1:17" s="4" customFormat="1" x14ac:dyDescent="0.25">
      <c r="A1" s="4" t="s">
        <v>1688</v>
      </c>
    </row>
    <row r="2" spans="1:17" s="4" customFormat="1" x14ac:dyDescent="0.25">
      <c r="A2" s="4" t="s">
        <v>1693</v>
      </c>
      <c r="B2" s="4">
        <v>1905</v>
      </c>
      <c r="C2" s="4">
        <f>B2+1</f>
        <v>1906</v>
      </c>
      <c r="D2" s="4">
        <f t="shared" ref="D2:Q2" si="0">C2+1</f>
        <v>1907</v>
      </c>
      <c r="E2" s="4">
        <f t="shared" si="0"/>
        <v>1908</v>
      </c>
      <c r="F2" s="4">
        <f t="shared" si="0"/>
        <v>1909</v>
      </c>
      <c r="G2" s="4">
        <f t="shared" si="0"/>
        <v>1910</v>
      </c>
      <c r="H2" s="4">
        <f t="shared" si="0"/>
        <v>1911</v>
      </c>
      <c r="I2" s="4">
        <f t="shared" si="0"/>
        <v>1912</v>
      </c>
      <c r="J2" s="4">
        <f t="shared" si="0"/>
        <v>1913</v>
      </c>
      <c r="K2" s="4">
        <f t="shared" si="0"/>
        <v>1914</v>
      </c>
      <c r="L2" s="4">
        <f t="shared" si="0"/>
        <v>1915</v>
      </c>
      <c r="M2" s="4">
        <f t="shared" si="0"/>
        <v>1916</v>
      </c>
      <c r="N2" s="4">
        <f t="shared" si="0"/>
        <v>1917</v>
      </c>
      <c r="O2" s="4">
        <f t="shared" si="0"/>
        <v>1918</v>
      </c>
      <c r="P2" s="4">
        <f t="shared" si="0"/>
        <v>1919</v>
      </c>
      <c r="Q2" s="4">
        <f t="shared" si="0"/>
        <v>1920</v>
      </c>
    </row>
    <row r="4" spans="1:17" x14ac:dyDescent="0.25">
      <c r="A4" t="s">
        <v>916</v>
      </c>
      <c r="F4">
        <v>420</v>
      </c>
      <c r="G4">
        <v>257</v>
      </c>
      <c r="H4">
        <v>388</v>
      </c>
      <c r="I4">
        <v>387</v>
      </c>
      <c r="J4">
        <v>685</v>
      </c>
      <c r="K4">
        <v>73</v>
      </c>
      <c r="L4">
        <v>5</v>
      </c>
      <c r="M4">
        <v>12</v>
      </c>
      <c r="N4">
        <v>12</v>
      </c>
      <c r="O4">
        <v>26</v>
      </c>
      <c r="P4">
        <v>8</v>
      </c>
      <c r="Q4">
        <v>0</v>
      </c>
    </row>
    <row r="5" spans="1:17" x14ac:dyDescent="0.25">
      <c r="A5" t="s">
        <v>89</v>
      </c>
      <c r="B5">
        <v>52</v>
      </c>
      <c r="C5">
        <v>181</v>
      </c>
      <c r="D5">
        <v>374</v>
      </c>
      <c r="E5">
        <v>273</v>
      </c>
      <c r="F5">
        <v>66</v>
      </c>
      <c r="G5">
        <v>71</v>
      </c>
      <c r="H5">
        <v>125</v>
      </c>
      <c r="I5">
        <v>93</v>
      </c>
      <c r="J5">
        <v>162</v>
      </c>
      <c r="K5">
        <v>52</v>
      </c>
      <c r="L5">
        <v>0</v>
      </c>
      <c r="M5">
        <v>0</v>
      </c>
      <c r="N5">
        <v>0</v>
      </c>
      <c r="O5">
        <v>11</v>
      </c>
      <c r="P5">
        <v>24</v>
      </c>
      <c r="Q5">
        <v>125</v>
      </c>
    </row>
    <row r="6" spans="1:17" x14ac:dyDescent="0.25">
      <c r="A6" t="s">
        <v>1698</v>
      </c>
      <c r="B6">
        <v>50</v>
      </c>
      <c r="C6">
        <v>173</v>
      </c>
      <c r="D6">
        <v>194</v>
      </c>
      <c r="E6">
        <v>408</v>
      </c>
      <c r="F6">
        <v>288</v>
      </c>
      <c r="G6">
        <v>130</v>
      </c>
      <c r="H6">
        <v>140</v>
      </c>
      <c r="I6">
        <v>355</v>
      </c>
      <c r="J6">
        <v>156</v>
      </c>
      <c r="K6">
        <v>51</v>
      </c>
      <c r="L6">
        <v>3</v>
      </c>
      <c r="M6">
        <v>7</v>
      </c>
      <c r="N6">
        <v>12</v>
      </c>
      <c r="O6">
        <v>0</v>
      </c>
      <c r="P6">
        <v>25</v>
      </c>
      <c r="Q6">
        <v>151</v>
      </c>
    </row>
  </sheetData>
  <phoneticPr fontId="5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25"/>
  <sheetViews>
    <sheetView workbookViewId="0">
      <selection sqref="A1:XFD3"/>
    </sheetView>
  </sheetViews>
  <sheetFormatPr defaultRowHeight="13.2" x14ac:dyDescent="0.25"/>
  <cols>
    <col min="1" max="1" width="33.6640625" customWidth="1"/>
    <col min="2" max="4" width="12.6640625" style="1" customWidth="1"/>
  </cols>
  <sheetData>
    <row r="1" spans="1:4" s="2" customFormat="1" ht="17.399999999999999" x14ac:dyDescent="0.3">
      <c r="A1" s="2" t="s">
        <v>2467</v>
      </c>
      <c r="B1" s="3"/>
      <c r="C1" s="3"/>
      <c r="D1" s="3"/>
    </row>
    <row r="2" spans="1:4" s="2" customFormat="1" ht="17.399999999999999" x14ac:dyDescent="0.3">
      <c r="A2" s="2" t="s">
        <v>2468</v>
      </c>
      <c r="B2" s="3"/>
      <c r="C2" s="3"/>
      <c r="D2" s="3"/>
    </row>
    <row r="4" spans="1:4" s="4" customFormat="1" x14ac:dyDescent="0.25">
      <c r="B4" s="85" t="s">
        <v>2447</v>
      </c>
      <c r="C4" s="85"/>
      <c r="D4" s="85"/>
    </row>
    <row r="5" spans="1:4" s="4" customFormat="1" x14ac:dyDescent="0.25">
      <c r="A5" s="4" t="s">
        <v>2448</v>
      </c>
      <c r="B5" s="4" t="s">
        <v>2444</v>
      </c>
      <c r="C5" s="4" t="s">
        <v>2445</v>
      </c>
      <c r="D5" s="4" t="s">
        <v>2446</v>
      </c>
    </row>
    <row r="7" spans="1:4" x14ac:dyDescent="0.25">
      <c r="A7" t="s">
        <v>2450</v>
      </c>
      <c r="B7" s="1" t="s">
        <v>1703</v>
      </c>
      <c r="C7" s="1" t="s">
        <v>1703</v>
      </c>
      <c r="D7" s="1" t="s">
        <v>1703</v>
      </c>
    </row>
    <row r="8" spans="1:4" x14ac:dyDescent="0.25">
      <c r="A8" t="s">
        <v>2454</v>
      </c>
      <c r="B8" s="1" t="s">
        <v>1703</v>
      </c>
      <c r="C8" s="1" t="s">
        <v>1703</v>
      </c>
      <c r="D8" s="1" t="s">
        <v>1703</v>
      </c>
    </row>
    <row r="9" spans="1:4" x14ac:dyDescent="0.25">
      <c r="A9" t="s">
        <v>2452</v>
      </c>
      <c r="B9" s="1" t="s">
        <v>1703</v>
      </c>
      <c r="C9" s="1" t="s">
        <v>1703</v>
      </c>
      <c r="D9" s="1" t="s">
        <v>1703</v>
      </c>
    </row>
    <row r="10" spans="1:4" x14ac:dyDescent="0.25">
      <c r="A10" t="s">
        <v>2453</v>
      </c>
      <c r="B10" s="1" t="s">
        <v>1703</v>
      </c>
      <c r="C10" s="1" t="s">
        <v>1703</v>
      </c>
      <c r="D10" s="1" t="s">
        <v>1703</v>
      </c>
    </row>
    <row r="11" spans="1:4" x14ac:dyDescent="0.25">
      <c r="A11" t="s">
        <v>2455</v>
      </c>
      <c r="B11" s="1" t="s">
        <v>1703</v>
      </c>
      <c r="C11" s="1" t="s">
        <v>1703</v>
      </c>
    </row>
    <row r="12" spans="1:4" x14ac:dyDescent="0.25">
      <c r="A12" t="s">
        <v>2449</v>
      </c>
      <c r="B12" s="1" t="s">
        <v>1703</v>
      </c>
      <c r="C12" s="1" t="s">
        <v>1703</v>
      </c>
      <c r="D12" s="1" t="s">
        <v>1703</v>
      </c>
    </row>
    <row r="13" spans="1:4" x14ac:dyDescent="0.25">
      <c r="A13" t="s">
        <v>2456</v>
      </c>
      <c r="B13" s="1" t="s">
        <v>1703</v>
      </c>
      <c r="D13" s="1" t="s">
        <v>1703</v>
      </c>
    </row>
    <row r="14" spans="1:4" x14ac:dyDescent="0.25">
      <c r="A14" t="s">
        <v>2463</v>
      </c>
      <c r="B14" s="1" t="s">
        <v>1703</v>
      </c>
      <c r="C14" s="1" t="s">
        <v>1703</v>
      </c>
      <c r="D14" s="1" t="s">
        <v>1703</v>
      </c>
    </row>
    <row r="15" spans="1:4" x14ac:dyDescent="0.25">
      <c r="A15" t="s">
        <v>2451</v>
      </c>
      <c r="B15" s="1" t="s">
        <v>1703</v>
      </c>
    </row>
    <row r="16" spans="1:4" x14ac:dyDescent="0.25">
      <c r="A16" t="s">
        <v>2457</v>
      </c>
      <c r="B16" s="1" t="s">
        <v>1703</v>
      </c>
    </row>
    <row r="17" spans="1:4" x14ac:dyDescent="0.25">
      <c r="A17" t="s">
        <v>2460</v>
      </c>
      <c r="B17" s="1" t="s">
        <v>1703</v>
      </c>
      <c r="C17" s="1" t="s">
        <v>1703</v>
      </c>
      <c r="D17" s="1" t="s">
        <v>1703</v>
      </c>
    </row>
    <row r="18" spans="1:4" x14ac:dyDescent="0.25">
      <c r="A18" t="s">
        <v>2461</v>
      </c>
      <c r="B18" s="1" t="s">
        <v>1703</v>
      </c>
      <c r="C18" s="1" t="s">
        <v>1703</v>
      </c>
      <c r="D18" s="1" t="s">
        <v>1703</v>
      </c>
    </row>
    <row r="19" spans="1:4" x14ac:dyDescent="0.25">
      <c r="A19" t="s">
        <v>2458</v>
      </c>
      <c r="B19" s="1" t="s">
        <v>1703</v>
      </c>
      <c r="C19" s="1" t="s">
        <v>1703</v>
      </c>
      <c r="D19" s="1" t="s">
        <v>1703</v>
      </c>
    </row>
    <row r="20" spans="1:4" x14ac:dyDescent="0.25">
      <c r="A20" t="s">
        <v>2459</v>
      </c>
      <c r="B20" s="1" t="s">
        <v>1703</v>
      </c>
      <c r="C20" s="1" t="s">
        <v>1703</v>
      </c>
      <c r="D20" s="1" t="s">
        <v>1703</v>
      </c>
    </row>
    <row r="21" spans="1:4" x14ac:dyDescent="0.25">
      <c r="A21" t="s">
        <v>2462</v>
      </c>
      <c r="C21" s="1" t="s">
        <v>1703</v>
      </c>
      <c r="D21" s="1" t="s">
        <v>1703</v>
      </c>
    </row>
    <row r="22" spans="1:4" x14ac:dyDescent="0.25">
      <c r="A22" t="s">
        <v>2464</v>
      </c>
      <c r="C22" s="1" t="s">
        <v>1703</v>
      </c>
      <c r="D22" s="1" t="s">
        <v>1703</v>
      </c>
    </row>
    <row r="23" spans="1:4" x14ac:dyDescent="0.25">
      <c r="A23" t="s">
        <v>2465</v>
      </c>
      <c r="B23" s="1" t="s">
        <v>1703</v>
      </c>
      <c r="C23" s="1" t="s">
        <v>1703</v>
      </c>
      <c r="D23" s="1" t="s">
        <v>1703</v>
      </c>
    </row>
    <row r="25" spans="1:4" x14ac:dyDescent="0.25">
      <c r="A25" t="s">
        <v>2466</v>
      </c>
      <c r="B25" s="28">
        <v>6366</v>
      </c>
      <c r="C25" s="28">
        <v>6731</v>
      </c>
      <c r="D25" s="28">
        <v>6830</v>
      </c>
    </row>
  </sheetData>
  <mergeCells count="1">
    <mergeCell ref="B4:D4"/>
  </mergeCells>
  <printOptions gridLines="1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40"/>
  <sheetViews>
    <sheetView workbookViewId="0"/>
  </sheetViews>
  <sheetFormatPr defaultRowHeight="13.2" x14ac:dyDescent="0.25"/>
  <cols>
    <col min="2" max="2" width="18.88671875" customWidth="1"/>
    <col min="3" max="3" width="9.44140625" style="53" bestFit="1" customWidth="1"/>
    <col min="4" max="4" width="9" style="53" bestFit="1" customWidth="1"/>
    <col min="6" max="6" width="8.88671875" style="56"/>
  </cols>
  <sheetData>
    <row r="1" spans="1:6" x14ac:dyDescent="0.25">
      <c r="A1" s="52" t="s">
        <v>4700</v>
      </c>
    </row>
    <row r="4" spans="1:6" s="4" customFormat="1" x14ac:dyDescent="0.25">
      <c r="A4" s="4" t="s">
        <v>4720</v>
      </c>
      <c r="B4" s="4" t="s">
        <v>4174</v>
      </c>
      <c r="C4" s="54" t="s">
        <v>4721</v>
      </c>
      <c r="D4" s="54" t="s">
        <v>4722</v>
      </c>
      <c r="E4" s="4" t="s">
        <v>1696</v>
      </c>
      <c r="F4" s="57" t="s">
        <v>4723</v>
      </c>
    </row>
    <row r="5" spans="1:6" s="4" customFormat="1" x14ac:dyDescent="0.25">
      <c r="C5" s="54"/>
      <c r="D5" s="54"/>
      <c r="F5" s="58"/>
    </row>
    <row r="6" spans="1:6" x14ac:dyDescent="0.25">
      <c r="A6" t="s">
        <v>125</v>
      </c>
      <c r="C6" s="53">
        <v>54</v>
      </c>
      <c r="D6" s="53">
        <v>2</v>
      </c>
      <c r="E6" s="55">
        <f>SUM(C6:D6)</f>
        <v>56</v>
      </c>
      <c r="F6" s="56">
        <f>IF(E6&gt;49,D6/E6,"")</f>
        <v>3.5714285714285712E-2</v>
      </c>
    </row>
    <row r="7" spans="1:6" x14ac:dyDescent="0.25">
      <c r="A7" t="s">
        <v>129</v>
      </c>
      <c r="C7" s="53">
        <v>113</v>
      </c>
      <c r="D7" s="53">
        <v>20</v>
      </c>
      <c r="E7" s="55">
        <f>SUM(C7:D7)</f>
        <v>133</v>
      </c>
      <c r="F7" s="56">
        <f>IF(E7&gt;49,D7/E7,"")</f>
        <v>0.15037593984962405</v>
      </c>
    </row>
    <row r="8" spans="1:6" x14ac:dyDescent="0.25">
      <c r="A8" t="s">
        <v>4701</v>
      </c>
      <c r="C8" s="53">
        <f>SUM(C12:C35)</f>
        <v>7380</v>
      </c>
      <c r="D8" s="53">
        <f>SUM(D12:D35)</f>
        <v>735</v>
      </c>
      <c r="E8" s="55">
        <f>SUM(C8:D8)</f>
        <v>8115</v>
      </c>
      <c r="F8" s="56">
        <f>IF(E8&gt;49,D8/E8,"")</f>
        <v>9.0573012939001843E-2</v>
      </c>
    </row>
    <row r="9" spans="1:6" x14ac:dyDescent="0.25">
      <c r="A9" t="s">
        <v>1696</v>
      </c>
      <c r="C9" s="53">
        <f>SUM(C6:C8)</f>
        <v>7547</v>
      </c>
      <c r="D9" s="53">
        <f>SUM(D6:D8)</f>
        <v>757</v>
      </c>
      <c r="E9" s="55">
        <f>SUM(C9:D9)</f>
        <v>8304</v>
      </c>
      <c r="F9" s="56">
        <f>IF(E9&gt;49,D9/E9,"")</f>
        <v>9.1160886319845855E-2</v>
      </c>
    </row>
    <row r="11" spans="1:6" x14ac:dyDescent="0.25">
      <c r="A11" s="5" t="s">
        <v>4725</v>
      </c>
    </row>
    <row r="12" spans="1:6" x14ac:dyDescent="0.25">
      <c r="A12" t="s">
        <v>4701</v>
      </c>
      <c r="B12" t="s">
        <v>4702</v>
      </c>
      <c r="C12" s="53">
        <v>50</v>
      </c>
      <c r="D12" s="53">
        <v>8</v>
      </c>
      <c r="E12" s="55">
        <f t="shared" ref="E12:E35" si="0">SUM(C12:D12)</f>
        <v>58</v>
      </c>
      <c r="F12" s="56">
        <f t="shared" ref="F12:F35" si="1">IF(E12&gt;49,D12/E12,"")</f>
        <v>0.13793103448275862</v>
      </c>
    </row>
    <row r="13" spans="1:6" x14ac:dyDescent="0.25">
      <c r="A13" t="s">
        <v>4701</v>
      </c>
      <c r="B13" t="s">
        <v>4703</v>
      </c>
      <c r="C13" s="53">
        <v>11</v>
      </c>
      <c r="D13" s="53">
        <v>3</v>
      </c>
      <c r="E13" s="55">
        <f t="shared" si="0"/>
        <v>14</v>
      </c>
      <c r="F13" s="56" t="str">
        <f t="shared" si="1"/>
        <v/>
      </c>
    </row>
    <row r="14" spans="1:6" x14ac:dyDescent="0.25">
      <c r="A14" t="s">
        <v>4701</v>
      </c>
      <c r="B14" t="s">
        <v>4704</v>
      </c>
      <c r="C14" s="53">
        <v>190</v>
      </c>
      <c r="D14" s="53">
        <v>12</v>
      </c>
      <c r="E14" s="55">
        <f t="shared" si="0"/>
        <v>202</v>
      </c>
      <c r="F14" s="56">
        <f t="shared" si="1"/>
        <v>5.9405940594059403E-2</v>
      </c>
    </row>
    <row r="15" spans="1:6" x14ac:dyDescent="0.25">
      <c r="A15" t="s">
        <v>4701</v>
      </c>
      <c r="B15" t="s">
        <v>4178</v>
      </c>
      <c r="C15" s="53">
        <v>871</v>
      </c>
      <c r="D15" s="53">
        <v>83</v>
      </c>
      <c r="E15" s="55">
        <f t="shared" si="0"/>
        <v>954</v>
      </c>
      <c r="F15" s="56">
        <f t="shared" si="1"/>
        <v>8.7002096436058704E-2</v>
      </c>
    </row>
    <row r="16" spans="1:6" x14ac:dyDescent="0.25">
      <c r="A16" t="s">
        <v>4701</v>
      </c>
      <c r="B16" t="s">
        <v>4705</v>
      </c>
      <c r="C16" s="53">
        <v>9</v>
      </c>
      <c r="D16" s="53">
        <v>0</v>
      </c>
      <c r="E16" s="55">
        <f t="shared" si="0"/>
        <v>9</v>
      </c>
      <c r="F16" s="56" t="str">
        <f t="shared" si="1"/>
        <v/>
      </c>
    </row>
    <row r="17" spans="1:6" x14ac:dyDescent="0.25">
      <c r="A17" t="s">
        <v>4701</v>
      </c>
      <c r="B17" t="s">
        <v>4706</v>
      </c>
      <c r="C17" s="53">
        <v>26</v>
      </c>
      <c r="D17" s="53">
        <v>4</v>
      </c>
      <c r="E17" s="55">
        <f t="shared" si="0"/>
        <v>30</v>
      </c>
      <c r="F17" s="56" t="str">
        <f t="shared" si="1"/>
        <v/>
      </c>
    </row>
    <row r="18" spans="1:6" x14ac:dyDescent="0.25">
      <c r="A18" t="s">
        <v>4701</v>
      </c>
      <c r="B18" t="s">
        <v>3056</v>
      </c>
      <c r="C18" s="53">
        <v>4</v>
      </c>
      <c r="D18" s="53">
        <v>0</v>
      </c>
      <c r="E18" s="55">
        <f t="shared" si="0"/>
        <v>4</v>
      </c>
      <c r="F18" s="56" t="str">
        <f t="shared" si="1"/>
        <v/>
      </c>
    </row>
    <row r="19" spans="1:6" x14ac:dyDescent="0.25">
      <c r="A19" t="s">
        <v>4701</v>
      </c>
      <c r="B19" t="s">
        <v>4707</v>
      </c>
      <c r="C19" s="53">
        <v>260</v>
      </c>
      <c r="D19" s="53">
        <v>27</v>
      </c>
      <c r="E19" s="55">
        <f t="shared" si="0"/>
        <v>287</v>
      </c>
      <c r="F19" s="56">
        <f t="shared" si="1"/>
        <v>9.4076655052264813E-2</v>
      </c>
    </row>
    <row r="20" spans="1:6" x14ac:dyDescent="0.25">
      <c r="A20" t="s">
        <v>4701</v>
      </c>
      <c r="B20" t="s">
        <v>4708</v>
      </c>
      <c r="C20" s="53">
        <v>404</v>
      </c>
      <c r="D20" s="53">
        <v>44</v>
      </c>
      <c r="E20" s="55">
        <f t="shared" si="0"/>
        <v>448</v>
      </c>
      <c r="F20" s="56">
        <f t="shared" si="1"/>
        <v>9.8214285714285712E-2</v>
      </c>
    </row>
    <row r="21" spans="1:6" x14ac:dyDescent="0.25">
      <c r="A21" t="s">
        <v>4701</v>
      </c>
      <c r="B21" t="s">
        <v>4175</v>
      </c>
      <c r="C21" s="53">
        <v>895</v>
      </c>
      <c r="D21" s="53">
        <v>69</v>
      </c>
      <c r="E21" s="55">
        <f t="shared" si="0"/>
        <v>964</v>
      </c>
      <c r="F21" s="56">
        <f t="shared" si="1"/>
        <v>7.1576763485477174E-2</v>
      </c>
    </row>
    <row r="22" spans="1:6" x14ac:dyDescent="0.25">
      <c r="A22" t="s">
        <v>4701</v>
      </c>
      <c r="B22" t="s">
        <v>4709</v>
      </c>
      <c r="C22" s="53">
        <v>46</v>
      </c>
      <c r="D22" s="53">
        <v>7</v>
      </c>
      <c r="E22" s="55">
        <f t="shared" si="0"/>
        <v>53</v>
      </c>
      <c r="F22" s="56">
        <f t="shared" si="1"/>
        <v>0.13207547169811321</v>
      </c>
    </row>
    <row r="23" spans="1:6" x14ac:dyDescent="0.25">
      <c r="A23" t="s">
        <v>4701</v>
      </c>
      <c r="B23" t="s">
        <v>4710</v>
      </c>
      <c r="C23" s="53">
        <v>244</v>
      </c>
      <c r="D23" s="53">
        <v>21</v>
      </c>
      <c r="E23" s="55">
        <f t="shared" si="0"/>
        <v>265</v>
      </c>
      <c r="F23" s="56">
        <f t="shared" si="1"/>
        <v>7.9245283018867921E-2</v>
      </c>
    </row>
    <row r="24" spans="1:6" x14ac:dyDescent="0.25">
      <c r="A24" t="s">
        <v>4701</v>
      </c>
      <c r="B24" t="s">
        <v>4711</v>
      </c>
      <c r="C24" s="53">
        <v>30</v>
      </c>
      <c r="D24" s="53">
        <v>2</v>
      </c>
      <c r="E24" s="55">
        <f t="shared" si="0"/>
        <v>32</v>
      </c>
      <c r="F24" s="56" t="str">
        <f t="shared" si="1"/>
        <v/>
      </c>
    </row>
    <row r="25" spans="1:6" x14ac:dyDescent="0.25">
      <c r="A25" t="s">
        <v>4701</v>
      </c>
      <c r="B25" t="s">
        <v>4712</v>
      </c>
      <c r="C25" s="53">
        <v>3</v>
      </c>
      <c r="D25" s="53">
        <v>0</v>
      </c>
      <c r="E25" s="55">
        <f t="shared" si="0"/>
        <v>3</v>
      </c>
      <c r="F25" s="56" t="str">
        <f t="shared" si="1"/>
        <v/>
      </c>
    </row>
    <row r="26" spans="1:6" x14ac:dyDescent="0.25">
      <c r="A26" t="s">
        <v>4701</v>
      </c>
      <c r="B26" t="s">
        <v>4713</v>
      </c>
      <c r="C26" s="53">
        <v>3</v>
      </c>
      <c r="D26" s="53">
        <v>0</v>
      </c>
      <c r="E26" s="55">
        <f t="shared" si="0"/>
        <v>3</v>
      </c>
      <c r="F26" s="56" t="str">
        <f t="shared" si="1"/>
        <v/>
      </c>
    </row>
    <row r="27" spans="1:6" x14ac:dyDescent="0.25">
      <c r="A27" t="s">
        <v>4701</v>
      </c>
      <c r="B27" t="s">
        <v>4714</v>
      </c>
      <c r="C27" s="53">
        <v>7</v>
      </c>
      <c r="D27" s="53">
        <v>0</v>
      </c>
      <c r="E27" s="55">
        <f t="shared" si="0"/>
        <v>7</v>
      </c>
      <c r="F27" s="56" t="str">
        <f t="shared" si="1"/>
        <v/>
      </c>
    </row>
    <row r="28" spans="1:6" x14ac:dyDescent="0.25">
      <c r="A28" t="s">
        <v>4701</v>
      </c>
      <c r="B28" t="s">
        <v>4715</v>
      </c>
      <c r="C28" s="53">
        <v>1615</v>
      </c>
      <c r="D28" s="53">
        <v>159</v>
      </c>
      <c r="E28" s="55">
        <f t="shared" si="0"/>
        <v>1774</v>
      </c>
      <c r="F28" s="56">
        <f t="shared" si="1"/>
        <v>8.9627959413754232E-2</v>
      </c>
    </row>
    <row r="29" spans="1:6" x14ac:dyDescent="0.25">
      <c r="A29" t="s">
        <v>4701</v>
      </c>
      <c r="B29" t="s">
        <v>4716</v>
      </c>
      <c r="C29" s="53">
        <v>57</v>
      </c>
      <c r="D29" s="53">
        <v>12</v>
      </c>
      <c r="E29" s="55">
        <f t="shared" si="0"/>
        <v>69</v>
      </c>
      <c r="F29" s="56">
        <f t="shared" si="1"/>
        <v>0.17391304347826086</v>
      </c>
    </row>
    <row r="30" spans="1:6" x14ac:dyDescent="0.25">
      <c r="A30" t="s">
        <v>4701</v>
      </c>
      <c r="B30" t="s">
        <v>4181</v>
      </c>
      <c r="C30" s="53">
        <v>689</v>
      </c>
      <c r="D30" s="53">
        <v>79</v>
      </c>
      <c r="E30" s="55">
        <f t="shared" si="0"/>
        <v>768</v>
      </c>
      <c r="F30" s="56">
        <f t="shared" si="1"/>
        <v>0.10286458333333333</v>
      </c>
    </row>
    <row r="31" spans="1:6" x14ac:dyDescent="0.25">
      <c r="A31" t="s">
        <v>4701</v>
      </c>
      <c r="B31" t="s">
        <v>4717</v>
      </c>
      <c r="C31" s="53">
        <v>1</v>
      </c>
      <c r="D31" s="53">
        <v>1</v>
      </c>
      <c r="E31" s="55">
        <f t="shared" si="0"/>
        <v>2</v>
      </c>
      <c r="F31" s="56" t="str">
        <f t="shared" si="1"/>
        <v/>
      </c>
    </row>
    <row r="32" spans="1:6" x14ac:dyDescent="0.25">
      <c r="A32" t="s">
        <v>4701</v>
      </c>
      <c r="B32" t="s">
        <v>4718</v>
      </c>
      <c r="C32" s="53">
        <v>47</v>
      </c>
      <c r="D32" s="53">
        <v>8</v>
      </c>
      <c r="E32" s="55">
        <f t="shared" si="0"/>
        <v>55</v>
      </c>
      <c r="F32" s="56">
        <f t="shared" si="1"/>
        <v>0.14545454545454545</v>
      </c>
    </row>
    <row r="33" spans="1:6" x14ac:dyDescent="0.25">
      <c r="A33" t="s">
        <v>4701</v>
      </c>
      <c r="B33" t="s">
        <v>4719</v>
      </c>
      <c r="C33" s="53">
        <v>19</v>
      </c>
      <c r="D33" s="53">
        <v>1</v>
      </c>
      <c r="E33" s="55">
        <f t="shared" si="0"/>
        <v>20</v>
      </c>
      <c r="F33" s="56" t="str">
        <f t="shared" si="1"/>
        <v/>
      </c>
    </row>
    <row r="34" spans="1:6" x14ac:dyDescent="0.25">
      <c r="A34" t="s">
        <v>4701</v>
      </c>
      <c r="B34" t="s">
        <v>4182</v>
      </c>
      <c r="C34" s="53">
        <v>274</v>
      </c>
      <c r="D34" s="53">
        <v>23</v>
      </c>
      <c r="E34" s="55">
        <f t="shared" si="0"/>
        <v>297</v>
      </c>
      <c r="F34" s="56">
        <f t="shared" si="1"/>
        <v>7.7441077441077436E-2</v>
      </c>
    </row>
    <row r="35" spans="1:6" x14ac:dyDescent="0.25">
      <c r="A35" t="s">
        <v>4701</v>
      </c>
      <c r="B35" t="s">
        <v>4724</v>
      </c>
      <c r="C35" s="53">
        <v>1625</v>
      </c>
      <c r="D35" s="53">
        <v>172</v>
      </c>
      <c r="E35" s="55">
        <f t="shared" si="0"/>
        <v>1797</v>
      </c>
      <c r="F35" s="56">
        <f t="shared" si="1"/>
        <v>9.5715080690038951E-2</v>
      </c>
    </row>
    <row r="37" spans="1:6" x14ac:dyDescent="0.25">
      <c r="A37" s="5" t="s">
        <v>4726</v>
      </c>
    </row>
    <row r="38" spans="1:6" x14ac:dyDescent="0.25">
      <c r="B38" t="s">
        <v>4727</v>
      </c>
    </row>
    <row r="39" spans="1:6" x14ac:dyDescent="0.25">
      <c r="B39" t="s">
        <v>4728</v>
      </c>
    </row>
    <row r="40" spans="1:6" x14ac:dyDescent="0.25">
      <c r="B40" t="s">
        <v>4729</v>
      </c>
    </row>
  </sheetData>
  <sortState ref="A4:D323">
    <sortCondition ref="A4:A323"/>
    <sortCondition ref="B4:B323"/>
    <sortCondition ref="C4:C323"/>
  </sortState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4"/>
  <sheetViews>
    <sheetView workbookViewId="0">
      <selection activeCell="L14" sqref="A1:L14"/>
    </sheetView>
  </sheetViews>
  <sheetFormatPr defaultRowHeight="13.2" x14ac:dyDescent="0.25"/>
  <cols>
    <col min="1" max="1" width="2.6640625" customWidth="1"/>
    <col min="2" max="2" width="12.109375" customWidth="1"/>
    <col min="3" max="3" width="13.5546875" customWidth="1"/>
    <col min="4" max="6" width="12.6640625" customWidth="1"/>
    <col min="7" max="7" width="2.6640625" customWidth="1"/>
    <col min="8" max="8" width="10.5546875" customWidth="1"/>
    <col min="9" max="12" width="12.6640625" customWidth="1"/>
  </cols>
  <sheetData>
    <row r="1" spans="1:11" s="5" customFormat="1" x14ac:dyDescent="0.25">
      <c r="A1" s="5" t="s">
        <v>4730</v>
      </c>
    </row>
    <row r="3" spans="1:11" s="4" customFormat="1" x14ac:dyDescent="0.25">
      <c r="A3" s="59"/>
      <c r="B3" s="4" t="s">
        <v>4186</v>
      </c>
      <c r="G3" s="59"/>
      <c r="H3" s="4" t="s">
        <v>4737</v>
      </c>
    </row>
    <row r="4" spans="1:11" s="4" customFormat="1" x14ac:dyDescent="0.25">
      <c r="A4" s="59"/>
      <c r="B4" s="4" t="s">
        <v>4731</v>
      </c>
      <c r="C4" s="85" t="s">
        <v>4761</v>
      </c>
      <c r="D4" s="85"/>
      <c r="E4" s="85"/>
      <c r="F4" s="85"/>
      <c r="G4" s="59"/>
      <c r="H4" s="4" t="s">
        <v>4731</v>
      </c>
      <c r="I4" s="85" t="s">
        <v>4761</v>
      </c>
      <c r="J4" s="85"/>
      <c r="K4" s="85"/>
    </row>
    <row r="5" spans="1:11" s="4" customFormat="1" x14ac:dyDescent="0.25">
      <c r="A5" s="59"/>
      <c r="B5" s="4" t="s">
        <v>1693</v>
      </c>
      <c r="C5" s="85"/>
      <c r="D5" s="85"/>
      <c r="E5" s="85"/>
      <c r="F5" s="85"/>
      <c r="G5" s="59"/>
      <c r="H5" s="4" t="s">
        <v>1693</v>
      </c>
      <c r="I5" s="85"/>
      <c r="J5" s="85"/>
      <c r="K5" s="85"/>
    </row>
    <row r="6" spans="1:11" x14ac:dyDescent="0.25">
      <c r="A6" s="60"/>
      <c r="G6" s="60"/>
    </row>
    <row r="7" spans="1:11" ht="15.6" x14ac:dyDescent="0.25">
      <c r="A7" s="60"/>
      <c r="B7" t="s">
        <v>4732</v>
      </c>
      <c r="C7" t="s">
        <v>4752</v>
      </c>
      <c r="D7" t="s">
        <v>4175</v>
      </c>
      <c r="E7" t="s">
        <v>4178</v>
      </c>
      <c r="F7" t="s">
        <v>4708</v>
      </c>
      <c r="G7" s="60"/>
      <c r="H7" t="s">
        <v>4738</v>
      </c>
      <c r="I7" t="s">
        <v>4744</v>
      </c>
      <c r="J7" t="s">
        <v>3204</v>
      </c>
      <c r="K7" t="s">
        <v>4756</v>
      </c>
    </row>
    <row r="8" spans="1:11" x14ac:dyDescent="0.25">
      <c r="A8" s="60"/>
      <c r="B8" t="s">
        <v>4733</v>
      </c>
      <c r="C8" t="s">
        <v>4735</v>
      </c>
      <c r="D8" t="s">
        <v>4175</v>
      </c>
      <c r="E8" t="s">
        <v>4179</v>
      </c>
      <c r="F8" t="s">
        <v>4749</v>
      </c>
      <c r="G8" s="60"/>
      <c r="H8" t="s">
        <v>4762</v>
      </c>
      <c r="I8" t="s">
        <v>4755</v>
      </c>
      <c r="J8" t="s">
        <v>4754</v>
      </c>
      <c r="K8" t="s">
        <v>4760</v>
      </c>
    </row>
    <row r="9" spans="1:11" x14ac:dyDescent="0.25">
      <c r="A9" s="60"/>
      <c r="B9" t="s">
        <v>4734</v>
      </c>
      <c r="C9" t="s">
        <v>4735</v>
      </c>
      <c r="D9" t="s">
        <v>4176</v>
      </c>
      <c r="E9" t="s">
        <v>4748</v>
      </c>
      <c r="F9" t="s">
        <v>4750</v>
      </c>
      <c r="G9" s="60"/>
      <c r="H9" t="s">
        <v>4739</v>
      </c>
      <c r="I9" t="s">
        <v>4745</v>
      </c>
      <c r="J9" t="s">
        <v>4183</v>
      </c>
      <c r="K9" t="s">
        <v>4757</v>
      </c>
    </row>
    <row r="10" spans="1:11" x14ac:dyDescent="0.25">
      <c r="A10" s="60"/>
      <c r="B10" t="s">
        <v>4740</v>
      </c>
      <c r="G10" s="60"/>
      <c r="H10" t="s">
        <v>4741</v>
      </c>
      <c r="I10" t="s">
        <v>4746</v>
      </c>
      <c r="J10" t="s">
        <v>4185</v>
      </c>
      <c r="K10" t="s">
        <v>4759</v>
      </c>
    </row>
    <row r="11" spans="1:11" x14ac:dyDescent="0.25">
      <c r="A11" s="60"/>
      <c r="B11" t="s">
        <v>4743</v>
      </c>
      <c r="C11" t="s">
        <v>4736</v>
      </c>
      <c r="D11" t="s">
        <v>4177</v>
      </c>
      <c r="E11" t="s">
        <v>4180</v>
      </c>
      <c r="F11" t="s">
        <v>4751</v>
      </c>
      <c r="G11" s="60"/>
      <c r="H11" t="s">
        <v>4742</v>
      </c>
      <c r="I11" t="s">
        <v>4747</v>
      </c>
      <c r="J11" t="s">
        <v>4184</v>
      </c>
      <c r="K11" t="s">
        <v>4758</v>
      </c>
    </row>
    <row r="12" spans="1:11" x14ac:dyDescent="0.25">
      <c r="A12" s="60"/>
      <c r="G12" s="60"/>
    </row>
    <row r="13" spans="1:11" x14ac:dyDescent="0.25">
      <c r="A13" s="60"/>
      <c r="G13" s="60"/>
    </row>
    <row r="14" spans="1:11" ht="15.6" x14ac:dyDescent="0.25">
      <c r="A14" s="60"/>
      <c r="B14" t="s">
        <v>4753</v>
      </c>
      <c r="G14" s="60"/>
    </row>
  </sheetData>
  <mergeCells count="2">
    <mergeCell ref="C4:F5"/>
    <mergeCell ref="I4:K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4</vt:i4>
      </vt:variant>
    </vt:vector>
  </HeadingPairs>
  <TitlesOfParts>
    <vt:vector size="14" baseType="lpstr">
      <vt:lpstr>Results</vt:lpstr>
      <vt:lpstr>Searches</vt:lpstr>
      <vt:lpstr>Expatriation</vt:lpstr>
      <vt:lpstr>Photos Pending</vt:lpstr>
      <vt:lpstr>Notes</vt:lpstr>
      <vt:lpstr>ByShipByYear</vt:lpstr>
      <vt:lpstr>WW1-Draft-FieldsbyCardType</vt:lpstr>
      <vt:lpstr>Eye Color</vt:lpstr>
      <vt:lpstr>Ottoman Admin Hierarchy</vt:lpstr>
      <vt:lpstr>Top Last Names</vt:lpstr>
      <vt:lpstr>'Top Last Names'!main</vt:lpstr>
      <vt:lpstr>Results!Print_Area</vt:lpstr>
      <vt:lpstr>'Top Last Names'!Print_Area</vt:lpstr>
      <vt:lpstr>'WW1-Draft-FieldsbyCardType'!Print_Area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Arslan</dc:creator>
  <cp:lastModifiedBy>Mark B. Arslan</cp:lastModifiedBy>
  <cp:lastPrinted>2022-06-03T19:22:14Z</cp:lastPrinted>
  <dcterms:created xsi:type="dcterms:W3CDTF">2012-11-19T16:24:01Z</dcterms:created>
  <dcterms:modified xsi:type="dcterms:W3CDTF">2024-04-09T22:00:56Z</dcterms:modified>
</cp:coreProperties>
</file>